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unzhengzhao/Downloads/"/>
    </mc:Choice>
  </mc:AlternateContent>
  <xr:revisionPtr revIDLastSave="3" documentId="13_ncr:1_{0DBD3850-0C1B-4645-9AC9-196F1A523456}" xr6:coauthVersionLast="46" xr6:coauthVersionMax="46" xr10:uidLastSave="{A59B3188-3A97-4E27-9D50-D78273545901}"/>
  <bookViews>
    <workbookView xWindow="0" yWindow="460" windowWidth="28800" windowHeight="15860" xr2:uid="{00000000-000D-0000-FFFF-FFFF00000000}"/>
  </bookViews>
  <sheets>
    <sheet name="Sheet1" sheetId="1" r:id="rId1"/>
  </sheets>
  <definedNames>
    <definedName name="_xlnm._FilterDatabase" localSheetId="0" hidden="1">Sheet1!$C$1:$C$10574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10498" i="1" l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AI10499" i="1"/>
  <c r="AI10500" i="1"/>
  <c r="AI10501" i="1"/>
  <c r="AI10502" i="1"/>
  <c r="AI10503" i="1"/>
  <c r="AI10504" i="1"/>
  <c r="AI10505" i="1"/>
  <c r="AI10506" i="1"/>
  <c r="AI10507" i="1"/>
  <c r="AI10508" i="1"/>
  <c r="AI10509" i="1"/>
  <c r="AI10510" i="1"/>
  <c r="AI10511" i="1"/>
  <c r="AI10512" i="1"/>
  <c r="AI10513" i="1"/>
  <c r="AI10514" i="1"/>
  <c r="AI10515" i="1"/>
  <c r="AI10516" i="1"/>
  <c r="AI10517" i="1"/>
  <c r="AI10518" i="1"/>
  <c r="AI10519" i="1"/>
  <c r="AI10520" i="1"/>
  <c r="AI10521" i="1"/>
  <c r="AI10522" i="1"/>
  <c r="AI10523" i="1"/>
  <c r="AI10524" i="1"/>
  <c r="AI10525" i="1"/>
  <c r="AI10526" i="1"/>
  <c r="AI10527" i="1"/>
  <c r="AI10528" i="1"/>
  <c r="AI10529" i="1"/>
  <c r="AI10530" i="1"/>
  <c r="AI10531" i="1"/>
  <c r="AI10532" i="1"/>
  <c r="AI10533" i="1"/>
  <c r="AI10534" i="1"/>
  <c r="AI10535" i="1"/>
  <c r="AI10536" i="1"/>
  <c r="AI10537" i="1"/>
  <c r="AI10538" i="1"/>
  <c r="AI10539" i="1"/>
  <c r="AI10540" i="1"/>
  <c r="AI10541" i="1"/>
  <c r="AI10542" i="1"/>
  <c r="AI10543" i="1"/>
  <c r="AI10544" i="1"/>
  <c r="AI10545" i="1"/>
  <c r="AI10546" i="1"/>
  <c r="AI10547" i="1"/>
  <c r="AI10548" i="1"/>
  <c r="AI10549" i="1"/>
  <c r="AI10550" i="1"/>
  <c r="AI10551" i="1"/>
  <c r="AI10552" i="1"/>
  <c r="AI10553" i="1"/>
  <c r="AI10554" i="1"/>
  <c r="AI10555" i="1"/>
  <c r="AI10556" i="1"/>
  <c r="AI10557" i="1"/>
  <c r="AI10558" i="1"/>
  <c r="AI10559" i="1"/>
  <c r="AI10560" i="1"/>
  <c r="AI10561" i="1"/>
  <c r="AI10562" i="1"/>
  <c r="AI10563" i="1"/>
  <c r="AI10564" i="1"/>
  <c r="AI10565" i="1"/>
  <c r="AI10566" i="1"/>
  <c r="AI10567" i="1"/>
  <c r="AI10568" i="1"/>
  <c r="AI10569" i="1"/>
  <c r="AI10570" i="1"/>
  <c r="AI10571" i="1"/>
  <c r="AI10572" i="1"/>
  <c r="AI10573" i="1"/>
  <c r="AI10574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AH10407" i="1"/>
  <c r="AH10408" i="1"/>
  <c r="AH10409" i="1"/>
  <c r="AH10410" i="1"/>
  <c r="AH10411" i="1"/>
  <c r="AH10412" i="1"/>
  <c r="AH10413" i="1"/>
  <c r="AH10414" i="1"/>
  <c r="AH10415" i="1"/>
  <c r="AH10416" i="1"/>
  <c r="AH10417" i="1"/>
  <c r="AH10418" i="1"/>
  <c r="AH10419" i="1"/>
  <c r="AH10420" i="1"/>
  <c r="AH10421" i="1"/>
  <c r="AH10422" i="1"/>
  <c r="AH10423" i="1"/>
  <c r="AH10424" i="1"/>
  <c r="AH10425" i="1"/>
  <c r="AH10426" i="1"/>
  <c r="AH10427" i="1"/>
  <c r="AH10428" i="1"/>
  <c r="AH10429" i="1"/>
  <c r="AH10430" i="1"/>
  <c r="AH10431" i="1"/>
  <c r="AH10432" i="1"/>
  <c r="AH10433" i="1"/>
  <c r="AH10434" i="1"/>
  <c r="AH10435" i="1"/>
  <c r="AH10436" i="1"/>
  <c r="AH10437" i="1"/>
  <c r="AH10438" i="1"/>
  <c r="AH10439" i="1"/>
  <c r="AH10440" i="1"/>
  <c r="AH10441" i="1"/>
  <c r="AH10442" i="1"/>
  <c r="AH10443" i="1"/>
  <c r="AH10444" i="1"/>
  <c r="AH10445" i="1"/>
  <c r="AH10446" i="1"/>
  <c r="AH10447" i="1"/>
  <c r="AH10448" i="1"/>
  <c r="AH10449" i="1"/>
  <c r="AH10450" i="1"/>
  <c r="AH10451" i="1"/>
  <c r="AH10452" i="1"/>
  <c r="AH10453" i="1"/>
  <c r="AH10454" i="1"/>
  <c r="AH10455" i="1"/>
  <c r="AH10456" i="1"/>
  <c r="AH10457" i="1"/>
  <c r="AH10458" i="1"/>
  <c r="AH10459" i="1"/>
  <c r="AH10460" i="1"/>
  <c r="AH10461" i="1"/>
  <c r="AH10462" i="1"/>
  <c r="AH10463" i="1"/>
  <c r="AH10464" i="1"/>
  <c r="AH10465" i="1"/>
  <c r="AH10466" i="1"/>
  <c r="AH10467" i="1"/>
  <c r="AH10468" i="1"/>
  <c r="AH10469" i="1"/>
  <c r="AH10470" i="1"/>
  <c r="AH10471" i="1"/>
  <c r="AH10472" i="1"/>
  <c r="AH10473" i="1"/>
  <c r="AH10474" i="1"/>
  <c r="AH10475" i="1"/>
  <c r="AH10476" i="1"/>
  <c r="AH10477" i="1"/>
  <c r="AH10478" i="1"/>
  <c r="AH10479" i="1"/>
  <c r="AH10480" i="1"/>
  <c r="AH10481" i="1"/>
  <c r="AH10482" i="1"/>
  <c r="AH10483" i="1"/>
  <c r="AH10484" i="1"/>
  <c r="AH10485" i="1"/>
  <c r="AH10486" i="1"/>
  <c r="AH10487" i="1"/>
  <c r="AH10488" i="1"/>
  <c r="AH10489" i="1"/>
  <c r="AH10490" i="1"/>
  <c r="AH10491" i="1"/>
  <c r="AH10492" i="1"/>
  <c r="AH10493" i="1"/>
  <c r="AH10494" i="1"/>
  <c r="AH10495" i="1"/>
  <c r="AH10496" i="1"/>
  <c r="AH10497" i="1"/>
  <c r="AH10498" i="1"/>
  <c r="AH10403" i="1"/>
  <c r="AH10404" i="1"/>
  <c r="AH10405" i="1"/>
  <c r="AH10406" i="1"/>
  <c r="AH10148" i="1"/>
  <c r="AH10149" i="1"/>
  <c r="AH10150" i="1"/>
  <c r="AH10151" i="1"/>
  <c r="AH10152" i="1"/>
  <c r="AH10153" i="1"/>
  <c r="AH10154" i="1"/>
  <c r="AH10155" i="1"/>
  <c r="AH10156" i="1"/>
  <c r="AH10157" i="1"/>
  <c r="AH10158" i="1"/>
  <c r="AH10159" i="1"/>
  <c r="AH10160" i="1"/>
  <c r="AH10161" i="1"/>
  <c r="AH10162" i="1"/>
  <c r="AH10163" i="1"/>
  <c r="AH10164" i="1"/>
  <c r="AH10165" i="1"/>
  <c r="AH10166" i="1"/>
  <c r="AH10167" i="1"/>
  <c r="AH10168" i="1"/>
  <c r="AH10169" i="1"/>
  <c r="AH10170" i="1"/>
  <c r="AH10171" i="1"/>
  <c r="AH10172" i="1"/>
  <c r="AH10173" i="1"/>
  <c r="AH10174" i="1"/>
  <c r="AH10175" i="1"/>
  <c r="AH10176" i="1"/>
  <c r="AH10177" i="1"/>
  <c r="AH10178" i="1"/>
  <c r="AH10179" i="1"/>
  <c r="AH10180" i="1"/>
  <c r="AH10181" i="1"/>
  <c r="AH10182" i="1"/>
  <c r="AH10183" i="1"/>
  <c r="AH10184" i="1"/>
  <c r="AH10185" i="1"/>
  <c r="AH10186" i="1"/>
  <c r="AH10187" i="1"/>
  <c r="AH10188" i="1"/>
  <c r="AH10189" i="1"/>
  <c r="AH10190" i="1"/>
  <c r="AH10191" i="1"/>
  <c r="AH10192" i="1"/>
  <c r="AH10193" i="1"/>
  <c r="AH10194" i="1"/>
  <c r="AH10195" i="1"/>
  <c r="AH10196" i="1"/>
  <c r="AH10197" i="1"/>
  <c r="AH10198" i="1"/>
  <c r="AH10199" i="1"/>
  <c r="AH10200" i="1"/>
  <c r="AH10201" i="1"/>
  <c r="AH10202" i="1"/>
  <c r="AH10203" i="1"/>
  <c r="AH10204" i="1"/>
  <c r="AH10205" i="1"/>
  <c r="AH10206" i="1"/>
  <c r="AH10207" i="1"/>
  <c r="AH10208" i="1"/>
  <c r="AH10209" i="1"/>
  <c r="AH10210" i="1"/>
  <c r="AH10211" i="1"/>
  <c r="AH10212" i="1"/>
  <c r="AH10213" i="1"/>
  <c r="AH10214" i="1"/>
  <c r="AH10215" i="1"/>
  <c r="AH10216" i="1"/>
  <c r="AH10217" i="1"/>
  <c r="AH10218" i="1"/>
  <c r="AH10219" i="1"/>
  <c r="AH10220" i="1"/>
  <c r="AH10221" i="1"/>
  <c r="AH10222" i="1"/>
  <c r="AH10223" i="1"/>
  <c r="AH10224" i="1"/>
  <c r="AH10225" i="1"/>
  <c r="AH10226" i="1"/>
  <c r="AH10227" i="1"/>
  <c r="AH10228" i="1"/>
  <c r="AH10229" i="1"/>
  <c r="AH10230" i="1"/>
  <c r="AH10231" i="1"/>
  <c r="AH10232" i="1"/>
  <c r="AH10233" i="1"/>
  <c r="AH10234" i="1"/>
  <c r="AH10235" i="1"/>
  <c r="AH10236" i="1"/>
  <c r="AH10237" i="1"/>
  <c r="AH10238" i="1"/>
  <c r="AH10239" i="1"/>
  <c r="AH10240" i="1"/>
  <c r="AH10241" i="1"/>
  <c r="AH10242" i="1"/>
  <c r="AH10243" i="1"/>
  <c r="AH10244" i="1"/>
  <c r="AH10245" i="1"/>
  <c r="AH10246" i="1"/>
  <c r="AH10247" i="1"/>
  <c r="AH10248" i="1"/>
  <c r="AH10249" i="1"/>
  <c r="AH10250" i="1"/>
  <c r="AH10251" i="1"/>
  <c r="AH10252" i="1"/>
  <c r="AH10253" i="1"/>
  <c r="AH10254" i="1"/>
  <c r="AH10255" i="1"/>
  <c r="AH10256" i="1"/>
  <c r="AH10257" i="1"/>
  <c r="AH10258" i="1"/>
  <c r="AH10259" i="1"/>
  <c r="AH10260" i="1"/>
  <c r="AH10261" i="1"/>
  <c r="AH10262" i="1"/>
  <c r="AH10263" i="1"/>
  <c r="AH10264" i="1"/>
  <c r="AH10265" i="1"/>
  <c r="AH10266" i="1"/>
  <c r="AH10267" i="1"/>
  <c r="AH10268" i="1"/>
  <c r="AH10269" i="1"/>
  <c r="AH10270" i="1"/>
  <c r="AH10271" i="1"/>
  <c r="AH10272" i="1"/>
  <c r="AH10273" i="1"/>
  <c r="AH10274" i="1"/>
  <c r="AH10275" i="1"/>
  <c r="AH10276" i="1"/>
  <c r="AH10277" i="1"/>
  <c r="AH10278" i="1"/>
  <c r="AH10279" i="1"/>
  <c r="AH10280" i="1"/>
  <c r="AH10281" i="1"/>
  <c r="AH10282" i="1"/>
  <c r="AH10283" i="1"/>
  <c r="AH10284" i="1"/>
  <c r="AH10285" i="1"/>
  <c r="AH10286" i="1"/>
  <c r="AH10287" i="1"/>
  <c r="AH10288" i="1"/>
  <c r="AH10289" i="1"/>
  <c r="AH10290" i="1"/>
  <c r="AH10291" i="1"/>
  <c r="AH10292" i="1"/>
  <c r="AH10293" i="1"/>
  <c r="AH10294" i="1"/>
  <c r="AH10295" i="1"/>
  <c r="AH10296" i="1"/>
  <c r="AH10297" i="1"/>
  <c r="AH10298" i="1"/>
  <c r="AH10299" i="1"/>
  <c r="AH10300" i="1"/>
  <c r="AH10301" i="1"/>
  <c r="AH10302" i="1"/>
  <c r="AH10303" i="1"/>
  <c r="AH10304" i="1"/>
  <c r="AH10305" i="1"/>
  <c r="AH10306" i="1"/>
  <c r="AH10307" i="1"/>
  <c r="AH10308" i="1"/>
  <c r="AH10309" i="1"/>
  <c r="AH10310" i="1"/>
  <c r="AH10311" i="1"/>
  <c r="AH10312" i="1"/>
  <c r="AH10313" i="1"/>
  <c r="AH10314" i="1"/>
  <c r="AH10315" i="1"/>
  <c r="AH10316" i="1"/>
  <c r="AH10317" i="1"/>
  <c r="AH10318" i="1"/>
  <c r="AH10319" i="1"/>
  <c r="AH10320" i="1"/>
  <c r="AH10321" i="1"/>
  <c r="AH10322" i="1"/>
  <c r="AH10323" i="1"/>
  <c r="AH10324" i="1"/>
  <c r="AH10325" i="1"/>
  <c r="AH10326" i="1"/>
  <c r="AH10327" i="1"/>
  <c r="AH10328" i="1"/>
  <c r="AH10329" i="1"/>
  <c r="AH10330" i="1"/>
  <c r="AH10331" i="1"/>
  <c r="AH10332" i="1"/>
  <c r="AH10333" i="1"/>
  <c r="AH10334" i="1"/>
  <c r="AH10335" i="1"/>
  <c r="AH10336" i="1"/>
  <c r="AH10337" i="1"/>
  <c r="AH10338" i="1"/>
  <c r="AH10339" i="1"/>
  <c r="AH10340" i="1"/>
  <c r="AH10341" i="1"/>
  <c r="AH10342" i="1"/>
  <c r="AH10343" i="1"/>
  <c r="AH10344" i="1"/>
  <c r="AH10345" i="1"/>
  <c r="AH10346" i="1"/>
  <c r="AH10347" i="1"/>
  <c r="AH10348" i="1"/>
  <c r="AH10349" i="1"/>
  <c r="AH10350" i="1"/>
  <c r="AH10351" i="1"/>
  <c r="AH10352" i="1"/>
  <c r="AH10353" i="1"/>
  <c r="AH10354" i="1"/>
  <c r="AH10355" i="1"/>
  <c r="AH10356" i="1"/>
  <c r="AH10357" i="1"/>
  <c r="AH10358" i="1"/>
  <c r="AH10359" i="1"/>
  <c r="AH10360" i="1"/>
  <c r="AH10361" i="1"/>
  <c r="AH10362" i="1"/>
  <c r="AH10363" i="1"/>
  <c r="AH10364" i="1"/>
  <c r="AH10365" i="1"/>
  <c r="AH10366" i="1"/>
  <c r="AH10367" i="1"/>
  <c r="AH10368" i="1"/>
  <c r="AH10369" i="1"/>
  <c r="AH10370" i="1"/>
  <c r="AH10371" i="1"/>
  <c r="AH10372" i="1"/>
  <c r="AH10373" i="1"/>
  <c r="AH10374" i="1"/>
  <c r="AH10375" i="1"/>
  <c r="AH10376" i="1"/>
  <c r="AH10377" i="1"/>
  <c r="AH10378" i="1"/>
  <c r="AH10379" i="1"/>
  <c r="AH10380" i="1"/>
  <c r="AH10381" i="1"/>
  <c r="AH10382" i="1"/>
  <c r="AH10383" i="1"/>
  <c r="AH10384" i="1"/>
  <c r="AH10385" i="1"/>
  <c r="AH10386" i="1"/>
  <c r="AH10387" i="1"/>
  <c r="AH10388" i="1"/>
  <c r="AH10389" i="1"/>
  <c r="AH10390" i="1"/>
  <c r="AH10391" i="1"/>
  <c r="AH10392" i="1"/>
  <c r="AH10393" i="1"/>
  <c r="AH10394" i="1"/>
  <c r="AH10395" i="1"/>
  <c r="AH10396" i="1"/>
  <c r="AH10397" i="1"/>
  <c r="AH10398" i="1"/>
  <c r="AH10399" i="1"/>
  <c r="AH10400" i="1"/>
  <c r="AH10401" i="1"/>
  <c r="AH10402" i="1"/>
  <c r="AH10011" i="1"/>
  <c r="AH10012" i="1"/>
  <c r="AH10013" i="1"/>
  <c r="AH10014" i="1"/>
  <c r="AH10015" i="1"/>
  <c r="AH10016" i="1"/>
  <c r="AH10017" i="1"/>
  <c r="AH10018" i="1"/>
  <c r="AH10019" i="1"/>
  <c r="AH10020" i="1"/>
  <c r="AH10021" i="1"/>
  <c r="AH10022" i="1"/>
  <c r="AH10023" i="1"/>
  <c r="AH10024" i="1"/>
  <c r="AH10025" i="1"/>
  <c r="AH10026" i="1"/>
  <c r="AH10027" i="1"/>
  <c r="AH10028" i="1"/>
  <c r="AH10029" i="1"/>
  <c r="AH10030" i="1"/>
  <c r="AH10031" i="1"/>
  <c r="AH10032" i="1"/>
  <c r="AH10033" i="1"/>
  <c r="AH10034" i="1"/>
  <c r="AH10035" i="1"/>
  <c r="AH10036" i="1"/>
  <c r="AH10037" i="1"/>
  <c r="AH10038" i="1"/>
  <c r="AH10039" i="1"/>
  <c r="AH10040" i="1"/>
  <c r="AH10041" i="1"/>
  <c r="AH10042" i="1"/>
  <c r="AH10043" i="1"/>
  <c r="AH10044" i="1"/>
  <c r="AH10045" i="1"/>
  <c r="AH10046" i="1"/>
  <c r="AH10047" i="1"/>
  <c r="AH10048" i="1"/>
  <c r="AH10049" i="1"/>
  <c r="AH10050" i="1"/>
  <c r="AH10051" i="1"/>
  <c r="AH10052" i="1"/>
  <c r="AH10053" i="1"/>
  <c r="AH10054" i="1"/>
  <c r="AH10055" i="1"/>
  <c r="AH10056" i="1"/>
  <c r="AH10057" i="1"/>
  <c r="AH10058" i="1"/>
  <c r="AH10059" i="1"/>
  <c r="AH10060" i="1"/>
  <c r="AH10061" i="1"/>
  <c r="AH10062" i="1"/>
  <c r="AH10063" i="1"/>
  <c r="AH10064" i="1"/>
  <c r="AH10065" i="1"/>
  <c r="AH10066" i="1"/>
  <c r="AH10067" i="1"/>
  <c r="AH10068" i="1"/>
  <c r="AH10069" i="1"/>
  <c r="AH10070" i="1"/>
  <c r="AH10071" i="1"/>
  <c r="AH10072" i="1"/>
  <c r="AH10073" i="1"/>
  <c r="AH10074" i="1"/>
  <c r="AH10075" i="1"/>
  <c r="AH10076" i="1"/>
  <c r="AH10077" i="1"/>
  <c r="AH10078" i="1"/>
  <c r="AH10079" i="1"/>
  <c r="AH10080" i="1"/>
  <c r="AH10081" i="1"/>
  <c r="AH10082" i="1"/>
  <c r="AH10083" i="1"/>
  <c r="AH10084" i="1"/>
  <c r="AH10085" i="1"/>
  <c r="AH10086" i="1"/>
  <c r="AH10087" i="1"/>
  <c r="AH10088" i="1"/>
  <c r="AH10089" i="1"/>
  <c r="AH10090" i="1"/>
  <c r="AH10091" i="1"/>
  <c r="AH10092" i="1"/>
  <c r="AH10093" i="1"/>
  <c r="AH10094" i="1"/>
  <c r="AH10095" i="1"/>
  <c r="AH10096" i="1"/>
  <c r="AH10097" i="1"/>
  <c r="AH10098" i="1"/>
  <c r="AH10099" i="1"/>
  <c r="AH10100" i="1"/>
  <c r="AH10101" i="1"/>
  <c r="AH10102" i="1"/>
  <c r="AH10103" i="1"/>
  <c r="AH10104" i="1"/>
  <c r="AH10105" i="1"/>
  <c r="AH10106" i="1"/>
  <c r="AH10107" i="1"/>
  <c r="AH10108" i="1"/>
  <c r="AH10109" i="1"/>
  <c r="AH10110" i="1"/>
  <c r="AH10111" i="1"/>
  <c r="AH10112" i="1"/>
  <c r="AH10113" i="1"/>
  <c r="AH10114" i="1"/>
  <c r="AH10115" i="1"/>
  <c r="AH10116" i="1"/>
  <c r="AH10117" i="1"/>
  <c r="AH10118" i="1"/>
  <c r="AH10119" i="1"/>
  <c r="AH10120" i="1"/>
  <c r="AH10121" i="1"/>
  <c r="AH10122" i="1"/>
  <c r="AH10123" i="1"/>
  <c r="AH10124" i="1"/>
  <c r="AH10125" i="1"/>
  <c r="AH10126" i="1"/>
  <c r="AH10127" i="1"/>
  <c r="AH10128" i="1"/>
  <c r="AH10129" i="1"/>
  <c r="AH10130" i="1"/>
  <c r="AH10131" i="1"/>
  <c r="AH10132" i="1"/>
  <c r="AH10133" i="1"/>
  <c r="AH10134" i="1"/>
  <c r="AH10135" i="1"/>
  <c r="AH10136" i="1"/>
  <c r="AH10137" i="1"/>
  <c r="AH10138" i="1"/>
  <c r="AH10139" i="1"/>
  <c r="AH10140" i="1"/>
  <c r="AH10141" i="1"/>
  <c r="AH10142" i="1"/>
  <c r="AH10143" i="1"/>
  <c r="AH10144" i="1"/>
  <c r="AH10145" i="1"/>
  <c r="AH10146" i="1"/>
  <c r="AH10147" i="1"/>
  <c r="AH9716" i="1"/>
  <c r="AH9717" i="1"/>
  <c r="AH9718" i="1"/>
  <c r="AH9719" i="1"/>
  <c r="AH9720" i="1"/>
  <c r="AH9721" i="1"/>
  <c r="AH9722" i="1"/>
  <c r="AH9723" i="1"/>
  <c r="AH9724" i="1"/>
  <c r="AH9725" i="1"/>
  <c r="AH9726" i="1"/>
  <c r="AH9727" i="1"/>
  <c r="AH9728" i="1"/>
  <c r="AH9729" i="1"/>
  <c r="AH9730" i="1"/>
  <c r="AH9731" i="1"/>
  <c r="AH9732" i="1"/>
  <c r="AH9733" i="1"/>
  <c r="AH9734" i="1"/>
  <c r="AH9735" i="1"/>
  <c r="AH9736" i="1"/>
  <c r="AH9737" i="1"/>
  <c r="AH9738" i="1"/>
  <c r="AH9739" i="1"/>
  <c r="AH9740" i="1"/>
  <c r="AH9741" i="1"/>
  <c r="AH9742" i="1"/>
  <c r="AH9743" i="1"/>
  <c r="AH9744" i="1"/>
  <c r="AH9745" i="1"/>
  <c r="AH9746" i="1"/>
  <c r="AH9747" i="1"/>
  <c r="AH9748" i="1"/>
  <c r="AH9749" i="1"/>
  <c r="AH9750" i="1"/>
  <c r="AH9751" i="1"/>
  <c r="AH9752" i="1"/>
  <c r="AH9753" i="1"/>
  <c r="AH9754" i="1"/>
  <c r="AH9755" i="1"/>
  <c r="AH9756" i="1"/>
  <c r="AH9757" i="1"/>
  <c r="AH9758" i="1"/>
  <c r="AH9759" i="1"/>
  <c r="AH9760" i="1"/>
  <c r="AH9761" i="1"/>
  <c r="AH9762" i="1"/>
  <c r="AH9763" i="1"/>
  <c r="AH9764" i="1"/>
  <c r="AH9765" i="1"/>
  <c r="AH9766" i="1"/>
  <c r="AH9767" i="1"/>
  <c r="AH9768" i="1"/>
  <c r="AH9769" i="1"/>
  <c r="AH9770" i="1"/>
  <c r="AH9771" i="1"/>
  <c r="AH9772" i="1"/>
  <c r="AH9773" i="1"/>
  <c r="AH9774" i="1"/>
  <c r="AH9775" i="1"/>
  <c r="AH9776" i="1"/>
  <c r="AH9777" i="1"/>
  <c r="AH9778" i="1"/>
  <c r="AH9779" i="1"/>
  <c r="AH9780" i="1"/>
  <c r="AH9781" i="1"/>
  <c r="AH9782" i="1"/>
  <c r="AH9783" i="1"/>
  <c r="AH9784" i="1"/>
  <c r="AH9785" i="1"/>
  <c r="AH9786" i="1"/>
  <c r="AH9787" i="1"/>
  <c r="AH9788" i="1"/>
  <c r="AH9789" i="1"/>
  <c r="AH9790" i="1"/>
  <c r="AH9791" i="1"/>
  <c r="AH9792" i="1"/>
  <c r="AH9793" i="1"/>
  <c r="AH9794" i="1"/>
  <c r="AH9795" i="1"/>
  <c r="AH9796" i="1"/>
  <c r="AH9797" i="1"/>
  <c r="AH9798" i="1"/>
  <c r="AH9799" i="1"/>
  <c r="AH9800" i="1"/>
  <c r="AH9801" i="1"/>
  <c r="AH9802" i="1"/>
  <c r="AH9803" i="1"/>
  <c r="AH9804" i="1"/>
  <c r="AH9805" i="1"/>
  <c r="AH9806" i="1"/>
  <c r="AH9807" i="1"/>
  <c r="AH9808" i="1"/>
  <c r="AH9809" i="1"/>
  <c r="AH9810" i="1"/>
  <c r="AH9811" i="1"/>
  <c r="AH9812" i="1"/>
  <c r="AH9813" i="1"/>
  <c r="AH9814" i="1"/>
  <c r="AH9815" i="1"/>
  <c r="AH9816" i="1"/>
  <c r="AH9817" i="1"/>
  <c r="AH9818" i="1"/>
  <c r="AH9819" i="1"/>
  <c r="AH9820" i="1"/>
  <c r="AH9821" i="1"/>
  <c r="AH9822" i="1"/>
  <c r="AH9823" i="1"/>
  <c r="AH9824" i="1"/>
  <c r="AH9825" i="1"/>
  <c r="AH9826" i="1"/>
  <c r="AH9827" i="1"/>
  <c r="AH9828" i="1"/>
  <c r="AH9829" i="1"/>
  <c r="AH9830" i="1"/>
  <c r="AH9831" i="1"/>
  <c r="AH9832" i="1"/>
  <c r="AH9833" i="1"/>
  <c r="AH9834" i="1"/>
  <c r="AH9835" i="1"/>
  <c r="AH9836" i="1"/>
  <c r="AH9837" i="1"/>
  <c r="AH9838" i="1"/>
  <c r="AH9839" i="1"/>
  <c r="AH9840" i="1"/>
  <c r="AH9841" i="1"/>
  <c r="AH9842" i="1"/>
  <c r="AH9843" i="1"/>
  <c r="AH9844" i="1"/>
  <c r="AH9845" i="1"/>
  <c r="AH9846" i="1"/>
  <c r="AH9847" i="1"/>
  <c r="AH9848" i="1"/>
  <c r="AH9849" i="1"/>
  <c r="AH9850" i="1"/>
  <c r="AH9851" i="1"/>
  <c r="AH9852" i="1"/>
  <c r="AH9853" i="1"/>
  <c r="AH9854" i="1"/>
  <c r="AH9855" i="1"/>
  <c r="AH9856" i="1"/>
  <c r="AH9857" i="1"/>
  <c r="AH9858" i="1"/>
  <c r="AH9859" i="1"/>
  <c r="AH9860" i="1"/>
  <c r="AH9861" i="1"/>
  <c r="AH9862" i="1"/>
  <c r="AH9863" i="1"/>
  <c r="AH9864" i="1"/>
  <c r="AH9865" i="1"/>
  <c r="AH9866" i="1"/>
  <c r="AH9867" i="1"/>
  <c r="AH9868" i="1"/>
  <c r="AH9869" i="1"/>
  <c r="AH9870" i="1"/>
  <c r="AH9871" i="1"/>
  <c r="AH9872" i="1"/>
  <c r="AH9873" i="1"/>
  <c r="AH9874" i="1"/>
  <c r="AH9875" i="1"/>
  <c r="AH9876" i="1"/>
  <c r="AH9877" i="1"/>
  <c r="AH9878" i="1"/>
  <c r="AH9879" i="1"/>
  <c r="AH9880" i="1"/>
  <c r="AH9881" i="1"/>
  <c r="AH9882" i="1"/>
  <c r="AH9883" i="1"/>
  <c r="AH9884" i="1"/>
  <c r="AH9885" i="1"/>
  <c r="AH9886" i="1"/>
  <c r="AH9887" i="1"/>
  <c r="AH9888" i="1"/>
  <c r="AH9889" i="1"/>
  <c r="AH9890" i="1"/>
  <c r="AH9891" i="1"/>
  <c r="AH9892" i="1"/>
  <c r="AH9893" i="1"/>
  <c r="AH9894" i="1"/>
  <c r="AH9895" i="1"/>
  <c r="AH9896" i="1"/>
  <c r="AH9897" i="1"/>
  <c r="AH9898" i="1"/>
  <c r="AH9899" i="1"/>
  <c r="AH9900" i="1"/>
  <c r="AH9901" i="1"/>
  <c r="AH9902" i="1"/>
  <c r="AH9903" i="1"/>
  <c r="AH9904" i="1"/>
  <c r="AH9905" i="1"/>
  <c r="AH9906" i="1"/>
  <c r="AH9907" i="1"/>
  <c r="AH9908" i="1"/>
  <c r="AH9909" i="1"/>
  <c r="AH9910" i="1"/>
  <c r="AH9911" i="1"/>
  <c r="AH9912" i="1"/>
  <c r="AH9913" i="1"/>
  <c r="AH9914" i="1"/>
  <c r="AH9915" i="1"/>
  <c r="AH9916" i="1"/>
  <c r="AH9917" i="1"/>
  <c r="AH9918" i="1"/>
  <c r="AH9919" i="1"/>
  <c r="AH9920" i="1"/>
  <c r="AH9921" i="1"/>
  <c r="AH9922" i="1"/>
  <c r="AH9923" i="1"/>
  <c r="AH9924" i="1"/>
  <c r="AH9925" i="1"/>
  <c r="AH9926" i="1"/>
  <c r="AH9927" i="1"/>
  <c r="AH9928" i="1"/>
  <c r="AH9929" i="1"/>
  <c r="AH9930" i="1"/>
  <c r="AH9931" i="1"/>
  <c r="AH9932" i="1"/>
  <c r="AH9933" i="1"/>
  <c r="AH9934" i="1"/>
  <c r="AH9935" i="1"/>
  <c r="AH9936" i="1"/>
  <c r="AH9937" i="1"/>
  <c r="AH9938" i="1"/>
  <c r="AH9939" i="1"/>
  <c r="AH9940" i="1"/>
  <c r="AH9941" i="1"/>
  <c r="AH9942" i="1"/>
  <c r="AH9943" i="1"/>
  <c r="AH9944" i="1"/>
  <c r="AH9945" i="1"/>
  <c r="AH9946" i="1"/>
  <c r="AH9947" i="1"/>
  <c r="AH9948" i="1"/>
  <c r="AH9949" i="1"/>
  <c r="AH9950" i="1"/>
  <c r="AH9951" i="1"/>
  <c r="AH9952" i="1"/>
  <c r="AH9953" i="1"/>
  <c r="AH9954" i="1"/>
  <c r="AH9955" i="1"/>
  <c r="AH9956" i="1"/>
  <c r="AH9957" i="1"/>
  <c r="AH9958" i="1"/>
  <c r="AH9959" i="1"/>
  <c r="AH9960" i="1"/>
  <c r="AH9961" i="1"/>
  <c r="AH9962" i="1"/>
  <c r="AH9963" i="1"/>
  <c r="AH9964" i="1"/>
  <c r="AH9965" i="1"/>
  <c r="AH9966" i="1"/>
  <c r="AH9967" i="1"/>
  <c r="AH9968" i="1"/>
  <c r="AH9969" i="1"/>
  <c r="AH9970" i="1"/>
  <c r="AH9971" i="1"/>
  <c r="AH9972" i="1"/>
  <c r="AH9973" i="1"/>
  <c r="AH9974" i="1"/>
  <c r="AH9975" i="1"/>
  <c r="AH9976" i="1"/>
  <c r="AH9977" i="1"/>
  <c r="AH9978" i="1"/>
  <c r="AH9979" i="1"/>
  <c r="AH9980" i="1"/>
  <c r="AH9981" i="1"/>
  <c r="AH9982" i="1"/>
  <c r="AH9983" i="1"/>
  <c r="AH9984" i="1"/>
  <c r="AH9985" i="1"/>
  <c r="AH9986" i="1"/>
  <c r="AH9987" i="1"/>
  <c r="AH9988" i="1"/>
  <c r="AH9989" i="1"/>
  <c r="AH9990" i="1"/>
  <c r="AH9991" i="1"/>
  <c r="AH9992" i="1"/>
  <c r="AH9993" i="1"/>
  <c r="AH9994" i="1"/>
  <c r="AH9995" i="1"/>
  <c r="AH9996" i="1"/>
  <c r="AH9997" i="1"/>
  <c r="AH9998" i="1"/>
  <c r="AH9999" i="1"/>
  <c r="AH10000" i="1"/>
  <c r="AH10001" i="1"/>
  <c r="AH10002" i="1"/>
  <c r="AH10003" i="1"/>
  <c r="AH10004" i="1"/>
  <c r="AH10005" i="1"/>
  <c r="AH10006" i="1"/>
  <c r="AH10007" i="1"/>
  <c r="AH10008" i="1"/>
  <c r="AH10009" i="1"/>
  <c r="AH10010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341" i="1"/>
  <c r="Q10340" i="1"/>
  <c r="Q10339" i="1"/>
  <c r="Q10338" i="1"/>
  <c r="Q10337" i="1"/>
  <c r="Q10336" i="1"/>
  <c r="Q10335" i="1"/>
  <c r="Q10334" i="1"/>
  <c r="Q10333" i="1"/>
  <c r="Q10332" i="1"/>
  <c r="Q10331" i="1"/>
  <c r="Q10330" i="1"/>
  <c r="Q10329" i="1"/>
  <c r="Q10328" i="1"/>
  <c r="Q10327" i="1"/>
  <c r="Q10326" i="1"/>
  <c r="Q10325" i="1"/>
  <c r="Q10324" i="1"/>
  <c r="Q10323" i="1"/>
  <c r="Q10322" i="1"/>
  <c r="Q10321" i="1"/>
  <c r="Q10320" i="1"/>
  <c r="Q10319" i="1"/>
  <c r="Q10318" i="1"/>
  <c r="Q10317" i="1"/>
  <c r="Q10316" i="1"/>
  <c r="Q10315" i="1"/>
  <c r="Q10314" i="1"/>
  <c r="Q10313" i="1"/>
  <c r="Q10312" i="1"/>
  <c r="Q10311" i="1"/>
  <c r="Q10310" i="1"/>
  <c r="Q10309" i="1"/>
  <c r="Q10308" i="1"/>
  <c r="Q10307" i="1"/>
  <c r="Q10306" i="1"/>
  <c r="Q10305" i="1"/>
  <c r="Q10304" i="1"/>
  <c r="Q10303" i="1"/>
  <c r="Q10302" i="1"/>
  <c r="Q10301" i="1"/>
  <c r="Q10300" i="1"/>
  <c r="Q10299" i="1"/>
  <c r="Q10298" i="1"/>
  <c r="Q10297" i="1"/>
  <c r="Q10296" i="1"/>
  <c r="Q10295" i="1"/>
  <c r="Q10294" i="1"/>
  <c r="Q10293" i="1"/>
  <c r="Q10292" i="1"/>
  <c r="Q10291" i="1"/>
  <c r="Q10290" i="1"/>
  <c r="Q10289" i="1"/>
  <c r="Q10288" i="1"/>
  <c r="Q10287" i="1"/>
  <c r="Q10286" i="1"/>
  <c r="Q10285" i="1"/>
  <c r="Q10284" i="1"/>
  <c r="Q10283" i="1"/>
  <c r="Q10282" i="1"/>
  <c r="Q10281" i="1"/>
  <c r="Q10280" i="1"/>
  <c r="Q10279" i="1"/>
  <c r="Q10278" i="1"/>
  <c r="Q10277" i="1"/>
  <c r="Q10276" i="1"/>
  <c r="Q10275" i="1"/>
  <c r="Q10274" i="1"/>
  <c r="Q10273" i="1"/>
  <c r="Q10272" i="1"/>
  <c r="Q10271" i="1"/>
  <c r="Q10270" i="1"/>
  <c r="Q10269" i="1"/>
  <c r="Q10268" i="1"/>
  <c r="Q10267" i="1"/>
  <c r="Q10266" i="1"/>
  <c r="Q10265" i="1"/>
  <c r="Q10264" i="1"/>
  <c r="Q10263" i="1"/>
  <c r="Q10262" i="1"/>
  <c r="Q10261" i="1"/>
  <c r="Q10260" i="1"/>
  <c r="Q10259" i="1"/>
  <c r="Q10258" i="1"/>
  <c r="Q10257" i="1"/>
  <c r="Q10256" i="1"/>
  <c r="Q10255" i="1"/>
  <c r="Q10254" i="1"/>
  <c r="Q10253" i="1"/>
  <c r="Q10252" i="1"/>
  <c r="Q10251" i="1"/>
  <c r="Q10250" i="1"/>
  <c r="Q10249" i="1"/>
  <c r="Q10248" i="1"/>
  <c r="Q10247" i="1"/>
  <c r="Q10246" i="1"/>
  <c r="Q10245" i="1"/>
  <c r="Q10244" i="1"/>
  <c r="Q10243" i="1"/>
  <c r="Q10242" i="1"/>
  <c r="Q10241" i="1"/>
  <c r="Q10240" i="1"/>
  <c r="Q10239" i="1"/>
  <c r="Q10238" i="1"/>
  <c r="Q10237" i="1"/>
  <c r="Q10236" i="1"/>
  <c r="Q10235" i="1"/>
  <c r="Q10234" i="1"/>
  <c r="Q10233" i="1"/>
  <c r="Q10232" i="1"/>
  <c r="Q10231" i="1"/>
  <c r="Q10230" i="1"/>
  <c r="Q10229" i="1"/>
  <c r="Q10228" i="1"/>
  <c r="Q10227" i="1"/>
  <c r="Q10226" i="1"/>
  <c r="Q10225" i="1"/>
  <c r="Q10224" i="1"/>
  <c r="Q10223" i="1"/>
  <c r="Q10222" i="1"/>
  <c r="Q10221" i="1"/>
  <c r="Q10220" i="1"/>
  <c r="Q10219" i="1"/>
  <c r="Q10218" i="1"/>
  <c r="Q10217" i="1"/>
  <c r="Q10216" i="1"/>
  <c r="Q10215" i="1"/>
  <c r="Q10214" i="1"/>
  <c r="Q10213" i="1"/>
  <c r="Q10212" i="1"/>
  <c r="Q10211" i="1"/>
  <c r="Q10210" i="1"/>
  <c r="Q10209" i="1"/>
  <c r="Q10208" i="1"/>
  <c r="Q10207" i="1"/>
  <c r="Q10206" i="1"/>
  <c r="Q10205" i="1"/>
  <c r="Q10204" i="1"/>
  <c r="Q10203" i="1"/>
  <c r="Q10202" i="1"/>
  <c r="Q10201" i="1"/>
  <c r="Q10200" i="1"/>
  <c r="Q10199" i="1"/>
  <c r="Q10198" i="1"/>
  <c r="Q10197" i="1"/>
  <c r="Q10196" i="1"/>
  <c r="Q10195" i="1"/>
  <c r="Q10194" i="1"/>
  <c r="Q10193" i="1"/>
  <c r="Q10192" i="1"/>
  <c r="Q10191" i="1"/>
  <c r="Q10190" i="1"/>
  <c r="Q10189" i="1"/>
  <c r="Q10188" i="1"/>
  <c r="Q10187" i="1"/>
  <c r="Q10186" i="1"/>
  <c r="Q10185" i="1"/>
  <c r="Q10184" i="1"/>
  <c r="Q10183" i="1"/>
  <c r="Q10182" i="1"/>
  <c r="Q10181" i="1"/>
  <c r="Q10180" i="1"/>
  <c r="Q10179" i="1"/>
  <c r="Q10178" i="1"/>
  <c r="Q10177" i="1"/>
  <c r="Q10176" i="1"/>
  <c r="Q10175" i="1"/>
  <c r="Q10174" i="1"/>
  <c r="Q10173" i="1"/>
  <c r="Q10172" i="1"/>
  <c r="Q10171" i="1"/>
  <c r="Q10170" i="1"/>
  <c r="Q10169" i="1"/>
  <c r="Q10168" i="1"/>
  <c r="Q10167" i="1"/>
  <c r="Q10166" i="1"/>
  <c r="Q10165" i="1"/>
  <c r="Q10164" i="1"/>
  <c r="Q10163" i="1"/>
  <c r="Q10162" i="1"/>
  <c r="Q10161" i="1"/>
  <c r="Q10160" i="1"/>
  <c r="Q10159" i="1"/>
  <c r="Q10158" i="1"/>
  <c r="Q10157" i="1"/>
  <c r="Q10156" i="1"/>
  <c r="Q10155" i="1"/>
  <c r="Q10154" i="1"/>
  <c r="Q10153" i="1"/>
  <c r="Q10152" i="1"/>
  <c r="Q10151" i="1"/>
  <c r="Q10150" i="1"/>
  <c r="Q10149" i="1"/>
  <c r="Q10148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014" i="1"/>
  <c r="Q10013" i="1"/>
  <c r="Q10012" i="1"/>
  <c r="Q10011" i="1"/>
  <c r="Q10010" i="1"/>
  <c r="Q10009" i="1"/>
  <c r="Q10008" i="1"/>
  <c r="Q10007" i="1"/>
  <c r="Q10006" i="1"/>
  <c r="Q10005" i="1"/>
  <c r="Q10004" i="1"/>
  <c r="Q10003" i="1"/>
  <c r="Q10002" i="1"/>
  <c r="Q10001" i="1"/>
  <c r="Q10000" i="1"/>
  <c r="Q9999" i="1"/>
  <c r="Q9998" i="1"/>
  <c r="Q9997" i="1"/>
  <c r="Q9996" i="1"/>
  <c r="Q9995" i="1"/>
  <c r="Q9994" i="1"/>
  <c r="Q9993" i="1"/>
  <c r="Q9992" i="1"/>
  <c r="Q9991" i="1"/>
  <c r="Q9990" i="1"/>
  <c r="Q9989" i="1"/>
  <c r="Q9988" i="1"/>
  <c r="Q9987" i="1"/>
  <c r="Q9986" i="1"/>
  <c r="Q9985" i="1"/>
  <c r="Q9984" i="1"/>
  <c r="Q9983" i="1"/>
  <c r="Q9982" i="1"/>
  <c r="Q9981" i="1"/>
  <c r="Q9980" i="1"/>
  <c r="Q9979" i="1"/>
  <c r="Q9978" i="1"/>
  <c r="Q9977" i="1"/>
  <c r="Q9976" i="1"/>
  <c r="Q9975" i="1"/>
  <c r="Q9974" i="1"/>
  <c r="Q9973" i="1"/>
  <c r="Q9972" i="1"/>
  <c r="Q9971" i="1"/>
  <c r="Q9970" i="1"/>
  <c r="Q9969" i="1"/>
  <c r="Q9968" i="1"/>
  <c r="Q9967" i="1"/>
  <c r="Q9966" i="1"/>
  <c r="Q9965" i="1"/>
  <c r="Q9964" i="1"/>
  <c r="Q9963" i="1"/>
  <c r="Q9962" i="1"/>
  <c r="Q9961" i="1"/>
  <c r="Q9960" i="1"/>
  <c r="Q9959" i="1"/>
  <c r="Q9958" i="1"/>
  <c r="Q9957" i="1"/>
  <c r="Q9956" i="1"/>
  <c r="Q9955" i="1"/>
  <c r="Q9954" i="1"/>
  <c r="Q9953" i="1"/>
  <c r="Q9952" i="1"/>
  <c r="Q9951" i="1"/>
  <c r="Q9950" i="1"/>
  <c r="Q9949" i="1"/>
  <c r="Q9948" i="1"/>
  <c r="Q9947" i="1"/>
  <c r="Q9946" i="1"/>
  <c r="Q9945" i="1"/>
  <c r="Q9944" i="1"/>
  <c r="Q9943" i="1"/>
  <c r="Q9942" i="1"/>
  <c r="Q9941" i="1"/>
  <c r="Q9940" i="1"/>
  <c r="Q9939" i="1"/>
  <c r="Q9938" i="1"/>
  <c r="Q9937" i="1"/>
  <c r="Q9936" i="1"/>
  <c r="Q9935" i="1"/>
  <c r="Q9934" i="1"/>
  <c r="Q9933" i="1"/>
  <c r="Q9932" i="1"/>
  <c r="Q9931" i="1"/>
  <c r="Q9930" i="1"/>
  <c r="Q9929" i="1"/>
  <c r="Q9928" i="1"/>
  <c r="Q9927" i="1"/>
  <c r="Q9926" i="1"/>
  <c r="Q9925" i="1"/>
  <c r="Q9924" i="1"/>
  <c r="Q9923" i="1"/>
  <c r="Q9922" i="1"/>
  <c r="Q9921" i="1"/>
  <c r="Q9920" i="1"/>
  <c r="Q9919" i="1"/>
  <c r="Q9918" i="1"/>
  <c r="Q9917" i="1"/>
  <c r="Q9916" i="1"/>
  <c r="Q9915" i="1"/>
  <c r="Q9914" i="1"/>
  <c r="Q9913" i="1"/>
  <c r="Q9912" i="1"/>
  <c r="Q9911" i="1"/>
  <c r="Q9910" i="1"/>
  <c r="Q9909" i="1"/>
  <c r="Q9908" i="1"/>
  <c r="Q9907" i="1"/>
  <c r="Q9906" i="1"/>
  <c r="Q9905" i="1"/>
  <c r="Q9904" i="1"/>
  <c r="Q9903" i="1"/>
  <c r="Q9902" i="1"/>
  <c r="Q9901" i="1"/>
  <c r="Q9900" i="1"/>
  <c r="Q9899" i="1"/>
  <c r="Q9898" i="1"/>
  <c r="Q9897" i="1"/>
  <c r="Q9896" i="1"/>
  <c r="Q9895" i="1"/>
  <c r="Q9894" i="1"/>
  <c r="Q9893" i="1"/>
  <c r="Q9892" i="1"/>
  <c r="Q9891" i="1"/>
  <c r="Q9890" i="1"/>
  <c r="Q9889" i="1"/>
  <c r="Q9888" i="1"/>
  <c r="Q9887" i="1"/>
  <c r="Q9886" i="1"/>
  <c r="Q9885" i="1"/>
  <c r="Q9884" i="1"/>
  <c r="Q9883" i="1"/>
  <c r="Q9882" i="1"/>
  <c r="Q9881" i="1"/>
  <c r="Q9880" i="1"/>
  <c r="Q9879" i="1"/>
  <c r="Q9878" i="1"/>
  <c r="Q9877" i="1"/>
  <c r="Q9876" i="1"/>
  <c r="Q9875" i="1"/>
  <c r="Q9874" i="1"/>
  <c r="Q9873" i="1"/>
  <c r="Q9872" i="1"/>
  <c r="Q9871" i="1"/>
  <c r="Q9870" i="1"/>
  <c r="Q9869" i="1"/>
  <c r="Q9868" i="1"/>
  <c r="Q9867" i="1"/>
  <c r="Q9866" i="1"/>
  <c r="Q9865" i="1"/>
  <c r="Q9864" i="1"/>
  <c r="Q9863" i="1"/>
  <c r="Q9862" i="1"/>
  <c r="Q9861" i="1"/>
  <c r="Q9860" i="1"/>
  <c r="Q9859" i="1"/>
  <c r="Q9858" i="1"/>
  <c r="Q9857" i="1"/>
  <c r="Q9856" i="1"/>
  <c r="Q9855" i="1"/>
  <c r="Q9854" i="1"/>
  <c r="Q9853" i="1"/>
  <c r="Q9852" i="1"/>
  <c r="Q9851" i="1"/>
  <c r="Q9850" i="1"/>
  <c r="Q9849" i="1"/>
  <c r="Q9848" i="1"/>
  <c r="Q9847" i="1"/>
  <c r="Q9846" i="1"/>
  <c r="Q9845" i="1"/>
  <c r="Q9844" i="1"/>
  <c r="Q9843" i="1"/>
  <c r="Q9842" i="1"/>
  <c r="Q9841" i="1"/>
  <c r="Q9840" i="1"/>
  <c r="Q9839" i="1"/>
  <c r="Q9838" i="1"/>
  <c r="Q9837" i="1"/>
  <c r="Q9836" i="1"/>
  <c r="Q9835" i="1"/>
  <c r="Q9834" i="1"/>
  <c r="Q9833" i="1"/>
  <c r="Q9832" i="1"/>
  <c r="Q9831" i="1"/>
  <c r="Q9830" i="1"/>
  <c r="Q9829" i="1"/>
  <c r="Q9828" i="1"/>
  <c r="Q9827" i="1"/>
  <c r="Q9826" i="1"/>
  <c r="Q9825" i="1"/>
  <c r="Q9824" i="1"/>
  <c r="Q9823" i="1"/>
  <c r="Q9822" i="1"/>
  <c r="Q9821" i="1"/>
  <c r="Q9820" i="1"/>
  <c r="Q9819" i="1"/>
  <c r="Q9818" i="1"/>
  <c r="Q9817" i="1"/>
  <c r="Q9816" i="1"/>
  <c r="Q9815" i="1"/>
  <c r="Q9814" i="1"/>
  <c r="Q9813" i="1"/>
  <c r="Q9812" i="1"/>
  <c r="Q9811" i="1"/>
  <c r="Q9810" i="1"/>
  <c r="Q9809" i="1"/>
  <c r="Q9808" i="1"/>
  <c r="Q9807" i="1"/>
  <c r="Q9806" i="1"/>
  <c r="Q9805" i="1"/>
  <c r="Q9804" i="1"/>
  <c r="Q9803" i="1"/>
  <c r="Q9802" i="1"/>
  <c r="Q9801" i="1"/>
  <c r="Q9800" i="1"/>
  <c r="Q9799" i="1"/>
  <c r="Q9798" i="1"/>
  <c r="Q9797" i="1"/>
  <c r="Q9796" i="1"/>
  <c r="Q9795" i="1"/>
  <c r="Q9794" i="1"/>
  <c r="Q9793" i="1"/>
  <c r="Q9792" i="1"/>
  <c r="Q9791" i="1"/>
  <c r="Q9790" i="1"/>
  <c r="Q9789" i="1"/>
  <c r="Q9788" i="1"/>
  <c r="Q9787" i="1"/>
  <c r="Q9786" i="1"/>
  <c r="Q9785" i="1"/>
  <c r="Q9784" i="1"/>
  <c r="Q9783" i="1"/>
  <c r="Q9782" i="1"/>
  <c r="Q9781" i="1"/>
  <c r="Q9780" i="1"/>
  <c r="Q9779" i="1"/>
  <c r="Q9778" i="1"/>
  <c r="Q9777" i="1"/>
  <c r="Q9776" i="1"/>
  <c r="Q9775" i="1"/>
  <c r="Q9774" i="1"/>
  <c r="Q9773" i="1"/>
  <c r="Q9772" i="1"/>
  <c r="Q9771" i="1"/>
  <c r="Q9770" i="1"/>
  <c r="Q9769" i="1"/>
  <c r="Q9768" i="1"/>
  <c r="Q9767" i="1"/>
  <c r="Q9766" i="1"/>
  <c r="Q9765" i="1"/>
  <c r="Q9764" i="1"/>
  <c r="Q9763" i="1"/>
  <c r="Q9762" i="1"/>
  <c r="Q9761" i="1"/>
  <c r="Q9760" i="1"/>
  <c r="Q9759" i="1"/>
  <c r="Q9758" i="1"/>
  <c r="Q9757" i="1"/>
  <c r="Q9756" i="1"/>
  <c r="Q9755" i="1"/>
  <c r="Q9754" i="1"/>
  <c r="Q9753" i="1"/>
  <c r="Q9752" i="1"/>
  <c r="Q9751" i="1"/>
  <c r="Q9750" i="1"/>
  <c r="Q9749" i="1"/>
  <c r="Q9748" i="1"/>
  <c r="Q9747" i="1"/>
  <c r="Q9746" i="1"/>
  <c r="Q9745" i="1"/>
  <c r="Q9744" i="1"/>
  <c r="Q9743" i="1"/>
  <c r="Q9742" i="1"/>
  <c r="Q9741" i="1"/>
  <c r="Q9740" i="1"/>
  <c r="Q9739" i="1"/>
  <c r="Q9738" i="1"/>
  <c r="Q9737" i="1"/>
  <c r="Q9736" i="1"/>
  <c r="Q9735" i="1"/>
  <c r="Q9734" i="1"/>
  <c r="Q9733" i="1"/>
  <c r="Q9732" i="1"/>
  <c r="Q9731" i="1"/>
  <c r="Q9730" i="1"/>
  <c r="Q9729" i="1"/>
  <c r="Q9728" i="1"/>
  <c r="Q9727" i="1"/>
  <c r="Q9726" i="1"/>
  <c r="Q9725" i="1"/>
  <c r="Q9724" i="1"/>
  <c r="Q9723" i="1"/>
  <c r="Q9722" i="1"/>
  <c r="Q9721" i="1"/>
  <c r="Q9720" i="1"/>
  <c r="Q9719" i="1"/>
  <c r="Q9718" i="1"/>
  <c r="Q9717" i="1"/>
  <c r="Q9716" i="1"/>
  <c r="Q9715" i="1" l="1"/>
  <c r="AH9715" i="1"/>
  <c r="Q9714" i="1"/>
  <c r="AH9714" i="1"/>
  <c r="Q9713" i="1"/>
  <c r="AH9713" i="1"/>
  <c r="Q9712" i="1"/>
  <c r="AH9712" i="1"/>
  <c r="Q9711" i="1"/>
  <c r="AH9711" i="1"/>
  <c r="Q9710" i="1"/>
  <c r="AH9710" i="1"/>
  <c r="Q9709" i="1"/>
  <c r="AH9709" i="1"/>
  <c r="Q9708" i="1"/>
  <c r="AH9708" i="1"/>
  <c r="Q9707" i="1"/>
  <c r="AH9707" i="1"/>
  <c r="Q9706" i="1"/>
  <c r="AH9706" i="1"/>
  <c r="Q9705" i="1"/>
  <c r="AH9705" i="1"/>
  <c r="Q9704" i="1"/>
  <c r="AH9704" i="1"/>
  <c r="Q9703" i="1"/>
  <c r="AH9703" i="1"/>
  <c r="Q9702" i="1"/>
  <c r="AH9702" i="1"/>
  <c r="Q9701" i="1"/>
  <c r="AH9701" i="1"/>
  <c r="Q9700" i="1"/>
  <c r="AH9700" i="1"/>
  <c r="Q9699" i="1"/>
  <c r="AH9699" i="1"/>
  <c r="Q9698" i="1"/>
  <c r="AH9698" i="1"/>
  <c r="Q9697" i="1"/>
  <c r="AH9697" i="1"/>
  <c r="Q9696" i="1"/>
  <c r="AH9696" i="1"/>
  <c r="Q9695" i="1"/>
  <c r="AH9695" i="1"/>
  <c r="Q9694" i="1"/>
  <c r="AH9694" i="1"/>
  <c r="Q9693" i="1"/>
  <c r="AH9693" i="1"/>
  <c r="Q9692" i="1"/>
  <c r="AH9692" i="1"/>
  <c r="Q9691" i="1"/>
  <c r="AH9691" i="1"/>
  <c r="Q9690" i="1"/>
  <c r="AH9690" i="1"/>
  <c r="Q9689" i="1"/>
  <c r="AH9689" i="1"/>
  <c r="Q9688" i="1"/>
  <c r="AH9688" i="1"/>
  <c r="Q9687" i="1"/>
  <c r="AH9687" i="1"/>
  <c r="Q9686" i="1"/>
  <c r="AH9686" i="1"/>
  <c r="Q9685" i="1"/>
  <c r="AH9685" i="1"/>
  <c r="Q9684" i="1"/>
  <c r="AH9684" i="1"/>
  <c r="Q9683" i="1"/>
  <c r="AH9683" i="1"/>
  <c r="Q9682" i="1"/>
  <c r="AH9682" i="1"/>
  <c r="Q9681" i="1"/>
  <c r="AH9681" i="1"/>
  <c r="Q9680" i="1"/>
  <c r="AH9680" i="1"/>
  <c r="Q9679" i="1"/>
  <c r="AH9679" i="1"/>
  <c r="Q9678" i="1"/>
  <c r="AH9678" i="1"/>
  <c r="Q9677" i="1"/>
  <c r="AH9677" i="1"/>
  <c r="Q9676" i="1"/>
  <c r="AH9676" i="1"/>
  <c r="Q9675" i="1"/>
  <c r="AH9675" i="1"/>
  <c r="Q9674" i="1"/>
  <c r="AH9674" i="1"/>
  <c r="Q9673" i="1"/>
  <c r="AH9673" i="1"/>
  <c r="Q9672" i="1"/>
  <c r="AH9672" i="1"/>
  <c r="Q9671" i="1"/>
  <c r="AH9671" i="1"/>
  <c r="Q9670" i="1"/>
  <c r="AH9670" i="1"/>
  <c r="Q9669" i="1"/>
  <c r="AH9669" i="1"/>
  <c r="Q9668" i="1"/>
  <c r="AH9668" i="1"/>
  <c r="Q9667" i="1"/>
  <c r="AH9667" i="1"/>
  <c r="Q9666" i="1"/>
  <c r="AH9666" i="1"/>
  <c r="Q9665" i="1"/>
  <c r="AH9665" i="1"/>
  <c r="Q9664" i="1"/>
  <c r="AH9664" i="1"/>
  <c r="Q9663" i="1"/>
  <c r="AH9663" i="1"/>
  <c r="Q9662" i="1"/>
  <c r="AH9662" i="1"/>
  <c r="Q9661" i="1"/>
  <c r="AH9661" i="1"/>
  <c r="Q9660" i="1"/>
  <c r="AH9660" i="1"/>
  <c r="Q9659" i="1"/>
  <c r="AH9659" i="1"/>
  <c r="Q9658" i="1"/>
  <c r="AH9658" i="1"/>
  <c r="Q9657" i="1"/>
  <c r="AH9657" i="1"/>
  <c r="Q9656" i="1"/>
  <c r="AH9656" i="1"/>
  <c r="Q9655" i="1"/>
  <c r="AH9655" i="1"/>
  <c r="Q9654" i="1"/>
  <c r="AH9654" i="1"/>
  <c r="Q9653" i="1"/>
  <c r="AH9653" i="1"/>
  <c r="Q9652" i="1"/>
  <c r="AH9652" i="1"/>
  <c r="Q9651" i="1"/>
  <c r="AH9651" i="1"/>
  <c r="Q9650" i="1"/>
  <c r="AH9650" i="1"/>
  <c r="Q9649" i="1"/>
  <c r="AH9649" i="1"/>
  <c r="Q9648" i="1"/>
  <c r="AH9648" i="1"/>
  <c r="Q9647" i="1"/>
  <c r="AH9647" i="1"/>
  <c r="Q9646" i="1"/>
  <c r="AH9646" i="1"/>
  <c r="Q9645" i="1"/>
  <c r="AH9645" i="1"/>
  <c r="Q9644" i="1"/>
  <c r="AH9644" i="1"/>
  <c r="Q9643" i="1"/>
  <c r="AH9643" i="1"/>
  <c r="Q9642" i="1"/>
  <c r="AH9642" i="1"/>
  <c r="Q9641" i="1"/>
  <c r="AH9641" i="1"/>
  <c r="Q9640" i="1"/>
  <c r="AH9640" i="1"/>
  <c r="Q9639" i="1"/>
  <c r="AH9639" i="1"/>
  <c r="Q9638" i="1"/>
  <c r="AH9638" i="1"/>
  <c r="Q9637" i="1"/>
  <c r="AH9637" i="1"/>
  <c r="Q9636" i="1"/>
  <c r="AH9636" i="1"/>
  <c r="Q9635" i="1"/>
  <c r="AH9635" i="1"/>
  <c r="Q9634" i="1"/>
  <c r="AH9634" i="1"/>
  <c r="Q9633" i="1"/>
  <c r="AH9633" i="1"/>
  <c r="Q9632" i="1"/>
  <c r="AH9632" i="1"/>
  <c r="Q9631" i="1"/>
  <c r="AH9631" i="1"/>
  <c r="Q9630" i="1"/>
  <c r="AH9630" i="1"/>
  <c r="Q9629" i="1"/>
  <c r="AH9629" i="1"/>
  <c r="Q9628" i="1"/>
  <c r="AH9628" i="1"/>
  <c r="Q9627" i="1"/>
  <c r="AH9627" i="1"/>
  <c r="Q9626" i="1"/>
  <c r="AH9626" i="1"/>
  <c r="Q9625" i="1"/>
  <c r="AH9625" i="1"/>
  <c r="Q9624" i="1"/>
  <c r="AH9624" i="1"/>
  <c r="Q9623" i="1"/>
  <c r="AH9623" i="1"/>
  <c r="Q9622" i="1"/>
  <c r="AH9622" i="1"/>
  <c r="Q9621" i="1"/>
  <c r="AH9621" i="1"/>
  <c r="Q9620" i="1"/>
  <c r="AH9620" i="1"/>
  <c r="Q9619" i="1"/>
  <c r="AH9619" i="1"/>
  <c r="Q9618" i="1"/>
  <c r="AH9618" i="1"/>
  <c r="Q9617" i="1"/>
  <c r="AH9617" i="1"/>
  <c r="Q9616" i="1"/>
  <c r="AH9616" i="1"/>
  <c r="Q9615" i="1"/>
  <c r="AH9615" i="1"/>
  <c r="Q9614" i="1"/>
  <c r="AH9614" i="1"/>
  <c r="Q9613" i="1"/>
  <c r="AH9613" i="1"/>
  <c r="Q9612" i="1"/>
  <c r="AH9612" i="1"/>
  <c r="Q9611" i="1"/>
  <c r="AH9611" i="1"/>
  <c r="Q9610" i="1"/>
  <c r="AH9610" i="1"/>
  <c r="Q9609" i="1"/>
  <c r="AH9609" i="1"/>
  <c r="Q9608" i="1"/>
  <c r="AH9608" i="1"/>
  <c r="Q9607" i="1"/>
  <c r="AH9607" i="1"/>
  <c r="Q9606" i="1"/>
  <c r="AH9606" i="1"/>
  <c r="Q9605" i="1"/>
  <c r="AH9605" i="1"/>
  <c r="Q9604" i="1"/>
  <c r="AH9604" i="1"/>
  <c r="Q9603" i="1"/>
  <c r="AH9603" i="1"/>
  <c r="Q9602" i="1"/>
  <c r="AH9602" i="1"/>
  <c r="Q9601" i="1"/>
  <c r="AH9601" i="1"/>
  <c r="Q9600" i="1"/>
  <c r="AH9600" i="1"/>
  <c r="Q9599" i="1"/>
  <c r="AH9599" i="1"/>
  <c r="Q9598" i="1"/>
  <c r="AH9598" i="1"/>
  <c r="Q9597" i="1"/>
  <c r="AH9597" i="1"/>
  <c r="Q9596" i="1"/>
  <c r="AH9596" i="1"/>
  <c r="Q9595" i="1"/>
  <c r="AH9595" i="1"/>
  <c r="Q9594" i="1"/>
  <c r="AH9594" i="1"/>
  <c r="Q9593" i="1"/>
  <c r="AH9593" i="1"/>
  <c r="Q9592" i="1"/>
  <c r="AH9592" i="1"/>
  <c r="Q9591" i="1"/>
  <c r="AH9591" i="1"/>
  <c r="Q9590" i="1"/>
  <c r="AH9590" i="1"/>
  <c r="Q9589" i="1"/>
  <c r="AH9589" i="1"/>
  <c r="Q9588" i="1"/>
  <c r="AH9588" i="1"/>
  <c r="Q9587" i="1"/>
  <c r="AH9587" i="1"/>
  <c r="Q9586" i="1"/>
  <c r="AH9586" i="1"/>
  <c r="Q9585" i="1"/>
  <c r="AH9585" i="1"/>
  <c r="Q9584" i="1"/>
  <c r="AH9584" i="1"/>
  <c r="O9714" i="1"/>
  <c r="O9713" i="1"/>
  <c r="O9712" i="1"/>
  <c r="O9709" i="1"/>
  <c r="O9708" i="1"/>
  <c r="O9705" i="1"/>
  <c r="O9702" i="1"/>
  <c r="O9701" i="1"/>
  <c r="O9698" i="1"/>
  <c r="O9695" i="1"/>
  <c r="O9693" i="1"/>
  <c r="O9692" i="1"/>
  <c r="O9689" i="1"/>
  <c r="O9687" i="1"/>
  <c r="O9682" i="1"/>
  <c r="O9679" i="1"/>
  <c r="O9676" i="1"/>
  <c r="O9674" i="1"/>
  <c r="O9673" i="1"/>
  <c r="O9672" i="1"/>
  <c r="O9671" i="1"/>
  <c r="O9670" i="1"/>
  <c r="O9669" i="1"/>
  <c r="O9661" i="1"/>
  <c r="O9660" i="1"/>
  <c r="O9659" i="1"/>
  <c r="O9654" i="1"/>
  <c r="O9648" i="1"/>
  <c r="O9647" i="1"/>
  <c r="O9644" i="1"/>
  <c r="O9642" i="1"/>
  <c r="O9636" i="1"/>
  <c r="O9635" i="1"/>
  <c r="O9634" i="1"/>
  <c r="O9632" i="1"/>
  <c r="O9629" i="1"/>
  <c r="O9625" i="1"/>
  <c r="O9624" i="1"/>
  <c r="O9618" i="1"/>
  <c r="O9617" i="1"/>
  <c r="O9616" i="1"/>
  <c r="O9615" i="1"/>
  <c r="O9614" i="1"/>
  <c r="O9613" i="1"/>
  <c r="O9605" i="1"/>
  <c r="O9604" i="1"/>
  <c r="O9601" i="1"/>
  <c r="O9600" i="1"/>
  <c r="O9598" i="1"/>
  <c r="O9596" i="1"/>
  <c r="O9589" i="1"/>
  <c r="O9588" i="1"/>
  <c r="O9587" i="1"/>
  <c r="O9586" i="1"/>
  <c r="O9584" i="1"/>
  <c r="Q9560" i="1" l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O9581" i="1"/>
  <c r="O9580" i="1"/>
  <c r="O9578" i="1"/>
  <c r="O9577" i="1"/>
  <c r="O9576" i="1"/>
  <c r="O9575" i="1"/>
  <c r="O9574" i="1"/>
  <c r="O9573" i="1"/>
  <c r="O9572" i="1"/>
  <c r="O9571" i="1"/>
  <c r="O9570" i="1"/>
  <c r="O9569" i="1"/>
  <c r="O9568" i="1"/>
  <c r="O9566" i="1"/>
  <c r="O9565" i="1"/>
  <c r="O9563" i="1"/>
  <c r="O9562" i="1"/>
  <c r="O9560" i="1"/>
  <c r="O9559" i="1"/>
  <c r="O9558" i="1"/>
  <c r="O9557" i="1"/>
  <c r="O9554" i="1"/>
  <c r="AH9553" i="1"/>
  <c r="AH9554" i="1"/>
  <c r="AH9555" i="1"/>
  <c r="AH9556" i="1"/>
  <c r="AH9557" i="1"/>
  <c r="AH9558" i="1"/>
  <c r="AH9559" i="1"/>
  <c r="AH9560" i="1"/>
  <c r="AH9561" i="1"/>
  <c r="AH9562" i="1"/>
  <c r="AH9563" i="1"/>
  <c r="AH9564" i="1"/>
  <c r="AH9565" i="1"/>
  <c r="AH9566" i="1"/>
  <c r="AH9567" i="1"/>
  <c r="AH9568" i="1"/>
  <c r="AH9569" i="1"/>
  <c r="AH9570" i="1"/>
  <c r="AH9571" i="1"/>
  <c r="AH9572" i="1"/>
  <c r="AH9573" i="1"/>
  <c r="AH9574" i="1"/>
  <c r="AH9575" i="1"/>
  <c r="AH9576" i="1"/>
  <c r="AH9577" i="1"/>
  <c r="AH9578" i="1"/>
  <c r="AH9579" i="1"/>
  <c r="AH9580" i="1"/>
  <c r="AH9581" i="1"/>
  <c r="AH9582" i="1"/>
  <c r="AH9583" i="1"/>
  <c r="AH9547" i="1"/>
  <c r="AH9548" i="1"/>
  <c r="AH9549" i="1"/>
  <c r="AH9550" i="1"/>
  <c r="AH9551" i="1"/>
  <c r="AH9552" i="1"/>
  <c r="Q9559" i="1"/>
  <c r="Q9558" i="1"/>
  <c r="Q9557" i="1"/>
  <c r="Q9556" i="1"/>
  <c r="Q9555" i="1"/>
  <c r="Q9554" i="1"/>
  <c r="Q9553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O9552" i="1"/>
  <c r="O9551" i="1"/>
  <c r="O9549" i="1"/>
  <c r="O9547" i="1"/>
  <c r="O9544" i="1"/>
  <c r="O9539" i="1"/>
  <c r="O9538" i="1"/>
  <c r="O9536" i="1"/>
  <c r="O9535" i="1"/>
  <c r="O9528" i="1"/>
  <c r="O9527" i="1"/>
  <c r="O9526" i="1"/>
  <c r="O9525" i="1"/>
  <c r="O9523" i="1"/>
  <c r="O9521" i="1"/>
  <c r="O9519" i="1"/>
  <c r="O9517" i="1"/>
  <c r="O9516" i="1"/>
  <c r="O9515" i="1"/>
  <c r="O9514" i="1"/>
  <c r="O9510" i="1"/>
  <c r="O9509" i="1"/>
  <c r="O9507" i="1"/>
  <c r="O9505" i="1"/>
  <c r="O9504" i="1"/>
  <c r="O9499" i="1"/>
  <c r="AH9495" i="1"/>
  <c r="AH9496" i="1"/>
  <c r="AH9497" i="1"/>
  <c r="AH9498" i="1"/>
  <c r="AH9499" i="1"/>
  <c r="AH9500" i="1"/>
  <c r="AH9501" i="1"/>
  <c r="AH9502" i="1"/>
  <c r="AH9503" i="1"/>
  <c r="AH9504" i="1"/>
  <c r="AH9505" i="1"/>
  <c r="AH9506" i="1"/>
  <c r="AH9507" i="1"/>
  <c r="AH9508" i="1"/>
  <c r="AH9509" i="1"/>
  <c r="AH9510" i="1"/>
  <c r="AH9511" i="1"/>
  <c r="AH9512" i="1"/>
  <c r="AH9513" i="1"/>
  <c r="AH9514" i="1"/>
  <c r="AH9515" i="1"/>
  <c r="AH9516" i="1"/>
  <c r="AH9517" i="1"/>
  <c r="AH9518" i="1"/>
  <c r="AH9519" i="1"/>
  <c r="AH9520" i="1"/>
  <c r="AH9521" i="1"/>
  <c r="AH9522" i="1"/>
  <c r="AH9523" i="1"/>
  <c r="AH9524" i="1"/>
  <c r="AH9525" i="1"/>
  <c r="AH9526" i="1"/>
  <c r="AH9527" i="1"/>
  <c r="AH9528" i="1"/>
  <c r="AH9529" i="1"/>
  <c r="AH9530" i="1"/>
  <c r="AH9531" i="1"/>
  <c r="AH9532" i="1"/>
  <c r="AH9533" i="1"/>
  <c r="AH9534" i="1"/>
  <c r="AH9535" i="1"/>
  <c r="AH9536" i="1"/>
  <c r="AH9537" i="1"/>
  <c r="AH9538" i="1"/>
  <c r="AH9539" i="1"/>
  <c r="AH9540" i="1"/>
  <c r="AH9541" i="1"/>
  <c r="AH9542" i="1"/>
  <c r="AH9543" i="1"/>
  <c r="AH9544" i="1"/>
  <c r="AH9545" i="1"/>
  <c r="AH9546" i="1"/>
  <c r="AH9461" i="1"/>
  <c r="AH9462" i="1"/>
  <c r="AH9463" i="1"/>
  <c r="AH9464" i="1"/>
  <c r="AH9465" i="1"/>
  <c r="AH9466" i="1"/>
  <c r="AH9467" i="1"/>
  <c r="AH9468" i="1"/>
  <c r="AH9469" i="1"/>
  <c r="AH9470" i="1"/>
  <c r="AH9471" i="1"/>
  <c r="AH9472" i="1"/>
  <c r="AH9473" i="1"/>
  <c r="AH9474" i="1"/>
  <c r="AH9475" i="1"/>
  <c r="AH9476" i="1"/>
  <c r="AH9477" i="1"/>
  <c r="AH9478" i="1"/>
  <c r="AH9479" i="1"/>
  <c r="AH9480" i="1"/>
  <c r="AH9481" i="1"/>
  <c r="AH9482" i="1"/>
  <c r="AH9483" i="1"/>
  <c r="AH9484" i="1"/>
  <c r="AH9485" i="1"/>
  <c r="AH9486" i="1"/>
  <c r="AH9487" i="1"/>
  <c r="AH9488" i="1"/>
  <c r="AH9489" i="1"/>
  <c r="AH9490" i="1"/>
  <c r="AH9491" i="1"/>
  <c r="AH9492" i="1"/>
  <c r="AH9493" i="1"/>
  <c r="AH9494" i="1"/>
  <c r="O9498" i="1"/>
  <c r="O9496" i="1"/>
  <c r="O9495" i="1"/>
  <c r="O9494" i="1"/>
  <c r="O9493" i="1"/>
  <c r="O9492" i="1"/>
  <c r="O9491" i="1"/>
  <c r="O9490" i="1"/>
  <c r="O9489" i="1"/>
  <c r="O9488" i="1"/>
  <c r="O9485" i="1"/>
  <c r="O9484" i="1"/>
  <c r="O9481" i="1"/>
  <c r="O9479" i="1"/>
  <c r="O9478" i="1"/>
  <c r="O9475" i="1"/>
  <c r="O9474" i="1"/>
  <c r="O9473" i="1"/>
  <c r="O9472" i="1"/>
  <c r="O9471" i="1"/>
  <c r="O9469" i="1"/>
  <c r="O9468" i="1"/>
  <c r="O9467" i="1"/>
  <c r="O9465" i="1"/>
  <c r="O9463" i="1"/>
  <c r="O9462" i="1"/>
  <c r="AH9460" i="1" l="1"/>
  <c r="O9460" i="1"/>
  <c r="AH9459" i="1"/>
  <c r="O9459" i="1"/>
  <c r="AH9458" i="1"/>
  <c r="O9458" i="1"/>
  <c r="AH9457" i="1"/>
  <c r="O9457" i="1"/>
  <c r="AH9456" i="1"/>
  <c r="O9456" i="1"/>
  <c r="AH9455" i="1"/>
  <c r="Q9455" i="1"/>
  <c r="O9455" i="1"/>
  <c r="AH9454" i="1"/>
  <c r="Q9454" i="1"/>
  <c r="O9454" i="1"/>
  <c r="AH9453" i="1"/>
  <c r="Q9453" i="1"/>
  <c r="O9453" i="1"/>
  <c r="AH9452" i="1"/>
  <c r="Q9452" i="1"/>
  <c r="O9452" i="1"/>
  <c r="AH9451" i="1"/>
  <c r="Q9451" i="1"/>
  <c r="O9451" i="1"/>
  <c r="AH9450" i="1"/>
  <c r="Q9450" i="1"/>
  <c r="O9450" i="1"/>
  <c r="AH9449" i="1"/>
  <c r="Q9449" i="1"/>
  <c r="O9449" i="1"/>
  <c r="AH9448" i="1"/>
  <c r="Q9448" i="1"/>
  <c r="O9448" i="1"/>
  <c r="AH9447" i="1"/>
  <c r="Q9447" i="1"/>
  <c r="O9447" i="1"/>
  <c r="AH9446" i="1"/>
  <c r="Q9446" i="1"/>
  <c r="O9446" i="1"/>
  <c r="AH9445" i="1"/>
  <c r="Q9445" i="1"/>
  <c r="O9445" i="1"/>
  <c r="AH9444" i="1"/>
  <c r="Q9444" i="1"/>
  <c r="O9444" i="1"/>
  <c r="AH9443" i="1"/>
  <c r="Q9443" i="1"/>
  <c r="AH9442" i="1"/>
  <c r="Q9442" i="1"/>
  <c r="O9442" i="1"/>
  <c r="AH9441" i="1"/>
  <c r="Q9441" i="1"/>
  <c r="O9441" i="1"/>
  <c r="AH9440" i="1"/>
  <c r="Q9440" i="1"/>
  <c r="O9440" i="1"/>
  <c r="AH9439" i="1"/>
  <c r="Q9439" i="1"/>
  <c r="O9439" i="1"/>
  <c r="AH9438" i="1"/>
  <c r="Q9438" i="1"/>
  <c r="O9438" i="1"/>
  <c r="AH9437" i="1"/>
  <c r="Q9437" i="1"/>
  <c r="O9437" i="1"/>
  <c r="AH9436" i="1"/>
  <c r="Q9436" i="1"/>
  <c r="O9436" i="1"/>
  <c r="AH9435" i="1"/>
  <c r="Q9435" i="1"/>
  <c r="O9435" i="1"/>
  <c r="AH9434" i="1"/>
  <c r="Q9434" i="1"/>
  <c r="O9434" i="1"/>
  <c r="AH9433" i="1"/>
  <c r="Q9433" i="1"/>
  <c r="O9433" i="1"/>
  <c r="AH9432" i="1"/>
  <c r="Q9432" i="1"/>
  <c r="AH9431" i="1"/>
  <c r="Q9431" i="1"/>
  <c r="AH9430" i="1"/>
  <c r="Q9430" i="1"/>
  <c r="O9430" i="1"/>
  <c r="AH9429" i="1"/>
  <c r="Q9429" i="1"/>
  <c r="AH9428" i="1"/>
  <c r="Q9428" i="1"/>
  <c r="O9428" i="1"/>
  <c r="AH9427" i="1"/>
  <c r="Q9427" i="1"/>
  <c r="O9427" i="1"/>
  <c r="AH9426" i="1"/>
  <c r="Q9426" i="1"/>
  <c r="O9426" i="1"/>
  <c r="AH9425" i="1"/>
  <c r="Q9425" i="1"/>
  <c r="AH9424" i="1"/>
  <c r="Q9424" i="1"/>
  <c r="AH9423" i="1"/>
  <c r="Q9423" i="1"/>
  <c r="O9423" i="1"/>
  <c r="AH9422" i="1"/>
  <c r="Q9422" i="1"/>
  <c r="O9422" i="1"/>
  <c r="AH9421" i="1"/>
  <c r="Q9421" i="1"/>
  <c r="O9421" i="1"/>
  <c r="AH9420" i="1"/>
  <c r="Q9420" i="1"/>
  <c r="O9420" i="1"/>
  <c r="AH9419" i="1"/>
  <c r="Q9419" i="1"/>
  <c r="O9419" i="1"/>
  <c r="AH9418" i="1"/>
  <c r="Q9418" i="1"/>
  <c r="O9418" i="1"/>
  <c r="AH9417" i="1"/>
  <c r="Q9417" i="1"/>
  <c r="O9417" i="1"/>
  <c r="AH9416" i="1"/>
  <c r="Q9416" i="1"/>
  <c r="O9416" i="1"/>
  <c r="AH9415" i="1"/>
  <c r="Q9415" i="1"/>
  <c r="AH9414" i="1"/>
  <c r="Q9414" i="1"/>
  <c r="O9414" i="1"/>
  <c r="AH9413" i="1"/>
  <c r="Q9413" i="1"/>
  <c r="O9413" i="1"/>
  <c r="AH9412" i="1"/>
  <c r="Q9412" i="1"/>
  <c r="O9412" i="1"/>
  <c r="AH9411" i="1"/>
  <c r="Q9411" i="1"/>
  <c r="O9411" i="1"/>
  <c r="AH9410" i="1"/>
  <c r="Q9410" i="1"/>
  <c r="O9410" i="1"/>
  <c r="AH9409" i="1"/>
  <c r="Q9409" i="1"/>
  <c r="O9409" i="1"/>
  <c r="AH9408" i="1"/>
  <c r="Q9408" i="1"/>
  <c r="O9408" i="1"/>
  <c r="AH9407" i="1"/>
  <c r="Q9407" i="1"/>
  <c r="O9407" i="1"/>
  <c r="AH9406" i="1"/>
  <c r="Q9406" i="1"/>
  <c r="O9406" i="1"/>
  <c r="AH9405" i="1"/>
  <c r="Q9405" i="1"/>
  <c r="O9405" i="1"/>
  <c r="AH9404" i="1"/>
  <c r="Q9404" i="1"/>
  <c r="O9404" i="1"/>
  <c r="AH9403" i="1"/>
  <c r="Q9403" i="1"/>
  <c r="O9403" i="1"/>
  <c r="AH9402" i="1"/>
  <c r="Q9402" i="1"/>
  <c r="O9402" i="1"/>
  <c r="AH9401" i="1"/>
  <c r="Q9401" i="1"/>
  <c r="O9401" i="1"/>
  <c r="AH9400" i="1"/>
  <c r="Q9400" i="1"/>
  <c r="O9400" i="1"/>
  <c r="AH9399" i="1"/>
  <c r="Q9399" i="1"/>
  <c r="O9399" i="1"/>
  <c r="AH9398" i="1"/>
  <c r="Q9398" i="1"/>
  <c r="O9398" i="1"/>
  <c r="AH9397" i="1"/>
  <c r="Q9397" i="1"/>
  <c r="O9397" i="1"/>
  <c r="AH9396" i="1"/>
  <c r="Q9396" i="1"/>
  <c r="O9396" i="1"/>
  <c r="AH9395" i="1"/>
  <c r="Q9395" i="1"/>
  <c r="O9395" i="1"/>
  <c r="AH9394" i="1"/>
  <c r="Q9394" i="1"/>
  <c r="O9394" i="1"/>
  <c r="AH9393" i="1"/>
  <c r="Q9393" i="1"/>
  <c r="O9393" i="1"/>
  <c r="AH9392" i="1"/>
  <c r="Q9392" i="1"/>
  <c r="O9392" i="1"/>
  <c r="AH9391" i="1"/>
  <c r="Q9391" i="1"/>
  <c r="AH9390" i="1"/>
  <c r="Q9390" i="1"/>
  <c r="O9390" i="1"/>
  <c r="AH9389" i="1"/>
  <c r="Q9389" i="1"/>
  <c r="O9389" i="1"/>
  <c r="AH9388" i="1"/>
  <c r="Q9388" i="1"/>
  <c r="AH9387" i="1"/>
  <c r="Q9387" i="1"/>
  <c r="O9387" i="1"/>
  <c r="AH9386" i="1"/>
  <c r="Q9386" i="1"/>
  <c r="O9386" i="1"/>
  <c r="AH9385" i="1"/>
  <c r="Q9385" i="1"/>
  <c r="O9385" i="1"/>
  <c r="AH9384" i="1"/>
  <c r="Q9384" i="1"/>
  <c r="O9384" i="1"/>
  <c r="AH9383" i="1"/>
  <c r="Q9383" i="1"/>
  <c r="AH9382" i="1"/>
  <c r="Q9382" i="1"/>
  <c r="O9382" i="1"/>
  <c r="AH9381" i="1"/>
  <c r="Q9381" i="1"/>
  <c r="O9381" i="1"/>
  <c r="AH9380" i="1"/>
  <c r="Q9380" i="1"/>
  <c r="AH9379" i="1"/>
  <c r="Q9379" i="1"/>
  <c r="AH9378" i="1"/>
  <c r="Q9378" i="1"/>
  <c r="AH9377" i="1"/>
  <c r="Q9377" i="1"/>
  <c r="O9377" i="1"/>
  <c r="AH9376" i="1"/>
  <c r="Q9376" i="1"/>
  <c r="AH9375" i="1"/>
  <c r="Q9375" i="1"/>
  <c r="AH9374" i="1"/>
  <c r="Q9374" i="1"/>
  <c r="AH9373" i="1"/>
  <c r="Q9373" i="1"/>
  <c r="O9373" i="1"/>
  <c r="AH9372" i="1"/>
  <c r="Q9372" i="1"/>
  <c r="O9372" i="1"/>
  <c r="AH9371" i="1"/>
  <c r="Q9371" i="1"/>
  <c r="O9371" i="1"/>
  <c r="AH9370" i="1"/>
  <c r="Q9370" i="1"/>
  <c r="O9370" i="1"/>
  <c r="AH9295" i="1" l="1"/>
  <c r="AH9296" i="1"/>
  <c r="AH9297" i="1"/>
  <c r="AH9298" i="1"/>
  <c r="AH9299" i="1"/>
  <c r="AH9300" i="1"/>
  <c r="AH9301" i="1"/>
  <c r="AH9302" i="1"/>
  <c r="AH9303" i="1"/>
  <c r="AH9304" i="1"/>
  <c r="AH9305" i="1"/>
  <c r="AH9306" i="1"/>
  <c r="AH9307" i="1"/>
  <c r="AH9308" i="1"/>
  <c r="AH9309" i="1"/>
  <c r="AH9310" i="1"/>
  <c r="AH9311" i="1"/>
  <c r="AH9312" i="1"/>
  <c r="AH9313" i="1"/>
  <c r="AH9314" i="1"/>
  <c r="AH9315" i="1"/>
  <c r="AH9316" i="1"/>
  <c r="AH9317" i="1"/>
  <c r="AH9318" i="1"/>
  <c r="AH9319" i="1"/>
  <c r="AH9320" i="1"/>
  <c r="AH9321" i="1"/>
  <c r="AH9322" i="1"/>
  <c r="AH9323" i="1"/>
  <c r="AH9324" i="1"/>
  <c r="AH9325" i="1"/>
  <c r="AH9326" i="1"/>
  <c r="AH9327" i="1"/>
  <c r="AH9328" i="1"/>
  <c r="AH9329" i="1"/>
  <c r="AH9330" i="1"/>
  <c r="AH9331" i="1"/>
  <c r="AH9332" i="1"/>
  <c r="AH9333" i="1"/>
  <c r="AH9334" i="1"/>
  <c r="AH9335" i="1"/>
  <c r="AH9336" i="1"/>
  <c r="AH9337" i="1"/>
  <c r="AH9338" i="1"/>
  <c r="AH9339" i="1"/>
  <c r="AH9340" i="1"/>
  <c r="AH9341" i="1"/>
  <c r="AH9342" i="1"/>
  <c r="AH9343" i="1"/>
  <c r="AH9344" i="1"/>
  <c r="AH9345" i="1"/>
  <c r="AH9346" i="1"/>
  <c r="AH9347" i="1"/>
  <c r="AH9348" i="1"/>
  <c r="AH9349" i="1"/>
  <c r="AH9350" i="1"/>
  <c r="AH9351" i="1"/>
  <c r="AH9352" i="1"/>
  <c r="AH9353" i="1"/>
  <c r="AH9354" i="1"/>
  <c r="AH9355" i="1"/>
  <c r="AH9356" i="1"/>
  <c r="AH9357" i="1"/>
  <c r="AH9358" i="1"/>
  <c r="AH9359" i="1"/>
  <c r="AH9360" i="1"/>
  <c r="AH9361" i="1"/>
  <c r="AH9362" i="1"/>
  <c r="AH9363" i="1"/>
  <c r="AH9364" i="1"/>
  <c r="AH9365" i="1"/>
  <c r="AH9366" i="1"/>
  <c r="AH9367" i="1"/>
  <c r="AH9368" i="1"/>
  <c r="AH9369" i="1"/>
  <c r="AH9294" i="1"/>
  <c r="Q9194" i="1"/>
  <c r="Q9193" i="1"/>
  <c r="Q9192" i="1"/>
  <c r="Q9191" i="1"/>
  <c r="Q9190" i="1"/>
  <c r="Q9189" i="1"/>
  <c r="Q9188" i="1"/>
  <c r="Q9187" i="1"/>
  <c r="Q9186" i="1"/>
  <c r="Q9185" i="1"/>
  <c r="Q9184" i="1"/>
  <c r="Q9183" i="1"/>
  <c r="Q9182" i="1"/>
  <c r="Q9181" i="1"/>
  <c r="Q9180" i="1"/>
  <c r="Q9179" i="1"/>
  <c r="Q9178" i="1"/>
  <c r="Q9177" i="1"/>
  <c r="Q9176" i="1"/>
  <c r="Q9175" i="1"/>
  <c r="Q9174" i="1"/>
  <c r="Q9173" i="1"/>
  <c r="Q9172" i="1"/>
  <c r="Q9171" i="1"/>
  <c r="Q9170" i="1"/>
  <c r="Q9169" i="1"/>
  <c r="Q9168" i="1"/>
  <c r="Q9167" i="1"/>
  <c r="Q9166" i="1"/>
  <c r="Q9165" i="1"/>
  <c r="Q9164" i="1"/>
  <c r="Q9163" i="1"/>
  <c r="Q9162" i="1"/>
  <c r="Q9161" i="1"/>
  <c r="Q9160" i="1"/>
  <c r="Q9159" i="1"/>
  <c r="Q9158" i="1"/>
  <c r="Q9157" i="1"/>
  <c r="Q9156" i="1"/>
  <c r="Q9155" i="1"/>
  <c r="Q9154" i="1"/>
  <c r="Q9153" i="1"/>
  <c r="Q9152" i="1"/>
  <c r="Q9151" i="1"/>
  <c r="Q9150" i="1"/>
  <c r="Q9149" i="1"/>
  <c r="Q9148" i="1"/>
  <c r="Q9147" i="1"/>
  <c r="Q9146" i="1"/>
  <c r="Q9145" i="1"/>
  <c r="Q9144" i="1"/>
  <c r="Q9143" i="1"/>
  <c r="Q9142" i="1"/>
  <c r="Q9141" i="1"/>
  <c r="Q9140" i="1"/>
  <c r="Q9139" i="1"/>
  <c r="Q9138" i="1"/>
  <c r="Q9137" i="1"/>
  <c r="Q9136" i="1"/>
  <c r="Q9135" i="1"/>
  <c r="Q9134" i="1"/>
  <c r="Q9133" i="1"/>
  <c r="Q9132" i="1"/>
  <c r="Q9131" i="1"/>
  <c r="Q9130" i="1"/>
  <c r="Q9129" i="1"/>
  <c r="Q9128" i="1"/>
  <c r="Q9127" i="1"/>
  <c r="Q9126" i="1"/>
  <c r="Q9125" i="1"/>
  <c r="Q9124" i="1"/>
  <c r="Q9123" i="1"/>
  <c r="Q9122" i="1"/>
  <c r="Q9121" i="1"/>
  <c r="Q9120" i="1"/>
  <c r="Q9119" i="1"/>
  <c r="Q9118" i="1"/>
  <c r="Q9117" i="1"/>
  <c r="Q9116" i="1"/>
  <c r="Q9115" i="1"/>
  <c r="Q9114" i="1"/>
  <c r="Q9113" i="1"/>
  <c r="Q9112" i="1"/>
  <c r="Q9111" i="1"/>
  <c r="Q9110" i="1"/>
  <c r="Q9109" i="1"/>
  <c r="Q9108" i="1"/>
  <c r="Q9107" i="1"/>
  <c r="Q9106" i="1"/>
  <c r="Q9105" i="1"/>
  <c r="Q9104" i="1"/>
  <c r="Q9103" i="1"/>
  <c r="Q9102" i="1"/>
  <c r="Q9101" i="1"/>
  <c r="Q9100" i="1"/>
  <c r="Q9099" i="1"/>
  <c r="Q9098" i="1"/>
  <c r="Q9097" i="1"/>
  <c r="Q9096" i="1"/>
  <c r="Q9095" i="1"/>
  <c r="Q9094" i="1"/>
  <c r="Q9093" i="1"/>
  <c r="Q9092" i="1"/>
  <c r="Q9091" i="1"/>
  <c r="Q9090" i="1"/>
  <c r="Q9089" i="1"/>
  <c r="Q9088" i="1"/>
  <c r="Q9087" i="1"/>
  <c r="Q9086" i="1"/>
  <c r="Q9085" i="1"/>
  <c r="Q9084" i="1"/>
  <c r="Q9083" i="1"/>
  <c r="Q9082" i="1"/>
  <c r="Q9081" i="1"/>
  <c r="Q9080" i="1"/>
  <c r="Q9079" i="1"/>
  <c r="Q9078" i="1"/>
  <c r="Q9077" i="1"/>
  <c r="Q9076" i="1"/>
  <c r="Q9075" i="1"/>
  <c r="Q9074" i="1"/>
  <c r="Q9073" i="1"/>
  <c r="Q9072" i="1"/>
  <c r="Q9071" i="1"/>
  <c r="Q9070" i="1"/>
  <c r="Q9069" i="1"/>
  <c r="Q9068" i="1"/>
  <c r="Q9067" i="1"/>
  <c r="Q9066" i="1"/>
  <c r="Q9065" i="1"/>
  <c r="Q9064" i="1"/>
  <c r="Q9063" i="1"/>
  <c r="Q9062" i="1"/>
  <c r="Q9061" i="1"/>
  <c r="Q9060" i="1"/>
  <c r="AH9059" i="1" l="1"/>
  <c r="Q9059" i="1"/>
  <c r="AH9058" i="1"/>
  <c r="Q9058" i="1"/>
  <c r="AH9057" i="1"/>
  <c r="Q9057" i="1"/>
  <c r="O9057" i="1"/>
  <c r="AH9056" i="1"/>
  <c r="Q9056" i="1"/>
  <c r="AH9055" i="1"/>
  <c r="Q9055" i="1"/>
  <c r="O9055" i="1"/>
  <c r="AH9054" i="1"/>
  <c r="Q9054" i="1"/>
  <c r="O9054" i="1"/>
  <c r="AH9053" i="1"/>
  <c r="Q9053" i="1"/>
  <c r="O9053" i="1"/>
  <c r="AH9052" i="1"/>
  <c r="Q9052" i="1"/>
  <c r="O9052" i="1"/>
  <c r="AH9051" i="1"/>
  <c r="Q9051" i="1"/>
  <c r="O9051" i="1"/>
  <c r="AH9050" i="1"/>
  <c r="Q9050" i="1"/>
  <c r="O9050" i="1"/>
  <c r="AH9049" i="1"/>
  <c r="Q9049" i="1"/>
  <c r="O9049" i="1"/>
  <c r="AH9048" i="1"/>
  <c r="Q9048" i="1"/>
  <c r="O9048" i="1"/>
  <c r="AH9047" i="1"/>
  <c r="Q9047" i="1"/>
  <c r="O9047" i="1"/>
  <c r="AH9046" i="1"/>
  <c r="Q9046" i="1"/>
  <c r="O9046" i="1"/>
  <c r="AH9045" i="1"/>
  <c r="Q9045" i="1"/>
  <c r="AH9044" i="1"/>
  <c r="Q9044" i="1"/>
  <c r="O9044" i="1"/>
  <c r="AH9043" i="1"/>
  <c r="Q9043" i="1"/>
  <c r="O9043" i="1"/>
  <c r="AH9042" i="1"/>
  <c r="Q9042" i="1"/>
  <c r="AH9041" i="1"/>
  <c r="Q9041" i="1"/>
  <c r="O9041" i="1"/>
  <c r="AH9040" i="1"/>
  <c r="Q9040" i="1"/>
  <c r="O9040" i="1"/>
  <c r="AH9039" i="1"/>
  <c r="Q9039" i="1"/>
  <c r="O9039" i="1"/>
  <c r="AH9038" i="1"/>
  <c r="Q9038" i="1"/>
  <c r="O9038" i="1"/>
  <c r="AH9037" i="1"/>
  <c r="Q9037" i="1"/>
  <c r="O9037" i="1"/>
  <c r="AH9036" i="1"/>
  <c r="Q9036" i="1"/>
  <c r="AH9035" i="1"/>
  <c r="Q9035" i="1"/>
  <c r="O9035" i="1"/>
  <c r="AH9034" i="1"/>
  <c r="Q9034" i="1"/>
  <c r="O9034" i="1"/>
  <c r="AH9033" i="1"/>
  <c r="Q9033" i="1"/>
  <c r="O9033" i="1"/>
  <c r="AH9032" i="1"/>
  <c r="Q9032" i="1"/>
  <c r="AH9031" i="1"/>
  <c r="Q9031" i="1"/>
  <c r="O9031" i="1"/>
  <c r="AH9030" i="1"/>
  <c r="Q9030" i="1"/>
  <c r="O9030" i="1"/>
  <c r="AH9029" i="1"/>
  <c r="Q9029" i="1"/>
  <c r="AH9028" i="1"/>
  <c r="Q9028" i="1"/>
  <c r="O9028" i="1"/>
  <c r="AH9027" i="1"/>
  <c r="Q9027" i="1"/>
  <c r="AH9026" i="1"/>
  <c r="Q9026" i="1"/>
  <c r="O9026" i="1"/>
  <c r="AH9025" i="1"/>
  <c r="Q9025" i="1"/>
  <c r="AH9024" i="1"/>
  <c r="Q9024" i="1"/>
  <c r="AH9023" i="1"/>
  <c r="Q9023" i="1"/>
  <c r="AH9022" i="1"/>
  <c r="Q9022" i="1"/>
  <c r="AH9021" i="1"/>
  <c r="Q9021" i="1"/>
  <c r="O9021" i="1"/>
  <c r="AH9020" i="1"/>
  <c r="Q9020" i="1"/>
  <c r="AH9019" i="1"/>
  <c r="Q9019" i="1"/>
  <c r="AH9018" i="1"/>
  <c r="Q9018" i="1"/>
  <c r="AH9017" i="1"/>
  <c r="Q9017" i="1"/>
  <c r="AH9016" i="1"/>
  <c r="Q9016" i="1"/>
  <c r="O9016" i="1"/>
  <c r="AH9015" i="1"/>
  <c r="Q9015" i="1"/>
  <c r="O9015" i="1"/>
  <c r="AH9014" i="1"/>
  <c r="Q9014" i="1"/>
  <c r="AH9013" i="1"/>
  <c r="Q9013" i="1"/>
  <c r="O9013" i="1"/>
  <c r="AH9012" i="1"/>
  <c r="Q9012" i="1"/>
  <c r="AH9011" i="1"/>
  <c r="Q9011" i="1"/>
  <c r="O9011" i="1"/>
  <c r="AH9010" i="1"/>
  <c r="Q9010" i="1"/>
  <c r="AH9009" i="1"/>
  <c r="Q9009" i="1"/>
  <c r="AH9008" i="1"/>
  <c r="Q9008" i="1"/>
  <c r="O9008" i="1"/>
  <c r="AH9007" i="1"/>
  <c r="Q9007" i="1"/>
  <c r="AH9006" i="1"/>
  <c r="Q9006" i="1"/>
  <c r="O9006" i="1"/>
  <c r="AH9005" i="1"/>
  <c r="Q9005" i="1"/>
  <c r="AH9004" i="1"/>
  <c r="Q9004" i="1"/>
  <c r="AH9003" i="1"/>
  <c r="Q9003" i="1"/>
  <c r="AH9002" i="1"/>
  <c r="Q9002" i="1"/>
  <c r="O9002" i="1"/>
  <c r="AH9001" i="1"/>
  <c r="Q9001" i="1"/>
  <c r="AH9000" i="1"/>
  <c r="Q9000" i="1"/>
  <c r="AH8999" i="1"/>
  <c r="Q8999" i="1"/>
  <c r="O8999" i="1"/>
  <c r="AH8998" i="1"/>
  <c r="Q8998" i="1"/>
  <c r="AH8997" i="1"/>
  <c r="Q8997" i="1"/>
  <c r="AH8996" i="1"/>
  <c r="Q8996" i="1"/>
  <c r="AH8995" i="1"/>
  <c r="Q8995" i="1"/>
  <c r="O8995" i="1"/>
  <c r="AH8994" i="1"/>
  <c r="Q8994" i="1"/>
  <c r="AH8993" i="1"/>
  <c r="Q8993" i="1"/>
  <c r="O8993" i="1"/>
  <c r="AH8992" i="1"/>
  <c r="Q8992" i="1"/>
  <c r="AH8991" i="1"/>
  <c r="Q8991" i="1"/>
  <c r="AH8990" i="1"/>
  <c r="Q8990" i="1"/>
  <c r="AH8989" i="1"/>
  <c r="Q8989" i="1"/>
  <c r="AH8988" i="1"/>
  <c r="Q8988" i="1"/>
  <c r="AH8987" i="1"/>
  <c r="Q8987" i="1"/>
  <c r="AH8986" i="1"/>
  <c r="Q8986" i="1"/>
  <c r="O8986" i="1"/>
  <c r="AH8985" i="1"/>
  <c r="Q8985" i="1"/>
  <c r="AH8984" i="1"/>
  <c r="Q8984" i="1"/>
  <c r="O8984" i="1"/>
  <c r="AH8983" i="1"/>
  <c r="Q8983" i="1"/>
  <c r="AH8982" i="1"/>
  <c r="Q8982" i="1"/>
  <c r="AH8981" i="1"/>
  <c r="Q8981" i="1"/>
  <c r="AH8980" i="1"/>
  <c r="Q8980" i="1"/>
  <c r="AH8979" i="1"/>
  <c r="Q8979" i="1"/>
  <c r="AH8978" i="1"/>
  <c r="Q8978" i="1"/>
  <c r="O8978" i="1"/>
  <c r="AH8977" i="1"/>
  <c r="Q8977" i="1"/>
  <c r="O8977" i="1"/>
  <c r="AH8976" i="1"/>
  <c r="Q8976" i="1"/>
  <c r="O8976" i="1"/>
  <c r="AH8975" i="1"/>
  <c r="Q8975" i="1"/>
  <c r="AH8974" i="1"/>
  <c r="Q8974" i="1"/>
  <c r="AH8973" i="1"/>
  <c r="Q8973" i="1"/>
  <c r="O8973" i="1"/>
  <c r="AH8972" i="1"/>
  <c r="Q8972" i="1"/>
  <c r="AH8971" i="1"/>
  <c r="Q8971" i="1"/>
  <c r="AH8970" i="1"/>
  <c r="Q8970" i="1"/>
  <c r="O8970" i="1"/>
  <c r="AH8969" i="1"/>
  <c r="Q8969" i="1"/>
  <c r="AH8968" i="1"/>
  <c r="Q8968" i="1"/>
  <c r="AH8967" i="1"/>
  <c r="Q8967" i="1"/>
  <c r="AH8966" i="1"/>
  <c r="Q8966" i="1"/>
  <c r="AH8965" i="1"/>
  <c r="Q8965" i="1"/>
  <c r="AH8964" i="1"/>
  <c r="Q8964" i="1"/>
  <c r="AH8963" i="1"/>
  <c r="Q8963" i="1"/>
  <c r="AH8962" i="1"/>
  <c r="Q8962" i="1"/>
  <c r="O8962" i="1"/>
  <c r="AH8961" i="1"/>
  <c r="Q8961" i="1"/>
  <c r="AH8960" i="1"/>
  <c r="Q8960" i="1"/>
  <c r="AH8959" i="1"/>
  <c r="Q8959" i="1"/>
  <c r="AH8958" i="1"/>
  <c r="Q8958" i="1"/>
  <c r="O8958" i="1"/>
  <c r="AH8957" i="1"/>
  <c r="Q8957" i="1"/>
  <c r="O8957" i="1"/>
  <c r="Q8956" i="1"/>
  <c r="O8956" i="1"/>
  <c r="Q8955" i="1"/>
  <c r="Q8954" i="1"/>
  <c r="O8954" i="1"/>
  <c r="Q8953" i="1"/>
  <c r="Q8952" i="1"/>
  <c r="Q8951" i="1"/>
  <c r="Q8950" i="1"/>
  <c r="Q8949" i="1"/>
  <c r="Q8948" i="1"/>
  <c r="Q8947" i="1"/>
  <c r="Q8946" i="1"/>
  <c r="Q8945" i="1"/>
  <c r="O8945" i="1"/>
  <c r="Q8944" i="1"/>
  <c r="Q8943" i="1"/>
  <c r="Q8942" i="1"/>
  <c r="Q8941" i="1"/>
  <c r="Q8940" i="1"/>
  <c r="Q8939" i="1"/>
  <c r="Q8938" i="1"/>
  <c r="Q8937" i="1"/>
  <c r="Q8936" i="1"/>
  <c r="Q8935" i="1"/>
  <c r="O8935" i="1"/>
  <c r="Q8934" i="1"/>
  <c r="O8934" i="1"/>
  <c r="Q8933" i="1"/>
  <c r="Q8932" i="1"/>
  <c r="Q8931" i="1"/>
  <c r="O8931" i="1"/>
  <c r="Q8930" i="1"/>
  <c r="O8930" i="1"/>
  <c r="Q8929" i="1"/>
  <c r="O8929" i="1"/>
  <c r="Q8928" i="1"/>
  <c r="Q8927" i="1"/>
  <c r="Q8926" i="1"/>
  <c r="O8926" i="1"/>
  <c r="Q8925" i="1"/>
  <c r="O8925" i="1"/>
  <c r="Q8924" i="1"/>
  <c r="O8924" i="1"/>
  <c r="Q8923" i="1"/>
  <c r="O8923" i="1"/>
  <c r="Q8922" i="1"/>
  <c r="Q8921" i="1"/>
  <c r="O8921" i="1"/>
  <c r="Q8920" i="1"/>
  <c r="Q8919" i="1"/>
  <c r="O8919" i="1"/>
  <c r="Q8918" i="1"/>
  <c r="O8918" i="1"/>
  <c r="Q8917" i="1"/>
  <c r="O8917" i="1"/>
  <c r="Q8916" i="1"/>
  <c r="Q8915" i="1"/>
  <c r="O8915" i="1"/>
  <c r="Q8914" i="1"/>
  <c r="Q8913" i="1"/>
  <c r="Q8912" i="1"/>
  <c r="Q8911" i="1"/>
  <c r="O8911" i="1"/>
  <c r="Q8910" i="1"/>
  <c r="O8910" i="1"/>
  <c r="Q8909" i="1"/>
  <c r="O8909" i="1"/>
  <c r="Q8908" i="1"/>
  <c r="O8908" i="1"/>
  <c r="Q8907" i="1"/>
  <c r="O8907" i="1"/>
  <c r="Q8906" i="1"/>
  <c r="Q8905" i="1"/>
  <c r="O8905" i="1"/>
  <c r="Q8904" i="1"/>
  <c r="Q8903" i="1"/>
  <c r="O8903" i="1"/>
  <c r="Q8902" i="1"/>
  <c r="Q8901" i="1"/>
  <c r="Q8900" i="1"/>
  <c r="Q8899" i="1"/>
  <c r="Q8898" i="1"/>
  <c r="O8898" i="1"/>
  <c r="Q8897" i="1"/>
  <c r="O8897" i="1"/>
  <c r="Q8896" i="1"/>
  <c r="Q8895" i="1"/>
  <c r="O8895" i="1"/>
  <c r="Q8894" i="1"/>
  <c r="O8894" i="1"/>
  <c r="Q8893" i="1"/>
  <c r="O8893" i="1"/>
  <c r="Q8892" i="1"/>
  <c r="Q8891" i="1"/>
  <c r="O8891" i="1"/>
  <c r="Q8890" i="1"/>
  <c r="O8890" i="1"/>
  <c r="Q8889" i="1"/>
  <c r="Q8888" i="1"/>
  <c r="O8888" i="1"/>
  <c r="Q8887" i="1"/>
  <c r="O8887" i="1"/>
  <c r="Q8886" i="1"/>
  <c r="Q8885" i="1"/>
  <c r="O8885" i="1"/>
  <c r="Q8884" i="1"/>
  <c r="Q8883" i="1"/>
  <c r="O8883" i="1"/>
  <c r="Q8882" i="1"/>
  <c r="O8882" i="1"/>
  <c r="AH8881" i="1" l="1"/>
  <c r="Q8881" i="1"/>
  <c r="AH8880" i="1"/>
  <c r="Q8880" i="1"/>
  <c r="AH8879" i="1"/>
  <c r="Q8879" i="1"/>
  <c r="AH8878" i="1"/>
  <c r="Q8878" i="1"/>
  <c r="AH8877" i="1"/>
  <c r="Q8877" i="1"/>
  <c r="AH8876" i="1"/>
  <c r="Q8876" i="1"/>
  <c r="AH8875" i="1"/>
  <c r="Q8875" i="1"/>
  <c r="AH8874" i="1"/>
  <c r="Q8874" i="1"/>
  <c r="AH8873" i="1"/>
  <c r="Q8873" i="1"/>
  <c r="AH8872" i="1"/>
  <c r="Q8872" i="1"/>
  <c r="AH8871" i="1"/>
  <c r="Q8871" i="1"/>
  <c r="AH8870" i="1"/>
  <c r="Q8870" i="1"/>
  <c r="AH8869" i="1"/>
  <c r="Q8869" i="1"/>
  <c r="AH8868" i="1"/>
  <c r="Q8868" i="1"/>
  <c r="AH8867" i="1"/>
  <c r="Q8867" i="1"/>
  <c r="AH8866" i="1"/>
  <c r="Q8866" i="1"/>
  <c r="AH8865" i="1"/>
  <c r="Q8865" i="1"/>
  <c r="AH8864" i="1"/>
  <c r="Q8864" i="1"/>
  <c r="AH8863" i="1"/>
  <c r="Q8863" i="1"/>
  <c r="AH8862" i="1"/>
  <c r="Q8862" i="1"/>
  <c r="AH8861" i="1"/>
  <c r="Q8861" i="1"/>
  <c r="AH8860" i="1"/>
  <c r="Q8860" i="1"/>
  <c r="AH8859" i="1"/>
  <c r="Q8859" i="1"/>
  <c r="AH8858" i="1"/>
  <c r="Q8858" i="1"/>
  <c r="AH8857" i="1"/>
  <c r="Q8857" i="1"/>
  <c r="AH8856" i="1"/>
  <c r="Q8856" i="1"/>
  <c r="AH8855" i="1"/>
  <c r="Q8855" i="1"/>
  <c r="AH8854" i="1"/>
  <c r="Q8854" i="1"/>
  <c r="AH8853" i="1"/>
  <c r="Q8853" i="1"/>
  <c r="AH8852" i="1"/>
  <c r="Q8852" i="1"/>
  <c r="AH8851" i="1"/>
  <c r="Q8851" i="1"/>
  <c r="AH8850" i="1"/>
  <c r="Q8850" i="1"/>
  <c r="AH8849" i="1"/>
  <c r="Q8849" i="1"/>
  <c r="AH8848" i="1"/>
  <c r="Q8848" i="1"/>
  <c r="AH8847" i="1"/>
  <c r="Q8847" i="1"/>
  <c r="AH8846" i="1"/>
  <c r="Q8846" i="1"/>
  <c r="AH8845" i="1"/>
  <c r="Q8845" i="1"/>
  <c r="AH8844" i="1"/>
  <c r="Q8844" i="1"/>
  <c r="AH8843" i="1"/>
  <c r="Q8843" i="1"/>
  <c r="AH8842" i="1"/>
  <c r="Q8842" i="1"/>
  <c r="AH8841" i="1"/>
  <c r="Q8841" i="1"/>
  <c r="AH8840" i="1"/>
  <c r="Q8840" i="1"/>
  <c r="AH8839" i="1"/>
  <c r="Q8839" i="1"/>
  <c r="AH8838" i="1"/>
  <c r="Q8838" i="1"/>
  <c r="AH8837" i="1"/>
  <c r="Q8837" i="1"/>
  <c r="AH8836" i="1"/>
  <c r="Q8836" i="1"/>
  <c r="AH8835" i="1"/>
  <c r="Q8835" i="1"/>
  <c r="AH8834" i="1"/>
  <c r="Q8834" i="1"/>
  <c r="AH8833" i="1"/>
  <c r="Q8833" i="1"/>
  <c r="AH8832" i="1"/>
  <c r="Q8832" i="1"/>
  <c r="AH8831" i="1"/>
  <c r="Q8831" i="1"/>
  <c r="AH8830" i="1"/>
  <c r="Q8830" i="1"/>
  <c r="AH8829" i="1"/>
  <c r="Q8829" i="1"/>
  <c r="AH8828" i="1"/>
  <c r="Q8828" i="1"/>
  <c r="AH8827" i="1"/>
  <c r="Q8827" i="1"/>
  <c r="AH8826" i="1"/>
  <c r="Q8826" i="1"/>
  <c r="AH8825" i="1"/>
  <c r="Q8825" i="1"/>
  <c r="AH8824" i="1"/>
  <c r="Q8824" i="1"/>
  <c r="AH8823" i="1"/>
  <c r="Q8823" i="1"/>
  <c r="AH8822" i="1"/>
  <c r="Q8822" i="1"/>
  <c r="AH8821" i="1"/>
  <c r="Q8821" i="1"/>
  <c r="AH8820" i="1"/>
  <c r="Q8820" i="1"/>
  <c r="AH8819" i="1"/>
  <c r="Q8819" i="1"/>
  <c r="AH8818" i="1"/>
  <c r="Q8818" i="1"/>
  <c r="AH8817" i="1"/>
  <c r="Q8817" i="1"/>
  <c r="AH8816" i="1"/>
  <c r="Q8816" i="1"/>
  <c r="AH8815" i="1"/>
  <c r="Q8815" i="1"/>
  <c r="AH8814" i="1"/>
  <c r="Q8814" i="1"/>
  <c r="AH8813" i="1"/>
  <c r="Q8813" i="1"/>
  <c r="AH8812" i="1"/>
  <c r="Q8812" i="1"/>
  <c r="AH8811" i="1"/>
  <c r="Q8811" i="1"/>
  <c r="AH8810" i="1"/>
  <c r="Q8810" i="1"/>
  <c r="AH8809" i="1"/>
  <c r="Q8809" i="1"/>
  <c r="AH8808" i="1"/>
  <c r="Q8808" i="1"/>
  <c r="AH8807" i="1"/>
  <c r="Q8807" i="1"/>
  <c r="AH8806" i="1"/>
  <c r="Q8806" i="1"/>
  <c r="AH8805" i="1"/>
  <c r="Q8805" i="1"/>
  <c r="AH8804" i="1"/>
  <c r="Q8804" i="1"/>
  <c r="AH8803" i="1"/>
  <c r="Q8803" i="1"/>
  <c r="AH8802" i="1"/>
  <c r="Q8802" i="1"/>
  <c r="AH8801" i="1"/>
  <c r="Q8801" i="1"/>
  <c r="AH8800" i="1"/>
  <c r="Q8800" i="1"/>
  <c r="AH8799" i="1"/>
  <c r="Q8799" i="1"/>
  <c r="AH8798" i="1"/>
  <c r="Q8798" i="1"/>
  <c r="AH8797" i="1"/>
  <c r="Q8797" i="1"/>
  <c r="AH8796" i="1"/>
  <c r="Q8796" i="1"/>
  <c r="AH8795" i="1"/>
  <c r="Q8795" i="1"/>
  <c r="AH8794" i="1"/>
  <c r="Q8794" i="1"/>
  <c r="AH8793" i="1"/>
  <c r="Q8793" i="1"/>
  <c r="AH8792" i="1"/>
  <c r="Q8792" i="1"/>
  <c r="AH8791" i="1"/>
  <c r="Q8791" i="1"/>
  <c r="AH8790" i="1"/>
  <c r="Q8790" i="1"/>
  <c r="AH8789" i="1"/>
  <c r="Q8789" i="1"/>
  <c r="AH8788" i="1"/>
  <c r="Q8788" i="1"/>
  <c r="AH8787" i="1"/>
  <c r="Q8787" i="1"/>
  <c r="AH8786" i="1"/>
  <c r="Q8786" i="1"/>
  <c r="AH8785" i="1"/>
  <c r="Q8785" i="1"/>
  <c r="AH8784" i="1"/>
  <c r="Q8784" i="1"/>
  <c r="AH8783" i="1"/>
  <c r="Q8783" i="1"/>
  <c r="AH8782" i="1"/>
  <c r="Q8782" i="1"/>
  <c r="AH8781" i="1"/>
  <c r="Q8781" i="1"/>
  <c r="AH8780" i="1"/>
  <c r="Q8780" i="1"/>
  <c r="AH8779" i="1"/>
  <c r="Q8779" i="1"/>
  <c r="AH8778" i="1"/>
  <c r="Q8778" i="1"/>
  <c r="AH8777" i="1"/>
  <c r="Q8777" i="1"/>
  <c r="AH8776" i="1"/>
  <c r="Q8776" i="1"/>
  <c r="AH8775" i="1"/>
  <c r="Q8775" i="1"/>
  <c r="AH8774" i="1"/>
  <c r="Q8774" i="1"/>
  <c r="AH8773" i="1"/>
  <c r="Q8773" i="1"/>
  <c r="AH8772" i="1"/>
  <c r="Q8772" i="1"/>
  <c r="AH8771" i="1"/>
  <c r="Q8771" i="1"/>
  <c r="AH8770" i="1"/>
  <c r="Q8770" i="1"/>
  <c r="AH8769" i="1"/>
  <c r="Q8769" i="1"/>
  <c r="AH8768" i="1"/>
  <c r="Q8768" i="1"/>
  <c r="AH8767" i="1"/>
  <c r="Q8767" i="1"/>
  <c r="AH8766" i="1"/>
  <c r="Q8766" i="1"/>
  <c r="AH8765" i="1"/>
  <c r="Q8765" i="1"/>
  <c r="AH8764" i="1"/>
  <c r="Q8764" i="1"/>
  <c r="AH8763" i="1"/>
  <c r="Q8763" i="1"/>
  <c r="AH8762" i="1"/>
  <c r="Q8762" i="1"/>
  <c r="AH8761" i="1"/>
  <c r="Q8761" i="1"/>
  <c r="AH8760" i="1"/>
  <c r="Q8760" i="1"/>
  <c r="AH8759" i="1"/>
  <c r="Q8759" i="1"/>
  <c r="AH8758" i="1"/>
  <c r="Q8758" i="1"/>
  <c r="AH8757" i="1"/>
  <c r="Q8757" i="1"/>
  <c r="AH8756" i="1"/>
  <c r="Q8756" i="1"/>
  <c r="AH8755" i="1"/>
  <c r="Q8755" i="1"/>
  <c r="AH8754" i="1"/>
  <c r="Q8754" i="1"/>
  <c r="AH8753" i="1"/>
  <c r="Q8753" i="1"/>
  <c r="AH8752" i="1"/>
  <c r="Q8752" i="1"/>
  <c r="AH8751" i="1"/>
  <c r="Q8751" i="1"/>
  <c r="AH8750" i="1"/>
  <c r="Q8750" i="1"/>
  <c r="AH8749" i="1"/>
  <c r="Q8749" i="1"/>
  <c r="AH8748" i="1"/>
  <c r="Q8748" i="1"/>
  <c r="AH8747" i="1"/>
  <c r="Q8747" i="1"/>
  <c r="AH8746" i="1"/>
  <c r="Q8746" i="1"/>
  <c r="AH8745" i="1"/>
  <c r="Q8745" i="1"/>
  <c r="AH8744" i="1"/>
  <c r="Q8744" i="1"/>
  <c r="AH8743" i="1"/>
  <c r="Q8743" i="1"/>
  <c r="AH8742" i="1"/>
  <c r="Q8742" i="1"/>
  <c r="AH8741" i="1"/>
  <c r="Q8741" i="1"/>
  <c r="AH8740" i="1"/>
  <c r="Q8740" i="1"/>
  <c r="AH8739" i="1"/>
  <c r="Q8739" i="1"/>
  <c r="AH8738" i="1"/>
  <c r="Q8738" i="1"/>
  <c r="AH8737" i="1"/>
  <c r="Q8737" i="1"/>
  <c r="AH8736" i="1"/>
  <c r="Q8736" i="1"/>
  <c r="AH8735" i="1"/>
  <c r="Q8735" i="1"/>
  <c r="AH8734" i="1"/>
  <c r="Q8734" i="1"/>
  <c r="AH8733" i="1"/>
  <c r="Q8733" i="1"/>
  <c r="AH8732" i="1"/>
  <c r="Q8732" i="1"/>
  <c r="AH8731" i="1"/>
  <c r="Q8731" i="1"/>
  <c r="AH8730" i="1"/>
  <c r="Q8730" i="1"/>
  <c r="AH8729" i="1"/>
  <c r="Q8729" i="1"/>
  <c r="AH8728" i="1"/>
  <c r="Q8728" i="1"/>
  <c r="AH8727" i="1"/>
  <c r="Q8727" i="1"/>
  <c r="AH8726" i="1"/>
  <c r="Q8726" i="1"/>
  <c r="AH8725" i="1"/>
  <c r="Q8725" i="1"/>
  <c r="AH8724" i="1"/>
  <c r="Q8724" i="1"/>
  <c r="AH8723" i="1"/>
  <c r="Q8723" i="1"/>
  <c r="AH8722" i="1"/>
  <c r="Q8722" i="1"/>
  <c r="AH8721" i="1"/>
  <c r="Q8721" i="1"/>
  <c r="AH8720" i="1"/>
  <c r="Q8720" i="1"/>
  <c r="AH8719" i="1"/>
  <c r="Q8719" i="1"/>
  <c r="AH8718" i="1"/>
  <c r="Q8718" i="1"/>
  <c r="AH8717" i="1"/>
  <c r="Q8717" i="1"/>
  <c r="AH8716" i="1"/>
  <c r="Q8716" i="1"/>
  <c r="AH8715" i="1"/>
  <c r="Q8715" i="1"/>
  <c r="AH8714" i="1"/>
  <c r="Q8714" i="1"/>
  <c r="AH8713" i="1"/>
  <c r="Q8713" i="1"/>
  <c r="P8713" i="1"/>
  <c r="AH8712" i="1"/>
  <c r="Q8712" i="1"/>
  <c r="AH8711" i="1"/>
  <c r="Q8711" i="1"/>
  <c r="AH8710" i="1"/>
  <c r="Q8710" i="1"/>
  <c r="AH8709" i="1"/>
  <c r="Q8709" i="1"/>
  <c r="AH8708" i="1"/>
  <c r="Q8708" i="1"/>
  <c r="AH8707" i="1"/>
  <c r="Q8707" i="1"/>
  <c r="AH8706" i="1"/>
  <c r="Q8706" i="1"/>
  <c r="AH8705" i="1"/>
  <c r="Q8705" i="1"/>
  <c r="AH8704" i="1"/>
  <c r="Q8704" i="1"/>
  <c r="AH8703" i="1"/>
  <c r="Q8703" i="1"/>
  <c r="AH8702" i="1"/>
  <c r="Q8702" i="1"/>
  <c r="AH8701" i="1"/>
  <c r="Q8701" i="1"/>
  <c r="AH8700" i="1"/>
  <c r="Q8700" i="1"/>
  <c r="AH8699" i="1"/>
  <c r="Q8699" i="1"/>
  <c r="AH8698" i="1"/>
  <c r="Q8698" i="1"/>
  <c r="AH8697" i="1"/>
  <c r="Q8697" i="1"/>
  <c r="AH8696" i="1"/>
  <c r="Q8696" i="1"/>
  <c r="AH8695" i="1"/>
  <c r="Q8695" i="1"/>
  <c r="AH8694" i="1"/>
  <c r="Q8694" i="1"/>
  <c r="AH8693" i="1"/>
  <c r="Q8693" i="1"/>
  <c r="AH8692" i="1"/>
  <c r="Q8692" i="1"/>
  <c r="AH8691" i="1"/>
  <c r="Q8691" i="1"/>
  <c r="AH8690" i="1"/>
  <c r="Q8690" i="1"/>
  <c r="AH8689" i="1"/>
  <c r="Q8689" i="1"/>
  <c r="AH8688" i="1"/>
  <c r="Q8688" i="1"/>
  <c r="AH8687" i="1"/>
  <c r="Q8687" i="1"/>
  <c r="AH8686" i="1"/>
  <c r="Q8686" i="1"/>
  <c r="AH8685" i="1"/>
  <c r="Q8685" i="1"/>
  <c r="AH8684" i="1"/>
  <c r="Q8684" i="1"/>
  <c r="AH8683" i="1"/>
  <c r="Q8683" i="1"/>
  <c r="AH8682" i="1"/>
  <c r="Q8682" i="1"/>
  <c r="AH8681" i="1"/>
  <c r="Q8681" i="1"/>
  <c r="AH8680" i="1"/>
  <c r="Q8680" i="1"/>
  <c r="AH8679" i="1"/>
  <c r="Q8679" i="1"/>
  <c r="AH8678" i="1"/>
  <c r="Q8678" i="1"/>
  <c r="AH8677" i="1"/>
  <c r="Q8677" i="1"/>
  <c r="AH8676" i="1"/>
  <c r="Q8676" i="1"/>
  <c r="AH8675" i="1"/>
  <c r="Q8675" i="1"/>
  <c r="AH8674" i="1"/>
  <c r="Q8674" i="1"/>
  <c r="AH8673" i="1"/>
  <c r="Q8673" i="1"/>
  <c r="AH8672" i="1"/>
  <c r="Q8672" i="1"/>
  <c r="AH8671" i="1"/>
  <c r="Q8671" i="1"/>
  <c r="AH8670" i="1"/>
  <c r="Q8670" i="1"/>
  <c r="AH8669" i="1"/>
  <c r="Q8669" i="1"/>
  <c r="AH8668" i="1"/>
  <c r="Q8668" i="1"/>
  <c r="AH8667" i="1"/>
  <c r="Q8667" i="1"/>
  <c r="AH8666" i="1"/>
  <c r="Q8666" i="1"/>
  <c r="AH8665" i="1"/>
  <c r="Q8665" i="1"/>
  <c r="AH8664" i="1"/>
  <c r="Q8664" i="1"/>
  <c r="AH8663" i="1"/>
  <c r="Q8663" i="1"/>
  <c r="AH8662" i="1"/>
  <c r="Q8662" i="1"/>
  <c r="AH8661" i="1"/>
  <c r="Q8661" i="1"/>
  <c r="AH8660" i="1"/>
  <c r="Q8660" i="1"/>
  <c r="AH8659" i="1"/>
  <c r="Q8659" i="1"/>
  <c r="AH8658" i="1"/>
  <c r="Q8658" i="1"/>
  <c r="AH8657" i="1"/>
  <c r="Q8657" i="1"/>
  <c r="AH8656" i="1"/>
  <c r="Q8656" i="1"/>
  <c r="AH8655" i="1"/>
  <c r="Q8655" i="1"/>
  <c r="AH8654" i="1"/>
  <c r="Q8654" i="1"/>
  <c r="AH8653" i="1"/>
  <c r="Q8653" i="1"/>
  <c r="AH8652" i="1"/>
  <c r="Q8652" i="1"/>
  <c r="AH8651" i="1"/>
  <c r="Q8651" i="1"/>
  <c r="AH8650" i="1"/>
  <c r="Q8650" i="1"/>
  <c r="AH8649" i="1"/>
  <c r="Q8649" i="1"/>
  <c r="AH8648" i="1"/>
  <c r="Q8648" i="1"/>
  <c r="AH8647" i="1"/>
  <c r="Q8647" i="1"/>
  <c r="AH8646" i="1"/>
  <c r="Q8646" i="1"/>
  <c r="AH8645" i="1"/>
  <c r="Q8645" i="1"/>
  <c r="AH8644" i="1"/>
  <c r="Q8644" i="1"/>
  <c r="AH8643" i="1"/>
  <c r="Q8643" i="1"/>
  <c r="AH8642" i="1"/>
  <c r="Q8642" i="1"/>
  <c r="AH8641" i="1"/>
  <c r="Q8641" i="1"/>
  <c r="AH8640" i="1"/>
  <c r="Q8640" i="1"/>
  <c r="AH8639" i="1"/>
  <c r="Q8639" i="1"/>
  <c r="AH8638" i="1"/>
  <c r="Q8638" i="1"/>
  <c r="AH8637" i="1"/>
  <c r="Q8637" i="1"/>
  <c r="AH8636" i="1"/>
  <c r="Q8636" i="1"/>
  <c r="AH8635" i="1"/>
  <c r="Q8635" i="1"/>
  <c r="AH8634" i="1"/>
  <c r="Q8634" i="1"/>
  <c r="AH8633" i="1"/>
  <c r="Q8633" i="1"/>
  <c r="AH8632" i="1"/>
  <c r="Q8632" i="1"/>
  <c r="AH8631" i="1"/>
  <c r="Q8631" i="1"/>
  <c r="AH8630" i="1"/>
  <c r="Q8630" i="1"/>
  <c r="AH8629" i="1"/>
  <c r="Q8629" i="1"/>
  <c r="AH8628" i="1"/>
  <c r="Q8628" i="1"/>
  <c r="AH8627" i="1"/>
  <c r="Q8627" i="1"/>
  <c r="AH8626" i="1"/>
  <c r="Q8626" i="1"/>
  <c r="AH8625" i="1"/>
  <c r="Q8625" i="1"/>
  <c r="AH8624" i="1"/>
  <c r="Q8624" i="1"/>
  <c r="AH8623" i="1"/>
  <c r="Q8623" i="1"/>
  <c r="AH8622" i="1"/>
  <c r="Q8622" i="1"/>
  <c r="AH8621" i="1"/>
  <c r="Q8621" i="1"/>
  <c r="AH8620" i="1"/>
  <c r="Q8620" i="1"/>
  <c r="AH8619" i="1"/>
  <c r="Q8619" i="1"/>
  <c r="AH8618" i="1"/>
  <c r="Q8618" i="1"/>
  <c r="AH8617" i="1"/>
  <c r="Q8617" i="1"/>
  <c r="AH8616" i="1"/>
  <c r="Q8616" i="1"/>
  <c r="AH8615" i="1"/>
  <c r="Q8615" i="1"/>
  <c r="AH8614" i="1"/>
  <c r="Q8614" i="1"/>
  <c r="AH8613" i="1"/>
  <c r="Q8613" i="1"/>
  <c r="AH8612" i="1"/>
  <c r="Q8612" i="1"/>
  <c r="AH8611" i="1"/>
  <c r="Q8611" i="1"/>
  <c r="AH8610" i="1"/>
  <c r="Q8610" i="1"/>
  <c r="AH8609" i="1"/>
  <c r="Q8609" i="1"/>
  <c r="AH8608" i="1"/>
  <c r="Q8608" i="1"/>
  <c r="AH8607" i="1"/>
  <c r="Q8607" i="1"/>
  <c r="AH8606" i="1"/>
  <c r="Q8606" i="1"/>
  <c r="AH8605" i="1"/>
  <c r="Q8605" i="1"/>
  <c r="AH8604" i="1"/>
  <c r="Q8604" i="1"/>
  <c r="AH8603" i="1"/>
  <c r="Q8603" i="1"/>
  <c r="AH8602" i="1"/>
  <c r="Q8602" i="1"/>
  <c r="AH8601" i="1"/>
  <c r="Q8601" i="1"/>
  <c r="AH8600" i="1"/>
  <c r="Q8600" i="1"/>
  <c r="AH8599" i="1"/>
  <c r="Q8599" i="1"/>
  <c r="AH8598" i="1"/>
  <c r="Q8598" i="1"/>
  <c r="AH8597" i="1"/>
  <c r="Q8597" i="1"/>
  <c r="AH8596" i="1"/>
  <c r="Q8596" i="1"/>
  <c r="AH8595" i="1"/>
  <c r="Q8595" i="1"/>
  <c r="AH8594" i="1"/>
  <c r="Q8594" i="1"/>
  <c r="AH8593" i="1"/>
  <c r="Q8593" i="1"/>
  <c r="AH8592" i="1"/>
  <c r="Q8592" i="1"/>
  <c r="AH8591" i="1"/>
  <c r="Q8591" i="1"/>
  <c r="AH8590" i="1"/>
  <c r="Q8590" i="1"/>
  <c r="AH8589" i="1"/>
  <c r="Q8589" i="1"/>
  <c r="AH8588" i="1"/>
  <c r="Q8588" i="1"/>
  <c r="AH8587" i="1"/>
  <c r="Q8587" i="1"/>
  <c r="AH8586" i="1"/>
  <c r="Q8586" i="1"/>
  <c r="AH8585" i="1"/>
  <c r="Q8585" i="1"/>
  <c r="AH8584" i="1"/>
  <c r="Q8584" i="1"/>
  <c r="AH8583" i="1"/>
  <c r="Q8583" i="1"/>
  <c r="AH8582" i="1"/>
  <c r="Q8582" i="1"/>
  <c r="AH8581" i="1"/>
  <c r="Q8581" i="1"/>
  <c r="AH8580" i="1"/>
  <c r="Q8580" i="1"/>
  <c r="AH8579" i="1"/>
  <c r="Q8579" i="1"/>
  <c r="AH8578" i="1"/>
  <c r="Q8578" i="1"/>
  <c r="AH8577" i="1"/>
  <c r="Q8577" i="1"/>
  <c r="AH8576" i="1"/>
  <c r="Q8576" i="1"/>
  <c r="AH8575" i="1"/>
  <c r="Q8575" i="1"/>
  <c r="AH8574" i="1"/>
  <c r="Q8574" i="1"/>
  <c r="AH8573" i="1"/>
  <c r="Q8573" i="1"/>
  <c r="AH8572" i="1"/>
  <c r="Q8572" i="1"/>
  <c r="AH8571" i="1"/>
  <c r="Q8571" i="1"/>
  <c r="AH8570" i="1"/>
  <c r="Q8570" i="1"/>
  <c r="AH8569" i="1"/>
  <c r="Q8569" i="1"/>
  <c r="AH8568" i="1"/>
  <c r="Q8568" i="1"/>
  <c r="AH8567" i="1"/>
  <c r="Q8567" i="1"/>
  <c r="AH8566" i="1"/>
  <c r="Q8566" i="1"/>
  <c r="AH8565" i="1"/>
  <c r="Q8565" i="1"/>
  <c r="AH8564" i="1"/>
  <c r="Q8564" i="1"/>
  <c r="AH8563" i="1"/>
  <c r="Q8563" i="1"/>
  <c r="AH8562" i="1"/>
  <c r="Q8562" i="1"/>
  <c r="AH8561" i="1"/>
  <c r="Q8561" i="1"/>
  <c r="AH8560" i="1"/>
  <c r="Q8560" i="1"/>
  <c r="AH8559" i="1"/>
  <c r="Q8559" i="1"/>
  <c r="AH8558" i="1"/>
  <c r="Q8558" i="1"/>
  <c r="AH8557" i="1"/>
  <c r="Q8557" i="1"/>
  <c r="AH8556" i="1"/>
  <c r="Q8556" i="1"/>
  <c r="AH8555" i="1"/>
  <c r="Q8555" i="1"/>
  <c r="AH8554" i="1"/>
  <c r="Q8554" i="1"/>
  <c r="AH8553" i="1"/>
  <c r="Q8553" i="1"/>
  <c r="AH8552" i="1"/>
  <c r="Q8552" i="1"/>
  <c r="AH8551" i="1"/>
  <c r="Q8551" i="1"/>
  <c r="AH8550" i="1"/>
  <c r="Q8550" i="1"/>
  <c r="AH8549" i="1"/>
  <c r="Q8549" i="1"/>
  <c r="AH8548" i="1"/>
  <c r="Q8548" i="1"/>
  <c r="AH8547" i="1"/>
  <c r="Q8547" i="1"/>
  <c r="AH8546" i="1"/>
  <c r="Q8546" i="1"/>
  <c r="AH8545" i="1"/>
  <c r="Q8545" i="1"/>
  <c r="AH8544" i="1"/>
  <c r="Q8544" i="1"/>
  <c r="AH8543" i="1"/>
  <c r="Q8543" i="1"/>
  <c r="AH8542" i="1"/>
  <c r="Q8542" i="1"/>
  <c r="AH8541" i="1"/>
  <c r="Q8541" i="1"/>
  <c r="AH8540" i="1"/>
  <c r="Q8540" i="1"/>
  <c r="AH8539" i="1"/>
  <c r="Q8539" i="1"/>
  <c r="AH8538" i="1"/>
  <c r="Q8538" i="1"/>
  <c r="AH8537" i="1"/>
  <c r="Q8537" i="1"/>
  <c r="AH8536" i="1"/>
  <c r="Q8536" i="1"/>
  <c r="AH8535" i="1"/>
  <c r="Q8535" i="1"/>
  <c r="AH8534" i="1"/>
  <c r="Q8534" i="1"/>
  <c r="AH8533" i="1"/>
  <c r="Q8533" i="1"/>
  <c r="AH8532" i="1"/>
  <c r="Q8532" i="1"/>
  <c r="AH8531" i="1"/>
  <c r="Q8531" i="1"/>
  <c r="AH8530" i="1"/>
  <c r="Q8530" i="1"/>
  <c r="AH8529" i="1"/>
  <c r="Q8529" i="1"/>
  <c r="AH8528" i="1"/>
  <c r="Q8528" i="1"/>
  <c r="AH8527" i="1"/>
  <c r="Q8527" i="1"/>
  <c r="AH8526" i="1"/>
  <c r="Q8526" i="1"/>
  <c r="AH8525" i="1"/>
  <c r="Q8525" i="1"/>
  <c r="AH8524" i="1"/>
  <c r="Q8524" i="1"/>
  <c r="AH8523" i="1"/>
  <c r="Q8523" i="1"/>
  <c r="AH8522" i="1"/>
  <c r="Q8522" i="1"/>
  <c r="AH8521" i="1"/>
  <c r="Q8521" i="1"/>
  <c r="AH8520" i="1"/>
  <c r="Q8520" i="1"/>
  <c r="AH8519" i="1"/>
  <c r="Q8519" i="1"/>
  <c r="AH8518" i="1"/>
  <c r="Q8518" i="1"/>
  <c r="AH8517" i="1"/>
  <c r="Q8517" i="1"/>
  <c r="AH8516" i="1"/>
  <c r="Q8516" i="1"/>
  <c r="AH8515" i="1"/>
  <c r="Q8515" i="1"/>
  <c r="AH8514" i="1"/>
  <c r="Q8514" i="1"/>
  <c r="AH8513" i="1"/>
  <c r="Q8513" i="1"/>
  <c r="AH8512" i="1"/>
  <c r="Q8512" i="1"/>
  <c r="AH8511" i="1"/>
  <c r="Q8511" i="1"/>
  <c r="AH8510" i="1"/>
  <c r="Q8510" i="1"/>
  <c r="AH8509" i="1"/>
  <c r="Q8509" i="1"/>
  <c r="AH8508" i="1"/>
  <c r="Q8508" i="1"/>
  <c r="AH8507" i="1"/>
  <c r="Q8507" i="1"/>
  <c r="AH8506" i="1"/>
  <c r="Q8506" i="1"/>
  <c r="AH8505" i="1"/>
  <c r="Q8505" i="1"/>
  <c r="AH8504" i="1"/>
  <c r="Q8504" i="1"/>
  <c r="AH8503" i="1"/>
  <c r="Q8503" i="1"/>
  <c r="AH8502" i="1"/>
  <c r="Q8502" i="1"/>
  <c r="AH8501" i="1"/>
  <c r="Q8501" i="1"/>
  <c r="AH8500" i="1"/>
  <c r="Q8500" i="1"/>
  <c r="AH8499" i="1"/>
  <c r="Q8499" i="1"/>
  <c r="AH8498" i="1"/>
  <c r="Q8498" i="1"/>
  <c r="AH8497" i="1"/>
  <c r="Q8497" i="1"/>
  <c r="AH8496" i="1"/>
  <c r="Q8496" i="1"/>
  <c r="AH8495" i="1"/>
  <c r="Q8495" i="1"/>
  <c r="AH8494" i="1"/>
  <c r="Q8494" i="1"/>
  <c r="AH8493" i="1"/>
  <c r="Q8493" i="1"/>
  <c r="AH8492" i="1"/>
  <c r="Q8492" i="1"/>
  <c r="AH8491" i="1"/>
  <c r="Q8491" i="1"/>
  <c r="AH8490" i="1"/>
  <c r="Q8490" i="1"/>
  <c r="AH8489" i="1"/>
  <c r="Q8489" i="1"/>
  <c r="AH8488" i="1"/>
  <c r="Q8488" i="1"/>
  <c r="AH8487" i="1"/>
  <c r="Q8487" i="1"/>
  <c r="AH8486" i="1"/>
  <c r="Q8486" i="1"/>
  <c r="AH8485" i="1"/>
  <c r="Q8485" i="1"/>
  <c r="AH8484" i="1"/>
  <c r="Q8484" i="1"/>
  <c r="AH8483" i="1"/>
  <c r="Q8483" i="1"/>
  <c r="AH8482" i="1"/>
  <c r="Q8482" i="1"/>
  <c r="AH8481" i="1"/>
  <c r="Q8481" i="1"/>
  <c r="AH8480" i="1"/>
  <c r="Q8480" i="1"/>
  <c r="AH8479" i="1"/>
  <c r="Q8479" i="1"/>
  <c r="AH8478" i="1"/>
  <c r="Q8478" i="1"/>
  <c r="AH8477" i="1"/>
  <c r="Q8477" i="1"/>
  <c r="AH8476" i="1"/>
  <c r="Q8476" i="1"/>
  <c r="AH8475" i="1"/>
  <c r="Q8475" i="1"/>
  <c r="AH8474" i="1"/>
  <c r="Q8474" i="1"/>
  <c r="AH8473" i="1"/>
  <c r="Q8473" i="1"/>
  <c r="AH8472" i="1"/>
  <c r="Q8472" i="1"/>
  <c r="AH8471" i="1"/>
  <c r="Q8471" i="1"/>
  <c r="AH8470" i="1"/>
  <c r="Q8470" i="1"/>
  <c r="AH8469" i="1"/>
  <c r="Q8469" i="1"/>
  <c r="AH8468" i="1"/>
  <c r="Q8468" i="1"/>
  <c r="AH8467" i="1"/>
  <c r="Q8467" i="1"/>
  <c r="AH8466" i="1"/>
  <c r="Q8466" i="1"/>
  <c r="AH8465" i="1"/>
  <c r="Q8465" i="1"/>
  <c r="AH8464" i="1"/>
  <c r="Q8464" i="1"/>
  <c r="AH8463" i="1"/>
  <c r="Q8463" i="1"/>
  <c r="AH8462" i="1"/>
  <c r="Q8462" i="1"/>
  <c r="AH8461" i="1"/>
  <c r="Q8461" i="1"/>
  <c r="AH8460" i="1"/>
  <c r="Q8460" i="1"/>
  <c r="AH8459" i="1"/>
  <c r="Q8459" i="1"/>
  <c r="AH8458" i="1"/>
  <c r="Q8458" i="1"/>
  <c r="AH8457" i="1"/>
  <c r="Q8457" i="1"/>
  <c r="AH8456" i="1"/>
  <c r="Q8456" i="1"/>
  <c r="AH8455" i="1"/>
  <c r="Q8455" i="1"/>
  <c r="AH8454" i="1"/>
  <c r="Q8454" i="1"/>
  <c r="AH8453" i="1"/>
  <c r="Q8453" i="1"/>
  <c r="AH8452" i="1"/>
  <c r="Q8452" i="1"/>
  <c r="AH8451" i="1"/>
  <c r="Q8451" i="1"/>
  <c r="AH8450" i="1"/>
  <c r="Q8450" i="1"/>
  <c r="AH8449" i="1"/>
  <c r="Q8449" i="1"/>
  <c r="AH8448" i="1"/>
  <c r="Q8448" i="1"/>
  <c r="AH8447" i="1"/>
  <c r="Q8447" i="1"/>
  <c r="AH8446" i="1"/>
  <c r="Q8446" i="1"/>
  <c r="AH8445" i="1"/>
  <c r="Q8445" i="1"/>
  <c r="AH8444" i="1"/>
  <c r="Q8444" i="1"/>
  <c r="AH8443" i="1"/>
  <c r="Q8443" i="1"/>
  <c r="AH8442" i="1"/>
  <c r="Q8442" i="1"/>
  <c r="AH8441" i="1"/>
  <c r="Q8441" i="1"/>
  <c r="AH8440" i="1"/>
  <c r="Q8440" i="1"/>
  <c r="AH8439" i="1"/>
  <c r="Q8439" i="1"/>
  <c r="AH8438" i="1"/>
  <c r="Q8438" i="1"/>
  <c r="AH8437" i="1"/>
  <c r="Q8437" i="1"/>
  <c r="AH8436" i="1"/>
  <c r="Q8436" i="1"/>
  <c r="AH8435" i="1"/>
  <c r="Q8435" i="1"/>
  <c r="AH8434" i="1"/>
  <c r="Q8434" i="1"/>
  <c r="AH8433" i="1"/>
  <c r="Q8433" i="1"/>
  <c r="AH8432" i="1"/>
  <c r="Q8432" i="1"/>
  <c r="AH8431" i="1"/>
  <c r="Q8431" i="1"/>
  <c r="AH8430" i="1"/>
  <c r="Q8430" i="1"/>
  <c r="AH8429" i="1"/>
  <c r="Q8429" i="1"/>
  <c r="AH8428" i="1"/>
  <c r="Q8428" i="1"/>
  <c r="AH8427" i="1"/>
  <c r="Q8427" i="1"/>
  <c r="AH8426" i="1"/>
  <c r="Q8426" i="1"/>
  <c r="AH8425" i="1"/>
  <c r="Q8425" i="1"/>
  <c r="AH8424" i="1"/>
  <c r="Q8424" i="1"/>
  <c r="AH8423" i="1"/>
  <c r="Q8423" i="1"/>
  <c r="AH8422" i="1"/>
  <c r="Q8422" i="1"/>
  <c r="AH8421" i="1"/>
  <c r="Q8421" i="1"/>
  <c r="AH8420" i="1"/>
  <c r="Q8420" i="1"/>
  <c r="AH8419" i="1"/>
  <c r="Q8419" i="1"/>
  <c r="AH8418" i="1"/>
  <c r="Q8418" i="1"/>
  <c r="AH8417" i="1"/>
  <c r="Q8417" i="1"/>
  <c r="AH8416" i="1"/>
  <c r="Q8416" i="1"/>
  <c r="AH8415" i="1"/>
  <c r="Q8415" i="1"/>
  <c r="AH8414" i="1"/>
  <c r="Q8414" i="1"/>
  <c r="AH8413" i="1"/>
  <c r="Q8413" i="1"/>
  <c r="AH8412" i="1"/>
  <c r="Q8412" i="1"/>
  <c r="AH8411" i="1"/>
  <c r="Q8411" i="1"/>
  <c r="AH8410" i="1"/>
  <c r="Q8410" i="1"/>
  <c r="AH8409" i="1"/>
  <c r="Q8409" i="1"/>
  <c r="AH8408" i="1"/>
  <c r="Q8408" i="1"/>
  <c r="AH8407" i="1"/>
  <c r="Q8407" i="1"/>
  <c r="AH8406" i="1"/>
  <c r="Q8406" i="1"/>
  <c r="AH8405" i="1"/>
  <c r="Q8405" i="1"/>
  <c r="AH8404" i="1"/>
  <c r="Q8404" i="1"/>
  <c r="AH8403" i="1"/>
  <c r="Q8403" i="1"/>
  <c r="AH8402" i="1"/>
  <c r="Q8402" i="1"/>
  <c r="AH8401" i="1"/>
  <c r="Q8401" i="1"/>
  <c r="AH8400" i="1"/>
  <c r="Q8400" i="1"/>
  <c r="AH8399" i="1"/>
  <c r="Q8399" i="1"/>
  <c r="AH8398" i="1"/>
  <c r="Q8398" i="1"/>
  <c r="AH8397" i="1"/>
  <c r="Q8397" i="1"/>
  <c r="AH8396" i="1"/>
  <c r="Q8396" i="1"/>
  <c r="AH8395" i="1"/>
  <c r="Q8395" i="1"/>
  <c r="AH8394" i="1"/>
  <c r="Q8394" i="1"/>
  <c r="AH8393" i="1"/>
  <c r="Q8393" i="1"/>
  <c r="AH8392" i="1"/>
  <c r="Q8392" i="1"/>
  <c r="AH8391" i="1"/>
  <c r="Q8391" i="1"/>
  <c r="AH8390" i="1"/>
  <c r="Q8390" i="1"/>
  <c r="AH8389" i="1"/>
  <c r="Q8389" i="1"/>
  <c r="AH8388" i="1"/>
  <c r="Q8388" i="1"/>
  <c r="AH8387" i="1"/>
  <c r="Q8387" i="1"/>
  <c r="AH8386" i="1"/>
  <c r="Q8386" i="1"/>
  <c r="AH8385" i="1"/>
  <c r="Q8385" i="1"/>
  <c r="AH8384" i="1"/>
  <c r="Q8384" i="1"/>
  <c r="AH8383" i="1"/>
  <c r="Q8383" i="1"/>
  <c r="AH8382" i="1"/>
  <c r="Q8382" i="1"/>
  <c r="AH8381" i="1"/>
  <c r="Q8381" i="1"/>
  <c r="AH8380" i="1"/>
  <c r="Q8380" i="1"/>
  <c r="AH8379" i="1"/>
  <c r="Q8379" i="1"/>
  <c r="AH8378" i="1"/>
  <c r="Q8378" i="1"/>
  <c r="AH8377" i="1"/>
  <c r="Q8377" i="1"/>
  <c r="AH8376" i="1"/>
  <c r="Q8376" i="1"/>
  <c r="AH8375" i="1"/>
  <c r="Q8375" i="1"/>
  <c r="AH8374" i="1"/>
  <c r="Q8374" i="1"/>
  <c r="AH8373" i="1"/>
  <c r="Q8373" i="1"/>
  <c r="AH8372" i="1"/>
  <c r="Q8372" i="1"/>
  <c r="AH8371" i="1"/>
  <c r="Q8371" i="1"/>
  <c r="AH8370" i="1"/>
  <c r="Q8370" i="1"/>
  <c r="AH8369" i="1"/>
  <c r="Q8369" i="1"/>
  <c r="AH8368" i="1"/>
  <c r="Q8368" i="1"/>
  <c r="AH8367" i="1"/>
  <c r="Q8367" i="1"/>
  <c r="AH8366" i="1"/>
  <c r="Q8366" i="1"/>
  <c r="AH8365" i="1"/>
  <c r="Q8365" i="1"/>
  <c r="AH8364" i="1"/>
  <c r="Q8364" i="1"/>
  <c r="AH8363" i="1"/>
  <c r="Q8363" i="1"/>
  <c r="AH8362" i="1"/>
  <c r="Q8362" i="1"/>
  <c r="AH8361" i="1"/>
  <c r="Q8361" i="1"/>
  <c r="AH8360" i="1"/>
  <c r="Q8360" i="1"/>
  <c r="AH8359" i="1"/>
  <c r="Q8359" i="1"/>
  <c r="AH8358" i="1"/>
  <c r="Q8358" i="1"/>
  <c r="AH8357" i="1"/>
  <c r="Q8357" i="1"/>
  <c r="AH8356" i="1"/>
  <c r="Q8356" i="1"/>
  <c r="AH8355" i="1"/>
  <c r="Q8355" i="1"/>
  <c r="AH8354" i="1"/>
  <c r="Q8354" i="1"/>
  <c r="AH8353" i="1"/>
  <c r="Q8353" i="1"/>
  <c r="AH8352" i="1"/>
  <c r="Q8352" i="1"/>
  <c r="AH8351" i="1"/>
  <c r="Q8351" i="1"/>
  <c r="AH8350" i="1"/>
  <c r="Q8350" i="1"/>
  <c r="AH8349" i="1"/>
  <c r="Q8349" i="1"/>
  <c r="AH8348" i="1"/>
  <c r="Q8348" i="1"/>
  <c r="AH8347" i="1"/>
  <c r="Q8347" i="1"/>
  <c r="AH8346" i="1"/>
  <c r="Q8346" i="1"/>
  <c r="AH8345" i="1"/>
  <c r="Q8345" i="1"/>
  <c r="AH8344" i="1"/>
  <c r="Q8344" i="1"/>
  <c r="AH8343" i="1"/>
  <c r="Q8343" i="1"/>
  <c r="AH8342" i="1"/>
  <c r="Q8342" i="1"/>
  <c r="AH8341" i="1"/>
  <c r="Q8341" i="1"/>
  <c r="AH8340" i="1"/>
  <c r="Q8340" i="1"/>
  <c r="AH8339" i="1"/>
  <c r="Q8339" i="1"/>
  <c r="AH8338" i="1"/>
  <c r="Q8338" i="1"/>
  <c r="AH8337" i="1"/>
  <c r="Q8337" i="1"/>
  <c r="AH8336" i="1"/>
  <c r="Q8336" i="1"/>
  <c r="AH8335" i="1"/>
  <c r="Q8335" i="1"/>
  <c r="AH8334" i="1"/>
  <c r="Q8334" i="1"/>
  <c r="AH8333" i="1"/>
  <c r="Q8333" i="1"/>
  <c r="AH8332" i="1"/>
  <c r="Q8332" i="1"/>
  <c r="AH8331" i="1"/>
  <c r="Q8331" i="1"/>
  <c r="AH8330" i="1"/>
  <c r="Q8330" i="1"/>
  <c r="AH8329" i="1"/>
  <c r="Q8329" i="1"/>
  <c r="AH8328" i="1"/>
  <c r="Q8328" i="1"/>
  <c r="AH8327" i="1"/>
  <c r="Q8327" i="1"/>
  <c r="AH8326" i="1"/>
  <c r="Q8326" i="1"/>
  <c r="AH8325" i="1"/>
  <c r="Q8325" i="1"/>
  <c r="AH8324" i="1"/>
  <c r="Q8324" i="1"/>
  <c r="AH8323" i="1"/>
  <c r="Q8323" i="1"/>
  <c r="AH8322" i="1"/>
  <c r="Q8322" i="1"/>
  <c r="AH8321" i="1"/>
  <c r="Q8321" i="1"/>
  <c r="AH8320" i="1"/>
  <c r="Q8320" i="1"/>
  <c r="AH8319" i="1"/>
  <c r="Q8319" i="1"/>
  <c r="AH8318" i="1"/>
  <c r="Q8318" i="1"/>
  <c r="AH8317" i="1"/>
  <c r="Q8317" i="1"/>
  <c r="AH8316" i="1"/>
  <c r="Q8316" i="1"/>
  <c r="AH8315" i="1"/>
  <c r="Q8315" i="1"/>
  <c r="AH8314" i="1"/>
  <c r="Q8314" i="1"/>
  <c r="AH8313" i="1"/>
  <c r="Q8313" i="1"/>
  <c r="AH8312" i="1"/>
  <c r="Q8312" i="1"/>
  <c r="AH8311" i="1"/>
  <c r="Q8311" i="1"/>
  <c r="AH8310" i="1"/>
  <c r="Q8310" i="1"/>
  <c r="AH8309" i="1"/>
  <c r="Q8309" i="1"/>
  <c r="AH8308" i="1"/>
  <c r="Q8308" i="1"/>
  <c r="AH8307" i="1"/>
  <c r="Q8307" i="1"/>
  <c r="AH8306" i="1"/>
  <c r="Q8306" i="1"/>
  <c r="AH8305" i="1"/>
  <c r="Q8305" i="1"/>
  <c r="AH8304" i="1"/>
  <c r="Q8304" i="1"/>
  <c r="AH8303" i="1"/>
  <c r="Q8303" i="1"/>
  <c r="AH8302" i="1"/>
  <c r="Q8302" i="1"/>
  <c r="AH8301" i="1"/>
  <c r="Q8301" i="1"/>
  <c r="AH8300" i="1"/>
  <c r="Q8300" i="1"/>
  <c r="AH8299" i="1"/>
  <c r="Q8299" i="1"/>
  <c r="AH8298" i="1"/>
  <c r="Q8298" i="1"/>
  <c r="AH8297" i="1"/>
  <c r="Q8297" i="1"/>
  <c r="AH8296" i="1"/>
  <c r="Q8296" i="1"/>
  <c r="AH8295" i="1"/>
  <c r="Q8295" i="1"/>
  <c r="AH8294" i="1"/>
  <c r="Q8294" i="1"/>
  <c r="AH8293" i="1"/>
  <c r="Q8293" i="1"/>
  <c r="AH8292" i="1"/>
  <c r="Q8292" i="1"/>
  <c r="AH8291" i="1"/>
  <c r="Q8291" i="1"/>
  <c r="AH8290" i="1"/>
  <c r="Q8290" i="1"/>
  <c r="AH8289" i="1"/>
  <c r="Q8289" i="1"/>
  <c r="AH8288" i="1"/>
  <c r="Q8288" i="1"/>
  <c r="AH8287" i="1"/>
  <c r="Q8287" i="1"/>
  <c r="AH8286" i="1"/>
  <c r="Q8286" i="1"/>
  <c r="AH8285" i="1"/>
  <c r="Q8285" i="1"/>
  <c r="AH8284" i="1"/>
  <c r="Q8284" i="1"/>
  <c r="AH8283" i="1"/>
  <c r="Q8283" i="1"/>
  <c r="AH8282" i="1"/>
  <c r="Q8282" i="1"/>
  <c r="AH8281" i="1"/>
  <c r="Q8281" i="1"/>
  <c r="AH8280" i="1"/>
  <c r="Q8280" i="1"/>
  <c r="AH8279" i="1"/>
  <c r="Q8279" i="1"/>
  <c r="AH8278" i="1"/>
  <c r="Q8278" i="1"/>
  <c r="AH8277" i="1"/>
  <c r="Q8277" i="1"/>
  <c r="AH8276" i="1"/>
  <c r="Q8276" i="1"/>
  <c r="AH8275" i="1"/>
  <c r="Q8275" i="1"/>
  <c r="AH8274" i="1"/>
  <c r="Q8274" i="1"/>
  <c r="AH8273" i="1"/>
  <c r="Q8273" i="1"/>
  <c r="AH8272" i="1"/>
  <c r="Q8272" i="1"/>
  <c r="AH8271" i="1"/>
  <c r="Q8271" i="1"/>
  <c r="AH8270" i="1"/>
  <c r="Q8270" i="1"/>
  <c r="AH8269" i="1"/>
  <c r="Q8269" i="1"/>
  <c r="AH8268" i="1"/>
  <c r="Q8268" i="1"/>
  <c r="AH8267" i="1"/>
  <c r="Q8267" i="1"/>
  <c r="AH8266" i="1"/>
  <c r="Q8266" i="1"/>
  <c r="AH8265" i="1"/>
  <c r="Q8265" i="1"/>
  <c r="AH8264" i="1"/>
  <c r="Q8264" i="1"/>
  <c r="AH8263" i="1"/>
  <c r="Q8263" i="1"/>
  <c r="AH8262" i="1"/>
  <c r="Q8262" i="1"/>
  <c r="AH8261" i="1"/>
  <c r="Q8261" i="1"/>
  <c r="AH8260" i="1"/>
  <c r="Q8260" i="1"/>
  <c r="AH8259" i="1"/>
  <c r="Q8259" i="1"/>
  <c r="AH8258" i="1"/>
  <c r="Q8258" i="1"/>
  <c r="AH8257" i="1"/>
  <c r="Q8257" i="1"/>
  <c r="AH8256" i="1"/>
  <c r="Q8256" i="1"/>
  <c r="AH8255" i="1"/>
  <c r="Q8255" i="1"/>
  <c r="AH8254" i="1"/>
  <c r="Q8254" i="1"/>
  <c r="AH8253" i="1"/>
  <c r="Q8253" i="1"/>
  <c r="AH8252" i="1"/>
  <c r="Q8252" i="1"/>
  <c r="AH8251" i="1"/>
  <c r="Q8251" i="1"/>
  <c r="AH8250" i="1"/>
  <c r="Q8250" i="1"/>
  <c r="AH8249" i="1"/>
  <c r="Q8249" i="1"/>
  <c r="AH8248" i="1"/>
  <c r="Q8248" i="1"/>
  <c r="AH8247" i="1"/>
  <c r="Q8247" i="1"/>
  <c r="AH8246" i="1"/>
  <c r="Q8246" i="1"/>
  <c r="AH8245" i="1"/>
  <c r="Q8245" i="1"/>
  <c r="AH8244" i="1"/>
  <c r="Q8244" i="1"/>
  <c r="AH8243" i="1"/>
  <c r="Q8243" i="1"/>
  <c r="AH8242" i="1"/>
  <c r="Q8242" i="1"/>
  <c r="AH8241" i="1"/>
  <c r="Q8241" i="1"/>
  <c r="AH8240" i="1"/>
  <c r="Q8240" i="1"/>
  <c r="AH8239" i="1"/>
  <c r="Q8239" i="1"/>
  <c r="AH8238" i="1"/>
  <c r="Q8238" i="1"/>
  <c r="AH8237" i="1"/>
  <c r="Q8237" i="1"/>
  <c r="AH8236" i="1"/>
  <c r="Q8236" i="1"/>
  <c r="AH8235" i="1"/>
  <c r="Q8235" i="1"/>
  <c r="AH8234" i="1"/>
  <c r="Q8234" i="1"/>
  <c r="AH8233" i="1"/>
  <c r="Q8233" i="1"/>
  <c r="AH8232" i="1"/>
  <c r="Q8232" i="1"/>
  <c r="AH8231" i="1"/>
  <c r="Q8231" i="1"/>
  <c r="AH8230" i="1"/>
  <c r="Q8230" i="1"/>
  <c r="AH8229" i="1"/>
  <c r="Q8229" i="1"/>
  <c r="AH8228" i="1"/>
  <c r="Q8228" i="1"/>
  <c r="AH8227" i="1"/>
  <c r="Q8227" i="1"/>
  <c r="AH8226" i="1"/>
  <c r="Q8226" i="1"/>
  <c r="AH8225" i="1"/>
  <c r="Q8225" i="1"/>
  <c r="AH8224" i="1"/>
  <c r="Q8224" i="1"/>
  <c r="AH8223" i="1"/>
  <c r="Q8223" i="1"/>
  <c r="AH8222" i="1"/>
  <c r="Q8222" i="1"/>
  <c r="AH8221" i="1"/>
  <c r="Q8221" i="1"/>
  <c r="AH8220" i="1"/>
  <c r="Q8220" i="1"/>
  <c r="AH8219" i="1"/>
  <c r="Q8219" i="1"/>
  <c r="AH8218" i="1"/>
  <c r="Q8218" i="1"/>
  <c r="AH8217" i="1"/>
  <c r="Q8217" i="1"/>
  <c r="AH8216" i="1"/>
  <c r="Q8216" i="1"/>
  <c r="AH8215" i="1"/>
  <c r="Q8215" i="1"/>
  <c r="AH8214" i="1"/>
  <c r="Q8214" i="1"/>
  <c r="AH8213" i="1"/>
  <c r="Q8213" i="1"/>
  <c r="AH8212" i="1"/>
  <c r="Q8212" i="1"/>
  <c r="AH8211" i="1"/>
  <c r="Q8211" i="1"/>
  <c r="AH8210" i="1"/>
  <c r="Q8210" i="1"/>
  <c r="AH8209" i="1"/>
  <c r="Q8209" i="1"/>
  <c r="AH8208" i="1"/>
  <c r="Q8208" i="1"/>
  <c r="AH8207" i="1"/>
  <c r="Q8207" i="1"/>
  <c r="AH8206" i="1"/>
  <c r="Q8206" i="1"/>
  <c r="AH8205" i="1"/>
  <c r="Q8205" i="1"/>
  <c r="AH8204" i="1"/>
  <c r="Q8204" i="1"/>
  <c r="AH8203" i="1"/>
  <c r="Q8203" i="1"/>
  <c r="AH8202" i="1"/>
  <c r="Q8202" i="1"/>
  <c r="AH8201" i="1"/>
  <c r="Q8201" i="1"/>
  <c r="AH8200" i="1"/>
  <c r="Q8200" i="1"/>
  <c r="AH8199" i="1"/>
  <c r="Q8199" i="1"/>
  <c r="AH8198" i="1"/>
  <c r="Q8198" i="1"/>
  <c r="AH8197" i="1"/>
  <c r="Q8197" i="1"/>
  <c r="AH8196" i="1"/>
  <c r="Q8196" i="1"/>
  <c r="AH8195" i="1"/>
  <c r="Q8195" i="1"/>
  <c r="AH8194" i="1"/>
  <c r="Q8194" i="1"/>
  <c r="AH8193" i="1"/>
  <c r="Q8193" i="1"/>
  <c r="AH8192" i="1"/>
  <c r="Q8192" i="1"/>
  <c r="AH8191" i="1"/>
  <c r="Q8191" i="1"/>
  <c r="AH8190" i="1"/>
  <c r="Q8190" i="1"/>
  <c r="AH8189" i="1"/>
  <c r="Q8189" i="1"/>
  <c r="AH8188" i="1"/>
  <c r="Q8188" i="1"/>
  <c r="AH8187" i="1"/>
  <c r="Q8187" i="1"/>
  <c r="AH8186" i="1"/>
  <c r="Q8186" i="1"/>
  <c r="AH8185" i="1"/>
  <c r="Q8185" i="1"/>
  <c r="AH8184" i="1"/>
  <c r="Q8184" i="1"/>
  <c r="AH8183" i="1"/>
  <c r="Q8183" i="1"/>
  <c r="AH8182" i="1"/>
  <c r="Q8182" i="1"/>
  <c r="AH8181" i="1"/>
  <c r="Q8181" i="1"/>
  <c r="AH8180" i="1"/>
  <c r="Q8180" i="1"/>
  <c r="AH8179" i="1"/>
  <c r="Q8179" i="1"/>
  <c r="AH8178" i="1"/>
  <c r="Q8178" i="1"/>
  <c r="AH8177" i="1"/>
  <c r="Q8177" i="1"/>
  <c r="AH8176" i="1"/>
  <c r="Q8176" i="1"/>
  <c r="AH8175" i="1"/>
  <c r="Q8175" i="1"/>
  <c r="AH8174" i="1"/>
  <c r="Q8174" i="1"/>
  <c r="AH8173" i="1"/>
  <c r="Q8173" i="1"/>
  <c r="AH8172" i="1"/>
  <c r="Q8172" i="1"/>
  <c r="AH8171" i="1"/>
  <c r="Q8171" i="1"/>
  <c r="AH8170" i="1"/>
  <c r="Q8170" i="1"/>
  <c r="AH8169" i="1"/>
  <c r="Q8169" i="1"/>
  <c r="AH8168" i="1"/>
  <c r="Q8168" i="1"/>
  <c r="AH8167" i="1"/>
  <c r="Q8167" i="1"/>
  <c r="AH8166" i="1"/>
  <c r="Q8166" i="1"/>
  <c r="AH8165" i="1"/>
  <c r="Q8165" i="1"/>
  <c r="AH8164" i="1"/>
  <c r="Q8164" i="1"/>
  <c r="AH8163" i="1"/>
  <c r="Q8163" i="1"/>
  <c r="AH8162" i="1"/>
  <c r="Q8162" i="1"/>
  <c r="AH8161" i="1"/>
  <c r="Q8161" i="1"/>
  <c r="AH8160" i="1"/>
  <c r="Q8160" i="1"/>
  <c r="AH8159" i="1"/>
  <c r="Q8159" i="1"/>
  <c r="AH8158" i="1"/>
  <c r="Q8158" i="1"/>
  <c r="AH8157" i="1"/>
  <c r="Q8157" i="1"/>
  <c r="AH8156" i="1"/>
  <c r="Q8156" i="1"/>
  <c r="AH8155" i="1"/>
  <c r="Q8155" i="1"/>
  <c r="AH8154" i="1"/>
  <c r="Q8154" i="1"/>
  <c r="AH8153" i="1"/>
  <c r="Q8153" i="1"/>
  <c r="AH8152" i="1"/>
  <c r="Q8152" i="1"/>
  <c r="AH8151" i="1"/>
  <c r="Q8151" i="1"/>
  <c r="AH8150" i="1"/>
  <c r="Q8150" i="1"/>
  <c r="AH8149" i="1"/>
  <c r="Q8149" i="1"/>
  <c r="O8149" i="1"/>
  <c r="AH8148" i="1"/>
  <c r="Q8148" i="1"/>
  <c r="AH8147" i="1"/>
  <c r="Q8147" i="1"/>
  <c r="AH8146" i="1"/>
  <c r="Q8146" i="1"/>
  <c r="AH8145" i="1"/>
  <c r="Q8145" i="1"/>
  <c r="AH8144" i="1"/>
  <c r="Q8144" i="1"/>
  <c r="AH8143" i="1"/>
  <c r="Q8143" i="1"/>
  <c r="AH8142" i="1"/>
  <c r="Q8142" i="1"/>
  <c r="AH8141" i="1"/>
  <c r="Q8141" i="1"/>
  <c r="AH8140" i="1"/>
  <c r="Q8140" i="1"/>
  <c r="AH8139" i="1"/>
  <c r="Q8139" i="1"/>
  <c r="AH8138" i="1"/>
  <c r="Q8138" i="1"/>
  <c r="AH8137" i="1"/>
  <c r="Q8137" i="1"/>
  <c r="AH8136" i="1"/>
  <c r="Q8136" i="1"/>
  <c r="O8136" i="1"/>
  <c r="AH8135" i="1"/>
  <c r="Q8135" i="1"/>
  <c r="AH8134" i="1"/>
  <c r="Q8134" i="1"/>
  <c r="AH8133" i="1"/>
  <c r="Q8133" i="1"/>
  <c r="O8133" i="1"/>
  <c r="AH8132" i="1"/>
  <c r="Q8132" i="1"/>
  <c r="O8132" i="1"/>
  <c r="AH8131" i="1"/>
  <c r="Q8131" i="1"/>
  <c r="O8131" i="1"/>
  <c r="AH8130" i="1"/>
  <c r="Q8130" i="1"/>
  <c r="O8130" i="1"/>
  <c r="AH8129" i="1"/>
  <c r="Q8129" i="1"/>
  <c r="AH8128" i="1"/>
  <c r="Q8128" i="1"/>
  <c r="O8128" i="1"/>
  <c r="AH8127" i="1"/>
  <c r="Q8127" i="1"/>
  <c r="O8127" i="1"/>
  <c r="AH8126" i="1"/>
  <c r="Q8126" i="1"/>
  <c r="O8126" i="1"/>
  <c r="AH8125" i="1"/>
  <c r="Q8125" i="1"/>
  <c r="AH8124" i="1"/>
  <c r="Q8124" i="1"/>
  <c r="AH8123" i="1"/>
  <c r="Q8123" i="1"/>
  <c r="AH8122" i="1"/>
  <c r="Q8122" i="1"/>
  <c r="O8122" i="1"/>
  <c r="AH8121" i="1"/>
  <c r="Q8121" i="1"/>
  <c r="O8121" i="1"/>
  <c r="AH8120" i="1"/>
  <c r="Q8120" i="1"/>
  <c r="AH8119" i="1"/>
  <c r="Q8119" i="1"/>
  <c r="O8119" i="1"/>
  <c r="AH8118" i="1"/>
  <c r="Q8118" i="1"/>
  <c r="AH8117" i="1"/>
  <c r="Q8117" i="1"/>
  <c r="AH8116" i="1"/>
  <c r="Q8116" i="1"/>
  <c r="AH8115" i="1"/>
  <c r="Q8115" i="1"/>
  <c r="AH8114" i="1"/>
  <c r="Q8114" i="1"/>
  <c r="O8114" i="1"/>
  <c r="AH8113" i="1"/>
  <c r="Q8113" i="1"/>
  <c r="O8113" i="1"/>
  <c r="AH8112" i="1"/>
  <c r="Q8112" i="1"/>
  <c r="O8112" i="1"/>
  <c r="AH8111" i="1"/>
  <c r="Q8111" i="1"/>
  <c r="O8111" i="1"/>
  <c r="AH8110" i="1"/>
  <c r="Q8110" i="1"/>
  <c r="O8110" i="1"/>
  <c r="AH8109" i="1"/>
  <c r="Q8109" i="1"/>
  <c r="AH8108" i="1"/>
  <c r="Q8108" i="1"/>
  <c r="AH8107" i="1"/>
  <c r="Q8107" i="1"/>
  <c r="AH8106" i="1"/>
  <c r="Q8106" i="1"/>
  <c r="O8106" i="1"/>
  <c r="AH8105" i="1"/>
  <c r="Q8105" i="1"/>
  <c r="AH8104" i="1"/>
  <c r="Q8104" i="1"/>
  <c r="AH8103" i="1"/>
  <c r="Q8103" i="1"/>
  <c r="AH8102" i="1"/>
  <c r="Q8102" i="1"/>
  <c r="AH8101" i="1"/>
  <c r="Q8101" i="1"/>
  <c r="O8101" i="1"/>
  <c r="AH8100" i="1"/>
  <c r="Q8100" i="1"/>
  <c r="AH8099" i="1"/>
  <c r="Q8099" i="1"/>
  <c r="AH8098" i="1"/>
  <c r="Q8098" i="1"/>
  <c r="AH8097" i="1"/>
  <c r="Q8097" i="1"/>
  <c r="O8097" i="1"/>
  <c r="AH8096" i="1"/>
  <c r="Q8096" i="1"/>
  <c r="O8096" i="1"/>
  <c r="AH8095" i="1"/>
  <c r="Q8095" i="1"/>
  <c r="O8095" i="1"/>
  <c r="AH8094" i="1"/>
  <c r="Q8094" i="1"/>
  <c r="AH8093" i="1"/>
  <c r="Q8093" i="1"/>
  <c r="O8093" i="1"/>
  <c r="AH8092" i="1"/>
  <c r="Q8092" i="1"/>
  <c r="O8092" i="1"/>
  <c r="AH8091" i="1"/>
  <c r="Q8091" i="1"/>
  <c r="O8091" i="1"/>
  <c r="AH8090" i="1"/>
  <c r="Q8090" i="1"/>
  <c r="O8090" i="1"/>
  <c r="AH8089" i="1"/>
  <c r="Q8089" i="1"/>
  <c r="O8089" i="1"/>
  <c r="AH8088" i="1"/>
  <c r="Q8088" i="1"/>
  <c r="O8088" i="1"/>
  <c r="AH8087" i="1"/>
  <c r="Q8087" i="1"/>
  <c r="AH8086" i="1"/>
  <c r="Q8086" i="1"/>
  <c r="O8086" i="1"/>
  <c r="AH8085" i="1"/>
  <c r="Q8085" i="1"/>
  <c r="AH8084" i="1"/>
  <c r="Q8084" i="1"/>
  <c r="O8084" i="1"/>
  <c r="AH8083" i="1"/>
  <c r="Q8083" i="1"/>
  <c r="O8083" i="1"/>
  <c r="AH8082" i="1"/>
  <c r="Q8082" i="1"/>
  <c r="O8082" i="1"/>
  <c r="AH8081" i="1"/>
  <c r="Q8081" i="1"/>
  <c r="O8081" i="1"/>
  <c r="AH8080" i="1"/>
  <c r="Q8080" i="1"/>
  <c r="O8080" i="1"/>
  <c r="AH8079" i="1"/>
  <c r="Q8079" i="1"/>
  <c r="O8079" i="1"/>
  <c r="AH8078" i="1"/>
  <c r="Q8078" i="1"/>
  <c r="O8078" i="1"/>
  <c r="AH8077" i="1"/>
  <c r="Q8077" i="1"/>
  <c r="O8077" i="1"/>
  <c r="AH8076" i="1"/>
  <c r="Q8076" i="1"/>
  <c r="O8076" i="1"/>
  <c r="AH8075" i="1"/>
  <c r="Q8075" i="1"/>
  <c r="O8075" i="1"/>
  <c r="AH8074" i="1"/>
  <c r="Q8074" i="1"/>
  <c r="O8074" i="1"/>
  <c r="AH8073" i="1"/>
  <c r="Q8073" i="1"/>
  <c r="AH8072" i="1"/>
  <c r="Q8072" i="1"/>
  <c r="O8072" i="1"/>
  <c r="AH8071" i="1"/>
  <c r="Q8071" i="1"/>
  <c r="O8071" i="1"/>
  <c r="AH8070" i="1"/>
  <c r="Q8070" i="1"/>
  <c r="O8070" i="1"/>
  <c r="AH8069" i="1"/>
  <c r="Q8069" i="1"/>
  <c r="O8069" i="1"/>
  <c r="AH8068" i="1"/>
  <c r="Q8068" i="1"/>
  <c r="AH8067" i="1"/>
  <c r="Q8067" i="1"/>
  <c r="O8067" i="1"/>
  <c r="AH8066" i="1"/>
  <c r="Q8066" i="1"/>
  <c r="AH8065" i="1"/>
  <c r="Q8065" i="1"/>
  <c r="AH8064" i="1"/>
  <c r="Q8064" i="1"/>
  <c r="AH8063" i="1"/>
  <c r="Q8063" i="1"/>
  <c r="AH8062" i="1"/>
  <c r="Q8062" i="1"/>
  <c r="AH8061" i="1"/>
  <c r="Q8061" i="1"/>
  <c r="O8061" i="1"/>
  <c r="AH8060" i="1"/>
  <c r="Q8060" i="1"/>
  <c r="O8060" i="1"/>
  <c r="AH8059" i="1"/>
  <c r="Q8059" i="1"/>
  <c r="O8059" i="1"/>
  <c r="AH8058" i="1"/>
  <c r="Q8058" i="1"/>
  <c r="O8058" i="1"/>
  <c r="AH8057" i="1"/>
  <c r="Q8057" i="1"/>
  <c r="O8057" i="1"/>
  <c r="AH8056" i="1"/>
  <c r="Q8056" i="1"/>
  <c r="O8056" i="1"/>
  <c r="AH8055" i="1"/>
  <c r="Q8055" i="1"/>
  <c r="O8055" i="1"/>
  <c r="AH8054" i="1"/>
  <c r="Q8054" i="1"/>
  <c r="AH8053" i="1"/>
  <c r="Q8053" i="1"/>
  <c r="O8053" i="1"/>
  <c r="AH8052" i="1"/>
  <c r="Q8052" i="1"/>
  <c r="AH8051" i="1"/>
  <c r="Q8051" i="1"/>
  <c r="O8051" i="1"/>
  <c r="AH8050" i="1"/>
  <c r="Q8050" i="1"/>
  <c r="AH8049" i="1"/>
  <c r="Q8049" i="1"/>
  <c r="O8049" i="1"/>
  <c r="AH8048" i="1"/>
  <c r="Q8048" i="1"/>
  <c r="AH8047" i="1"/>
  <c r="Q8047" i="1"/>
  <c r="O8047" i="1"/>
  <c r="AH8046" i="1"/>
  <c r="Q8046" i="1"/>
  <c r="O8046" i="1"/>
  <c r="AH8045" i="1"/>
  <c r="Q8045" i="1"/>
  <c r="AH8044" i="1"/>
  <c r="Q8044" i="1"/>
  <c r="O8044" i="1"/>
  <c r="AH8043" i="1"/>
  <c r="Q8043" i="1"/>
  <c r="O8043" i="1"/>
  <c r="AH8042" i="1"/>
  <c r="Q8042" i="1"/>
  <c r="AH8041" i="1"/>
  <c r="Q8041" i="1"/>
  <c r="O8041" i="1"/>
  <c r="AH8040" i="1"/>
  <c r="Q8040" i="1"/>
  <c r="AH8039" i="1"/>
  <c r="Q8039" i="1"/>
  <c r="O8039" i="1"/>
  <c r="AH8038" i="1"/>
  <c r="Q8038" i="1"/>
  <c r="O8038" i="1"/>
  <c r="AH8037" i="1"/>
  <c r="Q8037" i="1"/>
  <c r="AH8036" i="1"/>
  <c r="Q8036" i="1"/>
  <c r="O8036" i="1"/>
  <c r="AH8035" i="1"/>
  <c r="Q8035" i="1"/>
  <c r="O8035" i="1"/>
  <c r="AH8034" i="1"/>
  <c r="Q8034" i="1"/>
  <c r="AH8033" i="1"/>
  <c r="Q8033" i="1"/>
  <c r="AH8032" i="1"/>
  <c r="Q8032" i="1"/>
  <c r="O8032" i="1"/>
  <c r="AH8031" i="1"/>
  <c r="Q8031" i="1"/>
  <c r="AH8030" i="1"/>
  <c r="Q8030" i="1"/>
  <c r="O8030" i="1"/>
  <c r="AH8029" i="1"/>
  <c r="Q8029" i="1"/>
  <c r="O8029" i="1"/>
  <c r="AH8028" i="1"/>
  <c r="Q8028" i="1"/>
  <c r="O8028" i="1"/>
  <c r="AH8027" i="1"/>
  <c r="Q8027" i="1"/>
  <c r="AH8026" i="1"/>
  <c r="Q8026" i="1"/>
  <c r="O8026" i="1"/>
  <c r="AH8025" i="1"/>
  <c r="Q8025" i="1"/>
  <c r="AH8024" i="1"/>
  <c r="Q8024" i="1"/>
  <c r="O8024" i="1"/>
  <c r="AH8023" i="1"/>
  <c r="Q8023" i="1"/>
  <c r="AH8022" i="1"/>
  <c r="Q8022" i="1"/>
  <c r="O8022" i="1"/>
  <c r="AH8021" i="1"/>
  <c r="Q8021" i="1"/>
  <c r="O8021" i="1"/>
  <c r="AH8020" i="1"/>
  <c r="Q8020" i="1"/>
  <c r="O8020" i="1"/>
  <c r="AH8019" i="1"/>
  <c r="Q8019" i="1"/>
  <c r="O8019" i="1"/>
  <c r="AH8018" i="1"/>
  <c r="Q8018" i="1"/>
  <c r="O8018" i="1"/>
  <c r="AH8017" i="1"/>
  <c r="Q8017" i="1"/>
  <c r="O8017" i="1"/>
  <c r="AH8016" i="1"/>
  <c r="Q8016" i="1"/>
  <c r="O8016" i="1"/>
  <c r="AH8015" i="1"/>
  <c r="Q8015" i="1"/>
  <c r="O8015" i="1"/>
  <c r="AH8014" i="1"/>
  <c r="Q8014" i="1"/>
  <c r="O8014" i="1"/>
  <c r="AH8013" i="1"/>
  <c r="Q8013" i="1"/>
  <c r="O8013" i="1"/>
  <c r="AH8012" i="1"/>
  <c r="Q8012" i="1"/>
  <c r="AH8011" i="1"/>
  <c r="Q8011" i="1"/>
  <c r="O8011" i="1"/>
  <c r="AH8010" i="1"/>
  <c r="Q8010" i="1"/>
  <c r="AH8009" i="1"/>
  <c r="Q8009" i="1"/>
  <c r="AH8008" i="1"/>
  <c r="Q8008" i="1"/>
  <c r="AH8007" i="1"/>
  <c r="Q8007" i="1"/>
  <c r="AH8006" i="1"/>
  <c r="Q8006" i="1"/>
  <c r="AH8005" i="1"/>
  <c r="Q8005" i="1"/>
  <c r="O8005" i="1"/>
  <c r="AH8004" i="1"/>
  <c r="Q8004" i="1"/>
  <c r="O8004" i="1"/>
  <c r="AH8003" i="1"/>
  <c r="Q8003" i="1"/>
  <c r="O8003" i="1"/>
  <c r="AH8002" i="1"/>
  <c r="Q8002" i="1"/>
  <c r="O8002" i="1"/>
  <c r="AH8001" i="1"/>
  <c r="Q8001" i="1"/>
  <c r="O8001" i="1"/>
  <c r="AH8000" i="1"/>
  <c r="Q8000" i="1"/>
  <c r="AH7999" i="1"/>
  <c r="Q7999" i="1"/>
  <c r="O7999" i="1"/>
  <c r="AH7998" i="1"/>
  <c r="Q7998" i="1"/>
  <c r="AH7997" i="1"/>
  <c r="Q7997" i="1"/>
  <c r="AH7996" i="1"/>
  <c r="Q7996" i="1"/>
  <c r="O7996" i="1"/>
  <c r="AH7995" i="1"/>
  <c r="Q7995" i="1"/>
  <c r="O7995" i="1"/>
  <c r="AH7994" i="1"/>
  <c r="Q7994" i="1"/>
  <c r="O7994" i="1"/>
  <c r="AH7993" i="1"/>
  <c r="Q7993" i="1"/>
  <c r="O7993" i="1"/>
  <c r="AH7992" i="1"/>
  <c r="Q7992" i="1"/>
  <c r="O7992" i="1"/>
  <c r="AH7991" i="1"/>
  <c r="Q7991" i="1"/>
  <c r="AH7990" i="1"/>
  <c r="Q7990" i="1"/>
  <c r="O7990" i="1"/>
  <c r="AH7989" i="1"/>
  <c r="Q7989" i="1"/>
  <c r="O7989" i="1"/>
  <c r="AH7988" i="1"/>
  <c r="Q7988" i="1"/>
  <c r="O7988" i="1"/>
  <c r="AH7987" i="1"/>
  <c r="Q7987" i="1"/>
  <c r="AH7986" i="1"/>
  <c r="Q7986" i="1"/>
  <c r="O7986" i="1"/>
  <c r="AH7985" i="1"/>
  <c r="Q7985" i="1"/>
  <c r="O7985" i="1"/>
  <c r="AH7984" i="1"/>
  <c r="Q7984" i="1"/>
  <c r="O7984" i="1"/>
  <c r="AH7983" i="1"/>
  <c r="Q7983" i="1"/>
  <c r="O7983" i="1"/>
  <c r="AH7982" i="1"/>
  <c r="Q7982" i="1"/>
  <c r="O7982" i="1"/>
  <c r="AH7981" i="1"/>
  <c r="Q7981" i="1"/>
  <c r="O7981" i="1"/>
  <c r="AH7980" i="1"/>
  <c r="Q7980" i="1"/>
  <c r="O7980" i="1"/>
  <c r="AH7979" i="1"/>
  <c r="Q7979" i="1"/>
  <c r="O7979" i="1"/>
  <c r="AH7978" i="1"/>
  <c r="Q7978" i="1"/>
  <c r="O7978" i="1"/>
  <c r="AH7977" i="1"/>
  <c r="Q7977" i="1"/>
  <c r="O7977" i="1"/>
  <c r="AH7976" i="1"/>
  <c r="Q7976" i="1"/>
  <c r="AH7975" i="1"/>
  <c r="Q7975" i="1"/>
  <c r="O7975" i="1"/>
  <c r="AH7974" i="1"/>
  <c r="Q7974" i="1"/>
  <c r="AH7973" i="1"/>
  <c r="Q7973" i="1"/>
  <c r="AH7972" i="1"/>
  <c r="Q7972" i="1"/>
  <c r="O7972" i="1"/>
  <c r="AH7971" i="1"/>
  <c r="Q7971" i="1"/>
  <c r="O7971" i="1"/>
  <c r="AH7970" i="1"/>
  <c r="Q7970" i="1"/>
  <c r="O7970" i="1"/>
  <c r="AH7969" i="1"/>
  <c r="Q7969" i="1"/>
  <c r="O7969" i="1"/>
  <c r="AH7968" i="1"/>
  <c r="Q7968" i="1"/>
  <c r="O7968" i="1"/>
  <c r="AH7967" i="1"/>
  <c r="Q7967" i="1"/>
  <c r="AH7966" i="1"/>
  <c r="Q7966" i="1"/>
  <c r="O7966" i="1"/>
  <c r="AH7965" i="1"/>
  <c r="Q7965" i="1"/>
  <c r="O7965" i="1"/>
  <c r="AH7964" i="1"/>
  <c r="Q7964" i="1"/>
  <c r="O7964" i="1"/>
  <c r="AH7963" i="1"/>
  <c r="Q7963" i="1"/>
  <c r="O7963" i="1"/>
  <c r="AH7962" i="1"/>
  <c r="Q7962" i="1"/>
  <c r="AH7961" i="1"/>
  <c r="Q7961" i="1"/>
  <c r="O7961" i="1"/>
  <c r="AH7960" i="1"/>
  <c r="Q7960" i="1"/>
  <c r="O7960" i="1"/>
  <c r="AH7959" i="1"/>
  <c r="Q7959" i="1"/>
  <c r="O7959" i="1"/>
  <c r="AH7958" i="1"/>
  <c r="Q7958" i="1"/>
  <c r="O7958" i="1"/>
  <c r="AH7957" i="1"/>
  <c r="Q7957" i="1"/>
  <c r="O7957" i="1"/>
  <c r="AH7956" i="1"/>
  <c r="Q7956" i="1"/>
  <c r="O7956" i="1"/>
  <c r="AH7955" i="1"/>
  <c r="Q7955" i="1"/>
  <c r="O7955" i="1"/>
  <c r="AH7954" i="1"/>
  <c r="Q7954" i="1"/>
  <c r="AH7953" i="1"/>
  <c r="Q7953" i="1"/>
  <c r="O7953" i="1"/>
  <c r="AH7952" i="1"/>
  <c r="Q7952" i="1"/>
  <c r="O7952" i="1"/>
  <c r="AH7951" i="1"/>
  <c r="Q7951" i="1"/>
  <c r="O7951" i="1"/>
  <c r="AH7950" i="1"/>
  <c r="Q7950" i="1"/>
  <c r="O7950" i="1"/>
  <c r="AH7949" i="1"/>
  <c r="Q7949" i="1"/>
  <c r="O7949" i="1"/>
  <c r="AH7948" i="1"/>
  <c r="Q7948" i="1"/>
  <c r="O7948" i="1"/>
  <c r="AH7947" i="1"/>
  <c r="Q7947" i="1"/>
  <c r="O7947" i="1"/>
  <c r="AH7946" i="1"/>
  <c r="Q7946" i="1"/>
  <c r="O7946" i="1"/>
  <c r="AH7945" i="1"/>
  <c r="Q7945" i="1"/>
  <c r="O7945" i="1"/>
  <c r="AH7944" i="1"/>
  <c r="Q7944" i="1"/>
  <c r="O7944" i="1"/>
  <c r="AH7943" i="1"/>
  <c r="Q7943" i="1"/>
  <c r="O7943" i="1"/>
  <c r="AH7942" i="1"/>
  <c r="Q7942" i="1"/>
  <c r="O7942" i="1"/>
  <c r="AH7941" i="1"/>
  <c r="Q7941" i="1"/>
  <c r="O7941" i="1"/>
  <c r="AH7940" i="1"/>
  <c r="Q7940" i="1"/>
  <c r="O7940" i="1"/>
  <c r="AH7939" i="1"/>
  <c r="Q7939" i="1"/>
  <c r="O7939" i="1"/>
  <c r="AH7938" i="1"/>
  <c r="Q7938" i="1"/>
  <c r="O7938" i="1"/>
  <c r="AH7937" i="1"/>
  <c r="Q7937" i="1"/>
  <c r="AH7936" i="1"/>
  <c r="Q7936" i="1"/>
  <c r="O7936" i="1"/>
  <c r="AH7935" i="1"/>
  <c r="Q7935" i="1"/>
  <c r="AH7934" i="1"/>
  <c r="Q7934" i="1"/>
  <c r="O7934" i="1"/>
  <c r="AH7933" i="1"/>
  <c r="Q7933" i="1"/>
  <c r="O7933" i="1"/>
  <c r="AH7932" i="1"/>
  <c r="Q7932" i="1"/>
  <c r="O7932" i="1"/>
  <c r="AH7931" i="1"/>
  <c r="Q7931" i="1"/>
  <c r="O7931" i="1"/>
  <c r="AH7930" i="1"/>
  <c r="Q7930" i="1"/>
  <c r="O7930" i="1"/>
  <c r="AH7929" i="1"/>
  <c r="Q7929" i="1"/>
  <c r="O7929" i="1"/>
  <c r="AH7928" i="1"/>
  <c r="Q7928" i="1"/>
  <c r="AH7927" i="1"/>
  <c r="Q7927" i="1"/>
  <c r="O7927" i="1"/>
  <c r="AH7926" i="1"/>
  <c r="Q7926" i="1"/>
  <c r="O7926" i="1"/>
  <c r="AH7925" i="1"/>
  <c r="Q7925" i="1"/>
  <c r="O7925" i="1"/>
  <c r="AH7924" i="1"/>
  <c r="Q7924" i="1"/>
  <c r="O7924" i="1"/>
  <c r="AH7923" i="1"/>
  <c r="Q7923" i="1"/>
  <c r="O7923" i="1"/>
  <c r="AH7922" i="1"/>
  <c r="Q7922" i="1"/>
  <c r="O7922" i="1"/>
  <c r="AH7921" i="1"/>
  <c r="Q7921" i="1"/>
  <c r="O7921" i="1"/>
  <c r="AH7920" i="1"/>
  <c r="Q7920" i="1"/>
  <c r="O7920" i="1"/>
  <c r="AH7919" i="1"/>
  <c r="Q7919" i="1"/>
  <c r="AH7918" i="1"/>
  <c r="Q7918" i="1"/>
  <c r="O7918" i="1"/>
  <c r="AH7917" i="1"/>
  <c r="Q7917" i="1"/>
  <c r="O7917" i="1"/>
  <c r="AH7916" i="1"/>
  <c r="Q7916" i="1"/>
  <c r="O7916" i="1"/>
  <c r="AH7915" i="1"/>
  <c r="Q7915" i="1"/>
  <c r="AH7914" i="1"/>
  <c r="Q7914" i="1"/>
  <c r="O7914" i="1"/>
  <c r="AH7913" i="1"/>
  <c r="Q7913" i="1"/>
  <c r="O7913" i="1"/>
  <c r="AH7912" i="1"/>
  <c r="Q7912" i="1"/>
  <c r="AH7911" i="1"/>
  <c r="Q7911" i="1"/>
  <c r="O7911" i="1"/>
  <c r="AH7910" i="1"/>
  <c r="Q7910" i="1"/>
  <c r="O7910" i="1"/>
  <c r="AH7909" i="1"/>
  <c r="Q7909" i="1"/>
  <c r="O7909" i="1"/>
  <c r="AH7908" i="1"/>
  <c r="Q7908" i="1"/>
  <c r="O7908" i="1"/>
  <c r="AH7907" i="1"/>
  <c r="Q7907" i="1"/>
  <c r="O7907" i="1"/>
  <c r="AH7906" i="1"/>
  <c r="Q7906" i="1"/>
  <c r="AH7905" i="1"/>
  <c r="Q7905" i="1"/>
  <c r="O7905" i="1"/>
  <c r="AH7904" i="1"/>
  <c r="Q7904" i="1"/>
  <c r="AH7903" i="1"/>
  <c r="Q7903" i="1"/>
  <c r="O7903" i="1"/>
  <c r="AH7902" i="1"/>
  <c r="Q7902" i="1"/>
  <c r="O7902" i="1"/>
  <c r="AH7901" i="1"/>
  <c r="Q7901" i="1"/>
  <c r="O7901" i="1"/>
  <c r="AH7900" i="1"/>
  <c r="Q7900" i="1"/>
  <c r="AH7899" i="1"/>
  <c r="Q7899" i="1"/>
  <c r="O7899" i="1"/>
  <c r="AH7898" i="1"/>
  <c r="Q7898" i="1"/>
  <c r="O7898" i="1"/>
  <c r="AH7897" i="1"/>
  <c r="Q7897" i="1"/>
  <c r="O7897" i="1"/>
  <c r="AH7896" i="1"/>
  <c r="Q7896" i="1"/>
  <c r="O7896" i="1"/>
  <c r="AH7895" i="1"/>
  <c r="Q7895" i="1"/>
  <c r="O7895" i="1"/>
  <c r="AH7894" i="1"/>
  <c r="Q7894" i="1"/>
  <c r="O7894" i="1"/>
  <c r="AH7893" i="1"/>
  <c r="Q7893" i="1"/>
  <c r="O7893" i="1"/>
  <c r="AH7892" i="1"/>
  <c r="Q7892" i="1"/>
  <c r="O7892" i="1"/>
  <c r="AH7891" i="1"/>
  <c r="Q7891" i="1"/>
  <c r="AH7890" i="1"/>
  <c r="Q7890" i="1"/>
  <c r="O7890" i="1"/>
  <c r="AH7889" i="1"/>
  <c r="Q7889" i="1"/>
  <c r="AH7888" i="1"/>
  <c r="Q7888" i="1"/>
  <c r="AH7887" i="1"/>
  <c r="Q7887" i="1"/>
  <c r="AH7886" i="1"/>
  <c r="Q7886" i="1"/>
  <c r="O7886" i="1"/>
  <c r="AH7885" i="1"/>
  <c r="Q7885" i="1"/>
  <c r="AH7884" i="1"/>
  <c r="Q7884" i="1"/>
  <c r="O7884" i="1"/>
  <c r="AH7883" i="1"/>
  <c r="Q7883" i="1"/>
  <c r="O7883" i="1"/>
  <c r="AH7882" i="1"/>
  <c r="Q7882" i="1"/>
  <c r="AH7881" i="1"/>
  <c r="Q7881" i="1"/>
  <c r="O7881" i="1"/>
  <c r="AH7880" i="1"/>
  <c r="Q7880" i="1"/>
  <c r="O7880" i="1"/>
  <c r="AH7879" i="1"/>
  <c r="Q7879" i="1"/>
  <c r="O7879" i="1"/>
  <c r="AH7878" i="1"/>
  <c r="Q7878" i="1"/>
  <c r="O7878" i="1"/>
  <c r="AH7877" i="1"/>
  <c r="Q7877" i="1"/>
  <c r="O7877" i="1"/>
  <c r="AH7876" i="1"/>
  <c r="Q7876" i="1"/>
  <c r="O7876" i="1"/>
  <c r="AH7875" i="1"/>
  <c r="Q7875" i="1"/>
  <c r="O7875" i="1"/>
  <c r="AH7874" i="1"/>
  <c r="Q7874" i="1"/>
  <c r="O7874" i="1"/>
  <c r="AH7873" i="1"/>
  <c r="Q7873" i="1"/>
  <c r="AH7872" i="1"/>
  <c r="Q7872" i="1"/>
  <c r="O7872" i="1"/>
  <c r="AH7871" i="1"/>
  <c r="Q7871" i="1"/>
  <c r="AH7870" i="1"/>
  <c r="Q7870" i="1"/>
  <c r="O7870" i="1"/>
  <c r="AH7869" i="1"/>
  <c r="Q7869" i="1"/>
  <c r="O7869" i="1"/>
  <c r="AH7868" i="1"/>
  <c r="Q7868" i="1"/>
  <c r="O7868" i="1"/>
  <c r="AH7867" i="1"/>
  <c r="Q7867" i="1"/>
  <c r="O7867" i="1"/>
  <c r="AH7866" i="1"/>
  <c r="Q7866" i="1"/>
  <c r="AH7865" i="1"/>
  <c r="Q7865" i="1"/>
  <c r="O7865" i="1"/>
  <c r="AH7864" i="1"/>
  <c r="Q7864" i="1"/>
  <c r="O7864" i="1"/>
  <c r="AH7863" i="1"/>
  <c r="Q7863" i="1"/>
  <c r="O7863" i="1"/>
  <c r="AH7862" i="1"/>
  <c r="Q7862" i="1"/>
  <c r="O7862" i="1"/>
  <c r="AH7861" i="1"/>
  <c r="Q7861" i="1"/>
  <c r="O7861" i="1"/>
  <c r="AH7860" i="1"/>
  <c r="Q7860" i="1"/>
  <c r="O7860" i="1"/>
  <c r="AH7859" i="1"/>
  <c r="Q7859" i="1"/>
  <c r="O7859" i="1"/>
  <c r="AH7858" i="1"/>
  <c r="Q7858" i="1"/>
  <c r="AH7857" i="1"/>
  <c r="Q7857" i="1"/>
  <c r="O7857" i="1"/>
  <c r="AH7856" i="1"/>
  <c r="Q7856" i="1"/>
  <c r="AH7855" i="1"/>
  <c r="Q7855" i="1"/>
  <c r="AH7854" i="1"/>
  <c r="Q7854" i="1"/>
  <c r="O7854" i="1"/>
  <c r="AH7853" i="1"/>
  <c r="Q7853" i="1"/>
  <c r="AH7852" i="1"/>
  <c r="Q7852" i="1"/>
  <c r="O7852" i="1"/>
  <c r="AH7851" i="1"/>
  <c r="Q7851" i="1"/>
  <c r="O7851" i="1"/>
  <c r="AH7850" i="1"/>
  <c r="Q7850" i="1"/>
  <c r="O7850" i="1"/>
  <c r="AH7849" i="1"/>
  <c r="Q7849" i="1"/>
  <c r="O7849" i="1"/>
  <c r="AH7848" i="1"/>
  <c r="Q7848" i="1"/>
  <c r="O7848" i="1"/>
  <c r="AH7847" i="1"/>
  <c r="Q7847" i="1"/>
  <c r="AH7846" i="1"/>
  <c r="Q7846" i="1"/>
  <c r="O7846" i="1"/>
  <c r="AH7845" i="1"/>
  <c r="Q7845" i="1"/>
  <c r="O7845" i="1"/>
  <c r="AH7844" i="1"/>
  <c r="Q7844" i="1"/>
  <c r="O7844" i="1"/>
  <c r="AH7843" i="1"/>
  <c r="Q7843" i="1"/>
  <c r="O7843" i="1"/>
  <c r="AH7842" i="1"/>
  <c r="Q7842" i="1"/>
  <c r="O7842" i="1"/>
  <c r="AH7841" i="1"/>
  <c r="Q7841" i="1"/>
  <c r="O7841" i="1"/>
  <c r="AH7840" i="1"/>
  <c r="Q7840" i="1"/>
  <c r="O7840" i="1"/>
  <c r="AH7839" i="1"/>
  <c r="Q7839" i="1"/>
  <c r="AH7838" i="1"/>
  <c r="Q7838" i="1"/>
  <c r="AH7837" i="1"/>
  <c r="Q7837" i="1"/>
  <c r="AH7836" i="1"/>
  <c r="Q7836" i="1"/>
  <c r="AH7835" i="1"/>
  <c r="Q7835" i="1"/>
  <c r="AH7834" i="1"/>
  <c r="Q7834" i="1"/>
  <c r="AH7833" i="1"/>
  <c r="Q7833" i="1"/>
  <c r="O7833" i="1"/>
  <c r="AH7832" i="1"/>
  <c r="Q7832" i="1"/>
  <c r="O7832" i="1"/>
  <c r="AH7831" i="1"/>
  <c r="Q7831" i="1"/>
  <c r="O7831" i="1"/>
  <c r="AH7830" i="1"/>
  <c r="Q7830" i="1"/>
  <c r="O7830" i="1"/>
  <c r="AH7829" i="1"/>
  <c r="Q7829" i="1"/>
  <c r="AH7828" i="1"/>
  <c r="Q7828" i="1"/>
  <c r="O7828" i="1"/>
  <c r="AH7827" i="1"/>
  <c r="Q7827" i="1"/>
  <c r="O7827" i="1"/>
  <c r="AH7826" i="1"/>
  <c r="Q7826" i="1"/>
  <c r="AH7825" i="1"/>
  <c r="Q7825" i="1"/>
  <c r="AH7824" i="1"/>
  <c r="Q7824" i="1"/>
  <c r="O7824" i="1"/>
  <c r="AH7823" i="1"/>
  <c r="Q7823" i="1"/>
  <c r="O7823" i="1"/>
  <c r="AH7822" i="1"/>
  <c r="Q7822" i="1"/>
  <c r="O7822" i="1"/>
  <c r="AH7821" i="1"/>
  <c r="Q7821" i="1"/>
  <c r="O7821" i="1"/>
  <c r="AH7820" i="1"/>
  <c r="Q7820" i="1"/>
  <c r="O7820" i="1"/>
  <c r="AH7819" i="1"/>
  <c r="Q7819" i="1"/>
  <c r="O7819" i="1"/>
  <c r="AH7818" i="1"/>
  <c r="Q7818" i="1"/>
  <c r="O7818" i="1"/>
  <c r="AH7817" i="1"/>
  <c r="Q7817" i="1"/>
  <c r="AH7816" i="1"/>
  <c r="Q7816" i="1"/>
  <c r="AH7815" i="1"/>
  <c r="Q7815" i="1"/>
  <c r="O7815" i="1"/>
  <c r="AH7814" i="1"/>
  <c r="Q7814" i="1"/>
  <c r="O7814" i="1"/>
  <c r="AH7813" i="1"/>
  <c r="Q7813" i="1"/>
  <c r="O7813" i="1"/>
  <c r="AH7812" i="1"/>
  <c r="Q7812" i="1"/>
  <c r="AH7811" i="1"/>
  <c r="Q7811" i="1"/>
  <c r="O7811" i="1"/>
  <c r="AH7810" i="1"/>
  <c r="Q7810" i="1"/>
  <c r="AH7809" i="1"/>
  <c r="Q7809" i="1"/>
  <c r="AH7808" i="1"/>
  <c r="Q7808" i="1"/>
  <c r="AH7807" i="1"/>
  <c r="Q7807" i="1"/>
  <c r="AH7806" i="1"/>
  <c r="Q7806" i="1"/>
  <c r="O7806" i="1"/>
  <c r="AH7805" i="1"/>
  <c r="Q7805" i="1"/>
  <c r="O7805" i="1"/>
  <c r="AH7804" i="1"/>
  <c r="Q7804" i="1"/>
  <c r="O7804" i="1"/>
  <c r="AH7803" i="1"/>
  <c r="Q7803" i="1"/>
  <c r="AH7802" i="1"/>
  <c r="Q7802" i="1"/>
  <c r="O7802" i="1"/>
  <c r="AH7801" i="1"/>
  <c r="Q7801" i="1"/>
  <c r="O7801" i="1"/>
  <c r="AH7800" i="1"/>
  <c r="Q7800" i="1"/>
  <c r="AH7799" i="1"/>
  <c r="Q7799" i="1"/>
  <c r="AH7798" i="1"/>
  <c r="Q7798" i="1"/>
  <c r="AH7797" i="1"/>
  <c r="Q7797" i="1"/>
  <c r="O7797" i="1"/>
  <c r="AH7796" i="1"/>
  <c r="Q7796" i="1"/>
  <c r="O7796" i="1"/>
  <c r="AH7795" i="1"/>
  <c r="Q7795" i="1"/>
  <c r="AH7794" i="1"/>
  <c r="Q7794" i="1"/>
  <c r="AH7793" i="1"/>
  <c r="Q7793" i="1"/>
  <c r="O7793" i="1"/>
  <c r="AH7792" i="1"/>
  <c r="Q7792" i="1"/>
  <c r="O7792" i="1"/>
  <c r="AH7791" i="1"/>
  <c r="Q7791" i="1"/>
  <c r="AH7790" i="1"/>
  <c r="Q7790" i="1"/>
  <c r="O7790" i="1"/>
  <c r="AH7789" i="1"/>
  <c r="Q7789" i="1"/>
  <c r="O7789" i="1"/>
  <c r="AH7788" i="1"/>
  <c r="Q7788" i="1"/>
  <c r="AH7787" i="1"/>
  <c r="Q7787" i="1"/>
  <c r="AH7786" i="1"/>
  <c r="Q7786" i="1"/>
  <c r="O7786" i="1"/>
  <c r="AH7785" i="1"/>
  <c r="Q7785" i="1"/>
  <c r="O7785" i="1"/>
  <c r="AH7784" i="1"/>
  <c r="Q7784" i="1"/>
  <c r="O7784" i="1"/>
  <c r="AH7783" i="1"/>
  <c r="Q7783" i="1"/>
  <c r="O7783" i="1"/>
  <c r="AH7782" i="1"/>
  <c r="Q7782" i="1"/>
  <c r="AH7781" i="1"/>
  <c r="Q7781" i="1"/>
  <c r="O7781" i="1"/>
  <c r="AH7780" i="1"/>
  <c r="Q7780" i="1"/>
  <c r="O7780" i="1"/>
  <c r="AH7779" i="1"/>
  <c r="Q7779" i="1"/>
  <c r="AH7778" i="1"/>
  <c r="Q7778" i="1"/>
  <c r="AH7777" i="1"/>
  <c r="Q7777" i="1"/>
  <c r="O7777" i="1"/>
  <c r="AH7776" i="1"/>
  <c r="Q7776" i="1"/>
  <c r="AH7775" i="1"/>
  <c r="Q7775" i="1"/>
  <c r="O7775" i="1"/>
  <c r="AH7774" i="1"/>
  <c r="Q7774" i="1"/>
  <c r="O7774" i="1"/>
  <c r="AH7773" i="1"/>
  <c r="Q7773" i="1"/>
  <c r="O7773" i="1"/>
  <c r="AH7772" i="1"/>
  <c r="Q7772" i="1"/>
  <c r="O7772" i="1"/>
  <c r="AH7771" i="1"/>
  <c r="Q7771" i="1"/>
  <c r="AH7770" i="1"/>
  <c r="Q7770" i="1"/>
  <c r="O7770" i="1"/>
  <c r="AH7769" i="1"/>
  <c r="Q7769" i="1"/>
  <c r="O7769" i="1"/>
  <c r="AH7768" i="1"/>
  <c r="Q7768" i="1"/>
  <c r="O7768" i="1"/>
  <c r="AH7767" i="1"/>
  <c r="Q7767" i="1"/>
  <c r="O7767" i="1"/>
  <c r="AH7766" i="1"/>
  <c r="Q7766" i="1"/>
  <c r="O7766" i="1"/>
  <c r="AH7765" i="1"/>
  <c r="Q7765" i="1"/>
  <c r="O7765" i="1"/>
  <c r="AH7764" i="1"/>
  <c r="Q7764" i="1"/>
  <c r="O7764" i="1"/>
  <c r="AH7763" i="1"/>
  <c r="Q7763" i="1"/>
  <c r="O7763" i="1"/>
  <c r="AH7762" i="1"/>
  <c r="Q7762" i="1"/>
  <c r="O7762" i="1"/>
  <c r="AH7761" i="1"/>
  <c r="Q7761" i="1"/>
  <c r="AH7760" i="1"/>
  <c r="Q7760" i="1"/>
  <c r="O7760" i="1"/>
  <c r="AH7759" i="1"/>
  <c r="Q7759" i="1"/>
  <c r="O7759" i="1"/>
  <c r="AH7758" i="1"/>
  <c r="Q7758" i="1"/>
  <c r="O7758" i="1"/>
  <c r="AH7757" i="1"/>
  <c r="Q7757" i="1"/>
  <c r="O7757" i="1"/>
  <c r="AH7756" i="1"/>
  <c r="Q7756" i="1"/>
  <c r="AH7755" i="1"/>
  <c r="Q7755" i="1"/>
  <c r="O7755" i="1"/>
  <c r="AH7754" i="1"/>
  <c r="Q7754" i="1"/>
  <c r="O7754" i="1"/>
  <c r="AH7753" i="1"/>
  <c r="Q7753" i="1"/>
  <c r="O7753" i="1"/>
  <c r="AH7752" i="1"/>
  <c r="Q7752" i="1"/>
  <c r="AH7751" i="1"/>
  <c r="Q7751" i="1"/>
  <c r="O7751" i="1"/>
  <c r="AH7750" i="1"/>
  <c r="Q7750" i="1"/>
  <c r="AH7749" i="1"/>
  <c r="Q7749" i="1"/>
  <c r="O7749" i="1"/>
  <c r="AH7748" i="1"/>
  <c r="Q7748" i="1"/>
  <c r="O7748" i="1"/>
  <c r="AH7747" i="1"/>
  <c r="Q7747" i="1"/>
  <c r="AH7746" i="1"/>
  <c r="Q7746" i="1"/>
  <c r="O7746" i="1"/>
  <c r="AH7745" i="1"/>
  <c r="Q7745" i="1"/>
  <c r="AH7744" i="1"/>
  <c r="Q7744" i="1"/>
  <c r="O7744" i="1"/>
  <c r="AH7743" i="1"/>
  <c r="Q7743" i="1"/>
  <c r="AH7742" i="1"/>
  <c r="Q7742" i="1"/>
  <c r="AH7741" i="1"/>
  <c r="Q7741" i="1"/>
  <c r="AH7740" i="1"/>
  <c r="Q7740" i="1"/>
  <c r="O7740" i="1"/>
  <c r="AH7739" i="1"/>
  <c r="Q7739" i="1"/>
  <c r="AH7738" i="1"/>
  <c r="Q7738" i="1"/>
  <c r="AH7737" i="1"/>
  <c r="Q7737" i="1"/>
  <c r="AH7736" i="1"/>
  <c r="Q7736" i="1"/>
  <c r="AH7735" i="1"/>
  <c r="Q7735" i="1"/>
  <c r="AH7734" i="1"/>
  <c r="Q7734" i="1"/>
  <c r="AH7733" i="1"/>
  <c r="Q7733" i="1"/>
  <c r="AH7732" i="1"/>
  <c r="Q7732" i="1"/>
  <c r="O7732" i="1"/>
  <c r="AH7731" i="1"/>
  <c r="Q7731" i="1"/>
  <c r="O7731" i="1"/>
  <c r="AH7730" i="1"/>
  <c r="Q7730" i="1"/>
  <c r="AH7729" i="1"/>
  <c r="Q7729" i="1"/>
  <c r="AH7728" i="1"/>
  <c r="Q7728" i="1"/>
  <c r="AH7727" i="1"/>
  <c r="Q7727" i="1"/>
  <c r="AH7726" i="1"/>
  <c r="Q7726" i="1"/>
  <c r="AH7725" i="1"/>
  <c r="Q7725" i="1"/>
  <c r="AH7724" i="1"/>
  <c r="Q7724" i="1"/>
  <c r="AH7723" i="1"/>
  <c r="Q7723" i="1"/>
  <c r="AH7722" i="1"/>
  <c r="Q7722" i="1"/>
  <c r="AH7721" i="1"/>
  <c r="Q7721" i="1"/>
  <c r="O7721" i="1"/>
  <c r="AH7720" i="1"/>
  <c r="Q7720" i="1"/>
  <c r="O7720" i="1"/>
  <c r="AH7719" i="1"/>
  <c r="Q7719" i="1"/>
  <c r="AH7718" i="1"/>
  <c r="Q7718" i="1"/>
  <c r="O7718" i="1"/>
  <c r="AH7717" i="1"/>
  <c r="Q7717" i="1"/>
  <c r="O7717" i="1"/>
  <c r="AH7716" i="1"/>
  <c r="Q7716" i="1"/>
  <c r="O7716" i="1"/>
  <c r="AH7715" i="1"/>
  <c r="Q7715" i="1"/>
  <c r="O7715" i="1"/>
  <c r="AH7714" i="1"/>
  <c r="Q7714" i="1"/>
  <c r="O7714" i="1"/>
  <c r="AH7713" i="1"/>
  <c r="Q7713" i="1"/>
  <c r="O7713" i="1"/>
  <c r="AH7712" i="1"/>
  <c r="Q7712" i="1"/>
  <c r="O7712" i="1"/>
  <c r="AH7711" i="1"/>
  <c r="Q7711" i="1"/>
  <c r="AH7710" i="1"/>
  <c r="Q7710" i="1"/>
  <c r="O7710" i="1"/>
  <c r="AH7709" i="1"/>
  <c r="Q7709" i="1"/>
  <c r="O7709" i="1"/>
  <c r="AH7708" i="1"/>
  <c r="Q7708" i="1"/>
  <c r="O7708" i="1"/>
  <c r="AH7707" i="1"/>
  <c r="Q7707" i="1"/>
  <c r="O7707" i="1"/>
  <c r="AH7706" i="1"/>
  <c r="Q7706" i="1"/>
  <c r="O7706" i="1"/>
  <c r="AH7705" i="1"/>
  <c r="Q7705" i="1"/>
  <c r="O7705" i="1"/>
  <c r="AH7704" i="1"/>
  <c r="Q7704" i="1"/>
  <c r="O7704" i="1"/>
  <c r="AH7703" i="1"/>
  <c r="Q7703" i="1"/>
  <c r="O7703" i="1"/>
  <c r="AH7702" i="1"/>
  <c r="Q7702" i="1"/>
  <c r="O7702" i="1"/>
  <c r="AH7701" i="1"/>
  <c r="Q7701" i="1"/>
  <c r="O7701" i="1"/>
  <c r="AH7700" i="1"/>
  <c r="Q7700" i="1"/>
  <c r="O7700" i="1"/>
  <c r="AH7699" i="1"/>
  <c r="Q7699" i="1"/>
  <c r="O7699" i="1"/>
  <c r="AH7698" i="1"/>
  <c r="Q7698" i="1"/>
  <c r="O7698" i="1"/>
  <c r="AH7697" i="1"/>
  <c r="Q7697" i="1"/>
  <c r="O7697" i="1"/>
  <c r="AH7696" i="1"/>
  <c r="Q7696" i="1"/>
  <c r="O7696" i="1"/>
  <c r="AH7695" i="1"/>
  <c r="Q7695" i="1"/>
  <c r="O7695" i="1"/>
  <c r="AH7694" i="1"/>
  <c r="Q7694" i="1"/>
  <c r="AH7693" i="1"/>
  <c r="Q7693" i="1"/>
  <c r="O7693" i="1"/>
  <c r="AH7692" i="1"/>
  <c r="Q7692" i="1"/>
  <c r="O7692" i="1"/>
  <c r="AH7691" i="1"/>
  <c r="Q7691" i="1"/>
  <c r="AH7690" i="1"/>
  <c r="Q7690" i="1"/>
  <c r="O7690" i="1"/>
  <c r="AH7689" i="1"/>
  <c r="Q7689" i="1"/>
  <c r="O7689" i="1"/>
  <c r="AH7688" i="1"/>
  <c r="Q7688" i="1"/>
  <c r="O7688" i="1"/>
  <c r="AH7687" i="1"/>
  <c r="Q7687" i="1"/>
  <c r="O7687" i="1"/>
  <c r="AH7686" i="1"/>
  <c r="Q7686" i="1"/>
  <c r="O7686" i="1"/>
  <c r="AH7685" i="1"/>
  <c r="Q7685" i="1"/>
  <c r="O7685" i="1"/>
  <c r="AH7684" i="1"/>
  <c r="Q7684" i="1"/>
  <c r="O7684" i="1"/>
  <c r="AH7683" i="1"/>
  <c r="Q7683" i="1"/>
  <c r="O7683" i="1"/>
  <c r="AH7682" i="1"/>
  <c r="Q7682" i="1"/>
  <c r="O7682" i="1"/>
  <c r="AH7681" i="1"/>
  <c r="Q7681" i="1"/>
  <c r="AH7680" i="1"/>
  <c r="Q7680" i="1"/>
  <c r="O7680" i="1"/>
  <c r="AH7679" i="1"/>
  <c r="Q7679" i="1"/>
  <c r="O7679" i="1"/>
  <c r="AH7678" i="1"/>
  <c r="Q7678" i="1"/>
  <c r="O7678" i="1"/>
  <c r="AH7677" i="1"/>
  <c r="Q7677" i="1"/>
  <c r="AH7676" i="1"/>
  <c r="Q7676" i="1"/>
  <c r="O7676" i="1"/>
  <c r="AH7675" i="1"/>
  <c r="Q7675" i="1"/>
  <c r="O7675" i="1"/>
  <c r="AH7674" i="1"/>
  <c r="Q7674" i="1"/>
  <c r="AH7673" i="1"/>
  <c r="Q7673" i="1"/>
  <c r="O7673" i="1"/>
  <c r="AH7672" i="1"/>
  <c r="Q7672" i="1"/>
  <c r="O7672" i="1"/>
  <c r="AH7671" i="1"/>
  <c r="Q7671" i="1"/>
  <c r="O7671" i="1"/>
  <c r="AH7670" i="1"/>
  <c r="Q7670" i="1"/>
  <c r="O7670" i="1"/>
  <c r="AH7669" i="1"/>
  <c r="Q7669" i="1"/>
  <c r="AH7668" i="1"/>
  <c r="Q7668" i="1"/>
  <c r="O7668" i="1"/>
  <c r="AH7667" i="1"/>
  <c r="Q7667" i="1"/>
  <c r="O7667" i="1"/>
  <c r="AH7666" i="1"/>
  <c r="Q7666" i="1"/>
  <c r="O7666" i="1"/>
  <c r="AH7665" i="1"/>
  <c r="Q7665" i="1"/>
  <c r="O7665" i="1"/>
  <c r="AH7664" i="1"/>
  <c r="Q7664" i="1"/>
  <c r="O7664" i="1"/>
  <c r="AH7663" i="1"/>
  <c r="Q7663" i="1"/>
  <c r="O7663" i="1"/>
  <c r="AH7662" i="1"/>
  <c r="Q7662" i="1"/>
  <c r="O7662" i="1"/>
  <c r="AH7661" i="1"/>
  <c r="Q7661" i="1"/>
  <c r="O7661" i="1"/>
  <c r="AH7660" i="1"/>
  <c r="Q7660" i="1"/>
  <c r="AH7659" i="1"/>
  <c r="Q7659" i="1"/>
  <c r="O7659" i="1"/>
  <c r="AH7658" i="1"/>
  <c r="Q7658" i="1"/>
  <c r="O7658" i="1"/>
  <c r="AH7657" i="1"/>
  <c r="Q7657" i="1"/>
  <c r="AH7656" i="1"/>
  <c r="Q7656" i="1"/>
  <c r="O7656" i="1"/>
  <c r="AH7655" i="1"/>
  <c r="Q7655" i="1"/>
  <c r="O7655" i="1"/>
  <c r="AH7654" i="1"/>
  <c r="Q7654" i="1"/>
  <c r="O7654" i="1"/>
  <c r="AH7653" i="1"/>
  <c r="Q7653" i="1"/>
  <c r="O7653" i="1"/>
  <c r="AH7652" i="1"/>
  <c r="Q7652" i="1"/>
  <c r="O7652" i="1"/>
  <c r="AH7651" i="1"/>
  <c r="Q7651" i="1"/>
  <c r="O7651" i="1"/>
  <c r="AH7650" i="1"/>
  <c r="Q7650" i="1"/>
  <c r="O7650" i="1"/>
  <c r="AH7649" i="1"/>
  <c r="Q7649" i="1"/>
  <c r="O7649" i="1"/>
  <c r="AH7648" i="1"/>
  <c r="Q7648" i="1"/>
  <c r="O7648" i="1"/>
  <c r="AH7647" i="1"/>
  <c r="Q7647" i="1"/>
  <c r="AH7646" i="1"/>
  <c r="Q7646" i="1"/>
  <c r="O7646" i="1"/>
  <c r="AH7645" i="1"/>
  <c r="Q7645" i="1"/>
  <c r="O7645" i="1"/>
  <c r="AH7644" i="1"/>
  <c r="Q7644" i="1"/>
  <c r="O7644" i="1"/>
  <c r="AH7643" i="1"/>
  <c r="Q7643" i="1"/>
  <c r="AH7642" i="1"/>
  <c r="Q7642" i="1"/>
  <c r="O7642" i="1"/>
  <c r="AH7641" i="1"/>
  <c r="Q7641" i="1"/>
  <c r="O7641" i="1"/>
  <c r="AH7640" i="1"/>
  <c r="Q7640" i="1"/>
  <c r="O7640" i="1"/>
  <c r="AH7639" i="1"/>
  <c r="Q7639" i="1"/>
  <c r="O7639" i="1"/>
  <c r="AH7638" i="1"/>
  <c r="Q7638" i="1"/>
  <c r="O7638" i="1"/>
  <c r="AH7637" i="1"/>
  <c r="Q7637" i="1"/>
  <c r="O7637" i="1"/>
  <c r="AH7636" i="1"/>
  <c r="Q7636" i="1"/>
  <c r="AH7635" i="1"/>
  <c r="Q7635" i="1"/>
  <c r="AH7634" i="1"/>
  <c r="Q7634" i="1"/>
  <c r="AH7633" i="1"/>
  <c r="Q7633" i="1"/>
  <c r="AH7632" i="1"/>
  <c r="Q7632" i="1"/>
  <c r="O7632" i="1"/>
  <c r="AH7631" i="1"/>
  <c r="Q7631" i="1"/>
  <c r="O7631" i="1"/>
  <c r="AH7630" i="1"/>
  <c r="Q7630" i="1"/>
  <c r="O7630" i="1"/>
  <c r="AH7629" i="1"/>
  <c r="Q7629" i="1"/>
  <c r="O7629" i="1"/>
  <c r="AH7628" i="1"/>
  <c r="Q7628" i="1"/>
  <c r="O7628" i="1"/>
  <c r="AH7627" i="1"/>
  <c r="Q7627" i="1"/>
  <c r="O7627" i="1"/>
  <c r="AH7626" i="1"/>
  <c r="Q7626" i="1"/>
  <c r="AH7625" i="1"/>
  <c r="Q7625" i="1"/>
  <c r="O7625" i="1"/>
  <c r="AH7624" i="1"/>
  <c r="Q7624" i="1"/>
  <c r="O7624" i="1"/>
  <c r="AH7623" i="1"/>
  <c r="Q7623" i="1"/>
  <c r="O7623" i="1"/>
  <c r="AH7622" i="1"/>
  <c r="Q7622" i="1"/>
  <c r="O7622" i="1"/>
  <c r="AH7621" i="1"/>
  <c r="Q7621" i="1"/>
  <c r="AH7620" i="1"/>
  <c r="Q7620" i="1"/>
  <c r="O7620" i="1"/>
  <c r="AH7619" i="1"/>
  <c r="Q7619" i="1"/>
  <c r="AH7618" i="1"/>
  <c r="Q7618" i="1"/>
  <c r="O7618" i="1"/>
  <c r="AH7617" i="1"/>
  <c r="Q7617" i="1"/>
  <c r="O7617" i="1"/>
  <c r="AH7616" i="1"/>
  <c r="Q7616" i="1"/>
  <c r="O7616" i="1"/>
  <c r="AH7615" i="1"/>
  <c r="Q7615" i="1"/>
  <c r="AH7614" i="1"/>
  <c r="Q7614" i="1"/>
  <c r="O7614" i="1"/>
  <c r="AH7613" i="1"/>
  <c r="Q7613" i="1"/>
  <c r="AH7612" i="1"/>
  <c r="Q7612" i="1"/>
  <c r="O7612" i="1"/>
  <c r="AH7611" i="1"/>
  <c r="Q7611" i="1"/>
  <c r="AH7610" i="1"/>
  <c r="Q7610" i="1"/>
  <c r="O7610" i="1"/>
  <c r="AH7609" i="1"/>
  <c r="Q7609" i="1"/>
  <c r="O7609" i="1"/>
  <c r="AH7608" i="1"/>
  <c r="Q7608" i="1"/>
  <c r="O7608" i="1"/>
  <c r="AH7607" i="1"/>
  <c r="Q7607" i="1"/>
  <c r="AH7606" i="1"/>
  <c r="Q7606" i="1"/>
  <c r="O7606" i="1"/>
  <c r="AH7605" i="1"/>
  <c r="Q7605" i="1"/>
  <c r="AH7604" i="1"/>
  <c r="Q7604" i="1"/>
  <c r="O7604" i="1"/>
  <c r="AH7603" i="1"/>
  <c r="Q7603" i="1"/>
  <c r="O7603" i="1"/>
  <c r="AH7602" i="1"/>
  <c r="Q7602" i="1"/>
  <c r="O7602" i="1"/>
  <c r="AH7601" i="1"/>
  <c r="Q7601" i="1"/>
  <c r="O7601" i="1"/>
  <c r="AH7600" i="1"/>
  <c r="Q7600" i="1"/>
  <c r="O7600" i="1"/>
  <c r="AH7599" i="1"/>
  <c r="Q7599" i="1"/>
  <c r="O7599" i="1"/>
  <c r="AH7598" i="1"/>
  <c r="Q7598" i="1"/>
  <c r="AH7597" i="1"/>
  <c r="Q7597" i="1"/>
  <c r="O7597" i="1"/>
  <c r="AH7596" i="1"/>
  <c r="Q7596" i="1"/>
  <c r="O7596" i="1"/>
  <c r="AH7595" i="1"/>
  <c r="Q7595" i="1"/>
  <c r="O7595" i="1"/>
  <c r="AH7594" i="1"/>
  <c r="Q7594" i="1"/>
  <c r="O7594" i="1"/>
  <c r="AH7593" i="1"/>
  <c r="Q7593" i="1"/>
  <c r="AH7592" i="1"/>
  <c r="Q7592" i="1"/>
  <c r="O7592" i="1"/>
  <c r="AH7591" i="1"/>
  <c r="Q7591" i="1"/>
  <c r="O7591" i="1"/>
  <c r="AH7590" i="1"/>
  <c r="Q7590" i="1"/>
  <c r="O7590" i="1"/>
  <c r="AH7589" i="1"/>
  <c r="Q7589" i="1"/>
  <c r="O7589" i="1"/>
  <c r="AH7588" i="1"/>
  <c r="Q7588" i="1"/>
  <c r="AH7587" i="1"/>
  <c r="Q7587" i="1"/>
  <c r="O7587" i="1"/>
  <c r="AH7586" i="1"/>
  <c r="Q7586" i="1"/>
  <c r="AH7585" i="1"/>
  <c r="Q7585" i="1"/>
  <c r="AH7584" i="1"/>
  <c r="Q7584" i="1"/>
  <c r="O7584" i="1"/>
  <c r="AH7583" i="1"/>
  <c r="Q7583" i="1"/>
  <c r="O7583" i="1"/>
  <c r="AH7582" i="1"/>
  <c r="Q7582" i="1"/>
  <c r="O7582" i="1"/>
  <c r="AH7581" i="1"/>
  <c r="Q7581" i="1"/>
  <c r="O7581" i="1"/>
  <c r="AH7580" i="1"/>
  <c r="Q7580" i="1"/>
  <c r="AH7579" i="1"/>
  <c r="Q7579" i="1"/>
  <c r="AH7578" i="1"/>
  <c r="Q7578" i="1"/>
  <c r="AH7577" i="1"/>
  <c r="Q7577" i="1"/>
  <c r="O7577" i="1"/>
  <c r="AH7576" i="1"/>
  <c r="Q7576" i="1"/>
  <c r="O7576" i="1"/>
  <c r="AH7575" i="1"/>
  <c r="Q7575" i="1"/>
  <c r="O7575" i="1"/>
  <c r="AH7574" i="1"/>
  <c r="Q7574" i="1"/>
  <c r="O7574" i="1"/>
  <c r="AH7573" i="1"/>
  <c r="Q7573" i="1"/>
  <c r="O7573" i="1"/>
  <c r="AH7572" i="1"/>
  <c r="Q7572" i="1"/>
  <c r="O7572" i="1"/>
  <c r="AH7571" i="1"/>
  <c r="Q7571" i="1"/>
  <c r="AH7570" i="1"/>
  <c r="Q7570" i="1"/>
  <c r="O7570" i="1"/>
  <c r="AH7569" i="1"/>
  <c r="Q7569" i="1"/>
  <c r="O7569" i="1"/>
  <c r="AH7568" i="1"/>
  <c r="Q7568" i="1"/>
  <c r="O7568" i="1"/>
  <c r="AH7567" i="1"/>
  <c r="Q7567" i="1"/>
  <c r="O7567" i="1"/>
  <c r="AH7566" i="1"/>
  <c r="Q7566" i="1"/>
  <c r="O7566" i="1"/>
  <c r="AH7565" i="1"/>
  <c r="Q7565" i="1"/>
  <c r="O7565" i="1"/>
  <c r="AH7564" i="1"/>
  <c r="Q7564" i="1"/>
  <c r="O7564" i="1"/>
  <c r="AH7563" i="1"/>
  <c r="Q7563" i="1"/>
  <c r="O7563" i="1"/>
  <c r="AH7562" i="1"/>
  <c r="Q7562" i="1"/>
  <c r="AH7561" i="1"/>
  <c r="Q7561" i="1"/>
  <c r="O7561" i="1"/>
  <c r="AH7560" i="1"/>
  <c r="Q7560" i="1"/>
  <c r="AH7559" i="1"/>
  <c r="Q7559" i="1"/>
  <c r="O7559" i="1"/>
  <c r="AH7558" i="1"/>
  <c r="Q7558" i="1"/>
  <c r="O7558" i="1"/>
  <c r="AH7557" i="1"/>
  <c r="Q7557" i="1"/>
  <c r="AH7556" i="1"/>
  <c r="Q7556" i="1"/>
  <c r="O7556" i="1"/>
  <c r="AH7555" i="1"/>
  <c r="Q7555" i="1"/>
  <c r="O7555" i="1"/>
  <c r="AH7554" i="1"/>
  <c r="Q7554" i="1"/>
  <c r="O7554" i="1"/>
  <c r="AH7553" i="1"/>
  <c r="Q7553" i="1"/>
  <c r="O7553" i="1"/>
  <c r="AH7552" i="1"/>
  <c r="Q7552" i="1"/>
  <c r="O7552" i="1"/>
  <c r="AH7551" i="1"/>
  <c r="Q7551" i="1"/>
  <c r="O7551" i="1"/>
  <c r="AH7550" i="1"/>
  <c r="Q7550" i="1"/>
  <c r="O7550" i="1"/>
  <c r="AH7549" i="1"/>
  <c r="Q7549" i="1"/>
  <c r="O7549" i="1"/>
  <c r="AH7548" i="1"/>
  <c r="Q7548" i="1"/>
  <c r="O7548" i="1"/>
  <c r="AH7547" i="1"/>
  <c r="Q7547" i="1"/>
  <c r="AH7546" i="1"/>
  <c r="Q7546" i="1"/>
  <c r="O7546" i="1"/>
  <c r="AH7545" i="1"/>
  <c r="Q7545" i="1"/>
  <c r="O7545" i="1"/>
  <c r="AH7544" i="1"/>
  <c r="Q7544" i="1"/>
  <c r="O7544" i="1"/>
  <c r="AH7543" i="1"/>
  <c r="Q7543" i="1"/>
  <c r="O7543" i="1"/>
  <c r="AH7542" i="1"/>
  <c r="Q7542" i="1"/>
  <c r="O7542" i="1"/>
  <c r="AH7541" i="1"/>
  <c r="Q7541" i="1"/>
  <c r="O7541" i="1"/>
  <c r="AH7540" i="1"/>
  <c r="Q7540" i="1"/>
  <c r="O7540" i="1"/>
  <c r="AH7539" i="1"/>
  <c r="Q7539" i="1"/>
  <c r="O7539" i="1"/>
  <c r="AH7538" i="1"/>
  <c r="Q7538" i="1"/>
  <c r="O7538" i="1"/>
  <c r="AH7537" i="1"/>
  <c r="Q7537" i="1"/>
  <c r="O7537" i="1"/>
  <c r="AH7536" i="1"/>
  <c r="Q7536" i="1"/>
  <c r="O7536" i="1"/>
  <c r="AH7535" i="1"/>
  <c r="Q7535" i="1"/>
  <c r="AH7534" i="1"/>
  <c r="Q7534" i="1"/>
  <c r="O7534" i="1"/>
  <c r="AH7533" i="1"/>
  <c r="Q7533" i="1"/>
  <c r="O7533" i="1"/>
  <c r="AH7532" i="1"/>
  <c r="Q7532" i="1"/>
  <c r="O7532" i="1"/>
  <c r="AH7531" i="1"/>
  <c r="Q7531" i="1"/>
  <c r="AH7530" i="1"/>
  <c r="Q7530" i="1"/>
  <c r="O7530" i="1"/>
  <c r="AH7529" i="1"/>
  <c r="Q7529" i="1"/>
  <c r="O7529" i="1"/>
  <c r="AH7528" i="1"/>
  <c r="Q7528" i="1"/>
  <c r="AH7527" i="1"/>
  <c r="Q7527" i="1"/>
  <c r="O7527" i="1"/>
  <c r="AH7526" i="1"/>
  <c r="Q7526" i="1"/>
  <c r="O7526" i="1"/>
  <c r="AH7525" i="1"/>
  <c r="Q7525" i="1"/>
  <c r="O7525" i="1"/>
  <c r="AH7524" i="1"/>
  <c r="Q7524" i="1"/>
  <c r="O7524" i="1"/>
  <c r="AH7523" i="1"/>
  <c r="Q7523" i="1"/>
  <c r="O7523" i="1"/>
  <c r="AH7522" i="1"/>
  <c r="Q7522" i="1"/>
  <c r="O7522" i="1"/>
  <c r="AH7521" i="1"/>
  <c r="Q7521" i="1"/>
  <c r="O7521" i="1"/>
  <c r="AH7520" i="1"/>
  <c r="Q7520" i="1"/>
  <c r="O7520" i="1"/>
  <c r="AH7519" i="1"/>
  <c r="Q7519" i="1"/>
  <c r="O7519" i="1"/>
  <c r="AH7518" i="1"/>
  <c r="Q7518" i="1"/>
  <c r="O7518" i="1"/>
  <c r="AH7517" i="1"/>
  <c r="Q7517" i="1"/>
  <c r="O7517" i="1"/>
  <c r="AH7516" i="1"/>
  <c r="Q7516" i="1"/>
  <c r="O7516" i="1"/>
  <c r="AH7515" i="1"/>
  <c r="Q7515" i="1"/>
  <c r="O7515" i="1"/>
  <c r="AH7514" i="1"/>
  <c r="Q7514" i="1"/>
  <c r="O7514" i="1"/>
  <c r="AH7513" i="1"/>
  <c r="Q7513" i="1"/>
  <c r="O7513" i="1"/>
  <c r="AH7512" i="1"/>
  <c r="Q7512" i="1"/>
  <c r="O7512" i="1"/>
  <c r="AH7511" i="1"/>
  <c r="Q7511" i="1"/>
  <c r="O7511" i="1"/>
  <c r="AH7510" i="1"/>
  <c r="Q7510" i="1"/>
  <c r="O7510" i="1"/>
  <c r="AH7509" i="1"/>
  <c r="Q7509" i="1"/>
  <c r="AH7508" i="1"/>
  <c r="Q7508" i="1"/>
  <c r="O7508" i="1"/>
  <c r="AH7507" i="1"/>
  <c r="Q7507" i="1"/>
  <c r="O7507" i="1"/>
  <c r="AH7506" i="1"/>
  <c r="Q7506" i="1"/>
  <c r="O7506" i="1"/>
  <c r="AH7505" i="1"/>
  <c r="Q7505" i="1"/>
  <c r="O7505" i="1"/>
  <c r="AH7504" i="1"/>
  <c r="Q7504" i="1"/>
  <c r="O7504" i="1"/>
  <c r="AH7503" i="1"/>
  <c r="Q7503" i="1"/>
  <c r="O7503" i="1"/>
  <c r="AH7502" i="1"/>
  <c r="Q7502" i="1"/>
  <c r="O7502" i="1"/>
  <c r="AH7501" i="1"/>
  <c r="Q7501" i="1"/>
  <c r="O7501" i="1"/>
  <c r="AH7500" i="1"/>
  <c r="Q7500" i="1"/>
  <c r="O7500" i="1"/>
  <c r="AH7499" i="1"/>
  <c r="Q7499" i="1"/>
  <c r="O7499" i="1"/>
  <c r="AH7498" i="1"/>
  <c r="Q7498" i="1"/>
  <c r="AH7497" i="1"/>
  <c r="Q7497" i="1"/>
  <c r="AH7496" i="1"/>
  <c r="Q7496" i="1"/>
  <c r="O7496" i="1"/>
  <c r="AH7495" i="1"/>
  <c r="Q7495" i="1"/>
  <c r="AH7494" i="1"/>
  <c r="Q7494" i="1"/>
  <c r="O7494" i="1"/>
  <c r="AH7493" i="1"/>
  <c r="Q7493" i="1"/>
  <c r="O7493" i="1"/>
  <c r="AH7492" i="1"/>
  <c r="Q7492" i="1"/>
  <c r="O7492" i="1"/>
  <c r="AH7491" i="1"/>
  <c r="Q7491" i="1"/>
  <c r="AH7490" i="1"/>
  <c r="Q7490" i="1"/>
  <c r="AH7489" i="1"/>
  <c r="Q7489" i="1"/>
  <c r="O7489" i="1"/>
  <c r="AH7488" i="1"/>
  <c r="Q7488" i="1"/>
  <c r="O7488" i="1"/>
  <c r="AH7487" i="1"/>
  <c r="Q7487" i="1"/>
  <c r="O7487" i="1"/>
  <c r="AH7486" i="1"/>
  <c r="Q7486" i="1"/>
  <c r="O7486" i="1"/>
  <c r="AH7485" i="1"/>
  <c r="Q7485" i="1"/>
  <c r="O7485" i="1"/>
  <c r="AH7484" i="1"/>
  <c r="Q7484" i="1"/>
  <c r="O7484" i="1"/>
  <c r="AH7483" i="1"/>
  <c r="Q7483" i="1"/>
  <c r="O7483" i="1"/>
  <c r="AH7482" i="1"/>
  <c r="Q7482" i="1"/>
  <c r="O7482" i="1"/>
  <c r="AH7481" i="1"/>
  <c r="Q7481" i="1"/>
  <c r="AH7480" i="1"/>
  <c r="Q7480" i="1"/>
  <c r="O7480" i="1"/>
  <c r="AH7479" i="1"/>
  <c r="Q7479" i="1"/>
  <c r="O7479" i="1"/>
  <c r="AH7478" i="1"/>
  <c r="Q7478" i="1"/>
  <c r="O7478" i="1"/>
  <c r="AH7477" i="1"/>
  <c r="Q7477" i="1"/>
  <c r="O7477" i="1"/>
  <c r="AH7476" i="1"/>
  <c r="Q7476" i="1"/>
  <c r="O7476" i="1"/>
  <c r="AH7475" i="1"/>
  <c r="Q7475" i="1"/>
  <c r="O7475" i="1"/>
  <c r="AH7474" i="1"/>
  <c r="Q7474" i="1"/>
  <c r="O7474" i="1"/>
  <c r="AH7473" i="1"/>
  <c r="Q7473" i="1"/>
  <c r="O7473" i="1"/>
  <c r="AH7472" i="1"/>
  <c r="Q7472" i="1"/>
  <c r="O7472" i="1"/>
  <c r="AH7471" i="1"/>
  <c r="Q7471" i="1"/>
  <c r="O7471" i="1"/>
  <c r="AH7470" i="1"/>
  <c r="Q7470" i="1"/>
  <c r="O7470" i="1"/>
  <c r="AH7469" i="1"/>
  <c r="Q7469" i="1"/>
  <c r="O7469" i="1"/>
  <c r="AH7468" i="1"/>
  <c r="Q7468" i="1"/>
  <c r="O7468" i="1"/>
  <c r="AH7467" i="1"/>
  <c r="Q7467" i="1"/>
  <c r="O7467" i="1"/>
  <c r="AH7466" i="1"/>
  <c r="Q7466" i="1"/>
  <c r="O7466" i="1"/>
  <c r="AH7465" i="1"/>
  <c r="Q7465" i="1"/>
  <c r="O7465" i="1"/>
  <c r="AH7464" i="1"/>
  <c r="Q7464" i="1"/>
  <c r="O7464" i="1"/>
  <c r="AH7463" i="1"/>
  <c r="Q7463" i="1"/>
  <c r="O7463" i="1"/>
  <c r="AH7462" i="1"/>
  <c r="Q7462" i="1"/>
  <c r="O7462" i="1"/>
  <c r="AH7461" i="1"/>
  <c r="Q7461" i="1"/>
  <c r="O7461" i="1"/>
  <c r="AH7460" i="1"/>
  <c r="Q7460" i="1"/>
  <c r="O7460" i="1"/>
  <c r="AH7459" i="1"/>
  <c r="Q7459" i="1"/>
  <c r="O7459" i="1"/>
  <c r="AH7458" i="1"/>
  <c r="Q7458" i="1"/>
  <c r="O7458" i="1"/>
  <c r="AH7457" i="1"/>
  <c r="Q7457" i="1"/>
  <c r="AH7456" i="1"/>
  <c r="Q7456" i="1"/>
  <c r="O7456" i="1"/>
  <c r="AH7455" i="1"/>
  <c r="Q7455" i="1"/>
  <c r="O7455" i="1"/>
  <c r="AH7454" i="1"/>
  <c r="Q7454" i="1"/>
  <c r="AH7453" i="1"/>
  <c r="Q7453" i="1"/>
  <c r="O7453" i="1"/>
  <c r="AH7452" i="1"/>
  <c r="Q7452" i="1"/>
  <c r="O7452" i="1"/>
  <c r="AH7451" i="1"/>
  <c r="Q7451" i="1"/>
  <c r="O7451" i="1"/>
  <c r="AH7450" i="1"/>
  <c r="Q7450" i="1"/>
  <c r="O7450" i="1"/>
  <c r="AH7449" i="1"/>
  <c r="Q7449" i="1"/>
  <c r="O7449" i="1"/>
  <c r="AH7448" i="1"/>
  <c r="Q7448" i="1"/>
  <c r="O7448" i="1"/>
  <c r="AH7447" i="1"/>
  <c r="Q7447" i="1"/>
  <c r="AH7446" i="1"/>
  <c r="Q7446" i="1"/>
  <c r="AH7445" i="1"/>
  <c r="Q7445" i="1"/>
  <c r="AH7444" i="1"/>
  <c r="Q7444" i="1"/>
  <c r="O7444" i="1"/>
  <c r="AH7443" i="1"/>
  <c r="Q7443" i="1"/>
  <c r="AH7442" i="1"/>
  <c r="Q7442" i="1"/>
  <c r="AH7441" i="1"/>
  <c r="Q7441" i="1"/>
  <c r="AH7440" i="1"/>
  <c r="Q7440" i="1"/>
  <c r="O7440" i="1"/>
  <c r="AH7439" i="1"/>
  <c r="Q7439" i="1"/>
  <c r="O7439" i="1"/>
  <c r="AH7438" i="1"/>
  <c r="Q7438" i="1"/>
  <c r="O7438" i="1"/>
  <c r="AH7437" i="1"/>
  <c r="Q7437" i="1"/>
  <c r="O7437" i="1"/>
  <c r="AH7436" i="1"/>
  <c r="Q7436" i="1"/>
  <c r="AH7435" i="1"/>
  <c r="Q7435" i="1"/>
  <c r="AH7434" i="1"/>
  <c r="Q7434" i="1"/>
  <c r="O7434" i="1"/>
  <c r="AH7433" i="1"/>
  <c r="Q7433" i="1"/>
  <c r="O7433" i="1"/>
  <c r="AH7432" i="1"/>
  <c r="Q7432" i="1"/>
  <c r="O7432" i="1"/>
  <c r="AH7431" i="1"/>
  <c r="Q7431" i="1"/>
  <c r="O7431" i="1"/>
  <c r="AH7430" i="1"/>
  <c r="Q7430" i="1"/>
  <c r="O7430" i="1"/>
  <c r="AH7429" i="1"/>
  <c r="Q7429" i="1"/>
  <c r="O7429" i="1"/>
  <c r="AH7428" i="1"/>
  <c r="Q7428" i="1"/>
  <c r="AH7427" i="1"/>
  <c r="Q7427" i="1"/>
  <c r="O7427" i="1"/>
  <c r="AH7426" i="1"/>
  <c r="Q7426" i="1"/>
  <c r="O7426" i="1"/>
  <c r="AH7425" i="1"/>
  <c r="Q7425" i="1"/>
  <c r="O7425" i="1"/>
  <c r="AH7424" i="1"/>
  <c r="Q7424" i="1"/>
  <c r="O7424" i="1"/>
  <c r="AH7423" i="1"/>
  <c r="Q7423" i="1"/>
  <c r="AH7422" i="1"/>
  <c r="Q7422" i="1"/>
  <c r="O7422" i="1"/>
  <c r="AH7421" i="1"/>
  <c r="Q7421" i="1"/>
  <c r="O7421" i="1"/>
  <c r="AH7420" i="1"/>
  <c r="Q7420" i="1"/>
  <c r="AH7419" i="1"/>
  <c r="Q7419" i="1"/>
  <c r="AH7418" i="1"/>
  <c r="Q7418" i="1"/>
  <c r="AH7417" i="1"/>
  <c r="Q7417" i="1"/>
  <c r="AH7416" i="1"/>
  <c r="Q7416" i="1"/>
  <c r="O7416" i="1"/>
  <c r="AH7415" i="1"/>
  <c r="Q7415" i="1"/>
  <c r="O7415" i="1"/>
  <c r="AH7414" i="1"/>
  <c r="Q7414" i="1"/>
  <c r="AH7413" i="1"/>
  <c r="Q7413" i="1"/>
  <c r="O7413" i="1"/>
  <c r="AH7412" i="1"/>
  <c r="Q7412" i="1"/>
  <c r="AH7411" i="1"/>
  <c r="Q7411" i="1"/>
  <c r="AH7410" i="1"/>
  <c r="Q7410" i="1"/>
  <c r="AH7409" i="1"/>
  <c r="Q7409" i="1"/>
  <c r="O7409" i="1"/>
  <c r="AH7408" i="1"/>
  <c r="Q7408" i="1"/>
  <c r="O7408" i="1"/>
  <c r="AH7407" i="1"/>
  <c r="Q7407" i="1"/>
  <c r="O7407" i="1"/>
  <c r="AH7406" i="1"/>
  <c r="Q7406" i="1"/>
  <c r="O7406" i="1"/>
  <c r="AH7405" i="1"/>
  <c r="Q7405" i="1"/>
  <c r="O7405" i="1"/>
  <c r="AH7404" i="1"/>
  <c r="Q7404" i="1"/>
  <c r="O7404" i="1"/>
  <c r="AH7403" i="1"/>
  <c r="Q7403" i="1"/>
  <c r="O7403" i="1"/>
  <c r="AH7402" i="1"/>
  <c r="Q7402" i="1"/>
  <c r="AH7401" i="1"/>
  <c r="Q7401" i="1"/>
  <c r="AH7400" i="1"/>
  <c r="Q7400" i="1"/>
  <c r="O7400" i="1"/>
  <c r="AH7399" i="1"/>
  <c r="Q7399" i="1"/>
  <c r="AH7398" i="1"/>
  <c r="Q7398" i="1"/>
  <c r="AH7397" i="1"/>
  <c r="Q7397" i="1"/>
  <c r="AH7396" i="1"/>
  <c r="Q7396" i="1"/>
  <c r="O7396" i="1"/>
  <c r="AH7395" i="1"/>
  <c r="Q7395" i="1"/>
  <c r="AH7394" i="1"/>
  <c r="Q7394" i="1"/>
  <c r="AH7393" i="1"/>
  <c r="Q7393" i="1"/>
  <c r="AH7392" i="1"/>
  <c r="Q7392" i="1"/>
  <c r="O7392" i="1"/>
  <c r="AH7391" i="1"/>
  <c r="Q7391" i="1"/>
  <c r="O7391" i="1"/>
  <c r="AH7390" i="1"/>
  <c r="Q7390" i="1"/>
  <c r="AH7389" i="1"/>
  <c r="Q7389" i="1"/>
  <c r="AH7388" i="1"/>
  <c r="Q7388" i="1"/>
  <c r="AH7387" i="1"/>
  <c r="Q7387" i="1"/>
  <c r="O7387" i="1"/>
  <c r="AH7386" i="1"/>
  <c r="Q7386" i="1"/>
  <c r="AH7385" i="1"/>
  <c r="Q7385" i="1"/>
  <c r="O7385" i="1"/>
  <c r="AH7384" i="1"/>
  <c r="Q7384" i="1"/>
  <c r="O7384" i="1"/>
  <c r="AH7383" i="1"/>
  <c r="Q7383" i="1"/>
  <c r="AH7382" i="1"/>
  <c r="Q7382" i="1"/>
  <c r="AH7381" i="1"/>
  <c r="Q7381" i="1"/>
  <c r="AH7380" i="1"/>
  <c r="Q7380" i="1"/>
  <c r="AH7379" i="1"/>
  <c r="Q7379" i="1"/>
  <c r="O7379" i="1"/>
  <c r="AH7378" i="1"/>
  <c r="Q7378" i="1"/>
  <c r="AH7377" i="1"/>
  <c r="Q7377" i="1"/>
  <c r="AH7376" i="1"/>
  <c r="Q7376" i="1"/>
  <c r="AH7375" i="1"/>
  <c r="Q7375" i="1"/>
  <c r="AH7374" i="1"/>
  <c r="Q7374" i="1"/>
  <c r="AH7373" i="1"/>
  <c r="Q7373" i="1"/>
  <c r="AH7372" i="1"/>
  <c r="Q7372" i="1"/>
  <c r="AH7371" i="1"/>
  <c r="Q7371" i="1"/>
  <c r="AH7370" i="1"/>
  <c r="Q7370" i="1"/>
  <c r="AH7369" i="1"/>
  <c r="Q7369" i="1"/>
  <c r="O7369" i="1"/>
  <c r="AH7368" i="1"/>
  <c r="Q7368" i="1"/>
  <c r="AH7367" i="1"/>
  <c r="Q7367" i="1"/>
  <c r="AH7366" i="1"/>
  <c r="Q7366" i="1"/>
  <c r="AH7365" i="1"/>
  <c r="Q7365" i="1"/>
  <c r="AH7364" i="1"/>
  <c r="Q7364" i="1"/>
  <c r="O7364" i="1"/>
  <c r="AH7363" i="1"/>
  <c r="Q7363" i="1"/>
  <c r="AH7362" i="1"/>
  <c r="Q7362" i="1"/>
  <c r="AH7361" i="1"/>
  <c r="Q7361" i="1"/>
  <c r="AH7360" i="1"/>
  <c r="Q7360" i="1"/>
  <c r="AH7359" i="1"/>
  <c r="Q7359" i="1"/>
  <c r="O7359" i="1"/>
  <c r="AH7358" i="1"/>
  <c r="Q7358" i="1"/>
  <c r="O7358" i="1"/>
  <c r="AH7357" i="1"/>
  <c r="Q7357" i="1"/>
  <c r="O7357" i="1"/>
  <c r="AH7356" i="1"/>
  <c r="Q7356" i="1"/>
  <c r="AH7355" i="1"/>
  <c r="Q7355" i="1"/>
  <c r="AH7354" i="1"/>
  <c r="Q7354" i="1"/>
  <c r="AH7353" i="1"/>
  <c r="Q7353" i="1"/>
  <c r="AH7352" i="1"/>
  <c r="Q7352" i="1"/>
  <c r="O7352" i="1"/>
  <c r="AH7351" i="1"/>
  <c r="Q7351" i="1"/>
  <c r="AH7350" i="1"/>
  <c r="Q7350" i="1"/>
  <c r="AH7349" i="1"/>
  <c r="Q7349" i="1"/>
  <c r="AH7348" i="1"/>
  <c r="Q7348" i="1"/>
  <c r="O7348" i="1"/>
  <c r="AH7347" i="1"/>
  <c r="Q7347" i="1"/>
  <c r="O7347" i="1"/>
  <c r="AH7346" i="1"/>
  <c r="Q7346" i="1"/>
  <c r="O7346" i="1"/>
  <c r="AH7345" i="1"/>
  <c r="Q7345" i="1"/>
  <c r="AH7344" i="1"/>
  <c r="Q7344" i="1"/>
  <c r="AH7343" i="1"/>
  <c r="Q7343" i="1"/>
  <c r="AH7342" i="1"/>
  <c r="Q7342" i="1"/>
  <c r="AH7341" i="1"/>
  <c r="Q7341" i="1"/>
  <c r="O7341" i="1"/>
  <c r="AH7340" i="1"/>
  <c r="Q7340" i="1"/>
  <c r="AH7339" i="1"/>
  <c r="Q7339" i="1"/>
  <c r="O7339" i="1"/>
  <c r="AH7338" i="1"/>
  <c r="Q7338" i="1"/>
  <c r="AH7337" i="1"/>
  <c r="Q7337" i="1"/>
  <c r="O7337" i="1"/>
  <c r="AH7336" i="1"/>
  <c r="Q7336" i="1"/>
  <c r="AH7335" i="1"/>
  <c r="Q7335" i="1"/>
  <c r="AH7334" i="1"/>
  <c r="Q7334" i="1"/>
  <c r="AH7333" i="1"/>
  <c r="Q7333" i="1"/>
  <c r="O7333" i="1"/>
  <c r="AH7332" i="1"/>
  <c r="Q7332" i="1"/>
  <c r="AH7331" i="1"/>
  <c r="Q7331" i="1"/>
  <c r="AH7330" i="1"/>
  <c r="Q7330" i="1"/>
  <c r="O7330" i="1"/>
  <c r="AH7329" i="1"/>
  <c r="Q7329" i="1"/>
  <c r="O7329" i="1"/>
  <c r="AH7328" i="1"/>
  <c r="Q7328" i="1"/>
  <c r="AH7327" i="1"/>
  <c r="Q7327" i="1"/>
  <c r="AH7326" i="1"/>
  <c r="Q7326" i="1"/>
  <c r="O7326" i="1"/>
  <c r="AH7325" i="1"/>
  <c r="Q7325" i="1"/>
  <c r="AH7324" i="1"/>
  <c r="Q7324" i="1"/>
  <c r="AH7323" i="1"/>
  <c r="Q7323" i="1"/>
  <c r="AH7322" i="1"/>
  <c r="Q7322" i="1"/>
  <c r="AH7321" i="1"/>
  <c r="Q7321" i="1"/>
  <c r="O7321" i="1"/>
  <c r="AH7320" i="1"/>
  <c r="Q7320" i="1"/>
  <c r="O7320" i="1"/>
  <c r="AH7319" i="1"/>
  <c r="Q7319" i="1"/>
  <c r="O7319" i="1"/>
  <c r="AH7318" i="1"/>
  <c r="Q7318" i="1"/>
  <c r="O7318" i="1"/>
  <c r="AH7317" i="1"/>
  <c r="Q7317" i="1"/>
  <c r="O7317" i="1"/>
  <c r="AH7316" i="1"/>
  <c r="Q7316" i="1"/>
  <c r="AH7315" i="1"/>
  <c r="Q7315" i="1"/>
  <c r="AH7314" i="1"/>
  <c r="Q7314" i="1"/>
  <c r="AH7313" i="1"/>
  <c r="Q7313" i="1"/>
  <c r="AH7312" i="1"/>
  <c r="Q7312" i="1"/>
  <c r="AH7311" i="1"/>
  <c r="Q7311" i="1"/>
  <c r="AH7310" i="1"/>
  <c r="Q7310" i="1"/>
  <c r="O7310" i="1"/>
  <c r="AH7309" i="1"/>
  <c r="Q7309" i="1"/>
  <c r="O7309" i="1"/>
  <c r="AH7308" i="1"/>
  <c r="Q7308" i="1"/>
  <c r="O7308" i="1"/>
  <c r="AH7307" i="1"/>
  <c r="Q7307" i="1"/>
  <c r="AH7306" i="1"/>
  <c r="Q7306" i="1"/>
  <c r="O7306" i="1"/>
  <c r="AH7305" i="1"/>
  <c r="Q7305" i="1"/>
  <c r="AH7304" i="1"/>
  <c r="Q7304" i="1"/>
  <c r="O7304" i="1"/>
  <c r="AH7303" i="1"/>
  <c r="Q7303" i="1"/>
  <c r="O7303" i="1"/>
  <c r="AH7302" i="1"/>
  <c r="Q7302" i="1"/>
  <c r="O7302" i="1"/>
  <c r="AH7301" i="1"/>
  <c r="Q7301" i="1"/>
  <c r="O7301" i="1"/>
  <c r="AH7300" i="1"/>
  <c r="Q7300" i="1"/>
  <c r="O7300" i="1"/>
  <c r="AH7299" i="1"/>
  <c r="Q7299" i="1"/>
  <c r="AH7298" i="1"/>
  <c r="Q7298" i="1"/>
  <c r="AH7297" i="1"/>
  <c r="Q7297" i="1"/>
  <c r="AH7296" i="1"/>
  <c r="Q7296" i="1"/>
  <c r="O7296" i="1"/>
  <c r="AH7295" i="1"/>
  <c r="Q7295" i="1"/>
  <c r="AH7294" i="1"/>
  <c r="Q7294" i="1"/>
  <c r="AH7293" i="1"/>
  <c r="Q7293" i="1"/>
  <c r="AH7292" i="1"/>
  <c r="Q7292" i="1"/>
  <c r="AH7291" i="1"/>
  <c r="Q7291" i="1"/>
  <c r="AH7290" i="1"/>
  <c r="Q7290" i="1"/>
  <c r="O7290" i="1"/>
  <c r="AH7289" i="1"/>
  <c r="Q7289" i="1"/>
  <c r="O7289" i="1"/>
  <c r="AH7288" i="1"/>
  <c r="Q7288" i="1"/>
  <c r="O7288" i="1"/>
  <c r="AH7287" i="1"/>
  <c r="Q7287" i="1"/>
  <c r="AH7286" i="1"/>
  <c r="Q7286" i="1"/>
  <c r="AH7285" i="1"/>
  <c r="Q7285" i="1"/>
  <c r="O7285" i="1"/>
  <c r="AH7284" i="1"/>
  <c r="Q7284" i="1"/>
  <c r="AH7283" i="1"/>
  <c r="Q7283" i="1"/>
  <c r="AH7282" i="1"/>
  <c r="Q7282" i="1"/>
  <c r="O7282" i="1"/>
  <c r="AH7281" i="1"/>
  <c r="Q7281" i="1"/>
  <c r="AH7280" i="1"/>
  <c r="Q7280" i="1"/>
  <c r="AH7279" i="1"/>
  <c r="Q7279" i="1"/>
  <c r="O7279" i="1"/>
  <c r="AH7278" i="1"/>
  <c r="Q7278" i="1"/>
  <c r="O7278" i="1"/>
  <c r="AH7277" i="1"/>
  <c r="Q7277" i="1"/>
  <c r="O7277" i="1"/>
  <c r="AH7276" i="1"/>
  <c r="Q7276" i="1"/>
  <c r="O7276" i="1"/>
  <c r="AH7275" i="1"/>
  <c r="Q7275" i="1"/>
  <c r="O7275" i="1"/>
  <c r="AH7274" i="1"/>
  <c r="Q7274" i="1"/>
  <c r="O7274" i="1"/>
  <c r="AH7273" i="1"/>
  <c r="Q7273" i="1"/>
  <c r="O7273" i="1"/>
  <c r="AH7272" i="1"/>
  <c r="Q7272" i="1"/>
  <c r="O7272" i="1"/>
  <c r="AH7271" i="1"/>
  <c r="Q7271" i="1"/>
  <c r="AH7270" i="1"/>
  <c r="Q7270" i="1"/>
  <c r="O7270" i="1"/>
  <c r="AH7269" i="1"/>
  <c r="Q7269" i="1"/>
  <c r="O7269" i="1"/>
  <c r="AH7268" i="1"/>
  <c r="Q7268" i="1"/>
  <c r="AH7267" i="1"/>
  <c r="Q7267" i="1"/>
  <c r="AH7266" i="1"/>
  <c r="Q7266" i="1"/>
  <c r="AH7265" i="1"/>
  <c r="Q7265" i="1"/>
  <c r="AH7264" i="1"/>
  <c r="Q7264" i="1"/>
  <c r="AH7263" i="1"/>
  <c r="Q7263" i="1"/>
  <c r="AH7262" i="1"/>
  <c r="Q7262" i="1"/>
  <c r="O7262" i="1"/>
  <c r="AH7261" i="1"/>
  <c r="Q7261" i="1"/>
  <c r="O7261" i="1"/>
  <c r="AH7260" i="1"/>
  <c r="Q7260" i="1"/>
  <c r="O7260" i="1"/>
  <c r="AH7259" i="1"/>
  <c r="Q7259" i="1"/>
  <c r="O7259" i="1"/>
  <c r="AH7258" i="1"/>
  <c r="Q7258" i="1"/>
  <c r="O7258" i="1"/>
  <c r="AH7257" i="1"/>
  <c r="Q7257" i="1"/>
  <c r="AH7256" i="1"/>
  <c r="Q7256" i="1"/>
  <c r="O7256" i="1"/>
  <c r="AH7255" i="1"/>
  <c r="Q7255" i="1"/>
  <c r="AH7254" i="1"/>
  <c r="Q7254" i="1"/>
  <c r="AH7253" i="1"/>
  <c r="Q7253" i="1"/>
  <c r="AH7252" i="1"/>
  <c r="Q7252" i="1"/>
  <c r="O7252" i="1"/>
  <c r="AH7251" i="1"/>
  <c r="Q7251" i="1"/>
  <c r="AH7250" i="1"/>
  <c r="Q7250" i="1"/>
  <c r="AH7249" i="1"/>
  <c r="Q7249" i="1"/>
  <c r="AH7248" i="1"/>
  <c r="Q7248" i="1"/>
  <c r="AH7247" i="1"/>
  <c r="Q7247" i="1"/>
  <c r="AH7246" i="1"/>
  <c r="Q7246" i="1"/>
  <c r="O7246" i="1"/>
  <c r="AH7245" i="1"/>
  <c r="Q7245" i="1"/>
  <c r="O7245" i="1"/>
  <c r="AH7244" i="1"/>
  <c r="Q7244" i="1"/>
  <c r="O7244" i="1"/>
  <c r="AH7243" i="1"/>
  <c r="Q7243" i="1"/>
  <c r="AH7242" i="1"/>
  <c r="Q7242" i="1"/>
  <c r="O7242" i="1"/>
  <c r="AH7241" i="1"/>
  <c r="Q7241" i="1"/>
  <c r="O7241" i="1"/>
  <c r="AH7240" i="1"/>
  <c r="Q7240" i="1"/>
  <c r="O7240" i="1"/>
  <c r="AH7239" i="1"/>
  <c r="Q7239" i="1"/>
  <c r="O7239" i="1"/>
  <c r="AH7238" i="1"/>
  <c r="Q7238" i="1"/>
  <c r="O7238" i="1"/>
  <c r="AH7237" i="1"/>
  <c r="Q7237" i="1"/>
  <c r="AH7236" i="1"/>
  <c r="Q7236" i="1"/>
  <c r="AH7235" i="1"/>
  <c r="Q7235" i="1"/>
  <c r="AH7234" i="1"/>
  <c r="Q7234" i="1"/>
  <c r="AH7233" i="1"/>
  <c r="Q7233" i="1"/>
  <c r="AH7232" i="1"/>
  <c r="Q7232" i="1"/>
  <c r="O7232" i="1"/>
  <c r="AH7231" i="1"/>
  <c r="Q7231" i="1"/>
  <c r="O7231" i="1"/>
  <c r="AH7230" i="1"/>
  <c r="Q7230" i="1"/>
  <c r="O7230" i="1"/>
  <c r="AH7229" i="1"/>
  <c r="Q7229" i="1"/>
  <c r="AH7228" i="1"/>
  <c r="Q7228" i="1"/>
  <c r="O7228" i="1"/>
  <c r="AH7227" i="1"/>
  <c r="Q7227" i="1"/>
  <c r="O7227" i="1"/>
  <c r="AH7226" i="1"/>
  <c r="Q7226" i="1"/>
  <c r="O7226" i="1"/>
  <c r="AH7225" i="1"/>
  <c r="Q7225" i="1"/>
  <c r="AH7224" i="1"/>
  <c r="Q7224" i="1"/>
  <c r="AH7223" i="1"/>
  <c r="Q7223" i="1"/>
  <c r="O7223" i="1"/>
  <c r="AH7222" i="1"/>
  <c r="Q7222" i="1"/>
  <c r="AH7221" i="1"/>
  <c r="Q7221" i="1"/>
  <c r="AH7220" i="1"/>
  <c r="Q7220" i="1"/>
  <c r="O7220" i="1"/>
  <c r="AH7219" i="1"/>
  <c r="Q7219" i="1"/>
  <c r="O7219" i="1"/>
  <c r="AH7218" i="1"/>
  <c r="Q7218" i="1"/>
  <c r="O7218" i="1"/>
  <c r="AH7217" i="1"/>
  <c r="Q7217" i="1"/>
  <c r="O7217" i="1"/>
  <c r="AH7216" i="1"/>
  <c r="Q7216" i="1"/>
  <c r="AH7215" i="1"/>
  <c r="Q7215" i="1"/>
  <c r="AH7214" i="1"/>
  <c r="Q7214" i="1"/>
  <c r="O7214" i="1"/>
  <c r="AH7213" i="1"/>
  <c r="Q7213" i="1"/>
  <c r="O7213" i="1"/>
  <c r="AH7212" i="1"/>
  <c r="Q7212" i="1"/>
  <c r="AH7211" i="1"/>
  <c r="Q7211" i="1"/>
  <c r="AH7210" i="1"/>
  <c r="Q7210" i="1"/>
  <c r="O7210" i="1"/>
  <c r="AH7209" i="1"/>
  <c r="Q7209" i="1"/>
  <c r="O7209" i="1"/>
  <c r="AH7208" i="1"/>
  <c r="Q7208" i="1"/>
  <c r="O7208" i="1"/>
  <c r="AH7207" i="1"/>
  <c r="Q7207" i="1"/>
  <c r="O7207" i="1"/>
  <c r="AH7206" i="1"/>
  <c r="Q7206" i="1"/>
  <c r="O7206" i="1"/>
  <c r="AH7205" i="1"/>
  <c r="Q7205" i="1"/>
  <c r="O7205" i="1"/>
  <c r="AH7204" i="1"/>
  <c r="Q7204" i="1"/>
  <c r="O7204" i="1"/>
  <c r="AH7203" i="1"/>
  <c r="Q7203" i="1"/>
  <c r="AH7202" i="1"/>
  <c r="Q7202" i="1"/>
  <c r="O7202" i="1"/>
  <c r="AH7201" i="1"/>
  <c r="Q7201" i="1"/>
  <c r="O7201" i="1"/>
  <c r="AH7200" i="1"/>
  <c r="Q7200" i="1"/>
  <c r="O7200" i="1"/>
  <c r="AH7199" i="1"/>
  <c r="Q7199" i="1"/>
  <c r="O7199" i="1"/>
  <c r="AH7198" i="1"/>
  <c r="Q7198" i="1"/>
  <c r="O7198" i="1"/>
  <c r="AH7197" i="1"/>
  <c r="Q7197" i="1"/>
  <c r="O7197" i="1"/>
  <c r="AH7196" i="1"/>
  <c r="Q7196" i="1"/>
  <c r="O7196" i="1"/>
  <c r="AH7195" i="1"/>
  <c r="Q7195" i="1"/>
  <c r="O7195" i="1"/>
  <c r="AH7194" i="1"/>
  <c r="Q7194" i="1"/>
  <c r="O7194" i="1"/>
  <c r="AH7193" i="1"/>
  <c r="Q7193" i="1"/>
  <c r="O7193" i="1"/>
  <c r="AH7192" i="1"/>
  <c r="Q7192" i="1"/>
  <c r="AH7191" i="1"/>
  <c r="Q7191" i="1"/>
  <c r="O7191" i="1"/>
  <c r="AH7190" i="1"/>
  <c r="Q7190" i="1"/>
  <c r="O7190" i="1"/>
  <c r="AH7189" i="1"/>
  <c r="Q7189" i="1"/>
  <c r="O7189" i="1"/>
  <c r="AH7188" i="1"/>
  <c r="Q7188" i="1"/>
  <c r="O7188" i="1"/>
  <c r="AH7187" i="1"/>
  <c r="Q7187" i="1"/>
  <c r="AH7186" i="1"/>
  <c r="Q7186" i="1"/>
  <c r="AH7185" i="1"/>
  <c r="Q7185" i="1"/>
  <c r="AH7184" i="1"/>
  <c r="Q7184" i="1"/>
  <c r="AH7183" i="1"/>
  <c r="Q7183" i="1"/>
  <c r="AH7182" i="1"/>
  <c r="Q7182" i="1"/>
  <c r="AH7181" i="1"/>
  <c r="Q7181" i="1"/>
  <c r="AH7180" i="1"/>
  <c r="Q7180" i="1"/>
  <c r="AH7179" i="1"/>
  <c r="Q7179" i="1"/>
  <c r="O7179" i="1"/>
  <c r="AH7178" i="1"/>
  <c r="Q7178" i="1"/>
  <c r="AH7177" i="1"/>
  <c r="Q7177" i="1"/>
  <c r="O7177" i="1"/>
  <c r="AH7176" i="1"/>
  <c r="Q7176" i="1"/>
  <c r="AH7175" i="1"/>
  <c r="Q7175" i="1"/>
  <c r="AH7174" i="1"/>
  <c r="Q7174" i="1"/>
  <c r="AH7173" i="1"/>
  <c r="Q7173" i="1"/>
  <c r="AH7172" i="1"/>
  <c r="Q7172" i="1"/>
  <c r="AH7171" i="1"/>
  <c r="Q7171" i="1"/>
  <c r="AH7170" i="1"/>
  <c r="Q7170" i="1"/>
  <c r="AH7169" i="1"/>
  <c r="Q7169" i="1"/>
  <c r="O7169" i="1"/>
  <c r="AH7168" i="1"/>
  <c r="Q7168" i="1"/>
  <c r="O7168" i="1"/>
  <c r="AH7167" i="1"/>
  <c r="Q7167" i="1"/>
  <c r="O7167" i="1"/>
  <c r="AH7166" i="1"/>
  <c r="Q7166" i="1"/>
  <c r="AH7165" i="1"/>
  <c r="Q7165" i="1"/>
  <c r="O7165" i="1"/>
  <c r="AH7164" i="1"/>
  <c r="Q7164" i="1"/>
  <c r="AH7163" i="1"/>
  <c r="Q7163" i="1"/>
  <c r="AH7162" i="1"/>
  <c r="Q7162" i="1"/>
  <c r="O7162" i="1"/>
  <c r="AH7161" i="1"/>
  <c r="Q7161" i="1"/>
  <c r="AH7160" i="1"/>
  <c r="Q7160" i="1"/>
  <c r="AH7159" i="1"/>
  <c r="Q7159" i="1"/>
  <c r="AH7158" i="1"/>
  <c r="Q7158" i="1"/>
  <c r="AH7157" i="1"/>
  <c r="Q7157" i="1"/>
  <c r="O7157" i="1"/>
  <c r="AH7156" i="1"/>
  <c r="Q7156" i="1"/>
  <c r="AH7155" i="1"/>
  <c r="Q7155" i="1"/>
  <c r="O7155" i="1"/>
  <c r="AH7154" i="1"/>
  <c r="Q7154" i="1"/>
  <c r="AH7153" i="1"/>
  <c r="Q7153" i="1"/>
  <c r="AH7152" i="1"/>
  <c r="Q7152" i="1"/>
  <c r="AH7151" i="1"/>
  <c r="Q7151" i="1"/>
  <c r="AH7150" i="1"/>
  <c r="Q7150" i="1"/>
  <c r="AH7149" i="1"/>
  <c r="Q7149" i="1"/>
  <c r="AH7148" i="1"/>
  <c r="Q7148" i="1"/>
  <c r="AH7147" i="1"/>
  <c r="Q7147" i="1"/>
  <c r="O7147" i="1"/>
  <c r="AH7146" i="1"/>
  <c r="Q7146" i="1"/>
  <c r="AH7145" i="1"/>
  <c r="Q7145" i="1"/>
  <c r="O7145" i="1"/>
  <c r="AH7144" i="1"/>
  <c r="Q7144" i="1"/>
  <c r="O7144" i="1"/>
  <c r="AH7143" i="1"/>
  <c r="Q7143" i="1"/>
  <c r="O7143" i="1"/>
  <c r="AH7142" i="1"/>
  <c r="Q7142" i="1"/>
  <c r="AH7141" i="1"/>
  <c r="Q7141" i="1"/>
  <c r="AH7140" i="1"/>
  <c r="Q7140" i="1"/>
  <c r="AH7139" i="1"/>
  <c r="Q7139" i="1"/>
  <c r="O7139" i="1"/>
  <c r="AH7138" i="1"/>
  <c r="Q7138" i="1"/>
  <c r="O7138" i="1"/>
  <c r="AH7137" i="1"/>
  <c r="Q7137" i="1"/>
  <c r="AH7136" i="1"/>
  <c r="Q7136" i="1"/>
  <c r="AH7135" i="1"/>
  <c r="Q7135" i="1"/>
  <c r="AH7134" i="1"/>
  <c r="Q7134" i="1"/>
  <c r="AH7133" i="1"/>
  <c r="Q7133" i="1"/>
  <c r="AH7132" i="1"/>
  <c r="Q7132" i="1"/>
  <c r="AH7131" i="1"/>
  <c r="Q7131" i="1"/>
  <c r="O7131" i="1"/>
  <c r="AH7130" i="1"/>
  <c r="Q7130" i="1"/>
  <c r="O7130" i="1"/>
  <c r="AH7129" i="1"/>
  <c r="Q7129" i="1"/>
  <c r="O7129" i="1"/>
  <c r="AH7128" i="1"/>
  <c r="Q7128" i="1"/>
  <c r="AH7127" i="1"/>
  <c r="Q7127" i="1"/>
  <c r="O7127" i="1"/>
  <c r="AH7126" i="1"/>
  <c r="Q7126" i="1"/>
  <c r="O7126" i="1"/>
  <c r="AH7125" i="1"/>
  <c r="Q7125" i="1"/>
  <c r="AH7124" i="1"/>
  <c r="Q7124" i="1"/>
  <c r="AH7123" i="1"/>
  <c r="Q7123" i="1"/>
  <c r="AH7122" i="1"/>
  <c r="Q7122" i="1"/>
  <c r="AH7121" i="1"/>
  <c r="Q7121" i="1"/>
  <c r="AH7120" i="1"/>
  <c r="Q7120" i="1"/>
  <c r="AH7119" i="1"/>
  <c r="Q7119" i="1"/>
  <c r="P7119" i="1"/>
  <c r="AH7118" i="1"/>
  <c r="Q7118" i="1"/>
  <c r="O7118" i="1"/>
  <c r="AH7117" i="1"/>
  <c r="Q7117" i="1"/>
  <c r="O7117" i="1"/>
  <c r="AH7116" i="1"/>
  <c r="Q7116" i="1"/>
  <c r="O7116" i="1"/>
  <c r="AH7115" i="1"/>
  <c r="Q7115" i="1"/>
  <c r="O7115" i="1"/>
  <c r="AH7114" i="1"/>
  <c r="Q7114" i="1"/>
  <c r="O7114" i="1"/>
  <c r="AH7113" i="1"/>
  <c r="Q7113" i="1"/>
  <c r="AH7112" i="1"/>
  <c r="Q7112" i="1"/>
  <c r="O7112" i="1"/>
  <c r="AH7111" i="1"/>
  <c r="Q7111" i="1"/>
  <c r="O7111" i="1"/>
  <c r="AH7110" i="1"/>
  <c r="Q7110" i="1"/>
  <c r="O7110" i="1"/>
  <c r="AH7109" i="1"/>
  <c r="Q7109" i="1"/>
  <c r="AH7108" i="1"/>
  <c r="Q7108" i="1"/>
  <c r="AH7107" i="1"/>
  <c r="Q7107" i="1"/>
  <c r="AH7106" i="1"/>
  <c r="Q7106" i="1"/>
  <c r="AH7105" i="1"/>
  <c r="Q7105" i="1"/>
  <c r="AH7104" i="1"/>
  <c r="Q7104" i="1"/>
  <c r="AH7103" i="1"/>
  <c r="Q7103" i="1"/>
  <c r="AH7102" i="1"/>
  <c r="Q7102" i="1"/>
  <c r="AH7101" i="1"/>
  <c r="Q7101" i="1"/>
  <c r="AH7100" i="1"/>
  <c r="Q7100" i="1"/>
  <c r="O7100" i="1"/>
  <c r="AH7099" i="1"/>
  <c r="Q7099" i="1"/>
  <c r="AH7098" i="1"/>
  <c r="Q7098" i="1"/>
  <c r="O7098" i="1"/>
  <c r="AH7097" i="1"/>
  <c r="Q7097" i="1"/>
  <c r="AH7096" i="1"/>
  <c r="Q7096" i="1"/>
  <c r="AH7095" i="1"/>
  <c r="Q7095" i="1"/>
  <c r="AH7094" i="1"/>
  <c r="Q7094" i="1"/>
  <c r="AH7093" i="1"/>
  <c r="Q7093" i="1"/>
  <c r="AH7092" i="1"/>
  <c r="Q7092" i="1"/>
  <c r="AH7091" i="1"/>
  <c r="Q7091" i="1"/>
  <c r="AH7090" i="1"/>
  <c r="Q7090" i="1"/>
  <c r="AH7089" i="1"/>
  <c r="Q7089" i="1"/>
  <c r="AH7088" i="1"/>
  <c r="Q7088" i="1"/>
  <c r="AH7087" i="1"/>
  <c r="Q7087" i="1"/>
  <c r="AH7086" i="1"/>
  <c r="Q7086" i="1"/>
  <c r="AH7085" i="1"/>
  <c r="Q7085" i="1"/>
  <c r="AH7084" i="1"/>
  <c r="Q7084" i="1"/>
  <c r="AH7083" i="1"/>
  <c r="Q7083" i="1"/>
  <c r="AH7082" i="1"/>
  <c r="Q7082" i="1"/>
  <c r="AH7081" i="1"/>
  <c r="Q7081" i="1"/>
  <c r="AH7080" i="1"/>
  <c r="Q7080" i="1"/>
  <c r="AH7079" i="1"/>
  <c r="Q7079" i="1"/>
  <c r="O7079" i="1"/>
  <c r="AH7078" i="1"/>
  <c r="Q7078" i="1"/>
  <c r="O7078" i="1"/>
  <c r="AH7077" i="1"/>
  <c r="Q7077" i="1"/>
  <c r="AH7076" i="1"/>
  <c r="Q7076" i="1"/>
  <c r="O7076" i="1"/>
  <c r="AH7075" i="1"/>
  <c r="Q7075" i="1"/>
  <c r="AH7074" i="1"/>
  <c r="Q7074" i="1"/>
  <c r="AH7073" i="1"/>
  <c r="Q7073" i="1"/>
  <c r="O7073" i="1"/>
  <c r="AH7072" i="1"/>
  <c r="Q7072" i="1"/>
  <c r="O7072" i="1"/>
  <c r="AH7071" i="1"/>
  <c r="Q7071" i="1"/>
  <c r="O7071" i="1"/>
  <c r="AH7070" i="1"/>
  <c r="Q7070" i="1"/>
  <c r="AH7069" i="1"/>
  <c r="Q7069" i="1"/>
  <c r="AH7068" i="1"/>
  <c r="Q7068" i="1"/>
  <c r="O7068" i="1"/>
  <c r="AH7067" i="1"/>
  <c r="Q7067" i="1"/>
  <c r="O7067" i="1"/>
  <c r="AH7066" i="1"/>
  <c r="Q7066" i="1"/>
  <c r="O7066" i="1"/>
  <c r="AH7065" i="1"/>
  <c r="Q7065" i="1"/>
  <c r="O7065" i="1"/>
  <c r="AH7064" i="1"/>
  <c r="Q7064" i="1"/>
  <c r="O7064" i="1"/>
  <c r="AH7063" i="1"/>
  <c r="Q7063" i="1"/>
  <c r="O7063" i="1"/>
  <c r="AH7062" i="1"/>
  <c r="Q7062" i="1"/>
  <c r="O7062" i="1"/>
  <c r="AH7061" i="1"/>
  <c r="Q7061" i="1"/>
  <c r="O7061" i="1"/>
  <c r="AH7060" i="1"/>
  <c r="Q7060" i="1"/>
  <c r="O7060" i="1"/>
  <c r="AH7059" i="1"/>
  <c r="Q7059" i="1"/>
  <c r="O7059" i="1"/>
  <c r="AH7058" i="1"/>
  <c r="Q7058" i="1"/>
  <c r="O7058" i="1"/>
  <c r="AH7057" i="1"/>
  <c r="Q7057" i="1"/>
  <c r="AH7056" i="1"/>
  <c r="Q7056" i="1"/>
  <c r="AH7055" i="1"/>
  <c r="Q7055" i="1"/>
  <c r="AH7054" i="1"/>
  <c r="Q7054" i="1"/>
  <c r="O7054" i="1"/>
  <c r="AH7053" i="1"/>
  <c r="Q7053" i="1"/>
  <c r="O7053" i="1"/>
  <c r="AH7052" i="1"/>
  <c r="Q7052" i="1"/>
  <c r="AH7051" i="1"/>
  <c r="Q7051" i="1"/>
  <c r="O7051" i="1"/>
  <c r="AH7050" i="1"/>
  <c r="Q7050" i="1"/>
  <c r="O7050" i="1"/>
  <c r="AH7049" i="1"/>
  <c r="Q7049" i="1"/>
  <c r="O7049" i="1"/>
  <c r="AH7048" i="1"/>
  <c r="Q7048" i="1"/>
  <c r="O7048" i="1"/>
  <c r="AH7047" i="1"/>
  <c r="Q7047" i="1"/>
  <c r="O7047" i="1"/>
  <c r="AH7046" i="1"/>
  <c r="Q7046" i="1"/>
  <c r="O7046" i="1"/>
  <c r="AH7045" i="1"/>
  <c r="Q7045" i="1"/>
  <c r="O7045" i="1"/>
  <c r="AH7044" i="1"/>
  <c r="Q7044" i="1"/>
  <c r="AH7043" i="1"/>
  <c r="Q7043" i="1"/>
  <c r="O7043" i="1"/>
  <c r="AH7042" i="1"/>
  <c r="Q7042" i="1"/>
  <c r="AH7041" i="1"/>
  <c r="Q7041" i="1"/>
  <c r="O7041" i="1"/>
  <c r="AH7040" i="1"/>
  <c r="Q7040" i="1"/>
  <c r="O7040" i="1"/>
  <c r="AH7039" i="1"/>
  <c r="Q7039" i="1"/>
  <c r="AH7038" i="1"/>
  <c r="Q7038" i="1"/>
  <c r="AH7037" i="1"/>
  <c r="Q7037" i="1"/>
  <c r="O7037" i="1"/>
  <c r="AH7036" i="1"/>
  <c r="Q7036" i="1"/>
  <c r="AH7035" i="1"/>
  <c r="Q7035" i="1"/>
  <c r="O7035" i="1"/>
  <c r="AH7034" i="1"/>
  <c r="Q7034" i="1"/>
  <c r="O7034" i="1"/>
  <c r="AH7033" i="1"/>
  <c r="Q7033" i="1"/>
  <c r="O7033" i="1"/>
  <c r="AH7032" i="1"/>
  <c r="Q7032" i="1"/>
  <c r="O7032" i="1"/>
  <c r="AH7031" i="1"/>
  <c r="Q7031" i="1"/>
  <c r="AH7030" i="1"/>
  <c r="Q7030" i="1"/>
  <c r="O7030" i="1"/>
  <c r="AH7029" i="1"/>
  <c r="Q7029" i="1"/>
  <c r="AH7028" i="1"/>
  <c r="Q7028" i="1"/>
  <c r="AH7027" i="1"/>
  <c r="Q7027" i="1"/>
  <c r="AH7026" i="1"/>
  <c r="Q7026" i="1"/>
  <c r="AH7025" i="1"/>
  <c r="Q7025" i="1"/>
  <c r="AH7024" i="1"/>
  <c r="Q7024" i="1"/>
  <c r="AH7023" i="1"/>
  <c r="Q7023" i="1"/>
  <c r="AH7022" i="1"/>
  <c r="Q7022" i="1"/>
  <c r="O7022" i="1"/>
  <c r="AH7021" i="1"/>
  <c r="Q7021" i="1"/>
  <c r="O7021" i="1"/>
  <c r="AH7020" i="1"/>
  <c r="Q7020" i="1"/>
  <c r="O7020" i="1"/>
  <c r="AH7019" i="1"/>
  <c r="Q7019" i="1"/>
  <c r="O7019" i="1"/>
  <c r="AH7018" i="1"/>
  <c r="Q7018" i="1"/>
  <c r="O7018" i="1"/>
  <c r="AH7017" i="1"/>
  <c r="Q7017" i="1"/>
  <c r="AH7016" i="1"/>
  <c r="Q7016" i="1"/>
  <c r="O7016" i="1"/>
  <c r="AH7015" i="1"/>
  <c r="Q7015" i="1"/>
  <c r="O7015" i="1"/>
  <c r="AH7014" i="1"/>
  <c r="Q7014" i="1"/>
  <c r="O7014" i="1"/>
  <c r="AH7013" i="1"/>
  <c r="Q7013" i="1"/>
  <c r="AH7012" i="1"/>
  <c r="Q7012" i="1"/>
  <c r="AH7011" i="1"/>
  <c r="Q7011" i="1"/>
  <c r="AH7010" i="1"/>
  <c r="Q7010" i="1"/>
  <c r="AH7009" i="1"/>
  <c r="Q7009" i="1"/>
  <c r="AH7008" i="1"/>
  <c r="Q7008" i="1"/>
  <c r="O7008" i="1"/>
  <c r="AH7007" i="1"/>
  <c r="Q7007" i="1"/>
  <c r="O7007" i="1"/>
  <c r="AH7006" i="1"/>
  <c r="Q7006" i="1"/>
  <c r="O7006" i="1"/>
  <c r="AH7005" i="1"/>
  <c r="Q7005" i="1"/>
  <c r="O7005" i="1"/>
  <c r="AH7004" i="1"/>
  <c r="Q7004" i="1"/>
  <c r="O7004" i="1"/>
  <c r="AH7003" i="1"/>
  <c r="Q7003" i="1"/>
  <c r="O7003" i="1"/>
  <c r="AH7002" i="1"/>
  <c r="Q7002" i="1"/>
  <c r="AH7001" i="1"/>
  <c r="Q7001" i="1"/>
  <c r="AH7000" i="1"/>
  <c r="Q7000" i="1"/>
  <c r="AH6999" i="1"/>
  <c r="Q6999" i="1"/>
  <c r="AH6998" i="1"/>
  <c r="Q6998" i="1"/>
  <c r="O6998" i="1"/>
  <c r="AH6997" i="1"/>
  <c r="Q6997" i="1"/>
  <c r="AH6996" i="1"/>
  <c r="Q6996" i="1"/>
  <c r="O6996" i="1"/>
  <c r="AH6995" i="1"/>
  <c r="Q6995" i="1"/>
  <c r="AH6994" i="1"/>
  <c r="Q6994" i="1"/>
  <c r="AH6993" i="1"/>
  <c r="Q6993" i="1"/>
  <c r="AH6992" i="1"/>
  <c r="Q6992" i="1"/>
  <c r="AH6991" i="1"/>
  <c r="Q6991" i="1"/>
  <c r="AH6990" i="1"/>
  <c r="Q6990" i="1"/>
  <c r="AH6989" i="1"/>
  <c r="Q6989" i="1"/>
  <c r="AH6988" i="1"/>
  <c r="Q6988" i="1"/>
  <c r="O6988" i="1"/>
  <c r="AH6987" i="1"/>
  <c r="Q6987" i="1"/>
  <c r="AH6986" i="1"/>
  <c r="Q6986" i="1"/>
  <c r="AH6985" i="1"/>
  <c r="Q6985" i="1"/>
  <c r="O6985" i="1"/>
  <c r="AH6984" i="1"/>
  <c r="Q6984" i="1"/>
  <c r="O6984" i="1"/>
  <c r="AH6983" i="1"/>
  <c r="Q6983" i="1"/>
  <c r="AH6982" i="1"/>
  <c r="Q6982" i="1"/>
  <c r="O6982" i="1"/>
  <c r="AH6981" i="1"/>
  <c r="Q6981" i="1"/>
  <c r="O6981" i="1"/>
  <c r="AH6980" i="1"/>
  <c r="Q6980" i="1"/>
  <c r="O6980" i="1"/>
  <c r="AH6979" i="1"/>
  <c r="Q6979" i="1"/>
  <c r="O6979" i="1"/>
  <c r="AH6978" i="1"/>
  <c r="Q6978" i="1"/>
  <c r="O6978" i="1"/>
  <c r="AH6977" i="1"/>
  <c r="Q6977" i="1"/>
  <c r="AH6976" i="1"/>
  <c r="Q6976" i="1"/>
  <c r="AH6975" i="1"/>
  <c r="Q6975" i="1"/>
  <c r="AH6974" i="1" l="1"/>
  <c r="Q6974" i="1"/>
  <c r="AH6973" i="1"/>
  <c r="Q6973" i="1"/>
  <c r="AH6972" i="1"/>
  <c r="Q6972" i="1"/>
  <c r="AH6971" i="1"/>
  <c r="Q6971" i="1"/>
  <c r="O6971" i="1"/>
  <c r="AH6970" i="1"/>
  <c r="Q6970" i="1"/>
  <c r="O6970" i="1"/>
  <c r="AH6969" i="1"/>
  <c r="Q6969" i="1"/>
  <c r="O6969" i="1"/>
  <c r="AH6968" i="1"/>
  <c r="Q6968" i="1"/>
  <c r="O6968" i="1"/>
  <c r="AH6967" i="1"/>
  <c r="Q6967" i="1"/>
  <c r="O6967" i="1"/>
  <c r="AH6966" i="1"/>
  <c r="Q6966" i="1"/>
  <c r="O6966" i="1"/>
  <c r="AH6965" i="1"/>
  <c r="Q6965" i="1"/>
  <c r="AH6964" i="1"/>
  <c r="Q6964" i="1"/>
  <c r="O6964" i="1"/>
  <c r="AH6963" i="1"/>
  <c r="Q6963" i="1"/>
  <c r="O6963" i="1"/>
  <c r="AH6962" i="1"/>
  <c r="Q6962" i="1"/>
  <c r="O6962" i="1"/>
  <c r="AH6961" i="1"/>
  <c r="Q6961" i="1"/>
  <c r="O6961" i="1"/>
  <c r="AH6960" i="1"/>
  <c r="Q6960" i="1"/>
  <c r="O6960" i="1"/>
  <c r="AH6959" i="1"/>
  <c r="Q6959" i="1"/>
  <c r="O6959" i="1"/>
  <c r="AH6958" i="1"/>
  <c r="Q6958" i="1"/>
  <c r="O6958" i="1"/>
  <c r="AH6957" i="1"/>
  <c r="Q6957" i="1"/>
  <c r="O6957" i="1"/>
  <c r="AH6956" i="1"/>
  <c r="Q6956" i="1"/>
  <c r="O6956" i="1"/>
  <c r="AH6955" i="1"/>
  <c r="Q6955" i="1"/>
  <c r="AH6954" i="1"/>
  <c r="Q6954" i="1"/>
  <c r="O6954" i="1"/>
  <c r="AH6953" i="1"/>
  <c r="Q6953" i="1"/>
  <c r="AH6952" i="1"/>
  <c r="Q6952" i="1"/>
  <c r="O6952" i="1"/>
  <c r="AH6951" i="1"/>
  <c r="Q6951" i="1"/>
  <c r="AH6950" i="1"/>
  <c r="Q6950" i="1"/>
  <c r="AH6949" i="1"/>
  <c r="Q6949" i="1"/>
  <c r="AH6948" i="1"/>
  <c r="Q6948" i="1"/>
  <c r="AH6947" i="1"/>
  <c r="Q6947" i="1"/>
  <c r="O6947" i="1"/>
  <c r="AH6946" i="1"/>
  <c r="Q6946" i="1"/>
  <c r="AH6945" i="1"/>
  <c r="Q6945" i="1"/>
  <c r="AH6944" i="1"/>
  <c r="Q6944" i="1"/>
  <c r="O6944" i="1"/>
  <c r="AH6943" i="1"/>
  <c r="Q6943" i="1"/>
  <c r="AH6942" i="1"/>
  <c r="Q6942" i="1"/>
  <c r="O6942" i="1"/>
  <c r="AH6941" i="1"/>
  <c r="Q6941" i="1"/>
  <c r="AH6940" i="1"/>
  <c r="Q6940" i="1"/>
  <c r="O6940" i="1"/>
  <c r="AH6939" i="1"/>
  <c r="Q6939" i="1"/>
  <c r="P6939" i="1"/>
  <c r="AH6938" i="1"/>
  <c r="Q6938" i="1"/>
  <c r="AH6937" i="1"/>
  <c r="Q6937" i="1"/>
  <c r="AH6936" i="1"/>
  <c r="Q6936" i="1"/>
  <c r="AH6935" i="1"/>
  <c r="Q6935" i="1"/>
  <c r="O6935" i="1"/>
  <c r="AH6934" i="1"/>
  <c r="Q6934" i="1"/>
  <c r="AH6933" i="1"/>
  <c r="Q6933" i="1"/>
  <c r="AH6932" i="1"/>
  <c r="Q6932" i="1"/>
  <c r="AH6931" i="1"/>
  <c r="Q6931" i="1"/>
  <c r="O6931" i="1"/>
  <c r="AH6930" i="1"/>
  <c r="Q6930" i="1"/>
  <c r="O6930" i="1"/>
  <c r="AH6929" i="1"/>
  <c r="Q6929" i="1"/>
  <c r="O6929" i="1"/>
  <c r="AH6928" i="1"/>
  <c r="Q6928" i="1"/>
  <c r="O6928" i="1"/>
  <c r="AH6927" i="1"/>
  <c r="Q6927" i="1"/>
  <c r="O6927" i="1"/>
  <c r="AH6926" i="1"/>
  <c r="Q6926" i="1"/>
  <c r="O6926" i="1"/>
  <c r="AH6925" i="1"/>
  <c r="Q6925" i="1"/>
  <c r="O6925" i="1"/>
  <c r="AH6924" i="1"/>
  <c r="Q6924" i="1"/>
  <c r="O6924" i="1"/>
  <c r="AH6923" i="1"/>
  <c r="Q6923" i="1"/>
  <c r="AH6922" i="1"/>
  <c r="Q6922" i="1"/>
  <c r="AH6921" i="1"/>
  <c r="Q6921" i="1"/>
  <c r="O6921" i="1"/>
  <c r="AH6920" i="1"/>
  <c r="Q6920" i="1"/>
  <c r="AH6919" i="1"/>
  <c r="Q6919" i="1"/>
  <c r="AH6918" i="1"/>
  <c r="Q6918" i="1"/>
  <c r="AH6917" i="1"/>
  <c r="Q6917" i="1"/>
  <c r="O6917" i="1"/>
  <c r="AH6916" i="1"/>
  <c r="Q6916" i="1"/>
  <c r="AH6915" i="1"/>
  <c r="Q6915" i="1"/>
  <c r="O6915" i="1"/>
  <c r="AH6914" i="1"/>
  <c r="Q6914" i="1"/>
  <c r="AH6913" i="1"/>
  <c r="Q6913" i="1"/>
  <c r="O6913" i="1"/>
  <c r="AH6912" i="1"/>
  <c r="Q6912" i="1"/>
  <c r="AH6911" i="1"/>
  <c r="Q6911" i="1"/>
  <c r="AH6910" i="1"/>
  <c r="Q6910" i="1"/>
  <c r="AH6909" i="1"/>
  <c r="Q6909" i="1"/>
  <c r="O6909" i="1"/>
  <c r="AH6908" i="1"/>
  <c r="Q6908" i="1"/>
  <c r="O6908" i="1"/>
  <c r="AH6907" i="1"/>
  <c r="Q6907" i="1"/>
  <c r="O6907" i="1"/>
  <c r="AH6906" i="1"/>
  <c r="Q6906" i="1"/>
  <c r="O6906" i="1"/>
  <c r="AH6905" i="1"/>
  <c r="Q6905" i="1"/>
  <c r="O6905" i="1"/>
  <c r="AH6904" i="1"/>
  <c r="Q6904" i="1"/>
  <c r="O6904" i="1"/>
  <c r="AH6903" i="1"/>
  <c r="Q6903" i="1"/>
  <c r="O6903" i="1"/>
  <c r="AH6902" i="1"/>
  <c r="Q6902" i="1"/>
  <c r="O6902" i="1"/>
  <c r="AH6901" i="1"/>
  <c r="Q6901" i="1"/>
  <c r="O6901" i="1"/>
  <c r="AH6900" i="1"/>
  <c r="Q6900" i="1"/>
  <c r="O6900" i="1"/>
  <c r="AH6899" i="1"/>
  <c r="Q6899" i="1"/>
  <c r="O6899" i="1"/>
  <c r="AH6898" i="1"/>
  <c r="Q6898" i="1"/>
  <c r="AH6897" i="1"/>
  <c r="Q6897" i="1"/>
  <c r="O6897" i="1"/>
  <c r="AH6896" i="1"/>
  <c r="Q6896" i="1"/>
  <c r="O6896" i="1"/>
  <c r="AH6895" i="1"/>
  <c r="Q6895" i="1"/>
  <c r="O6895" i="1"/>
  <c r="AH6894" i="1"/>
  <c r="Q6894" i="1"/>
  <c r="O6894" i="1"/>
  <c r="AH6893" i="1"/>
  <c r="Q6893" i="1"/>
  <c r="AH6892" i="1"/>
  <c r="Q6892" i="1"/>
  <c r="AH6891" i="1"/>
  <c r="Q6891" i="1"/>
  <c r="O6891" i="1"/>
  <c r="AH6890" i="1"/>
  <c r="Q6890" i="1"/>
  <c r="O6890" i="1"/>
  <c r="AH6889" i="1"/>
  <c r="Q6889" i="1"/>
  <c r="O6889" i="1"/>
  <c r="AH6888" i="1"/>
  <c r="Q6888" i="1"/>
  <c r="O6888" i="1"/>
  <c r="AH6887" i="1"/>
  <c r="Q6887" i="1"/>
  <c r="O6887" i="1"/>
  <c r="AH6886" i="1"/>
  <c r="Q6886" i="1"/>
  <c r="O6886" i="1"/>
  <c r="AH6885" i="1"/>
  <c r="Q6885" i="1"/>
  <c r="O6885" i="1"/>
  <c r="AH6884" i="1"/>
  <c r="Q6884" i="1"/>
  <c r="O6884" i="1"/>
  <c r="AH6883" i="1"/>
  <c r="Q6883" i="1"/>
  <c r="O6883" i="1"/>
  <c r="AH6882" i="1"/>
  <c r="Q6882" i="1"/>
  <c r="O6882" i="1"/>
  <c r="AH6881" i="1"/>
  <c r="Q6881" i="1"/>
  <c r="AH6880" i="1"/>
  <c r="Q6880" i="1"/>
  <c r="O6880" i="1"/>
  <c r="AH6879" i="1"/>
  <c r="Q6879" i="1"/>
  <c r="AH6878" i="1"/>
  <c r="Q6878" i="1"/>
  <c r="AH6877" i="1"/>
  <c r="Q6877" i="1"/>
  <c r="O6877" i="1"/>
  <c r="AH6876" i="1"/>
  <c r="Q6876" i="1"/>
  <c r="AH6875" i="1"/>
  <c r="Q6875" i="1"/>
  <c r="O6875" i="1"/>
  <c r="AH6874" i="1"/>
  <c r="Q6874" i="1"/>
  <c r="O6874" i="1"/>
  <c r="AH6873" i="1"/>
  <c r="Q6873" i="1"/>
  <c r="AH6872" i="1"/>
  <c r="Q6872" i="1"/>
  <c r="AH6871" i="1"/>
  <c r="Q6871" i="1"/>
  <c r="AH6870" i="1"/>
  <c r="Q6870" i="1"/>
  <c r="O6870" i="1"/>
  <c r="AH6869" i="1"/>
  <c r="Q6869" i="1"/>
  <c r="O6869" i="1"/>
  <c r="AH6868" i="1"/>
  <c r="Q6868" i="1"/>
  <c r="O6868" i="1"/>
  <c r="AH6867" i="1"/>
  <c r="Q6867" i="1"/>
  <c r="O6867" i="1"/>
  <c r="AH6866" i="1"/>
  <c r="Q6866" i="1"/>
  <c r="O6866" i="1"/>
  <c r="AH6865" i="1"/>
  <c r="Q6865" i="1"/>
  <c r="O6865" i="1"/>
  <c r="AH6864" i="1"/>
  <c r="Q6864" i="1"/>
  <c r="O6864" i="1"/>
  <c r="AH6863" i="1"/>
  <c r="Q6863" i="1"/>
  <c r="O6863" i="1"/>
  <c r="AH6862" i="1"/>
  <c r="Q6862" i="1"/>
  <c r="O6862" i="1"/>
  <c r="AH6861" i="1"/>
  <c r="Q6861" i="1"/>
  <c r="O6861" i="1"/>
  <c r="AH6860" i="1"/>
  <c r="Q6860" i="1"/>
  <c r="O6860" i="1"/>
  <c r="AH6859" i="1"/>
  <c r="Q6859" i="1"/>
  <c r="O6859" i="1"/>
  <c r="AH6858" i="1"/>
  <c r="Q6858" i="1"/>
  <c r="O6858" i="1"/>
  <c r="AH6857" i="1"/>
  <c r="Q6857" i="1"/>
  <c r="O6857" i="1"/>
  <c r="AH6856" i="1"/>
  <c r="Q6856" i="1"/>
  <c r="O6856" i="1"/>
  <c r="AH6855" i="1"/>
  <c r="Q6855" i="1"/>
  <c r="O6855" i="1"/>
  <c r="AH6854" i="1"/>
  <c r="Q6854" i="1"/>
  <c r="O6854" i="1"/>
  <c r="AH6853" i="1"/>
  <c r="Q6853" i="1"/>
  <c r="AH6852" i="1"/>
  <c r="Q6852" i="1"/>
  <c r="O6852" i="1"/>
  <c r="AH6851" i="1"/>
  <c r="Q6851" i="1"/>
  <c r="O6851" i="1"/>
  <c r="AH6850" i="1"/>
  <c r="Q6850" i="1"/>
  <c r="O6850" i="1"/>
  <c r="AH6849" i="1"/>
  <c r="Q6849" i="1"/>
  <c r="O6849" i="1"/>
  <c r="AH6848" i="1"/>
  <c r="Q6848" i="1"/>
  <c r="O6848" i="1"/>
  <c r="AH6847" i="1"/>
  <c r="Q6847" i="1"/>
  <c r="AH6846" i="1"/>
  <c r="Q6846" i="1"/>
  <c r="AH6845" i="1"/>
  <c r="Q6845" i="1"/>
  <c r="AH6844" i="1"/>
  <c r="Q6844" i="1"/>
  <c r="O6844" i="1"/>
  <c r="AH6843" i="1"/>
  <c r="Q6843" i="1"/>
  <c r="O6843" i="1"/>
  <c r="AH6842" i="1"/>
  <c r="Q6842" i="1"/>
  <c r="O6842" i="1"/>
  <c r="AH6841" i="1"/>
  <c r="Q6841" i="1"/>
  <c r="AH6840" i="1"/>
  <c r="Q6840" i="1"/>
  <c r="AH6839" i="1"/>
  <c r="Q6839" i="1"/>
  <c r="AH6838" i="1"/>
  <c r="Q6838" i="1"/>
  <c r="AH6837" i="1"/>
  <c r="Q6837" i="1"/>
  <c r="O6837" i="1"/>
  <c r="AH6836" i="1"/>
  <c r="Q6836" i="1"/>
  <c r="AH6835" i="1"/>
  <c r="Q6835" i="1"/>
  <c r="O6835" i="1"/>
  <c r="AH6834" i="1"/>
  <c r="Q6834" i="1"/>
  <c r="O6834" i="1"/>
  <c r="AH6833" i="1"/>
  <c r="Q6833" i="1"/>
  <c r="O6833" i="1"/>
  <c r="AH6832" i="1"/>
  <c r="Q6832" i="1"/>
  <c r="O6832" i="1"/>
  <c r="AH6831" i="1"/>
  <c r="Q6831" i="1"/>
  <c r="AH6830" i="1"/>
  <c r="Q6830" i="1"/>
  <c r="O6830" i="1"/>
  <c r="AH6829" i="1"/>
  <c r="Q6829" i="1"/>
  <c r="O6829" i="1"/>
  <c r="AH6828" i="1"/>
  <c r="Q6828" i="1"/>
  <c r="AH6827" i="1"/>
  <c r="Q6827" i="1"/>
  <c r="AH6826" i="1"/>
  <c r="Q6826" i="1"/>
  <c r="AH6825" i="1"/>
  <c r="Q6825" i="1"/>
  <c r="O6825" i="1"/>
  <c r="AH6824" i="1"/>
  <c r="Q6824" i="1"/>
  <c r="O6824" i="1"/>
  <c r="AH6823" i="1"/>
  <c r="Q6823" i="1"/>
  <c r="O6823" i="1"/>
  <c r="AH6822" i="1"/>
  <c r="Q6822" i="1"/>
  <c r="O6822" i="1"/>
  <c r="AH6821" i="1"/>
  <c r="Q6821" i="1"/>
  <c r="O6821" i="1"/>
  <c r="AH6820" i="1"/>
  <c r="Q6820" i="1"/>
  <c r="AH6819" i="1"/>
  <c r="Q6819" i="1"/>
  <c r="AH6818" i="1"/>
  <c r="Q6818" i="1"/>
  <c r="O6818" i="1"/>
  <c r="AH6817" i="1"/>
  <c r="Q6817" i="1"/>
  <c r="O6817" i="1"/>
  <c r="AH6816" i="1"/>
  <c r="Q6816" i="1"/>
  <c r="O6816" i="1"/>
  <c r="AH6815" i="1"/>
  <c r="Q6815" i="1"/>
  <c r="O6815" i="1"/>
  <c r="AH6814" i="1"/>
  <c r="Q6814" i="1"/>
  <c r="O6814" i="1"/>
  <c r="AH6813" i="1"/>
  <c r="Q6813" i="1"/>
  <c r="O6813" i="1"/>
  <c r="AH6812" i="1"/>
  <c r="Q6812" i="1"/>
  <c r="O6812" i="1"/>
  <c r="AH6811" i="1"/>
  <c r="Q6811" i="1"/>
  <c r="O6811" i="1"/>
  <c r="AH6810" i="1"/>
  <c r="Q6810" i="1"/>
  <c r="AH6809" i="1"/>
  <c r="Q6809" i="1"/>
  <c r="AH6808" i="1"/>
  <c r="Q6808" i="1"/>
  <c r="O6808" i="1"/>
  <c r="AH6807" i="1"/>
  <c r="Q6807" i="1"/>
  <c r="O6807" i="1"/>
  <c r="AH6806" i="1"/>
  <c r="Q6806" i="1"/>
  <c r="O6806" i="1"/>
  <c r="AH6805" i="1"/>
  <c r="Q6805" i="1"/>
  <c r="O6805" i="1"/>
  <c r="AH6804" i="1"/>
  <c r="Q6804" i="1"/>
  <c r="O6804" i="1"/>
  <c r="AH6803" i="1"/>
  <c r="Q6803" i="1"/>
  <c r="O6803" i="1"/>
  <c r="AH6802" i="1"/>
  <c r="Q6802" i="1"/>
  <c r="O6802" i="1"/>
  <c r="AH6801" i="1"/>
  <c r="Q6801" i="1"/>
  <c r="O6801" i="1"/>
  <c r="AH6800" i="1"/>
  <c r="Q6800" i="1"/>
  <c r="O6800" i="1"/>
  <c r="AH6799" i="1"/>
  <c r="Q6799" i="1"/>
  <c r="O6799" i="1"/>
  <c r="AH6798" i="1"/>
  <c r="Q6798" i="1"/>
  <c r="O6798" i="1"/>
  <c r="AH6797" i="1"/>
  <c r="Q6797" i="1"/>
  <c r="O6797" i="1"/>
  <c r="AH6796" i="1"/>
  <c r="Q6796" i="1"/>
  <c r="O6796" i="1"/>
  <c r="AH6795" i="1"/>
  <c r="Q6795" i="1"/>
  <c r="O6795" i="1"/>
  <c r="AH6794" i="1"/>
  <c r="Q6794" i="1"/>
  <c r="O6794" i="1"/>
  <c r="AH6793" i="1"/>
  <c r="Q6793" i="1"/>
  <c r="O6793" i="1"/>
  <c r="AH6792" i="1"/>
  <c r="Q6792" i="1"/>
  <c r="O6792" i="1"/>
  <c r="AH6791" i="1"/>
  <c r="Q6791" i="1"/>
  <c r="O6791" i="1"/>
  <c r="AH6790" i="1"/>
  <c r="Q6790" i="1"/>
  <c r="O6790" i="1"/>
  <c r="AH6789" i="1"/>
  <c r="Q6789" i="1"/>
  <c r="O6789" i="1"/>
  <c r="AH6788" i="1"/>
  <c r="Q6788" i="1"/>
  <c r="O6788" i="1"/>
  <c r="AH6787" i="1"/>
  <c r="Q6787" i="1"/>
  <c r="O6787" i="1"/>
  <c r="AH6786" i="1"/>
  <c r="Q6786" i="1"/>
  <c r="O6786" i="1"/>
  <c r="AH6785" i="1"/>
  <c r="Q6785" i="1"/>
  <c r="O6785" i="1"/>
  <c r="AH6784" i="1"/>
  <c r="Q6784" i="1"/>
  <c r="AH6783" i="1"/>
  <c r="Q6783" i="1"/>
  <c r="O6783" i="1"/>
  <c r="AH6782" i="1"/>
  <c r="Q6782" i="1"/>
  <c r="O6782" i="1"/>
  <c r="AH6781" i="1"/>
  <c r="Q6781" i="1"/>
  <c r="O6781" i="1"/>
  <c r="AH6780" i="1"/>
  <c r="Q6780" i="1"/>
  <c r="O6780" i="1"/>
  <c r="AH6779" i="1"/>
  <c r="Q6779" i="1"/>
  <c r="O6779" i="1"/>
  <c r="AH6778" i="1"/>
  <c r="Q6778" i="1"/>
  <c r="O6778" i="1"/>
  <c r="AH6777" i="1"/>
  <c r="Q6777" i="1"/>
  <c r="AH6776" i="1"/>
  <c r="Q6776" i="1"/>
  <c r="O6776" i="1"/>
  <c r="AH6775" i="1"/>
  <c r="Q6775" i="1"/>
  <c r="AH6774" i="1"/>
  <c r="Q6774" i="1"/>
  <c r="O6774" i="1"/>
  <c r="AH6773" i="1"/>
  <c r="Q6773" i="1"/>
  <c r="O6773" i="1"/>
  <c r="AH6772" i="1"/>
  <c r="Q6772" i="1"/>
  <c r="AH6771" i="1"/>
  <c r="Q6771" i="1"/>
  <c r="O6771" i="1"/>
  <c r="AH6770" i="1"/>
  <c r="Q6770" i="1"/>
  <c r="O6770" i="1"/>
  <c r="AH6769" i="1"/>
  <c r="Q6769" i="1"/>
  <c r="O6769" i="1"/>
  <c r="AH6768" i="1"/>
  <c r="Q6768" i="1"/>
  <c r="O6768" i="1"/>
  <c r="AH6767" i="1"/>
  <c r="Q6767" i="1"/>
  <c r="O6767" i="1"/>
  <c r="AH6766" i="1"/>
  <c r="Q6766" i="1"/>
  <c r="AH6765" i="1"/>
  <c r="Q6765" i="1"/>
  <c r="O6765" i="1"/>
  <c r="AH6764" i="1"/>
  <c r="Q6764" i="1"/>
  <c r="O6764" i="1"/>
  <c r="AH6763" i="1"/>
  <c r="Q6763" i="1"/>
  <c r="O6763" i="1"/>
  <c r="AH6762" i="1"/>
  <c r="Q6762" i="1"/>
  <c r="O6762" i="1"/>
  <c r="AH6761" i="1"/>
  <c r="Q6761" i="1"/>
  <c r="AH6760" i="1"/>
  <c r="Q6760" i="1"/>
  <c r="O6760" i="1"/>
  <c r="AH6759" i="1"/>
  <c r="Q6759" i="1"/>
  <c r="O6759" i="1"/>
  <c r="AH6758" i="1"/>
  <c r="Q6758" i="1"/>
  <c r="O6758" i="1"/>
  <c r="AH6757" i="1"/>
  <c r="Q6757" i="1"/>
  <c r="O6757" i="1"/>
  <c r="AH6756" i="1"/>
  <c r="Q6756" i="1"/>
  <c r="O6756" i="1"/>
  <c r="AH6755" i="1"/>
  <c r="Q6755" i="1"/>
  <c r="O6755" i="1"/>
  <c r="AH6754" i="1"/>
  <c r="Q6754" i="1"/>
  <c r="O6754" i="1"/>
  <c r="AH6753" i="1"/>
  <c r="Q6753" i="1"/>
  <c r="AH6752" i="1"/>
  <c r="Q6752" i="1"/>
  <c r="O6752" i="1"/>
  <c r="AH6751" i="1"/>
  <c r="Q6751" i="1"/>
  <c r="O6751" i="1"/>
  <c r="AH6750" i="1"/>
  <c r="Q6750" i="1"/>
  <c r="O6750" i="1"/>
  <c r="AH6749" i="1"/>
  <c r="Q6749" i="1"/>
  <c r="O6749" i="1"/>
  <c r="AH6748" i="1"/>
  <c r="Q6748" i="1"/>
  <c r="O6748" i="1"/>
  <c r="AH6747" i="1"/>
  <c r="Q6747" i="1"/>
  <c r="O6747" i="1"/>
  <c r="AH6746" i="1"/>
  <c r="Q6746" i="1"/>
  <c r="O6746" i="1"/>
  <c r="AH6745" i="1"/>
  <c r="Q6745" i="1"/>
  <c r="O6745" i="1"/>
  <c r="AH6744" i="1"/>
  <c r="Q6744" i="1"/>
  <c r="O6744" i="1"/>
  <c r="AH6743" i="1"/>
  <c r="Q6743" i="1"/>
  <c r="O6743" i="1"/>
  <c r="AH6742" i="1"/>
  <c r="Q6742" i="1"/>
  <c r="O6742" i="1"/>
  <c r="AH6741" i="1"/>
  <c r="Q6741" i="1"/>
  <c r="O6741" i="1"/>
  <c r="AH6740" i="1"/>
  <c r="Q6740" i="1"/>
  <c r="O6740" i="1"/>
  <c r="AH6739" i="1"/>
  <c r="Q6739" i="1"/>
  <c r="AH6738" i="1"/>
  <c r="Q6738" i="1"/>
  <c r="O6738" i="1"/>
  <c r="AH6737" i="1"/>
  <c r="Q6737" i="1"/>
  <c r="O6737" i="1"/>
  <c r="AH6736" i="1"/>
  <c r="Q6736" i="1"/>
  <c r="O6736" i="1"/>
  <c r="AH6735" i="1"/>
  <c r="Q6735" i="1"/>
  <c r="AH6734" i="1"/>
  <c r="Q6734" i="1"/>
  <c r="O6734" i="1"/>
  <c r="AH6733" i="1"/>
  <c r="Q6733" i="1"/>
  <c r="O6733" i="1"/>
  <c r="AH6732" i="1"/>
  <c r="Q6732" i="1"/>
  <c r="O6732" i="1"/>
  <c r="AH6731" i="1"/>
  <c r="Q6731" i="1"/>
  <c r="O6731" i="1"/>
  <c r="AH6730" i="1"/>
  <c r="Q6730" i="1"/>
  <c r="O6730" i="1"/>
  <c r="AH6729" i="1"/>
  <c r="Q6729" i="1"/>
  <c r="O6729" i="1"/>
  <c r="AH6728" i="1"/>
  <c r="Q6728" i="1"/>
  <c r="O6728" i="1"/>
  <c r="AH6727" i="1"/>
  <c r="Q6727" i="1"/>
  <c r="O6727" i="1"/>
  <c r="AH6726" i="1"/>
  <c r="Q6726" i="1"/>
  <c r="O6726" i="1"/>
  <c r="AH6725" i="1"/>
  <c r="Q6725" i="1"/>
  <c r="O6725" i="1"/>
  <c r="AH6724" i="1"/>
  <c r="Q6724" i="1"/>
  <c r="O6724" i="1"/>
  <c r="AH6723" i="1"/>
  <c r="Q6723" i="1"/>
  <c r="O6723" i="1"/>
  <c r="AH6722" i="1"/>
  <c r="Q6722" i="1"/>
  <c r="O6722" i="1"/>
  <c r="AH6721" i="1"/>
  <c r="Q6721" i="1"/>
  <c r="O6721" i="1"/>
  <c r="AH6720" i="1"/>
  <c r="Q6720" i="1"/>
  <c r="O6720" i="1"/>
  <c r="AH6719" i="1"/>
  <c r="Q6719" i="1"/>
  <c r="O6719" i="1"/>
  <c r="AH6718" i="1"/>
  <c r="Q6718" i="1"/>
  <c r="O6718" i="1"/>
  <c r="AH6717" i="1"/>
  <c r="Q6717" i="1"/>
  <c r="O6717" i="1"/>
  <c r="AH6716" i="1"/>
  <c r="Q6716" i="1"/>
  <c r="O6716" i="1"/>
  <c r="AH6715" i="1"/>
  <c r="Q6715" i="1"/>
  <c r="O6715" i="1"/>
  <c r="AH6714" i="1"/>
  <c r="Q6714" i="1"/>
  <c r="O6714" i="1"/>
  <c r="AH6713" i="1"/>
  <c r="Q6713" i="1"/>
  <c r="O6713" i="1"/>
  <c r="AH6712" i="1"/>
  <c r="Q6712" i="1"/>
  <c r="O6712" i="1"/>
  <c r="AH6711" i="1"/>
  <c r="Q6711" i="1"/>
  <c r="O6711" i="1"/>
  <c r="AH6710" i="1"/>
  <c r="Q6710" i="1"/>
  <c r="O6710" i="1"/>
  <c r="AH6709" i="1"/>
  <c r="Q6709" i="1"/>
  <c r="O6709" i="1"/>
  <c r="AH6708" i="1"/>
  <c r="Q6708" i="1"/>
  <c r="O6708" i="1"/>
  <c r="AH6707" i="1"/>
  <c r="Q6707" i="1"/>
  <c r="O6707" i="1"/>
  <c r="AH6706" i="1"/>
  <c r="Q6706" i="1"/>
  <c r="O6706" i="1"/>
  <c r="AH6705" i="1"/>
  <c r="Q6705" i="1"/>
  <c r="O6705" i="1"/>
  <c r="AH6704" i="1"/>
  <c r="Q6704" i="1"/>
  <c r="AH6703" i="1"/>
  <c r="Q6703" i="1"/>
  <c r="O6703" i="1"/>
  <c r="AH6702" i="1"/>
  <c r="Q6702" i="1"/>
  <c r="AH6701" i="1"/>
  <c r="Q6701" i="1"/>
  <c r="AH6700" i="1"/>
  <c r="Q6700" i="1"/>
  <c r="O6700" i="1"/>
  <c r="AH6699" i="1"/>
  <c r="Q6699" i="1"/>
  <c r="AH6698" i="1"/>
  <c r="Q6698" i="1"/>
  <c r="O6698" i="1"/>
  <c r="AH6697" i="1"/>
  <c r="Q6697" i="1"/>
  <c r="O6697" i="1"/>
  <c r="AH6696" i="1"/>
  <c r="Q6696" i="1"/>
  <c r="O6696" i="1"/>
  <c r="AH6695" i="1"/>
  <c r="Q6695" i="1"/>
  <c r="O6695" i="1"/>
  <c r="AH6694" i="1"/>
  <c r="Q6694" i="1"/>
  <c r="O6694" i="1"/>
  <c r="AH6693" i="1"/>
  <c r="Q6693" i="1"/>
  <c r="AH6692" i="1"/>
  <c r="Q6692" i="1"/>
  <c r="O6692" i="1"/>
  <c r="AH6691" i="1"/>
  <c r="Q6691" i="1"/>
  <c r="O6691" i="1"/>
  <c r="AH6690" i="1"/>
  <c r="Q6690" i="1"/>
  <c r="O6690" i="1"/>
  <c r="AH6689" i="1"/>
  <c r="Q6689" i="1"/>
  <c r="O6689" i="1"/>
  <c r="AH6688" i="1"/>
  <c r="Q6688" i="1"/>
  <c r="O6688" i="1"/>
  <c r="AH6687" i="1"/>
  <c r="Q6687" i="1"/>
  <c r="O6687" i="1"/>
  <c r="AH6686" i="1"/>
  <c r="Q6686" i="1"/>
  <c r="O6686" i="1"/>
  <c r="AH6685" i="1"/>
  <c r="Q6685" i="1"/>
  <c r="O6685" i="1"/>
  <c r="AH6684" i="1"/>
  <c r="Q6684" i="1"/>
  <c r="O6684" i="1"/>
  <c r="AH6683" i="1"/>
  <c r="Q6683" i="1"/>
  <c r="O6683" i="1"/>
  <c r="AH6682" i="1"/>
  <c r="Q6682" i="1"/>
  <c r="O6682" i="1"/>
  <c r="AH6681" i="1"/>
  <c r="Q6681" i="1"/>
  <c r="O6681" i="1"/>
  <c r="AH6680" i="1"/>
  <c r="Q6680" i="1"/>
  <c r="O6680" i="1"/>
  <c r="AH6679" i="1"/>
  <c r="Q6679" i="1"/>
  <c r="O6679" i="1"/>
  <c r="AH6678" i="1"/>
  <c r="Q6678" i="1"/>
  <c r="O6678" i="1"/>
  <c r="AH6677" i="1"/>
  <c r="Q6677" i="1"/>
  <c r="O6677" i="1"/>
  <c r="AH6676" i="1"/>
  <c r="Q6676" i="1"/>
  <c r="O6676" i="1"/>
  <c r="AH6675" i="1"/>
  <c r="Q6675" i="1"/>
  <c r="O6675" i="1"/>
  <c r="AH6674" i="1"/>
  <c r="Q6674" i="1"/>
  <c r="O6674" i="1"/>
  <c r="AH6673" i="1"/>
  <c r="Q6673" i="1"/>
  <c r="O6673" i="1"/>
  <c r="AH6672" i="1"/>
  <c r="Q6672" i="1"/>
  <c r="O6672" i="1"/>
  <c r="AH6671" i="1"/>
  <c r="Q6671" i="1"/>
  <c r="O6671" i="1"/>
  <c r="AH6670" i="1"/>
  <c r="Q6670" i="1"/>
  <c r="O6670" i="1"/>
  <c r="AH6669" i="1"/>
  <c r="Q6669" i="1"/>
  <c r="O6669" i="1"/>
  <c r="AH6668" i="1"/>
  <c r="Q6668" i="1"/>
  <c r="O6668" i="1"/>
  <c r="AH6667" i="1"/>
  <c r="Q6667" i="1"/>
  <c r="O6667" i="1"/>
  <c r="AH6666" i="1"/>
  <c r="Q6666" i="1"/>
  <c r="O6666" i="1"/>
  <c r="AH6665" i="1"/>
  <c r="Q6665" i="1"/>
  <c r="O6665" i="1"/>
  <c r="AH6664" i="1"/>
  <c r="Q6664" i="1"/>
  <c r="O6664" i="1"/>
  <c r="AH6663" i="1"/>
  <c r="Q6663" i="1"/>
  <c r="O6663" i="1"/>
  <c r="AH6662" i="1"/>
  <c r="Q6662" i="1"/>
  <c r="O6662" i="1"/>
  <c r="AH6661" i="1"/>
  <c r="Q6661" i="1"/>
  <c r="O6661" i="1"/>
  <c r="AH6660" i="1"/>
  <c r="Q6660" i="1"/>
  <c r="O6660" i="1"/>
  <c r="AH6659" i="1"/>
  <c r="Q6659" i="1"/>
  <c r="AH6658" i="1"/>
  <c r="Q6658" i="1"/>
  <c r="O6658" i="1"/>
  <c r="AH6657" i="1"/>
  <c r="Q6657" i="1"/>
  <c r="O6657" i="1"/>
  <c r="AH6656" i="1"/>
  <c r="Q6656" i="1"/>
  <c r="O6656" i="1"/>
  <c r="AH6655" i="1"/>
  <c r="Q6655" i="1"/>
  <c r="O6655" i="1"/>
  <c r="AH6654" i="1"/>
  <c r="Q6654" i="1"/>
  <c r="O6654" i="1"/>
  <c r="AH6653" i="1"/>
  <c r="Q6653" i="1"/>
  <c r="O6653" i="1"/>
  <c r="AH6652" i="1"/>
  <c r="Q6652" i="1"/>
  <c r="O6652" i="1"/>
  <c r="AH6651" i="1"/>
  <c r="Q6651" i="1"/>
  <c r="O6651" i="1"/>
  <c r="AH6650" i="1"/>
  <c r="Q6650" i="1"/>
  <c r="O6650" i="1"/>
  <c r="AH6649" i="1"/>
  <c r="Q6649" i="1"/>
  <c r="O6649" i="1"/>
  <c r="AH6648" i="1"/>
  <c r="Q6648" i="1"/>
  <c r="O6648" i="1"/>
  <c r="AH6647" i="1"/>
  <c r="Q6647" i="1"/>
  <c r="O6647" i="1"/>
  <c r="AH6646" i="1"/>
  <c r="Q6646" i="1"/>
  <c r="O6646" i="1"/>
  <c r="AH6645" i="1"/>
  <c r="Q6645" i="1"/>
  <c r="O6645" i="1"/>
  <c r="AH6644" i="1"/>
  <c r="Q6644" i="1"/>
  <c r="AH6643" i="1"/>
  <c r="Q6643" i="1"/>
  <c r="O6643" i="1"/>
  <c r="AH6642" i="1"/>
  <c r="Q6642" i="1"/>
  <c r="O6642" i="1"/>
  <c r="AH6641" i="1"/>
  <c r="Q6641" i="1"/>
  <c r="O6641" i="1"/>
  <c r="AH6640" i="1"/>
  <c r="Q6640" i="1"/>
  <c r="O6640" i="1"/>
  <c r="AH6639" i="1"/>
  <c r="Q6639" i="1"/>
  <c r="O6639" i="1"/>
  <c r="AH6638" i="1"/>
  <c r="Q6638" i="1"/>
  <c r="O6638" i="1"/>
  <c r="AH6637" i="1"/>
  <c r="Q6637" i="1"/>
  <c r="O6637" i="1"/>
  <c r="AH6636" i="1"/>
  <c r="Q6636" i="1"/>
  <c r="O6636" i="1"/>
  <c r="AH6635" i="1"/>
  <c r="Q6635" i="1"/>
  <c r="O6635" i="1"/>
  <c r="AH6634" i="1"/>
  <c r="Q6634" i="1"/>
  <c r="O6634" i="1"/>
  <c r="AH6633" i="1"/>
  <c r="Q6633" i="1"/>
  <c r="O6633" i="1"/>
  <c r="AH6632" i="1"/>
  <c r="Q6632" i="1"/>
  <c r="O6632" i="1"/>
  <c r="AH6631" i="1"/>
  <c r="Q6631" i="1"/>
  <c r="O6631" i="1"/>
  <c r="AH6630" i="1"/>
  <c r="Q6630" i="1"/>
  <c r="O6630" i="1"/>
  <c r="AH6629" i="1"/>
  <c r="Q6629" i="1"/>
  <c r="O6629" i="1"/>
  <c r="AH6628" i="1"/>
  <c r="Q6628" i="1"/>
  <c r="O6628" i="1"/>
  <c r="AH6627" i="1"/>
  <c r="Q6627" i="1"/>
  <c r="O6627" i="1"/>
  <c r="AH6626" i="1"/>
  <c r="Q6626" i="1"/>
  <c r="O6626" i="1"/>
  <c r="AH6625" i="1"/>
  <c r="Q6625" i="1"/>
  <c r="O6625" i="1"/>
  <c r="AH6624" i="1"/>
  <c r="Q6624" i="1"/>
  <c r="O6624" i="1"/>
  <c r="AH6623" i="1"/>
  <c r="Q6623" i="1"/>
  <c r="O6623" i="1"/>
  <c r="AH6622" i="1"/>
  <c r="Q6622" i="1"/>
  <c r="O6622" i="1"/>
  <c r="AH6621" i="1"/>
  <c r="Q6621" i="1"/>
  <c r="O6621" i="1"/>
  <c r="AH6620" i="1"/>
  <c r="Q6620" i="1"/>
  <c r="O6620" i="1"/>
  <c r="AH6619" i="1"/>
  <c r="Q6619" i="1"/>
  <c r="O6619" i="1"/>
  <c r="AH6618" i="1"/>
  <c r="Q6618" i="1"/>
  <c r="O6618" i="1"/>
  <c r="AH6617" i="1"/>
  <c r="Q6617" i="1"/>
  <c r="O6617" i="1"/>
  <c r="AH6616" i="1"/>
  <c r="Q6616" i="1"/>
  <c r="O6616" i="1"/>
  <c r="AH6615" i="1"/>
  <c r="Q6615" i="1"/>
  <c r="O6615" i="1"/>
  <c r="AH6614" i="1"/>
  <c r="Q6614" i="1"/>
  <c r="AH6613" i="1"/>
  <c r="Q6613" i="1"/>
  <c r="O6613" i="1"/>
  <c r="AH6612" i="1"/>
  <c r="Q6612" i="1"/>
  <c r="O6612" i="1"/>
  <c r="AH6611" i="1"/>
  <c r="Q6611" i="1"/>
  <c r="O6611" i="1"/>
  <c r="AH6610" i="1"/>
  <c r="Q6610" i="1"/>
  <c r="O6610" i="1"/>
  <c r="AH6609" i="1"/>
  <c r="Q6609" i="1"/>
  <c r="O6609" i="1"/>
  <c r="AH6608" i="1"/>
  <c r="Q6608" i="1"/>
  <c r="O6608" i="1"/>
  <c r="AH6607" i="1"/>
  <c r="Q6607" i="1"/>
  <c r="O6607" i="1"/>
  <c r="AH6606" i="1"/>
  <c r="Q6606" i="1"/>
  <c r="O6606" i="1"/>
  <c r="AH6605" i="1"/>
  <c r="Q6605" i="1"/>
  <c r="O6605" i="1"/>
  <c r="AH6604" i="1"/>
  <c r="Q6604" i="1"/>
  <c r="O6604" i="1"/>
  <c r="AH6603" i="1"/>
  <c r="Q6603" i="1"/>
  <c r="O6603" i="1"/>
  <c r="AH6602" i="1"/>
  <c r="Q6602" i="1"/>
  <c r="O6602" i="1"/>
  <c r="AH6601" i="1"/>
  <c r="Q6601" i="1"/>
  <c r="O6601" i="1"/>
  <c r="AH6600" i="1"/>
  <c r="Q6600" i="1"/>
  <c r="O6600" i="1"/>
  <c r="AH6599" i="1"/>
  <c r="Q6599" i="1"/>
  <c r="O6599" i="1"/>
  <c r="AH6598" i="1"/>
  <c r="Q6598" i="1"/>
  <c r="O6598" i="1"/>
  <c r="AH6597" i="1"/>
  <c r="Q6597" i="1"/>
  <c r="O6597" i="1"/>
  <c r="AH6596" i="1"/>
  <c r="Q6596" i="1"/>
  <c r="O6596" i="1"/>
  <c r="AH6595" i="1"/>
  <c r="Q6595" i="1"/>
  <c r="O6595" i="1"/>
  <c r="AH6594" i="1"/>
  <c r="Q6594" i="1"/>
  <c r="O6594" i="1"/>
  <c r="AH6593" i="1"/>
  <c r="Q6593" i="1"/>
  <c r="O6593" i="1"/>
  <c r="AH6592" i="1"/>
  <c r="Q6592" i="1"/>
  <c r="O6592" i="1"/>
  <c r="AH6591" i="1"/>
  <c r="Q6591" i="1"/>
  <c r="O6591" i="1"/>
  <c r="AH6590" i="1"/>
  <c r="Q6590" i="1"/>
  <c r="O6590" i="1"/>
  <c r="AH6589" i="1"/>
  <c r="Q6589" i="1"/>
  <c r="O6589" i="1"/>
  <c r="AH6588" i="1"/>
  <c r="Q6588" i="1"/>
  <c r="O6588" i="1"/>
  <c r="AH6587" i="1"/>
  <c r="Q6587" i="1"/>
  <c r="O6587" i="1"/>
  <c r="AH6586" i="1"/>
  <c r="Q6586" i="1"/>
  <c r="O6586" i="1"/>
  <c r="AH6585" i="1"/>
  <c r="Q6585" i="1"/>
  <c r="O6585" i="1"/>
  <c r="AH6584" i="1"/>
  <c r="Q6584" i="1"/>
  <c r="O6584" i="1"/>
  <c r="AH6583" i="1"/>
  <c r="Q6583" i="1"/>
  <c r="O6583" i="1"/>
  <c r="AH6582" i="1"/>
  <c r="Q6582" i="1"/>
  <c r="O6582" i="1"/>
  <c r="AH6581" i="1"/>
  <c r="Q6581" i="1"/>
  <c r="O6581" i="1"/>
  <c r="AH6580" i="1"/>
  <c r="Q6580" i="1"/>
  <c r="O6580" i="1"/>
  <c r="AH6579" i="1"/>
  <c r="Q6579" i="1"/>
  <c r="O6579" i="1"/>
  <c r="AH6578" i="1"/>
  <c r="Q6578" i="1"/>
  <c r="O6578" i="1"/>
  <c r="AH6577" i="1"/>
  <c r="Q6577" i="1"/>
  <c r="O6577" i="1"/>
  <c r="AH6576" i="1"/>
  <c r="Q6576" i="1"/>
  <c r="O6576" i="1"/>
  <c r="AH6575" i="1"/>
  <c r="Q6575" i="1"/>
  <c r="O6575" i="1"/>
  <c r="AH6574" i="1"/>
  <c r="Q6574" i="1"/>
  <c r="O6574" i="1"/>
  <c r="AH6573" i="1"/>
  <c r="Q6573" i="1"/>
  <c r="O6573" i="1"/>
  <c r="AH6572" i="1"/>
  <c r="Q6572" i="1"/>
  <c r="O6572" i="1"/>
  <c r="AH6571" i="1"/>
  <c r="Q6571" i="1"/>
  <c r="O6571" i="1"/>
  <c r="AH6570" i="1"/>
  <c r="Q6570" i="1"/>
  <c r="O6570" i="1"/>
  <c r="AH6569" i="1"/>
  <c r="Q6569" i="1"/>
  <c r="O6569" i="1"/>
  <c r="AH6568" i="1"/>
  <c r="Q6568" i="1"/>
  <c r="O6568" i="1"/>
  <c r="AH6567" i="1"/>
  <c r="Q6567" i="1"/>
  <c r="O6567" i="1"/>
  <c r="AH6566" i="1"/>
  <c r="Q6566" i="1"/>
  <c r="O6566" i="1"/>
  <c r="AH6565" i="1"/>
  <c r="Q6565" i="1"/>
  <c r="O6565" i="1"/>
  <c r="AH6564" i="1"/>
  <c r="Q6564" i="1"/>
  <c r="O6564" i="1"/>
  <c r="AH6563" i="1"/>
  <c r="Q6563" i="1"/>
  <c r="O6563" i="1"/>
  <c r="AH6562" i="1"/>
  <c r="Q6562" i="1"/>
  <c r="AH6561" i="1"/>
  <c r="Q6561" i="1"/>
  <c r="O6561" i="1"/>
  <c r="AH6560" i="1"/>
  <c r="Q6560" i="1"/>
  <c r="AH6559" i="1"/>
  <c r="Q6559" i="1"/>
  <c r="O6559" i="1"/>
  <c r="AH6558" i="1"/>
  <c r="Q6558" i="1"/>
  <c r="O6558" i="1"/>
  <c r="AH6557" i="1"/>
  <c r="Q6557" i="1"/>
  <c r="O6557" i="1"/>
  <c r="AH6556" i="1"/>
  <c r="Q6556" i="1"/>
  <c r="O6556" i="1"/>
  <c r="AH6555" i="1"/>
  <c r="Q6555" i="1"/>
  <c r="O6555" i="1"/>
  <c r="AH6554" i="1"/>
  <c r="Q6554" i="1"/>
  <c r="O6554" i="1"/>
  <c r="AH6553" i="1"/>
  <c r="Q6553" i="1"/>
  <c r="O6553" i="1"/>
  <c r="AH6552" i="1"/>
  <c r="Q6552" i="1"/>
  <c r="O6552" i="1"/>
  <c r="AH6551" i="1"/>
  <c r="Q6551" i="1"/>
  <c r="O6551" i="1"/>
  <c r="AH6550" i="1"/>
  <c r="Q6550" i="1"/>
  <c r="O6550" i="1"/>
  <c r="AH6549" i="1"/>
  <c r="Q6549" i="1"/>
  <c r="O6549" i="1"/>
  <c r="AH6548" i="1"/>
  <c r="Q6548" i="1"/>
  <c r="O6548" i="1"/>
  <c r="AH6547" i="1"/>
  <c r="Q6547" i="1"/>
  <c r="O6547" i="1"/>
  <c r="AH6546" i="1"/>
  <c r="Q6546" i="1"/>
  <c r="O6546" i="1"/>
  <c r="AH6545" i="1"/>
  <c r="Q6545" i="1"/>
  <c r="O6545" i="1"/>
  <c r="AH6544" i="1"/>
  <c r="Q6544" i="1"/>
  <c r="AH6543" i="1"/>
  <c r="Q6543" i="1"/>
  <c r="AH6542" i="1"/>
  <c r="Q6542" i="1"/>
  <c r="AH6541" i="1"/>
  <c r="Q6541" i="1"/>
  <c r="AH6540" i="1"/>
  <c r="Q6540" i="1"/>
  <c r="O6540" i="1"/>
  <c r="AH6539" i="1"/>
  <c r="Q6539" i="1"/>
  <c r="O6539" i="1"/>
  <c r="AH6538" i="1"/>
  <c r="Q6538" i="1"/>
  <c r="O6538" i="1"/>
  <c r="AH6537" i="1"/>
  <c r="Q6537" i="1"/>
  <c r="O6537" i="1"/>
  <c r="AH6536" i="1"/>
  <c r="Q6536" i="1"/>
  <c r="O6536" i="1"/>
  <c r="AH6535" i="1"/>
  <c r="Q6535" i="1"/>
  <c r="O6535" i="1"/>
  <c r="AH6534" i="1"/>
  <c r="Q6534" i="1"/>
  <c r="O6534" i="1"/>
  <c r="AH6533" i="1"/>
  <c r="Q6533" i="1"/>
  <c r="O6533" i="1"/>
  <c r="AH6532" i="1"/>
  <c r="Q6532" i="1"/>
  <c r="O6532" i="1"/>
  <c r="AH6531" i="1"/>
  <c r="Q6531" i="1"/>
  <c r="O6531" i="1"/>
  <c r="AH6530" i="1"/>
  <c r="Q6530" i="1"/>
  <c r="O6530" i="1"/>
  <c r="AH6529" i="1"/>
  <c r="Q6529" i="1"/>
  <c r="O6529" i="1"/>
  <c r="AH6528" i="1"/>
  <c r="Q6528" i="1"/>
  <c r="O6528" i="1"/>
  <c r="AH6527" i="1"/>
  <c r="Q6527" i="1"/>
  <c r="O6527" i="1"/>
  <c r="AH6526" i="1"/>
  <c r="Q6526" i="1"/>
  <c r="O6526" i="1"/>
  <c r="AH6525" i="1"/>
  <c r="Q6525" i="1"/>
  <c r="O6525" i="1"/>
  <c r="AH6524" i="1"/>
  <c r="Q6524" i="1"/>
  <c r="O6524" i="1"/>
  <c r="AH6523" i="1"/>
  <c r="Q6523" i="1"/>
  <c r="O6523" i="1"/>
  <c r="AH6522" i="1"/>
  <c r="Q6522" i="1"/>
  <c r="O6522" i="1"/>
  <c r="AH6521" i="1"/>
  <c r="Q6521" i="1"/>
  <c r="O6521" i="1"/>
  <c r="AH6520" i="1"/>
  <c r="Q6520" i="1"/>
  <c r="O6520" i="1"/>
  <c r="AH6519" i="1"/>
  <c r="Q6519" i="1"/>
  <c r="O6519" i="1"/>
  <c r="AH6518" i="1"/>
  <c r="Q6518" i="1"/>
  <c r="O6518" i="1"/>
  <c r="AH6517" i="1"/>
  <c r="Q6517" i="1"/>
  <c r="O6517" i="1"/>
  <c r="AH6516" i="1"/>
  <c r="Q6516" i="1"/>
  <c r="O6516" i="1"/>
  <c r="AH6515" i="1"/>
  <c r="Q6515" i="1"/>
  <c r="O6515" i="1"/>
  <c r="AH6514" i="1"/>
  <c r="Q6514" i="1"/>
  <c r="O6514" i="1"/>
  <c r="AH6513" i="1"/>
  <c r="Q6513" i="1"/>
  <c r="O6513" i="1"/>
  <c r="AH6512" i="1"/>
  <c r="Q6512" i="1"/>
  <c r="O6512" i="1"/>
  <c r="AH6511" i="1"/>
  <c r="Q6511" i="1"/>
  <c r="O6511" i="1"/>
  <c r="AH6510" i="1"/>
  <c r="Q6510" i="1"/>
  <c r="AH6509" i="1"/>
  <c r="Q6509" i="1"/>
  <c r="O6509" i="1"/>
  <c r="AH6508" i="1"/>
  <c r="Q6508" i="1"/>
  <c r="O6508" i="1"/>
  <c r="AH6507" i="1"/>
  <c r="Q6507" i="1"/>
  <c r="O6507" i="1"/>
  <c r="AH6506" i="1"/>
  <c r="Q6506" i="1"/>
  <c r="O6506" i="1"/>
  <c r="AH6505" i="1"/>
  <c r="Q6505" i="1"/>
  <c r="O6505" i="1"/>
  <c r="AH6504" i="1"/>
  <c r="Q6504" i="1"/>
  <c r="O6504" i="1"/>
  <c r="AH6503" i="1"/>
  <c r="Q6503" i="1"/>
  <c r="AH6502" i="1"/>
  <c r="Q6502" i="1"/>
  <c r="AH6501" i="1"/>
  <c r="Q6501" i="1"/>
  <c r="O6501" i="1"/>
  <c r="AH6500" i="1"/>
  <c r="Q6500" i="1"/>
  <c r="O6500" i="1"/>
  <c r="AH6499" i="1"/>
  <c r="Q6499" i="1"/>
  <c r="O6499" i="1"/>
  <c r="AH6498" i="1"/>
  <c r="Q6498" i="1"/>
  <c r="O6498" i="1"/>
  <c r="AH6497" i="1"/>
  <c r="Q6497" i="1"/>
  <c r="O6497" i="1"/>
  <c r="AH6496" i="1"/>
  <c r="Q6496" i="1"/>
  <c r="O6496" i="1"/>
  <c r="AH6495" i="1"/>
  <c r="Q6495" i="1"/>
  <c r="O6495" i="1"/>
  <c r="AH6494" i="1"/>
  <c r="Q6494" i="1"/>
  <c r="O6494" i="1"/>
  <c r="AH6493" i="1"/>
  <c r="Q6493" i="1"/>
  <c r="O6493" i="1"/>
  <c r="AH6492" i="1"/>
  <c r="Q6492" i="1"/>
  <c r="O6492" i="1"/>
  <c r="AH6491" i="1"/>
  <c r="Q6491" i="1"/>
  <c r="O6491" i="1"/>
  <c r="AH6490" i="1"/>
  <c r="Q6490" i="1"/>
  <c r="O6490" i="1"/>
  <c r="AH6489" i="1"/>
  <c r="Q6489" i="1"/>
  <c r="O6489" i="1"/>
  <c r="AH6488" i="1"/>
  <c r="Q6488" i="1"/>
  <c r="O6488" i="1"/>
  <c r="AH6487" i="1"/>
  <c r="Q6487" i="1"/>
  <c r="O6487" i="1"/>
  <c r="AH6486" i="1"/>
  <c r="Q6486" i="1"/>
  <c r="O6486" i="1"/>
  <c r="AH6485" i="1"/>
  <c r="Q6485" i="1"/>
  <c r="O6485" i="1"/>
  <c r="AH6484" i="1"/>
  <c r="Q6484" i="1"/>
  <c r="O6484" i="1"/>
  <c r="AH6483" i="1"/>
  <c r="Q6483" i="1"/>
  <c r="O6483" i="1"/>
  <c r="AH6482" i="1"/>
  <c r="Q6482" i="1"/>
  <c r="O6482" i="1"/>
  <c r="AH6481" i="1"/>
  <c r="Q6481" i="1"/>
  <c r="O6481" i="1"/>
  <c r="AH6480" i="1"/>
  <c r="Q6480" i="1"/>
  <c r="O6480" i="1"/>
  <c r="AH6479" i="1"/>
  <c r="Q6479" i="1"/>
  <c r="O6479" i="1"/>
  <c r="AH6478" i="1"/>
  <c r="Q6478" i="1"/>
  <c r="O6478" i="1"/>
  <c r="AH6477" i="1"/>
  <c r="Q6477" i="1"/>
  <c r="O6477" i="1"/>
  <c r="AH6476" i="1"/>
  <c r="Q6476" i="1"/>
  <c r="O6476" i="1"/>
  <c r="AH6475" i="1"/>
  <c r="Q6475" i="1"/>
  <c r="O6475" i="1"/>
  <c r="AH6474" i="1"/>
  <c r="Q6474" i="1"/>
  <c r="O6474" i="1"/>
  <c r="AH6473" i="1"/>
  <c r="Q6473" i="1"/>
  <c r="O6473" i="1"/>
  <c r="AH6472" i="1"/>
  <c r="Q6472" i="1"/>
  <c r="O6472" i="1"/>
  <c r="AH6471" i="1"/>
  <c r="Q6471" i="1"/>
  <c r="O6471" i="1"/>
  <c r="AH6470" i="1"/>
  <c r="Q6470" i="1"/>
  <c r="AH6469" i="1"/>
  <c r="Q6469" i="1"/>
  <c r="O6469" i="1"/>
  <c r="AH6468" i="1"/>
  <c r="Q6468" i="1"/>
  <c r="O6468" i="1"/>
  <c r="AH6467" i="1"/>
  <c r="Q6467" i="1"/>
  <c r="O6467" i="1"/>
  <c r="AH6466" i="1"/>
  <c r="Q6466" i="1"/>
  <c r="O6466" i="1"/>
  <c r="AH6465" i="1"/>
  <c r="Q6465" i="1"/>
  <c r="O6465" i="1"/>
  <c r="AH6464" i="1"/>
  <c r="Q6464" i="1"/>
  <c r="O6464" i="1"/>
  <c r="AH6463" i="1"/>
  <c r="Q6463" i="1"/>
  <c r="O6463" i="1"/>
  <c r="AH6462" i="1"/>
  <c r="Q6462" i="1"/>
  <c r="O6462" i="1"/>
  <c r="AH6461" i="1"/>
  <c r="Q6461" i="1"/>
  <c r="O6461" i="1"/>
  <c r="AH6460" i="1"/>
  <c r="Q6460" i="1"/>
  <c r="O6460" i="1"/>
  <c r="AH6459" i="1"/>
  <c r="Q6459" i="1"/>
  <c r="O6459" i="1"/>
  <c r="AH6458" i="1"/>
  <c r="Q6458" i="1"/>
  <c r="O6458" i="1"/>
  <c r="AH6457" i="1"/>
  <c r="Q6457" i="1"/>
  <c r="O6457" i="1"/>
  <c r="AH6456" i="1"/>
  <c r="Q6456" i="1"/>
  <c r="O6456" i="1"/>
  <c r="AH6455" i="1"/>
  <c r="Q6455" i="1"/>
  <c r="O6455" i="1"/>
  <c r="AH6454" i="1"/>
  <c r="Q6454" i="1"/>
  <c r="O6454" i="1"/>
  <c r="AH6453" i="1"/>
  <c r="Q6453" i="1"/>
  <c r="O6453" i="1"/>
  <c r="AH6452" i="1"/>
  <c r="Q6452" i="1"/>
  <c r="O6452" i="1"/>
  <c r="AH6451" i="1"/>
  <c r="Q6451" i="1"/>
  <c r="O6451" i="1"/>
  <c r="AH6450" i="1"/>
  <c r="Q6450" i="1"/>
  <c r="O6450" i="1"/>
  <c r="AH6449" i="1"/>
  <c r="Q6449" i="1"/>
  <c r="O6449" i="1"/>
  <c r="AH6448" i="1"/>
  <c r="Q6448" i="1"/>
  <c r="O6448" i="1"/>
  <c r="AH6447" i="1"/>
  <c r="Q6447" i="1"/>
  <c r="O6447" i="1"/>
  <c r="AH6446" i="1"/>
  <c r="Q6446" i="1"/>
  <c r="O6446" i="1"/>
  <c r="AH6445" i="1"/>
  <c r="Q6445" i="1"/>
  <c r="O6445" i="1"/>
  <c r="AH6444" i="1"/>
  <c r="Q6444" i="1"/>
  <c r="O6444" i="1"/>
  <c r="AH6443" i="1"/>
  <c r="Q6443" i="1"/>
  <c r="O6443" i="1"/>
  <c r="AH6442" i="1"/>
  <c r="Q6442" i="1"/>
  <c r="O6442" i="1"/>
  <c r="AH6441" i="1"/>
  <c r="Q6441" i="1"/>
  <c r="O6441" i="1"/>
  <c r="AH6440" i="1"/>
  <c r="Q6440" i="1"/>
  <c r="O6440" i="1"/>
  <c r="AH6439" i="1"/>
  <c r="Q6439" i="1"/>
  <c r="O6439" i="1"/>
  <c r="AH6438" i="1"/>
  <c r="Q6438" i="1"/>
  <c r="O6438" i="1"/>
  <c r="AH6437" i="1"/>
  <c r="Q6437" i="1"/>
  <c r="O6437" i="1"/>
  <c r="AH6436" i="1"/>
  <c r="Q6436" i="1"/>
  <c r="O6436" i="1"/>
  <c r="AH6435" i="1"/>
  <c r="Q6435" i="1"/>
  <c r="O6435" i="1"/>
  <c r="AH6434" i="1"/>
  <c r="Q6434" i="1"/>
  <c r="O6434" i="1"/>
  <c r="AH6433" i="1"/>
  <c r="Q6433" i="1"/>
  <c r="AH6432" i="1"/>
  <c r="Q6432" i="1"/>
  <c r="O6432" i="1"/>
  <c r="AH6431" i="1"/>
  <c r="Q6431" i="1"/>
  <c r="O6431" i="1"/>
  <c r="AH6430" i="1"/>
  <c r="Q6430" i="1"/>
  <c r="O6430" i="1"/>
  <c r="AH6429" i="1"/>
  <c r="Q6429" i="1"/>
  <c r="O6429" i="1"/>
  <c r="AH6428" i="1"/>
  <c r="Q6428" i="1"/>
  <c r="O6428" i="1"/>
  <c r="AH6427" i="1"/>
  <c r="Q6427" i="1"/>
  <c r="O6427" i="1"/>
  <c r="AH6426" i="1"/>
  <c r="Q6426" i="1"/>
  <c r="O6426" i="1"/>
  <c r="AH6425" i="1"/>
  <c r="Q6425" i="1"/>
  <c r="O6425" i="1"/>
  <c r="AH6424" i="1"/>
  <c r="Q6424" i="1"/>
  <c r="O6424" i="1"/>
  <c r="AH6423" i="1"/>
  <c r="Q6423" i="1"/>
  <c r="O6423" i="1"/>
  <c r="AH6422" i="1"/>
  <c r="Q6422" i="1"/>
  <c r="O6422" i="1"/>
  <c r="AH6421" i="1"/>
  <c r="Q6421" i="1"/>
  <c r="O6421" i="1"/>
  <c r="AH6420" i="1"/>
  <c r="Q6420" i="1"/>
  <c r="O6420" i="1"/>
  <c r="AH6419" i="1"/>
  <c r="Q6419" i="1"/>
  <c r="O6419" i="1"/>
  <c r="AH6418" i="1"/>
  <c r="Q6418" i="1"/>
  <c r="O6418" i="1"/>
  <c r="AH6417" i="1"/>
  <c r="Q6417" i="1"/>
  <c r="O6417" i="1"/>
  <c r="AH6416" i="1"/>
  <c r="Q6416" i="1"/>
  <c r="O6416" i="1"/>
  <c r="AH6415" i="1"/>
  <c r="Q6415" i="1"/>
  <c r="O6415" i="1"/>
  <c r="AH6414" i="1"/>
  <c r="Q6414" i="1"/>
  <c r="O6414" i="1"/>
  <c r="AH6413" i="1"/>
  <c r="Q6413" i="1"/>
  <c r="O6413" i="1"/>
  <c r="AH6412" i="1"/>
  <c r="Q6412" i="1"/>
  <c r="O6412" i="1"/>
  <c r="AH6411" i="1"/>
  <c r="Q6411" i="1"/>
  <c r="O6411" i="1"/>
  <c r="AH6410" i="1"/>
  <c r="Q6410" i="1"/>
  <c r="O6410" i="1"/>
  <c r="AH6409" i="1"/>
  <c r="Q6409" i="1"/>
  <c r="O6409" i="1"/>
  <c r="AH6408" i="1"/>
  <c r="Q6408" i="1"/>
  <c r="O6408" i="1"/>
  <c r="AH6407" i="1"/>
  <c r="Q6407" i="1"/>
  <c r="O6407" i="1"/>
  <c r="AH6406" i="1"/>
  <c r="Q6406" i="1"/>
  <c r="O6406" i="1"/>
  <c r="AH6405" i="1"/>
  <c r="Q6405" i="1"/>
  <c r="AH6404" i="1"/>
  <c r="Q6404" i="1"/>
  <c r="O6404" i="1"/>
  <c r="AH6403" i="1"/>
  <c r="Q6403" i="1"/>
  <c r="O6403" i="1"/>
  <c r="AH6402" i="1"/>
  <c r="Q6402" i="1"/>
  <c r="O6402" i="1"/>
  <c r="AH6401" i="1"/>
  <c r="Q6401" i="1"/>
  <c r="O6401" i="1"/>
  <c r="AH6400" i="1"/>
  <c r="Q6400" i="1"/>
  <c r="O6400" i="1"/>
  <c r="AH6399" i="1"/>
  <c r="Q6399" i="1"/>
  <c r="O6399" i="1"/>
  <c r="AH6398" i="1"/>
  <c r="Q6398" i="1"/>
  <c r="O6398" i="1"/>
  <c r="AH6397" i="1"/>
  <c r="Q6397" i="1"/>
  <c r="O6397" i="1"/>
  <c r="AH6396" i="1"/>
  <c r="Q6396" i="1"/>
  <c r="O6396" i="1"/>
  <c r="AH6395" i="1"/>
  <c r="Q6395" i="1"/>
  <c r="O6395" i="1"/>
  <c r="AH6394" i="1"/>
  <c r="Q6394" i="1"/>
  <c r="O6394" i="1"/>
  <c r="AH6393" i="1"/>
  <c r="Q6393" i="1"/>
  <c r="O6393" i="1"/>
  <c r="AH6392" i="1"/>
  <c r="Q6392" i="1"/>
  <c r="O6392" i="1"/>
  <c r="AH6391" i="1"/>
  <c r="Q6391" i="1"/>
  <c r="O6391" i="1"/>
  <c r="AH6390" i="1"/>
  <c r="Q6390" i="1"/>
  <c r="O6390" i="1"/>
  <c r="AH6389" i="1"/>
  <c r="Q6389" i="1"/>
  <c r="O6389" i="1"/>
  <c r="AH6388" i="1"/>
  <c r="Q6388" i="1"/>
  <c r="O6388" i="1"/>
  <c r="AH6387" i="1"/>
  <c r="Q6387" i="1"/>
  <c r="O6387" i="1"/>
  <c r="AH6386" i="1"/>
  <c r="Q6386" i="1"/>
  <c r="O6386" i="1"/>
  <c r="AH6385" i="1"/>
  <c r="Q6385" i="1"/>
  <c r="O6385" i="1"/>
  <c r="AH6384" i="1"/>
  <c r="Q6384" i="1"/>
  <c r="O6384" i="1"/>
  <c r="AH6383" i="1"/>
  <c r="Q6383" i="1"/>
  <c r="O6383" i="1"/>
  <c r="AH6382" i="1"/>
  <c r="Q6382" i="1"/>
  <c r="O6382" i="1"/>
  <c r="AH6381" i="1"/>
  <c r="Q6381" i="1"/>
  <c r="O6381" i="1"/>
  <c r="AH6380" i="1"/>
  <c r="Q6380" i="1"/>
  <c r="O6380" i="1"/>
  <c r="AH6379" i="1"/>
  <c r="Q6379" i="1"/>
  <c r="O6379" i="1"/>
  <c r="AH6378" i="1"/>
  <c r="Q6378" i="1"/>
  <c r="O6378" i="1"/>
  <c r="AH6377" i="1"/>
  <c r="Q6377" i="1"/>
  <c r="AH6376" i="1"/>
  <c r="Q6376" i="1"/>
  <c r="AH6375" i="1"/>
  <c r="Q6375" i="1"/>
  <c r="AH6374" i="1"/>
  <c r="Q6374" i="1"/>
  <c r="O6374" i="1"/>
  <c r="AH6373" i="1"/>
  <c r="Q6373" i="1"/>
  <c r="AH6372" i="1"/>
  <c r="Q6372" i="1"/>
  <c r="O6372" i="1"/>
  <c r="AH6371" i="1"/>
  <c r="Q6371" i="1"/>
  <c r="AH6370" i="1"/>
  <c r="Q6370" i="1"/>
  <c r="O6370" i="1"/>
  <c r="AH6369" i="1"/>
  <c r="Q6369" i="1"/>
  <c r="O6369" i="1"/>
  <c r="AH6368" i="1"/>
  <c r="Q6368" i="1"/>
  <c r="O6368" i="1"/>
  <c r="AH6367" i="1"/>
  <c r="Q6367" i="1"/>
  <c r="O6367" i="1"/>
  <c r="AH6366" i="1"/>
  <c r="Q6366" i="1"/>
  <c r="O6366" i="1"/>
  <c r="AH6365" i="1"/>
  <c r="Q6365" i="1"/>
  <c r="AH6364" i="1"/>
  <c r="Q6364" i="1"/>
  <c r="O6364" i="1"/>
  <c r="AH6363" i="1"/>
  <c r="Q6363" i="1"/>
  <c r="O6363" i="1"/>
  <c r="AH6362" i="1"/>
  <c r="Q6362" i="1"/>
  <c r="AH6361" i="1"/>
  <c r="Q6361" i="1"/>
  <c r="O6361" i="1"/>
  <c r="AH6360" i="1"/>
  <c r="Q6360" i="1"/>
  <c r="AH6359" i="1"/>
  <c r="Q6359" i="1"/>
  <c r="AH6358" i="1"/>
  <c r="Q6358" i="1"/>
  <c r="O6358" i="1"/>
  <c r="AH6357" i="1"/>
  <c r="Q6357" i="1"/>
  <c r="O6357" i="1"/>
  <c r="AH6356" i="1"/>
  <c r="Q6356" i="1"/>
  <c r="O6356" i="1"/>
  <c r="AH6355" i="1"/>
  <c r="Q6355" i="1"/>
  <c r="AH6354" i="1"/>
  <c r="Q6354" i="1"/>
  <c r="O6354" i="1"/>
  <c r="AH6353" i="1"/>
  <c r="Q6353" i="1"/>
  <c r="O6353" i="1"/>
  <c r="AH6352" i="1"/>
  <c r="Q6352" i="1"/>
  <c r="O6352" i="1"/>
  <c r="AH6351" i="1"/>
  <c r="Q6351" i="1"/>
  <c r="O6351" i="1"/>
  <c r="AH6350" i="1"/>
  <c r="Q6350" i="1"/>
  <c r="O6350" i="1"/>
  <c r="AH6349" i="1"/>
  <c r="Q6349" i="1"/>
  <c r="O6349" i="1"/>
  <c r="AH6348" i="1"/>
  <c r="Q6348" i="1"/>
  <c r="O6348" i="1"/>
  <c r="AH6347" i="1"/>
  <c r="Q6347" i="1"/>
  <c r="O6347" i="1"/>
  <c r="AH6346" i="1"/>
  <c r="Q6346" i="1"/>
  <c r="O6346" i="1"/>
  <c r="AH6345" i="1"/>
  <c r="Q6345" i="1"/>
  <c r="O6345" i="1"/>
  <c r="AH6344" i="1"/>
  <c r="Q6344" i="1"/>
  <c r="O6344" i="1"/>
  <c r="AH6343" i="1"/>
  <c r="Q6343" i="1"/>
  <c r="O6343" i="1"/>
  <c r="AH6342" i="1"/>
  <c r="Q6342" i="1"/>
  <c r="O6342" i="1"/>
  <c r="AH6341" i="1"/>
  <c r="Q6341" i="1"/>
  <c r="O6341" i="1"/>
  <c r="AH6340" i="1"/>
  <c r="Q6340" i="1"/>
  <c r="O6340" i="1"/>
  <c r="AH6339" i="1"/>
  <c r="Q6339" i="1"/>
  <c r="O6339" i="1"/>
  <c r="AH6338" i="1"/>
  <c r="Q6338" i="1"/>
  <c r="O6338" i="1"/>
  <c r="AH6337" i="1"/>
  <c r="Q6337" i="1"/>
  <c r="O6337" i="1"/>
  <c r="AH6336" i="1"/>
  <c r="Q6336" i="1"/>
  <c r="O6336" i="1"/>
  <c r="AH6335" i="1"/>
  <c r="Q6335" i="1"/>
  <c r="O6335" i="1"/>
  <c r="AH6334" i="1"/>
  <c r="Q6334" i="1"/>
  <c r="O6334" i="1"/>
  <c r="AH6333" i="1"/>
  <c r="Q6333" i="1"/>
  <c r="O6333" i="1"/>
  <c r="AH6332" i="1"/>
  <c r="Q6332" i="1"/>
  <c r="AH6331" i="1"/>
  <c r="Q6331" i="1"/>
  <c r="O6331" i="1"/>
  <c r="AH6330" i="1"/>
  <c r="Q6330" i="1"/>
  <c r="O6330" i="1"/>
  <c r="AH6329" i="1"/>
  <c r="Q6329" i="1"/>
  <c r="O6329" i="1"/>
  <c r="AH6328" i="1"/>
  <c r="Q6328" i="1"/>
  <c r="O6328" i="1"/>
  <c r="AH6327" i="1"/>
  <c r="Q6327" i="1"/>
  <c r="O6327" i="1"/>
  <c r="AH6326" i="1"/>
  <c r="Q6326" i="1"/>
  <c r="O6326" i="1"/>
  <c r="AH6325" i="1"/>
  <c r="Q6325" i="1"/>
  <c r="O6325" i="1"/>
  <c r="AH6324" i="1"/>
  <c r="Q6324" i="1"/>
  <c r="O6324" i="1"/>
  <c r="AH6323" i="1"/>
  <c r="Q6323" i="1"/>
  <c r="O6323" i="1"/>
  <c r="AH6322" i="1"/>
  <c r="Q6322" i="1"/>
  <c r="O6322" i="1"/>
  <c r="AH6321" i="1"/>
  <c r="Q6321" i="1"/>
  <c r="O6321" i="1"/>
  <c r="AH6320" i="1"/>
  <c r="Q6320" i="1"/>
  <c r="O6320" i="1"/>
  <c r="AH6319" i="1"/>
  <c r="Q6319" i="1"/>
  <c r="O6319" i="1"/>
  <c r="AH6318" i="1"/>
  <c r="Q6318" i="1"/>
  <c r="O6318" i="1"/>
  <c r="AH6317" i="1"/>
  <c r="Q6317" i="1"/>
  <c r="O6317" i="1"/>
  <c r="AH6316" i="1"/>
  <c r="Q6316" i="1"/>
  <c r="O6316" i="1"/>
  <c r="AH6315" i="1"/>
  <c r="Q6315" i="1"/>
  <c r="O6315" i="1"/>
  <c r="AH6314" i="1"/>
  <c r="Q6314" i="1"/>
  <c r="O6314" i="1"/>
  <c r="AH6313" i="1"/>
  <c r="Q6313" i="1"/>
  <c r="AH6312" i="1"/>
  <c r="Q6312" i="1"/>
  <c r="O6312" i="1"/>
  <c r="AH6311" i="1"/>
  <c r="Q6311" i="1"/>
  <c r="O6311" i="1"/>
  <c r="AH6310" i="1"/>
  <c r="Q6310" i="1"/>
  <c r="O6310" i="1"/>
  <c r="AH6309" i="1"/>
  <c r="Q6309" i="1"/>
  <c r="O6309" i="1"/>
  <c r="AH6308" i="1"/>
  <c r="Q6308" i="1"/>
  <c r="AH6307" i="1"/>
  <c r="Q6307" i="1"/>
  <c r="O6307" i="1"/>
  <c r="AH6306" i="1"/>
  <c r="Q6306" i="1"/>
  <c r="AH6305" i="1"/>
  <c r="Q6305" i="1"/>
  <c r="O6305" i="1"/>
  <c r="AH6304" i="1"/>
  <c r="Q6304" i="1"/>
  <c r="O6304" i="1"/>
  <c r="AH6303" i="1"/>
  <c r="Q6303" i="1"/>
  <c r="O6303" i="1"/>
  <c r="AH6302" i="1"/>
  <c r="Q6302" i="1"/>
  <c r="O6302" i="1"/>
  <c r="AH6301" i="1"/>
  <c r="Q6301" i="1"/>
  <c r="O6301" i="1"/>
  <c r="AH6300" i="1"/>
  <c r="Q6300" i="1"/>
  <c r="O6300" i="1"/>
  <c r="AH6299" i="1"/>
  <c r="Q6299" i="1"/>
  <c r="O6299" i="1"/>
  <c r="AH6298" i="1"/>
  <c r="Q6298" i="1"/>
  <c r="O6298" i="1"/>
  <c r="AH6297" i="1"/>
  <c r="Q6297" i="1"/>
  <c r="AH6296" i="1"/>
  <c r="Q6296" i="1"/>
  <c r="AH6295" i="1"/>
  <c r="Q6295" i="1"/>
  <c r="AH6294" i="1"/>
  <c r="Q6294" i="1"/>
  <c r="O6294" i="1"/>
  <c r="AH6293" i="1"/>
  <c r="Q6293" i="1"/>
  <c r="AH6292" i="1"/>
  <c r="Q6292" i="1"/>
  <c r="O6292" i="1"/>
  <c r="AH6291" i="1"/>
  <c r="Q6291" i="1"/>
  <c r="AH6290" i="1"/>
  <c r="Q6290" i="1"/>
  <c r="O6290" i="1"/>
  <c r="AH6289" i="1"/>
  <c r="Q6289" i="1"/>
  <c r="AH6288" i="1"/>
  <c r="Q6288" i="1"/>
  <c r="O6288" i="1"/>
  <c r="AH6287" i="1"/>
  <c r="Q6287" i="1"/>
  <c r="O6287" i="1"/>
  <c r="AH6286" i="1"/>
  <c r="Q6286" i="1"/>
  <c r="O6286" i="1"/>
  <c r="AH6285" i="1"/>
  <c r="Q6285" i="1"/>
  <c r="O6285" i="1"/>
  <c r="AH6284" i="1"/>
  <c r="Q6284" i="1"/>
  <c r="O6284" i="1"/>
  <c r="AH6283" i="1"/>
  <c r="Q6283" i="1"/>
  <c r="O6283" i="1"/>
  <c r="AH6282" i="1"/>
  <c r="Q6282" i="1"/>
  <c r="O6282" i="1"/>
  <c r="AH6281" i="1"/>
  <c r="Q6281" i="1"/>
  <c r="AH6280" i="1"/>
  <c r="Q6280" i="1"/>
  <c r="O6280" i="1"/>
  <c r="AH6279" i="1"/>
  <c r="Q6279" i="1"/>
  <c r="AH6278" i="1"/>
  <c r="Q6278" i="1"/>
  <c r="O6278" i="1"/>
  <c r="AH6277" i="1"/>
  <c r="Q6277" i="1"/>
  <c r="O6277" i="1"/>
  <c r="AH6276" i="1"/>
  <c r="Q6276" i="1"/>
  <c r="AH6275" i="1"/>
  <c r="Q6275" i="1"/>
  <c r="O6275" i="1"/>
  <c r="AH6274" i="1"/>
  <c r="Q6274" i="1"/>
  <c r="O6274" i="1"/>
  <c r="AH6273" i="1"/>
  <c r="Q6273" i="1"/>
  <c r="O6273" i="1"/>
  <c r="AH6272" i="1"/>
  <c r="Q6272" i="1"/>
  <c r="O6272" i="1"/>
  <c r="AH6271" i="1"/>
  <c r="Q6271" i="1"/>
  <c r="AH6270" i="1"/>
  <c r="Q6270" i="1"/>
  <c r="AH6269" i="1"/>
  <c r="Q6269" i="1"/>
  <c r="O6269" i="1"/>
  <c r="AH6268" i="1"/>
  <c r="Q6268" i="1"/>
  <c r="AH6267" i="1"/>
  <c r="Q6267" i="1"/>
  <c r="O6267" i="1"/>
  <c r="AH6266" i="1"/>
  <c r="Q6266" i="1"/>
  <c r="AH6265" i="1"/>
  <c r="Q6265" i="1"/>
  <c r="AH6264" i="1"/>
  <c r="Q6264" i="1"/>
  <c r="O6264" i="1"/>
  <c r="AH6263" i="1"/>
  <c r="Q6263" i="1"/>
  <c r="O6263" i="1"/>
  <c r="AH6262" i="1"/>
  <c r="Q6262" i="1"/>
  <c r="AH6261" i="1"/>
  <c r="Q6261" i="1"/>
  <c r="O6261" i="1"/>
  <c r="AH6260" i="1"/>
  <c r="Q6260" i="1"/>
  <c r="O6260" i="1"/>
  <c r="AH6259" i="1"/>
  <c r="Q6259" i="1"/>
  <c r="O6259" i="1"/>
  <c r="AH6258" i="1"/>
  <c r="Q6258" i="1"/>
  <c r="O6258" i="1"/>
  <c r="AH6257" i="1"/>
  <c r="Q6257" i="1"/>
  <c r="O6257" i="1"/>
  <c r="AH6256" i="1"/>
  <c r="Q6256" i="1"/>
  <c r="O6256" i="1"/>
  <c r="AH6255" i="1"/>
  <c r="Q6255" i="1"/>
  <c r="O6255" i="1"/>
  <c r="AH6254" i="1"/>
  <c r="Q6254" i="1"/>
  <c r="O6254" i="1"/>
  <c r="AH6253" i="1"/>
  <c r="Q6253" i="1"/>
  <c r="O6253" i="1"/>
  <c r="AH6252" i="1"/>
  <c r="Q6252" i="1"/>
  <c r="O6252" i="1"/>
  <c r="AH6251" i="1"/>
  <c r="Q6251" i="1"/>
  <c r="O6251" i="1"/>
  <c r="AH6250" i="1"/>
  <c r="Q6250" i="1"/>
  <c r="O6250" i="1"/>
  <c r="AH6249" i="1"/>
  <c r="Q6249" i="1"/>
  <c r="O6249" i="1"/>
  <c r="AH6248" i="1"/>
  <c r="Q6248" i="1"/>
  <c r="AH6247" i="1"/>
  <c r="Q6247" i="1"/>
  <c r="AH6246" i="1"/>
  <c r="Q6246" i="1"/>
  <c r="AH6245" i="1"/>
  <c r="Q6245" i="1"/>
  <c r="O6245" i="1"/>
  <c r="AH6244" i="1"/>
  <c r="Q6244" i="1"/>
  <c r="O6244" i="1"/>
  <c r="AH6243" i="1"/>
  <c r="Q6243" i="1"/>
  <c r="O6243" i="1"/>
  <c r="AH6242" i="1"/>
  <c r="Q6242" i="1"/>
  <c r="O6242" i="1"/>
  <c r="AH6241" i="1"/>
  <c r="Q6241" i="1"/>
  <c r="O6241" i="1"/>
  <c r="AH6240" i="1"/>
  <c r="Q6240" i="1"/>
  <c r="O6240" i="1"/>
  <c r="AH6239" i="1"/>
  <c r="Q6239" i="1"/>
  <c r="O6239" i="1"/>
  <c r="AH6238" i="1"/>
  <c r="Q6238" i="1"/>
  <c r="O6238" i="1"/>
  <c r="AH6237" i="1"/>
  <c r="Q6237" i="1"/>
  <c r="O6237" i="1"/>
  <c r="AH6236" i="1"/>
  <c r="Q6236" i="1"/>
  <c r="O6236" i="1"/>
  <c r="AH6235" i="1"/>
  <c r="Q6235" i="1"/>
  <c r="O6235" i="1"/>
  <c r="AH6234" i="1"/>
  <c r="Q6234" i="1"/>
  <c r="O6234" i="1"/>
  <c r="AH6233" i="1"/>
  <c r="Q6233" i="1"/>
  <c r="O6233" i="1"/>
  <c r="AH6232" i="1"/>
  <c r="Q6232" i="1"/>
  <c r="O6232" i="1"/>
  <c r="AH6231" i="1"/>
  <c r="Q6231" i="1"/>
  <c r="O6231" i="1"/>
  <c r="AH6230" i="1"/>
  <c r="Q6230" i="1"/>
  <c r="O6230" i="1"/>
  <c r="AH6229" i="1"/>
  <c r="Q6229" i="1"/>
  <c r="O6229" i="1"/>
  <c r="AH6228" i="1"/>
  <c r="Q6228" i="1"/>
  <c r="O6228" i="1"/>
  <c r="AH6227" i="1"/>
  <c r="Q6227" i="1"/>
  <c r="O6227" i="1"/>
  <c r="AH6226" i="1"/>
  <c r="Q6226" i="1"/>
  <c r="O6226" i="1"/>
  <c r="AH6225" i="1"/>
  <c r="Q6225" i="1"/>
  <c r="O6225" i="1"/>
  <c r="AH6224" i="1"/>
  <c r="Q6224" i="1"/>
  <c r="O6224" i="1"/>
  <c r="AH6223" i="1"/>
  <c r="Q6223" i="1"/>
  <c r="O6223" i="1"/>
  <c r="AH6222" i="1"/>
  <c r="Q6222" i="1"/>
  <c r="O6222" i="1"/>
  <c r="AH6221" i="1"/>
  <c r="Q6221" i="1"/>
  <c r="AH6220" i="1"/>
  <c r="Q6220" i="1"/>
  <c r="AH6219" i="1"/>
  <c r="Q6219" i="1"/>
  <c r="AH6218" i="1"/>
  <c r="Q6218" i="1"/>
  <c r="O6218" i="1"/>
  <c r="AH6217" i="1"/>
  <c r="Q6217" i="1"/>
  <c r="O6217" i="1"/>
  <c r="AH6216" i="1"/>
  <c r="Q6216" i="1"/>
  <c r="O6216" i="1"/>
  <c r="AH6215" i="1"/>
  <c r="Q6215" i="1"/>
  <c r="O6215" i="1"/>
  <c r="AH6214" i="1"/>
  <c r="Q6214" i="1"/>
  <c r="O6214" i="1"/>
  <c r="AH6213" i="1"/>
  <c r="Q6213" i="1"/>
  <c r="O6213" i="1"/>
  <c r="AH6212" i="1"/>
  <c r="Q6212" i="1"/>
  <c r="O6212" i="1"/>
  <c r="AH6211" i="1"/>
  <c r="Q6211" i="1"/>
  <c r="AH6210" i="1"/>
  <c r="Q6210" i="1"/>
  <c r="O6210" i="1"/>
  <c r="AH6209" i="1"/>
  <c r="Q6209" i="1"/>
  <c r="AH6208" i="1"/>
  <c r="Q6208" i="1"/>
  <c r="O6208" i="1"/>
  <c r="AH6207" i="1"/>
  <c r="Q6207" i="1"/>
  <c r="O6207" i="1"/>
  <c r="AH6206" i="1"/>
  <c r="Q6206" i="1"/>
  <c r="AH6205" i="1"/>
  <c r="Q6205" i="1"/>
  <c r="O6205" i="1"/>
  <c r="AH6204" i="1"/>
  <c r="Q6204" i="1"/>
  <c r="O6204" i="1"/>
  <c r="AH6203" i="1"/>
  <c r="Q6203" i="1"/>
  <c r="O6203" i="1"/>
  <c r="AH6202" i="1"/>
  <c r="Q6202" i="1"/>
  <c r="O6202" i="1"/>
  <c r="AH6201" i="1"/>
  <c r="Q6201" i="1"/>
  <c r="O6201" i="1"/>
  <c r="AH6200" i="1"/>
  <c r="Q6200" i="1"/>
  <c r="O6200" i="1"/>
  <c r="AH6199" i="1"/>
  <c r="Q6199" i="1"/>
  <c r="O6199" i="1"/>
  <c r="AH6198" i="1"/>
  <c r="Q6198" i="1"/>
  <c r="AH6197" i="1"/>
  <c r="Q6197" i="1"/>
  <c r="O6197" i="1"/>
  <c r="AH6196" i="1"/>
  <c r="Q6196" i="1"/>
  <c r="O6196" i="1"/>
  <c r="AH6195" i="1"/>
  <c r="Q6195" i="1"/>
  <c r="O6195" i="1"/>
  <c r="AH6194" i="1"/>
  <c r="Q6194" i="1"/>
  <c r="O6194" i="1"/>
  <c r="AH6193" i="1"/>
  <c r="Q6193" i="1"/>
  <c r="O6193" i="1"/>
  <c r="AH6192" i="1"/>
  <c r="Q6192" i="1"/>
  <c r="O6192" i="1"/>
  <c r="AH6191" i="1"/>
  <c r="Q6191" i="1"/>
  <c r="O6191" i="1"/>
  <c r="AH6190" i="1"/>
  <c r="Q6190" i="1"/>
  <c r="O6190" i="1"/>
  <c r="AH6189" i="1"/>
  <c r="Q6189" i="1"/>
  <c r="AH6188" i="1"/>
  <c r="Q6188" i="1"/>
  <c r="O6188" i="1"/>
  <c r="AH6187" i="1"/>
  <c r="Q6187" i="1"/>
  <c r="O6187" i="1"/>
  <c r="AH6186" i="1"/>
  <c r="Q6186" i="1"/>
  <c r="O6186" i="1"/>
  <c r="AH6185" i="1"/>
  <c r="Q6185" i="1"/>
  <c r="O6185" i="1"/>
  <c r="AH6184" i="1"/>
  <c r="Q6184" i="1"/>
  <c r="O6184" i="1"/>
  <c r="AH6183" i="1"/>
  <c r="Q6183" i="1"/>
  <c r="O6183" i="1"/>
  <c r="AH6182" i="1"/>
  <c r="Q6182" i="1"/>
  <c r="O6182" i="1"/>
  <c r="AH6181" i="1"/>
  <c r="Q6181" i="1"/>
  <c r="O6181" i="1"/>
  <c r="AH6180" i="1"/>
  <c r="Q6180" i="1"/>
  <c r="O6180" i="1"/>
  <c r="AH6179" i="1"/>
  <c r="Q6179" i="1"/>
  <c r="O6179" i="1"/>
  <c r="AH6178" i="1"/>
  <c r="Q6178" i="1"/>
  <c r="O6178" i="1"/>
  <c r="AH6177" i="1"/>
  <c r="Q6177" i="1"/>
  <c r="O6177" i="1"/>
  <c r="AH6176" i="1"/>
  <c r="Q6176" i="1"/>
  <c r="O6176" i="1"/>
  <c r="AH6175" i="1"/>
  <c r="Q6175" i="1"/>
  <c r="O6175" i="1"/>
  <c r="AH6174" i="1"/>
  <c r="Q6174" i="1"/>
  <c r="O6174" i="1"/>
  <c r="AH6173" i="1"/>
  <c r="Q6173" i="1"/>
  <c r="O6173" i="1"/>
  <c r="AH6172" i="1"/>
  <c r="Q6172" i="1"/>
  <c r="O6172" i="1"/>
  <c r="AH6171" i="1"/>
  <c r="Q6171" i="1"/>
  <c r="O6171" i="1"/>
  <c r="AH6170" i="1"/>
  <c r="Q6170" i="1"/>
  <c r="O6170" i="1"/>
  <c r="AH6169" i="1"/>
  <c r="Q6169" i="1"/>
  <c r="O6169" i="1"/>
  <c r="AH6168" i="1"/>
  <c r="Q6168" i="1"/>
  <c r="O6168" i="1"/>
  <c r="AH6167" i="1"/>
  <c r="Q6167" i="1"/>
  <c r="O6167" i="1"/>
  <c r="AH6166" i="1"/>
  <c r="Q6166" i="1"/>
  <c r="O6166" i="1"/>
  <c r="AH6165" i="1"/>
  <c r="Q6165" i="1"/>
  <c r="O6165" i="1"/>
  <c r="AH6164" i="1"/>
  <c r="Q6164" i="1"/>
  <c r="O6164" i="1"/>
  <c r="AH6163" i="1"/>
  <c r="Q6163" i="1"/>
  <c r="O6163" i="1"/>
  <c r="AH6162" i="1"/>
  <c r="Q6162" i="1"/>
  <c r="O6162" i="1"/>
  <c r="AH6161" i="1"/>
  <c r="Q6161" i="1"/>
  <c r="O6161" i="1"/>
  <c r="AH6160" i="1"/>
  <c r="Q6160" i="1"/>
  <c r="O6160" i="1"/>
  <c r="AH6159" i="1"/>
  <c r="Q6159" i="1"/>
  <c r="O6159" i="1"/>
  <c r="AH6158" i="1"/>
  <c r="Q6158" i="1"/>
  <c r="O6158" i="1"/>
  <c r="AH6157" i="1"/>
  <c r="Q6157" i="1"/>
  <c r="O6157" i="1"/>
  <c r="AH6156" i="1"/>
  <c r="Q6156" i="1"/>
  <c r="O6156" i="1"/>
  <c r="AH6155" i="1"/>
  <c r="Q6155" i="1"/>
  <c r="AH6154" i="1"/>
  <c r="Q6154" i="1"/>
  <c r="AH6153" i="1"/>
  <c r="Q6153" i="1"/>
  <c r="AH6152" i="1"/>
  <c r="Q6152" i="1"/>
  <c r="O6152" i="1"/>
  <c r="AH6151" i="1"/>
  <c r="Q6151" i="1"/>
  <c r="O6151" i="1"/>
  <c r="AH6150" i="1"/>
  <c r="Q6150" i="1"/>
  <c r="O6150" i="1"/>
  <c r="AH6149" i="1"/>
  <c r="Q6149" i="1"/>
  <c r="O6149" i="1"/>
  <c r="AH6148" i="1"/>
  <c r="Q6148" i="1"/>
  <c r="O6148" i="1"/>
  <c r="AH6147" i="1"/>
  <c r="Q6147" i="1"/>
  <c r="O6147" i="1"/>
  <c r="AH6146" i="1"/>
  <c r="Q6146" i="1"/>
  <c r="O6146" i="1"/>
  <c r="AH6145" i="1"/>
  <c r="Q6145" i="1"/>
  <c r="O6145" i="1"/>
  <c r="AH6144" i="1"/>
  <c r="Q6144" i="1"/>
  <c r="O6144" i="1"/>
  <c r="AH6143" i="1"/>
  <c r="Q6143" i="1"/>
  <c r="O6143" i="1"/>
  <c r="AH6142" i="1"/>
  <c r="Q6142" i="1"/>
  <c r="AH6141" i="1"/>
  <c r="Q6141" i="1"/>
  <c r="O6141" i="1"/>
  <c r="AH6140" i="1"/>
  <c r="Q6140" i="1"/>
  <c r="AH6139" i="1"/>
  <c r="Q6139" i="1"/>
  <c r="AH6138" i="1"/>
  <c r="Q6138" i="1"/>
  <c r="AH6137" i="1"/>
  <c r="Q6137" i="1"/>
  <c r="AH6136" i="1"/>
  <c r="Q6136" i="1"/>
  <c r="O6136" i="1"/>
  <c r="AH6135" i="1"/>
  <c r="Q6135" i="1"/>
  <c r="O6135" i="1"/>
  <c r="AH6134" i="1"/>
  <c r="Q6134" i="1"/>
  <c r="O6134" i="1"/>
  <c r="AH6133" i="1"/>
  <c r="Q6133" i="1"/>
  <c r="AH6132" i="1"/>
  <c r="Q6132" i="1"/>
  <c r="O6132" i="1"/>
  <c r="AH6131" i="1"/>
  <c r="Q6131" i="1"/>
  <c r="AH6130" i="1"/>
  <c r="Q6130" i="1"/>
  <c r="AH6129" i="1"/>
  <c r="Q6129" i="1"/>
  <c r="AH6128" i="1"/>
  <c r="Q6128" i="1"/>
  <c r="AH6127" i="1"/>
  <c r="Q6127" i="1"/>
  <c r="O6127" i="1"/>
  <c r="AH6126" i="1"/>
  <c r="Q6126" i="1"/>
  <c r="O6126" i="1"/>
  <c r="AH6125" i="1"/>
  <c r="Q6125" i="1"/>
  <c r="O6125" i="1"/>
  <c r="AH6124" i="1"/>
  <c r="Q6124" i="1"/>
  <c r="O6124" i="1"/>
  <c r="AH6123" i="1"/>
  <c r="Q6123" i="1"/>
  <c r="O6123" i="1"/>
  <c r="AH6122" i="1"/>
  <c r="Q6122" i="1"/>
  <c r="O6122" i="1"/>
  <c r="AH6121" i="1"/>
  <c r="Q6121" i="1"/>
  <c r="O6121" i="1"/>
  <c r="AH6120" i="1"/>
  <c r="Q6120" i="1"/>
  <c r="AH6119" i="1"/>
  <c r="Q6119" i="1"/>
  <c r="O6119" i="1"/>
  <c r="AH6118" i="1"/>
  <c r="Q6118" i="1"/>
  <c r="O6118" i="1"/>
  <c r="AH6117" i="1"/>
  <c r="Q6117" i="1"/>
  <c r="O6117" i="1"/>
  <c r="AH6116" i="1"/>
  <c r="Q6116" i="1"/>
  <c r="O6116" i="1"/>
  <c r="AH6115" i="1"/>
  <c r="Q6115" i="1"/>
  <c r="AH6114" i="1"/>
  <c r="Q6114" i="1"/>
  <c r="O6114" i="1"/>
  <c r="AH6113" i="1"/>
  <c r="Q6113" i="1"/>
  <c r="AH6112" i="1"/>
  <c r="Q6112" i="1"/>
  <c r="O6112" i="1"/>
  <c r="AH6111" i="1"/>
  <c r="Q6111" i="1"/>
  <c r="AH6110" i="1"/>
  <c r="Q6110" i="1"/>
  <c r="AH6109" i="1"/>
  <c r="Q6109" i="1"/>
  <c r="O6109" i="1"/>
  <c r="AH6108" i="1"/>
  <c r="Q6108" i="1"/>
  <c r="O6108" i="1"/>
  <c r="AH6107" i="1"/>
  <c r="Q6107" i="1"/>
  <c r="O6107" i="1"/>
  <c r="AH6106" i="1"/>
  <c r="Q6106" i="1"/>
  <c r="AH6105" i="1"/>
  <c r="Q6105" i="1"/>
  <c r="O6105" i="1"/>
  <c r="AH6104" i="1"/>
  <c r="Q6104" i="1"/>
  <c r="O6104" i="1"/>
  <c r="AH6103" i="1"/>
  <c r="Q6103" i="1"/>
  <c r="O6103" i="1"/>
  <c r="AH6102" i="1"/>
  <c r="Q6102" i="1"/>
  <c r="O6102" i="1"/>
  <c r="AH6101" i="1"/>
  <c r="Q6101" i="1"/>
  <c r="O6101" i="1"/>
  <c r="AH6100" i="1"/>
  <c r="Q6100" i="1"/>
  <c r="AH6099" i="1"/>
  <c r="Q6099" i="1"/>
  <c r="AH6098" i="1"/>
  <c r="Q6098" i="1"/>
  <c r="AH6097" i="1"/>
  <c r="Q6097" i="1"/>
  <c r="O6097" i="1"/>
  <c r="AH6096" i="1"/>
  <c r="Q6096" i="1"/>
  <c r="AH6095" i="1"/>
  <c r="Q6095" i="1"/>
  <c r="O6095" i="1"/>
  <c r="AH6094" i="1"/>
  <c r="Q6094" i="1"/>
  <c r="O6094" i="1"/>
  <c r="AH6093" i="1"/>
  <c r="Q6093" i="1"/>
  <c r="AH6092" i="1"/>
  <c r="Q6092" i="1"/>
  <c r="O6092" i="1"/>
  <c r="AH6091" i="1"/>
  <c r="Q6091" i="1"/>
  <c r="O6091" i="1"/>
  <c r="AH6090" i="1"/>
  <c r="Q6090" i="1"/>
  <c r="O6090" i="1"/>
  <c r="AH6089" i="1"/>
  <c r="Q6089" i="1"/>
  <c r="O6089" i="1"/>
  <c r="AH6088" i="1"/>
  <c r="Q6088" i="1"/>
  <c r="O6088" i="1"/>
  <c r="AH6087" i="1"/>
  <c r="Q6087" i="1"/>
  <c r="O6087" i="1"/>
  <c r="AH6086" i="1"/>
  <c r="Q6086" i="1"/>
  <c r="O6086" i="1"/>
  <c r="AH6085" i="1"/>
  <c r="Q6085" i="1"/>
  <c r="O6085" i="1"/>
  <c r="AH6084" i="1"/>
  <c r="Q6084" i="1"/>
  <c r="O6084" i="1"/>
  <c r="AH6083" i="1"/>
  <c r="Q6083" i="1"/>
  <c r="O6083" i="1"/>
  <c r="AH6082" i="1"/>
  <c r="Q6082" i="1"/>
  <c r="O6082" i="1"/>
  <c r="AH6081" i="1"/>
  <c r="Q6081" i="1"/>
  <c r="O6081" i="1"/>
  <c r="AH6080" i="1"/>
  <c r="Q6080" i="1"/>
  <c r="O6080" i="1"/>
  <c r="AH6079" i="1"/>
  <c r="Q6079" i="1"/>
  <c r="O6079" i="1"/>
  <c r="AH6078" i="1"/>
  <c r="Q6078" i="1"/>
  <c r="O6078" i="1"/>
  <c r="AH6077" i="1"/>
  <c r="Q6077" i="1"/>
  <c r="AH6076" i="1"/>
  <c r="Q6076" i="1"/>
  <c r="O6076" i="1"/>
  <c r="AH6075" i="1"/>
  <c r="Q6075" i="1"/>
  <c r="O6075" i="1"/>
  <c r="AH6074" i="1"/>
  <c r="Q6074" i="1"/>
  <c r="AH6073" i="1"/>
  <c r="Q6073" i="1"/>
  <c r="O6073" i="1"/>
  <c r="AH6072" i="1"/>
  <c r="Q6072" i="1"/>
  <c r="O6072" i="1"/>
  <c r="AH6071" i="1"/>
  <c r="Q6071" i="1"/>
  <c r="O6071" i="1"/>
  <c r="AH6070" i="1"/>
  <c r="Q6070" i="1"/>
  <c r="O6070" i="1"/>
  <c r="AH6069" i="1"/>
  <c r="Q6069" i="1"/>
  <c r="O6069" i="1"/>
  <c r="AH6068" i="1"/>
  <c r="Q6068" i="1"/>
  <c r="O6068" i="1"/>
  <c r="AH6067" i="1"/>
  <c r="Q6067" i="1"/>
  <c r="O6067" i="1"/>
  <c r="AH6066" i="1"/>
  <c r="Q6066" i="1"/>
  <c r="O6066" i="1"/>
  <c r="AH6065" i="1"/>
  <c r="Q6065" i="1"/>
  <c r="O6065" i="1"/>
  <c r="AH6064" i="1"/>
  <c r="Q6064" i="1"/>
  <c r="O6064" i="1"/>
  <c r="AH6063" i="1"/>
  <c r="Q6063" i="1"/>
  <c r="O6063" i="1"/>
  <c r="AH6062" i="1"/>
  <c r="Q6062" i="1"/>
  <c r="O6062" i="1"/>
  <c r="AH6061" i="1"/>
  <c r="Q6061" i="1"/>
  <c r="O6061" i="1"/>
  <c r="AH6060" i="1"/>
  <c r="Q6060" i="1"/>
  <c r="O6060" i="1"/>
  <c r="AH6059" i="1"/>
  <c r="Q6059" i="1"/>
  <c r="AH6058" i="1"/>
  <c r="Q6058" i="1"/>
  <c r="O6058" i="1"/>
  <c r="AH6057" i="1"/>
  <c r="Q6057" i="1"/>
  <c r="AH6056" i="1"/>
  <c r="Q6056" i="1"/>
  <c r="AH6055" i="1"/>
  <c r="Q6055" i="1"/>
  <c r="O6055" i="1"/>
  <c r="AH6054" i="1"/>
  <c r="Q6054" i="1"/>
  <c r="AH6053" i="1"/>
  <c r="Q6053" i="1"/>
  <c r="AH6052" i="1"/>
  <c r="Q6052" i="1"/>
  <c r="O6052" i="1"/>
  <c r="AH6051" i="1"/>
  <c r="Q6051" i="1"/>
  <c r="O6051" i="1"/>
  <c r="AH6050" i="1"/>
  <c r="Q6050" i="1"/>
  <c r="O6050" i="1"/>
  <c r="AH6049" i="1"/>
  <c r="Q6049" i="1"/>
  <c r="O6049" i="1"/>
  <c r="AH6048" i="1"/>
  <c r="Q6048" i="1"/>
  <c r="O6048" i="1"/>
  <c r="AH6047" i="1"/>
  <c r="Q6047" i="1"/>
  <c r="AH6046" i="1"/>
  <c r="Q6046" i="1"/>
  <c r="O6046" i="1"/>
  <c r="AH6045" i="1"/>
  <c r="Q6045" i="1"/>
  <c r="O6045" i="1"/>
  <c r="AH6044" i="1"/>
  <c r="Q6044" i="1"/>
  <c r="AH6043" i="1"/>
  <c r="Q6043" i="1"/>
  <c r="O6043" i="1"/>
  <c r="AH6042" i="1"/>
  <c r="Q6042" i="1"/>
  <c r="O6042" i="1"/>
  <c r="AH6041" i="1"/>
  <c r="Q6041" i="1"/>
  <c r="AH6040" i="1"/>
  <c r="Q6040" i="1"/>
  <c r="AH6039" i="1"/>
  <c r="Q6039" i="1"/>
  <c r="O6039" i="1"/>
  <c r="AH6038" i="1"/>
  <c r="Q6038" i="1"/>
  <c r="AH6037" i="1"/>
  <c r="Q6037" i="1"/>
  <c r="O6037" i="1"/>
  <c r="AH6036" i="1"/>
  <c r="Q6036" i="1"/>
  <c r="O6036" i="1"/>
  <c r="AH6035" i="1"/>
  <c r="Q6035" i="1"/>
  <c r="O6035" i="1"/>
  <c r="AH6034" i="1"/>
  <c r="Q6034" i="1"/>
  <c r="O6034" i="1"/>
  <c r="AH6033" i="1"/>
  <c r="Q6033" i="1"/>
  <c r="AH6032" i="1"/>
  <c r="Q6032" i="1"/>
  <c r="O6032" i="1"/>
  <c r="AH6031" i="1"/>
  <c r="Q6031" i="1"/>
  <c r="O6031" i="1"/>
  <c r="AH6030" i="1"/>
  <c r="Q6030" i="1"/>
  <c r="O6030" i="1"/>
  <c r="AH6029" i="1"/>
  <c r="Q6029" i="1"/>
  <c r="O6029" i="1"/>
  <c r="AH6028" i="1"/>
  <c r="Q6028" i="1"/>
  <c r="AH6027" i="1"/>
  <c r="Q6027" i="1"/>
  <c r="O6027" i="1"/>
  <c r="AH6026" i="1"/>
  <c r="Q6026" i="1"/>
  <c r="AH6025" i="1"/>
  <c r="Q6025" i="1"/>
  <c r="O6025" i="1"/>
  <c r="AH6024" i="1"/>
  <c r="Q6024" i="1"/>
  <c r="O6024" i="1"/>
  <c r="AH6023" i="1"/>
  <c r="Q6023" i="1"/>
  <c r="O6023" i="1"/>
  <c r="AH6022" i="1"/>
  <c r="Q6022" i="1"/>
  <c r="O6022" i="1"/>
  <c r="AH6021" i="1"/>
  <c r="Q6021" i="1"/>
  <c r="AH6020" i="1"/>
  <c r="Q6020" i="1"/>
  <c r="O6020" i="1"/>
  <c r="AH6019" i="1"/>
  <c r="Q6019" i="1"/>
  <c r="O6019" i="1"/>
  <c r="AH6018" i="1"/>
  <c r="Q6018" i="1"/>
  <c r="O6018" i="1"/>
  <c r="AH6017" i="1"/>
  <c r="Q6017" i="1"/>
  <c r="O6017" i="1"/>
  <c r="AH6016" i="1"/>
  <c r="Q6016" i="1"/>
  <c r="O6016" i="1"/>
  <c r="AH6015" i="1"/>
  <c r="Q6015" i="1"/>
  <c r="O6015" i="1"/>
  <c r="AH6014" i="1"/>
  <c r="Q6014" i="1"/>
  <c r="O6014" i="1"/>
  <c r="AH6013" i="1"/>
  <c r="Q6013" i="1"/>
  <c r="O6013" i="1"/>
  <c r="AH6012" i="1"/>
  <c r="Q6012" i="1"/>
  <c r="O6012" i="1"/>
  <c r="AH6011" i="1"/>
  <c r="Q6011" i="1"/>
  <c r="O6011" i="1"/>
  <c r="AH6010" i="1"/>
  <c r="Q6010" i="1"/>
  <c r="O6010" i="1"/>
  <c r="AH6009" i="1"/>
  <c r="Q6009" i="1"/>
  <c r="O6009" i="1"/>
  <c r="AH6008" i="1"/>
  <c r="Q6008" i="1"/>
  <c r="O6008" i="1"/>
  <c r="AH6007" i="1"/>
  <c r="Q6007" i="1"/>
  <c r="O6007" i="1"/>
  <c r="AH6006" i="1"/>
  <c r="Q6006" i="1"/>
  <c r="O6006" i="1"/>
  <c r="AH6005" i="1"/>
  <c r="Q6005" i="1"/>
  <c r="O6005" i="1"/>
  <c r="AH6004" i="1"/>
  <c r="Q6004" i="1"/>
  <c r="AH6003" i="1"/>
  <c r="Q6003" i="1"/>
  <c r="AH6002" i="1"/>
  <c r="Q6002" i="1"/>
  <c r="O6002" i="1"/>
  <c r="AH6001" i="1"/>
  <c r="Q6001" i="1"/>
  <c r="O6001" i="1"/>
  <c r="AH6000" i="1"/>
  <c r="Q6000" i="1"/>
  <c r="O6000" i="1"/>
  <c r="AH5999" i="1"/>
  <c r="Q5999" i="1"/>
  <c r="O5999" i="1"/>
  <c r="AH5998" i="1"/>
  <c r="Q5998" i="1"/>
  <c r="O5998" i="1"/>
  <c r="AH5997" i="1"/>
  <c r="Q5997" i="1"/>
  <c r="O5997" i="1"/>
  <c r="AH5996" i="1"/>
  <c r="Q5996" i="1"/>
  <c r="O5996" i="1"/>
  <c r="AH5995" i="1"/>
  <c r="Q5995" i="1"/>
  <c r="O5995" i="1"/>
  <c r="AH5994" i="1"/>
  <c r="Q5994" i="1"/>
  <c r="O5994" i="1"/>
  <c r="AH5993" i="1"/>
  <c r="Q5993" i="1"/>
  <c r="AH5992" i="1"/>
  <c r="Q5992" i="1"/>
  <c r="O5992" i="1"/>
  <c r="AH5991" i="1"/>
  <c r="Q5991" i="1"/>
  <c r="O5991" i="1"/>
  <c r="AH5990" i="1"/>
  <c r="Q5990" i="1"/>
  <c r="O5990" i="1"/>
  <c r="AH5989" i="1"/>
  <c r="Q5989" i="1"/>
  <c r="O5989" i="1"/>
  <c r="AH5988" i="1"/>
  <c r="Q5988" i="1"/>
  <c r="O5988" i="1"/>
  <c r="AH5987" i="1"/>
  <c r="Q5987" i="1"/>
  <c r="O5987" i="1"/>
  <c r="AH5986" i="1"/>
  <c r="Q5986" i="1"/>
  <c r="O5986" i="1"/>
  <c r="AH5985" i="1"/>
  <c r="Q5985" i="1"/>
  <c r="O5985" i="1"/>
  <c r="AH5984" i="1"/>
  <c r="Q5984" i="1"/>
  <c r="O5984" i="1"/>
  <c r="AH5983" i="1"/>
  <c r="Q5983" i="1"/>
  <c r="AH5982" i="1"/>
  <c r="Q5982" i="1"/>
  <c r="O5982" i="1"/>
  <c r="AH5981" i="1"/>
  <c r="Q5981" i="1"/>
  <c r="O5981" i="1"/>
  <c r="AH5980" i="1"/>
  <c r="Q5980" i="1"/>
  <c r="AH5979" i="1"/>
  <c r="Q5979" i="1"/>
  <c r="O5979" i="1"/>
  <c r="AH5978" i="1"/>
  <c r="Q5978" i="1"/>
  <c r="O5978" i="1"/>
  <c r="AH5977" i="1"/>
  <c r="Q5977" i="1"/>
  <c r="O5977" i="1"/>
  <c r="AH5976" i="1"/>
  <c r="Q5976" i="1"/>
  <c r="O5976" i="1"/>
  <c r="AH5975" i="1"/>
  <c r="Q5975" i="1"/>
  <c r="O5975" i="1"/>
  <c r="AH5974" i="1"/>
  <c r="Q5974" i="1"/>
  <c r="O5974" i="1"/>
  <c r="AH5973" i="1"/>
  <c r="Q5973" i="1"/>
  <c r="O5973" i="1"/>
  <c r="AH5972" i="1"/>
  <c r="Q5972" i="1"/>
  <c r="O5972" i="1"/>
  <c r="AH5971" i="1"/>
  <c r="Q5971" i="1"/>
  <c r="O5971" i="1"/>
  <c r="AH5970" i="1"/>
  <c r="Q5970" i="1"/>
  <c r="O5970" i="1"/>
  <c r="AH5969" i="1"/>
  <c r="Q5969" i="1"/>
  <c r="O5969" i="1"/>
  <c r="AH5968" i="1"/>
  <c r="Q5968" i="1"/>
  <c r="O5968" i="1"/>
  <c r="AH5967" i="1"/>
  <c r="Q5967" i="1"/>
  <c r="O5967" i="1"/>
  <c r="AH5966" i="1"/>
  <c r="Q5966" i="1"/>
  <c r="O5966" i="1"/>
  <c r="AH5965" i="1"/>
  <c r="Q5965" i="1"/>
  <c r="O5965" i="1"/>
  <c r="AH5964" i="1"/>
  <c r="Q5964" i="1"/>
  <c r="O5964" i="1"/>
  <c r="AH5963" i="1"/>
  <c r="Q5963" i="1"/>
  <c r="O5963" i="1"/>
  <c r="AH5962" i="1"/>
  <c r="Q5962" i="1"/>
  <c r="O5962" i="1"/>
  <c r="AH5961" i="1"/>
  <c r="Q5961" i="1"/>
  <c r="AH5960" i="1"/>
  <c r="Q5960" i="1"/>
  <c r="O5960" i="1"/>
  <c r="AH5959" i="1"/>
  <c r="Q5959" i="1"/>
  <c r="O5959" i="1"/>
  <c r="AH5958" i="1"/>
  <c r="Q5958" i="1"/>
  <c r="O5958" i="1"/>
  <c r="AH5957" i="1"/>
  <c r="Q5957" i="1"/>
  <c r="O5957" i="1"/>
  <c r="AH5956" i="1"/>
  <c r="Q5956" i="1"/>
  <c r="O5956" i="1"/>
  <c r="AH5955" i="1"/>
  <c r="Q5955" i="1"/>
  <c r="O5955" i="1"/>
  <c r="AH5954" i="1"/>
  <c r="Q5954" i="1"/>
  <c r="O5954" i="1"/>
  <c r="AH5953" i="1"/>
  <c r="Q5953" i="1"/>
  <c r="O5953" i="1"/>
  <c r="AH5952" i="1"/>
  <c r="Q5952" i="1"/>
  <c r="O5952" i="1"/>
  <c r="AH5951" i="1"/>
  <c r="Q5951" i="1"/>
  <c r="O5951" i="1"/>
  <c r="AH5950" i="1"/>
  <c r="Q5950" i="1"/>
  <c r="O5950" i="1"/>
  <c r="AH5949" i="1"/>
  <c r="Q5949" i="1"/>
  <c r="O5949" i="1"/>
  <c r="AH5948" i="1"/>
  <c r="Q5948" i="1"/>
  <c r="O5948" i="1"/>
  <c r="AH5947" i="1"/>
  <c r="Q5947" i="1"/>
  <c r="O5947" i="1"/>
  <c r="AH5946" i="1"/>
  <c r="Q5946" i="1"/>
  <c r="H5946" i="1"/>
  <c r="H5947" i="1" s="1"/>
  <c r="H5948" i="1" s="1"/>
  <c r="H5949" i="1" s="1"/>
  <c r="H5950" i="1" s="1"/>
  <c r="H5951" i="1" s="1"/>
  <c r="H5952" i="1" s="1"/>
  <c r="H5953" i="1" s="1"/>
  <c r="H5954" i="1" s="1"/>
  <c r="H5955" i="1" s="1"/>
  <c r="H5956" i="1" s="1"/>
  <c r="H5957" i="1" s="1"/>
  <c r="H5958" i="1" s="1"/>
  <c r="H5959" i="1" s="1"/>
  <c r="H5960" i="1" s="1"/>
  <c r="H5961" i="1" s="1"/>
  <c r="H5962" i="1" s="1"/>
  <c r="H5963" i="1" s="1"/>
  <c r="H5964" i="1" s="1"/>
  <c r="H5965" i="1" s="1"/>
  <c r="H5966" i="1" s="1"/>
  <c r="H5967" i="1" s="1"/>
  <c r="H5968" i="1" s="1"/>
  <c r="H5969" i="1" s="1"/>
  <c r="H5970" i="1" s="1"/>
  <c r="H5971" i="1" s="1"/>
  <c r="H5972" i="1" s="1"/>
  <c r="H5973" i="1" s="1"/>
  <c r="H5974" i="1" s="1"/>
  <c r="H5975" i="1" s="1"/>
  <c r="H5976" i="1" s="1"/>
  <c r="H5977" i="1" s="1"/>
  <c r="H5978" i="1" s="1"/>
  <c r="H5979" i="1" s="1"/>
  <c r="H5980" i="1" s="1"/>
  <c r="H5981" i="1" s="1"/>
  <c r="H5982" i="1" s="1"/>
  <c r="H5983" i="1" s="1"/>
  <c r="H5984" i="1" s="1"/>
  <c r="H5985" i="1" s="1"/>
  <c r="H5986" i="1" s="1"/>
  <c r="H5987" i="1" s="1"/>
  <c r="H5988" i="1" s="1"/>
  <c r="H5989" i="1" s="1"/>
  <c r="H5990" i="1" s="1"/>
  <c r="H5991" i="1" s="1"/>
  <c r="H5992" i="1" s="1"/>
  <c r="H5993" i="1" s="1"/>
  <c r="H5994" i="1" s="1"/>
  <c r="H5995" i="1" s="1"/>
  <c r="H5996" i="1" s="1"/>
  <c r="H5997" i="1" s="1"/>
  <c r="H5998" i="1" s="1"/>
  <c r="H5999" i="1" s="1"/>
  <c r="H6000" i="1" s="1"/>
  <c r="H6001" i="1" s="1"/>
  <c r="H6002" i="1" s="1"/>
  <c r="H6003" i="1" s="1"/>
  <c r="H6004" i="1" s="1"/>
  <c r="H6005" i="1" s="1"/>
  <c r="H6006" i="1" s="1"/>
  <c r="H6007" i="1" s="1"/>
  <c r="H6008" i="1" s="1"/>
  <c r="H6009" i="1" s="1"/>
  <c r="H6010" i="1" s="1"/>
  <c r="H6011" i="1" s="1"/>
  <c r="AH5945" i="1"/>
  <c r="Q5945" i="1"/>
  <c r="O5945" i="1"/>
  <c r="AH5944" i="1"/>
  <c r="Q5944" i="1"/>
  <c r="O5944" i="1"/>
  <c r="AH5943" i="1"/>
  <c r="Q5943" i="1"/>
  <c r="O5943" i="1"/>
  <c r="AH5942" i="1"/>
  <c r="Q5942" i="1"/>
  <c r="O5942" i="1"/>
  <c r="AH5941" i="1"/>
  <c r="Q5941" i="1"/>
  <c r="AH5940" i="1"/>
  <c r="Q5940" i="1"/>
  <c r="O5940" i="1"/>
  <c r="AH5939" i="1"/>
  <c r="Q5939" i="1"/>
  <c r="O5939" i="1"/>
  <c r="AH5938" i="1"/>
  <c r="Q5938" i="1"/>
  <c r="O5938" i="1"/>
  <c r="AH5937" i="1"/>
  <c r="Q5937" i="1"/>
  <c r="O5937" i="1"/>
  <c r="AH5936" i="1"/>
  <c r="Q5936" i="1"/>
  <c r="O5936" i="1"/>
  <c r="AH5935" i="1"/>
  <c r="Q5935" i="1"/>
  <c r="O5935" i="1"/>
  <c r="AH5934" i="1"/>
  <c r="Q5934" i="1"/>
  <c r="O5934" i="1"/>
  <c r="AH5933" i="1"/>
  <c r="Q5933" i="1"/>
  <c r="O5933" i="1"/>
  <c r="AH5932" i="1"/>
  <c r="Q5932" i="1"/>
  <c r="O5932" i="1"/>
  <c r="AH5931" i="1"/>
  <c r="Q5931" i="1"/>
  <c r="O5931" i="1"/>
  <c r="AH5930" i="1"/>
  <c r="Q5930" i="1"/>
  <c r="AH5929" i="1"/>
  <c r="Q5929" i="1"/>
  <c r="O5929" i="1"/>
  <c r="AH5928" i="1"/>
  <c r="Q5928" i="1"/>
  <c r="O5928" i="1"/>
  <c r="AH5927" i="1"/>
  <c r="Q5927" i="1"/>
  <c r="O5927" i="1"/>
  <c r="AH5926" i="1"/>
  <c r="Q5926" i="1"/>
  <c r="O5926" i="1"/>
  <c r="AH5925" i="1"/>
  <c r="Q5925" i="1"/>
  <c r="O5925" i="1"/>
  <c r="AH5924" i="1"/>
  <c r="Q5924" i="1"/>
  <c r="O5924" i="1"/>
  <c r="AH5923" i="1"/>
  <c r="Q5923" i="1"/>
  <c r="O5923" i="1"/>
  <c r="AH5922" i="1"/>
  <c r="Q5922" i="1"/>
  <c r="O5922" i="1"/>
  <c r="AH5921" i="1"/>
  <c r="Q5921" i="1"/>
  <c r="O5921" i="1"/>
  <c r="AH5920" i="1"/>
  <c r="Q5920" i="1"/>
  <c r="AH5919" i="1"/>
  <c r="Q5919" i="1"/>
  <c r="O5919" i="1"/>
  <c r="AH5918" i="1"/>
  <c r="Q5918" i="1"/>
  <c r="O5918" i="1"/>
  <c r="AH5917" i="1"/>
  <c r="Q5917" i="1"/>
  <c r="O5917" i="1"/>
  <c r="AH5916" i="1"/>
  <c r="Q5916" i="1"/>
  <c r="O5916" i="1"/>
  <c r="AH5915" i="1"/>
  <c r="Q5915" i="1"/>
  <c r="O5915" i="1"/>
  <c r="AH5914" i="1"/>
  <c r="Q5914" i="1"/>
  <c r="AH5913" i="1"/>
  <c r="Q5913" i="1"/>
  <c r="O5913" i="1"/>
  <c r="AH5912" i="1"/>
  <c r="Q5912" i="1"/>
  <c r="O5912" i="1"/>
  <c r="AH5911" i="1"/>
  <c r="Q5911" i="1"/>
  <c r="O5911" i="1"/>
  <c r="AH5910" i="1"/>
  <c r="Q5910" i="1"/>
  <c r="O5910" i="1"/>
  <c r="AH5909" i="1"/>
  <c r="Q5909" i="1"/>
  <c r="AH5908" i="1"/>
  <c r="Q5908" i="1"/>
  <c r="AH5907" i="1"/>
  <c r="Q5907" i="1"/>
  <c r="O5907" i="1"/>
  <c r="AH5906" i="1"/>
  <c r="Q5906" i="1"/>
  <c r="O5906" i="1"/>
  <c r="AH5905" i="1"/>
  <c r="Q5905" i="1"/>
  <c r="O5905" i="1"/>
  <c r="AH5904" i="1"/>
  <c r="Q5904" i="1"/>
  <c r="O5904" i="1"/>
  <c r="AH5903" i="1"/>
  <c r="Q5903" i="1"/>
  <c r="O5903" i="1"/>
  <c r="AH5902" i="1"/>
  <c r="Q5902" i="1"/>
  <c r="AH5901" i="1"/>
  <c r="Q5901" i="1"/>
  <c r="AH5900" i="1"/>
  <c r="Q5900" i="1"/>
  <c r="O5900" i="1"/>
  <c r="AH5899" i="1"/>
  <c r="Q5899" i="1"/>
  <c r="O5899" i="1"/>
  <c r="AH5898" i="1"/>
  <c r="Q5898" i="1"/>
  <c r="O5898" i="1"/>
  <c r="AH5897" i="1"/>
  <c r="Q5897" i="1"/>
  <c r="O5897" i="1"/>
  <c r="AH5896" i="1"/>
  <c r="Q5896" i="1"/>
  <c r="O5896" i="1"/>
  <c r="AH5895" i="1"/>
  <c r="Q5895" i="1"/>
  <c r="AH5894" i="1"/>
  <c r="Q5894" i="1"/>
  <c r="O5894" i="1"/>
  <c r="AH5893" i="1"/>
  <c r="Q5893" i="1"/>
  <c r="O5893" i="1"/>
  <c r="AH5892" i="1"/>
  <c r="Q5892" i="1"/>
  <c r="AH5891" i="1"/>
  <c r="Q5891" i="1"/>
  <c r="AH5890" i="1"/>
  <c r="Q5890" i="1"/>
  <c r="O5890" i="1"/>
  <c r="AH5889" i="1"/>
  <c r="Q5889" i="1"/>
  <c r="O5889" i="1"/>
  <c r="AH5888" i="1"/>
  <c r="Q5888" i="1"/>
  <c r="O5888" i="1"/>
  <c r="AH5887" i="1"/>
  <c r="Q5887" i="1"/>
  <c r="O5887" i="1"/>
  <c r="AH5886" i="1"/>
  <c r="Q5886" i="1"/>
  <c r="O5886" i="1"/>
  <c r="AH5885" i="1"/>
  <c r="Q5885" i="1"/>
  <c r="O5885" i="1"/>
  <c r="AH5884" i="1"/>
  <c r="Q5884" i="1"/>
  <c r="O5884" i="1"/>
  <c r="AH5883" i="1"/>
  <c r="Q5883" i="1"/>
  <c r="AH5882" i="1"/>
  <c r="Q5882" i="1"/>
  <c r="O5882" i="1"/>
  <c r="AH5881" i="1"/>
  <c r="Q5881" i="1"/>
  <c r="O5881" i="1"/>
  <c r="AH5880" i="1"/>
  <c r="Q5880" i="1"/>
  <c r="AH5879" i="1"/>
  <c r="Q5879" i="1"/>
  <c r="O5879" i="1"/>
  <c r="AH5878" i="1"/>
  <c r="Q5878" i="1"/>
  <c r="O5878" i="1"/>
  <c r="AH5877" i="1"/>
  <c r="Q5877" i="1"/>
  <c r="O5877" i="1"/>
  <c r="AH5876" i="1"/>
  <c r="Q5876" i="1"/>
  <c r="AH5875" i="1"/>
  <c r="Q5875" i="1"/>
  <c r="O5875" i="1"/>
  <c r="AH5874" i="1"/>
  <c r="Q5874" i="1"/>
  <c r="O5874" i="1"/>
  <c r="AH5873" i="1"/>
  <c r="Q5873" i="1"/>
  <c r="O5873" i="1"/>
  <c r="AH5872" i="1"/>
  <c r="Q5872" i="1"/>
  <c r="AH5871" i="1"/>
  <c r="Q5871" i="1"/>
  <c r="O5871" i="1"/>
  <c r="AH5870" i="1"/>
  <c r="Q5870" i="1"/>
  <c r="AH5869" i="1"/>
  <c r="Q5869" i="1"/>
  <c r="O5869" i="1"/>
  <c r="AH5868" i="1"/>
  <c r="Q5868" i="1"/>
  <c r="O5868" i="1"/>
  <c r="AH5867" i="1"/>
  <c r="Q5867" i="1"/>
  <c r="O5867" i="1"/>
  <c r="AH5866" i="1"/>
  <c r="Q5866" i="1"/>
  <c r="O5866" i="1"/>
  <c r="AH5865" i="1"/>
  <c r="Q5865" i="1"/>
  <c r="O5865" i="1"/>
  <c r="AH5864" i="1"/>
  <c r="Q5864" i="1"/>
  <c r="O5864" i="1"/>
  <c r="AH5863" i="1"/>
  <c r="Q5863" i="1"/>
  <c r="AH5862" i="1"/>
  <c r="Q5862" i="1"/>
  <c r="O5862" i="1"/>
  <c r="AH5861" i="1"/>
  <c r="Q5861" i="1"/>
  <c r="O5861" i="1"/>
  <c r="AH5860" i="1"/>
  <c r="Q5860" i="1"/>
  <c r="O5860" i="1"/>
  <c r="AH5859" i="1"/>
  <c r="Q5859" i="1"/>
  <c r="O5859" i="1"/>
  <c r="AH5858" i="1"/>
  <c r="Q5858" i="1"/>
  <c r="O5858" i="1"/>
  <c r="AH5857" i="1"/>
  <c r="Q5857" i="1"/>
  <c r="O5857" i="1"/>
  <c r="AH5856" i="1"/>
  <c r="Q5856" i="1"/>
  <c r="O5856" i="1"/>
  <c r="AH5855" i="1"/>
  <c r="Q5855" i="1"/>
  <c r="AH5854" i="1"/>
  <c r="Q5854" i="1"/>
  <c r="O5854" i="1"/>
  <c r="AH5853" i="1"/>
  <c r="Q5853" i="1"/>
  <c r="O5853" i="1"/>
  <c r="AH5852" i="1"/>
  <c r="Q5852" i="1"/>
  <c r="O5852" i="1"/>
  <c r="AH5851" i="1"/>
  <c r="Q5851" i="1"/>
  <c r="O5851" i="1"/>
  <c r="AH5850" i="1"/>
  <c r="Q5850" i="1"/>
  <c r="O5850" i="1"/>
  <c r="AH5849" i="1"/>
  <c r="Q5849" i="1"/>
  <c r="O5849" i="1"/>
  <c r="AH5848" i="1"/>
  <c r="Q5848" i="1"/>
  <c r="O5848" i="1"/>
  <c r="AH5847" i="1"/>
  <c r="Q5847" i="1"/>
  <c r="O5847" i="1"/>
  <c r="AH5846" i="1"/>
  <c r="Q5846" i="1"/>
  <c r="O5846" i="1"/>
  <c r="AH5845" i="1"/>
  <c r="Q5845" i="1"/>
  <c r="O5845" i="1"/>
  <c r="H5845" i="1"/>
  <c r="H5846" i="1" s="1"/>
  <c r="H5847" i="1" s="1"/>
  <c r="H5848" i="1" s="1"/>
  <c r="H5849" i="1" s="1"/>
  <c r="H5850" i="1" s="1"/>
  <c r="H5851" i="1" s="1"/>
  <c r="H5852" i="1" s="1"/>
  <c r="H5853" i="1" s="1"/>
  <c r="H5854" i="1" s="1"/>
  <c r="H5855" i="1" s="1"/>
  <c r="H5856" i="1" s="1"/>
  <c r="H5857" i="1" s="1"/>
  <c r="H5858" i="1" s="1"/>
  <c r="H5859" i="1" s="1"/>
  <c r="H5860" i="1" s="1"/>
  <c r="H5861" i="1" s="1"/>
  <c r="H5862" i="1" s="1"/>
  <c r="H5863" i="1" s="1"/>
  <c r="H5864" i="1" s="1"/>
  <c r="H5865" i="1" s="1"/>
  <c r="H5866" i="1" s="1"/>
  <c r="H5867" i="1" s="1"/>
  <c r="H5868" i="1" s="1"/>
  <c r="H5869" i="1" s="1"/>
  <c r="H5870" i="1" s="1"/>
  <c r="H5871" i="1" s="1"/>
  <c r="H5872" i="1" s="1"/>
  <c r="H5873" i="1" s="1"/>
  <c r="H5874" i="1" s="1"/>
  <c r="H5875" i="1" s="1"/>
  <c r="H5876" i="1" s="1"/>
  <c r="H5877" i="1" s="1"/>
  <c r="H5878" i="1" s="1"/>
  <c r="H5879" i="1" s="1"/>
  <c r="H5880" i="1" s="1"/>
  <c r="H5881" i="1" s="1"/>
  <c r="H5882" i="1" s="1"/>
  <c r="H5883" i="1" s="1"/>
  <c r="H5884" i="1" s="1"/>
  <c r="H5885" i="1" s="1"/>
  <c r="H5886" i="1" s="1"/>
  <c r="H5887" i="1" s="1"/>
  <c r="H5888" i="1" s="1"/>
  <c r="H5889" i="1" s="1"/>
  <c r="H5890" i="1" s="1"/>
  <c r="H5891" i="1" s="1"/>
  <c r="H5892" i="1" s="1"/>
  <c r="H5893" i="1" s="1"/>
  <c r="H5894" i="1" s="1"/>
  <c r="H5895" i="1" s="1"/>
  <c r="H5896" i="1" s="1"/>
  <c r="H5897" i="1" s="1"/>
  <c r="H5898" i="1" s="1"/>
  <c r="H5899" i="1" s="1"/>
  <c r="H5900" i="1" s="1"/>
  <c r="H5901" i="1" s="1"/>
  <c r="H5902" i="1" s="1"/>
  <c r="H5903" i="1" s="1"/>
  <c r="H5904" i="1" s="1"/>
  <c r="H5905" i="1" s="1"/>
  <c r="H5906" i="1" s="1"/>
  <c r="H5907" i="1" s="1"/>
  <c r="H5908" i="1" s="1"/>
  <c r="H5909" i="1" s="1"/>
  <c r="H5910" i="1" s="1"/>
  <c r="H5911" i="1" s="1"/>
  <c r="H5912" i="1" s="1"/>
  <c r="H5913" i="1" s="1"/>
  <c r="H5914" i="1" s="1"/>
  <c r="H5915" i="1" s="1"/>
  <c r="H5916" i="1" s="1"/>
  <c r="H5917" i="1" s="1"/>
  <c r="H5918" i="1" s="1"/>
  <c r="H5919" i="1" s="1"/>
  <c r="H5920" i="1" s="1"/>
  <c r="H5921" i="1" s="1"/>
  <c r="H5922" i="1" s="1"/>
  <c r="H5923" i="1" s="1"/>
  <c r="H5924" i="1" s="1"/>
  <c r="H5925" i="1" s="1"/>
  <c r="H5926" i="1" s="1"/>
  <c r="H5927" i="1" s="1"/>
  <c r="H5928" i="1" s="1"/>
  <c r="H5929" i="1" s="1"/>
  <c r="H5930" i="1" s="1"/>
  <c r="H5931" i="1" s="1"/>
  <c r="H5932" i="1" s="1"/>
  <c r="H5933" i="1" s="1"/>
  <c r="H5934" i="1" s="1"/>
  <c r="H5935" i="1" s="1"/>
  <c r="H5936" i="1" s="1"/>
  <c r="H5937" i="1" s="1"/>
  <c r="H5938" i="1" s="1"/>
  <c r="H5939" i="1" s="1"/>
  <c r="H5940" i="1" s="1"/>
  <c r="H5941" i="1" s="1"/>
  <c r="H5942" i="1" s="1"/>
  <c r="H5943" i="1" s="1"/>
  <c r="H5944" i="1" s="1"/>
  <c r="AH5844" i="1"/>
  <c r="Q5844" i="1"/>
  <c r="O5844" i="1"/>
  <c r="AH5843" i="1"/>
  <c r="Q5843" i="1"/>
  <c r="O5843" i="1"/>
  <c r="AH5842" i="1"/>
  <c r="Q5842" i="1"/>
  <c r="O5842" i="1"/>
  <c r="AH5841" i="1"/>
  <c r="Q5841" i="1"/>
  <c r="O5841" i="1"/>
  <c r="AH5840" i="1"/>
  <c r="Q5840" i="1"/>
  <c r="O5840" i="1"/>
  <c r="AH5839" i="1"/>
  <c r="Q5839" i="1"/>
  <c r="O5839" i="1"/>
  <c r="AH5838" i="1"/>
  <c r="Q5838" i="1"/>
  <c r="O5838" i="1"/>
  <c r="AH5837" i="1"/>
  <c r="Q5837" i="1"/>
  <c r="O5837" i="1"/>
  <c r="AH5836" i="1"/>
  <c r="Q5836" i="1"/>
  <c r="O5836" i="1"/>
  <c r="AH5835" i="1"/>
  <c r="Q5835" i="1"/>
  <c r="O5835" i="1"/>
  <c r="AH5834" i="1"/>
  <c r="Q5834" i="1"/>
  <c r="O5834" i="1"/>
  <c r="AH5833" i="1"/>
  <c r="Q5833" i="1"/>
  <c r="O5833" i="1"/>
  <c r="AH5832" i="1"/>
  <c r="Q5832" i="1"/>
  <c r="O5832" i="1"/>
  <c r="AH5831" i="1"/>
  <c r="Q5831" i="1"/>
  <c r="O5831" i="1"/>
  <c r="AH5830" i="1"/>
  <c r="Q5830" i="1"/>
  <c r="O5830" i="1"/>
  <c r="AH5829" i="1"/>
  <c r="Q5829" i="1"/>
  <c r="O5829" i="1"/>
  <c r="AH5828" i="1"/>
  <c r="Q5828" i="1"/>
  <c r="O5828" i="1"/>
  <c r="AH5827" i="1"/>
  <c r="Q5827" i="1"/>
  <c r="O5827" i="1"/>
  <c r="AH5826" i="1"/>
  <c r="Q5826" i="1"/>
  <c r="O5826" i="1"/>
  <c r="AH5825" i="1"/>
  <c r="Q5825" i="1"/>
  <c r="AH5824" i="1"/>
  <c r="Q5824" i="1"/>
  <c r="O5824" i="1"/>
  <c r="AH5823" i="1"/>
  <c r="Q5823" i="1"/>
  <c r="O5823" i="1"/>
  <c r="AH5822" i="1"/>
  <c r="Q5822" i="1"/>
  <c r="O5822" i="1"/>
  <c r="AH5821" i="1"/>
  <c r="Q5821" i="1"/>
  <c r="O5821" i="1"/>
  <c r="AH5820" i="1"/>
  <c r="Q5820" i="1"/>
  <c r="O5820" i="1"/>
  <c r="AH5819" i="1"/>
  <c r="Q5819" i="1"/>
  <c r="O5819" i="1"/>
  <c r="AH5818" i="1"/>
  <c r="Q5818" i="1"/>
  <c r="O5818" i="1"/>
  <c r="AH5817" i="1"/>
  <c r="Q5817" i="1"/>
  <c r="O5817" i="1"/>
  <c r="AH5816" i="1"/>
  <c r="Q5816" i="1"/>
  <c r="O5816" i="1"/>
  <c r="AH5815" i="1"/>
  <c r="Q5815" i="1"/>
  <c r="O5815" i="1"/>
  <c r="AH5814" i="1"/>
  <c r="Q5814" i="1"/>
  <c r="O5814" i="1"/>
  <c r="AH5813" i="1"/>
  <c r="Q5813" i="1"/>
  <c r="O5813" i="1"/>
  <c r="AH5812" i="1"/>
  <c r="Q5812" i="1"/>
  <c r="O5812" i="1"/>
  <c r="AH5811" i="1"/>
  <c r="Q5811" i="1"/>
  <c r="O5811" i="1"/>
  <c r="AH5810" i="1"/>
  <c r="Q5810" i="1"/>
  <c r="O5810" i="1"/>
  <c r="AH5809" i="1"/>
  <c r="Q5809" i="1"/>
  <c r="O5809" i="1"/>
  <c r="AH5808" i="1"/>
  <c r="Q5808" i="1"/>
  <c r="O5808" i="1"/>
  <c r="AH5807" i="1"/>
  <c r="Q5807" i="1"/>
  <c r="O5807" i="1"/>
  <c r="AH5806" i="1"/>
  <c r="Q5806" i="1"/>
  <c r="O5806" i="1"/>
  <c r="AH5805" i="1"/>
  <c r="Q5805" i="1"/>
  <c r="O5805" i="1"/>
  <c r="AH5804" i="1"/>
  <c r="Q5804" i="1"/>
  <c r="O5804" i="1"/>
  <c r="AH5803" i="1"/>
  <c r="Q5803" i="1"/>
  <c r="O5803" i="1"/>
  <c r="AH5802" i="1"/>
  <c r="Q5802" i="1"/>
  <c r="O5802" i="1"/>
  <c r="AH5801" i="1"/>
  <c r="Q5801" i="1"/>
  <c r="O5801" i="1"/>
  <c r="AH5800" i="1"/>
  <c r="Q5800" i="1"/>
  <c r="O5800" i="1"/>
  <c r="AH5799" i="1"/>
  <c r="Q5799" i="1"/>
  <c r="O5799" i="1"/>
  <c r="AH5798" i="1"/>
  <c r="Q5798" i="1"/>
  <c r="O5798" i="1"/>
  <c r="AH5797" i="1"/>
  <c r="Q5797" i="1"/>
  <c r="O5797" i="1"/>
  <c r="AH5796" i="1"/>
  <c r="Q5796" i="1"/>
  <c r="O5796" i="1"/>
  <c r="AH5795" i="1"/>
  <c r="Q5795" i="1"/>
  <c r="AH5794" i="1"/>
  <c r="Q5794" i="1"/>
  <c r="O5794" i="1"/>
  <c r="AH5793" i="1"/>
  <c r="Q5793" i="1"/>
  <c r="O5793" i="1"/>
  <c r="AH5792" i="1"/>
  <c r="Q5792" i="1"/>
  <c r="O5792" i="1"/>
  <c r="AH5791" i="1"/>
  <c r="Q5791" i="1"/>
  <c r="O5791" i="1"/>
  <c r="AH5790" i="1"/>
  <c r="Q5790" i="1"/>
  <c r="O5790" i="1"/>
  <c r="AH5789" i="1"/>
  <c r="Q5789" i="1"/>
  <c r="O5789" i="1"/>
  <c r="AH5788" i="1"/>
  <c r="Q5788" i="1"/>
  <c r="AH5787" i="1"/>
  <c r="Q5787" i="1"/>
  <c r="O5787" i="1"/>
  <c r="AH5786" i="1"/>
  <c r="Q5786" i="1"/>
  <c r="O5786" i="1"/>
  <c r="AH5785" i="1"/>
  <c r="Q5785" i="1"/>
  <c r="O5785" i="1"/>
  <c r="AH5784" i="1"/>
  <c r="Q5784" i="1"/>
  <c r="O5784" i="1"/>
  <c r="AH5783" i="1"/>
  <c r="Q5783" i="1"/>
  <c r="O5783" i="1"/>
  <c r="AH5782" i="1"/>
  <c r="Q5782" i="1"/>
  <c r="O5782" i="1"/>
  <c r="AH5781" i="1"/>
  <c r="Q5781" i="1"/>
  <c r="O5781" i="1"/>
  <c r="AH5780" i="1"/>
  <c r="Q5780" i="1"/>
  <c r="O5780" i="1"/>
  <c r="AH5779" i="1"/>
  <c r="Q5779" i="1"/>
  <c r="O5779" i="1"/>
  <c r="AH5778" i="1"/>
  <c r="Q5778" i="1"/>
  <c r="O5778" i="1"/>
  <c r="AH5777" i="1"/>
  <c r="Q5777" i="1"/>
  <c r="O5777" i="1"/>
  <c r="AH5776" i="1"/>
  <c r="Q5776" i="1"/>
  <c r="O5776" i="1"/>
  <c r="AH5775" i="1"/>
  <c r="Q5775" i="1"/>
  <c r="O5775" i="1"/>
  <c r="AH5774" i="1"/>
  <c r="Q5774" i="1"/>
  <c r="O5774" i="1"/>
  <c r="H5774" i="1"/>
  <c r="H5775" i="1" s="1"/>
  <c r="H5776" i="1" s="1"/>
  <c r="H5777" i="1" s="1"/>
  <c r="H5778" i="1" s="1"/>
  <c r="H5779" i="1" s="1"/>
  <c r="H5780" i="1" s="1"/>
  <c r="H5781" i="1" s="1"/>
  <c r="H5782" i="1" s="1"/>
  <c r="H5783" i="1" s="1"/>
  <c r="H5784" i="1" s="1"/>
  <c r="H5785" i="1" s="1"/>
  <c r="H5786" i="1" s="1"/>
  <c r="H5787" i="1" s="1"/>
  <c r="H5788" i="1" s="1"/>
  <c r="H5789" i="1" s="1"/>
  <c r="H5790" i="1" s="1"/>
  <c r="H5791" i="1" s="1"/>
  <c r="H5792" i="1" s="1"/>
  <c r="H5793" i="1" s="1"/>
  <c r="H5794" i="1" s="1"/>
  <c r="H5795" i="1" s="1"/>
  <c r="H5796" i="1" s="1"/>
  <c r="H5797" i="1" s="1"/>
  <c r="H5798" i="1" s="1"/>
  <c r="H5799" i="1" s="1"/>
  <c r="H5800" i="1" s="1"/>
  <c r="H5801" i="1" s="1"/>
  <c r="H5802" i="1" s="1"/>
  <c r="H5803" i="1" s="1"/>
  <c r="H5804" i="1" s="1"/>
  <c r="H5805" i="1" s="1"/>
  <c r="H5806" i="1" s="1"/>
  <c r="H5807" i="1" s="1"/>
  <c r="H5808" i="1" s="1"/>
  <c r="H5809" i="1" s="1"/>
  <c r="H5810" i="1" s="1"/>
  <c r="H5811" i="1" s="1"/>
  <c r="H5812" i="1" s="1"/>
  <c r="H5813" i="1" s="1"/>
  <c r="H5814" i="1" s="1"/>
  <c r="H5815" i="1" s="1"/>
  <c r="H5816" i="1" s="1"/>
  <c r="H5817" i="1" s="1"/>
  <c r="H5818" i="1" s="1"/>
  <c r="H5819" i="1" s="1"/>
  <c r="H5820" i="1" s="1"/>
  <c r="H5821" i="1" s="1"/>
  <c r="H5822" i="1" s="1"/>
  <c r="H5823" i="1" s="1"/>
  <c r="H5824" i="1" s="1"/>
  <c r="H5825" i="1" s="1"/>
  <c r="H5826" i="1" s="1"/>
  <c r="H5827" i="1" s="1"/>
  <c r="H5828" i="1" s="1"/>
  <c r="H5829" i="1" s="1"/>
  <c r="H5830" i="1" s="1"/>
  <c r="H5831" i="1" s="1"/>
  <c r="H5832" i="1" s="1"/>
  <c r="H5833" i="1" s="1"/>
  <c r="H5834" i="1" s="1"/>
  <c r="H5835" i="1" s="1"/>
  <c r="H5836" i="1" s="1"/>
  <c r="H5837" i="1" s="1"/>
  <c r="H5838" i="1" s="1"/>
  <c r="H5839" i="1" s="1"/>
  <c r="H5840" i="1" s="1"/>
  <c r="H5841" i="1" s="1"/>
  <c r="AH5773" i="1"/>
  <c r="Q5773" i="1"/>
  <c r="O5773" i="1"/>
  <c r="AH5772" i="1"/>
  <c r="Q5772" i="1"/>
  <c r="O5772" i="1"/>
  <c r="AH5771" i="1"/>
  <c r="Q5771" i="1"/>
  <c r="O5771" i="1"/>
  <c r="AH5770" i="1"/>
  <c r="Q5770" i="1"/>
  <c r="O5770" i="1"/>
  <c r="AH5769" i="1"/>
  <c r="Q5769" i="1"/>
  <c r="AH5768" i="1"/>
  <c r="Q5768" i="1"/>
  <c r="O5768" i="1"/>
  <c r="AH5767" i="1"/>
  <c r="Q5767" i="1"/>
  <c r="O5767" i="1"/>
  <c r="AH5766" i="1"/>
  <c r="Q5766" i="1"/>
  <c r="O5766" i="1"/>
  <c r="AH5765" i="1"/>
  <c r="Q5765" i="1"/>
  <c r="O5765" i="1"/>
  <c r="AH5764" i="1"/>
  <c r="Q5764" i="1"/>
  <c r="AH5763" i="1"/>
  <c r="Q5763" i="1"/>
  <c r="O5763" i="1"/>
  <c r="AH5762" i="1"/>
  <c r="Q5762" i="1"/>
  <c r="O5762" i="1"/>
  <c r="AH5761" i="1"/>
  <c r="Q5761" i="1"/>
  <c r="O5761" i="1"/>
  <c r="AH5760" i="1"/>
  <c r="Q5760" i="1"/>
  <c r="O5760" i="1"/>
  <c r="AH5759" i="1"/>
  <c r="Q5759" i="1"/>
  <c r="O5759" i="1"/>
  <c r="S3309" i="1" l="1"/>
  <c r="AH3020" i="1"/>
  <c r="Q5758" i="1" l="1"/>
  <c r="Q5757" i="1"/>
  <c r="Q5756" i="1"/>
  <c r="Q5755" i="1"/>
  <c r="Q5754" i="1"/>
  <c r="Q5753" i="1"/>
  <c r="Q5752" i="1"/>
  <c r="Q5751" i="1"/>
  <c r="Q5750" i="1"/>
  <c r="Q5749" i="1"/>
  <c r="Q5748" i="1"/>
  <c r="Q5747" i="1"/>
  <c r="Q5746" i="1"/>
  <c r="Q5745" i="1"/>
  <c r="Q5744" i="1"/>
  <c r="Q5743" i="1"/>
  <c r="Q5742" i="1"/>
  <c r="Q5741" i="1"/>
  <c r="Q5740" i="1"/>
  <c r="Q5739" i="1"/>
  <c r="Q5738" i="1"/>
  <c r="Q5737" i="1"/>
  <c r="Q5736" i="1"/>
  <c r="Q5735" i="1"/>
  <c r="Q5734" i="1"/>
  <c r="Q5733" i="1"/>
  <c r="Q5732" i="1"/>
  <c r="Q5731" i="1"/>
  <c r="Q5730" i="1"/>
  <c r="Q5729" i="1"/>
  <c r="Q5728" i="1"/>
  <c r="Q5727" i="1"/>
  <c r="Q5726" i="1"/>
  <c r="Q5725" i="1"/>
  <c r="Q5724" i="1"/>
  <c r="Q5723" i="1"/>
  <c r="Q5722" i="1"/>
  <c r="Q5721" i="1"/>
  <c r="Q5720" i="1"/>
  <c r="Q5719" i="1"/>
  <c r="Q5718" i="1"/>
  <c r="Q5717" i="1"/>
  <c r="Q5716" i="1"/>
  <c r="Q5715" i="1"/>
  <c r="Q5714" i="1"/>
  <c r="Q5713" i="1"/>
  <c r="Q5712" i="1"/>
  <c r="Q5711" i="1"/>
  <c r="Q5710" i="1"/>
  <c r="Q5709" i="1"/>
  <c r="Q5708" i="1"/>
  <c r="Q5707" i="1"/>
  <c r="Q5706" i="1"/>
  <c r="Q5705" i="1"/>
  <c r="Q5704" i="1"/>
  <c r="Q5703" i="1"/>
  <c r="Q5702" i="1"/>
  <c r="Q5701" i="1"/>
  <c r="Q5700" i="1"/>
  <c r="Q5699" i="1"/>
  <c r="Q5698" i="1"/>
  <c r="Q5697" i="1"/>
  <c r="Q5696" i="1"/>
  <c r="Q5695" i="1"/>
  <c r="Q5694" i="1"/>
  <c r="Q5693" i="1"/>
  <c r="Q5692" i="1"/>
  <c r="Q5691" i="1"/>
  <c r="Q5690" i="1"/>
  <c r="Q5689" i="1"/>
  <c r="Q5688" i="1"/>
  <c r="Q5687" i="1"/>
  <c r="Q5686" i="1"/>
  <c r="Q5685" i="1"/>
  <c r="Q5684" i="1"/>
  <c r="Q5683" i="1"/>
  <c r="Q5682" i="1"/>
  <c r="Q5681" i="1"/>
  <c r="Q5680" i="1"/>
  <c r="Q5679" i="1"/>
  <c r="Q5678" i="1"/>
  <c r="Q5677" i="1"/>
  <c r="Q5676" i="1"/>
  <c r="Q5675" i="1"/>
  <c r="Q5674" i="1"/>
  <c r="Q5673" i="1"/>
  <c r="Q5672" i="1"/>
  <c r="Q5671" i="1"/>
  <c r="Q5670" i="1"/>
  <c r="Q5669" i="1"/>
  <c r="Q5668" i="1"/>
  <c r="Q5667" i="1"/>
  <c r="Q5666" i="1"/>
  <c r="Q5665" i="1"/>
  <c r="Q5664" i="1"/>
  <c r="Q5663" i="1"/>
  <c r="Q5662" i="1"/>
  <c r="Q5661" i="1"/>
  <c r="Q5660" i="1"/>
  <c r="Q5659" i="1"/>
  <c r="Q5658" i="1"/>
  <c r="Q5657" i="1"/>
  <c r="Q5656" i="1"/>
  <c r="Q5655" i="1"/>
  <c r="Q5654" i="1"/>
  <c r="Q5653" i="1"/>
  <c r="Q5652" i="1"/>
  <c r="Q5651" i="1"/>
  <c r="Q5650" i="1"/>
  <c r="Q5649" i="1"/>
  <c r="Q5648" i="1"/>
  <c r="Q5647" i="1"/>
  <c r="Q5646" i="1"/>
  <c r="Q5645" i="1"/>
  <c r="Q5644" i="1"/>
  <c r="Q5643" i="1"/>
  <c r="Q5642" i="1"/>
  <c r="Q5641" i="1"/>
  <c r="Q5640" i="1"/>
  <c r="Q5639" i="1"/>
  <c r="Q5638" i="1"/>
  <c r="Q5637" i="1"/>
  <c r="Q5636" i="1"/>
  <c r="Q5635" i="1"/>
  <c r="Q5634" i="1"/>
  <c r="Q5633" i="1"/>
  <c r="Q5632" i="1"/>
  <c r="Q5631" i="1"/>
  <c r="Q5630" i="1"/>
  <c r="Q5629" i="1"/>
  <c r="Q5628" i="1"/>
  <c r="Q5627" i="1"/>
  <c r="Q5626" i="1"/>
  <c r="Q5625" i="1"/>
  <c r="Q5624" i="1"/>
  <c r="Q5623" i="1"/>
  <c r="Q5622" i="1"/>
  <c r="Q5621" i="1"/>
  <c r="Q5620" i="1"/>
  <c r="Q5619" i="1"/>
  <c r="Q5618" i="1"/>
  <c r="Q5617" i="1"/>
  <c r="Q5616" i="1"/>
  <c r="Q5615" i="1"/>
  <c r="Q5614" i="1"/>
  <c r="Q5613" i="1"/>
  <c r="Q5612" i="1"/>
  <c r="Q5611" i="1"/>
  <c r="Q5610" i="1"/>
  <c r="Q5609" i="1"/>
  <c r="Q5608" i="1"/>
  <c r="Q5607" i="1"/>
  <c r="Q5606" i="1"/>
  <c r="Q5605" i="1"/>
  <c r="Q5604" i="1"/>
  <c r="Q5603" i="1"/>
  <c r="Q5602" i="1"/>
  <c r="Q5601" i="1"/>
  <c r="Q5600" i="1"/>
  <c r="Q5599" i="1"/>
  <c r="Q5598" i="1"/>
  <c r="Q5597" i="1"/>
  <c r="Q5596" i="1"/>
  <c r="Q5595" i="1"/>
  <c r="Q5594" i="1"/>
  <c r="Q5593" i="1"/>
  <c r="Q5592" i="1"/>
  <c r="Q5591" i="1"/>
  <c r="Q5590" i="1"/>
  <c r="Q5589" i="1"/>
  <c r="Q5588" i="1"/>
  <c r="Q5587" i="1"/>
  <c r="Q5586" i="1"/>
  <c r="Q5585" i="1"/>
  <c r="Q5584" i="1"/>
  <c r="Q5583" i="1"/>
  <c r="Q5582" i="1"/>
  <c r="Q5581" i="1"/>
  <c r="Q5580" i="1"/>
  <c r="Q5579" i="1"/>
  <c r="Q5578" i="1"/>
  <c r="Q5577" i="1"/>
  <c r="Q5576" i="1"/>
  <c r="Q5575" i="1"/>
  <c r="Q5574" i="1"/>
  <c r="Q5573" i="1"/>
  <c r="Q5572" i="1"/>
  <c r="Q5571" i="1"/>
  <c r="Q5570" i="1"/>
  <c r="Q5569" i="1"/>
  <c r="Q5568" i="1"/>
  <c r="Q5567" i="1"/>
  <c r="Q5566" i="1"/>
  <c r="Q5565" i="1"/>
  <c r="Q5564" i="1"/>
  <c r="Q5563" i="1"/>
  <c r="Q5562" i="1"/>
  <c r="Q5561" i="1"/>
  <c r="Q5560" i="1"/>
  <c r="Q5559" i="1"/>
  <c r="Q5558" i="1"/>
  <c r="Q5557" i="1"/>
  <c r="Q5556" i="1"/>
  <c r="Q5555" i="1"/>
  <c r="Q5554" i="1"/>
  <c r="Q5553" i="1"/>
  <c r="Q5552" i="1"/>
  <c r="Q5551" i="1"/>
  <c r="Q5550" i="1"/>
  <c r="Q5549" i="1"/>
  <c r="Q5548" i="1"/>
  <c r="Q5547" i="1"/>
  <c r="Q5546" i="1"/>
  <c r="Q5545" i="1"/>
  <c r="Q5544" i="1"/>
  <c r="Q5543" i="1"/>
  <c r="Q5542" i="1"/>
  <c r="Q5541" i="1"/>
  <c r="Q5540" i="1"/>
  <c r="Q5539" i="1"/>
  <c r="Q5538" i="1"/>
  <c r="Q5537" i="1"/>
  <c r="Q5536" i="1"/>
  <c r="Q5535" i="1"/>
  <c r="Q5534" i="1"/>
  <c r="Q5533" i="1"/>
  <c r="Q5532" i="1"/>
  <c r="Q5531" i="1"/>
  <c r="Q5530" i="1"/>
  <c r="Q5529" i="1"/>
  <c r="Q5528" i="1"/>
  <c r="Q5527" i="1"/>
  <c r="Q5526" i="1"/>
  <c r="Q5525" i="1"/>
  <c r="Q5524" i="1"/>
  <c r="Q5523" i="1"/>
  <c r="Q5522" i="1"/>
  <c r="Q5521" i="1"/>
  <c r="Q5520" i="1"/>
  <c r="Q5519" i="1"/>
  <c r="Q5518" i="1"/>
  <c r="Q5517" i="1"/>
  <c r="Q5516" i="1"/>
  <c r="Q5515" i="1"/>
  <c r="Q5514" i="1"/>
  <c r="Q5513" i="1"/>
  <c r="Q5512" i="1"/>
  <c r="Q5511" i="1"/>
  <c r="Q5510" i="1"/>
  <c r="Q5509" i="1"/>
  <c r="Q5508" i="1"/>
  <c r="Q5507" i="1"/>
  <c r="Q5506" i="1"/>
  <c r="Q5505" i="1"/>
  <c r="Q5504" i="1"/>
  <c r="Q5503" i="1"/>
  <c r="Q5502" i="1"/>
  <c r="Q5501" i="1"/>
  <c r="Q5500" i="1"/>
  <c r="Q5499" i="1"/>
  <c r="Q5498" i="1"/>
  <c r="Q5497" i="1"/>
  <c r="Q5496" i="1"/>
  <c r="Q5495" i="1"/>
  <c r="Q5494" i="1"/>
  <c r="Q5493" i="1"/>
  <c r="Q5492" i="1"/>
  <c r="Q5491" i="1"/>
  <c r="Q5490" i="1"/>
  <c r="Q5489" i="1"/>
  <c r="Q5488" i="1"/>
  <c r="Q5487" i="1"/>
  <c r="Q5486" i="1"/>
  <c r="Q5485" i="1"/>
  <c r="Q5484" i="1"/>
  <c r="Q5483" i="1"/>
  <c r="Q5482" i="1"/>
  <c r="Q5481" i="1"/>
  <c r="Q5480" i="1"/>
  <c r="Q5479" i="1"/>
  <c r="Q5478" i="1"/>
  <c r="Q5477" i="1"/>
  <c r="Q5476" i="1"/>
  <c r="Q5475" i="1"/>
  <c r="Q5474" i="1"/>
  <c r="Q5473" i="1"/>
  <c r="Q5472" i="1"/>
  <c r="Q5471" i="1"/>
  <c r="Q5470" i="1"/>
  <c r="Q5469" i="1"/>
  <c r="Q5468" i="1"/>
  <c r="Q5467" i="1"/>
  <c r="Q5466" i="1"/>
  <c r="Q5465" i="1"/>
  <c r="Q5464" i="1"/>
  <c r="Q5463" i="1"/>
  <c r="Q5462" i="1"/>
  <c r="Q5461" i="1"/>
  <c r="Q5460" i="1"/>
  <c r="Q5459" i="1"/>
  <c r="Q5458" i="1"/>
  <c r="Q5457" i="1"/>
  <c r="Q5456" i="1"/>
  <c r="Q5455" i="1"/>
  <c r="Q5454" i="1"/>
  <c r="Q5453" i="1"/>
  <c r="Q5452" i="1"/>
  <c r="Q5451" i="1"/>
  <c r="Q5450" i="1"/>
  <c r="Q5449" i="1"/>
  <c r="Q5448" i="1"/>
  <c r="Q5447" i="1"/>
  <c r="Q5446" i="1"/>
  <c r="Q5445" i="1"/>
  <c r="Q5444" i="1"/>
  <c r="Q5443" i="1"/>
  <c r="Q5442" i="1"/>
  <c r="Q5441" i="1"/>
  <c r="Q5440" i="1"/>
  <c r="Q5439" i="1"/>
  <c r="Q5438" i="1"/>
  <c r="Q5437" i="1"/>
  <c r="Q5436" i="1"/>
  <c r="Q5435" i="1"/>
  <c r="Q5434" i="1"/>
  <c r="Q5433" i="1"/>
  <c r="Q5432" i="1"/>
  <c r="Q5431" i="1"/>
  <c r="Q5430" i="1"/>
  <c r="Q5429" i="1"/>
  <c r="Q5428" i="1"/>
  <c r="Q5427" i="1"/>
  <c r="Q5426" i="1"/>
  <c r="Q5425" i="1"/>
  <c r="Q5424" i="1"/>
  <c r="Q5423" i="1"/>
  <c r="Q5422" i="1"/>
  <c r="Q5421" i="1"/>
  <c r="Q5420" i="1"/>
  <c r="Q5419" i="1"/>
  <c r="Q5418" i="1"/>
  <c r="Q5417" i="1"/>
  <c r="Q5416" i="1"/>
  <c r="Q5415" i="1"/>
  <c r="Q5414" i="1"/>
  <c r="Q5413" i="1"/>
  <c r="Q5412" i="1"/>
  <c r="Q5411" i="1"/>
  <c r="Q5410" i="1"/>
  <c r="Q5409" i="1"/>
  <c r="Q5408" i="1"/>
  <c r="Q5407" i="1"/>
  <c r="Q5406" i="1"/>
  <c r="Q5405" i="1"/>
  <c r="Q5404" i="1"/>
  <c r="Q5403" i="1"/>
  <c r="Q5402" i="1"/>
  <c r="Q5401" i="1"/>
  <c r="Q5400" i="1"/>
  <c r="Q5399" i="1"/>
  <c r="Q5398" i="1"/>
  <c r="Q5397" i="1"/>
  <c r="Q5396" i="1"/>
  <c r="Q5395" i="1"/>
  <c r="Q5394" i="1"/>
  <c r="Q5393" i="1"/>
  <c r="Q5392" i="1"/>
  <c r="Q5391" i="1"/>
  <c r="Q5390" i="1"/>
  <c r="Q5389" i="1"/>
  <c r="Q5388" i="1"/>
  <c r="Q5387" i="1"/>
  <c r="Q5386" i="1"/>
  <c r="Q5385" i="1"/>
  <c r="Q5384" i="1"/>
  <c r="Q5383" i="1"/>
  <c r="Q5382" i="1"/>
  <c r="Q5381" i="1"/>
  <c r="Q5380" i="1"/>
  <c r="Q5379" i="1"/>
  <c r="Q5378" i="1"/>
  <c r="Q5377" i="1"/>
  <c r="Q5376" i="1"/>
  <c r="Q5375" i="1"/>
  <c r="Q5374" i="1"/>
  <c r="Q5373" i="1"/>
  <c r="Q5372" i="1"/>
  <c r="Q5371" i="1"/>
  <c r="Q5370" i="1"/>
  <c r="Q5369" i="1"/>
  <c r="Q5368" i="1"/>
  <c r="Q5367" i="1"/>
  <c r="Q5366" i="1"/>
  <c r="Q5365" i="1"/>
  <c r="Q5364" i="1"/>
  <c r="Q5363" i="1"/>
  <c r="Q5362" i="1"/>
  <c r="Q5361" i="1"/>
  <c r="Q5360" i="1"/>
  <c r="Q5359" i="1"/>
  <c r="Q5358" i="1"/>
  <c r="Q5357" i="1"/>
  <c r="Q5356" i="1"/>
  <c r="Q5355" i="1"/>
  <c r="Q5354" i="1"/>
  <c r="Q5353" i="1"/>
  <c r="Q5352" i="1"/>
  <c r="Q5351" i="1"/>
  <c r="Q5350" i="1"/>
  <c r="Q5349" i="1"/>
  <c r="Q5348" i="1"/>
  <c r="Q5347" i="1"/>
  <c r="Q5346" i="1"/>
  <c r="Q5345" i="1"/>
  <c r="Q5344" i="1"/>
  <c r="Q5343" i="1"/>
  <c r="Q5342" i="1"/>
  <c r="Q5341" i="1"/>
  <c r="Q5340" i="1"/>
  <c r="Q5339" i="1"/>
  <c r="Q5338" i="1"/>
  <c r="Q5337" i="1"/>
  <c r="Q5336" i="1"/>
  <c r="Q5335" i="1"/>
  <c r="Q5334" i="1"/>
  <c r="Q5333" i="1"/>
  <c r="Q5332" i="1"/>
  <c r="Q5331" i="1"/>
  <c r="Q5330" i="1"/>
  <c r="Q5329" i="1"/>
  <c r="Q5328" i="1"/>
  <c r="Q5327" i="1"/>
  <c r="Q5326" i="1"/>
  <c r="Q5325" i="1"/>
  <c r="Q5324" i="1"/>
  <c r="Q5323" i="1"/>
  <c r="Q5322" i="1"/>
  <c r="Q5321" i="1"/>
  <c r="Q5320" i="1"/>
  <c r="Q5319" i="1"/>
  <c r="Q5318" i="1"/>
  <c r="Q5317" i="1"/>
  <c r="Q5316" i="1"/>
  <c r="Q5315" i="1"/>
  <c r="Q5314" i="1"/>
  <c r="Q5313" i="1"/>
  <c r="Q5312" i="1"/>
  <c r="Q5311" i="1"/>
  <c r="Q5310" i="1"/>
  <c r="Q5309" i="1"/>
  <c r="Q5308" i="1"/>
  <c r="Q5307" i="1"/>
  <c r="Q5306" i="1"/>
  <c r="Q5305" i="1"/>
  <c r="Q5304" i="1"/>
  <c r="Q5303" i="1"/>
  <c r="Q5302" i="1"/>
  <c r="Q5301" i="1"/>
  <c r="Q5300" i="1"/>
  <c r="Q5299" i="1"/>
  <c r="Q5298" i="1"/>
  <c r="Q5297" i="1"/>
  <c r="Q5296" i="1"/>
  <c r="Q5295" i="1"/>
  <c r="Q5294" i="1"/>
  <c r="Q5293" i="1"/>
  <c r="Q5292" i="1"/>
  <c r="Q5291" i="1"/>
  <c r="Q5290" i="1"/>
  <c r="Q5289" i="1"/>
  <c r="Q5288" i="1"/>
  <c r="Q5287" i="1"/>
  <c r="Q5286" i="1"/>
  <c r="Q5285" i="1"/>
  <c r="Q5284" i="1"/>
  <c r="Q5283" i="1"/>
  <c r="Q5282" i="1"/>
  <c r="Q5281" i="1"/>
  <c r="Q5280" i="1"/>
  <c r="Q5279" i="1"/>
  <c r="Q5278" i="1"/>
  <c r="Q5277" i="1"/>
  <c r="Q1722" i="1" l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4859" i="1" l="1"/>
  <c r="Q4858" i="1"/>
  <c r="Q4857" i="1"/>
  <c r="Q4856" i="1"/>
  <c r="Q4855" i="1"/>
  <c r="Q4854" i="1"/>
  <c r="Q4853" i="1"/>
  <c r="Q4852" i="1"/>
  <c r="Q4851" i="1"/>
  <c r="Q4850" i="1"/>
  <c r="Q4849" i="1"/>
  <c r="Q4848" i="1"/>
  <c r="Q4847" i="1"/>
  <c r="Q4846" i="1"/>
  <c r="Q4845" i="1"/>
  <c r="Q4844" i="1"/>
  <c r="Q4843" i="1"/>
  <c r="Q4842" i="1"/>
  <c r="Q4841" i="1"/>
  <c r="Q4840" i="1"/>
  <c r="Q4839" i="1"/>
  <c r="Q4838" i="1"/>
  <c r="Q4837" i="1"/>
  <c r="Q4836" i="1"/>
  <c r="Q4835" i="1"/>
  <c r="Q4834" i="1"/>
  <c r="Q4833" i="1"/>
  <c r="Q4832" i="1"/>
  <c r="Q4831" i="1"/>
  <c r="Q4830" i="1"/>
  <c r="Q4829" i="1"/>
  <c r="Q4828" i="1"/>
  <c r="Q4827" i="1"/>
  <c r="Q4826" i="1"/>
  <c r="Q4825" i="1"/>
  <c r="Q4824" i="1"/>
  <c r="Q4823" i="1"/>
  <c r="Q4822" i="1"/>
  <c r="Q4821" i="1"/>
  <c r="Q4820" i="1"/>
  <c r="Q4819" i="1"/>
  <c r="Q4818" i="1"/>
  <c r="Q4817" i="1"/>
  <c r="Q4816" i="1"/>
  <c r="Q4815" i="1"/>
  <c r="Q4814" i="1"/>
  <c r="Q4813" i="1"/>
  <c r="Q4812" i="1"/>
  <c r="Q4811" i="1"/>
  <c r="Q4810" i="1"/>
  <c r="Q4809" i="1"/>
  <c r="Q4808" i="1"/>
  <c r="Q4807" i="1"/>
  <c r="Q4806" i="1"/>
  <c r="Q4805" i="1"/>
  <c r="Q4804" i="1"/>
  <c r="Q4803" i="1"/>
  <c r="Q4802" i="1"/>
  <c r="Q4801" i="1"/>
  <c r="Q4800" i="1"/>
  <c r="Q4799" i="1"/>
  <c r="Q4798" i="1"/>
  <c r="O2560" i="1" l="1"/>
  <c r="O2496" i="1"/>
  <c r="O2296" i="1"/>
  <c r="O2252" i="1"/>
  <c r="O2241" i="1"/>
  <c r="Q1721" i="1" l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AH1624" i="1"/>
  <c r="Q1624" i="1"/>
  <c r="AH1623" i="1"/>
  <c r="Q1623" i="1"/>
  <c r="AH1622" i="1"/>
  <c r="Q1622" i="1"/>
  <c r="AH1621" i="1"/>
  <c r="Q1621" i="1"/>
  <c r="AH1620" i="1"/>
  <c r="Q1620" i="1"/>
  <c r="AH1619" i="1"/>
  <c r="Q1619" i="1"/>
  <c r="AH1618" i="1"/>
  <c r="Q1618" i="1"/>
  <c r="AH1617" i="1"/>
  <c r="Q1617" i="1"/>
  <c r="AH1616" i="1"/>
  <c r="Q1616" i="1"/>
  <c r="AH1615" i="1"/>
  <c r="Q1615" i="1"/>
  <c r="AH1614" i="1"/>
  <c r="Q1614" i="1"/>
  <c r="AH1613" i="1"/>
  <c r="Q1613" i="1"/>
  <c r="AH1612" i="1"/>
  <c r="Q1612" i="1"/>
  <c r="AH1611" i="1"/>
  <c r="Q1611" i="1"/>
  <c r="AH1610" i="1"/>
  <c r="Q1610" i="1"/>
  <c r="AH1609" i="1"/>
  <c r="Q1609" i="1"/>
  <c r="AH1608" i="1"/>
  <c r="Q1608" i="1"/>
  <c r="AH1607" i="1"/>
  <c r="Q1607" i="1"/>
  <c r="AH1606" i="1"/>
  <c r="Q1606" i="1"/>
  <c r="AH1605" i="1"/>
  <c r="Q1605" i="1"/>
  <c r="AH1604" i="1"/>
  <c r="Q1604" i="1"/>
  <c r="AH1603" i="1"/>
  <c r="Q1603" i="1"/>
  <c r="AH1602" i="1"/>
  <c r="Q1602" i="1"/>
  <c r="AH1601" i="1"/>
  <c r="Q1601" i="1"/>
  <c r="AH1600" i="1"/>
  <c r="Q1600" i="1"/>
  <c r="AH1599" i="1"/>
  <c r="Q1599" i="1"/>
  <c r="AH1598" i="1"/>
  <c r="Q1598" i="1"/>
  <c r="AH1597" i="1"/>
  <c r="Q1597" i="1"/>
  <c r="AH1596" i="1"/>
  <c r="Q1596" i="1"/>
  <c r="AH1595" i="1"/>
  <c r="Q1595" i="1"/>
  <c r="AH1594" i="1"/>
  <c r="Q1594" i="1"/>
  <c r="AH1593" i="1"/>
  <c r="Q1593" i="1"/>
  <c r="AH1592" i="1"/>
  <c r="Q1592" i="1"/>
  <c r="AH1591" i="1"/>
  <c r="Q1591" i="1"/>
  <c r="AH1590" i="1"/>
  <c r="Q1590" i="1"/>
  <c r="AH1589" i="1"/>
  <c r="Q1589" i="1"/>
  <c r="AH1588" i="1"/>
  <c r="Q1588" i="1"/>
  <c r="AH1587" i="1"/>
  <c r="Q1587" i="1"/>
  <c r="AH1586" i="1"/>
  <c r="Q1586" i="1"/>
  <c r="AH1585" i="1"/>
  <c r="Q1585" i="1"/>
  <c r="AH1584" i="1"/>
  <c r="Q1584" i="1"/>
  <c r="AH1583" i="1"/>
  <c r="Q1583" i="1"/>
  <c r="AH1582" i="1"/>
  <c r="Q1582" i="1"/>
  <c r="AH1581" i="1"/>
  <c r="Q1581" i="1"/>
  <c r="AH1580" i="1"/>
  <c r="Q1580" i="1"/>
  <c r="AH1579" i="1"/>
  <c r="Q1579" i="1"/>
  <c r="AH1578" i="1"/>
  <c r="Q1578" i="1"/>
  <c r="AH1577" i="1"/>
  <c r="Q1577" i="1"/>
  <c r="AH1576" i="1"/>
  <c r="Q1576" i="1"/>
  <c r="AH1575" i="1"/>
  <c r="Q1575" i="1"/>
  <c r="AH1574" i="1"/>
  <c r="Q1574" i="1"/>
  <c r="AH1573" i="1"/>
  <c r="Q1573" i="1"/>
  <c r="AH1572" i="1"/>
  <c r="Q1572" i="1"/>
  <c r="AH1571" i="1"/>
  <c r="Q1571" i="1"/>
  <c r="AH1570" i="1"/>
  <c r="Q1570" i="1"/>
  <c r="AH1569" i="1"/>
  <c r="Q1569" i="1"/>
  <c r="AH1568" i="1"/>
  <c r="Q1568" i="1"/>
  <c r="AH1567" i="1"/>
  <c r="Q1567" i="1"/>
  <c r="AH1566" i="1"/>
  <c r="Q1566" i="1"/>
  <c r="AH1565" i="1"/>
  <c r="Q1565" i="1"/>
  <c r="AH1564" i="1"/>
  <c r="Q1564" i="1"/>
  <c r="AH1563" i="1"/>
  <c r="Q1563" i="1"/>
  <c r="AH1562" i="1"/>
  <c r="Q1562" i="1"/>
  <c r="AH1561" i="1"/>
  <c r="Q1561" i="1"/>
  <c r="AH1560" i="1"/>
  <c r="Q1560" i="1"/>
  <c r="AH1559" i="1"/>
  <c r="Q1559" i="1"/>
  <c r="AH1558" i="1"/>
  <c r="Q1558" i="1"/>
  <c r="AH1557" i="1"/>
  <c r="Q1557" i="1"/>
  <c r="AH1556" i="1"/>
  <c r="Q1556" i="1"/>
  <c r="AH1555" i="1"/>
  <c r="Q1555" i="1"/>
  <c r="AH1554" i="1"/>
  <c r="Q1554" i="1"/>
  <c r="AH1553" i="1"/>
  <c r="Q1553" i="1"/>
  <c r="AH1552" i="1"/>
  <c r="Q1552" i="1"/>
  <c r="AH1551" i="1"/>
  <c r="Q1551" i="1"/>
  <c r="AH1550" i="1"/>
  <c r="Q1550" i="1"/>
  <c r="AH1549" i="1"/>
  <c r="Q1549" i="1"/>
  <c r="AH1548" i="1"/>
  <c r="Q1548" i="1"/>
  <c r="AH1547" i="1"/>
  <c r="Q1547" i="1"/>
  <c r="AH1546" i="1"/>
  <c r="Q1546" i="1"/>
  <c r="AH1545" i="1"/>
  <c r="Q1545" i="1"/>
  <c r="AH1544" i="1"/>
  <c r="Q1544" i="1"/>
  <c r="AH1543" i="1"/>
  <c r="Q1543" i="1"/>
  <c r="AH1542" i="1"/>
  <c r="Q1542" i="1"/>
  <c r="AH1541" i="1"/>
  <c r="Q1541" i="1"/>
  <c r="AH1540" i="1"/>
  <c r="Q1540" i="1"/>
  <c r="AH1539" i="1"/>
  <c r="Q1539" i="1"/>
  <c r="AH1538" i="1"/>
  <c r="Q1538" i="1"/>
  <c r="AH1537" i="1"/>
  <c r="Q1537" i="1"/>
  <c r="AH1536" i="1"/>
  <c r="Q1536" i="1"/>
  <c r="AH1535" i="1"/>
  <c r="Q1535" i="1"/>
  <c r="AH1534" i="1"/>
  <c r="Q1534" i="1"/>
  <c r="AH1533" i="1"/>
  <c r="Q1533" i="1"/>
  <c r="AH1532" i="1"/>
  <c r="Q1532" i="1"/>
  <c r="AH1531" i="1"/>
  <c r="Q1531" i="1"/>
  <c r="AH1530" i="1"/>
  <c r="Q1530" i="1"/>
  <c r="AH1529" i="1"/>
  <c r="Q1529" i="1"/>
  <c r="AH1528" i="1"/>
  <c r="Q1528" i="1"/>
  <c r="AH1527" i="1"/>
  <c r="Q1527" i="1"/>
  <c r="AH1526" i="1"/>
  <c r="Q1526" i="1"/>
  <c r="AH1525" i="1"/>
  <c r="Q1525" i="1"/>
  <c r="AH1524" i="1"/>
  <c r="Q1524" i="1"/>
  <c r="AH1523" i="1"/>
  <c r="Q1523" i="1"/>
  <c r="AH1522" i="1"/>
  <c r="Q1522" i="1"/>
  <c r="AH1521" i="1"/>
  <c r="Q1521" i="1"/>
  <c r="AH1520" i="1"/>
  <c r="Q1520" i="1"/>
  <c r="AH1519" i="1"/>
  <c r="Q1519" i="1"/>
  <c r="AH1518" i="1"/>
  <c r="Q1518" i="1"/>
  <c r="AH1517" i="1"/>
  <c r="Q1517" i="1"/>
  <c r="AH1516" i="1"/>
  <c r="Q1516" i="1"/>
  <c r="AH1515" i="1"/>
  <c r="Q1515" i="1"/>
  <c r="AH1514" i="1"/>
  <c r="Q1514" i="1"/>
  <c r="AH1513" i="1"/>
  <c r="Q1513" i="1"/>
  <c r="AH1512" i="1"/>
  <c r="Q1512" i="1"/>
  <c r="AH1511" i="1"/>
  <c r="Q1511" i="1"/>
  <c r="AH1510" i="1"/>
  <c r="Q1510" i="1"/>
  <c r="AH1509" i="1"/>
  <c r="Q1509" i="1"/>
  <c r="AH1508" i="1"/>
  <c r="Q1508" i="1"/>
  <c r="AH1507" i="1"/>
  <c r="Q1507" i="1"/>
  <c r="AH1506" i="1"/>
  <c r="Q1506" i="1"/>
  <c r="AH1505" i="1"/>
  <c r="Q1505" i="1"/>
  <c r="AH1504" i="1"/>
  <c r="Q1504" i="1"/>
  <c r="AH1503" i="1"/>
  <c r="Q1503" i="1"/>
  <c r="AH1502" i="1"/>
  <c r="Q1502" i="1"/>
  <c r="AH1501" i="1"/>
  <c r="Q1501" i="1"/>
  <c r="AH1500" i="1"/>
  <c r="Q1500" i="1"/>
  <c r="AH1499" i="1"/>
  <c r="Q1499" i="1"/>
  <c r="AH1498" i="1"/>
  <c r="Q1498" i="1"/>
  <c r="AH1497" i="1"/>
  <c r="Q1497" i="1"/>
  <c r="AH1496" i="1"/>
  <c r="Q1496" i="1"/>
  <c r="AH1495" i="1"/>
  <c r="Q1495" i="1"/>
  <c r="AH1494" i="1"/>
  <c r="Q1494" i="1"/>
  <c r="AH1493" i="1"/>
  <c r="Q1493" i="1"/>
  <c r="AH1492" i="1"/>
  <c r="Q1492" i="1"/>
  <c r="AH1491" i="1"/>
  <c r="Q1491" i="1"/>
  <c r="AH1490" i="1"/>
  <c r="Q1490" i="1"/>
  <c r="AH1489" i="1"/>
  <c r="Q1489" i="1"/>
  <c r="AH1488" i="1"/>
  <c r="Q1488" i="1"/>
  <c r="AH1487" i="1"/>
  <c r="Q1487" i="1"/>
  <c r="AH1486" i="1"/>
  <c r="Q1486" i="1"/>
  <c r="AH1485" i="1"/>
  <c r="Q1485" i="1"/>
  <c r="AH1484" i="1"/>
  <c r="Q1484" i="1"/>
  <c r="AH1483" i="1"/>
  <c r="Q1483" i="1"/>
  <c r="AH1482" i="1"/>
  <c r="Q1482" i="1"/>
  <c r="AH1481" i="1"/>
  <c r="Q1481" i="1"/>
  <c r="AH1480" i="1"/>
  <c r="Q1480" i="1"/>
  <c r="AH1479" i="1"/>
  <c r="Q1479" i="1"/>
  <c r="AH1478" i="1"/>
  <c r="Q1478" i="1"/>
  <c r="AH1477" i="1"/>
  <c r="Q1477" i="1"/>
  <c r="AH1476" i="1"/>
  <c r="Q1476" i="1"/>
  <c r="AH1475" i="1"/>
  <c r="Q1475" i="1"/>
  <c r="AH1474" i="1"/>
  <c r="Q1474" i="1"/>
  <c r="AH1473" i="1"/>
  <c r="Q1473" i="1"/>
  <c r="AH1472" i="1"/>
  <c r="Q1472" i="1"/>
  <c r="AH1471" i="1"/>
  <c r="Q1471" i="1"/>
  <c r="AH1470" i="1"/>
  <c r="Q1470" i="1"/>
  <c r="AH1469" i="1"/>
  <c r="Q1469" i="1"/>
  <c r="AH1468" i="1"/>
  <c r="Q1468" i="1"/>
  <c r="AH1467" i="1"/>
  <c r="Q1467" i="1"/>
  <c r="AH1466" i="1"/>
  <c r="Q1466" i="1"/>
  <c r="AH1465" i="1"/>
  <c r="Q1465" i="1"/>
  <c r="AH1464" i="1"/>
  <c r="Q1464" i="1"/>
  <c r="AH1463" i="1"/>
  <c r="Q1463" i="1"/>
  <c r="AH1462" i="1"/>
  <c r="Q1462" i="1"/>
  <c r="AH1461" i="1"/>
  <c r="Q1461" i="1"/>
  <c r="AH1460" i="1"/>
  <c r="Q1460" i="1"/>
  <c r="AH1459" i="1"/>
  <c r="Q1459" i="1"/>
  <c r="AH1458" i="1"/>
  <c r="Q1458" i="1"/>
  <c r="AH1457" i="1"/>
  <c r="Q1457" i="1"/>
  <c r="AH1456" i="1"/>
  <c r="Q1456" i="1"/>
  <c r="AH1455" i="1"/>
  <c r="Q1455" i="1"/>
  <c r="AH1454" i="1"/>
  <c r="Q1454" i="1"/>
  <c r="AH1453" i="1"/>
  <c r="Q1453" i="1"/>
  <c r="AH1452" i="1"/>
  <c r="Q1452" i="1"/>
  <c r="AH1451" i="1"/>
  <c r="Q1451" i="1"/>
  <c r="AH1450" i="1"/>
  <c r="Q1450" i="1"/>
  <c r="AH1449" i="1"/>
  <c r="Q1449" i="1"/>
  <c r="AH1448" i="1"/>
  <c r="Q1448" i="1"/>
  <c r="AH1447" i="1"/>
  <c r="Q1447" i="1"/>
  <c r="AH1446" i="1"/>
  <c r="Q1446" i="1"/>
  <c r="AH1445" i="1"/>
  <c r="Q1445" i="1"/>
  <c r="AH1444" i="1"/>
  <c r="Q1444" i="1"/>
  <c r="AH1443" i="1"/>
  <c r="Q1443" i="1"/>
  <c r="AH1442" i="1"/>
  <c r="Q1442" i="1"/>
  <c r="AH1441" i="1"/>
  <c r="Q1441" i="1"/>
  <c r="AH1440" i="1"/>
  <c r="Q1440" i="1"/>
  <c r="AH1439" i="1"/>
  <c r="Q1439" i="1"/>
  <c r="AH1438" i="1"/>
  <c r="Q1438" i="1"/>
  <c r="AH1437" i="1"/>
  <c r="Q1437" i="1"/>
  <c r="AH1436" i="1"/>
  <c r="Q1436" i="1"/>
  <c r="AH1435" i="1"/>
  <c r="Q1435" i="1"/>
  <c r="AH1434" i="1"/>
  <c r="Q1434" i="1"/>
  <c r="AH1433" i="1"/>
  <c r="Q1433" i="1"/>
  <c r="AH1432" i="1"/>
  <c r="Q1432" i="1"/>
  <c r="AH1431" i="1"/>
  <c r="Q1431" i="1"/>
  <c r="AH1430" i="1"/>
  <c r="Q1430" i="1"/>
  <c r="AH1429" i="1"/>
  <c r="Q1429" i="1"/>
  <c r="AH1428" i="1"/>
  <c r="Q1428" i="1"/>
  <c r="AH1427" i="1"/>
  <c r="Q1427" i="1"/>
  <c r="AH1426" i="1"/>
  <c r="Q1426" i="1"/>
  <c r="AH1425" i="1"/>
  <c r="Q1425" i="1"/>
  <c r="AH1424" i="1"/>
  <c r="Q1424" i="1"/>
  <c r="AH1423" i="1"/>
  <c r="Q1423" i="1"/>
  <c r="AH1422" i="1"/>
  <c r="Q1422" i="1"/>
  <c r="AH1421" i="1"/>
  <c r="Q1421" i="1"/>
  <c r="AH1420" i="1"/>
  <c r="Q1420" i="1"/>
  <c r="AH1419" i="1"/>
  <c r="Q1419" i="1"/>
  <c r="AH1418" i="1"/>
  <c r="Q1418" i="1"/>
  <c r="AH1417" i="1"/>
  <c r="Q1417" i="1"/>
  <c r="AH1416" i="1"/>
  <c r="Q1416" i="1"/>
  <c r="AH1415" i="1"/>
  <c r="Q1415" i="1"/>
  <c r="AH1414" i="1"/>
  <c r="Q1414" i="1"/>
  <c r="AH1413" i="1"/>
  <c r="Q1413" i="1"/>
  <c r="AH1412" i="1"/>
  <c r="Q1412" i="1"/>
  <c r="AH1411" i="1"/>
  <c r="Q1411" i="1"/>
  <c r="AH1410" i="1"/>
  <c r="Q1410" i="1"/>
  <c r="AH1409" i="1"/>
  <c r="Q1409" i="1"/>
  <c r="AH1408" i="1"/>
  <c r="Q1408" i="1"/>
  <c r="AH1407" i="1"/>
  <c r="Q1407" i="1"/>
  <c r="AH1406" i="1"/>
  <c r="Q1406" i="1"/>
  <c r="AH1405" i="1"/>
  <c r="Q1405" i="1"/>
  <c r="AH1404" i="1"/>
  <c r="Q1404" i="1"/>
  <c r="AH1403" i="1"/>
  <c r="Q1403" i="1"/>
  <c r="AH1402" i="1"/>
  <c r="Q1402" i="1"/>
  <c r="AH1401" i="1"/>
  <c r="Q1401" i="1"/>
  <c r="AH1400" i="1"/>
  <c r="Q1400" i="1"/>
  <c r="AH1399" i="1"/>
  <c r="Q1399" i="1"/>
  <c r="AH1398" i="1"/>
  <c r="Q1398" i="1"/>
  <c r="AH1397" i="1"/>
  <c r="Q1397" i="1"/>
  <c r="AH1396" i="1"/>
  <c r="Q1396" i="1"/>
  <c r="AH1395" i="1"/>
  <c r="Q1395" i="1"/>
  <c r="AH1394" i="1"/>
  <c r="Q1394" i="1"/>
  <c r="AH1393" i="1"/>
  <c r="Q1393" i="1"/>
  <c r="AH1392" i="1"/>
  <c r="Q1392" i="1"/>
  <c r="AH1391" i="1"/>
  <c r="Q1391" i="1"/>
  <c r="AH1390" i="1"/>
  <c r="Q1390" i="1"/>
  <c r="AH1389" i="1"/>
  <c r="Q1389" i="1"/>
  <c r="AH1388" i="1"/>
  <c r="Q1388" i="1"/>
  <c r="AH1387" i="1"/>
  <c r="Q1387" i="1"/>
  <c r="AH1386" i="1"/>
  <c r="Q1386" i="1"/>
  <c r="AH1385" i="1"/>
  <c r="Q1385" i="1"/>
  <c r="AH1384" i="1"/>
  <c r="Q1384" i="1"/>
  <c r="AH1383" i="1"/>
  <c r="Q1383" i="1"/>
  <c r="AH1382" i="1"/>
  <c r="Q1382" i="1"/>
  <c r="AH1381" i="1"/>
  <c r="Q1381" i="1"/>
  <c r="AH1380" i="1"/>
  <c r="Q1380" i="1"/>
  <c r="AH1379" i="1"/>
  <c r="Q1379" i="1"/>
  <c r="AH1378" i="1"/>
  <c r="Q1378" i="1"/>
  <c r="AH1377" i="1"/>
  <c r="Q1377" i="1"/>
  <c r="AH1376" i="1"/>
  <c r="Q1376" i="1"/>
  <c r="AH1375" i="1"/>
  <c r="Q1375" i="1"/>
  <c r="AH1374" i="1"/>
  <c r="Q1374" i="1"/>
  <c r="AH1373" i="1"/>
  <c r="Q1373" i="1"/>
  <c r="AH1372" i="1"/>
  <c r="Q1372" i="1"/>
  <c r="AH1371" i="1"/>
  <c r="Q1371" i="1"/>
  <c r="AH1370" i="1"/>
  <c r="Q1370" i="1"/>
  <c r="AH1369" i="1"/>
  <c r="Q1369" i="1"/>
  <c r="AH1368" i="1"/>
  <c r="Q1368" i="1"/>
  <c r="AH1367" i="1"/>
  <c r="Q1367" i="1"/>
  <c r="AH1366" i="1"/>
  <c r="Q1366" i="1"/>
  <c r="AH1365" i="1"/>
  <c r="Q1365" i="1"/>
  <c r="AH1364" i="1"/>
  <c r="Q1364" i="1"/>
  <c r="AH1363" i="1"/>
  <c r="Q1363" i="1"/>
  <c r="AH1362" i="1"/>
  <c r="Q1362" i="1"/>
  <c r="AH1361" i="1"/>
  <c r="Q1361" i="1"/>
  <c r="AH1360" i="1"/>
  <c r="Q1360" i="1"/>
  <c r="AH1359" i="1"/>
  <c r="Q1359" i="1"/>
  <c r="AH1358" i="1"/>
  <c r="Q1358" i="1"/>
  <c r="AH1357" i="1"/>
  <c r="Q1357" i="1"/>
  <c r="AH1356" i="1"/>
  <c r="Q1356" i="1"/>
  <c r="AH1355" i="1"/>
  <c r="Q1355" i="1"/>
  <c r="AH1354" i="1"/>
  <c r="Q1354" i="1"/>
  <c r="AH1353" i="1"/>
  <c r="Q1353" i="1"/>
  <c r="AH1352" i="1"/>
  <c r="Q1352" i="1"/>
  <c r="AH1351" i="1"/>
  <c r="Q1351" i="1"/>
  <c r="AH1350" i="1"/>
  <c r="Q1350" i="1"/>
  <c r="AH1349" i="1"/>
  <c r="Q1349" i="1"/>
  <c r="AH1348" i="1"/>
  <c r="Q1348" i="1"/>
  <c r="AH1347" i="1"/>
  <c r="Q1347" i="1"/>
  <c r="AH1346" i="1"/>
  <c r="Q1346" i="1"/>
  <c r="AH1345" i="1"/>
  <c r="Q1345" i="1"/>
  <c r="AH1344" i="1"/>
  <c r="Q1344" i="1"/>
  <c r="AH1343" i="1"/>
  <c r="Q1343" i="1"/>
  <c r="AH1342" i="1"/>
  <c r="Q1342" i="1"/>
  <c r="AH1341" i="1"/>
  <c r="Q1341" i="1"/>
  <c r="AH1340" i="1"/>
  <c r="Q1340" i="1"/>
  <c r="AH1339" i="1"/>
  <c r="Q1339" i="1"/>
  <c r="AH1338" i="1"/>
  <c r="Q1338" i="1"/>
  <c r="AH1337" i="1"/>
  <c r="Q1337" i="1"/>
  <c r="AH1336" i="1"/>
  <c r="Q1336" i="1"/>
  <c r="AH1335" i="1"/>
  <c r="Q1335" i="1"/>
  <c r="AH1334" i="1"/>
  <c r="Q1334" i="1"/>
  <c r="AH1333" i="1"/>
  <c r="Q1333" i="1"/>
  <c r="AH1332" i="1"/>
  <c r="Q1332" i="1"/>
  <c r="AH1331" i="1"/>
  <c r="Q1331" i="1"/>
  <c r="AH1330" i="1"/>
  <c r="Q1330" i="1"/>
  <c r="AH1329" i="1"/>
  <c r="Q1329" i="1"/>
  <c r="AH1328" i="1"/>
  <c r="Q1328" i="1"/>
  <c r="AH1327" i="1"/>
  <c r="Q1327" i="1"/>
  <c r="AH1326" i="1"/>
  <c r="Q1326" i="1"/>
  <c r="AH1325" i="1"/>
  <c r="Q1325" i="1"/>
  <c r="AH1324" i="1"/>
  <c r="Q1324" i="1"/>
  <c r="AH1323" i="1"/>
  <c r="Q1323" i="1"/>
  <c r="AH1322" i="1"/>
  <c r="Q1322" i="1"/>
  <c r="AH1321" i="1"/>
  <c r="Q1321" i="1"/>
  <c r="AH1320" i="1"/>
  <c r="Q1320" i="1"/>
  <c r="AH1319" i="1"/>
  <c r="Q1319" i="1"/>
  <c r="AH1318" i="1"/>
  <c r="Q1318" i="1"/>
  <c r="AH1317" i="1"/>
  <c r="Q1317" i="1"/>
  <c r="AH1316" i="1"/>
  <c r="Q1316" i="1"/>
  <c r="AH1315" i="1"/>
  <c r="Q1315" i="1"/>
  <c r="AH1314" i="1"/>
  <c r="Q1314" i="1"/>
  <c r="AH1313" i="1"/>
  <c r="Q1313" i="1"/>
  <c r="AH1312" i="1"/>
  <c r="Q1312" i="1"/>
  <c r="AH1311" i="1"/>
  <c r="Q1311" i="1"/>
  <c r="AH1310" i="1"/>
  <c r="Q1310" i="1"/>
  <c r="AH1309" i="1"/>
  <c r="Q1309" i="1"/>
  <c r="AH1308" i="1"/>
  <c r="Q1308" i="1"/>
  <c r="AH1307" i="1"/>
  <c r="Q1307" i="1"/>
  <c r="AH1306" i="1"/>
  <c r="Q1306" i="1"/>
  <c r="AH1305" i="1"/>
  <c r="Q1305" i="1"/>
  <c r="AH1304" i="1"/>
  <c r="Q1304" i="1"/>
  <c r="AH1303" i="1"/>
  <c r="Q1303" i="1"/>
  <c r="AH1302" i="1"/>
  <c r="Q1302" i="1"/>
  <c r="AH1301" i="1"/>
  <c r="Q1301" i="1"/>
  <c r="AH1300" i="1"/>
  <c r="Q1300" i="1"/>
  <c r="AH1299" i="1"/>
  <c r="Q1299" i="1"/>
  <c r="AH1298" i="1"/>
  <c r="Q1298" i="1"/>
  <c r="AH1297" i="1"/>
  <c r="Q1297" i="1"/>
  <c r="AH1296" i="1"/>
  <c r="Q1296" i="1"/>
  <c r="AH1295" i="1"/>
  <c r="Q1295" i="1"/>
  <c r="AH1294" i="1"/>
  <c r="Q1294" i="1"/>
  <c r="AH1293" i="1"/>
  <c r="Q1293" i="1"/>
  <c r="AH1292" i="1"/>
  <c r="Q1292" i="1"/>
  <c r="AH1291" i="1"/>
  <c r="Q1291" i="1"/>
  <c r="AH1290" i="1"/>
  <c r="Q1290" i="1"/>
  <c r="AH1289" i="1"/>
  <c r="Q1289" i="1"/>
  <c r="AH1288" i="1"/>
  <c r="Q1288" i="1"/>
  <c r="AH1287" i="1"/>
  <c r="Q1287" i="1"/>
  <c r="AH1286" i="1"/>
  <c r="Q1286" i="1"/>
  <c r="AH1285" i="1"/>
  <c r="Q1285" i="1"/>
  <c r="AH1284" i="1"/>
  <c r="Q1284" i="1"/>
  <c r="AH1283" i="1"/>
  <c r="Q1283" i="1"/>
  <c r="AH1282" i="1"/>
  <c r="Q1282" i="1"/>
  <c r="AH1281" i="1"/>
  <c r="Q1281" i="1"/>
  <c r="AH1280" i="1"/>
  <c r="Q1280" i="1"/>
  <c r="AH1279" i="1"/>
  <c r="Q1279" i="1"/>
  <c r="AH1278" i="1"/>
  <c r="Q1278" i="1"/>
  <c r="AH1277" i="1"/>
  <c r="Q1277" i="1"/>
  <c r="AH1276" i="1"/>
  <c r="Q1276" i="1"/>
  <c r="AH1275" i="1"/>
  <c r="Q1275" i="1"/>
  <c r="AH1274" i="1"/>
  <c r="Q1274" i="1"/>
  <c r="AH1273" i="1"/>
  <c r="Q1273" i="1"/>
  <c r="AH1272" i="1"/>
  <c r="Q1272" i="1"/>
  <c r="AH1271" i="1"/>
  <c r="Q1271" i="1"/>
  <c r="AH1270" i="1"/>
  <c r="Q1270" i="1"/>
  <c r="AH1269" i="1"/>
  <c r="Q1269" i="1"/>
  <c r="AH1268" i="1"/>
  <c r="Q1268" i="1"/>
  <c r="AH1267" i="1"/>
  <c r="Q1267" i="1"/>
  <c r="AH1266" i="1"/>
  <c r="Q1266" i="1"/>
  <c r="AH1265" i="1"/>
  <c r="Q1265" i="1"/>
  <c r="AH1264" i="1"/>
  <c r="Q1264" i="1"/>
  <c r="AH1263" i="1"/>
  <c r="Q1263" i="1"/>
  <c r="AH1262" i="1"/>
  <c r="Q1262" i="1"/>
  <c r="AH1261" i="1"/>
  <c r="Q1261" i="1"/>
  <c r="AH1260" i="1"/>
  <c r="Q1260" i="1"/>
  <c r="AH1259" i="1"/>
  <c r="Q1259" i="1"/>
  <c r="AH1258" i="1"/>
  <c r="Q1258" i="1"/>
  <c r="AH1257" i="1"/>
  <c r="Q1257" i="1"/>
  <c r="AH1256" i="1"/>
  <c r="Q1256" i="1"/>
  <c r="AH1255" i="1"/>
  <c r="Q1255" i="1"/>
  <c r="AH1254" i="1"/>
  <c r="Q1254" i="1"/>
  <c r="AH1253" i="1"/>
  <c r="Q1253" i="1"/>
  <c r="AH1252" i="1"/>
  <c r="Q1252" i="1"/>
  <c r="AH1251" i="1"/>
  <c r="Q1251" i="1"/>
  <c r="AH1250" i="1"/>
  <c r="Q1250" i="1"/>
  <c r="AH1249" i="1"/>
  <c r="Q1249" i="1"/>
  <c r="AH1248" i="1"/>
  <c r="Q1248" i="1"/>
  <c r="AH1247" i="1"/>
  <c r="Q1247" i="1"/>
  <c r="AH1246" i="1"/>
  <c r="Q1246" i="1"/>
  <c r="AH1245" i="1"/>
  <c r="Q1245" i="1"/>
  <c r="AH1244" i="1"/>
  <c r="Q1244" i="1"/>
  <c r="AH1243" i="1"/>
  <c r="Q1243" i="1"/>
  <c r="AH1242" i="1"/>
  <c r="Q1242" i="1"/>
  <c r="AH1241" i="1"/>
  <c r="Q1241" i="1"/>
  <c r="AH1240" i="1"/>
  <c r="Q1240" i="1"/>
  <c r="AH1239" i="1"/>
  <c r="Q1239" i="1"/>
  <c r="AH1238" i="1"/>
  <c r="Q1238" i="1"/>
  <c r="AH1237" i="1"/>
  <c r="Q1237" i="1"/>
  <c r="AH1236" i="1"/>
  <c r="Q1236" i="1"/>
  <c r="AH1235" i="1"/>
  <c r="Q1235" i="1"/>
  <c r="AH1234" i="1"/>
  <c r="Q1234" i="1"/>
  <c r="AH1233" i="1"/>
  <c r="Q1233" i="1"/>
  <c r="AH1232" i="1"/>
  <c r="Q1232" i="1"/>
  <c r="AH1231" i="1"/>
  <c r="Q1231" i="1"/>
  <c r="AH1230" i="1"/>
  <c r="Q1230" i="1"/>
  <c r="AH1229" i="1"/>
  <c r="Q1229" i="1"/>
  <c r="AH1228" i="1"/>
  <c r="Q1228" i="1"/>
  <c r="AH1227" i="1"/>
  <c r="Q1227" i="1"/>
  <c r="AH1226" i="1"/>
  <c r="Q1226" i="1"/>
  <c r="AH1225" i="1"/>
  <c r="Q1225" i="1"/>
  <c r="AH1224" i="1"/>
  <c r="Q1224" i="1"/>
  <c r="AH1223" i="1"/>
  <c r="Q1223" i="1"/>
  <c r="AH1222" i="1"/>
  <c r="Q1222" i="1"/>
  <c r="AH1221" i="1"/>
  <c r="Q1221" i="1"/>
  <c r="AH1220" i="1"/>
  <c r="Q1220" i="1"/>
  <c r="AH1219" i="1"/>
  <c r="Q1219" i="1"/>
  <c r="AH1218" i="1"/>
  <c r="Q1218" i="1"/>
  <c r="AH1217" i="1"/>
  <c r="Q1217" i="1"/>
  <c r="AH1216" i="1"/>
  <c r="Q1216" i="1"/>
  <c r="AH1215" i="1"/>
  <c r="Q1215" i="1"/>
  <c r="AH1214" i="1"/>
  <c r="Q1214" i="1"/>
  <c r="AH1213" i="1"/>
  <c r="Q1213" i="1"/>
  <c r="AH1212" i="1"/>
  <c r="Q1212" i="1"/>
  <c r="AH1211" i="1"/>
  <c r="Q1211" i="1"/>
  <c r="AH1210" i="1"/>
  <c r="Q1210" i="1"/>
  <c r="AH1209" i="1"/>
  <c r="Q1209" i="1"/>
  <c r="AH1208" i="1"/>
  <c r="Q1208" i="1"/>
  <c r="AH1207" i="1"/>
  <c r="Q1207" i="1"/>
  <c r="AH1206" i="1"/>
  <c r="Q1206" i="1"/>
  <c r="AH1205" i="1"/>
  <c r="Q1205" i="1"/>
  <c r="AH1204" i="1"/>
  <c r="Q1204" i="1"/>
  <c r="AH1203" i="1"/>
  <c r="Q1203" i="1"/>
  <c r="AH1202" i="1"/>
  <c r="Q1202" i="1"/>
  <c r="AH1201" i="1"/>
  <c r="Q1201" i="1"/>
  <c r="AH1200" i="1"/>
  <c r="Q1200" i="1"/>
  <c r="AH1199" i="1"/>
  <c r="Q1199" i="1"/>
  <c r="AH1198" i="1"/>
  <c r="Q1198" i="1"/>
  <c r="AH1197" i="1"/>
  <c r="Q1197" i="1"/>
  <c r="AH1196" i="1"/>
  <c r="Q1196" i="1"/>
  <c r="AH1195" i="1"/>
  <c r="Q1195" i="1"/>
  <c r="AH1194" i="1"/>
  <c r="Q1194" i="1"/>
  <c r="AH1193" i="1"/>
  <c r="Q1193" i="1"/>
  <c r="AH1192" i="1"/>
  <c r="Q1192" i="1"/>
  <c r="AH1191" i="1"/>
  <c r="Q1191" i="1"/>
  <c r="AH1190" i="1"/>
  <c r="Q1190" i="1"/>
  <c r="AH1189" i="1"/>
  <c r="Q1189" i="1"/>
  <c r="AH1188" i="1"/>
  <c r="Q1188" i="1"/>
  <c r="AH1187" i="1"/>
  <c r="Q1187" i="1"/>
  <c r="AH1186" i="1"/>
  <c r="Q1186" i="1"/>
  <c r="AH1185" i="1"/>
  <c r="Q1185" i="1"/>
  <c r="AH1184" i="1"/>
  <c r="Q1184" i="1"/>
  <c r="AH1183" i="1"/>
  <c r="Q1183" i="1"/>
  <c r="AH1182" i="1"/>
  <c r="Q1182" i="1"/>
  <c r="AH1181" i="1"/>
  <c r="Q1181" i="1"/>
  <c r="AH1180" i="1"/>
  <c r="Q1180" i="1"/>
  <c r="AH1179" i="1"/>
  <c r="Q1179" i="1"/>
  <c r="AH1178" i="1"/>
  <c r="Q1178" i="1"/>
  <c r="AH1177" i="1"/>
  <c r="Q1177" i="1"/>
  <c r="AH1176" i="1"/>
  <c r="Q1176" i="1"/>
  <c r="AH1175" i="1"/>
  <c r="Q1175" i="1"/>
  <c r="AH1174" i="1"/>
  <c r="Q1174" i="1"/>
  <c r="AH1173" i="1"/>
  <c r="Q1173" i="1"/>
  <c r="AH1172" i="1"/>
  <c r="Q1172" i="1"/>
  <c r="AH1171" i="1"/>
  <c r="Q1171" i="1"/>
  <c r="AH1170" i="1"/>
  <c r="Q1170" i="1"/>
  <c r="AH1169" i="1"/>
  <c r="Q1169" i="1"/>
  <c r="AH1168" i="1"/>
  <c r="Q1168" i="1"/>
  <c r="AH1167" i="1"/>
  <c r="Q1167" i="1"/>
  <c r="AH1166" i="1"/>
  <c r="Q1166" i="1"/>
  <c r="AH1165" i="1"/>
  <c r="Q1165" i="1"/>
  <c r="AH1164" i="1"/>
  <c r="Q1164" i="1"/>
  <c r="AH1163" i="1"/>
  <c r="Q1163" i="1"/>
  <c r="AH1162" i="1"/>
  <c r="Q1162" i="1"/>
  <c r="AH1161" i="1"/>
  <c r="Q1161" i="1"/>
  <c r="AH1160" i="1"/>
  <c r="Q1160" i="1"/>
  <c r="AH1159" i="1"/>
  <c r="Q1159" i="1"/>
  <c r="AH1158" i="1"/>
  <c r="Q1158" i="1"/>
  <c r="AH1157" i="1"/>
  <c r="Q1157" i="1"/>
  <c r="AH1156" i="1"/>
  <c r="Q1156" i="1"/>
  <c r="AH1155" i="1"/>
  <c r="Q1155" i="1"/>
  <c r="AH1154" i="1"/>
  <c r="Q1154" i="1"/>
  <c r="AH1153" i="1"/>
  <c r="Q1153" i="1"/>
  <c r="AH1152" i="1"/>
  <c r="Q1152" i="1"/>
  <c r="AH1151" i="1"/>
  <c r="Q1151" i="1"/>
  <c r="AH1150" i="1"/>
  <c r="Q1150" i="1"/>
  <c r="AH1149" i="1"/>
  <c r="Q1149" i="1"/>
  <c r="AH1148" i="1"/>
  <c r="Q1148" i="1"/>
  <c r="AH1147" i="1"/>
  <c r="Q1147" i="1"/>
  <c r="AH1146" i="1"/>
  <c r="Q1146" i="1"/>
  <c r="AH1145" i="1"/>
  <c r="Q1145" i="1"/>
  <c r="AH1144" i="1"/>
  <c r="Q1144" i="1"/>
  <c r="AH1143" i="1"/>
  <c r="Q1143" i="1"/>
  <c r="AH1142" i="1"/>
  <c r="Q1142" i="1"/>
  <c r="AH1141" i="1"/>
  <c r="Q1141" i="1"/>
  <c r="AH1140" i="1"/>
  <c r="Q1140" i="1"/>
  <c r="AH1139" i="1"/>
  <c r="Q1139" i="1"/>
  <c r="AH1138" i="1"/>
  <c r="Q1138" i="1"/>
  <c r="AH1137" i="1"/>
  <c r="Q1137" i="1"/>
  <c r="AH1136" i="1"/>
  <c r="Q1136" i="1"/>
  <c r="AH1135" i="1"/>
  <c r="Q1135" i="1"/>
  <c r="AH1134" i="1"/>
  <c r="Q1134" i="1"/>
  <c r="AH1133" i="1"/>
  <c r="Q1133" i="1"/>
  <c r="AH1132" i="1"/>
  <c r="Q1132" i="1"/>
  <c r="AH1131" i="1"/>
  <c r="Q1131" i="1"/>
  <c r="AH1130" i="1"/>
  <c r="Q1130" i="1"/>
  <c r="AH1129" i="1"/>
  <c r="Q1129" i="1"/>
  <c r="AH1128" i="1"/>
  <c r="Q1128" i="1"/>
  <c r="AH1127" i="1"/>
  <c r="Q1127" i="1"/>
  <c r="AH1126" i="1"/>
  <c r="Q1126" i="1"/>
  <c r="AH1125" i="1"/>
  <c r="Q1125" i="1"/>
  <c r="AH1124" i="1"/>
  <c r="Q1124" i="1"/>
  <c r="AH1123" i="1"/>
  <c r="Q1123" i="1"/>
  <c r="AH1122" i="1"/>
  <c r="Q1122" i="1"/>
  <c r="AH1121" i="1"/>
  <c r="Q1121" i="1"/>
  <c r="AH1120" i="1"/>
  <c r="Q1120" i="1"/>
  <c r="AH1119" i="1"/>
  <c r="Q1119" i="1"/>
  <c r="AH1118" i="1"/>
  <c r="Q1118" i="1"/>
  <c r="AH1117" i="1"/>
  <c r="Q1117" i="1"/>
  <c r="AH1116" i="1"/>
  <c r="Q1116" i="1"/>
  <c r="AH1115" i="1"/>
  <c r="Q1115" i="1"/>
  <c r="AH1114" i="1"/>
  <c r="Q1114" i="1"/>
  <c r="AH1113" i="1"/>
  <c r="Q1113" i="1"/>
  <c r="AH1112" i="1"/>
  <c r="Q1112" i="1"/>
  <c r="AH1111" i="1"/>
  <c r="Q1111" i="1"/>
  <c r="AH1110" i="1"/>
  <c r="Q1110" i="1"/>
  <c r="AH1109" i="1"/>
  <c r="Q1109" i="1"/>
  <c r="AH1108" i="1"/>
  <c r="Q1108" i="1"/>
  <c r="AH1107" i="1"/>
  <c r="Q1107" i="1"/>
  <c r="AH1106" i="1"/>
  <c r="Q1106" i="1"/>
  <c r="AH1105" i="1"/>
  <c r="Q1105" i="1"/>
  <c r="AH1104" i="1"/>
  <c r="Q1104" i="1"/>
  <c r="AH1103" i="1"/>
  <c r="Q1103" i="1"/>
  <c r="AH1102" i="1"/>
  <c r="Q1102" i="1"/>
  <c r="AH1101" i="1"/>
  <c r="Q1101" i="1"/>
  <c r="AH1100" i="1"/>
  <c r="Q1100" i="1"/>
  <c r="AH1099" i="1"/>
  <c r="Q1099" i="1"/>
  <c r="AH1098" i="1"/>
  <c r="Q1098" i="1"/>
  <c r="AH1097" i="1"/>
  <c r="Q1097" i="1"/>
  <c r="AH1096" i="1"/>
  <c r="Q1096" i="1"/>
  <c r="AH1095" i="1"/>
  <c r="Q1095" i="1"/>
  <c r="AH1094" i="1"/>
  <c r="Q1094" i="1"/>
  <c r="AH1093" i="1"/>
  <c r="Q1093" i="1"/>
  <c r="AH1092" i="1"/>
  <c r="Q1092" i="1"/>
  <c r="AH1091" i="1"/>
  <c r="Q1091" i="1"/>
  <c r="AH1090" i="1"/>
  <c r="Q1090" i="1"/>
  <c r="AH1089" i="1"/>
  <c r="Q1089" i="1"/>
  <c r="AH1088" i="1"/>
  <c r="Q1088" i="1"/>
  <c r="AH1087" i="1"/>
  <c r="Q1087" i="1"/>
  <c r="AH1086" i="1"/>
  <c r="Q1086" i="1"/>
  <c r="AH1085" i="1"/>
  <c r="Q1085" i="1"/>
  <c r="AH1084" i="1"/>
  <c r="Q1084" i="1"/>
  <c r="AH1083" i="1"/>
  <c r="Q1083" i="1"/>
  <c r="AH1082" i="1"/>
  <c r="Q1082" i="1"/>
  <c r="AH1081" i="1"/>
  <c r="Q1081" i="1"/>
  <c r="AH1080" i="1"/>
  <c r="Q1080" i="1"/>
  <c r="AH1079" i="1"/>
  <c r="Q1079" i="1"/>
  <c r="AH1078" i="1"/>
  <c r="Q1078" i="1"/>
  <c r="AH1077" i="1"/>
  <c r="Q1077" i="1"/>
  <c r="AH1076" i="1"/>
  <c r="Q1076" i="1"/>
  <c r="AH1075" i="1"/>
  <c r="Q1075" i="1"/>
  <c r="AH1074" i="1"/>
  <c r="Q1074" i="1"/>
  <c r="AH1073" i="1"/>
  <c r="Q1073" i="1"/>
  <c r="AH1072" i="1"/>
  <c r="Q1072" i="1"/>
  <c r="AH1071" i="1"/>
  <c r="Q1071" i="1"/>
  <c r="AH1070" i="1"/>
  <c r="Q1070" i="1"/>
  <c r="AH1069" i="1"/>
  <c r="Q1069" i="1"/>
  <c r="AH1068" i="1"/>
  <c r="Q1068" i="1"/>
  <c r="AH1067" i="1"/>
  <c r="Q1067" i="1"/>
  <c r="AH1066" i="1"/>
  <c r="Q1066" i="1"/>
  <c r="AH1065" i="1"/>
  <c r="Q1065" i="1"/>
  <c r="AH1064" i="1"/>
  <c r="Q1064" i="1"/>
  <c r="AH1063" i="1"/>
  <c r="Q1063" i="1"/>
  <c r="AH1062" i="1"/>
  <c r="Q1062" i="1"/>
  <c r="AH1061" i="1"/>
  <c r="Q1061" i="1"/>
  <c r="AH1060" i="1"/>
  <c r="Q1060" i="1"/>
  <c r="AH1059" i="1"/>
  <c r="Q1059" i="1"/>
  <c r="AH1058" i="1"/>
  <c r="Q1058" i="1"/>
  <c r="AH1057" i="1"/>
  <c r="Q1057" i="1"/>
  <c r="AH1056" i="1"/>
  <c r="Q1056" i="1"/>
  <c r="AH1055" i="1"/>
  <c r="Q1055" i="1"/>
  <c r="AH1054" i="1"/>
  <c r="Q1054" i="1"/>
  <c r="AH1053" i="1"/>
  <c r="Q1053" i="1"/>
  <c r="AH1052" i="1"/>
  <c r="Q1052" i="1"/>
  <c r="AH1051" i="1"/>
  <c r="Q1051" i="1"/>
  <c r="AH1050" i="1"/>
  <c r="Q1050" i="1"/>
  <c r="AH1049" i="1"/>
  <c r="Q1049" i="1"/>
  <c r="AH1048" i="1"/>
  <c r="Q1048" i="1"/>
  <c r="AH1047" i="1"/>
  <c r="Q1047" i="1"/>
  <c r="AH1046" i="1"/>
  <c r="Q1046" i="1"/>
  <c r="AH1045" i="1"/>
  <c r="Q1045" i="1"/>
  <c r="AH1044" i="1"/>
  <c r="Q1044" i="1"/>
  <c r="AH1043" i="1"/>
  <c r="Q1043" i="1"/>
  <c r="AH1042" i="1"/>
  <c r="Q1042" i="1"/>
  <c r="AH1041" i="1"/>
  <c r="Q1041" i="1"/>
  <c r="AH1040" i="1"/>
  <c r="Q1040" i="1"/>
  <c r="AH1039" i="1"/>
  <c r="Q1039" i="1"/>
  <c r="AH1038" i="1"/>
  <c r="Q1038" i="1"/>
  <c r="AH1037" i="1"/>
  <c r="Q1037" i="1"/>
  <c r="AH1036" i="1"/>
  <c r="Q1036" i="1"/>
  <c r="AH1035" i="1"/>
  <c r="Q1035" i="1"/>
  <c r="AH1034" i="1"/>
  <c r="Q1034" i="1"/>
  <c r="AH1033" i="1"/>
  <c r="Q1033" i="1"/>
  <c r="AH1032" i="1"/>
  <c r="Q1032" i="1"/>
  <c r="AH1031" i="1"/>
  <c r="Q1031" i="1"/>
  <c r="AH1030" i="1"/>
  <c r="Q1030" i="1"/>
  <c r="AH1029" i="1"/>
  <c r="Q1029" i="1"/>
  <c r="AH1028" i="1"/>
  <c r="Q1028" i="1"/>
  <c r="AH1027" i="1"/>
  <c r="Q1027" i="1"/>
  <c r="AH1026" i="1"/>
  <c r="Q1026" i="1"/>
  <c r="AH1025" i="1"/>
  <c r="Q1025" i="1"/>
  <c r="AH1024" i="1"/>
  <c r="Q1024" i="1"/>
  <c r="AH1023" i="1"/>
  <c r="Q1023" i="1"/>
  <c r="AH1022" i="1"/>
  <c r="Q1022" i="1"/>
  <c r="AH1021" i="1"/>
  <c r="Q1021" i="1"/>
  <c r="AH1020" i="1"/>
  <c r="Q1020" i="1"/>
  <c r="AH1019" i="1"/>
  <c r="Q1019" i="1"/>
  <c r="AH1018" i="1"/>
  <c r="Q1018" i="1"/>
  <c r="AH1017" i="1"/>
  <c r="Q1017" i="1"/>
  <c r="AH1016" i="1"/>
  <c r="Q1016" i="1"/>
  <c r="AH1015" i="1"/>
  <c r="Q1015" i="1"/>
  <c r="AH1014" i="1"/>
  <c r="Q1014" i="1"/>
  <c r="AH1013" i="1"/>
  <c r="Q1013" i="1"/>
  <c r="AH1012" i="1"/>
  <c r="Q1012" i="1"/>
  <c r="AH1011" i="1"/>
  <c r="Q1011" i="1"/>
  <c r="AH1010" i="1"/>
  <c r="Q1010" i="1"/>
  <c r="AH1009" i="1"/>
  <c r="Q1009" i="1"/>
  <c r="AH1008" i="1"/>
  <c r="Q1008" i="1"/>
  <c r="AH1007" i="1"/>
  <c r="Q1007" i="1"/>
  <c r="AH1006" i="1"/>
  <c r="Q1006" i="1"/>
  <c r="AH1005" i="1"/>
  <c r="Q1005" i="1"/>
  <c r="AH1004" i="1"/>
  <c r="Q1004" i="1"/>
  <c r="AH1003" i="1"/>
  <c r="Q1003" i="1"/>
  <c r="AH1002" i="1"/>
  <c r="Q1002" i="1"/>
  <c r="AH1001" i="1"/>
  <c r="Q1001" i="1"/>
  <c r="AH1000" i="1"/>
  <c r="Q1000" i="1"/>
  <c r="AH999" i="1"/>
  <c r="Q999" i="1"/>
  <c r="AH998" i="1"/>
  <c r="Q998" i="1"/>
  <c r="AH997" i="1"/>
  <c r="Q997" i="1"/>
  <c r="AH996" i="1"/>
  <c r="Q996" i="1"/>
  <c r="AH995" i="1"/>
  <c r="Q995" i="1"/>
  <c r="AH994" i="1"/>
  <c r="Q994" i="1"/>
  <c r="AH993" i="1"/>
  <c r="Q993" i="1"/>
  <c r="AH992" i="1"/>
  <c r="Q992" i="1"/>
  <c r="AH991" i="1"/>
  <c r="Q991" i="1"/>
  <c r="AH990" i="1"/>
  <c r="Q990" i="1"/>
  <c r="AH989" i="1"/>
  <c r="Q989" i="1"/>
  <c r="AH988" i="1"/>
  <c r="Q988" i="1"/>
  <c r="AH987" i="1"/>
  <c r="Q987" i="1"/>
  <c r="AH986" i="1"/>
  <c r="Q986" i="1"/>
  <c r="AH985" i="1"/>
  <c r="Q985" i="1"/>
  <c r="AH984" i="1"/>
  <c r="Q984" i="1"/>
  <c r="AH983" i="1"/>
  <c r="Q983" i="1"/>
  <c r="AH982" i="1"/>
  <c r="Q982" i="1"/>
  <c r="AH981" i="1"/>
  <c r="Q981" i="1"/>
  <c r="AH980" i="1"/>
  <c r="Q980" i="1"/>
  <c r="AH979" i="1"/>
  <c r="Q979" i="1"/>
  <c r="AH978" i="1"/>
  <c r="Q978" i="1"/>
  <c r="AH977" i="1"/>
  <c r="Q977" i="1"/>
  <c r="AH976" i="1"/>
  <c r="Q976" i="1"/>
  <c r="AH975" i="1"/>
  <c r="Q975" i="1"/>
  <c r="AH974" i="1"/>
  <c r="Q974" i="1"/>
  <c r="AH973" i="1"/>
  <c r="Q973" i="1"/>
  <c r="AH972" i="1"/>
  <c r="Q972" i="1"/>
  <c r="AH971" i="1"/>
  <c r="Q971" i="1"/>
  <c r="AH970" i="1"/>
  <c r="Q970" i="1"/>
  <c r="AH969" i="1"/>
  <c r="Q969" i="1"/>
  <c r="AH968" i="1"/>
  <c r="Q968" i="1"/>
  <c r="AH967" i="1"/>
  <c r="Q967" i="1"/>
  <c r="AH966" i="1"/>
  <c r="Q966" i="1"/>
  <c r="AH965" i="1"/>
  <c r="Q965" i="1"/>
  <c r="AH964" i="1"/>
  <c r="Q964" i="1"/>
  <c r="AH963" i="1"/>
  <c r="Q963" i="1"/>
  <c r="AH962" i="1"/>
  <c r="Q962" i="1"/>
  <c r="AH961" i="1"/>
  <c r="Q961" i="1"/>
  <c r="AH960" i="1"/>
  <c r="Q960" i="1"/>
  <c r="AH959" i="1"/>
  <c r="Q959" i="1"/>
  <c r="AH958" i="1"/>
  <c r="Q958" i="1"/>
  <c r="AH957" i="1"/>
  <c r="Q957" i="1"/>
  <c r="AH956" i="1"/>
  <c r="Q956" i="1"/>
  <c r="AH955" i="1"/>
  <c r="Q955" i="1"/>
  <c r="AH954" i="1"/>
  <c r="Q954" i="1"/>
  <c r="AH953" i="1"/>
  <c r="Q953" i="1"/>
  <c r="AH952" i="1"/>
  <c r="Q952" i="1"/>
  <c r="AH951" i="1"/>
  <c r="Q951" i="1"/>
  <c r="AH950" i="1"/>
  <c r="Q950" i="1"/>
  <c r="AH949" i="1"/>
  <c r="Q949" i="1"/>
  <c r="AH948" i="1"/>
  <c r="Q948" i="1"/>
  <c r="AH947" i="1"/>
  <c r="Q947" i="1"/>
  <c r="AH946" i="1"/>
  <c r="Q946" i="1"/>
  <c r="AH945" i="1"/>
  <c r="Q945" i="1"/>
  <c r="AH944" i="1"/>
  <c r="Q944" i="1"/>
  <c r="AH943" i="1"/>
  <c r="Q943" i="1"/>
  <c r="AH942" i="1"/>
  <c r="Q942" i="1"/>
  <c r="AH941" i="1"/>
  <c r="Q941" i="1"/>
  <c r="AH940" i="1"/>
  <c r="Q940" i="1"/>
  <c r="AH939" i="1"/>
  <c r="Q939" i="1"/>
  <c r="AH938" i="1"/>
  <c r="Q938" i="1"/>
  <c r="AH937" i="1"/>
  <c r="Q937" i="1"/>
  <c r="AH936" i="1"/>
  <c r="Q936" i="1"/>
  <c r="AH935" i="1"/>
  <c r="Q935" i="1"/>
  <c r="AH934" i="1"/>
  <c r="Q934" i="1"/>
  <c r="AH933" i="1"/>
  <c r="Q933" i="1"/>
  <c r="AH932" i="1"/>
  <c r="Q932" i="1"/>
  <c r="AH931" i="1"/>
  <c r="Q931" i="1"/>
  <c r="AH930" i="1"/>
  <c r="Q930" i="1"/>
  <c r="AH929" i="1"/>
  <c r="Q929" i="1"/>
  <c r="AH928" i="1"/>
  <c r="Q928" i="1"/>
  <c r="AH927" i="1"/>
  <c r="Q927" i="1"/>
  <c r="AH926" i="1"/>
  <c r="Q926" i="1"/>
  <c r="AH925" i="1"/>
  <c r="Q925" i="1"/>
  <c r="AH924" i="1"/>
  <c r="Q924" i="1"/>
  <c r="AH923" i="1"/>
  <c r="Q923" i="1"/>
  <c r="AH922" i="1"/>
  <c r="Q922" i="1"/>
  <c r="AH921" i="1"/>
  <c r="Q921" i="1"/>
  <c r="AH920" i="1"/>
  <c r="Q920" i="1"/>
  <c r="AH919" i="1"/>
  <c r="Q919" i="1"/>
  <c r="AH918" i="1"/>
  <c r="Q918" i="1"/>
  <c r="AH917" i="1"/>
  <c r="Q917" i="1"/>
  <c r="AH916" i="1"/>
  <c r="Q916" i="1"/>
  <c r="AH915" i="1"/>
  <c r="Q915" i="1"/>
  <c r="AH914" i="1"/>
  <c r="Q914" i="1"/>
  <c r="AH913" i="1"/>
  <c r="Q913" i="1"/>
  <c r="AH912" i="1"/>
  <c r="Q912" i="1"/>
  <c r="AH911" i="1"/>
  <c r="Q911" i="1"/>
  <c r="AH910" i="1"/>
  <c r="Q910" i="1"/>
  <c r="AH909" i="1"/>
  <c r="Q909" i="1"/>
  <c r="AH908" i="1"/>
  <c r="Q908" i="1"/>
  <c r="AH907" i="1"/>
  <c r="Q907" i="1"/>
  <c r="AH906" i="1"/>
  <c r="Q906" i="1"/>
  <c r="AH905" i="1"/>
  <c r="Q905" i="1"/>
  <c r="AH904" i="1"/>
  <c r="Q904" i="1"/>
  <c r="AH903" i="1"/>
  <c r="Q903" i="1"/>
  <c r="AH902" i="1"/>
  <c r="Q902" i="1"/>
  <c r="AH901" i="1"/>
  <c r="Q901" i="1"/>
  <c r="AH900" i="1"/>
  <c r="Q900" i="1"/>
  <c r="AH899" i="1"/>
  <c r="Q899" i="1"/>
  <c r="AH898" i="1"/>
  <c r="Q898" i="1"/>
  <c r="AH897" i="1"/>
  <c r="Q897" i="1"/>
  <c r="AH896" i="1"/>
  <c r="Q896" i="1"/>
  <c r="AH895" i="1"/>
  <c r="Q895" i="1"/>
  <c r="AH894" i="1"/>
  <c r="Q894" i="1"/>
  <c r="AH893" i="1"/>
  <c r="Q893" i="1"/>
  <c r="AH892" i="1"/>
  <c r="Q892" i="1"/>
  <c r="AH891" i="1"/>
  <c r="Q891" i="1"/>
  <c r="AH890" i="1"/>
  <c r="Q890" i="1"/>
  <c r="AH889" i="1"/>
  <c r="Q889" i="1"/>
  <c r="AH888" i="1"/>
  <c r="Q888" i="1"/>
  <c r="AH887" i="1"/>
  <c r="Q887" i="1"/>
  <c r="AH886" i="1"/>
  <c r="Q886" i="1"/>
  <c r="AH885" i="1"/>
  <c r="Q885" i="1"/>
  <c r="AH884" i="1"/>
  <c r="Q884" i="1"/>
  <c r="AH883" i="1"/>
  <c r="Q883" i="1"/>
  <c r="AH882" i="1"/>
  <c r="Q882" i="1"/>
  <c r="AH881" i="1"/>
  <c r="Q881" i="1"/>
  <c r="AH880" i="1"/>
  <c r="Q880" i="1"/>
  <c r="AH879" i="1"/>
  <c r="Q879" i="1"/>
  <c r="AH878" i="1"/>
  <c r="Q878" i="1"/>
  <c r="AH877" i="1"/>
  <c r="Q877" i="1"/>
  <c r="AH876" i="1"/>
  <c r="Q876" i="1"/>
  <c r="AH875" i="1"/>
  <c r="Q875" i="1"/>
  <c r="AH874" i="1"/>
  <c r="Q874" i="1"/>
  <c r="AH873" i="1"/>
  <c r="Q873" i="1"/>
  <c r="AH872" i="1"/>
  <c r="Q872" i="1"/>
  <c r="AH871" i="1"/>
  <c r="Q871" i="1"/>
  <c r="AH870" i="1"/>
  <c r="Q870" i="1"/>
  <c r="AH869" i="1"/>
  <c r="Q869" i="1"/>
  <c r="AH868" i="1"/>
  <c r="Q868" i="1"/>
  <c r="AH867" i="1"/>
  <c r="Q867" i="1"/>
  <c r="AH866" i="1"/>
  <c r="Q866" i="1"/>
  <c r="AH865" i="1"/>
  <c r="Q865" i="1"/>
  <c r="AH864" i="1"/>
  <c r="Q864" i="1"/>
  <c r="AH863" i="1"/>
  <c r="Q863" i="1"/>
  <c r="AH862" i="1"/>
  <c r="Q862" i="1"/>
  <c r="AH861" i="1"/>
  <c r="Q861" i="1"/>
  <c r="AH860" i="1"/>
  <c r="Q860" i="1"/>
  <c r="AH859" i="1"/>
  <c r="Q859" i="1"/>
  <c r="AH858" i="1"/>
  <c r="Q858" i="1"/>
  <c r="AH857" i="1"/>
  <c r="Q857" i="1"/>
  <c r="AH856" i="1"/>
  <c r="Q856" i="1"/>
  <c r="AH855" i="1"/>
  <c r="Q855" i="1"/>
  <c r="AH854" i="1"/>
  <c r="Q854" i="1"/>
  <c r="AH853" i="1"/>
  <c r="Q853" i="1"/>
  <c r="AH852" i="1"/>
  <c r="Q852" i="1"/>
  <c r="AH851" i="1"/>
  <c r="Q851" i="1"/>
  <c r="AH850" i="1"/>
  <c r="Q850" i="1"/>
  <c r="AH849" i="1"/>
  <c r="Q849" i="1"/>
  <c r="AH848" i="1"/>
  <c r="Q848" i="1"/>
  <c r="AH847" i="1"/>
  <c r="Q847" i="1"/>
  <c r="AH846" i="1"/>
  <c r="Q846" i="1"/>
  <c r="AH845" i="1"/>
  <c r="Q845" i="1"/>
  <c r="AH844" i="1"/>
  <c r="Q844" i="1"/>
  <c r="AH843" i="1"/>
  <c r="Q843" i="1"/>
  <c r="AH842" i="1"/>
  <c r="Q842" i="1"/>
  <c r="AH841" i="1"/>
  <c r="Q841" i="1"/>
  <c r="AH840" i="1"/>
  <c r="Q840" i="1"/>
  <c r="AH839" i="1"/>
  <c r="Q839" i="1"/>
  <c r="AH838" i="1"/>
  <c r="Q838" i="1"/>
  <c r="AH837" i="1"/>
  <c r="Q837" i="1"/>
  <c r="AH836" i="1"/>
  <c r="Q836" i="1"/>
  <c r="AH835" i="1"/>
  <c r="Q835" i="1"/>
  <c r="AH834" i="1"/>
  <c r="Q834" i="1"/>
  <c r="AH833" i="1"/>
  <c r="Q833" i="1"/>
  <c r="AH832" i="1"/>
  <c r="Q832" i="1"/>
  <c r="AH831" i="1"/>
  <c r="Q831" i="1"/>
  <c r="AH830" i="1"/>
  <c r="Q830" i="1"/>
  <c r="AH829" i="1"/>
  <c r="Q829" i="1"/>
  <c r="AH828" i="1"/>
  <c r="Q828" i="1"/>
  <c r="AH827" i="1"/>
  <c r="Q827" i="1"/>
  <c r="AH826" i="1"/>
  <c r="Q826" i="1"/>
  <c r="AH825" i="1"/>
  <c r="Q825" i="1"/>
  <c r="AH824" i="1"/>
  <c r="Q824" i="1"/>
  <c r="AH823" i="1"/>
  <c r="Q823" i="1"/>
  <c r="AH822" i="1"/>
  <c r="Q822" i="1"/>
  <c r="AH821" i="1"/>
  <c r="Q821" i="1"/>
  <c r="AH820" i="1"/>
  <c r="Q820" i="1"/>
  <c r="AH819" i="1"/>
  <c r="Q819" i="1"/>
  <c r="AH818" i="1"/>
  <c r="Q818" i="1"/>
  <c r="AH817" i="1"/>
  <c r="Q817" i="1"/>
  <c r="AH816" i="1"/>
  <c r="Q816" i="1"/>
  <c r="AH815" i="1"/>
  <c r="Q815" i="1"/>
  <c r="AH814" i="1"/>
  <c r="Q814" i="1"/>
  <c r="AH813" i="1"/>
  <c r="Q813" i="1"/>
  <c r="AH812" i="1"/>
  <c r="Q812" i="1"/>
  <c r="AH811" i="1"/>
  <c r="Q811" i="1"/>
  <c r="AH810" i="1"/>
  <c r="Q810" i="1"/>
  <c r="AH809" i="1"/>
  <c r="Q809" i="1"/>
  <c r="AH808" i="1"/>
  <c r="Q808" i="1"/>
  <c r="AH807" i="1"/>
  <c r="Q807" i="1"/>
  <c r="AH806" i="1"/>
  <c r="Q806" i="1"/>
  <c r="AH805" i="1"/>
  <c r="Q805" i="1"/>
  <c r="AH804" i="1"/>
  <c r="Q804" i="1"/>
  <c r="AH803" i="1"/>
  <c r="Q803" i="1"/>
  <c r="AH802" i="1"/>
  <c r="Q802" i="1"/>
  <c r="AH801" i="1"/>
  <c r="Q801" i="1"/>
  <c r="AH800" i="1"/>
  <c r="Q800" i="1"/>
  <c r="AH799" i="1"/>
  <c r="Q799" i="1"/>
  <c r="AH798" i="1"/>
  <c r="Q798" i="1"/>
  <c r="AH797" i="1"/>
  <c r="Q797" i="1"/>
  <c r="AH796" i="1"/>
  <c r="Q796" i="1"/>
  <c r="AH795" i="1"/>
  <c r="Q795" i="1"/>
  <c r="AH794" i="1"/>
  <c r="Q794" i="1"/>
  <c r="AH793" i="1"/>
  <c r="Q793" i="1"/>
  <c r="AH792" i="1"/>
  <c r="Q792" i="1"/>
  <c r="AH791" i="1"/>
  <c r="Q791" i="1"/>
  <c r="AH790" i="1"/>
  <c r="Q790" i="1"/>
  <c r="AH789" i="1"/>
  <c r="Q789" i="1"/>
  <c r="AH788" i="1"/>
  <c r="Q788" i="1"/>
  <c r="AH787" i="1"/>
  <c r="Q787" i="1"/>
  <c r="AH786" i="1"/>
  <c r="Q786" i="1"/>
  <c r="AH785" i="1"/>
  <c r="Q785" i="1"/>
  <c r="AH784" i="1"/>
  <c r="Q784" i="1"/>
  <c r="AH783" i="1"/>
  <c r="Q783" i="1"/>
  <c r="AH782" i="1"/>
  <c r="Q782" i="1"/>
  <c r="AH781" i="1"/>
  <c r="Q781" i="1"/>
  <c r="AH780" i="1"/>
  <c r="Q780" i="1"/>
  <c r="AH779" i="1"/>
  <c r="Q779" i="1"/>
  <c r="AH778" i="1"/>
  <c r="Q778" i="1"/>
  <c r="AH777" i="1"/>
  <c r="Q777" i="1"/>
  <c r="AH776" i="1"/>
  <c r="Q776" i="1"/>
  <c r="AH775" i="1"/>
  <c r="Q775" i="1"/>
  <c r="AH774" i="1"/>
  <c r="Q774" i="1"/>
  <c r="AH773" i="1"/>
  <c r="Q773" i="1"/>
  <c r="AH772" i="1"/>
  <c r="Q772" i="1"/>
  <c r="AH771" i="1"/>
  <c r="Q771" i="1"/>
  <c r="AH770" i="1"/>
  <c r="Q770" i="1"/>
  <c r="AH769" i="1"/>
  <c r="Q769" i="1"/>
  <c r="AH768" i="1"/>
  <c r="Q768" i="1"/>
  <c r="AH767" i="1"/>
  <c r="Q767" i="1"/>
  <c r="AH766" i="1"/>
  <c r="Q766" i="1"/>
  <c r="AH765" i="1"/>
  <c r="Q765" i="1"/>
  <c r="AH764" i="1"/>
  <c r="Q764" i="1"/>
  <c r="AH763" i="1"/>
  <c r="Q763" i="1"/>
  <c r="AH762" i="1"/>
  <c r="Q762" i="1"/>
  <c r="AH761" i="1"/>
  <c r="Q761" i="1"/>
  <c r="AH760" i="1"/>
  <c r="Q760" i="1"/>
  <c r="AH759" i="1"/>
  <c r="Q759" i="1"/>
  <c r="AH758" i="1"/>
  <c r="Q758" i="1"/>
  <c r="AH757" i="1"/>
  <c r="Q757" i="1"/>
  <c r="AH756" i="1"/>
  <c r="Q756" i="1"/>
  <c r="AH755" i="1"/>
  <c r="Q755" i="1"/>
  <c r="AH754" i="1"/>
  <c r="Q754" i="1"/>
  <c r="AH753" i="1"/>
  <c r="Q753" i="1"/>
  <c r="AH752" i="1"/>
  <c r="Q752" i="1"/>
  <c r="AH751" i="1"/>
  <c r="Q751" i="1"/>
  <c r="AH750" i="1"/>
  <c r="Q750" i="1"/>
  <c r="AH749" i="1"/>
  <c r="Q749" i="1"/>
  <c r="AH748" i="1"/>
  <c r="Q748" i="1"/>
  <c r="AH747" i="1"/>
  <c r="Q747" i="1"/>
  <c r="AH746" i="1"/>
  <c r="Q746" i="1"/>
  <c r="AH745" i="1"/>
  <c r="Q745" i="1"/>
  <c r="AH744" i="1"/>
  <c r="Q744" i="1"/>
  <c r="AH743" i="1"/>
  <c r="Q743" i="1"/>
  <c r="AH742" i="1"/>
  <c r="Q742" i="1"/>
  <c r="AH741" i="1"/>
  <c r="Q741" i="1"/>
  <c r="AH740" i="1"/>
  <c r="Q740" i="1"/>
  <c r="AH739" i="1"/>
  <c r="Q739" i="1"/>
  <c r="AH738" i="1"/>
  <c r="Q738" i="1"/>
  <c r="AH737" i="1"/>
  <c r="Q737" i="1"/>
  <c r="AH736" i="1"/>
  <c r="Q736" i="1"/>
  <c r="AH735" i="1"/>
  <c r="Q735" i="1"/>
  <c r="AH734" i="1"/>
  <c r="Q734" i="1"/>
  <c r="AH733" i="1"/>
  <c r="Q733" i="1"/>
  <c r="AH732" i="1"/>
  <c r="Q732" i="1"/>
  <c r="AH731" i="1"/>
  <c r="Q731" i="1"/>
  <c r="AH730" i="1"/>
  <c r="Q730" i="1"/>
  <c r="AH729" i="1"/>
  <c r="Q729" i="1"/>
  <c r="AH728" i="1"/>
  <c r="Q728" i="1"/>
  <c r="AH727" i="1"/>
  <c r="Q727" i="1"/>
  <c r="AH726" i="1"/>
  <c r="Q726" i="1"/>
  <c r="AH725" i="1"/>
  <c r="Q725" i="1"/>
  <c r="AH724" i="1"/>
  <c r="Q724" i="1"/>
  <c r="AH723" i="1"/>
  <c r="Q723" i="1"/>
  <c r="AH722" i="1"/>
  <c r="Q722" i="1"/>
  <c r="AH721" i="1"/>
  <c r="Q721" i="1"/>
  <c r="AH720" i="1"/>
  <c r="Q720" i="1"/>
  <c r="AH719" i="1"/>
  <c r="Q719" i="1"/>
  <c r="AH718" i="1"/>
  <c r="Q718" i="1"/>
  <c r="AH717" i="1"/>
  <c r="Q717" i="1"/>
  <c r="AH716" i="1"/>
  <c r="Q716" i="1"/>
  <c r="AH715" i="1"/>
  <c r="Q715" i="1"/>
  <c r="AH714" i="1"/>
  <c r="Q714" i="1"/>
  <c r="AH713" i="1"/>
  <c r="Q713" i="1"/>
  <c r="AH712" i="1"/>
  <c r="Q712" i="1"/>
  <c r="AH711" i="1"/>
  <c r="Q711" i="1"/>
  <c r="AH710" i="1"/>
  <c r="Q710" i="1"/>
  <c r="AH709" i="1"/>
  <c r="Q709" i="1"/>
  <c r="AH708" i="1"/>
  <c r="Q708" i="1"/>
  <c r="AH707" i="1"/>
  <c r="Q707" i="1"/>
  <c r="AH706" i="1"/>
  <c r="Q706" i="1"/>
  <c r="AH705" i="1"/>
  <c r="Q705" i="1"/>
  <c r="AH704" i="1"/>
  <c r="Q704" i="1"/>
  <c r="AH703" i="1"/>
  <c r="Q703" i="1"/>
  <c r="AH702" i="1"/>
  <c r="Q702" i="1"/>
  <c r="AH701" i="1"/>
  <c r="Q701" i="1"/>
  <c r="AH700" i="1"/>
  <c r="Q700" i="1"/>
  <c r="AH699" i="1"/>
  <c r="Q699" i="1"/>
  <c r="AH698" i="1"/>
  <c r="Q698" i="1"/>
  <c r="AH697" i="1"/>
  <c r="Q697" i="1"/>
  <c r="AH696" i="1"/>
  <c r="Q696" i="1"/>
  <c r="AH695" i="1"/>
  <c r="Q695" i="1"/>
  <c r="AH694" i="1"/>
  <c r="Q694" i="1"/>
  <c r="AH693" i="1"/>
  <c r="Q693" i="1"/>
  <c r="AH692" i="1"/>
  <c r="Q692" i="1"/>
  <c r="AH691" i="1"/>
  <c r="Q691" i="1"/>
  <c r="AH690" i="1"/>
  <c r="Q690" i="1"/>
  <c r="AH689" i="1"/>
  <c r="Q689" i="1"/>
  <c r="AH688" i="1"/>
  <c r="Q688" i="1"/>
  <c r="AH687" i="1"/>
  <c r="Q687" i="1"/>
  <c r="AH686" i="1"/>
  <c r="Q686" i="1"/>
  <c r="AH685" i="1"/>
  <c r="Q685" i="1"/>
  <c r="AH684" i="1"/>
  <c r="Q684" i="1"/>
  <c r="AH683" i="1"/>
  <c r="Q683" i="1"/>
  <c r="AH682" i="1"/>
  <c r="Q682" i="1"/>
  <c r="AH681" i="1"/>
  <c r="Q681" i="1"/>
  <c r="AH680" i="1"/>
  <c r="Q680" i="1"/>
  <c r="AH679" i="1"/>
  <c r="Q679" i="1"/>
  <c r="AH678" i="1"/>
  <c r="Q678" i="1"/>
  <c r="AH677" i="1"/>
  <c r="Q677" i="1"/>
  <c r="AH676" i="1"/>
  <c r="Q676" i="1"/>
  <c r="AH675" i="1"/>
  <c r="Q675" i="1"/>
  <c r="AH674" i="1"/>
  <c r="Q674" i="1"/>
  <c r="AH673" i="1"/>
  <c r="Q673" i="1"/>
  <c r="AH672" i="1"/>
  <c r="Q672" i="1"/>
  <c r="AH671" i="1"/>
  <c r="Q671" i="1"/>
  <c r="AH670" i="1"/>
  <c r="Q670" i="1"/>
  <c r="AH669" i="1"/>
  <c r="Q669" i="1"/>
  <c r="AH668" i="1"/>
  <c r="Q668" i="1"/>
  <c r="AH667" i="1"/>
  <c r="Q667" i="1"/>
  <c r="AH666" i="1"/>
  <c r="Q666" i="1"/>
  <c r="AH665" i="1"/>
  <c r="Q665" i="1"/>
  <c r="AH664" i="1"/>
  <c r="Q664" i="1"/>
  <c r="AH360" i="1" l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AH359" i="1" l="1"/>
  <c r="Q359" i="1"/>
  <c r="AH358" i="1"/>
  <c r="Q358" i="1"/>
  <c r="AH357" i="1"/>
  <c r="Q357" i="1"/>
  <c r="AH356" i="1"/>
  <c r="Q356" i="1"/>
  <c r="AH355" i="1"/>
  <c r="Q355" i="1"/>
  <c r="AH354" i="1"/>
  <c r="Q354" i="1"/>
  <c r="AH353" i="1"/>
  <c r="Q353" i="1"/>
  <c r="AH352" i="1"/>
  <c r="Q352" i="1"/>
  <c r="AH351" i="1"/>
  <c r="Q351" i="1"/>
  <c r="AH350" i="1"/>
  <c r="Q350" i="1"/>
  <c r="AH349" i="1"/>
  <c r="Q349" i="1"/>
  <c r="AH348" i="1"/>
  <c r="Q348" i="1"/>
  <c r="AH347" i="1"/>
  <c r="Q347" i="1"/>
  <c r="AH346" i="1"/>
  <c r="Q346" i="1"/>
  <c r="AH345" i="1"/>
  <c r="Q345" i="1"/>
  <c r="AH344" i="1"/>
  <c r="Q344" i="1"/>
  <c r="AH343" i="1"/>
  <c r="Q343" i="1"/>
  <c r="AH342" i="1"/>
  <c r="Q342" i="1"/>
  <c r="AH341" i="1"/>
  <c r="Q341" i="1"/>
  <c r="AH340" i="1"/>
  <c r="Q340" i="1"/>
  <c r="AH339" i="1"/>
  <c r="Q339" i="1"/>
  <c r="AH338" i="1"/>
  <c r="Q338" i="1"/>
  <c r="AH337" i="1"/>
  <c r="Q337" i="1"/>
  <c r="AH336" i="1"/>
  <c r="Q336" i="1"/>
  <c r="AH335" i="1"/>
  <c r="Q335" i="1"/>
  <c r="AH334" i="1"/>
  <c r="Q334" i="1"/>
  <c r="AH333" i="1"/>
  <c r="Q333" i="1"/>
  <c r="AH332" i="1"/>
  <c r="Q332" i="1"/>
  <c r="AH331" i="1"/>
  <c r="Q331" i="1"/>
  <c r="AH330" i="1"/>
  <c r="Q330" i="1"/>
  <c r="AH329" i="1"/>
  <c r="Q329" i="1"/>
  <c r="AH328" i="1"/>
  <c r="Q328" i="1"/>
  <c r="AH327" i="1"/>
  <c r="Q327" i="1"/>
  <c r="AH326" i="1"/>
  <c r="Q326" i="1"/>
  <c r="AH325" i="1"/>
  <c r="Q325" i="1"/>
  <c r="AH324" i="1"/>
  <c r="Q324" i="1"/>
  <c r="AH323" i="1"/>
  <c r="Q323" i="1"/>
  <c r="AH322" i="1"/>
  <c r="Q322" i="1"/>
  <c r="AH321" i="1"/>
  <c r="Q321" i="1"/>
  <c r="AH320" i="1"/>
  <c r="Q320" i="1"/>
  <c r="AH319" i="1"/>
  <c r="Q319" i="1"/>
  <c r="AH318" i="1"/>
  <c r="Q318" i="1"/>
  <c r="AH317" i="1"/>
  <c r="Q317" i="1"/>
  <c r="AH316" i="1"/>
  <c r="Q316" i="1"/>
  <c r="AH315" i="1"/>
  <c r="Q315" i="1"/>
  <c r="AH314" i="1"/>
  <c r="Q314" i="1"/>
  <c r="AH313" i="1"/>
  <c r="Q313" i="1"/>
  <c r="AH312" i="1"/>
  <c r="Q312" i="1"/>
  <c r="AH311" i="1"/>
  <c r="Q311" i="1"/>
  <c r="AH310" i="1"/>
  <c r="Q310" i="1"/>
  <c r="AH309" i="1"/>
  <c r="Q309" i="1"/>
  <c r="AH308" i="1"/>
  <c r="Q308" i="1"/>
  <c r="AH307" i="1"/>
  <c r="Q307" i="1"/>
  <c r="AH306" i="1"/>
  <c r="Q306" i="1"/>
  <c r="AH305" i="1"/>
  <c r="Q305" i="1"/>
  <c r="AH304" i="1"/>
  <c r="Q304" i="1"/>
  <c r="AH303" i="1"/>
  <c r="Q303" i="1"/>
  <c r="AH302" i="1"/>
  <c r="Q302" i="1"/>
  <c r="AH301" i="1"/>
  <c r="Q301" i="1"/>
  <c r="AH300" i="1"/>
  <c r="Q300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AH299" i="1"/>
  <c r="AH298" i="1"/>
  <c r="AH297" i="1"/>
  <c r="AH296" i="1"/>
  <c r="AH295" i="1"/>
  <c r="AH294" i="1"/>
  <c r="AH293" i="1"/>
  <c r="AH292" i="1"/>
  <c r="AH291" i="1"/>
  <c r="AH290" i="1"/>
  <c r="AH289" i="1"/>
  <c r="AH288" i="1"/>
  <c r="AH287" i="1"/>
  <c r="AH286" i="1"/>
  <c r="AH285" i="1"/>
  <c r="AH284" i="1"/>
  <c r="AH283" i="1"/>
  <c r="AH282" i="1"/>
  <c r="AH281" i="1"/>
  <c r="AH280" i="1"/>
  <c r="AH279" i="1"/>
  <c r="AH278" i="1"/>
  <c r="AH277" i="1"/>
  <c r="AH276" i="1"/>
  <c r="AH275" i="1"/>
  <c r="AH274" i="1"/>
  <c r="AH273" i="1"/>
  <c r="AH272" i="1"/>
  <c r="AH271" i="1"/>
  <c r="AH270" i="1"/>
  <c r="AH269" i="1"/>
  <c r="AH268" i="1"/>
  <c r="AH267" i="1"/>
  <c r="AH266" i="1"/>
  <c r="AH265" i="1"/>
  <c r="AH264" i="1"/>
  <c r="AH263" i="1"/>
  <c r="AH262" i="1"/>
  <c r="AH261" i="1"/>
  <c r="AH260" i="1"/>
  <c r="AH259" i="1"/>
  <c r="AH258" i="1"/>
  <c r="AH257" i="1"/>
  <c r="AH256" i="1"/>
  <c r="AH255" i="1"/>
  <c r="AH254" i="1"/>
  <c r="AH253" i="1"/>
  <c r="AH252" i="1"/>
  <c r="AH251" i="1"/>
  <c r="AH250" i="1"/>
  <c r="AH249" i="1"/>
  <c r="AH248" i="1"/>
  <c r="AH247" i="1"/>
  <c r="AH246" i="1"/>
  <c r="AH245" i="1"/>
  <c r="AH244" i="1"/>
  <c r="AH243" i="1"/>
  <c r="AH242" i="1"/>
  <c r="AH241" i="1"/>
  <c r="AH240" i="1"/>
  <c r="AH239" i="1"/>
  <c r="AH238" i="1"/>
  <c r="AH237" i="1"/>
  <c r="AH236" i="1"/>
  <c r="AH235" i="1"/>
  <c r="AH234" i="1"/>
  <c r="AH233" i="1"/>
  <c r="AH232" i="1"/>
  <c r="AH231" i="1"/>
  <c r="AH230" i="1"/>
  <c r="AH229" i="1"/>
  <c r="AH228" i="1"/>
  <c r="AH227" i="1"/>
  <c r="AH226" i="1"/>
  <c r="AH225" i="1"/>
  <c r="AH224" i="1"/>
  <c r="AH223" i="1"/>
  <c r="AH222" i="1"/>
  <c r="AH221" i="1"/>
  <c r="AH220" i="1"/>
  <c r="AH219" i="1"/>
  <c r="AH218" i="1"/>
  <c r="AH217" i="1"/>
  <c r="AH216" i="1"/>
  <c r="AH215" i="1"/>
  <c r="AH214" i="1"/>
  <c r="AH213" i="1"/>
  <c r="AH212" i="1"/>
  <c r="AH211" i="1"/>
  <c r="AH210" i="1"/>
  <c r="AH209" i="1"/>
  <c r="AH208" i="1"/>
  <c r="AH207" i="1"/>
  <c r="AH206" i="1"/>
  <c r="AH205" i="1"/>
  <c r="AH204" i="1"/>
  <c r="AH203" i="1"/>
  <c r="AH202" i="1"/>
  <c r="AH201" i="1"/>
  <c r="AH200" i="1"/>
  <c r="AH199" i="1"/>
  <c r="AH198" i="1"/>
  <c r="AH197" i="1"/>
  <c r="AH196" i="1"/>
  <c r="AH195" i="1"/>
  <c r="AH194" i="1"/>
  <c r="AH193" i="1"/>
  <c r="AH192" i="1"/>
  <c r="AH191" i="1"/>
  <c r="AH190" i="1"/>
  <c r="AH189" i="1"/>
  <c r="AH188" i="1"/>
  <c r="AH187" i="1"/>
  <c r="AH186" i="1"/>
  <c r="AH185" i="1"/>
  <c r="AH184" i="1"/>
  <c r="AH183" i="1"/>
  <c r="AH182" i="1"/>
  <c r="AH181" i="1"/>
  <c r="AH180" i="1"/>
  <c r="AH179" i="1"/>
  <c r="AH178" i="1"/>
  <c r="AH177" i="1"/>
  <c r="AH176" i="1"/>
  <c r="AH175" i="1"/>
  <c r="AH174" i="1"/>
  <c r="AH173" i="1"/>
  <c r="AH172" i="1"/>
  <c r="AH171" i="1"/>
  <c r="AH170" i="1"/>
  <c r="AH169" i="1"/>
  <c r="AH168" i="1"/>
  <c r="AH167" i="1"/>
  <c r="AH166" i="1"/>
  <c r="AH165" i="1"/>
  <c r="AH164" i="1"/>
  <c r="AH163" i="1"/>
  <c r="AH162" i="1"/>
  <c r="AH161" i="1"/>
  <c r="AH160" i="1"/>
  <c r="AH159" i="1"/>
  <c r="AH158" i="1"/>
  <c r="AH157" i="1"/>
  <c r="AH156" i="1"/>
  <c r="AH155" i="1"/>
  <c r="AH154" i="1"/>
  <c r="AH153" i="1"/>
  <c r="AH152" i="1"/>
  <c r="AH151" i="1"/>
  <c r="AH150" i="1"/>
  <c r="AH149" i="1"/>
  <c r="AH148" i="1"/>
  <c r="AH147" i="1"/>
  <c r="AH146" i="1"/>
  <c r="AH145" i="1"/>
  <c r="AH144" i="1"/>
  <c r="AH143" i="1"/>
  <c r="AH142" i="1"/>
  <c r="AH141" i="1"/>
  <c r="AH140" i="1"/>
  <c r="AH139" i="1"/>
  <c r="AH138" i="1"/>
  <c r="AH137" i="1"/>
  <c r="AH136" i="1"/>
  <c r="AH135" i="1"/>
  <c r="AH134" i="1"/>
  <c r="AH133" i="1"/>
  <c r="AH132" i="1"/>
  <c r="AH131" i="1"/>
  <c r="AH130" i="1"/>
  <c r="AH129" i="1"/>
  <c r="AH128" i="1"/>
  <c r="AH127" i="1"/>
  <c r="AH126" i="1"/>
  <c r="AH125" i="1"/>
  <c r="AH124" i="1"/>
  <c r="AH123" i="1"/>
  <c r="AH122" i="1"/>
  <c r="AH121" i="1"/>
  <c r="AH120" i="1"/>
  <c r="AH119" i="1"/>
  <c r="AH118" i="1"/>
  <c r="AH117" i="1"/>
  <c r="AH116" i="1"/>
  <c r="AH115" i="1"/>
  <c r="AH114" i="1"/>
  <c r="AH113" i="1"/>
  <c r="AH112" i="1"/>
  <c r="AH111" i="1"/>
  <c r="AH110" i="1"/>
  <c r="AH109" i="1"/>
  <c r="AH108" i="1"/>
  <c r="AH107" i="1"/>
  <c r="AH106" i="1"/>
  <c r="AH105" i="1"/>
  <c r="AH104" i="1"/>
  <c r="AH103" i="1"/>
  <c r="AH102" i="1"/>
  <c r="AH101" i="1"/>
  <c r="AH100" i="1"/>
  <c r="AH99" i="1"/>
  <c r="AH98" i="1"/>
  <c r="AH97" i="1"/>
  <c r="AH96" i="1"/>
  <c r="AH95" i="1"/>
  <c r="AH94" i="1"/>
  <c r="AH93" i="1"/>
  <c r="AH92" i="1"/>
  <c r="AH91" i="1"/>
  <c r="AH90" i="1"/>
  <c r="AH89" i="1"/>
  <c r="AH88" i="1"/>
  <c r="AH87" i="1"/>
  <c r="AH86" i="1"/>
  <c r="AH85" i="1"/>
  <c r="AH84" i="1"/>
  <c r="AH83" i="1"/>
  <c r="AH82" i="1"/>
  <c r="AH81" i="1"/>
  <c r="AH80" i="1"/>
  <c r="AH79" i="1"/>
  <c r="AH78" i="1"/>
  <c r="AH77" i="1"/>
  <c r="AH76" i="1"/>
  <c r="AH75" i="1"/>
  <c r="AH74" i="1"/>
  <c r="AH73" i="1"/>
  <c r="AH72" i="1"/>
  <c r="AH71" i="1"/>
  <c r="AH70" i="1"/>
  <c r="AH69" i="1"/>
  <c r="AH68" i="1"/>
  <c r="AH67" i="1"/>
  <c r="AH66" i="1"/>
  <c r="AH65" i="1"/>
  <c r="AH64" i="1"/>
  <c r="AH63" i="1"/>
  <c r="AH62" i="1"/>
  <c r="AH61" i="1"/>
  <c r="AH60" i="1"/>
  <c r="AH59" i="1"/>
  <c r="AH58" i="1"/>
  <c r="AH57" i="1"/>
  <c r="AH56" i="1"/>
  <c r="AH55" i="1"/>
  <c r="AH54" i="1"/>
  <c r="AH53" i="1"/>
  <c r="AH52" i="1"/>
  <c r="AH51" i="1"/>
  <c r="AH50" i="1"/>
  <c r="AH49" i="1"/>
  <c r="AH48" i="1"/>
  <c r="AH47" i="1"/>
  <c r="AH46" i="1"/>
  <c r="AH45" i="1"/>
  <c r="AH44" i="1"/>
  <c r="AH43" i="1"/>
  <c r="AH42" i="1"/>
  <c r="AH41" i="1"/>
  <c r="AH40" i="1"/>
  <c r="AH39" i="1"/>
  <c r="AH38" i="1"/>
  <c r="AH37" i="1"/>
  <c r="AH36" i="1"/>
  <c r="AH35" i="1"/>
  <c r="AH34" i="1"/>
  <c r="AH33" i="1"/>
  <c r="AH32" i="1"/>
  <c r="AH31" i="1"/>
  <c r="AH30" i="1"/>
  <c r="AH29" i="1"/>
  <c r="AH28" i="1"/>
  <c r="AH27" i="1"/>
  <c r="AH26" i="1"/>
  <c r="AH25" i="1"/>
  <c r="AH24" i="1"/>
  <c r="AH23" i="1"/>
  <c r="AH22" i="1"/>
  <c r="AH21" i="1"/>
  <c r="AH20" i="1"/>
  <c r="AH19" i="1"/>
  <c r="AH18" i="1"/>
  <c r="AH17" i="1"/>
  <c r="AH16" i="1"/>
  <c r="AH15" i="1"/>
  <c r="AH14" i="1"/>
  <c r="AH13" i="1"/>
  <c r="AH12" i="1"/>
  <c r="AH11" i="1"/>
  <c r="AH10" i="1"/>
  <c r="AH9" i="1"/>
  <c r="AH8" i="1"/>
  <c r="AH7" i="1"/>
  <c r="AH6" i="1"/>
  <c r="AH5" i="1"/>
  <c r="AH4" i="1"/>
  <c r="AH3" i="1"/>
  <c r="AH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tc={DFD3AA83-78AF-43C2-B74B-2727746C1CF6}</author>
  </authors>
  <commentList>
    <comment ref="Y1" authorId="0" shapeId="0" xr:uid="{DFD3AA83-78AF-43C2-B74B-2727746C1CF6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What do these yrd columns represent? 
Reply:
    yard (size of container)  </t>
      </text>
    </comment>
  </commentList>
</comments>
</file>

<file path=xl/sharedStrings.xml><?xml version="1.0" encoding="utf-8"?>
<sst xmlns="http://schemas.openxmlformats.org/spreadsheetml/2006/main" count="88108" uniqueCount="8633">
  <si>
    <t>Date</t>
  </si>
  <si>
    <t>Day</t>
  </si>
  <si>
    <t>Route</t>
  </si>
  <si>
    <t xml:space="preserve">Truck # </t>
  </si>
  <si>
    <t xml:space="preserve">Vehicle Type  </t>
  </si>
  <si>
    <t>Commodity</t>
  </si>
  <si>
    <t>Tipper</t>
  </si>
  <si>
    <t>Sequence #</t>
  </si>
  <si>
    <t>Address #</t>
  </si>
  <si>
    <t>Apt.#</t>
  </si>
  <si>
    <t>Street</t>
  </si>
  <si>
    <t>Even/Odd</t>
  </si>
  <si>
    <t xml:space="preserve">Meandor </t>
  </si>
  <si>
    <t>Inside/Curb</t>
  </si>
  <si>
    <t>Time(Sec)</t>
  </si>
  <si>
    <t>Blocktime</t>
  </si>
  <si>
    <t>#Units</t>
  </si>
  <si>
    <t>Number of Stops</t>
  </si>
  <si>
    <t>CCAN</t>
  </si>
  <si>
    <t>1 yrd</t>
  </si>
  <si>
    <t>1.5 yrd</t>
  </si>
  <si>
    <t>2 yrd</t>
  </si>
  <si>
    <t>3 yrd</t>
  </si>
  <si>
    <t>4 yrd</t>
  </si>
  <si>
    <t>5 yrd</t>
  </si>
  <si>
    <t>6 yrd</t>
  </si>
  <si>
    <t>Cardboard Box</t>
  </si>
  <si>
    <t>Trash Bags</t>
  </si>
  <si>
    <t>Total Volume</t>
  </si>
  <si>
    <t xml:space="preserve">Neighborhood </t>
  </si>
  <si>
    <t>Hill/Flat</t>
  </si>
  <si>
    <t xml:space="preserve">Street Sweepng </t>
  </si>
  <si>
    <t>Notes</t>
  </si>
  <si>
    <t>GlobalID</t>
  </si>
  <si>
    <t>x</t>
  </si>
  <si>
    <t>y</t>
  </si>
  <si>
    <t>Data Collector</t>
  </si>
  <si>
    <t>R-HEIL</t>
  </si>
  <si>
    <t>Compost</t>
  </si>
  <si>
    <t>Kearny</t>
  </si>
  <si>
    <t>C</t>
  </si>
  <si>
    <t>Dihya</t>
  </si>
  <si>
    <t>IC</t>
  </si>
  <si>
    <t>St. Geroge</t>
  </si>
  <si>
    <t>I</t>
  </si>
  <si>
    <t>Alley</t>
  </si>
  <si>
    <t>Bush</t>
  </si>
  <si>
    <t>Garage</t>
  </si>
  <si>
    <t>Grant</t>
  </si>
  <si>
    <t>Sutter</t>
  </si>
  <si>
    <t>Stockton</t>
  </si>
  <si>
    <t>Flat</t>
  </si>
  <si>
    <t>N</t>
  </si>
  <si>
    <t>Post</t>
  </si>
  <si>
    <t>Hill</t>
  </si>
  <si>
    <t>uphill</t>
  </si>
  <si>
    <t>California</t>
  </si>
  <si>
    <t>downhill</t>
  </si>
  <si>
    <t>Sansome</t>
  </si>
  <si>
    <t>300-320</t>
  </si>
  <si>
    <t>Battery</t>
  </si>
  <si>
    <t>Front</t>
  </si>
  <si>
    <t>Sacramento</t>
  </si>
  <si>
    <t>Lock</t>
  </si>
  <si>
    <t xml:space="preserve"> </t>
  </si>
  <si>
    <t>Commercial</t>
  </si>
  <si>
    <t>commercial</t>
  </si>
  <si>
    <t>Back into alley</t>
  </si>
  <si>
    <t>Clay</t>
  </si>
  <si>
    <t>Pine</t>
  </si>
  <si>
    <t xml:space="preserve">Bush </t>
  </si>
  <si>
    <t>Montgomery</t>
  </si>
  <si>
    <t>Leisdroff</t>
  </si>
  <si>
    <t>Market</t>
  </si>
  <si>
    <t>Geary</t>
  </si>
  <si>
    <t xml:space="preserve">Powell </t>
  </si>
  <si>
    <t>HILL</t>
  </si>
  <si>
    <t>Gueri</t>
  </si>
  <si>
    <t>Maiden Lane</t>
  </si>
  <si>
    <t>38,39,35</t>
  </si>
  <si>
    <t>Tillman</t>
  </si>
  <si>
    <t>Claude</t>
  </si>
  <si>
    <t>Belden</t>
  </si>
  <si>
    <t>Alley back, lock</t>
  </si>
  <si>
    <t>Anson</t>
  </si>
  <si>
    <t>570/580</t>
  </si>
  <si>
    <t>Starbucks</t>
  </si>
  <si>
    <t>360-320</t>
  </si>
  <si>
    <t>Drumm</t>
  </si>
  <si>
    <t>220/218</t>
  </si>
  <si>
    <t>Garbage/Recycle</t>
  </si>
  <si>
    <t>Leavenworth</t>
  </si>
  <si>
    <t>Tenderloin</t>
  </si>
  <si>
    <t>Norma</t>
  </si>
  <si>
    <t>Eddy</t>
  </si>
  <si>
    <t>Y</t>
  </si>
  <si>
    <t>Turk</t>
  </si>
  <si>
    <t xml:space="preserve">Shannon </t>
  </si>
  <si>
    <t>O'Farrell</t>
  </si>
  <si>
    <t>Colin</t>
  </si>
  <si>
    <t>Ellis</t>
  </si>
  <si>
    <t>Taylor</t>
  </si>
  <si>
    <t xml:space="preserve">Mason </t>
  </si>
  <si>
    <t>Jones</t>
  </si>
  <si>
    <t>Garbage/Compost</t>
  </si>
  <si>
    <t>Gilbert</t>
  </si>
  <si>
    <t xml:space="preserve">Bryant </t>
  </si>
  <si>
    <t>Folsom</t>
  </si>
  <si>
    <t>8th Street</t>
  </si>
  <si>
    <t xml:space="preserve">Taylor </t>
  </si>
  <si>
    <t xml:space="preserve">Post </t>
  </si>
  <si>
    <t>501/545</t>
  </si>
  <si>
    <t>S-HEIL</t>
  </si>
  <si>
    <t>Steiner</t>
  </si>
  <si>
    <t>Even</t>
  </si>
  <si>
    <t>Service through garage, garage door does not work, had to wait for customer to come down to open door, stairs</t>
  </si>
  <si>
    <t>Cameron</t>
  </si>
  <si>
    <t>16 gal toter causes issues for the driver because they do not stay on tipper properly</t>
  </si>
  <si>
    <t>2854/2856</t>
  </si>
  <si>
    <t>Green</t>
  </si>
  <si>
    <t>Service on Steiner, Locked door, 40 ft walkway</t>
  </si>
  <si>
    <t>Locked door, small stair, 30 ft walkway</t>
  </si>
  <si>
    <t>Locked door, 2 sets of stairs, 30 ft walkway</t>
  </si>
  <si>
    <t>2952-2948</t>
  </si>
  <si>
    <t>Steiner &amp; Union</t>
  </si>
  <si>
    <t>City can</t>
  </si>
  <si>
    <t>3000/2298</t>
  </si>
  <si>
    <t>Steiner/Union</t>
  </si>
  <si>
    <t>3012A</t>
  </si>
  <si>
    <t>Locked door, 20 ft walkway</t>
  </si>
  <si>
    <t>3018/3022</t>
  </si>
  <si>
    <t>3032/3030/3036</t>
  </si>
  <si>
    <t>3042A-3044</t>
  </si>
  <si>
    <t>Locked door, narrow hallway, stairs, hose is always in drivers way of servicing, no light</t>
  </si>
  <si>
    <t>3122-3126</t>
  </si>
  <si>
    <t>3130-3144</t>
  </si>
  <si>
    <t>3148-3150</t>
  </si>
  <si>
    <t>3218-3224A</t>
  </si>
  <si>
    <t>Locked door, slight incline</t>
  </si>
  <si>
    <t>Construction equipment ini the way of servicing</t>
  </si>
  <si>
    <t>3253-3245</t>
  </si>
  <si>
    <t>Odd</t>
  </si>
  <si>
    <t>3239-3241</t>
  </si>
  <si>
    <t>3157-3151</t>
  </si>
  <si>
    <t>3145-3125</t>
  </si>
  <si>
    <t>3121-3123/2308-2316</t>
  </si>
  <si>
    <t>Steiner/Filbert</t>
  </si>
  <si>
    <t>Locked door, 15 ft walkway, gate with code at filbert address, 40 ft walkway at filbert address</t>
  </si>
  <si>
    <t>Filbert</t>
  </si>
  <si>
    <t>Locked door</t>
  </si>
  <si>
    <t>Steiner &amp; Filbert</t>
  </si>
  <si>
    <t>city can x2</t>
  </si>
  <si>
    <t>3065-3063</t>
  </si>
  <si>
    <t>3053-3035</t>
  </si>
  <si>
    <t>Narrow, 100 ft walkway</t>
  </si>
  <si>
    <t>Locked door, stairs</t>
  </si>
  <si>
    <t>Union</t>
  </si>
  <si>
    <t>Service through garage with 30 ft walkway</t>
  </si>
  <si>
    <t>Service through garage with 40 ft walkway</t>
  </si>
  <si>
    <t>2368-2370</t>
  </si>
  <si>
    <t>Locked door, small stair, had to pull recycle out to service garbage</t>
  </si>
  <si>
    <t>Locked door, slight incline in driveway, 40 ft walkway</t>
  </si>
  <si>
    <t xml:space="preserve">Green </t>
  </si>
  <si>
    <t>Locked door, 40 ft walkway</t>
  </si>
  <si>
    <t>2550-2562</t>
  </si>
  <si>
    <t>?</t>
  </si>
  <si>
    <t>2636/2640</t>
  </si>
  <si>
    <t>2660/2670</t>
  </si>
  <si>
    <t>2680-2686</t>
  </si>
  <si>
    <t>2675-2633/2761</t>
  </si>
  <si>
    <t>Green/Divisadero</t>
  </si>
  <si>
    <t>Driver had call from work (2 min), service 2761 Divisadero on Green St</t>
  </si>
  <si>
    <t>2559-2761</t>
  </si>
  <si>
    <t>Green/Scott</t>
  </si>
  <si>
    <t>Spoke with other driver, service 2761 scott on Green St</t>
  </si>
  <si>
    <t>Scott</t>
  </si>
  <si>
    <t>Toters 15 ft up driveway</t>
  </si>
  <si>
    <t>2355-2365</t>
  </si>
  <si>
    <t>Locked door, 1 stair, 40 ft walkway</t>
  </si>
  <si>
    <t>2347-2341</t>
  </si>
  <si>
    <t>Union &amp; Steiner</t>
  </si>
  <si>
    <t>2859-2815</t>
  </si>
  <si>
    <t>Locked door, small stair, 20 ft walkway</t>
  </si>
  <si>
    <t>Locked door, 40 ft walkway, 1 stair</t>
  </si>
  <si>
    <t>2755-2790</t>
  </si>
  <si>
    <t>Broadway</t>
  </si>
  <si>
    <t>Service on Steiner</t>
  </si>
  <si>
    <t>20+ stairs, Locked door, second door to toters</t>
  </si>
  <si>
    <t>2425-2409</t>
  </si>
  <si>
    <t>Steep hill</t>
  </si>
  <si>
    <t>2405-2401</t>
  </si>
  <si>
    <t>Locked door, large step</t>
  </si>
  <si>
    <t>Pierce</t>
  </si>
  <si>
    <t>Service on Green, locked door, 1 stair, traffic because school, 20 ft walkway</t>
  </si>
  <si>
    <t>2373-2301</t>
  </si>
  <si>
    <t>Driver had to use stick to get compost unstuck @2373, condensed into 1 16 gal</t>
  </si>
  <si>
    <t>2319/2327</t>
  </si>
  <si>
    <t>Garbage toters already pulled out, Locked door, 1 stair, 25 ft walkway</t>
  </si>
  <si>
    <t>Locked door, 50 ft walkway, stair</t>
  </si>
  <si>
    <t>Locked door, stairs, 50 ft walkway</t>
  </si>
  <si>
    <t>2901-2925</t>
  </si>
  <si>
    <t>Locked door, 2 stairs, 2nd door, blocked by car - could not service</t>
  </si>
  <si>
    <t>2845-2839</t>
  </si>
  <si>
    <t>250 ft walkway @2839, very steep, long driveway with incline, stairs, 60 ft walkway at 2845</t>
  </si>
  <si>
    <t>2408-2488</t>
  </si>
  <si>
    <t>Extra bag, Steep street</t>
  </si>
  <si>
    <t>Locked door, 30 ft walkway</t>
  </si>
  <si>
    <t>Service through garage, 30 ft walkway</t>
  </si>
  <si>
    <t>3140/3190</t>
  </si>
  <si>
    <t>Service through garage @3140, 60 ft walkway @3140, Locked door @ 3190 plus second door</t>
  </si>
  <si>
    <t>Lombard</t>
  </si>
  <si>
    <t>Service through garage, 2nd door, lots of cardboard in the way of servicing toters</t>
  </si>
  <si>
    <t>2514-2590</t>
  </si>
  <si>
    <t>Greenwich</t>
  </si>
  <si>
    <t>2524-2528</t>
  </si>
  <si>
    <t>Locked door, 2nd door, 40 ft walkway</t>
  </si>
  <si>
    <t>Locked door, pulled recycle out</t>
  </si>
  <si>
    <t>2610-2690</t>
  </si>
  <si>
    <t>Locked door, 1 step</t>
  </si>
  <si>
    <t>2708-2780</t>
  </si>
  <si>
    <t>Broderick</t>
  </si>
  <si>
    <t>Service on Greenwich, gate, 20 ft to garbage toter</t>
  </si>
  <si>
    <t>2804-2862</t>
  </si>
  <si>
    <t>Locked gate, service through garage</t>
  </si>
  <si>
    <t>Totes already pulled to curb</t>
  </si>
  <si>
    <t>2820-2860</t>
  </si>
  <si>
    <t>2849-2803</t>
  </si>
  <si>
    <t>Had to wait for car to move (30 sec)</t>
  </si>
  <si>
    <t>Garbage toters already pulled to curb</t>
  </si>
  <si>
    <t>2775-2717</t>
  </si>
  <si>
    <t>2695-2601</t>
  </si>
  <si>
    <t>Spoke with customer (30 sec)</t>
  </si>
  <si>
    <t>2595-2519</t>
  </si>
  <si>
    <t>Service on Greenwich, locked door</t>
  </si>
  <si>
    <t>Divisadero &amp; Lombard</t>
  </si>
  <si>
    <t>Put cans out late</t>
  </si>
  <si>
    <t>Waited a min for car backing out, 2690 - driver had to put can back inside, locked door, cans already pulled to curb</t>
  </si>
  <si>
    <t>30 ft walkway, only 1 bag serviced</t>
  </si>
  <si>
    <t>2700-2790</t>
  </si>
  <si>
    <t>Driver throws bags into truck from 16 gal because the tipper does not work well with 16 gal toters</t>
  </si>
  <si>
    <t>2772/2770</t>
  </si>
  <si>
    <t>Locked door, narrow, 15 ft walkway</t>
  </si>
  <si>
    <t>Locked door, stairs, 20 ft walkway</t>
  </si>
  <si>
    <t>2857-2829</t>
  </si>
  <si>
    <t>2760-2869</t>
  </si>
  <si>
    <t>Filbert/Broderick</t>
  </si>
  <si>
    <t>Locked door, empty toters</t>
  </si>
  <si>
    <t>2699-2601</t>
  </si>
  <si>
    <t>Driver condensed totes</t>
  </si>
  <si>
    <t>Service on Filbert, cars blocking</t>
  </si>
  <si>
    <t>40 ft to totes, locked door</t>
  </si>
  <si>
    <t>Service on Greenwich, 20 ft to totes</t>
  </si>
  <si>
    <t>Service on Greenwich, 30 ft to totes</t>
  </si>
  <si>
    <t>Tag from yesterday</t>
  </si>
  <si>
    <t>Service on Divisadero, locked door, 2 steps, 40 ft to totes</t>
  </si>
  <si>
    <t>Service on Broderick, 50 ft to totes, locked door</t>
  </si>
  <si>
    <t>Divisadero</t>
  </si>
  <si>
    <t>Service on Filbert, locked door</t>
  </si>
  <si>
    <t>Locked door, 2 stairs, car blocking, long walkway</t>
  </si>
  <si>
    <t>Locked door, 20 ft to totes</t>
  </si>
  <si>
    <t>Tote fell off tipper, Service through the garage, steep driveway, 2nd door to trash</t>
  </si>
  <si>
    <t>Service through garage with code</t>
  </si>
  <si>
    <t>Locked door, 1 stair</t>
  </si>
  <si>
    <t>Service through garage</t>
  </si>
  <si>
    <t>Serviced 3/5 64 gal totes</t>
  </si>
  <si>
    <t>Driver had to call to have gate openned, 50 ft driveway to totes</t>
  </si>
  <si>
    <t>Service through garage with code, steep driveway, 50 ft to totes, condensed into 96 gal</t>
  </si>
  <si>
    <t>2445/2443</t>
  </si>
  <si>
    <t>25+ stairs, condensed into 96 gal tote</t>
  </si>
  <si>
    <t>Locked door, pulled bag out of tote rather than tipping</t>
  </si>
  <si>
    <t>2419-2415</t>
  </si>
  <si>
    <t>2407/2409</t>
  </si>
  <si>
    <t>Service through garage with code, 2nd door to trash, 30 ft to totes</t>
  </si>
  <si>
    <t>Locked door, 2nd door, 30 ft to toes, helped customer</t>
  </si>
  <si>
    <t>2320-2328</t>
  </si>
  <si>
    <t>Service through garage with code, 20 ft to totes, steep</t>
  </si>
  <si>
    <t>2374-2380</t>
  </si>
  <si>
    <t>Serviced through garage with code, Locked door, 20 ft to totes with slight incline, stairs as well</t>
  </si>
  <si>
    <t>Locked door, around 10 stairs, narrow, stairs blocked with recycle bins</t>
  </si>
  <si>
    <t>2825/2827</t>
  </si>
  <si>
    <t>2815/2817</t>
  </si>
  <si>
    <t>Dummy lock, pulled recycle out</t>
  </si>
  <si>
    <t>2826/2824</t>
  </si>
  <si>
    <t>2834-2840</t>
  </si>
  <si>
    <t>Condensed 16 gal into 96</t>
  </si>
  <si>
    <t>Locked door, 1/2 64 gal serviced</t>
  </si>
  <si>
    <t>2932-2946</t>
  </si>
  <si>
    <t>3008-3012</t>
  </si>
  <si>
    <t>Totes behind gate, stairs, totes under stairs - hard to reach</t>
  </si>
  <si>
    <t>3014-3024</t>
  </si>
  <si>
    <t>3036-3040</t>
  </si>
  <si>
    <t>3042-3050</t>
  </si>
  <si>
    <t>Locked door, 25 ft to totes</t>
  </si>
  <si>
    <t>Service through garage with code, steep driveway, 25 ft to totes</t>
  </si>
  <si>
    <t>Locked door, around 9 stairs, 50 ft to totes</t>
  </si>
  <si>
    <t>Locked door, 30 ft to totes, stairs</t>
  </si>
  <si>
    <t>3000/2370</t>
  </si>
  <si>
    <t>Pierce/Filbert</t>
  </si>
  <si>
    <t>Service through garage, 10+ steps, narrow</t>
  </si>
  <si>
    <t>2955-2953</t>
  </si>
  <si>
    <t>2931-2937</t>
  </si>
  <si>
    <t>2929-2927</t>
  </si>
  <si>
    <t>2414-2424</t>
  </si>
  <si>
    <t>Locked door, pulled recycle to curb because totes in way</t>
  </si>
  <si>
    <t>Current tote needs to be replaced with 32 gal</t>
  </si>
  <si>
    <t>12+ Stairs, Locked door, 2 doors to service</t>
  </si>
  <si>
    <t>Locked door, 40 ft to totes</t>
  </si>
  <si>
    <t>70 ft to totes, stairs</t>
  </si>
  <si>
    <t>2480/2480A</t>
  </si>
  <si>
    <t>20 ft to totes, totes behind gate</t>
  </si>
  <si>
    <t>Gate with code, steep driveway, stairs, 70 ft to totes</t>
  </si>
  <si>
    <t>2673-2667</t>
  </si>
  <si>
    <t>Service through garage with code, locked door, stairs, 100 ft to totes</t>
  </si>
  <si>
    <t>Locked door, pulled recycle out because in the way, empty 32 gal</t>
  </si>
  <si>
    <t>2645-2639</t>
  </si>
  <si>
    <t>2629-2621</t>
  </si>
  <si>
    <t>Locked gate</t>
  </si>
  <si>
    <t xml:space="preserve">Locked door, service through garage </t>
  </si>
  <si>
    <t>Locked door, 2nd door to totes</t>
  </si>
  <si>
    <t>Lyon</t>
  </si>
  <si>
    <t>Other driver pulled totes to curb, 1 step</t>
  </si>
  <si>
    <t>2938-2936</t>
  </si>
  <si>
    <t>Service on Lyon</t>
  </si>
  <si>
    <t>3040-3050</t>
  </si>
  <si>
    <t>Chestnut</t>
  </si>
  <si>
    <t>Service on Lyon, locked door, 1 stair, 30 ft to totes</t>
  </si>
  <si>
    <t>2655-2645</t>
  </si>
  <si>
    <t>2627-2635</t>
  </si>
  <si>
    <t>3039-3035</t>
  </si>
  <si>
    <t>Baker Ct</t>
  </si>
  <si>
    <t>Service through garage, 50 ft to totes, 3035 address could not be accessed</t>
  </si>
  <si>
    <t>145-155</t>
  </si>
  <si>
    <t>Richardson</t>
  </si>
  <si>
    <t>2616-2622</t>
  </si>
  <si>
    <t>Can pulled to curb by other driver, 50 ft to totes</t>
  </si>
  <si>
    <t>12+ stairs, locked door</t>
  </si>
  <si>
    <t>Totes behind gate, narrow</t>
  </si>
  <si>
    <t>Totes pulled to curb already, service on Lyon, locked door</t>
  </si>
  <si>
    <t>2812-2822</t>
  </si>
  <si>
    <t>2830-2832</t>
  </si>
  <si>
    <t>2755-2743</t>
  </si>
  <si>
    <t>2665/2801</t>
  </si>
  <si>
    <t>Baker/Union</t>
  </si>
  <si>
    <t>Service on Baker, Steep</t>
  </si>
  <si>
    <t>2651-2645</t>
  </si>
  <si>
    <t>Steep</t>
  </si>
  <si>
    <t>Steep, service on Baker, 10 stairs</t>
  </si>
  <si>
    <t>Driver catching up on routeware, steep</t>
  </si>
  <si>
    <t>Can already pulled to curb, service through garage with code</t>
  </si>
  <si>
    <t>Steep, extra tipping due to wet leaves in tote</t>
  </si>
  <si>
    <t>Steep, Locked door, service through garage, totes already at curb</t>
  </si>
  <si>
    <t>2722-2724</t>
  </si>
  <si>
    <t>Locked door, narrow, 30 ft to totes</t>
  </si>
  <si>
    <t>2728-2734</t>
  </si>
  <si>
    <t>Driver condensed into 96 gal</t>
  </si>
  <si>
    <t>2754-2756</t>
  </si>
  <si>
    <t>2730-2732</t>
  </si>
  <si>
    <t>2758-2760</t>
  </si>
  <si>
    <t>2768-2766</t>
  </si>
  <si>
    <t>Locked door, 10 stairs, totes behind gate, 20 ft to totes, narrow</t>
  </si>
  <si>
    <t>2770-2790</t>
  </si>
  <si>
    <t>2800-2828</t>
  </si>
  <si>
    <t>2838-2840</t>
  </si>
  <si>
    <t>2880/2600</t>
  </si>
  <si>
    <t>Green/Lyon</t>
  </si>
  <si>
    <t>Service on Green</t>
  </si>
  <si>
    <t>Condensed into two 32 gal</t>
  </si>
  <si>
    <t>2625-2637</t>
  </si>
  <si>
    <t>Totes already pulled to curb, had to bring totes behind house, 100 ft to totes</t>
  </si>
  <si>
    <t>2550-2525</t>
  </si>
  <si>
    <t>Dead end loop on Lyon, one city can, condensed into 96, Steep, hill</t>
  </si>
  <si>
    <t>2887-2873</t>
  </si>
  <si>
    <t>2867-2869</t>
  </si>
  <si>
    <t>2845-2829</t>
  </si>
  <si>
    <t>2805-2801</t>
  </si>
  <si>
    <t xml:space="preserve">Service through garage with code, 2nd door, condensed </t>
  </si>
  <si>
    <t>1 step, 50 ft to totes, locked door</t>
  </si>
  <si>
    <t>F-HEIL</t>
  </si>
  <si>
    <t>Brannan</t>
  </si>
  <si>
    <t>alley</t>
  </si>
  <si>
    <t>2nd Street</t>
  </si>
  <si>
    <t>Townsend</t>
  </si>
  <si>
    <t>traffic</t>
  </si>
  <si>
    <t>Harrison</t>
  </si>
  <si>
    <t>Spear</t>
  </si>
  <si>
    <t>Martime</t>
  </si>
  <si>
    <t>Embarcadero</t>
  </si>
  <si>
    <t>Fremont</t>
  </si>
  <si>
    <t>St. Francis</t>
  </si>
  <si>
    <t>3rd Street</t>
  </si>
  <si>
    <t>6th Street</t>
  </si>
  <si>
    <t>Howard</t>
  </si>
  <si>
    <t>c</t>
  </si>
  <si>
    <t>Main</t>
  </si>
  <si>
    <t>Mission</t>
  </si>
  <si>
    <t>Building</t>
  </si>
  <si>
    <t>Treausre Island</t>
  </si>
  <si>
    <t xml:space="preserve">Tehama </t>
  </si>
  <si>
    <t>Hawthorne</t>
  </si>
  <si>
    <t>New Montgomery</t>
  </si>
  <si>
    <t>ic</t>
  </si>
  <si>
    <t xml:space="preserve">alley </t>
  </si>
  <si>
    <t>call</t>
  </si>
  <si>
    <t>1st Street</t>
  </si>
  <si>
    <t>wait for security</t>
  </si>
  <si>
    <t>back into</t>
  </si>
  <si>
    <t>4th Street</t>
  </si>
  <si>
    <t>Powell</t>
  </si>
  <si>
    <t>Yerba Buena</t>
  </si>
  <si>
    <t>Call</t>
  </si>
  <si>
    <t xml:space="preserve">keys and call </t>
  </si>
  <si>
    <t>i</t>
  </si>
  <si>
    <t>elevator</t>
  </si>
  <si>
    <t>n</t>
  </si>
  <si>
    <t>Polk</t>
  </si>
  <si>
    <t>Van Ness Ave</t>
  </si>
  <si>
    <t>turk</t>
  </si>
  <si>
    <t>Golden Gate Ave</t>
  </si>
  <si>
    <t>back into garage</t>
  </si>
  <si>
    <t>434/432</t>
  </si>
  <si>
    <t>Larkin</t>
  </si>
  <si>
    <t>501/565/535</t>
  </si>
  <si>
    <t>car blocking</t>
  </si>
  <si>
    <t>construction alley</t>
  </si>
  <si>
    <t>alley walk</t>
  </si>
  <si>
    <t>garage car</t>
  </si>
  <si>
    <t>apt</t>
  </si>
  <si>
    <t>672/676/678/679/675</t>
  </si>
  <si>
    <t>3 apt</t>
  </si>
  <si>
    <t>431/435</t>
  </si>
  <si>
    <t>Grove</t>
  </si>
  <si>
    <t>McAllister</t>
  </si>
  <si>
    <t>back in to gargae and wait for it to close</t>
  </si>
  <si>
    <t>cars</t>
  </si>
  <si>
    <t>extras</t>
  </si>
  <si>
    <t>Concert</t>
  </si>
  <si>
    <t>Garbage</t>
  </si>
  <si>
    <t>city cans</t>
  </si>
  <si>
    <t>two alleys</t>
  </si>
  <si>
    <t>Cyril</t>
  </si>
  <si>
    <t xml:space="preserve">city </t>
  </si>
  <si>
    <t>00</t>
  </si>
  <si>
    <t xml:space="preserve">Geary </t>
  </si>
  <si>
    <t xml:space="preserve">ellis </t>
  </si>
  <si>
    <t>3 containers, one 1/2 yrd</t>
  </si>
  <si>
    <t>2 yd container and back into hotel</t>
  </si>
  <si>
    <t xml:space="preserve">back into alley </t>
  </si>
  <si>
    <t>2nd</t>
  </si>
  <si>
    <t xml:space="preserve">3 city cans + back into alley </t>
  </si>
  <si>
    <t xml:space="preserve">macy's </t>
  </si>
  <si>
    <t>2/886</t>
  </si>
  <si>
    <t>Powell/ Market</t>
  </si>
  <si>
    <t>Warfield</t>
  </si>
  <si>
    <t>3 city cans</t>
  </si>
  <si>
    <t>extras, city cans</t>
  </si>
  <si>
    <t>downstairs,</t>
  </si>
  <si>
    <t>1 city can</t>
  </si>
  <si>
    <t xml:space="preserve">back in, garage, </t>
  </si>
  <si>
    <t>Extra cans</t>
  </si>
  <si>
    <t xml:space="preserve">eddy </t>
  </si>
  <si>
    <t>Holiday Plaza</t>
  </si>
  <si>
    <t>Bart</t>
  </si>
  <si>
    <t>cyril</t>
  </si>
  <si>
    <t>pay for 6</t>
  </si>
  <si>
    <t>Maden</t>
  </si>
  <si>
    <t>City Cans</t>
  </si>
  <si>
    <t xml:space="preserve">City cans </t>
  </si>
  <si>
    <t>elevator, city cans</t>
  </si>
  <si>
    <t>400/500</t>
  </si>
  <si>
    <t>city cans, 2 keys, elevator glass door</t>
  </si>
  <si>
    <t>city can</t>
  </si>
  <si>
    <t>kearny</t>
  </si>
  <si>
    <t>MOntgomery</t>
  </si>
  <si>
    <t>King</t>
  </si>
  <si>
    <t>NA</t>
  </si>
  <si>
    <t>Pedestrian added recycle</t>
  </si>
  <si>
    <t>Colin P Kelly</t>
  </si>
  <si>
    <t>Loose cardboards</t>
  </si>
  <si>
    <t>Stanford Alley</t>
  </si>
  <si>
    <t xml:space="preserve">Back in - Garage </t>
  </si>
  <si>
    <t>Varney Alley</t>
  </si>
  <si>
    <t>Jack London</t>
  </si>
  <si>
    <t>South Park</t>
  </si>
  <si>
    <t>Resident gave additionals</t>
  </si>
  <si>
    <t>Rincon Alley</t>
  </si>
  <si>
    <t xml:space="preserve">Federal Alley </t>
  </si>
  <si>
    <t xml:space="preserve">Taber Pl Alley </t>
  </si>
  <si>
    <t>Stillman</t>
  </si>
  <si>
    <t>Lost the truck at red light</t>
  </si>
  <si>
    <t>Lock in toters</t>
  </si>
  <si>
    <t>Guy</t>
  </si>
  <si>
    <t>Steuart</t>
  </si>
  <si>
    <t>Loose recycle</t>
  </si>
  <si>
    <t>Pier 28</t>
  </si>
  <si>
    <t>Momo's Restaurant</t>
  </si>
  <si>
    <t>additional loose garbage</t>
  </si>
  <si>
    <t>0,100</t>
  </si>
  <si>
    <t>lock in toters</t>
  </si>
  <si>
    <t>lock in toters - loose recycle</t>
  </si>
  <si>
    <t>Perry Alley</t>
  </si>
  <si>
    <t>Minna</t>
  </si>
  <si>
    <t>Jessie</t>
  </si>
  <si>
    <t>Stevanson Alley</t>
  </si>
  <si>
    <t>dropped container/ overload</t>
  </si>
  <si>
    <t>Beale</t>
  </si>
  <si>
    <t>Daris</t>
  </si>
  <si>
    <t>Maritime</t>
  </si>
  <si>
    <t>Alley - traffic</t>
  </si>
  <si>
    <t>reverse in alley</t>
  </si>
  <si>
    <t>9th Street</t>
  </si>
  <si>
    <t>garage wait</t>
  </si>
  <si>
    <t>reverse/ alley</t>
  </si>
  <si>
    <t>Inside Moscone</t>
  </si>
  <si>
    <t>Marriot</t>
  </si>
  <si>
    <t>Alley Blocked</t>
  </si>
  <si>
    <t>construction</t>
  </si>
  <si>
    <t>Washington</t>
  </si>
  <si>
    <t>Kearny / Sacramento</t>
  </si>
  <si>
    <t>1.5 Yds</t>
  </si>
  <si>
    <t>2yd</t>
  </si>
  <si>
    <t>Recycle</t>
  </si>
  <si>
    <t>3 CITY CANS</t>
  </si>
  <si>
    <t>routeware used efficiently</t>
  </si>
  <si>
    <t xml:space="preserve">Missing can/routeware used efficiently </t>
  </si>
  <si>
    <t>lots of cans not out for Holiday</t>
  </si>
  <si>
    <t>2 alley</t>
  </si>
  <si>
    <t>Not out, few customers</t>
  </si>
  <si>
    <t>back into alley</t>
  </si>
  <si>
    <t>Inside - BART</t>
  </si>
  <si>
    <t>7th Street</t>
  </si>
  <si>
    <t>1 box cardboard</t>
  </si>
  <si>
    <t>Rush</t>
  </si>
  <si>
    <t>1009/1001</t>
  </si>
  <si>
    <t>Harriet</t>
  </si>
  <si>
    <t>Bluxome</t>
  </si>
  <si>
    <t>Berry</t>
  </si>
  <si>
    <t>Lusk</t>
  </si>
  <si>
    <t>986/980</t>
  </si>
  <si>
    <t>345/385</t>
  </si>
  <si>
    <t>3 ADDITIONAL BOXES BY CUSTOMER</t>
  </si>
  <si>
    <t>Presidio</t>
  </si>
  <si>
    <t>Issac</t>
  </si>
  <si>
    <t>Lincoln</t>
  </si>
  <si>
    <t>Riley</t>
  </si>
  <si>
    <t>Code,Hill</t>
  </si>
  <si>
    <t>Bliss</t>
  </si>
  <si>
    <t>Park Trait</t>
  </si>
  <si>
    <t>Amatury Loop</t>
  </si>
  <si>
    <t>Marina Blvd</t>
  </si>
  <si>
    <t>Ramsell</t>
  </si>
  <si>
    <t>Customer service</t>
  </si>
  <si>
    <t>Armstead</t>
  </si>
  <si>
    <t>Lendrum</t>
  </si>
  <si>
    <t>Storey Ave</t>
  </si>
  <si>
    <t>Upton</t>
  </si>
  <si>
    <t>Kobbe</t>
  </si>
  <si>
    <t>Wedmeyer</t>
  </si>
  <si>
    <t>Wyman</t>
  </si>
  <si>
    <t>Far walk</t>
  </si>
  <si>
    <t>Battery Caulfield</t>
  </si>
  <si>
    <t>Compton</t>
  </si>
  <si>
    <t>Can fell inside truck</t>
  </si>
  <si>
    <t>Had to psuh trash down in truck</t>
  </si>
  <si>
    <t>Infantry Terrace</t>
  </si>
  <si>
    <t>odd</t>
  </si>
  <si>
    <t>13th Street</t>
  </si>
  <si>
    <t>Clipper</t>
  </si>
  <si>
    <t>Ave M</t>
  </si>
  <si>
    <t>Ave I</t>
  </si>
  <si>
    <t>Ave D</t>
  </si>
  <si>
    <t>North Point</t>
  </si>
  <si>
    <t>Bayside</t>
  </si>
  <si>
    <t>Exposition</t>
  </si>
  <si>
    <t>Ozbourne</t>
  </si>
  <si>
    <t>Reeves</t>
  </si>
  <si>
    <t>Gateview</t>
  </si>
  <si>
    <t>Keppler</t>
  </si>
  <si>
    <t>Halibut</t>
  </si>
  <si>
    <t>Sturgeon</t>
  </si>
  <si>
    <t>Striped Bass</t>
  </si>
  <si>
    <t>Flounder</t>
  </si>
  <si>
    <t>Ave B</t>
  </si>
  <si>
    <t>running blade</t>
  </si>
  <si>
    <t>Chinook</t>
  </si>
  <si>
    <t>Croaker</t>
  </si>
  <si>
    <t>Vallejo</t>
  </si>
  <si>
    <t>Run Blade</t>
  </si>
  <si>
    <t>code</t>
  </si>
  <si>
    <t>Laguna</t>
  </si>
  <si>
    <t>key</t>
  </si>
  <si>
    <t>Code</t>
  </si>
  <si>
    <t>Far walk/Code</t>
  </si>
  <si>
    <t>Run Blade/stairs/far walk</t>
  </si>
  <si>
    <t>run blade</t>
  </si>
  <si>
    <t>Key/stairs</t>
  </si>
  <si>
    <t>Octavia</t>
  </si>
  <si>
    <t>Buchanan</t>
  </si>
  <si>
    <t>stairs</t>
  </si>
  <si>
    <t>key/run blade</t>
  </si>
  <si>
    <t>Webster</t>
  </si>
  <si>
    <t>far walk</t>
  </si>
  <si>
    <t>run blade/code</t>
  </si>
  <si>
    <t>Moulton</t>
  </si>
  <si>
    <t>key/stairs</t>
  </si>
  <si>
    <t>key/supervisor</t>
  </si>
  <si>
    <t>Pacific Ave</t>
  </si>
  <si>
    <t>far walk/key</t>
  </si>
  <si>
    <t>1870/1872</t>
  </si>
  <si>
    <t>Far Walk</t>
  </si>
  <si>
    <t>Far Walk, downhill</t>
  </si>
  <si>
    <t>Far walk, key, stairs</t>
  </si>
  <si>
    <t>Key</t>
  </si>
  <si>
    <t>Key, Stairs</t>
  </si>
  <si>
    <t>Key, Far walk</t>
  </si>
  <si>
    <t>Run blade</t>
  </si>
  <si>
    <t>Dixley</t>
  </si>
  <si>
    <t>Key, stairs</t>
  </si>
  <si>
    <t>code, serviced on Webster</t>
  </si>
  <si>
    <t>Stairs</t>
  </si>
  <si>
    <t>Cide</t>
  </si>
  <si>
    <t>Bathroom</t>
  </si>
  <si>
    <t>Annie</t>
  </si>
  <si>
    <t>Truck blocking the curb</t>
  </si>
  <si>
    <t xml:space="preserve">Key, distance, narrow hall </t>
  </si>
  <si>
    <t>Key, distance, narrow hall</t>
  </si>
  <si>
    <t>1270-1290/1601</t>
  </si>
  <si>
    <t>Key, distance, narrow</t>
  </si>
  <si>
    <t>Code, Stairs, narrow hall</t>
  </si>
  <si>
    <t>Levensworth</t>
  </si>
  <si>
    <t>Key,stairs</t>
  </si>
  <si>
    <t>2557/2545</t>
  </si>
  <si>
    <t>Franklin</t>
  </si>
  <si>
    <t>1541/1543/1545</t>
  </si>
  <si>
    <t>Code, Stairs</t>
  </si>
  <si>
    <t>Servied on Pine street</t>
  </si>
  <si>
    <t>Key, narrow hall, distance</t>
  </si>
  <si>
    <t>Key, distance</t>
  </si>
  <si>
    <t>Code,Distance</t>
  </si>
  <si>
    <t>Gough</t>
  </si>
  <si>
    <t>Code, Inlcine</t>
  </si>
  <si>
    <t>Services on Austin</t>
  </si>
  <si>
    <t>Distance</t>
  </si>
  <si>
    <t>Code, incline</t>
  </si>
  <si>
    <t>Key, distance, stairs</t>
  </si>
  <si>
    <t>Key, narrow hall</t>
  </si>
  <si>
    <t>Key, narrow hall, stairs</t>
  </si>
  <si>
    <t>Key, stairs, distance</t>
  </si>
  <si>
    <t>Jackson</t>
  </si>
  <si>
    <t>Key fob</t>
  </si>
  <si>
    <t>City Can</t>
  </si>
  <si>
    <t>Stairs, Narrow</t>
  </si>
  <si>
    <t>Stairs, Key</t>
  </si>
  <si>
    <t>City Can, Stairs</t>
  </si>
  <si>
    <t>1338/1340</t>
  </si>
  <si>
    <t>STAIRS</t>
  </si>
  <si>
    <t>1528/1515</t>
  </si>
  <si>
    <t>1535/1543</t>
  </si>
  <si>
    <t>1548/1558/1556</t>
  </si>
  <si>
    <t>LOCKED DOOR, NEEDED KEY</t>
  </si>
  <si>
    <t>34/45/1257</t>
  </si>
  <si>
    <t>Washington/Taylor</t>
  </si>
  <si>
    <t>STAIRS, LOCKED DOOR, SERVICED 1257 TAYLOR ON WASHINGTON</t>
  </si>
  <si>
    <t>EXTRA CARDBOARD BOXES</t>
  </si>
  <si>
    <t>SERVICE ON JONES, DRIVER HAD TO BACK OUT</t>
  </si>
  <si>
    <t>1019/1011</t>
  </si>
  <si>
    <t>GARAGE</t>
  </si>
  <si>
    <t>GARAGE WITH CODE</t>
  </si>
  <si>
    <t>872/866</t>
  </si>
  <si>
    <t>LONG DRIVEWAY</t>
  </si>
  <si>
    <t>840/844</t>
  </si>
  <si>
    <t>LOCKED DOOR</t>
  </si>
  <si>
    <t>834/830</t>
  </si>
  <si>
    <t>808/804</t>
  </si>
  <si>
    <t>1041/1051</t>
  </si>
  <si>
    <t>DRIVER HAD TO BACK UP STEEP HILL, LOCKED DOOR, LONG WALKWAY</t>
  </si>
  <si>
    <t>1037/1037A/1033</t>
  </si>
  <si>
    <t>STEEP, LONG WALKWAY</t>
  </si>
  <si>
    <t>1027/1023</t>
  </si>
  <si>
    <t>1015/1017</t>
  </si>
  <si>
    <t>CAN KNOCKED OVER, DRIVER HAD TO CLEAN UP MESS, CANS 15 FEET AWAY FROM CURB</t>
  </si>
  <si>
    <t>SERVICE ON JONES</t>
  </si>
  <si>
    <t>1742/1739/1737</t>
  </si>
  <si>
    <t>1743/1745</t>
  </si>
  <si>
    <t>1807/1815/1822</t>
  </si>
  <si>
    <t>LOCKED DOOR, GARAGE</t>
  </si>
  <si>
    <t>7/1827/1831</t>
  </si>
  <si>
    <t>Russian Hill/Jones</t>
  </si>
  <si>
    <t>DRIVER HAD TO RETURN CAN TO PREVIOUS HOUSE- NOT ALLOWED TO SWITCH CANS</t>
  </si>
  <si>
    <t>1853/1855</t>
  </si>
  <si>
    <t>GARAGE DOOR PLUS ANOTHER DOOR</t>
  </si>
  <si>
    <t>1920/66/74/52/56/17/19</t>
  </si>
  <si>
    <t>Jones/Maccondray</t>
  </si>
  <si>
    <t>LONG AND NARROW WALKWAY</t>
  </si>
  <si>
    <t>1950/1931</t>
  </si>
  <si>
    <t>LOCKED DOOR, LONG WALKWAY</t>
  </si>
  <si>
    <t>LOCKED DOOR, STAIRS</t>
  </si>
  <si>
    <t>2104/1083/1077</t>
  </si>
  <si>
    <t>Leavenworth/Filbert</t>
  </si>
  <si>
    <t>1067A/1061/1068/1056</t>
  </si>
  <si>
    <t>LOCKED DOOR, LONG WALKWAY, STAIRS</t>
  </si>
  <si>
    <t>1055/1047/1050/1038/1042</t>
  </si>
  <si>
    <t>LOCKED DOOR AT 1055</t>
  </si>
  <si>
    <t>1035/1041</t>
  </si>
  <si>
    <t>1034/1026/1024</t>
  </si>
  <si>
    <t>LONG WALKWAY, GARAGE, EXTRA BAGS TO PICK UP</t>
  </si>
  <si>
    <t>1948/887/891/881/885/890/892/882</t>
  </si>
  <si>
    <t>Taylor/Filbert</t>
  </si>
  <si>
    <t>LOCKED DOOR - NO KEY</t>
  </si>
  <si>
    <t>875/873/862</t>
  </si>
  <si>
    <t>857/853/856/852/846/850</t>
  </si>
  <si>
    <t>LONG WALKWAY, NARROW DOORWAY</t>
  </si>
  <si>
    <t>843/845/840/842</t>
  </si>
  <si>
    <t>831/833/830/820/816/818</t>
  </si>
  <si>
    <t>814/811/817/801/819</t>
  </si>
  <si>
    <t>1925/1907</t>
  </si>
  <si>
    <t>STAIRS, LONG WALKWAY</t>
  </si>
  <si>
    <t>1835/1828</t>
  </si>
  <si>
    <t>1800/1811/1801</t>
  </si>
  <si>
    <t>LONG WALKWAY, STAIRS, 1801 HAD 2 DOORS</t>
  </si>
  <si>
    <t>1720/1717</t>
  </si>
  <si>
    <t>LONG WALKWAY, NARROW DOORWAY, STAIRS</t>
  </si>
  <si>
    <t>1512/1516/1517/1523/1535/1530</t>
  </si>
  <si>
    <t>GARAGE, LONG WALKWAY</t>
  </si>
  <si>
    <t>1534/1537/1549</t>
  </si>
  <si>
    <t>1651/115/1625</t>
  </si>
  <si>
    <t>Jones/Bernard</t>
  </si>
  <si>
    <t>120/128/126</t>
  </si>
  <si>
    <t>Bernard</t>
  </si>
  <si>
    <t>138/139/133</t>
  </si>
  <si>
    <t>162/164/150</t>
  </si>
  <si>
    <t>174/169</t>
  </si>
  <si>
    <t>180/1632/1634</t>
  </si>
  <si>
    <t>Bernard/Leavenworth</t>
  </si>
  <si>
    <t>LONG WALKWAY</t>
  </si>
  <si>
    <t>SERVICE ON BROADWAY</t>
  </si>
  <si>
    <t>1220/1222/1226</t>
  </si>
  <si>
    <t>EXTRA CARDBOARD BOXES, LOCKED DOOR</t>
  </si>
  <si>
    <t>1234/1236</t>
  </si>
  <si>
    <t>LOCKED DOOR, LONG AND NARROW WALKWAY</t>
  </si>
  <si>
    <t>1252/1256/1240/1246</t>
  </si>
  <si>
    <t>1272/1274/1278</t>
  </si>
  <si>
    <t>1706/1290</t>
  </si>
  <si>
    <t>Hyde/Broadway</t>
  </si>
  <si>
    <t>1294/1281/1271/1277</t>
  </si>
  <si>
    <t>LOCKED GATE</t>
  </si>
  <si>
    <t>1255/1257/1270/1260/1250</t>
  </si>
  <si>
    <t>1249/1242/1244/1234/1238/1243/1245</t>
  </si>
  <si>
    <t>1239/1233/1229</t>
  </si>
  <si>
    <t>1215/1217/1224</t>
  </si>
  <si>
    <t>955/947/945</t>
  </si>
  <si>
    <t>LOCKED GATE AND DOOR, LONG WALKWAY</t>
  </si>
  <si>
    <t>940/1715</t>
  </si>
  <si>
    <t>Green/Taylor</t>
  </si>
  <si>
    <t>LOCKED DOOR, DOOR JAMMED</t>
  </si>
  <si>
    <t>980/982</t>
  </si>
  <si>
    <t>LOCKED GATE, LONG WALKWAY</t>
  </si>
  <si>
    <t>PUT OUT CANS LATE</t>
  </si>
  <si>
    <t>1717/1728</t>
  </si>
  <si>
    <t>1630/1620</t>
  </si>
  <si>
    <t>GARAGE, SERVICE 1620 ON BERNARD</t>
  </si>
  <si>
    <t>EXTRA BOX</t>
  </si>
  <si>
    <t>73/75/74</t>
  </si>
  <si>
    <t>68/66/67/71</t>
  </si>
  <si>
    <t>59/51/52/46</t>
  </si>
  <si>
    <t>39/33/37/32/34/36/30/30.5</t>
  </si>
  <si>
    <t>27/23/25/28</t>
  </si>
  <si>
    <t>19/21/1529/14/18/22</t>
  </si>
  <si>
    <t>Bernard/Taylor</t>
  </si>
  <si>
    <t>SERVICE ON TAYLOR, LOCKED GATE</t>
  </si>
  <si>
    <t>1818/1809</t>
  </si>
  <si>
    <t>STEEP HILL</t>
  </si>
  <si>
    <t>1834/1838/1840/1846</t>
  </si>
  <si>
    <t>895/1839</t>
  </si>
  <si>
    <t>Union/Taylor</t>
  </si>
  <si>
    <t>GARAGE, STEEP TERRAIN</t>
  </si>
  <si>
    <t>LONG WALKWAY, STAIRS</t>
  </si>
  <si>
    <t>GARAGE, EXTRA CARDBOARD</t>
  </si>
  <si>
    <t>1110/1365/1120</t>
  </si>
  <si>
    <t>Jackson/Taylor</t>
  </si>
  <si>
    <t>GARAGE, STAIRS, LOCKED GATE</t>
  </si>
  <si>
    <t>STAIRS, LOCKED GATE</t>
  </si>
  <si>
    <t>STAIRS, LOCKED DOOR</t>
  </si>
  <si>
    <t>1215/1230</t>
  </si>
  <si>
    <t>ROAD CONSTRUCTION CHANING HOW DRIVER NEEDS TO GO THROUGH ROUTE, STAIRS</t>
  </si>
  <si>
    <t>1340/1350</t>
  </si>
  <si>
    <t>LONG WALKWAY, LOCKED DOOR</t>
  </si>
  <si>
    <t>1335/1370</t>
  </si>
  <si>
    <t>LONG WALKWAY, LOCKED DOOR, 1 STAIR</t>
  </si>
  <si>
    <t>SERVICE ON LEAVENWORTH</t>
  </si>
  <si>
    <t>1449/1445</t>
  </si>
  <si>
    <t>1278/1276</t>
  </si>
  <si>
    <t>LOCKED DOOR, DRIVER HAD TO REVERSE UP JACKSON STREET DUE TO CONSTRUCTION</t>
  </si>
  <si>
    <t>1212/1220</t>
  </si>
  <si>
    <t>LOCKED DOOR, 1 STAIR AT 1540</t>
  </si>
  <si>
    <t>1174/1540/1175/1177</t>
  </si>
  <si>
    <t>Pacific/Jones</t>
  </si>
  <si>
    <t>1 STEP AND LOCKED DOOR AT 1540 JONES</t>
  </si>
  <si>
    <t>1168/1171/1167</t>
  </si>
  <si>
    <t>1154/1144/9/3/15/1151</t>
  </si>
  <si>
    <t>Pacific/Phoenix</t>
  </si>
  <si>
    <t>STAIRS AT 9, 3, AND 15 PHEONIX ADDRESSES</t>
  </si>
  <si>
    <t>1147/1138</t>
  </si>
  <si>
    <t>1123/1126/1139/1143</t>
  </si>
  <si>
    <t>LONG AND STEEP WALKWAY</t>
  </si>
  <si>
    <t>POWELL</t>
  </si>
  <si>
    <t>EXTRA BOXES, LOCKED DOOR</t>
  </si>
  <si>
    <t>1416/1422/1450</t>
  </si>
  <si>
    <t>DRIVER HAD TO BACK INTO ALLEY</t>
  </si>
  <si>
    <t>805/801</t>
  </si>
  <si>
    <t>916/930</t>
  </si>
  <si>
    <t>971/68</t>
  </si>
  <si>
    <t>Pacific/John St</t>
  </si>
  <si>
    <t>LONG NARROW WALKWAY</t>
  </si>
  <si>
    <t>990/1358</t>
  </si>
  <si>
    <t>Pacific/Mason</t>
  </si>
  <si>
    <t>801/1753</t>
  </si>
  <si>
    <t>Union/Mason</t>
  </si>
  <si>
    <t>LONG NARROW WALKWAY WITH STAIRS</t>
  </si>
  <si>
    <t>GARAGE WITH LONG WALKWAY</t>
  </si>
  <si>
    <t>STAIRS, CARS BLOCKING</t>
  </si>
  <si>
    <t>2038/2033</t>
  </si>
  <si>
    <t>NARROW WALKWAY, GARAGE</t>
  </si>
  <si>
    <t>1918/1932/1070</t>
  </si>
  <si>
    <t>Leavenworth/Green</t>
  </si>
  <si>
    <t>1625/1610</t>
  </si>
  <si>
    <t>GARAGE, LOCKED DOOR</t>
  </si>
  <si>
    <t>1125/1139</t>
  </si>
  <si>
    <t>LOCKED DOOR WITH NARROW WALKWAY</t>
  </si>
  <si>
    <t>Hyde</t>
  </si>
  <si>
    <t>LOCKED DOOR, EXTRA BOXES</t>
  </si>
  <si>
    <t>1400/1420</t>
  </si>
  <si>
    <t>1434/1440/1441</t>
  </si>
  <si>
    <t>STAIRS, LOCKED DOOR, GARAGE, LONG STEEP WALKWAY</t>
  </si>
  <si>
    <t>1446/1447/1457/1456</t>
  </si>
  <si>
    <t>SERVICE ON TAYLOR, EXTRA BOX</t>
  </si>
  <si>
    <t>1410/1420/1425</t>
  </si>
  <si>
    <t>1441/1451/1101/1450/1454</t>
  </si>
  <si>
    <t>STAIRS, LOCKED DOOR, GARAGE</t>
  </si>
  <si>
    <t>DRIVER HAD TO BACK UP HILL TO SERVICE</t>
  </si>
  <si>
    <t>1520/1523</t>
  </si>
  <si>
    <t>1656/1644</t>
  </si>
  <si>
    <t>LOCKED GATE, 1644 HAS MANY STAIRS, LOW CEILING, MANY OBSTACLES, LONG WALKWAY</t>
  </si>
  <si>
    <t>1750/1725</t>
  </si>
  <si>
    <t>STAIRS, LONG WALKWAY X3</t>
  </si>
  <si>
    <t>22/34/36/28/30/33/1926/1930/906/910</t>
  </si>
  <si>
    <t>Aladdin Terrace/Taylor/Union</t>
  </si>
  <si>
    <t>LONG WALKWAY, GARAGE, SERVICE 906&amp;910 UNION FROM REDFIELD ALLEY</t>
  </si>
  <si>
    <t>S-LODAL</t>
  </si>
  <si>
    <t>Capra Way</t>
  </si>
  <si>
    <t>LOCKED DOOR, LONG WALKWAY, NARROW</t>
  </si>
  <si>
    <t>3574/3580</t>
  </si>
  <si>
    <t>3585/3579</t>
  </si>
  <si>
    <t>3573/3569</t>
  </si>
  <si>
    <t>3559/3549</t>
  </si>
  <si>
    <t>3539/3531</t>
  </si>
  <si>
    <t>3125/3519</t>
  </si>
  <si>
    <t>LOCK ON TOTER</t>
  </si>
  <si>
    <t>LOCKED DOOR WITH CODE</t>
  </si>
  <si>
    <t>LOCKED DOOR, ENTRANCE ON CAPRA BUT SERVICED ON PIERCE</t>
  </si>
  <si>
    <t>LOCKED DOOR, LONG WALKWAY NARROW</t>
  </si>
  <si>
    <t>TWO SEPARATE DOORS TO SERVICE WITH CODES</t>
  </si>
  <si>
    <t>Alhambra</t>
  </si>
  <si>
    <t>Francisco</t>
  </si>
  <si>
    <t>LONG WALKWAY, GATE</t>
  </si>
  <si>
    <t>2222/2224</t>
  </si>
  <si>
    <t>2252/2260</t>
  </si>
  <si>
    <t>2266/2270</t>
  </si>
  <si>
    <t>2328/2330</t>
  </si>
  <si>
    <t>LOCKED DOOR, LOW HEAD CLEARANCE, LONG WALKWAY</t>
  </si>
  <si>
    <t>2352/2358</t>
  </si>
  <si>
    <t>2366/2370</t>
  </si>
  <si>
    <t>3206-3260</t>
  </si>
  <si>
    <t>EXTRA BAG, SOME CANS 20 FT FROM THE CURB IN FRONT OF THE RESIDENCE</t>
  </si>
  <si>
    <t>3300-3356</t>
  </si>
  <si>
    <t>3299-3201</t>
  </si>
  <si>
    <t>EXTRA CARDBOARD, HAD TO MOVE TRUCK FOR STREET SWEEPER</t>
  </si>
  <si>
    <t>2373/2359</t>
  </si>
  <si>
    <t>2337-2331</t>
  </si>
  <si>
    <t>2267-2261</t>
  </si>
  <si>
    <t>EXTRA CARDBOARD AT 2267</t>
  </si>
  <si>
    <t>2253-2249</t>
  </si>
  <si>
    <t>2243-2237</t>
  </si>
  <si>
    <t>2231-2227</t>
  </si>
  <si>
    <t>2122-2134</t>
  </si>
  <si>
    <t xml:space="preserve">Bay </t>
  </si>
  <si>
    <t>2140-2146</t>
  </si>
  <si>
    <t>2164-2168</t>
  </si>
  <si>
    <t>EXTRA CARDBOARD</t>
  </si>
  <si>
    <t>LOCKED DOOR, OTHER GARBAGE MAN PULLED CAN OUT OF RESIDENCE TO MAKE IT EASIER TO SERVICE</t>
  </si>
  <si>
    <t>2129-2123</t>
  </si>
  <si>
    <t>EXTRA CARDBOARD X2, LOCKED DOOR, LONG WALKWAY</t>
  </si>
  <si>
    <t>BENT KEY, LOCKED DOOR, LONG WALKWAY</t>
  </si>
  <si>
    <t>3514-3520</t>
  </si>
  <si>
    <t>3526-3524</t>
  </si>
  <si>
    <t>3530-3528</t>
  </si>
  <si>
    <t>3536-3544</t>
  </si>
  <si>
    <t>3600-3606</t>
  </si>
  <si>
    <t>3612-3618</t>
  </si>
  <si>
    <t>2624 SCOTT ST DID NOT HAVE TOTERS OUT</t>
  </si>
  <si>
    <t>ITEMS IN WRONG TOTE</t>
  </si>
  <si>
    <t>3738-3740</t>
  </si>
  <si>
    <t>3800-3820</t>
  </si>
  <si>
    <t>Cervantes Blvd</t>
  </si>
  <si>
    <t>GARAGE, LOCKED DOOR, ONLY BAGS, NO TOTER</t>
  </si>
  <si>
    <t>Prado</t>
  </si>
  <si>
    <t>LOCKED DOOR, LONG WALKWAY, DRIVER HAD TO PARK IN THE INTERSECTION TO SERVICE (UNIQUE INTERSECTION)</t>
  </si>
  <si>
    <t>Beach</t>
  </si>
  <si>
    <t>Avila</t>
  </si>
  <si>
    <t>30-36</t>
  </si>
  <si>
    <t>Fillmore</t>
  </si>
  <si>
    <t>Casa Way</t>
  </si>
  <si>
    <t>Rico Way</t>
  </si>
  <si>
    <t>LOCKED DOOR, NARROW</t>
  </si>
  <si>
    <t>Jefferson</t>
  </si>
  <si>
    <t>LOCKED DOOR, LONG WALKWAY, 1 STAIR</t>
  </si>
  <si>
    <t>CONSTRUCTION EQUIPMENT OVER/BLOCKING ENTRANCE TO RESIDENCE, LOCKED DOOR, LONG WALKWAY</t>
  </si>
  <si>
    <t>3636/3650</t>
  </si>
  <si>
    <t>3839/3819/1900</t>
  </si>
  <si>
    <t>Divisadero/Jefferson</t>
  </si>
  <si>
    <t>SERVICE FROM GARAGE, LOCKED DOOR</t>
  </si>
  <si>
    <t>CONSTRUCTION CARS IN THE WAY, LOCKED DOOR</t>
  </si>
  <si>
    <t>1961/1945</t>
  </si>
  <si>
    <t>LOCKED DOOR, LONG WALKWAY, MANY CARS IN THE WAY</t>
  </si>
  <si>
    <t>SERVICE THROUGH GARAGE, LONG WALKWAY 100 FT</t>
  </si>
  <si>
    <t>2022-2070</t>
  </si>
  <si>
    <t>3830/3820</t>
  </si>
  <si>
    <t>LOCKED DOOR, SERVICED THROUGH THE GARAGE</t>
  </si>
  <si>
    <t>SERVICE THROUGH GARAGE, EXTRA DOOR TO ENTER TO GET TO TOTERS, LONG WALKWAY 200 FT</t>
  </si>
  <si>
    <t>1801/3747</t>
  </si>
  <si>
    <t>Jefferson/Scott</t>
  </si>
  <si>
    <t>LOCKED DOOR, LONG WALKWAY 70 FT</t>
  </si>
  <si>
    <t>3737-3713</t>
  </si>
  <si>
    <t>LOCKED DOOR, LONG WALKWAY 50 FT</t>
  </si>
  <si>
    <t>3653-3615</t>
  </si>
  <si>
    <t>DOOR WITH NO KEY</t>
  </si>
  <si>
    <t>2122/2124</t>
  </si>
  <si>
    <t>LOCKED DOOR, LONG WALKWAY 60 FT</t>
  </si>
  <si>
    <t>2260/2270</t>
  </si>
  <si>
    <t>LOCKED DOOR, LONG WALKWAY 30 FT</t>
  </si>
  <si>
    <t>LOCKED DOOR, LONG WALKWAY 40 FT</t>
  </si>
  <si>
    <t>LOCKED DOOR, SECOND DOOR AFTER LONG WALKWAY 40 FT, EXTRA CARDBOARD</t>
  </si>
  <si>
    <t>2023/2025</t>
  </si>
  <si>
    <t>LOCKED DOOR, LONG WALKWAY 40FT</t>
  </si>
  <si>
    <t>3541/3551</t>
  </si>
  <si>
    <t>3533-3515</t>
  </si>
  <si>
    <t>LOCKED DOOR, LONG WALKWAY 30FT</t>
  </si>
  <si>
    <t>LOCKED DOOR, LONG WALKWAY 30 FT, EXTRA BOX</t>
  </si>
  <si>
    <t>2153/2145/2143</t>
  </si>
  <si>
    <t>2139/2137</t>
  </si>
  <si>
    <t xml:space="preserve">Recycle </t>
  </si>
  <si>
    <t>DRIVER HAD TO GO DOWN ELEVATOR</t>
  </si>
  <si>
    <t>Greycy</t>
  </si>
  <si>
    <t>LOCKED TOTERS</t>
  </si>
  <si>
    <t>SERVICED AT 615 PINE ST</t>
  </si>
  <si>
    <t>Vinton Alley</t>
  </si>
  <si>
    <t>601/615</t>
  </si>
  <si>
    <t>SERVICED IN BAGS</t>
  </si>
  <si>
    <t xml:space="preserve">LOOSE RECYCLE </t>
  </si>
  <si>
    <t>Gibb Alley</t>
  </si>
  <si>
    <t>BACK UP IN ALLEY/ LOOSE RECYCLE INSIDE GATE</t>
  </si>
  <si>
    <t>646/650</t>
  </si>
  <si>
    <t>Hotaling</t>
  </si>
  <si>
    <t>DRIVER HAD TO BACKUP IN ALLEY</t>
  </si>
  <si>
    <t>LOCKING</t>
  </si>
  <si>
    <t>Merchant Alley</t>
  </si>
  <si>
    <t>CURBSIDE LOCKING</t>
  </si>
  <si>
    <t>500-550</t>
  </si>
  <si>
    <t>Commercial Alley</t>
  </si>
  <si>
    <t>550-600</t>
  </si>
  <si>
    <t>SERVICED 250 BLK OF LEIDESDORFF ALLEY</t>
  </si>
  <si>
    <t xml:space="preserve">Commercial </t>
  </si>
  <si>
    <t xml:space="preserve">Clay </t>
  </si>
  <si>
    <t>CURBSIDE CONTAINER/ INSIDE TOTERS</t>
  </si>
  <si>
    <t>DRIVER HAD TO BACKUP IN DRIVEWAY</t>
  </si>
  <si>
    <t>100/350-354/300-320</t>
  </si>
  <si>
    <t>Halleck Alley/Sansome/California</t>
  </si>
  <si>
    <t>4 LOCKING</t>
  </si>
  <si>
    <t>SERVICED ON HELLECK ALLEY</t>
  </si>
  <si>
    <t xml:space="preserve">LOCKING </t>
  </si>
  <si>
    <t>LOCKING/ DRVIVER BACKUP ON ONE WAY STREET</t>
  </si>
  <si>
    <t>255/100</t>
  </si>
  <si>
    <t>California/Battery</t>
  </si>
  <si>
    <t>LOOSE RECYCLE</t>
  </si>
  <si>
    <t>SERVICED ST.LOUIS ALLEY/ ROSS ALLEY/ JASON ALLEY</t>
  </si>
  <si>
    <t>Waverly</t>
  </si>
  <si>
    <t>Quincy Alley</t>
  </si>
  <si>
    <t xml:space="preserve">Backed up into alley/ inside was a cointainer </t>
  </si>
  <si>
    <t>LOCK AND STAIRS SERVICE ON VINTON ALLEY</t>
  </si>
  <si>
    <t>Sabin Alley</t>
  </si>
  <si>
    <t>BACKED UP IN ALLEY</t>
  </si>
  <si>
    <t>TOTER WAS UPSTAIRS</t>
  </si>
  <si>
    <t>Walter Lum Alley</t>
  </si>
  <si>
    <t>DRIVER HAD TO BACK UP IN ALLEY</t>
  </si>
  <si>
    <t>COINTAINER</t>
  </si>
  <si>
    <t>DRIVER HAD TO BACK UP INTO GARAGE</t>
  </si>
  <si>
    <t>LOOSE RECYCLING</t>
  </si>
  <si>
    <t>439/405/500-530</t>
  </si>
  <si>
    <t>Washington/ Merchant/Sansome</t>
  </si>
  <si>
    <t xml:space="preserve">500-530 SANSOME SERVICED ON MERCHANT ALLEY </t>
  </si>
  <si>
    <t>614/615/621</t>
  </si>
  <si>
    <t xml:space="preserve">Washington </t>
  </si>
  <si>
    <t>DRIVER HAD TO BACKUP INTO ALLEY</t>
  </si>
  <si>
    <t>ALSO SERVICED ROSS ALLEY</t>
  </si>
  <si>
    <t>Stone Alley</t>
  </si>
  <si>
    <t>TIGHT ALLEY</t>
  </si>
  <si>
    <t>Joice Alley</t>
  </si>
  <si>
    <t>BACKUP A LOT OF STUFF ON TOTERS</t>
  </si>
  <si>
    <t>919-929</t>
  </si>
  <si>
    <t>Halleck</t>
  </si>
  <si>
    <t>BACKUP IN GARAGE</t>
  </si>
  <si>
    <t>255/295/311</t>
  </si>
  <si>
    <t>BOTH SIDES SERVICED ON 100 BATTERY</t>
  </si>
  <si>
    <t>THREE TOTERS SERVICED ONO PINE ST/ LOCKING</t>
  </si>
  <si>
    <t>SERVICED ON FRONT ST</t>
  </si>
  <si>
    <t>LOCK</t>
  </si>
  <si>
    <t>Empty Toter</t>
  </si>
  <si>
    <t>815 &amp; 819</t>
  </si>
  <si>
    <t xml:space="preserve">Eddy </t>
  </si>
  <si>
    <t xml:space="preserve">Serviced both in one stop </t>
  </si>
  <si>
    <t>Elevator not working</t>
  </si>
  <si>
    <t xml:space="preserve">Willow </t>
  </si>
  <si>
    <t>Consolidated 4 toters to 2</t>
  </si>
  <si>
    <t>Daniel/Burnham</t>
  </si>
  <si>
    <t xml:space="preserve">Service house and curve </t>
  </si>
  <si>
    <t>Burnham</t>
  </si>
  <si>
    <t>Service 2 inside and 4 at curb</t>
  </si>
  <si>
    <t>1400/1407</t>
  </si>
  <si>
    <t>Service 2 houses in one stop</t>
  </si>
  <si>
    <t xml:space="preserve">Another driver was picking up black toters </t>
  </si>
  <si>
    <t>1666/1625</t>
  </si>
  <si>
    <t>Consolidated 5 toters to 2 for each apt complex</t>
  </si>
  <si>
    <t>1600/1610</t>
  </si>
  <si>
    <t>Busy street</t>
  </si>
  <si>
    <t>1700/1701</t>
  </si>
  <si>
    <t xml:space="preserve">1700 0 Toters due to construction </t>
  </si>
  <si>
    <t>Consolidated 6 toters to 4</t>
  </si>
  <si>
    <t xml:space="preserve">Toter on curb was locked </t>
  </si>
  <si>
    <t xml:space="preserve">Heavy traffic </t>
  </si>
  <si>
    <t>Heavy traffic</t>
  </si>
  <si>
    <t>1625/1661</t>
  </si>
  <si>
    <t xml:space="preserve">Serviced two Apts </t>
  </si>
  <si>
    <t xml:space="preserve">2 toters on curb had no recycling </t>
  </si>
  <si>
    <t>Driver parked across the st</t>
  </si>
  <si>
    <t>Post/Buchanan</t>
  </si>
  <si>
    <t>Driver had to walk up half alley to pick up toter</t>
  </si>
  <si>
    <t>2299/2007</t>
  </si>
  <si>
    <t>California/Buchanan</t>
  </si>
  <si>
    <t>2001/1991</t>
  </si>
  <si>
    <t>Cust. Came out to talk to driver/ truck blocking house</t>
  </si>
  <si>
    <t>Driver had to wait for incoming traffic</t>
  </si>
  <si>
    <t xml:space="preserve">1843\1901 /2189/2191                      </t>
  </si>
  <si>
    <t>Webster/Pine</t>
  </si>
  <si>
    <t>Cedar Alley</t>
  </si>
  <si>
    <t>1045/1051</t>
  </si>
  <si>
    <t>Driver serviced Apt. and curb</t>
  </si>
  <si>
    <t>Traffic</t>
  </si>
  <si>
    <t>Stairs going inside</t>
  </si>
  <si>
    <t xml:space="preserve">I </t>
  </si>
  <si>
    <t>Driver was parked on opposite side of the street had to wait for traffic</t>
  </si>
  <si>
    <t>922/927</t>
  </si>
  <si>
    <t>Cosmo</t>
  </si>
  <si>
    <t>627/650</t>
  </si>
  <si>
    <t>Taylor/Post</t>
  </si>
  <si>
    <t>Other truck driver was collecting trash and compost at the same time</t>
  </si>
  <si>
    <t>Jones/Cosmo</t>
  </si>
  <si>
    <t>Motorcycle in the entrance of bldg</t>
  </si>
  <si>
    <t xml:space="preserve">Jones </t>
  </si>
  <si>
    <t xml:space="preserve">Other truck serving same customer </t>
  </si>
  <si>
    <t>679/683</t>
  </si>
  <si>
    <t>Driver stopped on Taylor and walked down alley to grab toters</t>
  </si>
  <si>
    <t>2 Baurs busses in the way</t>
  </si>
  <si>
    <t>Flight of strairs to get to toters</t>
  </si>
  <si>
    <t>Stairs and walkway to get toters</t>
  </si>
  <si>
    <t xml:space="preserve">Long walkway to get to toters </t>
  </si>
  <si>
    <t>Stairs and walkway to get to toters</t>
  </si>
  <si>
    <t>805/930</t>
  </si>
  <si>
    <t xml:space="preserve">Sutter / Levenworth </t>
  </si>
  <si>
    <t xml:space="preserve">Serviced two Apts and curb </t>
  </si>
  <si>
    <t>952/974</t>
  </si>
  <si>
    <t>975/979</t>
  </si>
  <si>
    <t>Spaves btwn cars very narrow</t>
  </si>
  <si>
    <t>Stairs to get toters</t>
  </si>
  <si>
    <t>1054/1052</t>
  </si>
  <si>
    <t xml:space="preserve">Stairs narrow </t>
  </si>
  <si>
    <t xml:space="preserve">Toters far from entrance of the garage </t>
  </si>
  <si>
    <t>Austin</t>
  </si>
  <si>
    <t>Narrow walkways</t>
  </si>
  <si>
    <t>Consolidated 4 toters to 2 toters</t>
  </si>
  <si>
    <t>Narrow walkways and stair</t>
  </si>
  <si>
    <t>Construction</t>
  </si>
  <si>
    <t>Parked across the street</t>
  </si>
  <si>
    <t>Long driveway and park across the st.</t>
  </si>
  <si>
    <t>Hemlock</t>
  </si>
  <si>
    <t>Lock on toters</t>
  </si>
  <si>
    <t xml:space="preserve">Driver had to walk across the st. and down the alley </t>
  </si>
  <si>
    <t>Consolidated six toters to four</t>
  </si>
  <si>
    <t>Garage long driveway</t>
  </si>
  <si>
    <t xml:space="preserve">Toters were locked </t>
  </si>
  <si>
    <t>Empty toter</t>
  </si>
  <si>
    <t>Narrow long walk way</t>
  </si>
  <si>
    <t>Consolidared 2 toters to 1</t>
  </si>
  <si>
    <t>Long walkway through garage</t>
  </si>
  <si>
    <t>Stairs to grab toters</t>
  </si>
  <si>
    <t>2152/2158</t>
  </si>
  <si>
    <t>2132/2139</t>
  </si>
  <si>
    <t>Parked across the st and there was heavy traffic</t>
  </si>
  <si>
    <t xml:space="preserve">parked on oppsoite side of the curb being serviced </t>
  </si>
  <si>
    <t xml:space="preserve">Toters close togther </t>
  </si>
  <si>
    <t>Little distance between toters</t>
  </si>
  <si>
    <t>GATED</t>
  </si>
  <si>
    <t>Bryant</t>
  </si>
  <si>
    <t>Clementin</t>
  </si>
  <si>
    <t xml:space="preserve">Townsend </t>
  </si>
  <si>
    <t xml:space="preserve">Beach </t>
  </si>
  <si>
    <t>2700 B LK</t>
  </si>
  <si>
    <t>Columbus</t>
  </si>
  <si>
    <t>Bergen</t>
  </si>
  <si>
    <t>Driver had to walk in the alley 3 times to get all toters serviced</t>
  </si>
  <si>
    <t>Recycle toter was empty</t>
  </si>
  <si>
    <t>Driver had to go up and downstairs to get toter</t>
  </si>
  <si>
    <t>Long walk way to get to the toters</t>
  </si>
  <si>
    <t xml:space="preserve">785/799 </t>
  </si>
  <si>
    <t>Bay</t>
  </si>
  <si>
    <t xml:space="preserve">Service inside and on curb inside customer had no recycle </t>
  </si>
  <si>
    <t>Stairs to get to toter</t>
  </si>
  <si>
    <t>BAY</t>
  </si>
  <si>
    <t>Serviced curb side</t>
  </si>
  <si>
    <t>Cutomer talking with driver</t>
  </si>
  <si>
    <t xml:space="preserve">Long drive way driver had to do to trips </t>
  </si>
  <si>
    <t>Long walkway</t>
  </si>
  <si>
    <t xml:space="preserve"> Hill</t>
  </si>
  <si>
    <t>Two flight of stairs and narrow</t>
  </si>
  <si>
    <t>Long walk way and stairs</t>
  </si>
  <si>
    <t>32/33/34/36/41</t>
  </si>
  <si>
    <t>Houston</t>
  </si>
  <si>
    <t xml:space="preserve">Timed driver as block circle block </t>
  </si>
  <si>
    <t>Driver had wrong key to open toter</t>
  </si>
  <si>
    <t>Driver had to bill customer toters overflowing and on ground</t>
  </si>
  <si>
    <t>TOTER EMPTY</t>
  </si>
  <si>
    <t>DRIVER HAD TO WALK DOWN GREENWICH TO GRAB TOTERS</t>
  </si>
  <si>
    <t>TOTERS FAR FROM GARAGE ENTRANCE</t>
  </si>
  <si>
    <t>LONG WALK WAY TO TOTERS</t>
  </si>
  <si>
    <t>DRIVER HAD TO MAKE TWO TRIPS TO PICK UP TOTERS</t>
  </si>
  <si>
    <t>2154/64</t>
  </si>
  <si>
    <t>2150/60</t>
  </si>
  <si>
    <t>SERVICED IN SCOTLAND</t>
  </si>
  <si>
    <t>DRIVER HAD TO GO THRU FRONT DOOR TO GET TO THE GARAGE  LONG DRIVEWAY</t>
  </si>
  <si>
    <t xml:space="preserve">Greenwich </t>
  </si>
  <si>
    <t>EMPTY TOTER AND UP A FLIGHT OF STAIRS</t>
  </si>
  <si>
    <t>DRIVER HAD TO DO THREE TRIPS</t>
  </si>
  <si>
    <t>DRIVEER HAD TO DO THREE TRIPS</t>
  </si>
  <si>
    <t>STAIRS TO BRING DOWM TOTERS</t>
  </si>
  <si>
    <t>CUSTOMER WAS TALKING WITH DRIVER</t>
  </si>
  <si>
    <t>DRIVER HAD TO GO DOWN STAIRS AND CONSOLIDATED 2/32 TOTERS TO 1/64 TOTER</t>
  </si>
  <si>
    <t>SERVICED ON 000 LURMONT</t>
  </si>
  <si>
    <t xml:space="preserve">LONG DRIVEWAY TO GET TO TOTERS AND DRIVER HAD TO DO TWO TRIPS </t>
  </si>
  <si>
    <t xml:space="preserve">Cross </t>
  </si>
  <si>
    <t>TRUCK TURNED OFF</t>
  </si>
  <si>
    <t>LONG DRIVEWAY CONSOLIDATED TOTERS</t>
  </si>
  <si>
    <t>1767/75/83</t>
  </si>
  <si>
    <t>LONG WALKWAY TO TOTERS</t>
  </si>
  <si>
    <t xml:space="preserve">ANOTHER TRUCK PICKING UP TRASH </t>
  </si>
  <si>
    <t xml:space="preserve">TRAFFIC AND CONSTRUCTION </t>
  </si>
  <si>
    <t>TRAFFIC AND CONSTRUCTION</t>
  </si>
  <si>
    <t>CONSOLIDATED TO ONE 96 TOTER</t>
  </si>
  <si>
    <t>2255/2249</t>
  </si>
  <si>
    <t>NARROW STAIRS</t>
  </si>
  <si>
    <t>LONG WALKWAY AND STAIRS</t>
  </si>
  <si>
    <t>NARROW WALKWAY WITH STAIRS</t>
  </si>
  <si>
    <t>CONTRUCTION</t>
  </si>
  <si>
    <t xml:space="preserve">LONG WALKWAY TO GET TOTERS/ SLIGHT HILL ON DRIVEWAY/DRIVER TOOK TWO TRIPS TO COLLECT TOTERS/ TRUCK TURNED OFF DUE TO NO MOVEMENT  </t>
  </si>
  <si>
    <t>LONG DRIVEWAY TO TOTERS</t>
  </si>
  <si>
    <t>DRIVER HAD TO RETRIEVE TOTERS</t>
  </si>
  <si>
    <t>DRIVER HAD TO OPEN GATE</t>
  </si>
  <si>
    <t>DRIVER HAD TO WALK DOWN BLK TO GET TOTER</t>
  </si>
  <si>
    <t>DRIVER HAD TO GO TO TWO DIFFERENT GARAGES</t>
  </si>
  <si>
    <t>DRIVER HAD TO GO THRU FRONT DOOR TO GET TO GARAGE TO GET TOTER</t>
  </si>
  <si>
    <t xml:space="preserve">LONG, LOW, AND NARROW  WALKWAY </t>
  </si>
  <si>
    <t>1229-1261</t>
  </si>
  <si>
    <t>LONG WALKWAY TO GET TO TOTERS</t>
  </si>
  <si>
    <t>SERVICED AT TWO DIFFERENT LOCATIONS</t>
  </si>
  <si>
    <t>LONG DRIVEWAY TO GET TO TOTERS</t>
  </si>
  <si>
    <t>TWO PICKUP LOCATIONS</t>
  </si>
  <si>
    <t>TWO PICK UP LOCATIONS</t>
  </si>
  <si>
    <t xml:space="preserve">ANOTHER DRIVER AT SAME LOCATION </t>
  </si>
  <si>
    <t xml:space="preserve">SMALL AND NARROW WALKWAY TO GET TO GARAGE </t>
  </si>
  <si>
    <t>TWO DIFFERENT PICKUP LOCATIONS</t>
  </si>
  <si>
    <t xml:space="preserve">LONG WALKWAY IN GARAGE </t>
  </si>
  <si>
    <t>CONSOLIDATED 3/32 TOTERS TO ONE</t>
  </si>
  <si>
    <t>ODD</t>
  </si>
  <si>
    <t>DRIVER HAD TO THRU FRONT DOOR TO GET TOTERS</t>
  </si>
  <si>
    <t xml:space="preserve">TRUCK PARKED AT OPPOSITE SIDE </t>
  </si>
  <si>
    <t>DRIVER HAD TO GO THRU FRONT DOOR TO GET TO TOTERS</t>
  </si>
  <si>
    <t>LONG DARK WALKWAY TO GET TO TOTERS</t>
  </si>
  <si>
    <t>SERVICED A CHRISTMAS CUST TOTER WAS OUT</t>
  </si>
  <si>
    <t>LONG NARROW WALKWAY TO GET TO TOTERS</t>
  </si>
  <si>
    <t>TRUCK PARKED AT OPPOSITE SIDE / TWO PICKUP LOCATIONS</t>
  </si>
  <si>
    <t>LONG NARROW WALKWAY TO GET TO TOTERS / STAIRS</t>
  </si>
  <si>
    <t xml:space="preserve">LONG NARROW WALKWAY AND LITTLE LIGHT </t>
  </si>
  <si>
    <t xml:space="preserve">LONG DRIVEWAY/ DRIVER HAD TO DO TWO TRIPS </t>
  </si>
  <si>
    <t>NARROW WALKWAY AND CONSTRUCTION</t>
  </si>
  <si>
    <t>NARROW PATHWAY</t>
  </si>
  <si>
    <t>TOTER ORIGINALLY IN BUT DUE TO CONSTRUCTION TOTER WAS LEFT OUT ON CURB</t>
  </si>
  <si>
    <t>LONG WALKWAY WITH STAIRS</t>
  </si>
  <si>
    <t>NARROW WALKWAY DRIVER HAD TO DO TWO TRIPS</t>
  </si>
  <si>
    <t xml:space="preserve">LONG NARROW WALKWAY WITH STAIRS AND NO LIGHT </t>
  </si>
  <si>
    <t>LONG WALKWAY AND CONSTRUCTION</t>
  </si>
  <si>
    <t>TOTERS OUT IN THE LIGHT EASY TO GRAB</t>
  </si>
  <si>
    <t xml:space="preserve">LONG NARROW WALKWAY WITH STAIRS  </t>
  </si>
  <si>
    <t>SERVICED ON FRANKLIN</t>
  </si>
  <si>
    <t>TOTERS WERE EMPTY</t>
  </si>
  <si>
    <t xml:space="preserve">SERVICED OPPOSITE SIDE @ 1600 BLK ON VALLEJO </t>
  </si>
  <si>
    <t>LONG DRIVE AND WALKWAY</t>
  </si>
  <si>
    <t>LONG DRIVEWAY WITH SLIGHT HILL</t>
  </si>
  <si>
    <t>LONG WALKWAY AND 2 TRIPS</t>
  </si>
  <si>
    <t>TWO GATES, STAIRS, NARROW WALKWAY</t>
  </si>
  <si>
    <t>LONG DRIVEWAY TO GET TOTERS</t>
  </si>
  <si>
    <t>LONG DRIVEWAY TO TOTES</t>
  </si>
  <si>
    <t>STAIRS AND LONG NARROW WALKWAY/ 2 GATES</t>
  </si>
  <si>
    <t xml:space="preserve">NARROW STAIRWAY ONE TOTER AT A TIME </t>
  </si>
  <si>
    <t>NARROW WALKWAY WITH LITTLE LIGHT</t>
  </si>
  <si>
    <t>NARROW LONG DRIVEWAY</t>
  </si>
  <si>
    <t>SERVICED ON GREEN ST AND DRIVER HADT TO DO TWO TRIPS FOR TOTERS</t>
  </si>
  <si>
    <t xml:space="preserve">SHORT NARROW STAIRS LONG DRIVEWAY </t>
  </si>
  <si>
    <t>LONG DRIVEWAY/ 2 TRIPS/ CONSTRUCTION</t>
  </si>
  <si>
    <t>CONSTRUCTION</t>
  </si>
  <si>
    <t>LONG DRIVEWAY SLIGHT HILL IN DRIVEWAY</t>
  </si>
  <si>
    <t>TOTERS CLOSE TO GARAGE ENTRANCE</t>
  </si>
  <si>
    <t>SERVICED ON OPPOSITE SIDE</t>
  </si>
  <si>
    <t>HAD TO GO THRU FRONT DOOR TO GET TO GARAGE WHERE TOTERS WERE</t>
  </si>
  <si>
    <t>TWO LOCATIONS FOR PICKUP</t>
  </si>
  <si>
    <t xml:space="preserve">NARROW WALKWAY </t>
  </si>
  <si>
    <t>CONSOLIDATED TWO TOTERS TO ONE</t>
  </si>
  <si>
    <t>CONSTRUCTION AND LONG NARROW WALKWAY</t>
  </si>
  <si>
    <t>STAIRS AND LOW NARROW WALKWAY</t>
  </si>
  <si>
    <t>PICKUP TWO LOCATIONS</t>
  </si>
  <si>
    <t>SUPERVISOR CAME BY TO TALK TO DRIVER IN THE MIDDLE OF COLLECTING TOTERS</t>
  </si>
  <si>
    <t>LONG NARROW WALKWAY TO TOTERS</t>
  </si>
  <si>
    <t>DRIVER HELPED OTHER DRIVER THAT WAS OPICKING UP TRASH AT THE SAME TIME/ TWO PICKUP LOCATIONS</t>
  </si>
  <si>
    <t xml:space="preserve">SUPERVISOR CAME BY TO TALK TO DRIVER </t>
  </si>
  <si>
    <t>NARROW WALKWAY</t>
  </si>
  <si>
    <t>COMPACTOR WASN’T WORKING/ PICKUP AT TWO LOCATIONS</t>
  </si>
  <si>
    <t xml:space="preserve">DRIVER HAD TO SERVICE TWO 2YRD BUT ONLY DID ONE BECAUSE THERE WAS A FAN IN ON OF THE YRDS./ DRIVER HAD TO OPEN TWO GATES ONE TO GET TO THE COINTANER ANOTHER ONE TO GET CONTAINERS OUT </t>
  </si>
  <si>
    <t xml:space="preserve">TOTERS INFRONT OF CONTAINER </t>
  </si>
  <si>
    <t>PICKUP LOCATION AT FILLMORE AND GEARY</t>
  </si>
  <si>
    <t>DRIVER HAD TO OPEN GATE TO SERVICE CONTAINER</t>
  </si>
  <si>
    <t xml:space="preserve">CONTAINER OVERFLOWING/ DRIVER HAD TO GET OUT TO OPEN GATE AND HAD TO COME BACK IN TO GET TRUCK CLOSER TO CONTAINER </t>
  </si>
  <si>
    <t>DRIVER HAD TO UNLOCK AND LOCK CONTAINER</t>
  </si>
  <si>
    <t>SLIGHT HILL/ HEAVY/SLIPPERY FLOOR</t>
  </si>
  <si>
    <t>SERVICE ON BUSH</t>
  </si>
  <si>
    <t>CUST WAS SUPPOSED TO BE SERVICED ON 1/7/20</t>
  </si>
  <si>
    <t>LONG DRIVEWAY/ DRIVER HAD TO DO THREE TRIPS</t>
  </si>
  <si>
    <t>CONTAINERS WERE EMPTY</t>
  </si>
  <si>
    <t>2030/2032/2034</t>
  </si>
  <si>
    <t>SERVICED THREE CUSTOMERS</t>
  </si>
  <si>
    <t>Letterman Dr</t>
  </si>
  <si>
    <t>SESSIONS RESTAURANT</t>
  </si>
  <si>
    <t>STARBUCKS COFFEE SHOP</t>
  </si>
  <si>
    <t>TWO PICKUP LOCATIONS LOOK BELLOW AT CELL 893</t>
  </si>
  <si>
    <t xml:space="preserve">SECOND PICK UP LOCATION </t>
  </si>
  <si>
    <t>1625/1645</t>
  </si>
  <si>
    <t>1645 VANNESS HAS THREE R2 BUT ONLY ONE WAS SERVICED BECAUSE THE OTHER TWO WERE EMPTY</t>
  </si>
  <si>
    <t>HEAVY TRAFFIC</t>
  </si>
  <si>
    <t>Peter Yorke</t>
  </si>
  <si>
    <t>SERVICED @ GEARY AND FILLMORE/ 2 OTHER CONTAINERS INFRONT OF RECYCLING CONTAINER</t>
  </si>
  <si>
    <t>DRIVER HAD TO OPEN TWO GATES TO AND LONG DRIVEWAY/ R2 AND ONE 96 TOTER DIDN’T NEED SERVICE</t>
  </si>
  <si>
    <t>DELIVERY TRUCK IN THE WAY</t>
  </si>
  <si>
    <t>1Bail</t>
  </si>
  <si>
    <t>DRIVER HAD TO OPEN TWO GATES TO GET CONTAINER</t>
  </si>
  <si>
    <t xml:space="preserve">TWO PICKUP LOCATIONS </t>
  </si>
  <si>
    <t>DRIVER HAD TO DRIVE UP ALITTLE TO PICK UP THIRD CONTAINER AND THE THIRD CONTAINER WAS LOCKED</t>
  </si>
  <si>
    <t>LOCKED CONTAINERS</t>
  </si>
  <si>
    <t>1267/1270</t>
  </si>
  <si>
    <t>BOTH ADDRESSES HAVE SAME ACCOUNT</t>
  </si>
  <si>
    <t>Fort Mason</t>
  </si>
  <si>
    <t xml:space="preserve">LONG WALKWAY TO GET TO TOTERS </t>
  </si>
  <si>
    <t>EMPLOYEE HELPED DRIVER BRING OUT AND IN TOTERS</t>
  </si>
  <si>
    <t>Fisher Loop</t>
  </si>
  <si>
    <t>ONE CONTAINER HAD A DENT AND DRIVER HAD AN ISSUE DUMPING INTO TRUCK</t>
  </si>
  <si>
    <t xml:space="preserve">Cowels </t>
  </si>
  <si>
    <t xml:space="preserve">CONTAINER WAS NOT OUT </t>
  </si>
  <si>
    <t>LOCK WAS STICKING COULDN’T OPEN TOTER RIGHT AWAY</t>
  </si>
  <si>
    <t>PICK UP AT TWO LOCATIONS SEE ROW 941</t>
  </si>
  <si>
    <t>SECOND PICK UP LOCATION ON ELLIS FOR RIW 940</t>
  </si>
  <si>
    <t>DRIVER HAD TO CALL GUARD TO OPEN THE GATE</t>
  </si>
  <si>
    <t>SERVICED ON CEDAR</t>
  </si>
  <si>
    <t>STAIRS TO GET TOTERS/ SERVICED ON CEDAR</t>
  </si>
  <si>
    <t>SERVICED ON HEMLOCK ALLEY</t>
  </si>
  <si>
    <t>SERVICED ON HEMLOCK ALLEY/ DRIVER HAD TO WALK INTO ALLEY TO WALK INTO ALLEY TO GRAB TOTERS</t>
  </si>
  <si>
    <t xml:space="preserve"> DRIVER HAD TO MOVE TRASH TOTERS INFRONT OF RECYCLE TOTERS  TO RETRIEVE THEM</t>
  </si>
  <si>
    <t>LOW NARROW WALKWAY/ DRIVER HAD TO RETRIEVE EACH TOTER ONE AT A TIME</t>
  </si>
  <si>
    <t>LONG WALKWAY TO GET TO TOTERS  CLOSE TO BACK YARD</t>
  </si>
  <si>
    <t>STAIRS AND LONG WALKWAY TO TOTERS</t>
  </si>
  <si>
    <t>CUST HAS 5 TOTERS ONLY 2 WERE SERVICED THE OTHER 3 WERE EMPTY</t>
  </si>
  <si>
    <t>STAIRS IN ENTRANCE</t>
  </si>
  <si>
    <t>SERVICED ON JONES ON CURB</t>
  </si>
  <si>
    <t>TOTAL OF SIX TOTERS BUT ONLY TWO NEEDED TO BE SERVICED/ TRASH TOTERS INFRONT OF RECYCLING TOTERS</t>
  </si>
  <si>
    <t xml:space="preserve">NARROW WALKWAY DRIVER HAD TO TAKE ONE TOTER AT A TIME </t>
  </si>
  <si>
    <t xml:space="preserve">STAIRS TO GET TOTERS </t>
  </si>
  <si>
    <t>STAIRS TO GET TOTERS</t>
  </si>
  <si>
    <t>STAIRS ON WALKWAY</t>
  </si>
  <si>
    <t>628/511</t>
  </si>
  <si>
    <t>O'Farrell/ Leavenworth</t>
  </si>
  <si>
    <t xml:space="preserve">SERVICED ON COSMO </t>
  </si>
  <si>
    <t>SERVICED ON COSMO / TWO FLIGHTS OF STAIRS</t>
  </si>
  <si>
    <t>SERVICED ON TAYLOR</t>
  </si>
  <si>
    <t>DRIVER RANG DOOR BELL TO ENTER BUILDING NOONE IN FRONT DESK TO OPEN DOOR/ DRIVER WAITED 1.5 MINS BEFORE SOMEONE OPENED THE DOOR</t>
  </si>
  <si>
    <t>STAIRS NARROW WALKWAY TO GET TOTERS</t>
  </si>
  <si>
    <t>STAIRS NARROW WALKWAY TO GET TOTERS/ DRIVER HAD TO TAKE TOTERS OUT ONE BY ONE</t>
  </si>
  <si>
    <t xml:space="preserve">RAMP TO GET TOTERES IN AND OUT/ NARROW WALKWAY </t>
  </si>
  <si>
    <t>WALKWAY NARROW</t>
  </si>
  <si>
    <t>DRIVER HAD TO TAKE ELEVATOR AND THERE WAS TWO PICKUP LOCATIONS</t>
  </si>
  <si>
    <t>SERVICED ON SUTTER</t>
  </si>
  <si>
    <t>TRAFFIC</t>
  </si>
  <si>
    <t>STAIRS, GATE, AND DOOR TO GET TOTER</t>
  </si>
  <si>
    <t>RAMP AND STAIRS TO GET TO TOTERS</t>
  </si>
  <si>
    <t>LONG WALKWAY IN GARAGE/ GARAGE DOOR CLOSED BEFORE DRIVER GOT BACK WITH TOTERS</t>
  </si>
  <si>
    <t>DRIVER HAD TO CROSS ST. WAITED FOR TRAFFIC TO GO BY</t>
  </si>
  <si>
    <t xml:space="preserve">STAIRS WITH LONG WALKWAY AND TRAFFIC </t>
  </si>
  <si>
    <t>TWO FLIGHTS OF STAIRS</t>
  </si>
  <si>
    <t>TOTAL OF FOUR TOTERS BUT ONLY TWO NEEDED SERVICE</t>
  </si>
  <si>
    <t>SERVICED ON HYDE / DRIVER WAS TALKING TO CUSTOMER</t>
  </si>
  <si>
    <t xml:space="preserve">  1/9/2020</t>
  </si>
  <si>
    <t>SERVICED ON BUCHANNAN/ STAIRS AND LONG WALKWAY</t>
  </si>
  <si>
    <t>SERVICED ON BROMLEY</t>
  </si>
  <si>
    <t>STAIRS LONG WALKWAY AND OTHER DRIVER WAS THERER PICKING UP TRASH TOTERS</t>
  </si>
  <si>
    <t>SERVICED ON PACIFIC</t>
  </si>
  <si>
    <t>STAIRS AND NARROW WALKWAY</t>
  </si>
  <si>
    <t>Normandie Terr</t>
  </si>
  <si>
    <t>CONSTRUCTION AND STAIRS</t>
  </si>
  <si>
    <t>DRIVERS SERVICED 1/2 TOTERS ONE WAS EMPTY / TWO FLIGHTS OF STAIRS</t>
  </si>
  <si>
    <t xml:space="preserve">NARROW AND LONG DRIVEWAY </t>
  </si>
  <si>
    <t>LONG DRIVEWAY AND GARAGE WAS NOT WORKING</t>
  </si>
  <si>
    <t>SERVICED ON FILLMORE</t>
  </si>
  <si>
    <t>2200/2204/2206</t>
  </si>
  <si>
    <t xml:space="preserve">CONSTRUCTION  </t>
  </si>
  <si>
    <t xml:space="preserve">COMPACTOR NOT WORKING </t>
  </si>
  <si>
    <t>2228/2240</t>
  </si>
  <si>
    <t>NARROW WALKWAY AND LONG DRIVEWAY</t>
  </si>
  <si>
    <t>SERVICED ON STEINER/ NARROW WALKWAY</t>
  </si>
  <si>
    <t xml:space="preserve">LONG DRIVEWAY AND SLIGHT RAMP/ DRIVER SERVICED 1/2 96 </t>
  </si>
  <si>
    <t>2326/2328</t>
  </si>
  <si>
    <t>DUPLEX</t>
  </si>
  <si>
    <t>NARROW WALKWAY TO TOTERS</t>
  </si>
  <si>
    <t>NARROW WALKWAY AND STAIRS</t>
  </si>
  <si>
    <t>LOW ENTRANCE LONG WALKWAY AND STAIRS</t>
  </si>
  <si>
    <t>CONSOLIDATED 3/32 TO 1/96</t>
  </si>
  <si>
    <t xml:space="preserve">2800 / 2501 </t>
  </si>
  <si>
    <t>Scott/ Union</t>
  </si>
  <si>
    <t>UNION ADRESS SERVICED ON SCOTT</t>
  </si>
  <si>
    <t>SERVICED ON GREEN AND THERE WERE TWO FLIGHT OF STAIRS TO GET TOTERS</t>
  </si>
  <si>
    <t>2800 / 2856</t>
  </si>
  <si>
    <t>SERVICED ON SCOTT AND STAIRS</t>
  </si>
  <si>
    <t xml:space="preserve">SERVICED ON SCOTT  </t>
  </si>
  <si>
    <t>STAIRS DRIVER USUALLY SERVINCES TWO 96 BUT ONLY ONE NEEDED IT</t>
  </si>
  <si>
    <t>SERVICED ON GREENWHICH</t>
  </si>
  <si>
    <t>SERVICED ON FILBERT</t>
  </si>
  <si>
    <t>2351/2345</t>
  </si>
  <si>
    <t>COMPACTOR NOT WORKING AND TALKING WITH CUSTOMER</t>
  </si>
  <si>
    <t>3031/3025</t>
  </si>
  <si>
    <t>SERVICED AT THE SAME TIME</t>
  </si>
  <si>
    <t xml:space="preserve">SERVICED ON STEINER </t>
  </si>
  <si>
    <t>2355/2369</t>
  </si>
  <si>
    <t>2 FLIGHTS OF STAIRS AND DRIVER TALKING WITH CUSTOMER</t>
  </si>
  <si>
    <t>STAIRS/ SERVICED ON UNION</t>
  </si>
  <si>
    <t>Driver charged custumer for extra recycle</t>
  </si>
  <si>
    <t>Usually one toter</t>
  </si>
  <si>
    <t>Two locations for pickup/ narrow walkway/ driver charged for an extra toter</t>
  </si>
  <si>
    <t>Long narrow walkway/ serviced on fillmore</t>
  </si>
  <si>
    <t>Serviced on Fillmore</t>
  </si>
  <si>
    <t>Trash was in the way</t>
  </si>
  <si>
    <t>Stairs/ long narrow walkway/ serviced on Fillmore</t>
  </si>
  <si>
    <t>Go thru front door to back yard to get toters</t>
  </si>
  <si>
    <t>Serviced on Fillmore/ Driver had to go thru front door to get to the garave to retrieve toters/ Long driveway</t>
  </si>
  <si>
    <t>Narrow walkway with stairs</t>
  </si>
  <si>
    <t>Driver had to go thru front door to get toters</t>
  </si>
  <si>
    <t>Liong walkway/ three gates to get to toters</t>
  </si>
  <si>
    <t xml:space="preserve">Long narrow walkway </t>
  </si>
  <si>
    <t>Low entrance with stairs</t>
  </si>
  <si>
    <t>Driver charged for an extra 96</t>
  </si>
  <si>
    <t>Driver charged for a 32 extra</t>
  </si>
  <si>
    <t>Narrow walkway and gate inside to get to toters</t>
  </si>
  <si>
    <t>Serviced on Buchanan / Stairs</t>
  </si>
  <si>
    <t>Narrow</t>
  </si>
  <si>
    <t xml:space="preserve">Long walkway </t>
  </si>
  <si>
    <t>Driver has to go trru front door to get to toters in the garage</t>
  </si>
  <si>
    <t>Serviced on Jackcon</t>
  </si>
  <si>
    <t>Driver stepped in dog poop</t>
  </si>
  <si>
    <t>Serviced on Bromley</t>
  </si>
  <si>
    <t>Long narrow walkway</t>
  </si>
  <si>
    <t>Long driveway with cars in the way</t>
  </si>
  <si>
    <t xml:space="preserve">Stairs </t>
  </si>
  <si>
    <t>Driver charged for an extra 32</t>
  </si>
  <si>
    <t xml:space="preserve">Long driveway </t>
  </si>
  <si>
    <t>2307/2301</t>
  </si>
  <si>
    <t>Serviced at the same timw</t>
  </si>
  <si>
    <t>Long driveway</t>
  </si>
  <si>
    <t>A lot of stairs and narrow walkway</t>
  </si>
  <si>
    <t>2550/2536</t>
  </si>
  <si>
    <t>A lot of stairs / Serviced on Vallejo</t>
  </si>
  <si>
    <t>Serviced on Vallejo</t>
  </si>
  <si>
    <t>Long driveway/ driver had to make three trips</t>
  </si>
  <si>
    <t>Long driveway / driver had to make two trips</t>
  </si>
  <si>
    <t>Long driveway with a slight ramp</t>
  </si>
  <si>
    <t>Parked on opposite side</t>
  </si>
  <si>
    <t>Narrow walkway</t>
  </si>
  <si>
    <t>Long narrow walkwy with stairs</t>
  </si>
  <si>
    <t>Stairs with long walkway</t>
  </si>
  <si>
    <t>Construction/Long narrow walkway with stairs</t>
  </si>
  <si>
    <t>Construction and stairs where toters were in</t>
  </si>
  <si>
    <t>Toters in enclosure</t>
  </si>
  <si>
    <t>Heavy toters/ long narrow walkway</t>
  </si>
  <si>
    <t>Stairs at the entrance and in the middle of the walkway</t>
  </si>
  <si>
    <t>Consolidated/ long narrow walkway</t>
  </si>
  <si>
    <t>Long driveway with slight ramp</t>
  </si>
  <si>
    <t>Serviced on Steiner / Narrow walkway</t>
  </si>
  <si>
    <t>Slight ramp up driveway to get to toters</t>
  </si>
  <si>
    <t>2320/22/24</t>
  </si>
  <si>
    <t>Serviced all at the same time, but they are all different accounts</t>
  </si>
  <si>
    <t>Long driveway with ramp to get to toters</t>
  </si>
  <si>
    <t>Serviced on Greenwhich</t>
  </si>
  <si>
    <t>Talking with customer</t>
  </si>
  <si>
    <t>Serviced on Scott/  Narrow walkway/ Chgd cust xt 96</t>
  </si>
  <si>
    <t>Long and narrow walkway with stairs</t>
  </si>
  <si>
    <t>Consolidated 3/96 to 2/96 Driveway with ramp</t>
  </si>
  <si>
    <t xml:space="preserve">Long narrow walkway with stairs/ Construction </t>
  </si>
  <si>
    <t xml:space="preserve">Driver charged for an extra 32/ Narrow walkway and a flight of stairs </t>
  </si>
  <si>
    <t>Serviced on Divisadero</t>
  </si>
  <si>
    <t>Driver charged for an xt 96</t>
  </si>
  <si>
    <t>Trash toters in the way had to take them out first to retrieve recycle toters</t>
  </si>
  <si>
    <t>Compactor running slow/ Driver had to go thru front door to get to garage</t>
  </si>
  <si>
    <t>2525/2527</t>
  </si>
  <si>
    <t>20 stairs</t>
  </si>
  <si>
    <t xml:space="preserve">Narrow walkway two flights of starirs </t>
  </si>
  <si>
    <t>Serviced on Union/ narrow walkway with stairs</t>
  </si>
  <si>
    <t>Serviced on Cedar Alley</t>
  </si>
  <si>
    <t>Serviced on Hemlock Alley</t>
  </si>
  <si>
    <t>Meacham Alley</t>
  </si>
  <si>
    <t>Serviced on Post</t>
  </si>
  <si>
    <t>Locked</t>
  </si>
  <si>
    <t>Ramp to get to toters</t>
  </si>
  <si>
    <t>Serviced on Cosmo</t>
  </si>
  <si>
    <t>Low and narrow stairs/ Serviced 1/2 96 toter</t>
  </si>
  <si>
    <t>Parked on opposite side and toter was locked</t>
  </si>
  <si>
    <t xml:space="preserve">Parked on opposite side </t>
  </si>
  <si>
    <t>Locked and parked on opposite side</t>
  </si>
  <si>
    <t xml:space="preserve">Leavenworth </t>
  </si>
  <si>
    <t>Consolidated 8/96 toters to 4 / Serviced on Sutter</t>
  </si>
  <si>
    <t>Locks on toters</t>
  </si>
  <si>
    <t>Stairs/ Had to go thru front door to get to garage to access toters</t>
  </si>
  <si>
    <t>Stairs and long walk ways</t>
  </si>
  <si>
    <t>Traffic and narrow walkway</t>
  </si>
  <si>
    <t>Consolidated 2/96 to 1/96</t>
  </si>
  <si>
    <t>2112/2118</t>
  </si>
  <si>
    <t>Driver had to go thru front door to get to garage to retrieve toters</t>
  </si>
  <si>
    <t xml:space="preserve">Consolidated 2/96 to 1/96  //Long narrow walkway </t>
  </si>
  <si>
    <t>2196/2198</t>
  </si>
  <si>
    <t>Long narrow walkway with stairs</t>
  </si>
  <si>
    <t>Long walkway to get to toters and cars parked in the way</t>
  </si>
  <si>
    <t>Consolidated 3/96 to 1/96</t>
  </si>
  <si>
    <t>Go thru front door to get to garage to grab toters</t>
  </si>
  <si>
    <t>2300/2304/2306</t>
  </si>
  <si>
    <t>2300/2306</t>
  </si>
  <si>
    <t>2228/2240/2240</t>
  </si>
  <si>
    <t>Two pickup locations</t>
  </si>
  <si>
    <t>Long driveway slight ramp</t>
  </si>
  <si>
    <t>2350/2360</t>
  </si>
  <si>
    <t>Narrow long walkway with stais/ Narrow walkway</t>
  </si>
  <si>
    <t>Serviced on Filbert</t>
  </si>
  <si>
    <t>Serviced on Scott</t>
  </si>
  <si>
    <t>Stairs and narrow walkway</t>
  </si>
  <si>
    <t>Narrow walkway with stairs/ driver had to service one toter at a time</t>
  </si>
  <si>
    <t>Long walkway with ramp and stairs</t>
  </si>
  <si>
    <t>17 stairs</t>
  </si>
  <si>
    <t>21 stairs</t>
  </si>
  <si>
    <t>Serviced on Greenwich</t>
  </si>
  <si>
    <t>Slight ramp in driveway and long walk to get to toters</t>
  </si>
  <si>
    <t>28 stairs</t>
  </si>
  <si>
    <t>Contaminated not picked up</t>
  </si>
  <si>
    <t>Consolidated 4/96 to 2/96</t>
  </si>
  <si>
    <t>Driver charged for extra 32</t>
  </si>
  <si>
    <t>3532/3235</t>
  </si>
  <si>
    <t>Serviced at the same time</t>
  </si>
  <si>
    <t>Serviced 1/96 out of 2/96</t>
  </si>
  <si>
    <t>3631/3633</t>
  </si>
  <si>
    <t>Garage door not working</t>
  </si>
  <si>
    <t xml:space="preserve">Only serviced 1/2 </t>
  </si>
  <si>
    <t>Driver charged for an extra 64</t>
  </si>
  <si>
    <t>Serviced on Magnolia</t>
  </si>
  <si>
    <t>Magnolia</t>
  </si>
  <si>
    <t>Serviced on Chestnut</t>
  </si>
  <si>
    <t>Serviced 1/2 empty</t>
  </si>
  <si>
    <t>Code not working for garage</t>
  </si>
  <si>
    <t>2 Pickup locations</t>
  </si>
  <si>
    <t xml:space="preserve"> Narrow walkway</t>
  </si>
  <si>
    <t>Srviced 1/2  narrow long walkway</t>
  </si>
  <si>
    <t>Service on Bay/ Driver had to use the restroom</t>
  </si>
  <si>
    <t>Service on Gough</t>
  </si>
  <si>
    <t>1660/1800</t>
  </si>
  <si>
    <t>Bay/ Chestnut</t>
  </si>
  <si>
    <t>Traffic while crossing street/ Chestnut address serviced on Bay</t>
  </si>
  <si>
    <t>Serviced on Webster long narrow walkway</t>
  </si>
  <si>
    <t xml:space="preserve">Serviced on Webster  </t>
  </si>
  <si>
    <t>Serviced on North Point long walkway with stairs</t>
  </si>
  <si>
    <t xml:space="preserve">Serviced on Jefferson/ long walkway / driver was only able to service 1/96 out of 2/96 due to toter being too heavy </t>
  </si>
  <si>
    <t xml:space="preserve">Serviced on Jefferson/ long walkway  </t>
  </si>
  <si>
    <t>Serviced on Webster/ long narrow walkway</t>
  </si>
  <si>
    <t>Driver only service 1 out of 2/96 / servived on webster/ long walkway</t>
  </si>
  <si>
    <t>Serviced on Webster / Serviced 1 out of 2/96</t>
  </si>
  <si>
    <t>Serviced on Webster</t>
  </si>
  <si>
    <t>All city cans</t>
  </si>
  <si>
    <t xml:space="preserve">Serviced on North Point  </t>
  </si>
  <si>
    <t>Serviced on Bay</t>
  </si>
  <si>
    <t>Two pickup lovcations</t>
  </si>
  <si>
    <t>Dark narrow walkway with stairs</t>
  </si>
  <si>
    <t>2400/2500</t>
  </si>
  <si>
    <t>Fillmore/Washington</t>
  </si>
  <si>
    <t>City Can(1)</t>
  </si>
  <si>
    <t>Serviced on Washington / long narrow walkway with two flights of stairs</t>
  </si>
  <si>
    <t>2548/2560</t>
  </si>
  <si>
    <t>Two flight of stairs</t>
  </si>
  <si>
    <t>Long walkway with stairs</t>
  </si>
  <si>
    <t>Narrow long walkway with stairs and traffic</t>
  </si>
  <si>
    <t>Consolidated</t>
  </si>
  <si>
    <t>Serviced on Steiner/ narrow walkway with stairs</t>
  </si>
  <si>
    <t>Low narrow walkway with stairs</t>
  </si>
  <si>
    <t>Long driveway with stairs consolidated to one 96 toter</t>
  </si>
  <si>
    <t>Serviced on Normandi</t>
  </si>
  <si>
    <t>Empty toters</t>
  </si>
  <si>
    <t>3298/140/142</t>
  </si>
  <si>
    <t>Washington/Presidio</t>
  </si>
  <si>
    <t>Serviced on 100 BLK Predidio/ Stairs</t>
  </si>
  <si>
    <t xml:space="preserve"> Construction</t>
  </si>
  <si>
    <t>About 40 steps</t>
  </si>
  <si>
    <t>Staris</t>
  </si>
  <si>
    <t>Raycliff</t>
  </si>
  <si>
    <t>Stairs about 30</t>
  </si>
  <si>
    <t>3070/3080</t>
  </si>
  <si>
    <t>Serviced on Cedar Alley/ Narrow walkway</t>
  </si>
  <si>
    <t>Serviced on Cedar Alley/ Low entrance with narrow walkway and stairs</t>
  </si>
  <si>
    <t>Once city can</t>
  </si>
  <si>
    <t>Serviced on Hemlock</t>
  </si>
  <si>
    <t xml:space="preserve">Stairs/ Driver recommmends ramp </t>
  </si>
  <si>
    <t>Ramp</t>
  </si>
  <si>
    <t xml:space="preserve">Staris narrow walkway </t>
  </si>
  <si>
    <t>Stairs narrow walkway</t>
  </si>
  <si>
    <t>Staris low and narrow entrance</t>
  </si>
  <si>
    <t>Stairs with narrow walkway</t>
  </si>
  <si>
    <t>Consolidated 5/32 to 3/32</t>
  </si>
  <si>
    <t>Locked toters</t>
  </si>
  <si>
    <t>Long walkway two gates to open to get to totters</t>
  </si>
  <si>
    <t>Serviced at same time / Stairs narrow walkway</t>
  </si>
  <si>
    <t>One city can</t>
  </si>
  <si>
    <t>Staris/ narrow walkway</t>
  </si>
  <si>
    <t>Traffic/ Parked across street/ Stairs to get to toters</t>
  </si>
  <si>
    <t>Slight hill to get to toters</t>
  </si>
  <si>
    <t>Servinced on Myrtle/ Compost contaminated</t>
  </si>
  <si>
    <t xml:space="preserve">Serviced on Myrtle </t>
  </si>
  <si>
    <t>Serviced on Hemlock / Long driveway with steep ramp</t>
  </si>
  <si>
    <t>Steep stairs approx 15 steps narrow walkway/ Serviced on Hemlock</t>
  </si>
  <si>
    <t>Stairs approx 15 narrow walkway one toter at a time / serviced on Hemlock</t>
  </si>
  <si>
    <t>Two gats to get to toters / serviced on Hemlock</t>
  </si>
  <si>
    <t>Driver parked across the street</t>
  </si>
  <si>
    <t>Parked across the street / Heavy traffic</t>
  </si>
  <si>
    <t>Stairs/ Two gates to get to toters</t>
  </si>
  <si>
    <t>Staris / Two pick up locations</t>
  </si>
  <si>
    <t xml:space="preserve">Two pick up locations </t>
  </si>
  <si>
    <t>Driver charged for an xtra 64/ Sderviced on Lombard</t>
  </si>
  <si>
    <t>1635 was serviced at the same time</t>
  </si>
  <si>
    <t>1611 was serviced at the same time</t>
  </si>
  <si>
    <t>1465/1463</t>
  </si>
  <si>
    <t xml:space="preserve">Serviced on Green street </t>
  </si>
  <si>
    <t>1615/1621</t>
  </si>
  <si>
    <t>2/32 compost toters contaminated</t>
  </si>
  <si>
    <t>Imperial</t>
  </si>
  <si>
    <t>Key, menuver around gas pumps, super heavy, walk about 25 yards</t>
  </si>
  <si>
    <t>Code, heavy</t>
  </si>
  <si>
    <t>Key, walk 15 yards</t>
  </si>
  <si>
    <t>Garage Opener</t>
  </si>
  <si>
    <t>Lancing</t>
  </si>
  <si>
    <t>30/50</t>
  </si>
  <si>
    <t>Pull into parking garage</t>
  </si>
  <si>
    <t>Ferry</t>
  </si>
  <si>
    <t>Pier 1/2</t>
  </si>
  <si>
    <t>Peir 1/2</t>
  </si>
  <si>
    <t>Empty</t>
  </si>
  <si>
    <t>walk about 15 yards</t>
  </si>
  <si>
    <t>walk about 50 yards</t>
  </si>
  <si>
    <t>138/135</t>
  </si>
  <si>
    <t>Key, wait until garage closes</t>
  </si>
  <si>
    <t>Key fob to open gate</t>
  </si>
  <si>
    <t>1965/1967</t>
  </si>
  <si>
    <t>Stairs, Narrrow Hall</t>
  </si>
  <si>
    <t>Stairs, Narrow Hall</t>
  </si>
  <si>
    <t>3124/3126/3128</t>
  </si>
  <si>
    <t>Key, Distance</t>
  </si>
  <si>
    <t>Serviced on Polk, stairs, Key</t>
  </si>
  <si>
    <t>Serviced on Beach</t>
  </si>
  <si>
    <t>Key, serviced on Bay</t>
  </si>
  <si>
    <t>20/22</t>
  </si>
  <si>
    <t>Moore</t>
  </si>
  <si>
    <t>23/30</t>
  </si>
  <si>
    <t>Key, 2 areas</t>
  </si>
  <si>
    <t>2620/2626</t>
  </si>
  <si>
    <t>2640-2052</t>
  </si>
  <si>
    <t>1258/1256</t>
  </si>
  <si>
    <t>Key, 2 areas, Serviced on Polk</t>
  </si>
  <si>
    <t>1263/1265/1269</t>
  </si>
  <si>
    <t>1249/1251/1261/1259</t>
  </si>
  <si>
    <t>1219/1239</t>
  </si>
  <si>
    <t>Serviced on Lombard, Key</t>
  </si>
  <si>
    <t>1342/1344</t>
  </si>
  <si>
    <t>1354/1356/1358/1360</t>
  </si>
  <si>
    <t>Key,2 areas</t>
  </si>
  <si>
    <t>1363/1365</t>
  </si>
  <si>
    <t>1337/1339</t>
  </si>
  <si>
    <t>1343/1345</t>
  </si>
  <si>
    <t>1319/1321</t>
  </si>
  <si>
    <t>Code, 2 areas, Serviced on Greenwhich</t>
  </si>
  <si>
    <t>Distance, Key</t>
  </si>
  <si>
    <t>Key, Stairs, Serviced on Polk</t>
  </si>
  <si>
    <t>Key, serviced on Polk</t>
  </si>
  <si>
    <t>Key, serviced on Chestnut</t>
  </si>
  <si>
    <t>Key Narrow</t>
  </si>
  <si>
    <t>Hastings</t>
  </si>
  <si>
    <t xml:space="preserve">x2 City Can </t>
  </si>
  <si>
    <t>Key, Serviced on Hyde</t>
  </si>
  <si>
    <t>Serviced on Hyde</t>
  </si>
  <si>
    <t>967/969/955</t>
  </si>
  <si>
    <t>North View</t>
  </si>
  <si>
    <t>N/A</t>
  </si>
  <si>
    <t>Serviced on Hyde, distance</t>
  </si>
  <si>
    <t>838/840/842</t>
  </si>
  <si>
    <t>959/961</t>
  </si>
  <si>
    <t>937/935</t>
  </si>
  <si>
    <t>832/842/844/848</t>
  </si>
  <si>
    <t>Distance, Stairs, Key</t>
  </si>
  <si>
    <t>Serviced on Polk</t>
  </si>
  <si>
    <t>1070/1072/1074/1076/1078</t>
  </si>
  <si>
    <t>Key,stairs, distance</t>
  </si>
  <si>
    <t>Key, 3 areas</t>
  </si>
  <si>
    <t>2379-2375</t>
  </si>
  <si>
    <t>Locked door, Stairs, 40 ft to totes</t>
  </si>
  <si>
    <t>Service through garage, locked door, 1 step, 2nd door to totes</t>
  </si>
  <si>
    <t>Locked door, 60 ft to totes</t>
  </si>
  <si>
    <t>Jackson &amp; Webster</t>
  </si>
  <si>
    <t>Service on Webster, driver grabbed city can as well</t>
  </si>
  <si>
    <t>Union &amp; Buchanan</t>
  </si>
  <si>
    <t>2 city cans, condensed into one 96 gal</t>
  </si>
  <si>
    <t>Union &amp; Webster</t>
  </si>
  <si>
    <t>Driver picked up city can too</t>
  </si>
  <si>
    <t>2184-2190</t>
  </si>
  <si>
    <t>Fillmore &amp; Union</t>
  </si>
  <si>
    <t>Locked door, 1 step, 50 ft to totes</t>
  </si>
  <si>
    <t>Locked door, 40 ft to totes, 2nd door to totes, small stair</t>
  </si>
  <si>
    <t>Locked gate, stairs, low head clearance</t>
  </si>
  <si>
    <t>Driver grabbed city can too</t>
  </si>
  <si>
    <t>3 extra bags</t>
  </si>
  <si>
    <t>3012-3028</t>
  </si>
  <si>
    <t>3036-3048</t>
  </si>
  <si>
    <t>Filbert &amp; Fillmore</t>
  </si>
  <si>
    <t>3106-3108</t>
  </si>
  <si>
    <t>Service on Moulton</t>
  </si>
  <si>
    <t>Locked door, 10+ stairs, condensed into less totes, narrow</t>
  </si>
  <si>
    <t>2120-2184</t>
  </si>
  <si>
    <t>Fillmore &amp; Greenwich</t>
  </si>
  <si>
    <t>Service on Moulton, back into alley</t>
  </si>
  <si>
    <t>Locked door, 2 stairs, 50 ft to totes</t>
  </si>
  <si>
    <t>2143-2131</t>
  </si>
  <si>
    <t>Locked door, narrow, 20 ft to totes, city can too</t>
  </si>
  <si>
    <t>2212-2214</t>
  </si>
  <si>
    <t>2274-2278</t>
  </si>
  <si>
    <t>2293-2291</t>
  </si>
  <si>
    <t>Locked door, Separated items between garbage and compost</t>
  </si>
  <si>
    <t>2269-2263</t>
  </si>
  <si>
    <t>Service on Greenwich, over filled, customer spoke with driver</t>
  </si>
  <si>
    <t>Greenwich &amp; Fillmore</t>
  </si>
  <si>
    <t>Key did not work</t>
  </si>
  <si>
    <t>Pixley &amp; Fillmore</t>
  </si>
  <si>
    <t>2159-2145</t>
  </si>
  <si>
    <t>2135-2133</t>
  </si>
  <si>
    <t>2129-2125</t>
  </si>
  <si>
    <t>2964/2075</t>
  </si>
  <si>
    <t>Webster/Filbert</t>
  </si>
  <si>
    <t>Service on Filbert, stairs, narrow, locked door</t>
  </si>
  <si>
    <t>2053-2069</t>
  </si>
  <si>
    <t>Greenwich/Buchanan</t>
  </si>
  <si>
    <t>2010-2000</t>
  </si>
  <si>
    <t>2034-2038</t>
  </si>
  <si>
    <t>Service on Filbert, 2 stairs, 30 ft to totes</t>
  </si>
  <si>
    <t>2130-2140</t>
  </si>
  <si>
    <t>2160-2158</t>
  </si>
  <si>
    <t>2180-2198</t>
  </si>
  <si>
    <t>2208-3105</t>
  </si>
  <si>
    <t>Filbert/Fillmore</t>
  </si>
  <si>
    <t>Service on Filbert</t>
  </si>
  <si>
    <t>2246-2248</t>
  </si>
  <si>
    <t>2260-2266</t>
  </si>
  <si>
    <t>2268-2280</t>
  </si>
  <si>
    <t>Locked door, 2 steps, driver grabbed city can too (55 seconds)</t>
  </si>
  <si>
    <t>City can, 1 extra bag</t>
  </si>
  <si>
    <t>2261-2257</t>
  </si>
  <si>
    <t>Extra bag x1</t>
  </si>
  <si>
    <t>CL</t>
  </si>
  <si>
    <t>Lock on tote x2, service on Filbert</t>
  </si>
  <si>
    <t>Locked door, stairs, 100 ft to totes, narrow</t>
  </si>
  <si>
    <t>3011-3009</t>
  </si>
  <si>
    <t>2959-2953</t>
  </si>
  <si>
    <t>2943-2935</t>
  </si>
  <si>
    <t>Locked door, 5 stairs</t>
  </si>
  <si>
    <t>Locked door, 3 stairs, condensed</t>
  </si>
  <si>
    <t>Locked door, 7 stairs, 2nd door to totes, 30 ft to totes</t>
  </si>
  <si>
    <t>Locked door, 7 stairs</t>
  </si>
  <si>
    <t>2948-2952</t>
  </si>
  <si>
    <t>Service through garage, locked door, 20 ft to totes</t>
  </si>
  <si>
    <t>1 stair, Locked door</t>
  </si>
  <si>
    <t>2962-2964</t>
  </si>
  <si>
    <t>Locked door, 15 stairs, 2 doors to service, 2nd door to totes, driver condensed</t>
  </si>
  <si>
    <t>2177-2169A</t>
  </si>
  <si>
    <t>2151-2143</t>
  </si>
  <si>
    <t>Locked door, 4 stairs, 100 ft to totes, condensed</t>
  </si>
  <si>
    <t>2135-2137</t>
  </si>
  <si>
    <t>2133-2129</t>
  </si>
  <si>
    <t>3053-3049</t>
  </si>
  <si>
    <t>3017-3009</t>
  </si>
  <si>
    <t>2945-2929</t>
  </si>
  <si>
    <t>2030-2040</t>
  </si>
  <si>
    <t>Driver had to back down alley, multiple locations in alley</t>
  </si>
  <si>
    <t>2006-2018</t>
  </si>
  <si>
    <t>Locked door, stairs, multiple doorways to service, 150 ft to totes with steep incline</t>
  </si>
  <si>
    <t>2026-2030</t>
  </si>
  <si>
    <t>Locked door, service through garage, steep driveway</t>
  </si>
  <si>
    <t>Locked door, 15 stairs, long walkway</t>
  </si>
  <si>
    <t>2042-2044</t>
  </si>
  <si>
    <t>Service through garage door, steep driveway</t>
  </si>
  <si>
    <t>Locked door, service through garage, 2nd door to totes</t>
  </si>
  <si>
    <t>Locked door, 1 step, 20 ft to totes</t>
  </si>
  <si>
    <t>Locked door, narrow hallway</t>
  </si>
  <si>
    <t>2078-2082</t>
  </si>
  <si>
    <t>Service through garage, locked door, steep driveway</t>
  </si>
  <si>
    <t>Service on Webster, garage with code, 50 ft to totes</t>
  </si>
  <si>
    <t>Service on Webster behind gate</t>
  </si>
  <si>
    <t>2088/2920-2930</t>
  </si>
  <si>
    <t>Union/Webster</t>
  </si>
  <si>
    <t>2944-2942</t>
  </si>
  <si>
    <t>3008-3018</t>
  </si>
  <si>
    <t>Locked door, service on webster, 30 ft to totes</t>
  </si>
  <si>
    <t>Narrow, locked door, stairs, 50 ft to totes, driver condensed</t>
  </si>
  <si>
    <t>Totes behind gate on sidewalk</t>
  </si>
  <si>
    <t>Totes behind double door to sideyard</t>
  </si>
  <si>
    <t>Customer brought toters to curb, stairs</t>
  </si>
  <si>
    <t>2206-2212</t>
  </si>
  <si>
    <t>50 ft to totes, locked door</t>
  </si>
  <si>
    <t>Garbage already out, 5 stairs, 50 ft to totes, locked door</t>
  </si>
  <si>
    <t>2234-2238</t>
  </si>
  <si>
    <t>Locked door, had to pull recycle out because in the way, separated items between compost and garbage</t>
  </si>
  <si>
    <t>Totes were 30 ft from curb in front yard,</t>
  </si>
  <si>
    <t>2280-2290</t>
  </si>
  <si>
    <t>Locked door @ 2290, toters 10 ft down side of house @2280</t>
  </si>
  <si>
    <t>2332-2340</t>
  </si>
  <si>
    <t>Locked door, 5 stairs, 20 ft to totes @ 2332, low head clearance @2340 and 15 stairs</t>
  </si>
  <si>
    <t>Service on Fillmore, steep, locked door</t>
  </si>
  <si>
    <t>Stairs, 90 ft corridor along side of the house</t>
  </si>
  <si>
    <t>2061-2055</t>
  </si>
  <si>
    <t>2 extra bags @2055</t>
  </si>
  <si>
    <t>2045-2049</t>
  </si>
  <si>
    <t>Locked door, 6 stairs, 40 ft to totes</t>
  </si>
  <si>
    <t>2039-2043</t>
  </si>
  <si>
    <t>2021-2009</t>
  </si>
  <si>
    <t>Service on Green, Locked door, 15+ stairs</t>
  </si>
  <si>
    <t>Green &amp; Buchanan</t>
  </si>
  <si>
    <t>City can, over filled</t>
  </si>
  <si>
    <t>2248-2254</t>
  </si>
  <si>
    <t>2258/2266</t>
  </si>
  <si>
    <t>Locked door, small step, 50 ft to totes</t>
  </si>
  <si>
    <t>Service through garage door, 2nd door to totes, 1 stair</t>
  </si>
  <si>
    <t>Service through garage door with code, 40 ft to totes</t>
  </si>
  <si>
    <t>Locked door, service through garage</t>
  </si>
  <si>
    <t>Service through garage on Webster</t>
  </si>
  <si>
    <t>2457-2461</t>
  </si>
  <si>
    <t>Service on Jackson through garage</t>
  </si>
  <si>
    <t>Lock on tote</t>
  </si>
  <si>
    <t>8 stairs, narrow</t>
  </si>
  <si>
    <t>Locked door, 7 trips back and forth to truck/toters, Stuart Hall wants earlier pickup to be ready for lunch!</t>
  </si>
  <si>
    <t>2317-2333</t>
  </si>
  <si>
    <t>Service on Pacific</t>
  </si>
  <si>
    <t>Reverse into driveway, service through garage</t>
  </si>
  <si>
    <t>Service in alley behind building, driver had to go inside to open the door, 10+ stairs, service through garage</t>
  </si>
  <si>
    <t>Loading dock, had to call to be let in - no answer, came back to service</t>
  </si>
  <si>
    <t>Fell</t>
  </si>
  <si>
    <t>4 stairs, locked door</t>
  </si>
  <si>
    <t>Back into loading dock, used elevator to lower cans</t>
  </si>
  <si>
    <t>395/399</t>
  </si>
  <si>
    <t>Locked door, 80 feet to cans</t>
  </si>
  <si>
    <t>Service through garage, 90 ft to cans, wait for garage to close because of homeless</t>
  </si>
  <si>
    <t>Service through garage, customer called back, service on Fell street, filled extra 96 gal to service extra cleanup items</t>
  </si>
  <si>
    <t>Alley, locked door, service on Redwood Alley</t>
  </si>
  <si>
    <t>Locked door, condensed into 1 64 gal</t>
  </si>
  <si>
    <t>430/440/444</t>
  </si>
  <si>
    <t>425/417</t>
  </si>
  <si>
    <t xml:space="preserve">Locked door </t>
  </si>
  <si>
    <t>Locked door condensed into 1 64 gal</t>
  </si>
  <si>
    <t>Locked door, 9 stairs</t>
  </si>
  <si>
    <t>Locked door, 2nd door, 8 stairs</t>
  </si>
  <si>
    <t>Locked door, 5 stairs, 2 doors</t>
  </si>
  <si>
    <t>Locked door, 2 stairs</t>
  </si>
  <si>
    <t>Locked door, driver had to run compactor</t>
  </si>
  <si>
    <t>Service through garage with code, steep driveway, 90 ft to cans</t>
  </si>
  <si>
    <t>Lock on can</t>
  </si>
  <si>
    <t>Locked door, 1 stairs, spoke with other driver</t>
  </si>
  <si>
    <t>Locked door, 7 stairs, long walkway</t>
  </si>
  <si>
    <t>Locked door, issue with keys, 2 doors, 1 stair, stepped in poo, 40 ft to cans</t>
  </si>
  <si>
    <t>Locked door, new lock, could not service</t>
  </si>
  <si>
    <t>Empty, 2 steps, locked door</t>
  </si>
  <si>
    <t>Locked door x2, 7 stairs, low head clearance, steep</t>
  </si>
  <si>
    <t>Locked door, 50 ft to cans</t>
  </si>
  <si>
    <t>Locked door, 12 stairs</t>
  </si>
  <si>
    <t>Only pay for 1 64 gal, traffic</t>
  </si>
  <si>
    <t>Back into Derby Alley, service on Derby</t>
  </si>
  <si>
    <t>Service on Mason, Construction in the way</t>
  </si>
  <si>
    <t>Service on Mason, pay for service of 10 can</t>
  </si>
  <si>
    <t>320/325/312</t>
  </si>
  <si>
    <t>Service on Taylor, construction in the way</t>
  </si>
  <si>
    <t>Empty, 13 stairs</t>
  </si>
  <si>
    <t>Locked can</t>
  </si>
  <si>
    <t>Lock on each can</t>
  </si>
  <si>
    <t>Condensed into 4 64 gal cans, Locked door, 50 ft to cans</t>
  </si>
  <si>
    <t>603/607</t>
  </si>
  <si>
    <t>Accidentally hit emergency stop so had to restart truck</t>
  </si>
  <si>
    <t>Can out on curb already, lock on can</t>
  </si>
  <si>
    <t>Service on Jones</t>
  </si>
  <si>
    <t>Extra cardboard</t>
  </si>
  <si>
    <t>83/1</t>
  </si>
  <si>
    <t>Eddy/Halladie Plaza</t>
  </si>
  <si>
    <t>Lock on can, can at curb already, return can inside</t>
  </si>
  <si>
    <t>Contaminated can - no service</t>
  </si>
  <si>
    <t>Locked door, 5 stairs, heavy cans</t>
  </si>
  <si>
    <t>Service on Ellis</t>
  </si>
  <si>
    <t>Service in Alley</t>
  </si>
  <si>
    <t>45/851/859</t>
  </si>
  <si>
    <t>Olive/O'Farrell</t>
  </si>
  <si>
    <t>Alley, locked can</t>
  </si>
  <si>
    <t>Customer brought can to curb</t>
  </si>
  <si>
    <t>Locked door, 6 stairs</t>
  </si>
  <si>
    <t>Service on Eddy</t>
  </si>
  <si>
    <t>445/400</t>
  </si>
  <si>
    <t>Odd/Even</t>
  </si>
  <si>
    <t>Traffic, locked can</t>
  </si>
  <si>
    <t>Back into parking lot</t>
  </si>
  <si>
    <t>Locked door, trouble with code, 2nd door</t>
  </si>
  <si>
    <t>Locked door, 60 ft to cans, 2nd door</t>
  </si>
  <si>
    <t>Locked door, 20 ft to cans, homeless in the way, service on Turk</t>
  </si>
  <si>
    <t>Locked door, 2nd door, 5 stairs</t>
  </si>
  <si>
    <t>Cans brought to curb already, lock on cans</t>
  </si>
  <si>
    <t>Driver had to back down alley, locked gate</t>
  </si>
  <si>
    <t>Dodge</t>
  </si>
  <si>
    <t>Service on Dodge Alley, locked door</t>
  </si>
  <si>
    <t>Driver had to back into lot</t>
  </si>
  <si>
    <t>Golden Gate &amp; Leavenworth</t>
  </si>
  <si>
    <t>146/161/156</t>
  </si>
  <si>
    <t>Locked cans</t>
  </si>
  <si>
    <t>245/238/237</t>
  </si>
  <si>
    <t>Heavy</t>
  </si>
  <si>
    <t>7 Stairs</t>
  </si>
  <si>
    <t>Stiars, Service on Leavenworth</t>
  </si>
  <si>
    <t>575/570/550</t>
  </si>
  <si>
    <t>419/428</t>
  </si>
  <si>
    <t>511/513/498/520</t>
  </si>
  <si>
    <t>Jones/Jones/O'Farrell/Jones</t>
  </si>
  <si>
    <t>431-435</t>
  </si>
  <si>
    <t>41/20</t>
  </si>
  <si>
    <t>Dr Carlton B Goodlet</t>
  </si>
  <si>
    <t>Compactor used instead of 17 blue 96 gal containers</t>
  </si>
  <si>
    <t xml:space="preserve">150+ feet </t>
  </si>
  <si>
    <t>1298/1282/1338</t>
  </si>
  <si>
    <t>308/301</t>
  </si>
  <si>
    <t>238/235</t>
  </si>
  <si>
    <t>216/217</t>
  </si>
  <si>
    <t>Customer is compacting 96 gal containers - extra heavy</t>
  </si>
  <si>
    <t>3 Stairs</t>
  </si>
  <si>
    <t>700/601</t>
  </si>
  <si>
    <t>Geary/Leavenworth</t>
  </si>
  <si>
    <t>625/825</t>
  </si>
  <si>
    <t>Leavenworth/Post</t>
  </si>
  <si>
    <t>Service on Leavenworth</t>
  </si>
  <si>
    <t>717/724/711</t>
  </si>
  <si>
    <t>727-729</t>
  </si>
  <si>
    <t>555/501</t>
  </si>
  <si>
    <t>Grove &amp; Dr B Carlton Goodlet</t>
  </si>
  <si>
    <t>Van Ness Ave &amp; Grove</t>
  </si>
  <si>
    <t>Van Ness Ave &amp; McAllister</t>
  </si>
  <si>
    <t>City Can x2</t>
  </si>
  <si>
    <t>McAllister &amp; Polk</t>
  </si>
  <si>
    <t>Grove &amp; Polk</t>
  </si>
  <si>
    <t>City Can x4</t>
  </si>
  <si>
    <t>Larkin &amp; Fulton</t>
  </si>
  <si>
    <t>Larkin &amp; Hayes</t>
  </si>
  <si>
    <t>Service on Mason</t>
  </si>
  <si>
    <t>Taylor &amp; Vicky Mar Lane</t>
  </si>
  <si>
    <t>13/128/111</t>
  </si>
  <si>
    <t>Eddy/Mason</t>
  </si>
  <si>
    <t>216/200</t>
  </si>
  <si>
    <t>380/364</t>
  </si>
  <si>
    <t>399/393/385</t>
  </si>
  <si>
    <t>Driver grabbed City Can too</t>
  </si>
  <si>
    <t>1 extra load that filled 96 gal container</t>
  </si>
  <si>
    <t>410/441</t>
  </si>
  <si>
    <t>433/425</t>
  </si>
  <si>
    <t>375/385</t>
  </si>
  <si>
    <t>Service on Mason, 5 extra cardboard boxes</t>
  </si>
  <si>
    <t>Mason &amp; O'Farrell</t>
  </si>
  <si>
    <t>Ellis &amp; Mason</t>
  </si>
  <si>
    <t>Service on Larkin</t>
  </si>
  <si>
    <t>609/601/611</t>
  </si>
  <si>
    <t>5 Extra 96 black not out</t>
  </si>
  <si>
    <t>Misael</t>
  </si>
  <si>
    <t>three 96 toters had locks and required key service</t>
  </si>
  <si>
    <t>1514 Mason, stairs down to service</t>
  </si>
  <si>
    <t>One 96g required going up stairs</t>
  </si>
  <si>
    <t>Three customers had locked bins, required key</t>
  </si>
  <si>
    <t>Driver only removed cardboard box from inside</t>
  </si>
  <si>
    <t xml:space="preserve">Both 96g are inside with stairs </t>
  </si>
  <si>
    <t>5 Inside customers were from address 530 Chestnut</t>
  </si>
  <si>
    <t>Vernard Alley</t>
  </si>
  <si>
    <t>Midway</t>
  </si>
  <si>
    <t>Vandewater</t>
  </si>
  <si>
    <t>2108 Mason inside</t>
  </si>
  <si>
    <t>2 inside downstairs customers</t>
  </si>
  <si>
    <t>1 inside downstairs customer</t>
  </si>
  <si>
    <t>up steps</t>
  </si>
  <si>
    <t>1245 code</t>
  </si>
  <si>
    <t>1234 upstairs</t>
  </si>
  <si>
    <t>inside uphill</t>
  </si>
  <si>
    <t>Grenard Terrace</t>
  </si>
  <si>
    <t>private street</t>
  </si>
  <si>
    <t>serviced on green</t>
  </si>
  <si>
    <t>down steps</t>
  </si>
  <si>
    <t>narrow</t>
  </si>
  <si>
    <t>LOTS of stairs, used sack</t>
  </si>
  <si>
    <t>downstairs</t>
  </si>
  <si>
    <t>Water</t>
  </si>
  <si>
    <t>steps</t>
  </si>
  <si>
    <t>Mallorca</t>
  </si>
  <si>
    <t>narrow hallway</t>
  </si>
  <si>
    <t>up 2 steps</t>
  </si>
  <si>
    <t>downsteps</t>
  </si>
  <si>
    <t>narrow hall</t>
  </si>
  <si>
    <t>down 2 steps</t>
  </si>
  <si>
    <t>LOTs of stairs</t>
  </si>
  <si>
    <t>Fern Alley</t>
  </si>
  <si>
    <t>locked toter</t>
  </si>
  <si>
    <t>serviced on Fern Alley</t>
  </si>
  <si>
    <t>serviced on Frank Norris</t>
  </si>
  <si>
    <t>remote; serviced on Frank Norris</t>
  </si>
  <si>
    <t>1 locked toter</t>
  </si>
  <si>
    <t>serviced on Taylor</t>
  </si>
  <si>
    <t>upstairs</t>
  </si>
  <si>
    <t>garage</t>
  </si>
  <si>
    <t>serviced on Buchanan</t>
  </si>
  <si>
    <t>1238 Sutter serviced on Fern</t>
  </si>
  <si>
    <t>enclosed parking lot</t>
  </si>
  <si>
    <t>1156 Sutter serviced on Fern; barrel key</t>
  </si>
  <si>
    <t>1140/1130/1121</t>
  </si>
  <si>
    <t>Frank Norris</t>
  </si>
  <si>
    <t>1145 Serviced on Bush</t>
  </si>
  <si>
    <t>enclosed parking lot, steep grade to access toters</t>
  </si>
  <si>
    <t>1241/1253/1256/1257</t>
  </si>
  <si>
    <t>1171/1161</t>
  </si>
  <si>
    <t>1126 LOTS of steps/1121/1196</t>
  </si>
  <si>
    <t>inside: 1049/1065/1060</t>
  </si>
  <si>
    <t>inside: 1025 narrow downstairs/1000 downsteps</t>
  </si>
  <si>
    <t>inside: 882/890</t>
  </si>
  <si>
    <t>inside: 800/846/835/830/825/815</t>
  </si>
  <si>
    <t>LOTS of stairs</t>
  </si>
  <si>
    <t>narrow steps</t>
  </si>
  <si>
    <t>Owens</t>
  </si>
  <si>
    <t>Mission Bay South</t>
  </si>
  <si>
    <t>Nelson Rising Lane</t>
  </si>
  <si>
    <t>Terry Francois</t>
  </si>
  <si>
    <t>compactor</t>
  </si>
  <si>
    <t>Mission Bay North</t>
  </si>
  <si>
    <t>pulls container, gets out</t>
  </si>
  <si>
    <t>59th Street</t>
  </si>
  <si>
    <t>gets out of truck</t>
  </si>
  <si>
    <t>Luxum</t>
  </si>
  <si>
    <t>5th Street</t>
  </si>
  <si>
    <t>code, key</t>
  </si>
  <si>
    <t>key service</t>
  </si>
  <si>
    <t>code, pulls out cart</t>
  </si>
  <si>
    <t>pulls cart, gets out</t>
  </si>
  <si>
    <t>Columbia Square</t>
  </si>
  <si>
    <t>code, pulls out container</t>
  </si>
  <si>
    <t>backs up and services</t>
  </si>
  <si>
    <t>compactor, locked</t>
  </si>
  <si>
    <t>all have key service</t>
  </si>
  <si>
    <t>code, driver pulls out cart</t>
  </si>
  <si>
    <t>compactor, locked toters</t>
  </si>
  <si>
    <t>606/680</t>
  </si>
  <si>
    <t>locked</t>
  </si>
  <si>
    <t>Clemente</t>
  </si>
  <si>
    <t>Channel</t>
  </si>
  <si>
    <t>Lime</t>
  </si>
  <si>
    <t>Long Bridge</t>
  </si>
  <si>
    <t xml:space="preserve">Long Bridge </t>
  </si>
  <si>
    <t>locked containers</t>
  </si>
  <si>
    <t>the two yard is a compactor, serviced on 4th st</t>
  </si>
  <si>
    <t>China Basin</t>
  </si>
  <si>
    <t>Mission Bay</t>
  </si>
  <si>
    <t>serviced on China Basin</t>
  </si>
  <si>
    <t>calls customer to open door</t>
  </si>
  <si>
    <t>serviced on 1700 Pine, code, garage</t>
  </si>
  <si>
    <t>Lots of stairs</t>
  </si>
  <si>
    <t>1801/1830</t>
  </si>
  <si>
    <t>Code at 1801</t>
  </si>
  <si>
    <t>1750/1740</t>
  </si>
  <si>
    <t>2030/2020</t>
  </si>
  <si>
    <t>serviced on 2200 Franklin, garage, code</t>
  </si>
  <si>
    <t>1855/1865/1871</t>
  </si>
  <si>
    <t>serviced on Sacramento, stairs</t>
  </si>
  <si>
    <t>1920/1930</t>
  </si>
  <si>
    <t>1900/1880</t>
  </si>
  <si>
    <t>serviced on Sacramento, code</t>
  </si>
  <si>
    <t>serviced on clay</t>
  </si>
  <si>
    <t>1950/1945</t>
  </si>
  <si>
    <t>1950 has key</t>
  </si>
  <si>
    <t>stairs down</t>
  </si>
  <si>
    <t>serviced on Clay</t>
  </si>
  <si>
    <t>1850/1840</t>
  </si>
  <si>
    <t>1849/1845/1835</t>
  </si>
  <si>
    <t>serviced on gough</t>
  </si>
  <si>
    <t>1730/1745</t>
  </si>
  <si>
    <t>1855/1880</t>
  </si>
  <si>
    <t>1920/1925</t>
  </si>
  <si>
    <t>1945/1966</t>
  </si>
  <si>
    <t>2450/2405</t>
  </si>
  <si>
    <t>2405; serviced upstairs</t>
  </si>
  <si>
    <t>code; serviced on Octavia</t>
  </si>
  <si>
    <t>1946/1940/1945</t>
  </si>
  <si>
    <t>1870/1950/1890</t>
  </si>
  <si>
    <t>1800/1824</t>
  </si>
  <si>
    <t>1817/1830/1860</t>
  </si>
  <si>
    <t>1860 code</t>
  </si>
  <si>
    <t>1870/1888</t>
  </si>
  <si>
    <t>both addresses serviced in same location</t>
  </si>
  <si>
    <t>A</t>
  </si>
  <si>
    <t>2269/2266/2278</t>
  </si>
  <si>
    <t>2225/2200</t>
  </si>
  <si>
    <t>serviced on Washington</t>
  </si>
  <si>
    <t>2201/2149</t>
  </si>
  <si>
    <t>2149 code/ also 2201 clay serviced on Laguna</t>
  </si>
  <si>
    <t>2136/2120</t>
  </si>
  <si>
    <t>lots of stairs</t>
  </si>
  <si>
    <t>2241/2205</t>
  </si>
  <si>
    <t>narrow, hallway</t>
  </si>
  <si>
    <t>2171/2153</t>
  </si>
  <si>
    <t>2171 code, 2153 garage</t>
  </si>
  <si>
    <t>serviced on Octavia</t>
  </si>
  <si>
    <t>service on Pine</t>
  </si>
  <si>
    <t>96g locking toter</t>
  </si>
  <si>
    <t>serviced in 2 locations</t>
  </si>
  <si>
    <t>upsteps</t>
  </si>
  <si>
    <t>2 insides, 1 inside is 2065 Polk serviced on broadway</t>
  </si>
  <si>
    <t>1754/1758</t>
  </si>
  <si>
    <t>1758-two 64g and one 96g/1754-one 96g</t>
  </si>
  <si>
    <t>Burgoyne</t>
  </si>
  <si>
    <t>1430/1436</t>
  </si>
  <si>
    <t>two 96g belong to 1436</t>
  </si>
  <si>
    <t>1490/1472</t>
  </si>
  <si>
    <t>3 Curbside, 1 Inside</t>
  </si>
  <si>
    <t>one 96g and one 64g inside</t>
  </si>
  <si>
    <t>one 96g locked</t>
  </si>
  <si>
    <t>2340/2344</t>
  </si>
  <si>
    <t>two 96g inside, one 96g curb</t>
  </si>
  <si>
    <t>1720/1718/1725</t>
  </si>
  <si>
    <t>1725 garage</t>
  </si>
  <si>
    <t>1477/1471</t>
  </si>
  <si>
    <t>McCormick</t>
  </si>
  <si>
    <t>Morrell</t>
  </si>
  <si>
    <t>1462/1456</t>
  </si>
  <si>
    <t>1456-code and serviced 2 locations</t>
  </si>
  <si>
    <t>1456 serviced two locations</t>
  </si>
  <si>
    <t>1425-code</t>
  </si>
  <si>
    <t>pulls with fork</t>
  </si>
  <si>
    <t xml:space="preserve">in gate, gets out to pull </t>
  </si>
  <si>
    <t>compactor, alley, pulls back in reverse</t>
  </si>
  <si>
    <t>service on Minna, locked container</t>
  </si>
  <si>
    <t>locked container, service on 400 Stevenson</t>
  </si>
  <si>
    <t>svc in alley</t>
  </si>
  <si>
    <t>3 yard compactor</t>
  </si>
  <si>
    <t>alley gets out pulls containers</t>
  </si>
  <si>
    <t>svc on Nelson Rising Lane</t>
  </si>
  <si>
    <t>gate</t>
  </si>
  <si>
    <t>svc on Pacific</t>
  </si>
  <si>
    <t>svc on ransome</t>
  </si>
  <si>
    <t>420/440</t>
  </si>
  <si>
    <t>Pier 45</t>
  </si>
  <si>
    <t>set outside by guard</t>
  </si>
  <si>
    <t>svc on 2 locations</t>
  </si>
  <si>
    <t>Fisherman</t>
  </si>
  <si>
    <t>Pershing Dr</t>
  </si>
  <si>
    <t>Appleton Ave</t>
  </si>
  <si>
    <t>Ralston</t>
  </si>
  <si>
    <t>Pier 33</t>
  </si>
  <si>
    <t>has to enter the building, drive through narrow walkway</t>
  </si>
  <si>
    <t>Inside-96g code</t>
  </si>
  <si>
    <t>svc on Washington</t>
  </si>
  <si>
    <t>1828/1829</t>
  </si>
  <si>
    <t>Bonita</t>
  </si>
  <si>
    <t>two inside 96g</t>
  </si>
  <si>
    <t>hallway</t>
  </si>
  <si>
    <t>code, garage</t>
  </si>
  <si>
    <t>narrow walkway</t>
  </si>
  <si>
    <t>steps down</t>
  </si>
  <si>
    <t>1547/1542/1552/1565/1567/1574/1591</t>
  </si>
  <si>
    <t>Wahington</t>
  </si>
  <si>
    <t>svc 2 different locations</t>
  </si>
  <si>
    <t>2000/2032</t>
  </si>
  <si>
    <t>2032-inside customer</t>
  </si>
  <si>
    <t>locked toters</t>
  </si>
  <si>
    <t>svc on vallejo</t>
  </si>
  <si>
    <t>2100/2145</t>
  </si>
  <si>
    <t>Lynch</t>
  </si>
  <si>
    <t>svc on Lynch</t>
  </si>
  <si>
    <t>R-LAB</t>
  </si>
  <si>
    <t>2265</t>
  </si>
  <si>
    <t xml:space="preserve">California </t>
  </si>
  <si>
    <t>ad879aa4-3bb3-41ad-8904-94add4fbc6ec</t>
  </si>
  <si>
    <t>3b7ca62d-c142-4c05-aca0-2eef692286f0</t>
  </si>
  <si>
    <t>2247</t>
  </si>
  <si>
    <t>1363708f-aac1-4cc8-a1f2-edc8b6050472</t>
  </si>
  <si>
    <t>2219</t>
  </si>
  <si>
    <t>20-30 stairs</t>
  </si>
  <si>
    <t>6e1d608e-9943-409f-bee4-96b0f107a662</t>
  </si>
  <si>
    <t>2314</t>
  </si>
  <si>
    <t>9aab321f-03f5-4ccb-8238-b23f89973275</t>
  </si>
  <si>
    <t>2334/2332</t>
  </si>
  <si>
    <t>a3f47e16-f610-4993-88b4-7dc7a60de499</t>
  </si>
  <si>
    <t>2344</t>
  </si>
  <si>
    <t>7728bcd1-6413-4693-8082-eeb8a524d017</t>
  </si>
  <si>
    <t>2350</t>
  </si>
  <si>
    <t>8dea0bb2-2645-4445-8ae8-9a81b775954c</t>
  </si>
  <si>
    <t>2356</t>
  </si>
  <si>
    <t>a2ce75c3-501e-416f-97a2-f3a8d1446df0</t>
  </si>
  <si>
    <t>2370</t>
  </si>
  <si>
    <t>e9e1ac6b-19e4-4d39-ae47-bd4bf3411fdf</t>
  </si>
  <si>
    <t>2372</t>
  </si>
  <si>
    <t>NARROW HALL</t>
  </si>
  <si>
    <t>19f122d5-7b73-4ce1-a5ac-44fd35465b10</t>
  </si>
  <si>
    <t>2200</t>
  </si>
  <si>
    <t>ebb050d2-61a7-4dd6-802b-a451f20150cf</t>
  </si>
  <si>
    <t>2210</t>
  </si>
  <si>
    <t>372142c3-9009-441f-b43c-b4560997386a</t>
  </si>
  <si>
    <t>2222</t>
  </si>
  <si>
    <t>3 locked toters</t>
  </si>
  <si>
    <t>b90eed6c-4c9a-48a6-a05f-ca09ad952ee3</t>
  </si>
  <si>
    <t>2238/2244</t>
  </si>
  <si>
    <t>2238 locked toter</t>
  </si>
  <si>
    <t>3c1b36bb-bc88-4d53-b998-8b3dbf141d13</t>
  </si>
  <si>
    <t>2252</t>
  </si>
  <si>
    <t>769519c0-6617-4878-91fd-cf10d8745225</t>
  </si>
  <si>
    <t>2500</t>
  </si>
  <si>
    <t>c416d21b-671d-44d5-b0c4-d5630b621eb9</t>
  </si>
  <si>
    <t>2402</t>
  </si>
  <si>
    <t>50f8d110-ca3e-45d6-a230-3fcbd0268b96</t>
  </si>
  <si>
    <t>2400</t>
  </si>
  <si>
    <t>5f1ec480-a505-477c-8dde-89b5654fd791</t>
  </si>
  <si>
    <t>2477</t>
  </si>
  <si>
    <t>f3dbc824-a727-40bb-a27a-13820b51cb1b</t>
  </si>
  <si>
    <t>2471/2473</t>
  </si>
  <si>
    <t>4d3fef5b-d599-4d4d-aa5d-bbf3e4fe5e51</t>
  </si>
  <si>
    <t>2467/2469/2463</t>
  </si>
  <si>
    <t>73de384b-b3c0-40f2-bd5a-e73cdd58c5b2</t>
  </si>
  <si>
    <t>2449</t>
  </si>
  <si>
    <t>1a3e8897-775c-41d3-a4ae-83b9a6f3330c</t>
  </si>
  <si>
    <t>2295</t>
  </si>
  <si>
    <t>280ca734-5881-4fcd-83d7-d8c47f5ab428</t>
  </si>
  <si>
    <t>495439b2-2152-4fdf-832c-422b0b5c9a58</t>
  </si>
  <si>
    <t>2239</t>
  </si>
  <si>
    <t xml:space="preserve">locked toter </t>
  </si>
  <si>
    <t>313fac8b-b180-442c-ab69-d1813c15dd1a</t>
  </si>
  <si>
    <t>2209</t>
  </si>
  <si>
    <t>ac8d452f-65ef-474f-96ef-ec32bef4114a</t>
  </si>
  <si>
    <t>2211</t>
  </si>
  <si>
    <t>37961b94-531f-4bfa-b1d1-113f2c0aa594</t>
  </si>
  <si>
    <t>2563</t>
  </si>
  <si>
    <t>984124f8-9ca9-478f-8ac9-b30b68d67b44</t>
  </si>
  <si>
    <t>2549/2551-2553</t>
  </si>
  <si>
    <t>code 2551-2553, long walkway</t>
  </si>
  <si>
    <t>165a95bf-cc40-4488-a2fb-d77e6cc8801b</t>
  </si>
  <si>
    <t>2539</t>
  </si>
  <si>
    <t>long narrow walkway</t>
  </si>
  <si>
    <t>9e327a06-ccd4-43f0-9bf9-d78c4d11e034</t>
  </si>
  <si>
    <t>2125</t>
  </si>
  <si>
    <t>distance</t>
  </si>
  <si>
    <t>3998710e-0d5f-4ec3-9c38-763568f49866</t>
  </si>
  <si>
    <t>2438</t>
  </si>
  <si>
    <t>71d55e3b-1e71-4a7f-a47f-0d6ef7a3a7e3</t>
  </si>
  <si>
    <t>2138</t>
  </si>
  <si>
    <t xml:space="preserve">backyard, drags through sand, up 5 steps </t>
  </si>
  <si>
    <t>f35ebfcc-042b-4fa6-96b9-7c2bcbdd39f9</t>
  </si>
  <si>
    <t>a7b31e62-c1da-490d-b5cb-8cc19b714a37</t>
  </si>
  <si>
    <t>2510</t>
  </si>
  <si>
    <t>distance, up 4 steps</t>
  </si>
  <si>
    <t>7d5c66b1-e844-4886-9975-b8e562e47512</t>
  </si>
  <si>
    <t>2511</t>
  </si>
  <si>
    <t>2f8b80c1-de4e-4d03-911d-a181d6d3d7a8</t>
  </si>
  <si>
    <t>2310</t>
  </si>
  <si>
    <t>e9b3cae7-2201-4ace-9101-29102f8d7bac</t>
  </si>
  <si>
    <t>2334</t>
  </si>
  <si>
    <t xml:space="preserve">distance upsteps </t>
  </si>
  <si>
    <t>a5c9a834-1f93-443d-98b2-2e8b0f1a5d4b</t>
  </si>
  <si>
    <t>2336</t>
  </si>
  <si>
    <t>behind fence</t>
  </si>
  <si>
    <t>d68020f3-03c8-44c3-b3b7-c5c44d40e4ba</t>
  </si>
  <si>
    <t>2230</t>
  </si>
  <si>
    <t xml:space="preserve">Sacramento </t>
  </si>
  <si>
    <t>up alley, through door</t>
  </si>
  <si>
    <t>30aff8d2-e91f-4fa4-9211-a580a2b199bb</t>
  </si>
  <si>
    <t>2250</t>
  </si>
  <si>
    <t>a7000557-1791-4827-adc3-d5c50c5cd47a</t>
  </si>
  <si>
    <t>2218</t>
  </si>
  <si>
    <t>3c9cec30-b5b2-4efa-9d37-d51ea525615b</t>
  </si>
  <si>
    <t>2226</t>
  </si>
  <si>
    <t>up 20-30 steps</t>
  </si>
  <si>
    <t>1b0fca2d-793f-4315-a24a-71e8b028c278</t>
  </si>
  <si>
    <t xml:space="preserve">up 20-30 stairs through door </t>
  </si>
  <si>
    <t>0915dcb6-2c66-4f64-a678-520f6dc370e2</t>
  </si>
  <si>
    <t>2521</t>
  </si>
  <si>
    <t>through gate</t>
  </si>
  <si>
    <t>e834777f-b0ed-4380-8ea3-61c968748816</t>
  </si>
  <si>
    <t xml:space="preserve">Scott </t>
  </si>
  <si>
    <t>b44f3211-fdfd-400a-ba44-abdbbba8aeba</t>
  </si>
  <si>
    <t>2772</t>
  </si>
  <si>
    <t>up 6 steps, down hall</t>
  </si>
  <si>
    <t>1e1e0ed6-8ea2-4852-b711-5821dbf56a9a</t>
  </si>
  <si>
    <t>2914</t>
  </si>
  <si>
    <t>f5273b43-d8f6-42f6-a20a-535857c23580</t>
  </si>
  <si>
    <t>2912</t>
  </si>
  <si>
    <t>5397c270-7339-4e5d-9a16-35fe63e94760</t>
  </si>
  <si>
    <t>2900</t>
  </si>
  <si>
    <t xml:space="preserve">Jackson </t>
  </si>
  <si>
    <t>cd39a0bf-6933-4a94-bef0-e93b57036328</t>
  </si>
  <si>
    <t>2932/2934</t>
  </si>
  <si>
    <t>c2bd239a-133f-4436-92ce-993f9625bc45</t>
  </si>
  <si>
    <t>2944</t>
  </si>
  <si>
    <t>8913e4ce-dd30-4c45-9343-28eb4899f62a</t>
  </si>
  <si>
    <t>2950/2952</t>
  </si>
  <si>
    <t>893e7063-e2e8-4b6d-aeb3-5806c56b9e15</t>
  </si>
  <si>
    <t>2944/2970</t>
  </si>
  <si>
    <t>34fd3a73-81c6-4ebc-b299-d3bf7ba8aeb8</t>
  </si>
  <si>
    <t>2990</t>
  </si>
  <si>
    <t>0dd9d869-2a18-4e2c-a381-1f8ccd35f3a6</t>
  </si>
  <si>
    <t>2998</t>
  </si>
  <si>
    <t>ea745b22-3340-4090-a0d9-672ac67242b6</t>
  </si>
  <si>
    <t>1910</t>
  </si>
  <si>
    <t>street on steep hill, NARROW HALL</t>
  </si>
  <si>
    <t>a0218ac9-0c8b-4854-ae92-229e89b30f61</t>
  </si>
  <si>
    <t>2224</t>
  </si>
  <si>
    <t>street on steep hill</t>
  </si>
  <si>
    <t>a857a7aa-ae9c-46dd-be35-0b2e51e19653</t>
  </si>
  <si>
    <t>2985</t>
  </si>
  <si>
    <t>6b613a63-8c3b-4805-9019-97be82bb6914</t>
  </si>
  <si>
    <t>2919</t>
  </si>
  <si>
    <t>82b036a6-42f7-4b66-b7e6-0cd8e4d69c34</t>
  </si>
  <si>
    <t>3016</t>
  </si>
  <si>
    <t>up 10 stairs</t>
  </si>
  <si>
    <t>ee015f74-9680-408e-9ff7-d17019103c94</t>
  </si>
  <si>
    <t>3046</t>
  </si>
  <si>
    <t>up 10-15 steps, behind gate, down hall</t>
  </si>
  <si>
    <t>e88b87ab-6df0-4038-95d7-d78b22b37b5e</t>
  </si>
  <si>
    <t>a6313b50-5748-42ec-bafc-c92f1d6b7699</t>
  </si>
  <si>
    <t>3060/3062</t>
  </si>
  <si>
    <t>8c69c49a-35a9-471e-bc6f-2a3997db037a</t>
  </si>
  <si>
    <t>3072</t>
  </si>
  <si>
    <t>15 steps, down hall</t>
  </si>
  <si>
    <t>85008b6e-d989-4269-bf77-9834e0f0737e</t>
  </si>
  <si>
    <t>3080</t>
  </si>
  <si>
    <t>8e72225f-6f03-424b-8273-0c668c9885a1</t>
  </si>
  <si>
    <t>3120/3105</t>
  </si>
  <si>
    <t>1afd26c4-a1a0-41e5-b84c-c398dfe48b4c</t>
  </si>
  <si>
    <t>3130/3140</t>
  </si>
  <si>
    <t>3130 3140 is 96g</t>
  </si>
  <si>
    <t>34e71f84-4ea9-45ac-90d6-0355b17f9e9a</t>
  </si>
  <si>
    <t>3157</t>
  </si>
  <si>
    <t>b8d917b4-534f-4db7-b744-67b4086d79f6</t>
  </si>
  <si>
    <t>3145/3147</t>
  </si>
  <si>
    <t>3139 64</t>
  </si>
  <si>
    <t>5dc1b035-cac9-463d-9df7-9d4888e660c0</t>
  </si>
  <si>
    <t>3131/3133</t>
  </si>
  <si>
    <t>12 steps</t>
  </si>
  <si>
    <t>2dbcfdb2-9530-47c6-ae8e-fe315a38f07b</t>
  </si>
  <si>
    <t>3099</t>
  </si>
  <si>
    <t>behind gate</t>
  </si>
  <si>
    <t>15499468-7de0-4df2-a84e-ba0add3ad925</t>
  </si>
  <si>
    <t>3065</t>
  </si>
  <si>
    <t>4b4cd85a-3f96-44f9-bcae-134d468de06d</t>
  </si>
  <si>
    <t>3045</t>
  </si>
  <si>
    <t xml:space="preserve">code, garage, down ramp </t>
  </si>
  <si>
    <t>77dbc689-15f2-4514-9ee8-f7a2e5c74b63</t>
  </si>
  <si>
    <t>3011</t>
  </si>
  <si>
    <t>down ramp to access door, exits through garage</t>
  </si>
  <si>
    <t>cb3af5a1-c0ad-4850-8c3f-8e223ebb3dd5</t>
  </si>
  <si>
    <t>3005/3007</t>
  </si>
  <si>
    <t>d9156857-0ece-4f7e-a02d-3ab8f091e335</t>
  </si>
  <si>
    <t>3003</t>
  </si>
  <si>
    <t>4aadb5db-ca48-423f-8cf2-ed66a6c2728e</t>
  </si>
  <si>
    <t>2979</t>
  </si>
  <si>
    <t>2fc678db-5e53-46ef-aeae-f5a9cc650a1f</t>
  </si>
  <si>
    <t>2969</t>
  </si>
  <si>
    <t>5d5dc69b-b819-4769-b98b-0dcce15a0cb3</t>
  </si>
  <si>
    <t>2949/2955</t>
  </si>
  <si>
    <t>28e9268e-e38f-4436-b7a8-0e07d3524089</t>
  </si>
  <si>
    <t>2923</t>
  </si>
  <si>
    <t>9aa45af6-434b-434a-b8b6-19d977ea9c21</t>
  </si>
  <si>
    <t>2921</t>
  </si>
  <si>
    <t>f92580fe-a5c5-45a9-bf2e-b0ad1f7010a9</t>
  </si>
  <si>
    <t>2801</t>
  </si>
  <si>
    <t>332781b0-2505-4cf3-a678-5239caa2673f</t>
  </si>
  <si>
    <t>2329</t>
  </si>
  <si>
    <t>fd83628e-069a-4ace-b25b-fd14d647cad1</t>
  </si>
  <si>
    <t>2309</t>
  </si>
  <si>
    <t>42a944e0-fb0d-43d6-b1d1-bf0f14593806</t>
  </si>
  <si>
    <t>59691428-8fa5-4b22-832e-3c6ac82856bf</t>
  </si>
  <si>
    <t>3022</t>
  </si>
  <si>
    <t>ed20e498-0425-4920-ac98-0ac598104d0c</t>
  </si>
  <si>
    <t>3168</t>
  </si>
  <si>
    <t>fc3ae983-6a0b-4572-83ce-1ea79922d6e7</t>
  </si>
  <si>
    <t>3178</t>
  </si>
  <si>
    <t>a595ecbb-c270-418b-9690-dd80f7764d43</t>
  </si>
  <si>
    <t>3196</t>
  </si>
  <si>
    <t>b123e0f9-e20f-483b-a4c9-695f50e93f2d</t>
  </si>
  <si>
    <t>3251</t>
  </si>
  <si>
    <t>c3feb61a-64d9-4da6-8d86-7c720d4b8be2</t>
  </si>
  <si>
    <t>3244/3245/3247</t>
  </si>
  <si>
    <t>4d70706f-2dfb-499b-b9ca-e5c239c55495</t>
  </si>
  <si>
    <t>3234</t>
  </si>
  <si>
    <t>code, garage, inside door</t>
  </si>
  <si>
    <t>8e3e69e5-0968-4030-9abe-b71d06d7f8c8</t>
  </si>
  <si>
    <t>3100</t>
  </si>
  <si>
    <t>d32203cb-a2b1-4b01-890e-d37f10b2df82</t>
  </si>
  <si>
    <t>2961</t>
  </si>
  <si>
    <t>1dc312a0-db86-42e1-b4ad-76393b7531c7</t>
  </si>
  <si>
    <t>2901</t>
  </si>
  <si>
    <t>down 3 steps, behind gate</t>
  </si>
  <si>
    <t>c407a4cb-769e-4698-b3e2-6cf571c4b431</t>
  </si>
  <si>
    <t>2420</t>
  </si>
  <si>
    <t>behind garage</t>
  </si>
  <si>
    <t>08bcca2f-04dc-4b05-bb7b-8efead009d29</t>
  </si>
  <si>
    <t>2430</t>
  </si>
  <si>
    <t>b63b021f-e579-4fe5-bc49-1257aa867eda</t>
  </si>
  <si>
    <t>6ad515c3-4b73-43cc-95ed-4b18060f8d56</t>
  </si>
  <si>
    <t>c93590c8-8c37-4ddc-87cf-5e98b21a1aff</t>
  </si>
  <si>
    <t>2321</t>
  </si>
  <si>
    <t>27fd7980-c4c8-493e-bf5c-6707a5092a6a</t>
  </si>
  <si>
    <t>2301/2305</t>
  </si>
  <si>
    <t>2301  96g</t>
  </si>
  <si>
    <t>5d4bf971-60f1-402c-b8c4-7a696fbbfb80</t>
  </si>
  <si>
    <t>2810</t>
  </si>
  <si>
    <t>6403ec5c-f568-4e1e-a5fe-42b6c4567f7a</t>
  </si>
  <si>
    <t>2855</t>
  </si>
  <si>
    <t>387ed904-d3bf-49f6-a0d2-be29ae55204d</t>
  </si>
  <si>
    <t>2720</t>
  </si>
  <si>
    <t>6726a828-9861-41ee-acb1-18ca17ffa007</t>
  </si>
  <si>
    <t>2732</t>
  </si>
  <si>
    <t>a87d30ea-3ca8-44e8-9b76-d9148c2540db</t>
  </si>
  <si>
    <t>2750</t>
  </si>
  <si>
    <t>09723960-5ee2-4bb7-b7a9-beddd433b13a</t>
  </si>
  <si>
    <t>2754</t>
  </si>
  <si>
    <t>c971b00b-6f64-4d42-b669-383ff684419d</t>
  </si>
  <si>
    <t>2780</t>
  </si>
  <si>
    <t>2d43ce03-318e-4d15-a484-d451b97da0f8</t>
  </si>
  <si>
    <t>2808</t>
  </si>
  <si>
    <t>eb1e0ffd-0a49-430e-8c10-1a52bf744fd4</t>
  </si>
  <si>
    <t>2820</t>
  </si>
  <si>
    <t>787e5e75-30d5-433d-b22a-f7739c5a5244</t>
  </si>
  <si>
    <t>2858</t>
  </si>
  <si>
    <t>f0a4d803-66ed-46e1-8cd7-6922cf6539e0</t>
  </si>
  <si>
    <t>2868</t>
  </si>
  <si>
    <t>be4fc743-9288-4bc0-8081-680cc6688f7e</t>
  </si>
  <si>
    <t>2878</t>
  </si>
  <si>
    <t>73d05a7c-790f-4b3b-ab83-d736d7c802cc</t>
  </si>
  <si>
    <t>02e9750e-811d-49c7-8e2c-151b02e4bce3</t>
  </si>
  <si>
    <t>2960</t>
  </si>
  <si>
    <t>b2d889de-b62d-423c-98c9-f2d45ba4109d</t>
  </si>
  <si>
    <t>2980</t>
  </si>
  <si>
    <t>8304abd7-47ac-4f9a-a7ce-f685e93b36cc</t>
  </si>
  <si>
    <t>ef96fcb4-ed3e-4da4-a34b-600c194c0020</t>
  </si>
  <si>
    <t>ac5fd5ce-2b71-49b7-ba4a-5f52c55d418d</t>
  </si>
  <si>
    <t>b2d30bbc-b00e-43a8-b9a3-21bb1dbf9f5c</t>
  </si>
  <si>
    <t>2853</t>
  </si>
  <si>
    <t>69b257a9-3bf4-4ff3-a047-2f7bc2c13b34</t>
  </si>
  <si>
    <t>2841</t>
  </si>
  <si>
    <t>aea8b361-9c53-40ec-b82d-e4ac2b8da78d</t>
  </si>
  <si>
    <t>2835/2833</t>
  </si>
  <si>
    <t>6659e8fd-b1af-42a3-975d-8157977f1aaf</t>
  </si>
  <si>
    <t>2829</t>
  </si>
  <si>
    <t>ea538dc6-3632-4756-9401-8193a3f97538</t>
  </si>
  <si>
    <t>2798</t>
  </si>
  <si>
    <t>STEEP ELEVATED RAMP, THEN 20 STEPS,  HEAVY TOTER, more than 200 feet</t>
  </si>
  <si>
    <t>6a13db88-0b97-41cb-ab8d-0d984eecf169</t>
  </si>
  <si>
    <t>2795</t>
  </si>
  <si>
    <t>29cfe165-cd78-4b52-b1bc-d5e8cdc2cc06</t>
  </si>
  <si>
    <t>2773</t>
  </si>
  <si>
    <t>3090c3b9-ba6a-411e-910a-1c3b7e6c3373</t>
  </si>
  <si>
    <t>2157</t>
  </si>
  <si>
    <t>495ec091-b588-4f74-b1a8-fc4eb121d7e6</t>
  </si>
  <si>
    <t>2737</t>
  </si>
  <si>
    <t>e426bc3b-711c-48aa-a918-4225cf90c755</t>
  </si>
  <si>
    <t>2427</t>
  </si>
  <si>
    <t>2d9d3f43-7cc8-44e0-9631-6a0e0af59666</t>
  </si>
  <si>
    <t>2626</t>
  </si>
  <si>
    <t>f5e937e8-bb36-4674-b326-7b213dfa1d86</t>
  </si>
  <si>
    <t>2636</t>
  </si>
  <si>
    <t>f3fada85-f4aa-40b3-b88e-6889d4574fa3</t>
  </si>
  <si>
    <t>2648-54</t>
  </si>
  <si>
    <t>8784c6b3-d13f-43bd-bb9e-9072de68d35b</t>
  </si>
  <si>
    <t>2662/2664</t>
  </si>
  <si>
    <t>920a5199-c928-4556-805b-ee6bf5864163</t>
  </si>
  <si>
    <t>2672</t>
  </si>
  <si>
    <t>4caec9f2-2a46-436d-9c9b-259f81ef0590</t>
  </si>
  <si>
    <t>2702/2704/2728</t>
  </si>
  <si>
    <t>98950ffb-a97e-4475-b0a8-56bcb34d56be</t>
  </si>
  <si>
    <t>2740/2744</t>
  </si>
  <si>
    <t>72c694ae-acd3-4cb6-abce-40f0738365d1</t>
  </si>
  <si>
    <t>2752</t>
  </si>
  <si>
    <t>garage, key</t>
  </si>
  <si>
    <t>2811bca5-dc1d-4f92-98e2-c34c25868daf</t>
  </si>
  <si>
    <t>2774</t>
  </si>
  <si>
    <t>6 STEPS</t>
  </si>
  <si>
    <t>cf44a4e8-6f75-4606-8402-600a8ece47a4</t>
  </si>
  <si>
    <t>2776</t>
  </si>
  <si>
    <t xml:space="preserve">garage, access with key </t>
  </si>
  <si>
    <t>c5f534dc-f8ad-4559-b93d-cf79c5f24842</t>
  </si>
  <si>
    <t>2784</t>
  </si>
  <si>
    <t>7 steps</t>
  </si>
  <si>
    <t>c04ea732-08ab-4d2f-8d22-d902a83e493d</t>
  </si>
  <si>
    <t>2782</t>
  </si>
  <si>
    <t>behind gate, in backyard</t>
  </si>
  <si>
    <t>b83174e6-2cc7-45d7-9b6b-ed52f2264c1a</t>
  </si>
  <si>
    <t>2710</t>
  </si>
  <si>
    <t>garage, NARROW WALKWAY</t>
  </si>
  <si>
    <t>8866a98a-9f6c-4e0d-b023-9f53dd351171</t>
  </si>
  <si>
    <t>Miley</t>
  </si>
  <si>
    <t>cd2bea32-ac61-4d62-8376-b6f25dea1dbd</t>
  </si>
  <si>
    <t>2838/2840</t>
  </si>
  <si>
    <t>58330a43-3caf-4fdb-a495-9cf4300d7323</t>
  </si>
  <si>
    <t>2906</t>
  </si>
  <si>
    <t>3a4b8775-24b6-4ffe-834a-fbcfa45e5f08</t>
  </si>
  <si>
    <t>2930/2932</t>
  </si>
  <si>
    <t>b7a24afd-2573-428e-ae54-61873947650d</t>
  </si>
  <si>
    <t>2942/2944</t>
  </si>
  <si>
    <t>1784b80b-36f0-4842-8f10-b02a14aecaf3</t>
  </si>
  <si>
    <t>2948-50/2954</t>
  </si>
  <si>
    <t>78724ea0-a1f2-463c-b23e-1a118c739918</t>
  </si>
  <si>
    <t>3000/3002</t>
  </si>
  <si>
    <t>5c349de6-5ad6-4c0f-b287-04e634b54af2</t>
  </si>
  <si>
    <t>3012-14</t>
  </si>
  <si>
    <t>3fa0e0c8-c57d-4294-afb0-317e50c5a06d</t>
  </si>
  <si>
    <t>3030/3032/3036</t>
  </si>
  <si>
    <t>786b4274-1a8c-409d-8e8e-352d9b31d1eb</t>
  </si>
  <si>
    <t>1350</t>
  </si>
  <si>
    <t>b0f808f6-4be8-476c-a722-4b865acc4e90</t>
  </si>
  <si>
    <t>3079</t>
  </si>
  <si>
    <t>571e3f28-db57-4297-9a87-93cc487cc946</t>
  </si>
  <si>
    <t>2920/2872</t>
  </si>
  <si>
    <t>2920-32g</t>
  </si>
  <si>
    <t>f30f8132-4de6-4754-862b-fd4511c5581e</t>
  </si>
  <si>
    <t>2601</t>
  </si>
  <si>
    <t>cc11106e-6479-4fb1-bceb-27ef63ef1e05</t>
  </si>
  <si>
    <t>3055</t>
  </si>
  <si>
    <t>deb17632-03ba-4f76-8da2-e42603748899</t>
  </si>
  <si>
    <t>3047</t>
  </si>
  <si>
    <t>bf7fb793-f80f-44a2-9d8b-887567b2e531</t>
  </si>
  <si>
    <t>3041/3031</t>
  </si>
  <si>
    <t>1e373592-661c-427f-84ed-a6cc24b4a68c</t>
  </si>
  <si>
    <t>3031</t>
  </si>
  <si>
    <t>7bbda954-63d4-4e26-bb6a-953f291be0e6</t>
  </si>
  <si>
    <t>3015-3009</t>
  </si>
  <si>
    <t>3ce153a4-03b4-4a5e-b34b-f3baba9c7955</t>
  </si>
  <si>
    <t>2933</t>
  </si>
  <si>
    <t>cde57750-a728-4456-83cd-664ff9c4ff91</t>
  </si>
  <si>
    <t>2943</t>
  </si>
  <si>
    <t xml:space="preserve">7 steps down </t>
  </si>
  <si>
    <t>a3c81f54-2b11-4304-95cc-7d84f55a96b6</t>
  </si>
  <si>
    <t>2935-37</t>
  </si>
  <si>
    <t>11 steps</t>
  </si>
  <si>
    <t>1e35d9d4-0911-4504-b292-28edd63bd4e0</t>
  </si>
  <si>
    <t>2915</t>
  </si>
  <si>
    <t>9119f190-0eae-4a0f-aaa5-0e0b1eba063f</t>
  </si>
  <si>
    <t>2903</t>
  </si>
  <si>
    <t xml:space="preserve">curb </t>
  </si>
  <si>
    <t>bed12e6e-03b0-42b6-ac09-b61cc0af3ab3</t>
  </si>
  <si>
    <t>2831</t>
  </si>
  <si>
    <t>9a2aed54-83c9-4a14-b5c6-6681d303dc9f</t>
  </si>
  <si>
    <t>2819</t>
  </si>
  <si>
    <t>aaa5ea45-817b-4041-8bda-4548dfdc9bed</t>
  </si>
  <si>
    <t>2823</t>
  </si>
  <si>
    <t>a8167446-ac19-498d-b5d2-db944fcc4e5f</t>
  </si>
  <si>
    <t>2815</t>
  </si>
  <si>
    <t>9c99319d-1621-4161-90ef-9453a0d4dd7d</t>
  </si>
  <si>
    <t>2785</t>
  </si>
  <si>
    <t>56be1c12-4a2e-424d-b7d8-2feac4ad000c</t>
  </si>
  <si>
    <t>2787</t>
  </si>
  <si>
    <t>ab46bdab-61d1-4a80-bc11-8b4ebd703523</t>
  </si>
  <si>
    <t>2781</t>
  </si>
  <si>
    <t>0a58e4b6-ea4d-4de5-99ca-d7e9bb269aef</t>
  </si>
  <si>
    <t>2769</t>
  </si>
  <si>
    <t>886cdc48-006d-44e0-ad90-299778197b7d</t>
  </si>
  <si>
    <t>2765</t>
  </si>
  <si>
    <t>5b95ac5d-386d-45aa-bf62-9cc7b5cc6fbd</t>
  </si>
  <si>
    <t>2857/2859</t>
  </si>
  <si>
    <t>2759-32, 2745-64, 51 64</t>
  </si>
  <si>
    <t>68c64da7-d9fe-4181-95c5-6d17a82a9c02</t>
  </si>
  <si>
    <t>2735</t>
  </si>
  <si>
    <t>3e1e0ec3-a931-4a5d-bde7-69bc04e0ade6</t>
  </si>
  <si>
    <t>2727</t>
  </si>
  <si>
    <t>309d51a1-1f28-4bf6-a8e1-7e5a37a62414</t>
  </si>
  <si>
    <t>f389d613-b44e-4844-a9d4-8e837e80fb93</t>
  </si>
  <si>
    <t>2717</t>
  </si>
  <si>
    <t>236db5df-bd7b-4433-946c-226e35823ee6</t>
  </si>
  <si>
    <t>2711/2759</t>
  </si>
  <si>
    <t>8cd87f5b-c56f-43ae-9e48-8c405f6d497f</t>
  </si>
  <si>
    <t>2697/2699/2691</t>
  </si>
  <si>
    <t>2699-32</t>
  </si>
  <si>
    <t>652def5d-7c93-4339-adec-67b0008e2035</t>
  </si>
  <si>
    <t>2689</t>
  </si>
  <si>
    <t>6033c89c-50cc-4ebc-942f-9796004e38b9</t>
  </si>
  <si>
    <t>2661/2665/2643</t>
  </si>
  <si>
    <t>0fd2cf1f-5d92-4116-a370-bc18278c6d3e</t>
  </si>
  <si>
    <t>2651/2641</t>
  </si>
  <si>
    <t>b8bba626-6f40-4204-9017-e45ebeb3245f</t>
  </si>
  <si>
    <t>2637/2615</t>
  </si>
  <si>
    <t>4cb56519-11c8-4b9f-a973-5b39a5271be1</t>
  </si>
  <si>
    <t>2300/2385</t>
  </si>
  <si>
    <t xml:space="preserve">2383 code, curb 64, 2385 stairs, </t>
  </si>
  <si>
    <t>26cc6d3d-2238-4a9c-8da7-a559f361c6dd</t>
  </si>
  <si>
    <t>2300</t>
  </si>
  <si>
    <t>ca14faec-5a8b-4ac3-b6b5-872df4918d44</t>
  </si>
  <si>
    <t>a3c008aa-2927-48f7-b4a9-4554c6515ecd</t>
  </si>
  <si>
    <t>2275</t>
  </si>
  <si>
    <t>cd8f38f9-af27-466d-adb6-646fe83ccf9b</t>
  </si>
  <si>
    <t>2201/2211</t>
  </si>
  <si>
    <t>narrow halls, 2201 2 96s</t>
  </si>
  <si>
    <t>c11bc114-4842-4634-87fa-ea69c69f3559</t>
  </si>
  <si>
    <t>2186</t>
  </si>
  <si>
    <t>334f774b-0038-4349-a06d-df0bcdc55c79</t>
  </si>
  <si>
    <t>2155/2141</t>
  </si>
  <si>
    <t xml:space="preserve">2141 code and totes inside small shed, curb was a 96, 2151 32g </t>
  </si>
  <si>
    <t>30fd6821-fd27-4553-b79c-3db7220e5272</t>
  </si>
  <si>
    <t>2204</t>
  </si>
  <si>
    <t>a81feea1-2251-4fe4-9570-c52aabe7405a</t>
  </si>
  <si>
    <t>2000</t>
  </si>
  <si>
    <t>cda25e33-586c-4c0e-9c5c-029f2e43191d</t>
  </si>
  <si>
    <t>5d505eee-c658-4ed4-be2d-85c9d5f7b027</t>
  </si>
  <si>
    <t xml:space="preserve">Fillmore </t>
  </si>
  <si>
    <t>107fff4e-0ec9-4562-b31f-861858b83644</t>
  </si>
  <si>
    <t>70d0608f-cd59-469d-a9db-01d8059505c2</t>
  </si>
  <si>
    <t>b58b0aaa-d010-45a6-a08f-37f8c4630ae9</t>
  </si>
  <si>
    <t>f6052a29-45e1-4cbc-8a97-da56dd436ffe</t>
  </si>
  <si>
    <t>a4f91d6c-0cef-49d4-ac22-df15db7d1fc2</t>
  </si>
  <si>
    <t>2401</t>
  </si>
  <si>
    <t>ddc4dbb5-9f21-49fc-b84c-260f841bee44</t>
  </si>
  <si>
    <t>2353</t>
  </si>
  <si>
    <t>93bea2dc-e504-4b92-a61a-1762194f99de</t>
  </si>
  <si>
    <t>2259</t>
  </si>
  <si>
    <t>rw</t>
  </si>
  <si>
    <t>fd61ee96-dbf7-4f32-b8a7-a4fde12f2609</t>
  </si>
  <si>
    <t xml:space="preserve">1 locked toter </t>
  </si>
  <si>
    <t>c44dd794-87e2-44f5-98b4-c95aac3ad843</t>
  </si>
  <si>
    <t>b8d4e5f3-a608-4491-8ac0-41b5895abbf0</t>
  </si>
  <si>
    <t>a53f20fc-fbed-4741-b408-f1f0bbd573fc</t>
  </si>
  <si>
    <t>19f70818-05d5-4dd0-a57a-e265fe5f7adf</t>
  </si>
  <si>
    <t>ff4d54e1-4a3c-47a1-acda-2978a786b3c9</t>
  </si>
  <si>
    <t>2355</t>
  </si>
  <si>
    <t>cans in cubby</t>
  </si>
  <si>
    <t>4fa94bac-8562-4c49-891b-3d7910a2689d</t>
  </si>
  <si>
    <t>2800</t>
  </si>
  <si>
    <t>2f7885ec-d5eb-404b-bd04-8b221ad3f43f</t>
  </si>
  <si>
    <t>6ce1461d-14e1-4443-849d-1c73d0118724</t>
  </si>
  <si>
    <t>7642ae20-fb7b-4b2d-8b70-656d725b89c1</t>
  </si>
  <si>
    <t>2304/2308</t>
  </si>
  <si>
    <t xml:space="preserve">Divisadero </t>
  </si>
  <si>
    <t xml:space="preserve">rw, code both </t>
  </si>
  <si>
    <t>ae4b7995-6bb4-4504-8113-11fb39848a4d</t>
  </si>
  <si>
    <t>c9463a76-6209-4ef4-8d6e-963467fe6cc7</t>
  </si>
  <si>
    <t>cb0d65e3-bc34-4079-abdd-56f23b380acf</t>
  </si>
  <si>
    <t>13614235-32f0-4b08-b6c0-425bd5facd33</t>
  </si>
  <si>
    <t>stairs lots</t>
  </si>
  <si>
    <t>fe191c14-0b4c-4106-96c5-d286868e6a83</t>
  </si>
  <si>
    <t>52ca76ba-a390-4844-9228-c5000e72f1ea</t>
  </si>
  <si>
    <t>2852</t>
  </si>
  <si>
    <t xml:space="preserve">narrow </t>
  </si>
  <si>
    <t>6aca6fd4-7742-4ae0-b567-0d7bfc598660</t>
  </si>
  <si>
    <t>2860</t>
  </si>
  <si>
    <t>64 curb</t>
  </si>
  <si>
    <t>cb56ed3d-1c5a-4bde-990d-11f2327cae35</t>
  </si>
  <si>
    <t>HEAVY TOTERS AND STEEP HILL</t>
  </si>
  <si>
    <t>f834676d-5d5b-4d4f-83ff-97be17ed4375</t>
  </si>
  <si>
    <t xml:space="preserve">Broderick </t>
  </si>
  <si>
    <t>HILL HEAVY TOTERS</t>
  </si>
  <si>
    <t>8bf946b0-b0ac-4d36-b8d4-662559c18e75</t>
  </si>
  <si>
    <t>2898/2876</t>
  </si>
  <si>
    <t>621324f9-3bb9-4e27-9d92-84c9323d7b15</t>
  </si>
  <si>
    <t>2100</t>
  </si>
  <si>
    <t>4c57ba1f-f889-411d-a689-bd759dfefb63</t>
  </si>
  <si>
    <t>3101</t>
  </si>
  <si>
    <t>c4c99ba1-86ec-44cf-ae83-57f24ae4c2b5</t>
  </si>
  <si>
    <t>68778a72-c91d-4494-898c-9dc923ef6e64</t>
  </si>
  <si>
    <t xml:space="preserve">3100 </t>
  </si>
  <si>
    <t>21dd9952-dbf8-4bca-b3f0-1790ccdf2b70</t>
  </si>
  <si>
    <t>3136</t>
  </si>
  <si>
    <t>8a61bf07-e0ad-4ec2-9f14-e0c0cc9593e9</t>
  </si>
  <si>
    <t>3184</t>
  </si>
  <si>
    <t>2200b575-d682-4977-9949-cc4de571dd80</t>
  </si>
  <si>
    <t>3248</t>
  </si>
  <si>
    <t xml:space="preserve">LOTS of stairs, 1 64 curb </t>
  </si>
  <si>
    <t>acaa0c3f-dc2f-4ad3-a3c7-5b2c96dc468c</t>
  </si>
  <si>
    <t>3119</t>
  </si>
  <si>
    <t>7ec27e5b-02cd-499d-9948-44e281805493</t>
  </si>
  <si>
    <t>141dc248-38e1-4c95-9d6e-d94cbe888871</t>
  </si>
  <si>
    <t>2061</t>
  </si>
  <si>
    <t>352ac8ba-e16d-4797-bd07-95cb15da5c0f</t>
  </si>
  <si>
    <t>3255</t>
  </si>
  <si>
    <t>6619a621-427b-425b-bcb9-59d4076f13b1</t>
  </si>
  <si>
    <t>3200</t>
  </si>
  <si>
    <t>16f28d99-1534-49c9-8248-78f35cd391f6</t>
  </si>
  <si>
    <t>938f7e5c-5a8e-405b-becb-a4733c9e92ed</t>
  </si>
  <si>
    <t>8714584f-2af7-476d-ac64-319d76ee1745</t>
  </si>
  <si>
    <t>3130</t>
  </si>
  <si>
    <t>lots steps down</t>
  </si>
  <si>
    <t>1c759657-2772-47e6-8be0-47ebbbaf70cb</t>
  </si>
  <si>
    <t>9df08d00-a34a-4c33-a49a-c7ba28e537d9</t>
  </si>
  <si>
    <t>f94df974-9950-451a-a959-50b81e28a705</t>
  </si>
  <si>
    <t>e1a6e5a3-bd98-47eb-baf8-d02e5b531cf6</t>
  </si>
  <si>
    <t>2909</t>
  </si>
  <si>
    <t>d6327f02-dbd7-4ec1-a100-5272e35d3b65</t>
  </si>
  <si>
    <t>bdf0454c-e3f0-46ba-87f4-79ea00eeb12b</t>
  </si>
  <si>
    <t>2207/2209</t>
  </si>
  <si>
    <t>c8d5e212-90ef-41cd-915d-39779e13818a</t>
  </si>
  <si>
    <t>3000</t>
  </si>
  <si>
    <t>8ccb3fa5-5425-47e4-ac16-80e92943d58b</t>
  </si>
  <si>
    <t>4f9f1aeb-1660-4506-aa57-6bdca743bb65</t>
  </si>
  <si>
    <t>3024</t>
  </si>
  <si>
    <t>940ea959-b3ec-45ed-9da1-cf1a0b162b70</t>
  </si>
  <si>
    <t>551d5d2e-fb89-4643-b052-a1448696301d</t>
  </si>
  <si>
    <t>f5b548fd-7c21-4aca-9739-732326e70bc1</t>
  </si>
  <si>
    <t>2875/2865</t>
  </si>
  <si>
    <t>70bea3be-0003-4c04-a68f-c92e36b4c0a3</t>
  </si>
  <si>
    <t>2865, 2855</t>
  </si>
  <si>
    <t xml:space="preserve">both NARROW </t>
  </si>
  <si>
    <t>64d58526-ea54-40b2-b23d-12f190311a2a</t>
  </si>
  <si>
    <t xml:space="preserve">code garage </t>
  </si>
  <si>
    <t>e8c224bb-fae5-4252-9671-2ab66b8c6714</t>
  </si>
  <si>
    <t>e2cb4a1b-fa77-4180-b5d6-44df605c2c91</t>
  </si>
  <si>
    <t>2341</t>
  </si>
  <si>
    <t>0fa2e17e-7a54-47d9-9b24-0f15259c5bc1</t>
  </si>
  <si>
    <t>2323/2315</t>
  </si>
  <si>
    <t>2315 garage</t>
  </si>
  <si>
    <t>f6339cea-9cac-4334-82e1-7b60b2f73e87</t>
  </si>
  <si>
    <t>2904, 2930</t>
  </si>
  <si>
    <t>f2b71a89-f213-4082-ae97-72eadfeb7445</t>
  </si>
  <si>
    <t>375ca9d3-fa09-4fe4-aa3f-6073b0016104</t>
  </si>
  <si>
    <t>714f76be-fc38-4aac-8679-0b8e4607812b</t>
  </si>
  <si>
    <t>55e26819-6ba5-425e-ba78-ec4e671e5c4c</t>
  </si>
  <si>
    <t>61a92eea-0e2b-4b5b-ba52-7a6129b22dfe</t>
  </si>
  <si>
    <t>9daa2e05-1cac-4ca5-b36b-f92d0b0685f9</t>
  </si>
  <si>
    <t>2899</t>
  </si>
  <si>
    <t>5d37708a-05ba-42dc-b471-19cb53c84f1b</t>
  </si>
  <si>
    <t>e86d505b-0cd4-41db-bbf3-268133c1ad2f</t>
  </si>
  <si>
    <t>1eafbe76-0515-47a8-afca-0f9386a7c0ce</t>
  </si>
  <si>
    <t>2725</t>
  </si>
  <si>
    <t>187bef27-44c1-46ed-a36d-cafb9c5a3269</t>
  </si>
  <si>
    <t>1601ef4e-8ab9-463c-87c6-539bbe415e4a</t>
  </si>
  <si>
    <t>2701</t>
  </si>
  <si>
    <t>96f7b28e-2451-463f-8f8d-07f2eb8db648</t>
  </si>
  <si>
    <t>52101acb-e124-40da-9336-4fafed9775d1</t>
  </si>
  <si>
    <t>cafcc387-35d6-4103-8bd9-1867416549d8</t>
  </si>
  <si>
    <t>3059/3027</t>
  </si>
  <si>
    <t xml:space="preserve">NATROW, 3027 down steps </t>
  </si>
  <si>
    <t>6985b0fd-571b-433a-8538-ff19693cba99</t>
  </si>
  <si>
    <t>ea8abf99-ab71-478f-871e-9c6256a04545</t>
  </si>
  <si>
    <t>c26e5dde-f8b5-4554-b2a6-42620678d92c</t>
  </si>
  <si>
    <t>dccbfb38-c21c-44bb-bccf-77b6d51502fb</t>
  </si>
  <si>
    <t>4831fa98-ec85-4356-8450-ddf217954cbe</t>
  </si>
  <si>
    <t>837b5174-6c99-4872-8d6d-c42ab20b24fe</t>
  </si>
  <si>
    <t xml:space="preserve">1 distance </t>
  </si>
  <si>
    <t>879a2fa1-6f2e-453d-91fc-742c9736d3c8</t>
  </si>
  <si>
    <t>8fe3a41c-c543-4448-ac54-de31f07f6b1a</t>
  </si>
  <si>
    <t>2713ce11-b179-4ec5-97dc-3879e7f86c8a</t>
  </si>
  <si>
    <t>621e859c-a3d7-4927-b1c7-da81f221645d</t>
  </si>
  <si>
    <t>d13db1a7-78f3-40cc-8326-65a796c9dcc0</t>
  </si>
  <si>
    <t>34d15ec3-72f2-4ab6-b769-9a7d23323fe7</t>
  </si>
  <si>
    <t>bins on park</t>
  </si>
  <si>
    <t>3920d03b-2300-4e79-83b4-9c27bdb35572</t>
  </si>
  <si>
    <t>5e9587d3-e8bd-458a-a66f-09c1c7a9be6e</t>
  </si>
  <si>
    <t>f3d9afc8-0b30-4ed3-b110-563484558404</t>
  </si>
  <si>
    <t>meandor</t>
  </si>
  <si>
    <t>ecd13879-8d30-4bdf-ac01-6cfeef1bb183</t>
  </si>
  <si>
    <t xml:space="preserve">2785 </t>
  </si>
  <si>
    <t>958fb170-ba8f-4c01-83a4-8c3317c5c0f1</t>
  </si>
  <si>
    <t>2700</t>
  </si>
  <si>
    <t>80976b22-60a3-4e1d-8062-e3ba1a63ee16</t>
  </si>
  <si>
    <t>de3e45dd-70e0-4078-991c-b77dd8c53fcf</t>
  </si>
  <si>
    <t>4879c9b5-f231-4919-90a1-82b740fe4b4a</t>
  </si>
  <si>
    <t>5a631546-8acf-4953-83f5-15286fe1274a</t>
  </si>
  <si>
    <t>0dfbffe0-38c2-44fa-94bd-7ca50576fe28</t>
  </si>
  <si>
    <t>2418dad6-7d4a-446c-a1f5-6266364956c5</t>
  </si>
  <si>
    <t>2768</t>
  </si>
  <si>
    <t>DOWNSTEPS</t>
  </si>
  <si>
    <t>cccd85a9-9c6e-4547-912d-cd9c7e7a6e38</t>
  </si>
  <si>
    <t>b58f0527-0d19-4b0f-8429-d3feaa6b832f</t>
  </si>
  <si>
    <t>2600</t>
  </si>
  <si>
    <t>461e64e1-bb3c-475f-a26e-a682258887bb</t>
  </si>
  <si>
    <t>2650</t>
  </si>
  <si>
    <t>557184b0-a5cc-4b44-b3f1-227699248c14</t>
  </si>
  <si>
    <t>2724</t>
  </si>
  <si>
    <t>e0c12993-0c21-41b5-a68c-a0bf251620f8</t>
  </si>
  <si>
    <t>e5dd121d-c5af-45b6-a981-09e95e278bfe</t>
  </si>
  <si>
    <t>2870</t>
  </si>
  <si>
    <t xml:space="preserve">96 inside </t>
  </si>
  <si>
    <t>0137f171-b8e3-4b65-ab64-f1d149419a12</t>
  </si>
  <si>
    <t>2826</t>
  </si>
  <si>
    <t>25023430-9a92-4071-b160-482a4d473fed</t>
  </si>
  <si>
    <t>40285b55-41a4-4cf3-9a07-27e7b7a71448</t>
  </si>
  <si>
    <t>f6e7463d-34f6-4ddc-92b4-7187b0808cde</t>
  </si>
  <si>
    <t>334f43b6-de94-4565-bfca-9a8a2445c54f</t>
  </si>
  <si>
    <t>c76f129e-2cf7-4d1c-b4b1-82e48649e8b3</t>
  </si>
  <si>
    <t>022e86ea-cc7e-4020-84fd-1f67621fe077</t>
  </si>
  <si>
    <t>83a520d8-176d-41b8-ba3c-2363394b8254</t>
  </si>
  <si>
    <t>e6fabb23-39ea-4574-b994-49a6a866afa1</t>
  </si>
  <si>
    <t>fbb5ccba-0ff1-44ad-b163-0d6de459be0a</t>
  </si>
  <si>
    <t>1c4ee338-b510-4e0f-9961-96babb70b7d3</t>
  </si>
  <si>
    <t>8e8eb5a0-487b-409a-98e6-55d7598bb911</t>
  </si>
  <si>
    <t>8327bd9e-364f-4ba5-b187-5a592dee333d</t>
  </si>
  <si>
    <t>10151eb7-2293-4278-a843-49a9ec77fff5</t>
  </si>
  <si>
    <t>73d237b3-52bd-4f74-adc5-96d3664ac548</t>
  </si>
  <si>
    <t>4314e6ec-12a4-42e3-91e5-f5c02467b009</t>
  </si>
  <si>
    <t>c37704f4-fe1b-40dd-bd89-784cb2d113ed</t>
  </si>
  <si>
    <t>e0893b18-88b8-4bd7-8c79-fa68c27db5b7</t>
  </si>
  <si>
    <t>160aa107-745a-4817-b4cb-cbea4b07faed</t>
  </si>
  <si>
    <t>f7301506-4b7c-4c64-8f73-5af0e1bf73ca</t>
  </si>
  <si>
    <t>9d9f2154-00b9-4d6a-9306-77b7eecd821b</t>
  </si>
  <si>
    <t xml:space="preserve">rw, cars parked lots </t>
  </si>
  <si>
    <t>b84c858f-457c-4867-a771-e82ed096f521</t>
  </si>
  <si>
    <t>bda8273a-85e5-467e-b01f-995dd2f62c64</t>
  </si>
  <si>
    <t>17ac120d-b928-40a2-9a6c-0bb2432af806</t>
  </si>
  <si>
    <t>38006614-fd73-4bb7-bddc-1c9a424a57d4</t>
  </si>
  <si>
    <t>2667</t>
  </si>
  <si>
    <t>b42156dc-e9d8-4161-b220-8e11dbe45ee0</t>
  </si>
  <si>
    <t>daa1499f-db98-48b9-ae50-14d1bd6df700</t>
  </si>
  <si>
    <t>d5758c1c-d85d-443b-ba33-b0fe284f36e3</t>
  </si>
  <si>
    <t>33b5f765-6fc4-4af7-97d6-78d74f79b70d</t>
  </si>
  <si>
    <t>f3d6e11f-7fac-4997-be54-75cc1361b954</t>
  </si>
  <si>
    <t>5d3d4cb5-0892-4776-92de-c4205c0d33d7</t>
  </si>
  <si>
    <t>3030</t>
  </si>
  <si>
    <t>15856d5a-6e10-4613-8a8d-666888d54be9</t>
  </si>
  <si>
    <t>2680</t>
  </si>
  <si>
    <t>91bcf450-d1a7-4163-adb5-57ed8d5ea698</t>
  </si>
  <si>
    <t>2665</t>
  </si>
  <si>
    <t xml:space="preserve">Chestnut </t>
  </si>
  <si>
    <t>3ef84cd0-4b88-4474-b3f1-5bed93e3db9a</t>
  </si>
  <si>
    <t>c459c1c9-9fac-4d74-bef1-d784d415b595</t>
  </si>
  <si>
    <t>2635</t>
  </si>
  <si>
    <t>issues with blade and hopper</t>
  </si>
  <si>
    <t>762bbd4f-99fc-4df2-a5d6-e504ea27a604</t>
  </si>
  <si>
    <t>2596</t>
  </si>
  <si>
    <t>d8c6c864-5ff6-496f-81c9-3862177a0eec</t>
  </si>
  <si>
    <t>2597</t>
  </si>
  <si>
    <t>dcb329e6-e727-4a01-993c-3301baac0a70</t>
  </si>
  <si>
    <t>2598</t>
  </si>
  <si>
    <t>c9101186-b20a-4b08-89da-523acb26b310</t>
  </si>
  <si>
    <t>2599</t>
  </si>
  <si>
    <t>562696a3-5082-42fc-9121-0306dc70bdcf</t>
  </si>
  <si>
    <t>ae4cc62c-4267-464a-9633-c442d455e3b1</t>
  </si>
  <si>
    <t>22690e66-4887-4f42-b890-eed81e61c1f2</t>
  </si>
  <si>
    <t>798be9fc-5b2e-4dd9-86e2-6a187a6b79a0</t>
  </si>
  <si>
    <t>2695</t>
  </si>
  <si>
    <t>d4835dd2-4cc2-47f1-9947-fb84bc377cb6</t>
  </si>
  <si>
    <t>b840dc1f-c6da-48e1-9b1d-c1ef45dafaf8</t>
  </si>
  <si>
    <t>NATTOW HALL</t>
  </si>
  <si>
    <t>deb8657c-9605-4a9d-9f5d-42f06ffc7aef</t>
  </si>
  <si>
    <t>cbbda1ee-0e0b-4c06-a146-c643c0b0740c</t>
  </si>
  <si>
    <t>94d57289-cd17-4913-baba-59572341cb6f</t>
  </si>
  <si>
    <t>2862ee7c-ac33-4bc0-ad0c-61472770350a</t>
  </si>
  <si>
    <t>76b692f2-945a-4080-b724-df566dda6900</t>
  </si>
  <si>
    <t>503eccf0-3f0f-4596-a259-f0debf645857</t>
  </si>
  <si>
    <t>b100030d-2094-445f-813d-399c149312d5</t>
  </si>
  <si>
    <t>1700</t>
  </si>
  <si>
    <t>code garage</t>
  </si>
  <si>
    <t>ee9bc398-58cb-4089-85b7-0d94a71990cc</t>
  </si>
  <si>
    <t>72196a38-1094-460b-ae13-12d1bedeb1cc</t>
  </si>
  <si>
    <t>1900</t>
  </si>
  <si>
    <t>c973d05c-8b68-4b87-a536-0c2f772a1c19</t>
  </si>
  <si>
    <t>d4e95a80-475f-4bef-9aef-5c4ffe9b3419</t>
  </si>
  <si>
    <t>0c382441-0f89-4e49-9d53-d5c3c514d6b4</t>
  </si>
  <si>
    <t>2011</t>
  </si>
  <si>
    <t xml:space="preserve">code garage down ramp </t>
  </si>
  <si>
    <t>7b62f9ff-abd2-43e6-be77-13bb007e9346</t>
  </si>
  <si>
    <t>1715</t>
  </si>
  <si>
    <t>opens gate, backs up into alley</t>
  </si>
  <si>
    <t>2d4139bb-11ce-4d6c-8d16-cdcd93b0e307</t>
  </si>
  <si>
    <t>1959-63</t>
  </si>
  <si>
    <t>705d43f5-90b2-4b62-8b8f-9abee85ea40d</t>
  </si>
  <si>
    <t>1947</t>
  </si>
  <si>
    <t>97ef5257-5699-4fa6-abee-b7255b29b1be</t>
  </si>
  <si>
    <t>023706f5-6226-478e-b60a-a4f3c3efcc6e</t>
  </si>
  <si>
    <t>1963-69</t>
  </si>
  <si>
    <t>be5272a0-acc0-4008-8494-ffa0a5ed755d</t>
  </si>
  <si>
    <t>2012</t>
  </si>
  <si>
    <t>f81a500a-2601-4418-9193-79ceeecd0f09</t>
  </si>
  <si>
    <t>2016</t>
  </si>
  <si>
    <t>consolidated to one 64</t>
  </si>
  <si>
    <t>402adbd5-04c1-4c6b-9d48-88e7a652095e</t>
  </si>
  <si>
    <t>2022</t>
  </si>
  <si>
    <t>aa220127-420c-4562-96a0-6aadc9095b2c</t>
  </si>
  <si>
    <t>????-2092</t>
  </si>
  <si>
    <t>8f22e7bd-b19a-4c87-90e4-493c198d51e3</t>
  </si>
  <si>
    <t>2018</t>
  </si>
  <si>
    <t>35803042-2e61-4142-b2e9-6e2d2ff562ec</t>
  </si>
  <si>
    <t>51ed0d3d-951e-44e2-baf9-c51ed955f162</t>
  </si>
  <si>
    <t>cef31abd-ab57-4be8-b7b6-2d3d6c75d696</t>
  </si>
  <si>
    <t>01ac92ea-d548-44c1-ab40-76e976a94f43</t>
  </si>
  <si>
    <t>2481-85</t>
  </si>
  <si>
    <t>d7e671db-6e56-4baa-b870-781c4dddd65c</t>
  </si>
  <si>
    <t>fb3e5ae9-985b-46aa-83af-ebc07cd44ec6</t>
  </si>
  <si>
    <t>4 steps and distance. 32g green</t>
  </si>
  <si>
    <t>dea00193-ad58-479e-a42d-d84af1b2525f</t>
  </si>
  <si>
    <t>7278d344-22d1-45df-ae06-5241762e2d76</t>
  </si>
  <si>
    <t>2208</t>
  </si>
  <si>
    <t xml:space="preserve">Pine </t>
  </si>
  <si>
    <t>d68f2636-2ad0-47bb-a871-f85cf7769579</t>
  </si>
  <si>
    <t>2206</t>
  </si>
  <si>
    <t>7ea971db-fc55-4910-bbd3-9b866d8cd339</t>
  </si>
  <si>
    <t>2212</t>
  </si>
  <si>
    <t>074d5ff8-6c36-4f4f-889d-50fb4f0e78f1</t>
  </si>
  <si>
    <t>233fa602-b304-4929-8649-173768fb8efb</t>
  </si>
  <si>
    <t>2268</t>
  </si>
  <si>
    <t>c861ca36-0272-42ce-a107-22f5dea10ea8</t>
  </si>
  <si>
    <t>2407</t>
  </si>
  <si>
    <t>6891dee9-8e84-436e-825d-a41596a404ec</t>
  </si>
  <si>
    <t>2409</t>
  </si>
  <si>
    <t>9f521c9d-dbf0-4959-b6d5-f223a6b46b4f</t>
  </si>
  <si>
    <t>2021</t>
  </si>
  <si>
    <t>2bc83238-74e5-4166-b2fa-b3a0b96ca94d</t>
  </si>
  <si>
    <t>2323</t>
  </si>
  <si>
    <t>consolidated</t>
  </si>
  <si>
    <t>3f9313fa-0535-4bcb-b5f0-c0f2ec4f6b03</t>
  </si>
  <si>
    <t>2307</t>
  </si>
  <si>
    <t>cdcab4cd-2b84-4eca-82a2-ae60b2c498c1</t>
  </si>
  <si>
    <t>2305</t>
  </si>
  <si>
    <t>7208541a-5ea9-446a-afb8-7a655e688521</t>
  </si>
  <si>
    <t>2201</t>
  </si>
  <si>
    <t>70cff76e-6366-4671-806c-c1bc39033d7f</t>
  </si>
  <si>
    <t>6e37f6b9-3fdf-42e0-bdea-d6871b045402</t>
  </si>
  <si>
    <t>653e55f2-b227-4ee1-b667-397d13129c02</t>
  </si>
  <si>
    <t>2214</t>
  </si>
  <si>
    <t>9137bbe0-1907-42c2-9274-97d8ac645acd</t>
  </si>
  <si>
    <t>2207</t>
  </si>
  <si>
    <t>b219f5ec-a2b5-4aaa-aae4-47fd4cab5d0c</t>
  </si>
  <si>
    <t>2216</t>
  </si>
  <si>
    <t>5a237b38-7915-4eb5-9fde-ce0ba58f0c35</t>
  </si>
  <si>
    <t>2247-49</t>
  </si>
  <si>
    <t>8c992d3d-e7e6-4b5c-8d04-564b9bff91d9</t>
  </si>
  <si>
    <t>2259-63</t>
  </si>
  <si>
    <t>b8dcf28e-69e3-40e8-b999-db475e967be6</t>
  </si>
  <si>
    <t>2220</t>
  </si>
  <si>
    <t>89f2537f-0aaf-4071-b395-d9dd91b6662c</t>
  </si>
  <si>
    <t>2271-73</t>
  </si>
  <si>
    <t>d173b0c0-f075-4b95-b057-f7156c950c09</t>
  </si>
  <si>
    <t>b2305e11-5d4e-497e-9e29-1ae0aa0b3b86</t>
  </si>
  <si>
    <t>2277-79</t>
  </si>
  <si>
    <t>8c57ad98-2f6d-4878-9361-5f145d20453e</t>
  </si>
  <si>
    <t>2283</t>
  </si>
  <si>
    <t>e5a62a55-5cfd-4608-881b-6d05140c3afe</t>
  </si>
  <si>
    <t>2304</t>
  </si>
  <si>
    <t>eabb90ce-081c-45f9-8198-cea858bce553</t>
  </si>
  <si>
    <t>2a6ffbba-8614-459a-bf3c-baed617207b5</t>
  </si>
  <si>
    <t>2340</t>
  </si>
  <si>
    <t>23956fd3-3482-4422-8474-71e06ba8a794</t>
  </si>
  <si>
    <t>2332</t>
  </si>
  <si>
    <t>c31da6c0-2565-4dd2-aa78-851de3faf757</t>
  </si>
  <si>
    <t>2342</t>
  </si>
  <si>
    <t>5dbb0bc0-b4a6-4b9e-9a14-45d97f726331</t>
  </si>
  <si>
    <t>b92bbd3d-6bd6-4691-93de-b67edb4727c1</t>
  </si>
  <si>
    <t>276a540d-5b09-4fb0-8f2f-6ccca44a3f75</t>
  </si>
  <si>
    <t>82174a48-b7ff-4e38-9145-6a1468ffa71a</t>
  </si>
  <si>
    <t>10e4c9cf-e36b-4d4d-9dc1-c366b451aa0a</t>
  </si>
  <si>
    <t>2317</t>
  </si>
  <si>
    <t>0ab7b68b-cd08-483f-8a13-c57e06f7abe1</t>
  </si>
  <si>
    <t>f9f80a0c-1ed6-4eff-9872-3b1486a0d6c5</t>
  </si>
  <si>
    <t>2111</t>
  </si>
  <si>
    <t>1e751435-7b78-456f-b7b8-0391fccf3e52</t>
  </si>
  <si>
    <t>2075</t>
  </si>
  <si>
    <t>9b702a0e-01b0-4f62-8bf3-52920d77d71d</t>
  </si>
  <si>
    <t>2011, 2013</t>
  </si>
  <si>
    <t>e22d2479-5236-4d5f-b2a5-5a8274dd059a</t>
  </si>
  <si>
    <t>2001</t>
  </si>
  <si>
    <t>3a9cf3c7-8df3-4711-872b-bd0e4b9f2f03</t>
  </si>
  <si>
    <t>2005</t>
  </si>
  <si>
    <t>7710e568-f495-4359-a9e5-d51018f8967c</t>
  </si>
  <si>
    <t>1931-33</t>
  </si>
  <si>
    <t>3ae14478-e665-4ee3-bd22-3e6932907253</t>
  </si>
  <si>
    <t>1957</t>
  </si>
  <si>
    <t>06c79377-4321-45df-8c51-20fd794e7cb2</t>
  </si>
  <si>
    <t>2000-2002</t>
  </si>
  <si>
    <t>b422e51c-c909-4a8d-8a0e-a144a43ca068</t>
  </si>
  <si>
    <t>0b27fd4b-65e3-486a-8c39-1bd71d406f13</t>
  </si>
  <si>
    <t>1934</t>
  </si>
  <si>
    <t>36e40266-94a7-4bc8-8ffc-3d6207d5f881</t>
  </si>
  <si>
    <t>1932</t>
  </si>
  <si>
    <t>29e14c9e-5772-4027-b540-b669739db338</t>
  </si>
  <si>
    <t>1940-42</t>
  </si>
  <si>
    <t>5f1b4f30-00e5-4062-8b1d-dd4f3e4069d2</t>
  </si>
  <si>
    <t>1958</t>
  </si>
  <si>
    <t>d7066830-4d0f-4e58-bae5-94bb487978c8</t>
  </si>
  <si>
    <t>2103</t>
  </si>
  <si>
    <t>4ea7643a-2614-4654-8d3f-5d5b22187e4b</t>
  </si>
  <si>
    <t>2105</t>
  </si>
  <si>
    <t>dc1a9aab-4b21-4d03-82d6-3ed2ce00a88a</t>
  </si>
  <si>
    <t>2107-09</t>
  </si>
  <si>
    <t>3edfe758-4de4-44b0-ae4e-4c1237fedd80</t>
  </si>
  <si>
    <t>2139-43</t>
  </si>
  <si>
    <t xml:space="preserve">inside enclosure </t>
  </si>
  <si>
    <t>d3823751-b617-41ab-8d77-6e2ecbd4766e</t>
  </si>
  <si>
    <t>2135-37</t>
  </si>
  <si>
    <t>5ea08326-1620-41bc-b41a-f59a3f3fe31d</t>
  </si>
  <si>
    <t>2127-31</t>
  </si>
  <si>
    <t>5a198eb3-4d95-4f24-a64f-91782f5fb531</t>
  </si>
  <si>
    <t>5d2457fc-af0d-4fb6-a5af-c1bc394a4392</t>
  </si>
  <si>
    <t>2436-40</t>
  </si>
  <si>
    <t xml:space="preserve">behind gate, down alley, upstairs </t>
  </si>
  <si>
    <t>4cc0a337-01f3-49bf-b278-4041769ed177</t>
  </si>
  <si>
    <t>2442-46</t>
  </si>
  <si>
    <t>behid gate down alley upstais</t>
  </si>
  <si>
    <t>c0b283af-283a-4be5-8c0d-8454592a8e76</t>
  </si>
  <si>
    <t>2448</t>
  </si>
  <si>
    <t>03a100cf-2079-4377-943f-0c650149415c</t>
  </si>
  <si>
    <t>2456</t>
  </si>
  <si>
    <t>c035cca2-1bc3-4a7f-83e8-599c5b532ae8</t>
  </si>
  <si>
    <t>puts in 96</t>
  </si>
  <si>
    <t>ab1929d8-4ef5-4cbc-a7db-6c6545d8e73c</t>
  </si>
  <si>
    <t>2475</t>
  </si>
  <si>
    <t>code garage previous</t>
  </si>
  <si>
    <t>f6ba46d7-30cf-417d-a15a-482555d3e7da</t>
  </si>
  <si>
    <t>2461/65</t>
  </si>
  <si>
    <t>12b31b66-68d6-48f1-96bd-bf4ca382a169</t>
  </si>
  <si>
    <t>2445</t>
  </si>
  <si>
    <t>d34a7964-0a89-4da3-ac4d-626ddedb9108</t>
  </si>
  <si>
    <t>2447</t>
  </si>
  <si>
    <t>8dcfddd0-9632-4f57-94e4-d718d2285b82</t>
  </si>
  <si>
    <t>2437</t>
  </si>
  <si>
    <t>cf03217f-bf4e-4fad-b151-f0a928e16cfa</t>
  </si>
  <si>
    <t>2411-09</t>
  </si>
  <si>
    <t>0d113724-56ad-4b08-a2db-a13cac5ee367</t>
  </si>
  <si>
    <t>2405</t>
  </si>
  <si>
    <t>541e4eb9-1821-4cdf-b32a-4ffdb88ae551</t>
  </si>
  <si>
    <t>2418</t>
  </si>
  <si>
    <t>a9f8d35c-c1fb-4aa9-beb2-ec7abc567d02</t>
  </si>
  <si>
    <t>2406</t>
  </si>
  <si>
    <t>6a9d6941-7e76-4b53-beb9-2cc0cf8d084f</t>
  </si>
  <si>
    <t>2432</t>
  </si>
  <si>
    <t>cc547771-f702-4dd7-8c4f-757ab542714e</t>
  </si>
  <si>
    <t>2424</t>
  </si>
  <si>
    <t>288a24e3-6fde-4622-9ca1-879941f10494</t>
  </si>
  <si>
    <t>2446/2440</t>
  </si>
  <si>
    <t>2440 curb</t>
  </si>
  <si>
    <t>86a2fa62-e3b0-433e-bb45-b2c3c298ef74</t>
  </si>
  <si>
    <t>2452</t>
  </si>
  <si>
    <t>5838f282-66a8-442a-a077-876ae71b495a</t>
  </si>
  <si>
    <t>2003</t>
  </si>
  <si>
    <t>7d931c15-e911-485c-8e43-cca09e421801</t>
  </si>
  <si>
    <t>2017-2021</t>
  </si>
  <si>
    <t>consolidated to 96g</t>
  </si>
  <si>
    <t>dd600d34-72d4-4080-b9e3-d3ed284747ae</t>
  </si>
  <si>
    <t>2011-15</t>
  </si>
  <si>
    <t>40d8a944-bc56-496a-b66e-094b35cadefa</t>
  </si>
  <si>
    <t>2031-33/41</t>
  </si>
  <si>
    <t>code garage, 41-64g and 32g</t>
  </si>
  <si>
    <t>debabeb7-29ac-4c8e-8d4c-a85986f28d6e</t>
  </si>
  <si>
    <t>2047-51</t>
  </si>
  <si>
    <t>cd4da991-6ed2-4dc5-a2ad-a7ffa241544a</t>
  </si>
  <si>
    <t>2110-11</t>
  </si>
  <si>
    <t>3aad648f-f001-4eb1-8aab-198409d7b358</t>
  </si>
  <si>
    <t>2110/20</t>
  </si>
  <si>
    <t>58cd1b8f-2df7-4fa9-b7aa-b0b329068bff</t>
  </si>
  <si>
    <t>2172/2178/2162</t>
  </si>
  <si>
    <t>78 curb 2162 inside 164g 1 32g</t>
  </si>
  <si>
    <t>9cd78ace-8c7f-440a-b9f3-ddc7bafdec9f</t>
  </si>
  <si>
    <t>ce0876fb-b46a-4dc7-8dc8-5beae5be663b</t>
  </si>
  <si>
    <t>1843</t>
  </si>
  <si>
    <t>7e688505-ae86-4c87-8911-224544fab8e2</t>
  </si>
  <si>
    <t>2207-11</t>
  </si>
  <si>
    <t>bf4a5b32-1e11-43e5-9152-3db5ff7020b0</t>
  </si>
  <si>
    <t>2243-45</t>
  </si>
  <si>
    <t xml:space="preserve">long narrow walkway, </t>
  </si>
  <si>
    <t>378639af-e44e-4065-a076-31df2028e38f</t>
  </si>
  <si>
    <t>2237</t>
  </si>
  <si>
    <t>54402148-4332-485b-9a26-c08aee97fbe1</t>
  </si>
  <si>
    <t>2251</t>
  </si>
  <si>
    <t>59c8b5d9-3bc9-4391-8455-75ad374bd36c</t>
  </si>
  <si>
    <t>1100</t>
  </si>
  <si>
    <t xml:space="preserve">Polk </t>
  </si>
  <si>
    <t>2 city can</t>
  </si>
  <si>
    <t>043e9466-69b6-4cc9-b9a9-43cd4164e6ad</t>
  </si>
  <si>
    <t>a6f50188-658e-416a-96c9-cab051d3ff04</t>
  </si>
  <si>
    <t>1200</t>
  </si>
  <si>
    <t>big belly city can</t>
  </si>
  <si>
    <t>1d0ec88c-a02a-4c14-b571-5b920b2e7e60</t>
  </si>
  <si>
    <t xml:space="preserve">1 96 black, 1 64 green </t>
  </si>
  <si>
    <t>d2ef23ef-29c0-41a5-b8ae-c238663a8840</t>
  </si>
  <si>
    <t>0ba16470-bfea-4622-90ca-eed2419a0228</t>
  </si>
  <si>
    <t>1300</t>
  </si>
  <si>
    <t>19c5cd21-d264-4f4b-988a-2f5d4681351a</t>
  </si>
  <si>
    <t>1400</t>
  </si>
  <si>
    <t>1 green, 1 black</t>
  </si>
  <si>
    <t>1ee5bdab-ba0f-4837-9acc-cdcbfd8a50da</t>
  </si>
  <si>
    <t>e98045f3-0dcb-44f4-b3ba-e55e50da7b06</t>
  </si>
  <si>
    <t>4ecb77f2-f7f6-4033-9726-b6dbe59707f4</t>
  </si>
  <si>
    <t>city can, alley</t>
  </si>
  <si>
    <t>6b84c99e-eb9c-41b8-aa3c-adae73739a42</t>
  </si>
  <si>
    <t>163a9d2a-4753-4fb1-9f19-4e176f6c3fcb</t>
  </si>
  <si>
    <t>1 black, 1 green</t>
  </si>
  <si>
    <t>c3c9b2e1-79d6-4406-872e-f0da0a9cf11c</t>
  </si>
  <si>
    <t xml:space="preserve">Flat </t>
  </si>
  <si>
    <t>1 black, 1 green, 2 green 64s</t>
  </si>
  <si>
    <t>86be7d70-08d8-49cc-b05a-94f4deb5c84c</t>
  </si>
  <si>
    <t>99b09585-829c-4245-8257-38d82f287cca</t>
  </si>
  <si>
    <t>1 night belly city can</t>
  </si>
  <si>
    <t>8219d0a7-372c-4936-a6e7-7daf224c089d</t>
  </si>
  <si>
    <t>cdef918e-2324-460b-a2b4-83fdef1a90c0</t>
  </si>
  <si>
    <t xml:space="preserve">1 32g green 1 32g black </t>
  </si>
  <si>
    <t>d53c8ab1-64fd-434f-aee2-e24b6cee0f1d</t>
  </si>
  <si>
    <t>2950ced1-23a7-44fc-a434-dfa98774d565</t>
  </si>
  <si>
    <t>3cedfc79-4702-4330-99d6-25aa27ddc99d</t>
  </si>
  <si>
    <t>1259/1247</t>
  </si>
  <si>
    <t>7e37ab01-ee60-4960-bf0e-0f5c44137af3</t>
  </si>
  <si>
    <t>1234</t>
  </si>
  <si>
    <t xml:space="preserve">lush lounge </t>
  </si>
  <si>
    <t>1d1fd6a5-98fb-4c38-b517-e2567b4c8a6a</t>
  </si>
  <si>
    <t>1 city can even</t>
  </si>
  <si>
    <t>4139018c-bf12-47af-ba50-2907f6d2759e</t>
  </si>
  <si>
    <t>44f26565-f32a-414b-b504-7afb8a05f074</t>
  </si>
  <si>
    <t>1bb287f9-4c3e-474f-8651-fb9d0cca3b19</t>
  </si>
  <si>
    <t>1452</t>
  </si>
  <si>
    <t>code, down ramp</t>
  </si>
  <si>
    <t>9afe50bb-4d1d-4ca3-85f3-75fb36b9a1b5</t>
  </si>
  <si>
    <t>01c081de-ef88-48d8-8d12-652df0a0ef69</t>
  </si>
  <si>
    <t>1421</t>
  </si>
  <si>
    <t>930185dc-ebc8-4894-a507-49936d7752eb</t>
  </si>
  <si>
    <t>84f2a576-0180-4f42-ad9e-eaf707a403e2</t>
  </si>
  <si>
    <t>84ba4bd9-0a37-46d2-ac05-3f13f374a6e1</t>
  </si>
  <si>
    <t>100</t>
  </si>
  <si>
    <t xml:space="preserve">Fern </t>
  </si>
  <si>
    <t>garage, down ramp</t>
  </si>
  <si>
    <t>89610581-48d0-47c9-9a61-1e4b25850f5a</t>
  </si>
  <si>
    <t>0</t>
  </si>
  <si>
    <t>Fern</t>
  </si>
  <si>
    <t>f8a7f16e-626f-4b34-be06-d102d448f56f</t>
  </si>
  <si>
    <t>1150</t>
  </si>
  <si>
    <t>goes down elevator</t>
  </si>
  <si>
    <t>6c33746f-8c28-469a-afd9-4200d484fae5</t>
  </si>
  <si>
    <t>2 96g black, 1 64g green</t>
  </si>
  <si>
    <t>93a4d81f-0184-4f6b-a033-7c3c707bfb79</t>
  </si>
  <si>
    <t>a5f0a234-7a61-4acd-841e-6e64c5de6773</t>
  </si>
  <si>
    <t>code, all green</t>
  </si>
  <si>
    <t>af8666e3-9489-430b-bac4-8c8fca60df7b</t>
  </si>
  <si>
    <t>all black</t>
  </si>
  <si>
    <t>92a03fcc-7d50-44aa-bf24-df062eeeccac</t>
  </si>
  <si>
    <t>1114/1122</t>
  </si>
  <si>
    <t>665ce5d5-0797-426e-afcf-40c07514eaeb</t>
  </si>
  <si>
    <t>56b99754-994a-4bd2-830a-f786c7cd3df0</t>
  </si>
  <si>
    <t>443e3e8b-f086-41f7-8440-305baa77fc26</t>
  </si>
  <si>
    <t>city can, one way</t>
  </si>
  <si>
    <t>cdd295b4-b10c-4190-a1e1-0b2b73feefc6</t>
  </si>
  <si>
    <t>1390</t>
  </si>
  <si>
    <t>b7f285e9-ae51-4a8a-9e9a-5f3b0b6009f4</t>
  </si>
  <si>
    <t>1303</t>
  </si>
  <si>
    <t>inside</t>
  </si>
  <si>
    <t>19099bcc-510f-4e40-8e38-ce3e9f11cfab</t>
  </si>
  <si>
    <t>1639b465-f4aa-49c4-892d-1e852e37208f</t>
  </si>
  <si>
    <t>d3b5dbad-84f6-4725-a78e-629ce5c68368</t>
  </si>
  <si>
    <t>c4dbc6d9-f56e-4d56-9950-c8fd3c64bd8d</t>
  </si>
  <si>
    <t>6089c2a3-843e-4c12-a97f-cace88cd1e43</t>
  </si>
  <si>
    <t>1408</t>
  </si>
  <si>
    <t>eafedb25-8557-495e-88ea-fe34c9a8c39a</t>
  </si>
  <si>
    <t>1436</t>
  </si>
  <si>
    <t>64d028d4-f12e-4507-8ab4-34ac96f7ddbc</t>
  </si>
  <si>
    <t>255b3998-3861-4678-bf4a-9e41f26a3570</t>
  </si>
  <si>
    <t>1456/1462</t>
  </si>
  <si>
    <t>exits through garage</t>
  </si>
  <si>
    <t>a1a7adb8-1dc4-4925-86c5-265d836f5129</t>
  </si>
  <si>
    <t>1512</t>
  </si>
  <si>
    <t>all 64g inside</t>
  </si>
  <si>
    <t>9ce6b090-c29d-441f-9eac-a55dcec34673</t>
  </si>
  <si>
    <t>1528/1520</t>
  </si>
  <si>
    <t>571040ab-da10-463f-b897-04de07136290</t>
  </si>
  <si>
    <t>1500</t>
  </si>
  <si>
    <t>6dde79f3-8c30-474a-9164-85889e676504</t>
  </si>
  <si>
    <t>1550</t>
  </si>
  <si>
    <t>932d8f27-079f-4def-8b90-eaf776d8d67a</t>
  </si>
  <si>
    <t>1600</t>
  </si>
  <si>
    <t>61f4183f-9a5d-45ca-8628-122d96306998</t>
  </si>
  <si>
    <t>2c58d4b1-48f5-4c83-ae7d-7028f4857db9</t>
  </si>
  <si>
    <t>1740/1728</t>
  </si>
  <si>
    <t>975f15ab-52e6-4602-a6b9-5af8a631c9d9</t>
  </si>
  <si>
    <t>1718/1720/</t>
  </si>
  <si>
    <t>1720-two 96gs also down parking lot code and 1725 code two 96gs down ramp</t>
  </si>
  <si>
    <t>a6ee79ff-6748-4a64-950a-581a33cbdcf0</t>
  </si>
  <si>
    <t>1574</t>
  </si>
  <si>
    <t>d8d93316-b5f2-4cfb-bec6-9fe13f96851d</t>
  </si>
  <si>
    <t>75868ced-1503-4670-9314-7152452ece08</t>
  </si>
  <si>
    <t xml:space="preserve">1 big belly city can </t>
  </si>
  <si>
    <t>ea4f1708-c347-4e4a-a53a-99fb14c0f5c0</t>
  </si>
  <si>
    <t xml:space="preserve">64g locked toter </t>
  </si>
  <si>
    <t>199e97af-91be-4f76-ac31-ab5b77461a21</t>
  </si>
  <si>
    <t>1044</t>
  </si>
  <si>
    <t>59f7139b-eaa1-4f8d-aacc-993028068778</t>
  </si>
  <si>
    <t>1029/1000</t>
  </si>
  <si>
    <t>fa2dfd38-6457-4d2d-ba7d-531ea7fcb07b</t>
  </si>
  <si>
    <t>963</t>
  </si>
  <si>
    <t>818916f8-cf6d-496a-93a6-0b0f5a061f98</t>
  </si>
  <si>
    <t>945</t>
  </si>
  <si>
    <t>c9743b05-6a77-4603-b7a2-9ee064ee7d20</t>
  </si>
  <si>
    <t>900</t>
  </si>
  <si>
    <t>ca188cb1-da34-4396-8192-23b3bf43b97f</t>
  </si>
  <si>
    <t xml:space="preserve">locked toters </t>
  </si>
  <si>
    <t>55bd6c4c-1b1f-4857-b8c0-144ceed23cf3</t>
  </si>
  <si>
    <t>1121/1135</t>
  </si>
  <si>
    <t>narrow, 1135-downstairs</t>
  </si>
  <si>
    <t>592b19b4-221c-4ef6-afc4-f3c846f16ee5</t>
  </si>
  <si>
    <t>ramp, 1 city can</t>
  </si>
  <si>
    <t>231c3099-6646-4331-a552-e5516db7c366</t>
  </si>
  <si>
    <t xml:space="preserve">service multiple locations </t>
  </si>
  <si>
    <t>93977539-e862-4f5f-888e-9fe0e50628f9</t>
  </si>
  <si>
    <t>835/845</t>
  </si>
  <si>
    <t xml:space="preserve">Hill </t>
  </si>
  <si>
    <t>e5b4838e-caab-4c9d-abdd-670bc85aa937</t>
  </si>
  <si>
    <t>800</t>
  </si>
  <si>
    <t>9ed7ffb4-2133-4232-85f4-45c26f2fd703</t>
  </si>
  <si>
    <t xml:space="preserve">Hyde </t>
  </si>
  <si>
    <t>da9e94ec-fe93-4be4-807b-7f7aa4174e5c</t>
  </si>
  <si>
    <t xml:space="preserve">Larkin </t>
  </si>
  <si>
    <t>17 steps</t>
  </si>
  <si>
    <t>c127d11e-2a3f-4398-aa7d-405d3edaade5</t>
  </si>
  <si>
    <t>1299</t>
  </si>
  <si>
    <t>garage code</t>
  </si>
  <si>
    <t>56200947-7f2e-417e-a4cc-e24c508e732f</t>
  </si>
  <si>
    <t>3fc5558a-3d42-45df-82d0-89a03cd620b6</t>
  </si>
  <si>
    <t>1253</t>
  </si>
  <si>
    <t>5ca42cbc-7f8d-41ba-95e5-3c6f2767f82b</t>
  </si>
  <si>
    <t>1241</t>
  </si>
  <si>
    <t>744484d9-1fda-4405-becc-bc2de94fa5de</t>
  </si>
  <si>
    <t>enters through garage</t>
  </si>
  <si>
    <t>3a16a820-f8b4-4bb9-886e-76c02e3dd51f</t>
  </si>
  <si>
    <t>1207</t>
  </si>
  <si>
    <t>also services location of 900 hyde fatw</t>
  </si>
  <si>
    <t>31b3d285-0f06-41ac-a878-527a88c167a0</t>
  </si>
  <si>
    <t>1126</t>
  </si>
  <si>
    <t>485b2a2b-c58c-4cdc-813b-c3427358322d</t>
  </si>
  <si>
    <t>1220</t>
  </si>
  <si>
    <t>1220 narrow and 1 96g</t>
  </si>
  <si>
    <t>0da7eb23-d85c-4e0a-a6d3-fd35d37640ea</t>
  </si>
  <si>
    <t>one way</t>
  </si>
  <si>
    <t>499477ec-91d0-44de-b19a-9867f4cab3f3</t>
  </si>
  <si>
    <t>1359</t>
  </si>
  <si>
    <t>550fefb0-b9b3-4a9a-bc4b-00be0502eb95</t>
  </si>
  <si>
    <t>30b0e7c3-5a47-4237-aa85-5435fb653a5e</t>
  </si>
  <si>
    <t>3fa3330e-dd4f-4b5b-9efc-aae160006efa</t>
  </si>
  <si>
    <t>8ec93eb9-d580-48d6-9ff7-1ba0296ba005</t>
  </si>
  <si>
    <t>1 curb locked toter</t>
  </si>
  <si>
    <t>69112c01-bbd5-4a96-a4b7-0439c609a668</t>
  </si>
  <si>
    <t>1515</t>
  </si>
  <si>
    <t>aaa96de9-ba03-4562-bc66-f86def999f08</t>
  </si>
  <si>
    <t xml:space="preserve">Market </t>
  </si>
  <si>
    <t>be3c83c7-123b-4400-96fe-d62b6e65523f</t>
  </si>
  <si>
    <t>Page</t>
  </si>
  <si>
    <t>1 black 1 green</t>
  </si>
  <si>
    <t>73d0f067-2112-4dcd-bd00-d8383a4bff8c</t>
  </si>
  <si>
    <t xml:space="preserve">1 black 4 green </t>
  </si>
  <si>
    <t>8162ea18-eaa9-464a-b898-9c71f1801664</t>
  </si>
  <si>
    <t>24</t>
  </si>
  <si>
    <t xml:space="preserve">Franklin </t>
  </si>
  <si>
    <t>54450105-706c-472d-b72d-e3c15f53f9c6</t>
  </si>
  <si>
    <t>Oak</t>
  </si>
  <si>
    <t>backs up in reverse, one way</t>
  </si>
  <si>
    <t>cad507cd-5c3d-490e-b939-b58bb19ef8ff</t>
  </si>
  <si>
    <t>150</t>
  </si>
  <si>
    <t>2f43d754-bcee-47cf-b6c7-e0f1815d020e</t>
  </si>
  <si>
    <t>Hickory</t>
  </si>
  <si>
    <t>dd05c6be-3640-4898-869c-cd6afbdeb256</t>
  </si>
  <si>
    <t>1 64 locked, homeless nearby, 1 landfill  alley</t>
  </si>
  <si>
    <t>8882af87-5706-4032-ac2c-006a277b7a0c</t>
  </si>
  <si>
    <t>145</t>
  </si>
  <si>
    <t xml:space="preserve">Fell </t>
  </si>
  <si>
    <t xml:space="preserve">NARROW, trash </t>
  </si>
  <si>
    <t>c0594059-cd3d-4d92-815c-69fbd6d0d0f6</t>
  </si>
  <si>
    <t>green</t>
  </si>
  <si>
    <t>9f14a069-6796-4069-a918-ee40bc8c5df1</t>
  </si>
  <si>
    <t>235</t>
  </si>
  <si>
    <t>a8abbf8c-1cd7-4407-9108-a322964f17f0</t>
  </si>
  <si>
    <t>601</t>
  </si>
  <si>
    <t xml:space="preserve">in garage behind gate, all green </t>
  </si>
  <si>
    <t>f6911712-cc0b-437d-86dd-509933bce998</t>
  </si>
  <si>
    <t>711</t>
  </si>
  <si>
    <t>one 64g curb, one way, behind gate</t>
  </si>
  <si>
    <t>34a31783-0065-4030-a42f-aae0b10681c7</t>
  </si>
  <si>
    <t>725</t>
  </si>
  <si>
    <t>96g black</t>
  </si>
  <si>
    <t>1af33f72-1ed1-4f43-9556-f058f238ab7a</t>
  </si>
  <si>
    <t>700</t>
  </si>
  <si>
    <t>city can on van ness and turk</t>
  </si>
  <si>
    <t>783ab07c-1d35-4c1d-a918-c25416f4d255</t>
  </si>
  <si>
    <t xml:space="preserve">2 locked toters, both black </t>
  </si>
  <si>
    <t>c33f69c6-a6c9-44e8-825e-2acd1a3278b6</t>
  </si>
  <si>
    <t>200</t>
  </si>
  <si>
    <t>Willow</t>
  </si>
  <si>
    <t>NARROW HALL, alley, LOTS OF STAIRS</t>
  </si>
  <si>
    <t>d78a8feb-3cfb-449f-bd57-8869d20d675d</t>
  </si>
  <si>
    <t>819</t>
  </si>
  <si>
    <t xml:space="preserve">services in alley, distance customer </t>
  </si>
  <si>
    <t>7f9ef5cf-e073-4ead-90fe-db05b887a443</t>
  </si>
  <si>
    <t>810</t>
  </si>
  <si>
    <t>c28ecad3-bd4e-4f2b-b9c1-0a545a7ba00a</t>
  </si>
  <si>
    <t>815</t>
  </si>
  <si>
    <t>da4140f8-2b43-44ff-9448-e2cb61d11f4c</t>
  </si>
  <si>
    <t>1000</t>
  </si>
  <si>
    <t>404ab7b8-0fd9-4cd2-a0d7-7c08eace577e</t>
  </si>
  <si>
    <t>1030</t>
  </si>
  <si>
    <t>serviced on olive, garage</t>
  </si>
  <si>
    <t>a6d99081-2b88-4cc0-aa26-e3144fb1668b</t>
  </si>
  <si>
    <t>1050</t>
  </si>
  <si>
    <t>8b6d01f4-6805-46b0-bf26-9a83d3b935d9</t>
  </si>
  <si>
    <t>1075</t>
  </si>
  <si>
    <t>NARROW</t>
  </si>
  <si>
    <t>6953639e-8ed4-46d8-bb79-6ecdb237c0a0</t>
  </si>
  <si>
    <t>1035</t>
  </si>
  <si>
    <t>d59483bf-2731-43d7-888e-b02c0a5aa8e7</t>
  </si>
  <si>
    <t xml:space="preserve">1 96g black </t>
  </si>
  <si>
    <t>6e68494b-6c13-4db1-abb1-d089380533a1</t>
  </si>
  <si>
    <t>1388</t>
  </si>
  <si>
    <t>27ba4751-ed49-48df-94d8-c1c82f2fe0f2</t>
  </si>
  <si>
    <t>1333</t>
  </si>
  <si>
    <t xml:space="preserve">distance </t>
  </si>
  <si>
    <t>f4f4bd1f-2f2e-4a79-84e3-b74b68c99828</t>
  </si>
  <si>
    <t>one 64 black</t>
  </si>
  <si>
    <t>19ea6444-7ede-4fa6-b266-9f7355529b84</t>
  </si>
  <si>
    <t>b7158bee-68a6-417f-aef3-1ea56266a856</t>
  </si>
  <si>
    <t>1c09ba3b-c149-4080-8755-7fe13136823c</t>
  </si>
  <si>
    <t>74abff1f-00fc-4591-8040-4ac35cbd91e0</t>
  </si>
  <si>
    <t>all green</t>
  </si>
  <si>
    <t>9ebca2eb-f779-426c-af1b-1931681cdd43</t>
  </si>
  <si>
    <t xml:space="preserve">96g black, locked toter </t>
  </si>
  <si>
    <t>e2627fa3-1e68-407d-b6bb-0677bedfd459</t>
  </si>
  <si>
    <t>1726</t>
  </si>
  <si>
    <t xml:space="preserve">Japantown </t>
  </si>
  <si>
    <t>two 96g inside</t>
  </si>
  <si>
    <t>d5706196-fcb4-4afb-aede-238aaa26e256</t>
  </si>
  <si>
    <t xml:space="preserve">city can big belly </t>
  </si>
  <si>
    <t>f6df40cf-5017-403f-9746-61c7f30c5ec1</t>
  </si>
  <si>
    <t>1499</t>
  </si>
  <si>
    <t xml:space="preserve">Sutter </t>
  </si>
  <si>
    <t>opens gate and backs up inside, two 32g green</t>
  </si>
  <si>
    <t>f6102e81-f90c-4415-b49d-267fc89de859</t>
  </si>
  <si>
    <t>1345</t>
  </si>
  <si>
    <t xml:space="preserve">garage, control </t>
  </si>
  <si>
    <t>cf9415fc-834a-46fb-aee9-467d01bfc936</t>
  </si>
  <si>
    <t>backs up into alley, two 64g black and green</t>
  </si>
  <si>
    <t>fa9f8860-a18d-43ac-95ec-21b3d4cc3226</t>
  </si>
  <si>
    <t xml:space="preserve">inside all 96g black </t>
  </si>
  <si>
    <t>5bcf7049-b531-4298-b52c-7de3f18bfe41</t>
  </si>
  <si>
    <t xml:space="preserve">1425/1407 </t>
  </si>
  <si>
    <t>8160fe96-d5a5-4968-bddb-5d4b7ad38620</t>
  </si>
  <si>
    <t>two 96g green, GARAGE, backs up onto alley</t>
  </si>
  <si>
    <t>a1d5ac21-951d-46d0-8104-d0a697ecc46a</t>
  </si>
  <si>
    <t>1468</t>
  </si>
  <si>
    <t>garage backs up</t>
  </si>
  <si>
    <t>d78864cd-ee3c-439d-88af-401995ddde2d</t>
  </si>
  <si>
    <t>1401</t>
  </si>
  <si>
    <t>7ec92491-8d02-4871-b22c-9f21cc69718f</t>
  </si>
  <si>
    <t>6b6be424-3bad-4859-b08a-079430ec984c</t>
  </si>
  <si>
    <t>02c80af1-9983-4194-99ae-654443be81ab</t>
  </si>
  <si>
    <t>1309</t>
  </si>
  <si>
    <t>bcd64506-f1b3-43b3-80dd-f0b8042023ef</t>
  </si>
  <si>
    <t>b887a432-5488-4349-90c5-7c1a0ae4081e</t>
  </si>
  <si>
    <t>3 black 96g locked toters</t>
  </si>
  <si>
    <t>70468fde-e381-4463-a1c6-a31a1ae8aa7c</t>
  </si>
  <si>
    <t>880</t>
  </si>
  <si>
    <t>7dfb39f5-7c49-49a2-b64b-2014f65f7b2f</t>
  </si>
  <si>
    <t>828</t>
  </si>
  <si>
    <t>fe18b396-c856-49d5-979a-f2d13d6dee1e</t>
  </si>
  <si>
    <t>efb8375b-c54f-4e5f-b5c9-fa8b160a1669</t>
  </si>
  <si>
    <t>two 96g black</t>
  </si>
  <si>
    <t>7e6d9c99-f9d7-4249-ad34-951d62e9eba1</t>
  </si>
  <si>
    <t>1570</t>
  </si>
  <si>
    <t>c0224b20-e5bc-4db8-98ee-f2ff01cd6949</t>
  </si>
  <si>
    <t>1630</t>
  </si>
  <si>
    <t xml:space="preserve">96g black </t>
  </si>
  <si>
    <t>df89d835-404c-4bd1-9d8a-9e3c09c15fa8</t>
  </si>
  <si>
    <t>1660</t>
  </si>
  <si>
    <t>4699a4f1-5e7c-4a05-83b5-4d438f6d2478</t>
  </si>
  <si>
    <t>fd5a1449-251f-429b-9ff4-600498c4434c</t>
  </si>
  <si>
    <t>1776</t>
  </si>
  <si>
    <t>e52a5d7a-1d21-4d7a-a598-f0cb97a1378a</t>
  </si>
  <si>
    <t>c73d747e-b264-4ca9-a369-d0b22212d7b0</t>
  </si>
  <si>
    <t>de76f02d-cd61-445e-947d-60898e553b9a</t>
  </si>
  <si>
    <t>1800</t>
  </si>
  <si>
    <t>64g green</t>
  </si>
  <si>
    <t>20242a3d-4bea-45fc-aef5-a4fc381a741a</t>
  </si>
  <si>
    <t>1881</t>
  </si>
  <si>
    <t>d6a67c6e-9d0b-4eda-a8bb-e1e751bdbfb7</t>
  </si>
  <si>
    <t>092f1edc-a6fe-4c89-a970-bea71c27b406</t>
  </si>
  <si>
    <t>1650</t>
  </si>
  <si>
    <t xml:space="preserve">Octavia </t>
  </si>
  <si>
    <t>8134c430-f5d3-420d-88a0-18da4960d723</t>
  </si>
  <si>
    <t>1701</t>
  </si>
  <si>
    <t>64g green curbside</t>
  </si>
  <si>
    <t>0e474e32-1f5d-4075-87d8-8aad85e4e720</t>
  </si>
  <si>
    <t>1530</t>
  </si>
  <si>
    <t>d7bf7e0a-c95a-4cc8-92ca-1be1ee32e160</t>
  </si>
  <si>
    <t>1634</t>
  </si>
  <si>
    <t>97g black, 64 green</t>
  </si>
  <si>
    <t>48c23de7-3c73-4b29-92ab-1513980ed3f0</t>
  </si>
  <si>
    <t xml:space="preserve">16g locked </t>
  </si>
  <si>
    <t>4c3a218b-21fb-466c-acda-a1534126ae25</t>
  </si>
  <si>
    <t xml:space="preserve">64g green, gate, stairs </t>
  </si>
  <si>
    <t>39e5d808-c148-419a-bf19-38f672fbb2e9</t>
  </si>
  <si>
    <t>1511/1505-12</t>
  </si>
  <si>
    <t>code, garage, 1505-12 steps up, 1 96g black</t>
  </si>
  <si>
    <t>c54bc1f7-c585-4472-81c6-6e4782e62546</t>
  </si>
  <si>
    <t>1505</t>
  </si>
  <si>
    <t xml:space="preserve">stairs up, inside 1 96g trash </t>
  </si>
  <si>
    <t>5471bde5-faad-4346-8246-b11f7e109713</t>
  </si>
  <si>
    <t>1420</t>
  </si>
  <si>
    <t>inside shed 1 b 1 g</t>
  </si>
  <si>
    <t>d140976f-6da5-4b4e-9a32-68ad7e76094d</t>
  </si>
  <si>
    <t>1635</t>
  </si>
  <si>
    <t>99acd0db-7896-4401-a4e3-456eab6bb1b0</t>
  </si>
  <si>
    <t>1520</t>
  </si>
  <si>
    <t>narrow street 2 steps up</t>
  </si>
  <si>
    <t>1de1db95-9aa2-49eb-a3af-365d91425c3c</t>
  </si>
  <si>
    <t>600</t>
  </si>
  <si>
    <t>9a1c7041-5bb8-4cb5-8b9b-6ceabbb0a1be</t>
  </si>
  <si>
    <t>b3e84c55-d888-45b0-aef7-ab60c5c9a92a</t>
  </si>
  <si>
    <t>1682</t>
  </si>
  <si>
    <t>code pulls into parking lot, some toters in gate</t>
  </si>
  <si>
    <t>23769045-5446-4bdb-9a14-7eb833fc4b68</t>
  </si>
  <si>
    <t>1610</t>
  </si>
  <si>
    <t xml:space="preserve">Laguna </t>
  </si>
  <si>
    <t>1e86ec37-4207-4dc0-9e62-3aee63552232</t>
  </si>
  <si>
    <t xml:space="preserve">big belly city can </t>
  </si>
  <si>
    <t>12014f92-65ae-4720-98ba-674687b4b053</t>
  </si>
  <si>
    <t>backs up into alley, inside lot, code</t>
  </si>
  <si>
    <t>e25070a9-be72-4209-b69a-b31d323de098</t>
  </si>
  <si>
    <t>340965f6-d05f-4236-afb1-470a699d5a3d</t>
  </si>
  <si>
    <t xml:space="preserve">Webster </t>
  </si>
  <si>
    <t>29836d8f-7281-408f-8aba-10dd63c0621b</t>
  </si>
  <si>
    <t>1730</t>
  </si>
  <si>
    <t>backs up into alley</t>
  </si>
  <si>
    <t>d4ebc7a8-d790-4744-9f04-f8a734437fce</t>
  </si>
  <si>
    <t>1740/1742/1752</t>
  </si>
  <si>
    <t>52152993-1dd3-41da-8ecc-1817450b4ce7</t>
  </si>
  <si>
    <t>059d3b47-49ff-498d-bb6f-e558469e0a95</t>
  </si>
  <si>
    <t>32g green, 96g black, 64g green</t>
  </si>
  <si>
    <t>d3391151-3baa-42e5-8d36-3422784eab48</t>
  </si>
  <si>
    <t>557eb2b6-7c0d-400f-b589-3cf8aabb482a</t>
  </si>
  <si>
    <t xml:space="preserve">narrow alley </t>
  </si>
  <si>
    <t>b9c37ca2-7ca7-4044-8c40-7f6ebdec46df</t>
  </si>
  <si>
    <t>685</t>
  </si>
  <si>
    <t>011d23fa-6a2e-43ad-89c8-8d97fccedcdc</t>
  </si>
  <si>
    <t>250</t>
  </si>
  <si>
    <t>7019</t>
  </si>
  <si>
    <t>be048f19-f2e8-457f-9861-304fe61aa859</t>
  </si>
  <si>
    <t>54144544-cecd-42e2-9942-c97c7f17534d</t>
  </si>
  <si>
    <t>Pier 3</t>
  </si>
  <si>
    <t xml:space="preserve">locked containers </t>
  </si>
  <si>
    <t>644ca522-4540-4afe-824b-0d452d7e116a</t>
  </si>
  <si>
    <t>Pier 9</t>
  </si>
  <si>
    <t>fb75fc5c-2ead-4e80-a281-460382c465d9</t>
  </si>
  <si>
    <t>Pier 17</t>
  </si>
  <si>
    <t>651100e5-14c0-42c1-b6a8-2a047ee9c8b6</t>
  </si>
  <si>
    <t>Pier 23</t>
  </si>
  <si>
    <t>1638be23-95ca-4d9e-9cee-26362073bdc5</t>
  </si>
  <si>
    <t>a9a1cc35-8331-4760-9640-b9d222a47fdf</t>
  </si>
  <si>
    <t>Pier 39</t>
  </si>
  <si>
    <t xml:space="preserve">Embarcadero </t>
  </si>
  <si>
    <t>f7c07776-c8fc-43e8-ac30-0bf326c68bca</t>
  </si>
  <si>
    <t>9b6e933d-d8a0-4756-a9f9-c2f0bd0d06eb</t>
  </si>
  <si>
    <t>426d4fd2-502b-446e-864a-65931eece019</t>
  </si>
  <si>
    <t>2770</t>
  </si>
  <si>
    <t>bef39ce6-fed2-43ee-8597-6fa95ae087b1</t>
  </si>
  <si>
    <t>a5b5cc2b-bdb9-4429-8310-5718f36d4980</t>
  </si>
  <si>
    <t>245</t>
  </si>
  <si>
    <t>841dd1a5-ee7a-4d6f-94f8-4160480e4973</t>
  </si>
  <si>
    <t>Pier 47</t>
  </si>
  <si>
    <t>79cf0ce2-37b5-4409-af9a-549457a9124d</t>
  </si>
  <si>
    <t>05e6d1a4-a6b5-4158-883a-a7af5f3e4cbf</t>
  </si>
  <si>
    <t>4800</t>
  </si>
  <si>
    <t>svc on beach, locked</t>
  </si>
  <si>
    <t>ac04e34b-9b41-4b13-b59b-41b22fd8aa56</t>
  </si>
  <si>
    <t>550</t>
  </si>
  <si>
    <t>4e76de19-9510-4664-988c-8536f4c863ec</t>
  </si>
  <si>
    <t>530</t>
  </si>
  <si>
    <t>8dde88c9-c638-419b-835c-823f890e79a8</t>
  </si>
  <si>
    <t>Montgomery Blvd</t>
  </si>
  <si>
    <t>location error see misael</t>
  </si>
  <si>
    <t>beeb64b4-6eb1-4b5f-bcfc-e856361f5905</t>
  </si>
  <si>
    <t>b8188a8b-d261-4f6f-85ea-2f19312ff5a4</t>
  </si>
  <si>
    <t>1770</t>
  </si>
  <si>
    <t>location error?</t>
  </si>
  <si>
    <t>4c665c3c-fe22-4d3d-b04e-d694ea9c2450</t>
  </si>
  <si>
    <t>1275</t>
  </si>
  <si>
    <t>4 yard locked container</t>
  </si>
  <si>
    <t>eac9bb53-ce71-402c-b77b-c202a3e9d584</t>
  </si>
  <si>
    <t>401</t>
  </si>
  <si>
    <t>7edb6f7a-2c5d-4042-addd-9994f10d81f3</t>
  </si>
  <si>
    <t>505</t>
  </si>
  <si>
    <t>46f5151c-740a-44f6-8319-1229f0ca13a2</t>
  </si>
  <si>
    <t>525</t>
  </si>
  <si>
    <t>key card, garage</t>
  </si>
  <si>
    <t>65ac11f3-0ff4-4283-9ee0-b1677745594e</t>
  </si>
  <si>
    <t>container in shed</t>
  </si>
  <si>
    <t>ac694e92-6337-42e3-9e09-d981eead968f</t>
  </si>
  <si>
    <t xml:space="preserve">svc on alley, location error?, compactor </t>
  </si>
  <si>
    <t>38411704-3697-4b63-9eb3-60671a89fb08</t>
  </si>
  <si>
    <t>f59367d6-6c50-4943-8529-373eab30ef45</t>
  </si>
  <si>
    <t>pulls out of building to service, meandoring</t>
  </si>
  <si>
    <t>e3844c21-7980-4caf-9544-5c06838b9964</t>
  </si>
  <si>
    <t>1580</t>
  </si>
  <si>
    <t>in garage, key, pulls containers out and back in</t>
  </si>
  <si>
    <t>69447de2-3772-43ed-a91d-8f8640306327</t>
  </si>
  <si>
    <t>pulls container out</t>
  </si>
  <si>
    <t>eddd8652-a8df-4eee-bb8e-b929ff6519f0</t>
  </si>
  <si>
    <t>2165</t>
  </si>
  <si>
    <t>479c8e6b-2468-45ba-83d8-a2daf8afac9e</t>
  </si>
  <si>
    <t>563</t>
  </si>
  <si>
    <t>Rutger</t>
  </si>
  <si>
    <t>a347cd8d-f860-4157-a756-b455cc1a784a</t>
  </si>
  <si>
    <t>50</t>
  </si>
  <si>
    <t>Arguello</t>
  </si>
  <si>
    <t>b5d4947b-c281-46cd-a543-524c46f79f60</t>
  </si>
  <si>
    <t>104</t>
  </si>
  <si>
    <t>4b1bb84d-f40c-4435-978c-ca5f90ae26ac</t>
  </si>
  <si>
    <t>101</t>
  </si>
  <si>
    <t>fe9d5ca8-0a89-4a13-b4db-29ed4ae0e262</t>
  </si>
  <si>
    <t>39</t>
  </si>
  <si>
    <t xml:space="preserve">Mesa </t>
  </si>
  <si>
    <t>locked container, parking lot</t>
  </si>
  <si>
    <t>b4aecbd6-ba11-421f-a7c0-e98ea3da4f48</t>
  </si>
  <si>
    <t>1</t>
  </si>
  <si>
    <t>5b0ff25e-63d0-498c-a50f-67289b0f75ac</t>
  </si>
  <si>
    <t>890</t>
  </si>
  <si>
    <t>Marina</t>
  </si>
  <si>
    <t>parking lot</t>
  </si>
  <si>
    <t>1374fc10-1242-4716-b6b7-530938a2ce3b</t>
  </si>
  <si>
    <t>1b238d7d-e5da-4001-b151-df733e88a4fb</t>
  </si>
  <si>
    <t>backs up alley</t>
  </si>
  <si>
    <t>2638672c-20ea-4559-aac3-a79c487ef13e</t>
  </si>
  <si>
    <t>dcc5589e-e094-4f3d-965d-970a0fc2a071</t>
  </si>
  <si>
    <t>fa7ff13a-38ca-4765-b943-987d20d6b73b</t>
  </si>
  <si>
    <t>701</t>
  </si>
  <si>
    <t xml:space="preserve">China basin </t>
  </si>
  <si>
    <t>44514f67-b84c-491e-a023-53b4fad53e38</t>
  </si>
  <si>
    <t>China basin</t>
  </si>
  <si>
    <t>2 locations serviced</t>
  </si>
  <si>
    <t>bfb8120c-2a3a-420f-928a-dd788ce42e6c</t>
  </si>
  <si>
    <t>718</t>
  </si>
  <si>
    <t>fcee7300-6259-4841-873c-c7d7edec1215</t>
  </si>
  <si>
    <t>626</t>
  </si>
  <si>
    <t xml:space="preserve">Mission Bay </t>
  </si>
  <si>
    <t xml:space="preserve">locked container </t>
  </si>
  <si>
    <t>20b3d9d1-09eb-4061-9500-582cc2f59ace</t>
  </si>
  <si>
    <t>185</t>
  </si>
  <si>
    <t>backs up in alley</t>
  </si>
  <si>
    <t>c15861f8-d580-4a58-96ea-a5563c8b1e31</t>
  </si>
  <si>
    <t>77ee4e26-beba-4e58-b374-97416d7c1902</t>
  </si>
  <si>
    <t>1379</t>
  </si>
  <si>
    <t>453823cb-8ac7-402a-9995-dac6b570bc2f</t>
  </si>
  <si>
    <t>ec2bf444-395c-49f9-8639-b57aef8655f1</t>
  </si>
  <si>
    <t>3f3e76a4-e339-457c-b314-7af0c6de6360</t>
  </si>
  <si>
    <t>301</t>
  </si>
  <si>
    <t xml:space="preserve">Channel </t>
  </si>
  <si>
    <t>08de148d-69ca-4128-8395-1cb823d4cea9</t>
  </si>
  <si>
    <t xml:space="preserve">King </t>
  </si>
  <si>
    <t>bfcff66e-3187-41c4-be69-ae42b5b837f0</t>
  </si>
  <si>
    <t>8239c377-8561-4293-a705-36c98a3d31b5</t>
  </si>
  <si>
    <t xml:space="preserve">garage wait to open, pulls out container </t>
  </si>
  <si>
    <t>9642640e-82ae-4c8b-9453-e2dda08efb5c</t>
  </si>
  <si>
    <t>55</t>
  </si>
  <si>
    <t>532, alley</t>
  </si>
  <si>
    <t>2a7ed2c2-37c6-476f-a8e1-03ed48ae7963</t>
  </si>
  <si>
    <t>801</t>
  </si>
  <si>
    <t>b8a86d72-7d45-444b-8e55-1eb508f2b5d5</t>
  </si>
  <si>
    <t>12</t>
  </si>
  <si>
    <t>ef1da6f0-598d-4f07-8951-a4b56e5021d6</t>
  </si>
  <si>
    <t>3166c400-2e4e-4b99-a5e1-4ae9c4998ca4</t>
  </si>
  <si>
    <t>22</t>
  </si>
  <si>
    <t>alley pulls back drops container</t>
  </si>
  <si>
    <t>29471faf-b58a-43e3-ac8f-891ca21ddcc8</t>
  </si>
  <si>
    <t>70</t>
  </si>
  <si>
    <t>locked container, pulls out and relocks</t>
  </si>
  <si>
    <t>6bd84008-60d0-4d66-93aa-17232c1507c3</t>
  </si>
  <si>
    <t>532</t>
  </si>
  <si>
    <t>alley backs out</t>
  </si>
  <si>
    <t>d95ccfb5-1f2f-4782-b8f6-8636aa5377b2</t>
  </si>
  <si>
    <t>325</t>
  </si>
  <si>
    <t>39f6fab9-17f1-455f-a4c9-71780004610f</t>
  </si>
  <si>
    <t>locked container, gets our and pulls</t>
  </si>
  <si>
    <t>b1f620f6-ad49-4dcb-8cee-0d8e1bcf67e5</t>
  </si>
  <si>
    <t>198</t>
  </si>
  <si>
    <t>careful n ok y ti hig wired when dumping</t>
  </si>
  <si>
    <t>a72d440c-1f08-4876-b198-7bedf84ff8a5</t>
  </si>
  <si>
    <t>99</t>
  </si>
  <si>
    <t>gets out to pull out container, inside shed</t>
  </si>
  <si>
    <t>d5418c74-986c-4bef-9004-ae1671f8dfe0</t>
  </si>
  <si>
    <t>market</t>
  </si>
  <si>
    <t>4 yrd locked container, alley</t>
  </si>
  <si>
    <t>2bf76c17-367b-41f5-9fb3-03a50c8ec4b7</t>
  </si>
  <si>
    <t>2 locked containers, gets out and pulls containers</t>
  </si>
  <si>
    <t>2fe7b443-5272-402f-9765-77a1f15cd895</t>
  </si>
  <si>
    <t>201</t>
  </si>
  <si>
    <t>db49de52-eab0-4b3b-87cb-bb79d276a1de</t>
  </si>
  <si>
    <t>666</t>
  </si>
  <si>
    <t>garage, has to pull out to service bc of roof</t>
  </si>
  <si>
    <t>18b29333-47d7-4b88-8c71-5cd7ca11ce8a</t>
  </si>
  <si>
    <t>svc 2 locations</t>
  </si>
  <si>
    <t>5f2ecc0a-894d-4c7d-9c25-e976d31ab39b</t>
  </si>
  <si>
    <t>6e961c22-4539-4e1c-adae-0cf7b5fa5170</t>
  </si>
  <si>
    <t>1625</t>
  </si>
  <si>
    <t>has to move toters to access compactor</t>
  </si>
  <si>
    <t>221f68c4-b8ca-42c7-a1c8-cc280a0e3b39</t>
  </si>
  <si>
    <t>1561</t>
  </si>
  <si>
    <t>key to access garage. after svc pura containers in garage</t>
  </si>
  <si>
    <t>67eb3792-14b7-4623-a2b8-85f2f5edb684</t>
  </si>
  <si>
    <t>ed0f9838-0c59-4ed6-a6e0-0f944d801fc1</t>
  </si>
  <si>
    <t xml:space="preserve">service 2 locations </t>
  </si>
  <si>
    <t>b1c3f845-0f9a-4f37-b793-813aa2343afb</t>
  </si>
  <si>
    <t>47fc1b07-94da-4ff4-b29b-d8b7fccbf3dd</t>
  </si>
  <si>
    <t>3301</t>
  </si>
  <si>
    <t>e8a4fbf1-6371-4fd6-9c1d-1f0672412d32</t>
  </si>
  <si>
    <t>pulls container into shed</t>
  </si>
  <si>
    <t>31735d2b-2029-45e9-a660-d2edfc1ee604</t>
  </si>
  <si>
    <t>1160</t>
  </si>
  <si>
    <t>parking lot. pulls out contsoner ftom shed and puts back</t>
  </si>
  <si>
    <t>cd6ec334-fcf2-4402-acac-2f95fe203b6d</t>
  </si>
  <si>
    <t>1162</t>
  </si>
  <si>
    <t>container in enclosure</t>
  </si>
  <si>
    <t>cc59726c-664f-4eca-bd43-b5a883b75510</t>
  </si>
  <si>
    <t>86/37</t>
  </si>
  <si>
    <t>Graham</t>
  </si>
  <si>
    <t>lot</t>
  </si>
  <si>
    <t>6be88ed5-1b9a-4407-985c-59092fded147</t>
  </si>
  <si>
    <t>Moraga Ave</t>
  </si>
  <si>
    <t xml:space="preserve">enclosure, pulls out ontsiner </t>
  </si>
  <si>
    <t>7612dd3c-e398-4d44-baa5-4af29964777c</t>
  </si>
  <si>
    <t>387</t>
  </si>
  <si>
    <t>inside enclosure. pulls out and puts back in</t>
  </si>
  <si>
    <t>3cdb6def-72bc-4f78-ae70-4a7f5605ad80</t>
  </si>
  <si>
    <t>385</t>
  </si>
  <si>
    <t>3b7645ef-cab1-4fd4-b957-e0a61072d993</t>
  </si>
  <si>
    <t>631</t>
  </si>
  <si>
    <t xml:space="preserve">O'farrell </t>
  </si>
  <si>
    <t>lots of homeless, gets out to pull and put containers back, alley</t>
  </si>
  <si>
    <t>7a1fd538-9410-4bfc-85c8-4880bebd1821</t>
  </si>
  <si>
    <t>730</t>
  </si>
  <si>
    <t xml:space="preserve">alley, pills back container </t>
  </si>
  <si>
    <t>59e915fd-83d6-4aeb-8b60-25ea29df346d</t>
  </si>
  <si>
    <t xml:space="preserve">101 </t>
  </si>
  <si>
    <t>14f70ce6-e561-4302-b4ca-725c20abe41c</t>
  </si>
  <si>
    <t>90</t>
  </si>
  <si>
    <t>a1d0c379-48ce-4461-b84b-f0206acf9d28</t>
  </si>
  <si>
    <t xml:space="preserve">garage, waits for gautdyo open ,. comps your </t>
  </si>
  <si>
    <t>f425adef-c058-4acc-97fe-9c4f58947709</t>
  </si>
  <si>
    <t>1661</t>
  </si>
  <si>
    <t>859845af-9083-4beb-bb18-92ca062e0ed2</t>
  </si>
  <si>
    <t>pulls container, key access garsgr</t>
  </si>
  <si>
    <t>9581fdfa-c5b3-4372-a02c-14a7c6f10d74</t>
  </si>
  <si>
    <t>1601</t>
  </si>
  <si>
    <t>workers pull out with forklift</t>
  </si>
  <si>
    <t>0dae43cc-eddb-4107-a0db-4c84928220e9</t>
  </si>
  <si>
    <t>inside enclosure</t>
  </si>
  <si>
    <t>fe255593-3d67-4d8c-b54f-63007159ab86</t>
  </si>
  <si>
    <t xml:space="preserve">Fort Mason </t>
  </si>
  <si>
    <t>on parking lot</t>
  </si>
  <si>
    <t>806968b3-18b9-4575-b71e-d8341447fa9e</t>
  </si>
  <si>
    <t>644</t>
  </si>
  <si>
    <t xml:space="preserve">on lot </t>
  </si>
  <si>
    <t>f9cd6151-a13c-4694-96fc-2cda2e24c3ed</t>
  </si>
  <si>
    <t>682</t>
  </si>
  <si>
    <t>Schofield rd</t>
  </si>
  <si>
    <t>in lot, locked container</t>
  </si>
  <si>
    <t>b181a022-542a-4a82-9701-505f95c9d2bf</t>
  </si>
  <si>
    <t>1242</t>
  </si>
  <si>
    <t>in enclosure, lot</t>
  </si>
  <si>
    <t>b6d80cf9-0120-4ac9-9590-60a75b133a23</t>
  </si>
  <si>
    <t xml:space="preserve">in lot. locked cotainer </t>
  </si>
  <si>
    <t>d191ae63-191a-4c24-a94e-3574d0d990c1</t>
  </si>
  <si>
    <t>1575</t>
  </si>
  <si>
    <t>lot backs up narrow street</t>
  </si>
  <si>
    <t>6022e5bd-3bfb-4168-afc7-3fe0d50d4b54</t>
  </si>
  <si>
    <t>1567</t>
  </si>
  <si>
    <t>in lot</t>
  </si>
  <si>
    <t>4dbf9994-bc38-4442-89a2-785915ac075b</t>
  </si>
  <si>
    <t>6c1b663e-d780-4bd2-9957-fd666558f2d9</t>
  </si>
  <si>
    <t>1542</t>
  </si>
  <si>
    <t>e8b7695b-bd9e-4bb5-883e-6cb404c02e20</t>
  </si>
  <si>
    <t>1535</t>
  </si>
  <si>
    <t xml:space="preserve">in lot </t>
  </si>
  <si>
    <t>e4b97fe5-d18f-4f55-8197-725ea4e6cc85</t>
  </si>
  <si>
    <t>1533</t>
  </si>
  <si>
    <t>in lot, backs up narrow street</t>
  </si>
  <si>
    <t>bfafb810-5a35-4b00-8bbf-a2993acc245b</t>
  </si>
  <si>
    <t>1524</t>
  </si>
  <si>
    <t>in lot backs up narrow street</t>
  </si>
  <si>
    <t>e15ddcb2-72e6-4118-85d3-66c2c0f9b4c1</t>
  </si>
  <si>
    <t>1527</t>
  </si>
  <si>
    <t>e0a8c3e8-c9fc-45f2-ac7c-7df599de0a9a</t>
  </si>
  <si>
    <t>9192539a-2607-4efc-800e-ef2e544af72b</t>
  </si>
  <si>
    <t>f45d8957-37fd-4fcb-8ab6-d0436ee07bfa</t>
  </si>
  <si>
    <t>1523</t>
  </si>
  <si>
    <t>ea33dd71-5929-4e5d-9710-3da5b1a130ca</t>
  </si>
  <si>
    <t>aa2af302-3266-4064-893f-71ac6c2f4ec8</t>
  </si>
  <si>
    <t>1522</t>
  </si>
  <si>
    <t>b878c796-ea4e-437e-aee4-bb35dca5c183</t>
  </si>
  <si>
    <t>1525</t>
  </si>
  <si>
    <t>db393cc3-117c-44f1-aa9f-0648d76ad0ab</t>
  </si>
  <si>
    <t>1582</t>
  </si>
  <si>
    <t>Stillwell Rd</t>
  </si>
  <si>
    <t>e8dd897f-50c2-4ef7-aaac-b8424925a859</t>
  </si>
  <si>
    <t>1588</t>
  </si>
  <si>
    <t>lot backs up narrow, steep street</t>
  </si>
  <si>
    <t>e58fc058-0715-4102-8700-0241f738e07b</t>
  </si>
  <si>
    <t>1594</t>
  </si>
  <si>
    <t>eab14267-b8e9-43ba-80c9-343067802e54</t>
  </si>
  <si>
    <t>1591</t>
  </si>
  <si>
    <t>70679a65-3940-42f0-826b-1b6ee9ea02d4</t>
  </si>
  <si>
    <t>1587</t>
  </si>
  <si>
    <t>0ada3498-600e-4cb2-ae1e-738db0db0343</t>
  </si>
  <si>
    <t>5050f1e6-e01b-4a79-bb82-5b8bcd732ac7</t>
  </si>
  <si>
    <t>1583</t>
  </si>
  <si>
    <t>aff591c1-d11b-47b4-bab4-c7aef97a5943</t>
  </si>
  <si>
    <t>1516</t>
  </si>
  <si>
    <t xml:space="preserve">Pershing Dr </t>
  </si>
  <si>
    <t>81e9e6f9-4f25-4349-b29e-b2172426066d</t>
  </si>
  <si>
    <t>1510</t>
  </si>
  <si>
    <t>236e3302-ab9a-4a2b-bac4-a8a1f1458bed</t>
  </si>
  <si>
    <t>1513</t>
  </si>
  <si>
    <t>a9c1fbd3-02e2-474b-a9c4-c6908e49ea3f</t>
  </si>
  <si>
    <t>1506</t>
  </si>
  <si>
    <t>b794ae1f-06b4-42ed-9578-02355dc087af</t>
  </si>
  <si>
    <t>1509</t>
  </si>
  <si>
    <t>003073cf-a930-4882-a19b-0c1a598974bc</t>
  </si>
  <si>
    <t>1501</t>
  </si>
  <si>
    <t>ab1f15b1-031c-445f-abc6-c66a700ac725</t>
  </si>
  <si>
    <t>1709</t>
  </si>
  <si>
    <t>06a9f3b0-1ef3-444f-a9c0-be5c61a524ae</t>
  </si>
  <si>
    <t>lot backs up narrow, steep street, had to move containers</t>
  </si>
  <si>
    <t>d4bb32e0-9c18-4fe7-b4f3-d73e3e6893ac</t>
  </si>
  <si>
    <t>1703</t>
  </si>
  <si>
    <t>b9587712-7899-481d-a245-a87e71b85260</t>
  </si>
  <si>
    <t>Battery Chamberlain Rd</t>
  </si>
  <si>
    <t xml:space="preserve">compactor </t>
  </si>
  <si>
    <t>96cb99bc-0a7f-4513-9552-b0ed4579eee3</t>
  </si>
  <si>
    <t>1773</t>
  </si>
  <si>
    <t>Gibson Rd</t>
  </si>
  <si>
    <t>9a86a8a2-73ad-4c13-a7eb-9f616abf026f</t>
  </si>
  <si>
    <t xml:space="preserve">lot backs up, waits for gate to open </t>
  </si>
  <si>
    <t>c827f0a1-d23f-4fea-89d4-533021fe0483</t>
  </si>
  <si>
    <t>1750/1752</t>
  </si>
  <si>
    <t xml:space="preserve">Lincoln Blvd </t>
  </si>
  <si>
    <t xml:space="preserve">lot </t>
  </si>
  <si>
    <t>78fa8be7-93d2-4f36-aaf5-155175b7e5de</t>
  </si>
  <si>
    <t>260</t>
  </si>
  <si>
    <t>49acd709-849f-4300-9ef6-e7670350c8b8</t>
  </si>
  <si>
    <t>220</t>
  </si>
  <si>
    <t xml:space="preserve">one way, gets out and pulls container </t>
  </si>
  <si>
    <t>1e34907a-b2e3-4e40-bad8-6fc4008d9b13</t>
  </si>
  <si>
    <t>F-LODAL</t>
  </si>
  <si>
    <t>85</t>
  </si>
  <si>
    <t>88aa80bd-a4ec-4e20-a5e0-98a5aed6625e</t>
  </si>
  <si>
    <t xml:space="preserve">uses key yo access ga rd age  pulls and puts back </t>
  </si>
  <si>
    <t>9f79fcf3-35e6-457c-833e-ac75446e930d</t>
  </si>
  <si>
    <t>locked container</t>
  </si>
  <si>
    <t>8f3631e3-ea72-4e11-b5c1-09f8c448b58d</t>
  </si>
  <si>
    <t>65487398-b626-4c29-bfd7-26d8912183d5</t>
  </si>
  <si>
    <t>814</t>
  </si>
  <si>
    <t>0418f5f3-428a-4765-bc69-39c0463ce349</t>
  </si>
  <si>
    <t>6b517a5e-10db-4e59-af62-1389da886297</t>
  </si>
  <si>
    <t xml:space="preserve">opens garage and pulls container </t>
  </si>
  <si>
    <t>aca6a01f-ffc6-4079-be8f-d3df96915700</t>
  </si>
  <si>
    <t xml:space="preserve">Jessie </t>
  </si>
  <si>
    <t>691a4b07-a84b-4cb6-b2fe-5c005de3eb0e</t>
  </si>
  <si>
    <t>opens garage and pulls container, alley</t>
  </si>
  <si>
    <t>e136e7b9-aa05-4d74-b2ef-a62487788787</t>
  </si>
  <si>
    <t>100b46f4-50c8-46e6-bf87-b6f6fd818361</t>
  </si>
  <si>
    <t xml:space="preserve">compactors. locked </t>
  </si>
  <si>
    <t>bdc32b2e-fd9d-4c16-8500-d9ed9face39b</t>
  </si>
  <si>
    <t>1155</t>
  </si>
  <si>
    <t>alley, homeless</t>
  </si>
  <si>
    <t>334bce94-dba2-4441-ba45-5962d4653ef9</t>
  </si>
  <si>
    <t>homeless</t>
  </si>
  <si>
    <t>97fb3c4c-b427-48fd-9509-6e1ed3f49413</t>
  </si>
  <si>
    <t>inside enclosure, gets out to open and pull enclosure</t>
  </si>
  <si>
    <t>1b3a08bc-11eb-41ec-b8d9-bf73c784a9b0</t>
  </si>
  <si>
    <t>gets out to pull container, dead end alley</t>
  </si>
  <si>
    <t>c8ab35d3-4cd8-4520-b267-27c496f15f00</t>
  </si>
  <si>
    <t>10th and mission, alley</t>
  </si>
  <si>
    <t>a47fee93-cd93-4a7f-b6fa-f95b1ec01c6d</t>
  </si>
  <si>
    <t>25</t>
  </si>
  <si>
    <t xml:space="preserve">alley, compactor, gets out to unlock </t>
  </si>
  <si>
    <t>8773a0cf-13cc-41d5-9e27-37630403de68</t>
  </si>
  <si>
    <t>waits for garage to open, pulls outside of garage, stops when tires hit block and loads to prevent hitting electrical wires</t>
  </si>
  <si>
    <t>1f9b7295-7258-46d9-bd93-53ef6fcad7c5</t>
  </si>
  <si>
    <t xml:space="preserve">in traffic circle </t>
  </si>
  <si>
    <t>906aeafa-bcc0-44b6-a102-c177b0fe0dfe</t>
  </si>
  <si>
    <t>1e23c06a-7f1e-4dbe-adda-32d89f35e316</t>
  </si>
  <si>
    <t xml:space="preserve">behind gate pulls container </t>
  </si>
  <si>
    <t>eec10e12-b243-4841-9f59-422acaafc86f</t>
  </si>
  <si>
    <t>2d979c52-d6c0-44c6-a8fc-af655647ba88</t>
  </si>
  <si>
    <t xml:space="preserve">waits for garage to open </t>
  </si>
  <si>
    <t>3416dc0d-d92a-4747-aaa8-cb853e306e09</t>
  </si>
  <si>
    <t>1581</t>
  </si>
  <si>
    <t>uses key to access garage</t>
  </si>
  <si>
    <t>122d0bae-eea2-41ce-a678-4d0d30250037</t>
  </si>
  <si>
    <t>f79dd211-273b-4421-85b3-a2d9f0bf8d6a</t>
  </si>
  <si>
    <t>on lot</t>
  </si>
  <si>
    <t>605798bc-2cc8-4e84-80cb-24ea70d4e3d7</t>
  </si>
  <si>
    <t>533</t>
  </si>
  <si>
    <t>d4c057b3-2a9d-4f84-8742-69829c1a75f2</t>
  </si>
  <si>
    <t>63</t>
  </si>
  <si>
    <t>Funston Ave</t>
  </si>
  <si>
    <t xml:space="preserve">drives into lot </t>
  </si>
  <si>
    <t>2e719730-54fb-499c-82a1-fee85bce3edb</t>
  </si>
  <si>
    <t>38</t>
  </si>
  <si>
    <t>Mesa</t>
  </si>
  <si>
    <t>inside enclosure, gets out pulls container</t>
  </si>
  <si>
    <t>eddcee29-fb89-4eef-b82a-43e45d78fd64</t>
  </si>
  <si>
    <t>35</t>
  </si>
  <si>
    <t>Keyes alley</t>
  </si>
  <si>
    <t>inside enclosure. gets out pulls and pushes container back</t>
  </si>
  <si>
    <t>1ad14342-a6e6-47ee-bfdc-d052c70da168</t>
  </si>
  <si>
    <t>53bb7ae7-230d-4a1d-bc4e-5f069aef8890</t>
  </si>
  <si>
    <t>4322c934-7158-4d7b-b05c-54d6b8e1c3db</t>
  </si>
  <si>
    <t>in lot inside enclosure gets out and locks agaib</t>
  </si>
  <si>
    <t>684487af-9619-4da5-9a78-8311391566c0</t>
  </si>
  <si>
    <t>103</t>
  </si>
  <si>
    <t xml:space="preserve">enclosure, pulls out container </t>
  </si>
  <si>
    <t>27cd2a67-3d15-46bd-9218-29764230d749</t>
  </si>
  <si>
    <t>93</t>
  </si>
  <si>
    <t xml:space="preserve">inside enclosure. pulls container </t>
  </si>
  <si>
    <t>8422ebe5-51f7-4d29-9132-5d6e750400b7</t>
  </si>
  <si>
    <t xml:space="preserve">in. lots behind gate, unlocked kn s enclosure </t>
  </si>
  <si>
    <t>0f707bee-d099-456e-a103-55d2fea501f5</t>
  </si>
  <si>
    <t>300</t>
  </si>
  <si>
    <t>Finley Rd</t>
  </si>
  <si>
    <t>5abfd490-7801-410d-9805-8b8a443f72f1</t>
  </si>
  <si>
    <t xml:space="preserve">1668 </t>
  </si>
  <si>
    <t xml:space="preserve">compaxtirs </t>
  </si>
  <si>
    <t>aef14c37-b616-4b97-86d0-44f34bae482a</t>
  </si>
  <si>
    <t>1788</t>
  </si>
  <si>
    <t>compactors</t>
  </si>
  <si>
    <t>8e6235e8-9efb-48ef-9b80-56ca9045834b</t>
  </si>
  <si>
    <t>1545</t>
  </si>
  <si>
    <t>3741b15d-1503-4651-9a3a-3ef4325a87d1</t>
  </si>
  <si>
    <t>narrow alley homeless</t>
  </si>
  <si>
    <t>019ea4ed-6ff3-49e3-994f-a813cebcc0f7</t>
  </si>
  <si>
    <t xml:space="preserve">dead end narrow alley, back sup when leaving </t>
  </si>
  <si>
    <t>7e2ea7a7-670e-476b-ade6-2a0e26db6ccc</t>
  </si>
  <si>
    <t>1045</t>
  </si>
  <si>
    <t>f93eb18f-819a-4fbd-8290-2566b6e07e6b</t>
  </si>
  <si>
    <t>1171</t>
  </si>
  <si>
    <t>29064097-ee64-4239-8b89-cbade4f52f6a</t>
  </si>
  <si>
    <t xml:space="preserve">backs easy exiting </t>
  </si>
  <si>
    <t>3d05463d-37d2-485a-9226-bbc00e69796a</t>
  </si>
  <si>
    <t>opens garage, get a our ans zmxloses</t>
  </si>
  <si>
    <t>154710ba-4c42-4805-b999-8bdcb332a0ca</t>
  </si>
  <si>
    <t>04f82168-298f-40dd-8f53-a95c9c97c6af</t>
  </si>
  <si>
    <t>1177</t>
  </si>
  <si>
    <t>onside garage</t>
  </si>
  <si>
    <t>d59199a6-7ea9-441d-95dc-ceec6f20e64d</t>
  </si>
  <si>
    <t>242</t>
  </si>
  <si>
    <t>9ff6792a-7686-41ea-974e-36b225ca4917</t>
  </si>
  <si>
    <t>421</t>
  </si>
  <si>
    <t xml:space="preserve">locked container also pulls </t>
  </si>
  <si>
    <t>62ecb26e-29fa-49e6-a6e6-3a4ce9ec931b</t>
  </si>
  <si>
    <t>32g is big belly city can</t>
  </si>
  <si>
    <t>dd1c88aa-9eb4-469e-96b6-271e9cadf5d5</t>
  </si>
  <si>
    <t>1540</t>
  </si>
  <si>
    <t>backs up one way</t>
  </si>
  <si>
    <t>79fcf3bc-a23f-4888-822d-3e4d870a327c</t>
  </si>
  <si>
    <t xml:space="preserve">both locked containers </t>
  </si>
  <si>
    <t>b6e987e1-7cea-4cbc-add9-796ed16fdf1d</t>
  </si>
  <si>
    <t>149</t>
  </si>
  <si>
    <t>chained to wall</t>
  </si>
  <si>
    <t>a48d4058-f16d-4954-b5f4-244619bb920b</t>
  </si>
  <si>
    <t>609d1fde-f4fe-45ed-aa09-5d926ed35796</t>
  </si>
  <si>
    <t>265</t>
  </si>
  <si>
    <t>2af561ab-376a-408e-be22-9f7a43de0d92</t>
  </si>
  <si>
    <t>3c83c07b-1cde-49b1-a8fd-5547f63f2a47</t>
  </si>
  <si>
    <t>585</t>
  </si>
  <si>
    <t>aa2ce278-90b0-4e8c-a02d-abfe2ea138ae</t>
  </si>
  <si>
    <t>504</t>
  </si>
  <si>
    <t>c666bd44-85a8-4da5-86bf-c0f02bd0067c</t>
  </si>
  <si>
    <t xml:space="preserve">601 </t>
  </si>
  <si>
    <t>884163c3-df8b-4f51-995e-ea454612a9ec</t>
  </si>
  <si>
    <t>57050c99-8251-42f0-86c1-32e73d2d9664</t>
  </si>
  <si>
    <t>city can on van ness puts into 64g</t>
  </si>
  <si>
    <t>6ce8f464-5471-47d7-b8ea-a1cbf43b9c56</t>
  </si>
  <si>
    <t>950</t>
  </si>
  <si>
    <t>homeless 5 steps up long walkway</t>
  </si>
  <si>
    <t>5b083a59-4e59-4225-9987-a0fcf52614ce</t>
  </si>
  <si>
    <t>long walkway</t>
  </si>
  <si>
    <t>eb957cb1-f279-4950-8058-9f1cba412b03</t>
  </si>
  <si>
    <t>city can on ellis</t>
  </si>
  <si>
    <t>1e37d383-212b-47a2-b455-00c8f1c0c05f</t>
  </si>
  <si>
    <t>231</t>
  </si>
  <si>
    <t>Olive</t>
  </si>
  <si>
    <t>00a123ae-4867-4340-847c-e409f105cb24</t>
  </si>
  <si>
    <t>238</t>
  </si>
  <si>
    <t>remote</t>
  </si>
  <si>
    <t>a7b84fc3-95ac-4383-8b8f-a3afaa0422f0</t>
  </si>
  <si>
    <t>fe5d92d5-435c-4387-b5b8-6650a34c6a94</t>
  </si>
  <si>
    <t>behind gate in parking lot</t>
  </si>
  <si>
    <t>50f4abb2-ebe1-47ef-bfe5-17b1197ccdce</t>
  </si>
  <si>
    <t>1188</t>
  </si>
  <si>
    <t>remote garage</t>
  </si>
  <si>
    <t>e5748582-2f91-41ab-8ffc-1e14b812bb65</t>
  </si>
  <si>
    <t>234</t>
  </si>
  <si>
    <t>Myrtle</t>
  </si>
  <si>
    <t>down step then arrow walkway</t>
  </si>
  <si>
    <t>4c4e40f0-e4d3-41a6-8cf8-b9a5308ce246</t>
  </si>
  <si>
    <t>Van Ness Ave and Geary</t>
  </si>
  <si>
    <t>7a901763-d71c-4c6d-9d57-70194ab52a79</t>
  </si>
  <si>
    <t>2903d0d4-25eb-471c-9926-89e4ee62af8f</t>
  </si>
  <si>
    <t>165459de-6212-4826-92b7-f5192b619e70</t>
  </si>
  <si>
    <t>1498</t>
  </si>
  <si>
    <t>e201cf60-a4f5-4f34-bcd5-a223f8d9a4e1</t>
  </si>
  <si>
    <t>e7df16d0-530f-4a92-819d-9f099d7b8bf7</t>
  </si>
  <si>
    <t>56e9d429-2141-4bf0-8ea6-368ea43ea93f</t>
  </si>
  <si>
    <t>1676</t>
  </si>
  <si>
    <t>1d7fcf29-abd0-408c-9e8b-da63f2dce00a</t>
  </si>
  <si>
    <t>3ad1b88b-236a-47e9-a16e-84928939a6e1</t>
  </si>
  <si>
    <t>1820</t>
  </si>
  <si>
    <t>3bebb95b-b1a7-4d85-b1f4-c78ee95f7f3e</t>
  </si>
  <si>
    <t>cae84682-f665-4996-a4a4-1edebb4a6766</t>
  </si>
  <si>
    <t>1945</t>
  </si>
  <si>
    <t>abd329eb-387f-435e-8e3c-33d0c0bdd84a</t>
  </si>
  <si>
    <t>87f65bd8-46f0-4305-b678-6aadd5f016d3</t>
  </si>
  <si>
    <t>01bfb545-001e-43e6-a819-70312322d81b</t>
  </si>
  <si>
    <t>c99c5ae0-0498-432e-88ea-6ae6be062865</t>
  </si>
  <si>
    <t>1585</t>
  </si>
  <si>
    <t>993501ed-043a-44dc-a972-2462ad467dc0</t>
  </si>
  <si>
    <t>ccab605e-93f5-456c-971f-a7202c017d53</t>
  </si>
  <si>
    <t>1450</t>
  </si>
  <si>
    <t>ccca204e-dfc8-4c4b-adff-4de2a74ff21c</t>
  </si>
  <si>
    <t>1490</t>
  </si>
  <si>
    <t>opens gate, backs up into parking lot</t>
  </si>
  <si>
    <t>44242c26-a5a9-4daa-b5a8-3fb264254bf9</t>
  </si>
  <si>
    <t>1301</t>
  </si>
  <si>
    <t xml:space="preserve">in enclosure </t>
  </si>
  <si>
    <t>0d0bb4b9-2e43-4b54-b83a-51532936303d</t>
  </si>
  <si>
    <t>70706a47-f5de-4855-8cd6-5fd13cafc75a</t>
  </si>
  <si>
    <t>beaabe62-375e-49bf-a9de-9f89e739a388</t>
  </si>
  <si>
    <t>1355</t>
  </si>
  <si>
    <t>1409curb one 96g one 64g 11405 behind gate consolidates to 96g</t>
  </si>
  <si>
    <t>158b1edf-51ab-4d63-9c06-ea8c0e72faac</t>
  </si>
  <si>
    <t>1440</t>
  </si>
  <si>
    <t xml:space="preserve">garage code </t>
  </si>
  <si>
    <t>b3fac157-ef1c-4c63-b8d0-e61a748ac7d1</t>
  </si>
  <si>
    <t>1480</t>
  </si>
  <si>
    <t>00316ca8-3a5c-42bc-a084-5a2b505668e1</t>
  </si>
  <si>
    <t>ad88e050-f0e9-4859-a803-7cdafa51f67c</t>
  </si>
  <si>
    <t>1531</t>
  </si>
  <si>
    <t>6e73fb65-2b26-427a-8920-d858db66a495</t>
  </si>
  <si>
    <t>0ea6a7d8-2774-4aed-9a31-b500871b0469</t>
  </si>
  <si>
    <t>1670</t>
  </si>
  <si>
    <t>a33f5c84-9f3a-4337-8a34-9f7cd3250957</t>
  </si>
  <si>
    <t>1688</t>
  </si>
  <si>
    <t>3a719717-6a2a-4b08-a20b-4765fdf38960</t>
  </si>
  <si>
    <t>1708</t>
  </si>
  <si>
    <t>97baf749-d805-445a-bfbd-ea9b38d8018c</t>
  </si>
  <si>
    <t>14cec596-6662-4920-a8c3-88938317f21d</t>
  </si>
  <si>
    <t>6108e233-db58-4d05-912a-b2814cd7c81d</t>
  </si>
  <si>
    <t>74041cca-8819-421f-bd7d-950dff533f86</t>
  </si>
  <si>
    <t>64463ae9-ca85-485e-91c9-f651d5379a50</t>
  </si>
  <si>
    <t>db9a3e15-847b-4f86-a756-92d92054044a</t>
  </si>
  <si>
    <t>99075b33-d4cf-468e-8fcd-453e17574ac5</t>
  </si>
  <si>
    <t>1615</t>
  </si>
  <si>
    <t>backs up behind garage last one 1629</t>
  </si>
  <si>
    <t>4ee73abd-2a35-4b7b-aef3-404757e585e2</t>
  </si>
  <si>
    <t>5e990a6f-25d3-4512-b552-5df79d75a336</t>
  </si>
  <si>
    <t xml:space="preserve">1525 </t>
  </si>
  <si>
    <t>3a2b58eb-88bb-4062-b0f5-7a2284313a16</t>
  </si>
  <si>
    <t>1521</t>
  </si>
  <si>
    <t>9cfff4da-c63c-455e-9d1a-cbd63d0c1cc4</t>
  </si>
  <si>
    <t>a6235477-3a9d-4473-b231-44d18a857f4b</t>
  </si>
  <si>
    <t>1620</t>
  </si>
  <si>
    <t>4e7782de-a93c-4b09-98c8-1d0c2bc77caa</t>
  </si>
  <si>
    <t>1644</t>
  </si>
  <si>
    <t>ac4f04c7-d44e-464b-b165-f76e333447de</t>
  </si>
  <si>
    <t>code, drives into alley way, inside gate</t>
  </si>
  <si>
    <t>b5506ff4-45c0-4f7e-90eb-65a22e10db53</t>
  </si>
  <si>
    <t>104ff30b-0369-41d5-89a7-595ff3a8d80b</t>
  </si>
  <si>
    <t>1608</t>
  </si>
  <si>
    <t>d7aa32a8-381f-4b7a-a233-0986f211f574</t>
  </si>
  <si>
    <t>1c1b0b79-5d13-4095-8d84-13d2d15c7326</t>
  </si>
  <si>
    <t>54a53463-82cb-4c5e-83ba-bea24f8e232b</t>
  </si>
  <si>
    <t>up 4 steps</t>
  </si>
  <si>
    <t>49412f5a-94a0-4fe8-9198-5dd7b3a9300e</t>
  </si>
  <si>
    <t>1663</t>
  </si>
  <si>
    <t>0ae65c0e-bea5-4785-9b21-12df672c2d7d</t>
  </si>
  <si>
    <t>1628</t>
  </si>
  <si>
    <t>down 4 steps narrow walkway</t>
  </si>
  <si>
    <t>c88efe7b-13ef-4625-8219-6af3f3fa1d53</t>
  </si>
  <si>
    <t>15 steps, elevation, consolidated into one 96g</t>
  </si>
  <si>
    <t>a113f00b-2bac-4dd0-860d-edec6dacdfe1</t>
  </si>
  <si>
    <t>1511</t>
  </si>
  <si>
    <t>6924c191-8bc8-46e3-8cf4-410815878c77</t>
  </si>
  <si>
    <t>2be96b8f-f032-44bc-9d5a-c84d7db65ee0</t>
  </si>
  <si>
    <t>1412</t>
  </si>
  <si>
    <t>15318a13-284b-4f1b-8a0d-6c2e3dff8da6</t>
  </si>
  <si>
    <t>ed62dc8b-e87a-4e8f-8673-f06a82bd18e1</t>
  </si>
  <si>
    <t xml:space="preserve">svc on fern </t>
  </si>
  <si>
    <t>6ef120c0-f90b-4cda-9ba1-8c9e9acd0786</t>
  </si>
  <si>
    <t xml:space="preserve">Gough </t>
  </si>
  <si>
    <t>3 steps narrow walkway</t>
  </si>
  <si>
    <t>82751272-40d0-4634-8528-5e962cb89c3e</t>
  </si>
  <si>
    <t>1840</t>
  </si>
  <si>
    <t>8b267098-8062-4294-b3f4-83cfa0484274</t>
  </si>
  <si>
    <t>1970</t>
  </si>
  <si>
    <t>4d1c662a-e7aa-45b9-86fd-4ae241600d45</t>
  </si>
  <si>
    <t>1980</t>
  </si>
  <si>
    <t>deac460b-4799-4682-964c-c11d9cab4376</t>
  </si>
  <si>
    <t>309674e3-517c-4cd4-83fa-a2cfe0426d0b</t>
  </si>
  <si>
    <t>1785</t>
  </si>
  <si>
    <t>3eb37f7a-f3a7-4d89-ac79-65422e89c923</t>
  </si>
  <si>
    <t>1737</t>
  </si>
  <si>
    <t>91422c67-fc55-44b9-a2aa-c05c15c06bf8</t>
  </si>
  <si>
    <t>1717</t>
  </si>
  <si>
    <t>de97118d-5674-44b0-af9a-f0dad625b06e</t>
  </si>
  <si>
    <t>1714</t>
  </si>
  <si>
    <t>6b0b3e0b-d014-47cb-9aba-b7a2b42ee95a</t>
  </si>
  <si>
    <t>7d5641ed-3251-4edd-9a29-5eab4ecb8db6</t>
  </si>
  <si>
    <t>a43576dd-966c-440f-b18b-e0f200490f48</t>
  </si>
  <si>
    <t>1705</t>
  </si>
  <si>
    <t>47e5faf4-74f6-4f31-9105-3873fa47a792</t>
  </si>
  <si>
    <t>garage, code, 96-black</t>
  </si>
  <si>
    <t>b623dcb3-00c4-4ff7-a306-044f49bdab4b</t>
  </si>
  <si>
    <t>1840p</t>
  </si>
  <si>
    <t>0426feca-128b-4c2c-87b9-2e85fdfe4d6c</t>
  </si>
  <si>
    <t>sacramento address, distance downstairs behind gate</t>
  </si>
  <si>
    <t>61fd33b0-4110-4208-b679-9689cf2d318d</t>
  </si>
  <si>
    <t>2195</t>
  </si>
  <si>
    <t>5 steps</t>
  </si>
  <si>
    <t>c72ef414-efdb-43fa-a712-9ee850dd5b46</t>
  </si>
  <si>
    <t>2040</t>
  </si>
  <si>
    <t>down 3 steps</t>
  </si>
  <si>
    <t>24626e32-4954-4689-8bfd-833c0fa11b68</t>
  </si>
  <si>
    <t>2015</t>
  </si>
  <si>
    <t>810eef6b-2f32-4b07-95d4-033708795824</t>
  </si>
  <si>
    <t>2136</t>
  </si>
  <si>
    <t>63739ca1-c27c-40a1-b837-7540933e326b</t>
  </si>
  <si>
    <t>2174</t>
  </si>
  <si>
    <t>df28e478-a0d7-4956-89d3-46f52a0176e1</t>
  </si>
  <si>
    <t>6e843123-320a-416d-ae06-91f76535e2c5</t>
  </si>
  <si>
    <t>ec23f67b-232d-40a2-9071-b48094c7b34d</t>
  </si>
  <si>
    <t>245/2460/2462</t>
  </si>
  <si>
    <t>3b53bc90-10b1-4b9c-a482-c612dcd2ec24</t>
  </si>
  <si>
    <t>74400401-d2d4-4b08-8641-530cd5d98e7f</t>
  </si>
  <si>
    <t>2412</t>
  </si>
  <si>
    <t>locked code</t>
  </si>
  <si>
    <t>392136c7-5519-4563-bfaf-21bed0a7facc</t>
  </si>
  <si>
    <t>2422</t>
  </si>
  <si>
    <t>1547e39f-a5f3-4e8e-8483-a28f94eb4b2b</t>
  </si>
  <si>
    <t>2113</t>
  </si>
  <si>
    <t>4 steps</t>
  </si>
  <si>
    <t>77358a25-3e10-4562-bd84-4b295ed34fb1</t>
  </si>
  <si>
    <t xml:space="preserve">32g-green </t>
  </si>
  <si>
    <t>5df0b628-d9ef-4a10-87a0-180d5e24e988</t>
  </si>
  <si>
    <t>2425</t>
  </si>
  <si>
    <t>f17b5eaf-844a-4a4b-9fc5-9fda0e712837</t>
  </si>
  <si>
    <t>2423</t>
  </si>
  <si>
    <t>narrow qalkway</t>
  </si>
  <si>
    <t>a8e7afab-0b55-4045-9adc-f0df18f9bd48</t>
  </si>
  <si>
    <t>narrow walkway, 32g green, right address</t>
  </si>
  <si>
    <t>8b11f173-0db4-4683-9070-68ba9ef3b328</t>
  </si>
  <si>
    <t>80f0fa00-1b87-4832-a7ae-424d457c7288</t>
  </si>
  <si>
    <t>1d351656-9d69-442f-bd75-3deef7329198</t>
  </si>
  <si>
    <t>64g-green</t>
  </si>
  <si>
    <t>986944e4-01f7-4849-837f-1c432150ced1</t>
  </si>
  <si>
    <t>a4970bae-f29d-445a-a7d0-725df3284936</t>
  </si>
  <si>
    <t>all garbage</t>
  </si>
  <si>
    <t>4adae609-e299-4fba-bbd3-ef44b61d876c</t>
  </si>
  <si>
    <t>2240</t>
  </si>
  <si>
    <t>c0719353-987c-4cb7-a616-2045866530d0</t>
  </si>
  <si>
    <t>600e8629-c538-4a24-aca0-72d6027386d5</t>
  </si>
  <si>
    <t>ce7c7fca-3473-437c-9fba-d210c5c19fa8</t>
  </si>
  <si>
    <t>80c8db19-b23f-4ebe-a4dc-136e296a724e</t>
  </si>
  <si>
    <t>2261</t>
  </si>
  <si>
    <t>5375ff91-9bce-4faa-8122-e70617058971</t>
  </si>
  <si>
    <t>2245</t>
  </si>
  <si>
    <t>up 10 steps, opens enclosure, 64g green</t>
  </si>
  <si>
    <t>bfbc5d63-b87d-4247-a4eb-d74c6fb09783</t>
  </si>
  <si>
    <t>2241</t>
  </si>
  <si>
    <t>1dd04426-12d6-48ef-9172-2155375e2a57</t>
  </si>
  <si>
    <t>2205</t>
  </si>
  <si>
    <t>70e59545-bbd5-4de4-b329-11a030923cbd</t>
  </si>
  <si>
    <t>cf635cc7-6560-4cab-b97f-1e476c8b1ebd</t>
  </si>
  <si>
    <t>code garage 3 green, 3 black</t>
  </si>
  <si>
    <t>e62486c5-2ca3-4d39-b759-179c383b729e</t>
  </si>
  <si>
    <t>2095</t>
  </si>
  <si>
    <t>f0710fc2-eed3-4f55-9e4e-19bee9822cab</t>
  </si>
  <si>
    <t>2235</t>
  </si>
  <si>
    <t>86a96fb7-3206-41bc-8ed9-d88ac1f64fbb</t>
  </si>
  <si>
    <t>22e03b21-09db-4095-b5fa-9b5109ceeab3</t>
  </si>
  <si>
    <t>2153</t>
  </si>
  <si>
    <t>1d0a608d-7e2c-4a8d-9031-ea97f06f1f1d</t>
  </si>
  <si>
    <t>2171</t>
  </si>
  <si>
    <t>2336e478-a326-45ed-96e6-b73bff83e9e8</t>
  </si>
  <si>
    <t>2135</t>
  </si>
  <si>
    <t>down 5 steps, then down walkway</t>
  </si>
  <si>
    <t>a9af4deb-8e92-47de-9cbf-f7c6722e275c</t>
  </si>
  <si>
    <t>2121</t>
  </si>
  <si>
    <t>down 3 steps NARROW WALKWAY, 64g green</t>
  </si>
  <si>
    <t>b9a77de8-1cbf-4bd3-a330-73de805395e9</t>
  </si>
  <si>
    <t>e2c5c5cb-4576-4e7d-9172-f18b4cb324f3</t>
  </si>
  <si>
    <t>1919</t>
  </si>
  <si>
    <t>lockeddoor, enters through garage,</t>
  </si>
  <si>
    <t>054e123f-9ec0-4977-896a-b888dedc93c9</t>
  </si>
  <si>
    <t>4d872d85-c603-4b6a-b588-5801a08ffb05</t>
  </si>
  <si>
    <t>f7a735bf-416d-4095-9d0a-550173d4f03d</t>
  </si>
  <si>
    <t>2120</t>
  </si>
  <si>
    <t>10-15 steps, down narrow walkway</t>
  </si>
  <si>
    <t>79781bfa-d7cc-4eaa-8c51-25a203a4a158</t>
  </si>
  <si>
    <t>d93c9373-8743-4595-832b-e563f53f79c6</t>
  </si>
  <si>
    <t xml:space="preserve">address california, services here, 64g black </t>
  </si>
  <si>
    <t>26fe10ed-2c83-4a80-9745-f256f31dc4b2</t>
  </si>
  <si>
    <t>dfb0a19b-088a-4125-b821-040deb38a5a5</t>
  </si>
  <si>
    <t>2155</t>
  </si>
  <si>
    <t>down narrow walkway</t>
  </si>
  <si>
    <t>6394de19-e6f1-40b9-91e5-ed1ae4e49b02</t>
  </si>
  <si>
    <t>address on sacramento</t>
  </si>
  <si>
    <t>23fb1547-113a-4527-b27d-2745bc62283d</t>
  </si>
  <si>
    <t>e88d7dfa-82dd-4a7d-ba36-fbf4917bb9c6</t>
  </si>
  <si>
    <t>1905</t>
  </si>
  <si>
    <t>25938a89-31d8-46c9-92d8-0086a88d5c4c</t>
  </si>
  <si>
    <t>2025</t>
  </si>
  <si>
    <t>ee992dbb-f9cd-405d-a1dd-c90d1ce496a0</t>
  </si>
  <si>
    <t xml:space="preserve">also serviced city can, 1 96g inside, serviced curbside on pine </t>
  </si>
  <si>
    <t>7512474b-9185-4555-9e8f-817e021d68dd</t>
  </si>
  <si>
    <t>2249/50</t>
  </si>
  <si>
    <t>32g green, up 2 steps</t>
  </si>
  <si>
    <t>1571abea-ef5d-46f7-838a-9c70885b8e3a</t>
  </si>
  <si>
    <t>4b076746-a6fc-4795-8538-3d9c08e34f76</t>
  </si>
  <si>
    <t>2280</t>
  </si>
  <si>
    <t>dd1e049d-4145-49c8-aef5-2d8127d5a767</t>
  </si>
  <si>
    <t>2225</t>
  </si>
  <si>
    <t>serviced on orben alley</t>
  </si>
  <si>
    <t>5452df99-da45-4e74-973e-c66c0e6aacbe</t>
  </si>
  <si>
    <t>Orben</t>
  </si>
  <si>
    <t>serviced on orben</t>
  </si>
  <si>
    <t>f0fd4e06-98a2-43f7-b0a9-e912d236e65f</t>
  </si>
  <si>
    <t>8d2ad5b8-a4b5-405d-b1c8-c11ffa13e153</t>
  </si>
  <si>
    <t>2140</t>
  </si>
  <si>
    <t>5ae8b430-ee64-43b2-b764-9c5d9d498d69</t>
  </si>
  <si>
    <t>38acef84-affb-45b4-aa4d-60d74e0fc9e8</t>
  </si>
  <si>
    <t>e371ced8-0de9-4d4a-8c48-69dc54c116c3</t>
  </si>
  <si>
    <t>2385</t>
  </si>
  <si>
    <t>2060 fillmore 2050 fillmore</t>
  </si>
  <si>
    <t>2957b2fb-9f4b-4588-83ba-efc148fa62ea</t>
  </si>
  <si>
    <t>cd0add6a-d698-4fd0-bccb-6aa6555f75be</t>
  </si>
  <si>
    <t>orben</t>
  </si>
  <si>
    <t>e69b4f53-7d89-4bef-acdc-4d92b5b840c7</t>
  </si>
  <si>
    <t>f0ae4d99-e430-4a99-965d-ce4926d14430</t>
  </si>
  <si>
    <t>013ae9ef-5ce6-445a-83c9-31b3a9e6147c</t>
  </si>
  <si>
    <t>2159, 2173</t>
  </si>
  <si>
    <t>59363fcb-8146-4725-9cc3-c616a36490a2</t>
  </si>
  <si>
    <t>2135/????</t>
  </si>
  <si>
    <t>NARROW WALKWAY, ???-code garage</t>
  </si>
  <si>
    <t>a0d8406e-173c-423f-935e-9bc464021a74</t>
  </si>
  <si>
    <t xml:space="preserve">up 2 stairs </t>
  </si>
  <si>
    <t>36b9f222-16fb-4079-9741-b963d121a894</t>
  </si>
  <si>
    <t>e302b03a-1616-4178-b356-43cfd4c259ee</t>
  </si>
  <si>
    <t>2065</t>
  </si>
  <si>
    <t>57a527df-708f-404c-99b9-976ef00d5911</t>
  </si>
  <si>
    <t>2055</t>
  </si>
  <si>
    <t>92463447-005f-49ee-9a15-bd00deba4402</t>
  </si>
  <si>
    <t>2045</t>
  </si>
  <si>
    <t>a2981a0f-8e35-45b0-b50e-8d5afbca03f8</t>
  </si>
  <si>
    <t>a1e64ffe-5c63-46d7-8b56-aca7f2029d51</t>
  </si>
  <si>
    <t>3544f3b0-4f0c-4b55-af2f-1ba6f62b7bbb</t>
  </si>
  <si>
    <t>2a914195-d645-4b2f-b559-c7551b3ab8b4</t>
  </si>
  <si>
    <t>2035</t>
  </si>
  <si>
    <t>also city can</t>
  </si>
  <si>
    <t>2534a317-c57e-415c-838a-9e5ceffc43f7</t>
  </si>
  <si>
    <t>2218-20</t>
  </si>
  <si>
    <t>33c463fa-dde8-44f3-a26f-8ca54f497dd3</t>
  </si>
  <si>
    <t>c4b2d5cc-ca92-439c-b2ec-9de66167da13</t>
  </si>
  <si>
    <t>2266/2400</t>
  </si>
  <si>
    <t xml:space="preserve">code garage, </t>
  </si>
  <si>
    <t>1f967982-1e44-4104-82d0-b3d43c2bfd8a</t>
  </si>
  <si>
    <t>2380</t>
  </si>
  <si>
    <t>d44eb3e6-f472-40b6-af8c-af88e494b21d</t>
  </si>
  <si>
    <t>2470</t>
  </si>
  <si>
    <t>8c59c60f-13ad-4234-a134-8182b02f754d</t>
  </si>
  <si>
    <t>2474</t>
  </si>
  <si>
    <t>fillmore</t>
  </si>
  <si>
    <t>d0acda1f-e4c0-48d2-96a3-fbe42d033e67</t>
  </si>
  <si>
    <t>2480</t>
  </si>
  <si>
    <t>20952626-b81c-4721-bf64-6ff7b31433d9</t>
  </si>
  <si>
    <t>2351</t>
  </si>
  <si>
    <t>c3ba2a1d-f26c-4a90-9746-5c8734fae0a2</t>
  </si>
  <si>
    <t>2345</t>
  </si>
  <si>
    <t>02ac9f08-7c70-4aec-8b47-de3ad9b7a480</t>
  </si>
  <si>
    <t>2335</t>
  </si>
  <si>
    <t>09e66541-e718-4c3d-9745-888dd4b353bd</t>
  </si>
  <si>
    <t>2325</t>
  </si>
  <si>
    <t>e5e046fc-e2d6-4a3a-b919-02956fa3457e</t>
  </si>
  <si>
    <t>15-20 steps</t>
  </si>
  <si>
    <t>a126e4c9-91eb-429a-98c5-cb7f86832128</t>
  </si>
  <si>
    <t>2061-67</t>
  </si>
  <si>
    <t>af160149-2268-4d2c-b118-80702ce46cbc</t>
  </si>
  <si>
    <t>2043</t>
  </si>
  <si>
    <t>7573d849-dc47-4a88-bd3e-21db801ba1b8</t>
  </si>
  <si>
    <t>1915</t>
  </si>
  <si>
    <t>8bc5c0fb-cb3f-4911-8faa-7b468cb65583</t>
  </si>
  <si>
    <t>1646</t>
  </si>
  <si>
    <t>b8cfe0b4-04e7-4188-a4b7-379c68e12e8a</t>
  </si>
  <si>
    <t>175</t>
  </si>
  <si>
    <t>gets out and pulls container</t>
  </si>
  <si>
    <t>ecc10a18-8836-4038-bfbf-c6ce789feb3c</t>
  </si>
  <si>
    <t>135</t>
  </si>
  <si>
    <t>b9e9cf03-107c-41a5-b0e9-55f25d6b1068</t>
  </si>
  <si>
    <t>77</t>
  </si>
  <si>
    <t>c56778c5-7d86-4ded-99f4-fb77a16104a8</t>
  </si>
  <si>
    <t>340</t>
  </si>
  <si>
    <t>8d3ab173-f607-4588-935e-ac7d9e7c169c</t>
  </si>
  <si>
    <t>gets out unlocks locked container</t>
  </si>
  <si>
    <t>9ae46853-28bb-479d-a877-dfe03611af6a</t>
  </si>
  <si>
    <t>290</t>
  </si>
  <si>
    <t>backs up into parking lot, pulls container with fork</t>
  </si>
  <si>
    <t>fba278c7-4e87-4f60-bc89-afa58f2695d5</t>
  </si>
  <si>
    <t>645</t>
  </si>
  <si>
    <t xml:space="preserve">opens locked door pulls out container </t>
  </si>
  <si>
    <t>bbdc7660-dcf5-4e6d-ab42-d93f3f1af696</t>
  </si>
  <si>
    <t>640</t>
  </si>
  <si>
    <t xml:space="preserve">code, pulls into parking lot, containers in enclosure </t>
  </si>
  <si>
    <t>02510498-50b0-4356-a02c-eb91e0a001b2</t>
  </si>
  <si>
    <t>155</t>
  </si>
  <si>
    <t>alley, compactoe</t>
  </si>
  <si>
    <t>d5274ac1-1263-48ca-ba5a-b5ce27a40377</t>
  </si>
  <si>
    <t>883</t>
  </si>
  <si>
    <t>7b62d8be-5fc4-403f-ad3b-46366e797bc5</t>
  </si>
  <si>
    <t>475/71/77</t>
  </si>
  <si>
    <t>6th Street/Morris</t>
  </si>
  <si>
    <t>narrow alley</t>
  </si>
  <si>
    <t>2d3ec1ef-0aad-4c8c-8c96-c8b766b9ba22</t>
  </si>
  <si>
    <t>bd957145-bf09-41dc-874a-22d4769588f5</t>
  </si>
  <si>
    <t>888</t>
  </si>
  <si>
    <t>a9278b44-dc18-4e4e-b875-7f8a6bfb5fa6</t>
  </si>
  <si>
    <t>471</t>
  </si>
  <si>
    <t>Stevenson</t>
  </si>
  <si>
    <t>locked container, svc in alley</t>
  </si>
  <si>
    <t>21d946b0-6fa9-48d5-a718-f9f026187d3c</t>
  </si>
  <si>
    <t>901</t>
  </si>
  <si>
    <t>de11e70b-6fb3-420c-ac4e-f01500d896a2</t>
  </si>
  <si>
    <t>55/85/360</t>
  </si>
  <si>
    <t>15th/jessie</t>
  </si>
  <si>
    <t xml:space="preserve">1 inside key code 2 yrd, 4yrd locked container </t>
  </si>
  <si>
    <t>ac89f815-f1e8-44d7-8652-1b6de78c3e7e</t>
  </si>
  <si>
    <t>816</t>
  </si>
  <si>
    <t xml:space="preserve">svc in alley, gets out pulls containers </t>
  </si>
  <si>
    <t>a3f38b9c-a586-40cc-81b2-cdc273f53ec7</t>
  </si>
  <si>
    <t>169cb7c1-cc66-44c0-b85e-d6818bd92232</t>
  </si>
  <si>
    <t>c9f9c619-7f88-42ee-8fd6-ef51a3c6deb3</t>
  </si>
  <si>
    <t>a25ecad0-8c62-4e97-a139-2811a31b9f81</t>
  </si>
  <si>
    <t>2b7276fa-8d4b-48c6-9661-fbc94ad8f37d</t>
  </si>
  <si>
    <t>ad7763a0-c71d-46d8-872b-4a362e0c1179</t>
  </si>
  <si>
    <t>799</t>
  </si>
  <si>
    <t>garage, code, compactor, svc alley</t>
  </si>
  <si>
    <t>9e514fb4-2bb8-4ebe-a67a-da8356310c3d</t>
  </si>
  <si>
    <t>2526</t>
  </si>
  <si>
    <t>80bb2582-ba0b-4765-af38-8f4b6af1cbc9</t>
  </si>
  <si>
    <t>723</t>
  </si>
  <si>
    <t>76dbca5e-2ffa-4fc1-9acc-63a04bf551af</t>
  </si>
  <si>
    <t>773</t>
  </si>
  <si>
    <t>4789b647-6948-4a73-926b-7b62c2910b32</t>
  </si>
  <si>
    <t>957</t>
  </si>
  <si>
    <t>94c826d7-1385-4bc0-b5f3-a83af2781c80</t>
  </si>
  <si>
    <t>464</t>
  </si>
  <si>
    <t xml:space="preserve">compactor, gets out and unlocks </t>
  </si>
  <si>
    <t>4d071613-581b-4556-9756-c9cc7377fcb7</t>
  </si>
  <si>
    <t>c596d775-cea7-49d0-887e-307912bda2cf</t>
  </si>
  <si>
    <t>832</t>
  </si>
  <si>
    <t>pulls container</t>
  </si>
  <si>
    <t>1816f120-ac25-4089-8aa8-f6f6386de1a9</t>
  </si>
  <si>
    <t xml:space="preserve">alley, pulls container with fork </t>
  </si>
  <si>
    <t>fa72201a-7174-406c-aa7f-bc9197d61ae5</t>
  </si>
  <si>
    <t>d088e1f7-50b1-4437-bb9d-26a7cb28e518</t>
  </si>
  <si>
    <t xml:space="preserve">Harrison </t>
  </si>
  <si>
    <t>5974a1eb-37c2-4745-8bec-5d3722099142</t>
  </si>
  <si>
    <t>660</t>
  </si>
  <si>
    <t>784ace86-0fab-418c-b000-e48c9ef2ab99</t>
  </si>
  <si>
    <t>639</t>
  </si>
  <si>
    <t>64c1a777-b596-4db1-89dc-c9fe176f8b19</t>
  </si>
  <si>
    <t>enclosure</t>
  </si>
  <si>
    <t>05117b0b-dc02-4a15-8bd0-e03b345ad8ca</t>
  </si>
  <si>
    <t>610</t>
  </si>
  <si>
    <t>b5558891-40e4-4476-a5b4-a629e2ad4493</t>
  </si>
  <si>
    <t>598</t>
  </si>
  <si>
    <t>pulls into lot</t>
  </si>
  <si>
    <t>cb2f2dfb-425a-4b81-9bdd-7266f3af132d</t>
  </si>
  <si>
    <t>565</t>
  </si>
  <si>
    <t>3e6a8a67-5302-46ba-9564-42839857dbf9</t>
  </si>
  <si>
    <t>555</t>
  </si>
  <si>
    <t>e7d5b7a2-ff6e-44d5-9802-69f1d08d33cf</t>
  </si>
  <si>
    <t>8e03b6a7-2138-4a45-a846-5efdda34f251</t>
  </si>
  <si>
    <t>4783a909-2943-455a-a270-98d40c693d48</t>
  </si>
  <si>
    <t>315</t>
  </si>
  <si>
    <t>d1acc62f-3a69-4238-a8e8-215b2f44475f</t>
  </si>
  <si>
    <t>6f8a31a5-146f-41de-a1ab-44cb582d245f</t>
  </si>
  <si>
    <t>675</t>
  </si>
  <si>
    <t xml:space="preserve">Nelson Rising Lane </t>
  </si>
  <si>
    <t xml:space="preserve">alerts securty, pulls inside of garage, services, puts back inside </t>
  </si>
  <si>
    <t>b5c9371c-edf1-4e75-8f45-9ca72eb392a7</t>
  </si>
  <si>
    <t>92ae7a8c-5ad7-48c0-b9ff-0b93703b832e</t>
  </si>
  <si>
    <t>calls customer to open gate, compactor</t>
  </si>
  <si>
    <t>05436196-8154-41de-aa73-9b2ff1af0eeb</t>
  </si>
  <si>
    <t>78439e39-c090-4f39-be0d-7ea802bd2050</t>
  </si>
  <si>
    <t>391</t>
  </si>
  <si>
    <t>47bc039c-98cf-4af3-90ba-0d9833aa7e60</t>
  </si>
  <si>
    <t>253</t>
  </si>
  <si>
    <t>55b2f139-4b00-4d13-bd1d-0827d864a668</t>
  </si>
  <si>
    <t>665</t>
  </si>
  <si>
    <t>behind gate, svc alley</t>
  </si>
  <si>
    <t>91e8a6cf-a6e3-463d-9e90-25ceed863a00</t>
  </si>
  <si>
    <t>153</t>
  </si>
  <si>
    <t>9c4e5641-f0a3-48ec-8b44-7d0b9be61a61</t>
  </si>
  <si>
    <t>333</t>
  </si>
  <si>
    <t xml:space="preserve">svc in alley </t>
  </si>
  <si>
    <t>75d18bab-15c1-4413-9f6f-609f16bba83d</t>
  </si>
  <si>
    <t>350</t>
  </si>
  <si>
    <t>4</t>
  </si>
  <si>
    <t>9f9f4ab0-196b-4203-a601-256a1d0660e6</t>
  </si>
  <si>
    <t>475</t>
  </si>
  <si>
    <t>71c36600-78b3-49ef-8076-781a4091b5c6</t>
  </si>
  <si>
    <t>guys pulls container, services and puts back</t>
  </si>
  <si>
    <t>f025e9b0-299a-4df6-ba04-b204d90a7b3b</t>
  </si>
  <si>
    <t>561</t>
  </si>
  <si>
    <t>0728b158-42f4-4256-9e95-43c8fa1b74d4</t>
  </si>
  <si>
    <t>355</t>
  </si>
  <si>
    <t xml:space="preserve">gets out pulls containe out from small walkway </t>
  </si>
  <si>
    <t>7c7b1938-1fd8-4440-8a22-48dfc739a9be</t>
  </si>
  <si>
    <t xml:space="preserve">Howard </t>
  </si>
  <si>
    <t>0580a370-ca7b-4e97-a8bd-2dc643d1154f</t>
  </si>
  <si>
    <t>661</t>
  </si>
  <si>
    <t>37dc3166-9686-4505-8d76-25f576c5a8a7</t>
  </si>
  <si>
    <t>784</t>
  </si>
  <si>
    <t xml:space="preserve">garage, calls a security guard  </t>
  </si>
  <si>
    <t>75f4c5bd-5217-4636-a186-36b7aff52795</t>
  </si>
  <si>
    <t>140</t>
  </si>
  <si>
    <t xml:space="preserve">pull container with fork </t>
  </si>
  <si>
    <t>8c896db8-c781-4a14-bc0e-ac23876eb310</t>
  </si>
  <si>
    <t>161</t>
  </si>
  <si>
    <t>pull a sq orh fork, deives into lot allley</t>
  </si>
  <si>
    <t>0a615a9a-ef94-485d-9519-b8f168f039df</t>
  </si>
  <si>
    <t>67</t>
  </si>
  <si>
    <t>926da91d-1c5b-40c1-9db6-8fe2cc427194</t>
  </si>
  <si>
    <t>201/71</t>
  </si>
  <si>
    <t>4889d733-8e9d-4698-8a9c-b4208fb7d988</t>
  </si>
  <si>
    <t>66b3be48-8aeb-4815-8032-92b3c578e9aa</t>
  </si>
  <si>
    <t>2</t>
  </si>
  <si>
    <t xml:space="preserve">New Montgomery </t>
  </si>
  <si>
    <t>9ad7c768-14a5-494c-ab6c-783a39cea7ab</t>
  </si>
  <si>
    <t xml:space="preserve">pulls container </t>
  </si>
  <si>
    <t>40562dfa-cbab-4b03-9015-3a04aa06f12f</t>
  </si>
  <si>
    <t>9ea59f8e-69a2-4b04-baa5-4708fbc8c88a</t>
  </si>
  <si>
    <t>274</t>
  </si>
  <si>
    <t>ae12fc54-5fa1-42cb-a570-90dad89a7a32</t>
  </si>
  <si>
    <t>drives down parking lot</t>
  </si>
  <si>
    <t>6fb7d5d0-b6eb-4467-bf22-ec1b7835989e</t>
  </si>
  <si>
    <t>Dow Pl</t>
  </si>
  <si>
    <t>4495c9e6-a763-491a-9245-35e0ab79dcff</t>
  </si>
  <si>
    <t>625</t>
  </si>
  <si>
    <t>883d0142-45eb-4f74-aee1-1df950f77ede</t>
  </si>
  <si>
    <t>120</t>
  </si>
  <si>
    <t>2 locked container, 2 compactors pulls containers with fork gets out and services</t>
  </si>
  <si>
    <t>d4815698-6bc9-4063-aeb3-53d5406506c0</t>
  </si>
  <si>
    <t>580</t>
  </si>
  <si>
    <t>e6d1691a-2838-4051-bdcc-716f0ffe2317</t>
  </si>
  <si>
    <t>9176d1f2-fcdf-4824-a5a0-fd5ffa3b4597</t>
  </si>
  <si>
    <t>b148f166-133d-4f60-915d-ecebf3de2e73</t>
  </si>
  <si>
    <t>2704e42e-3d0a-4dba-86af-56ff921f351d</t>
  </si>
  <si>
    <t xml:space="preserve">2 locked containers, compactors </t>
  </si>
  <si>
    <t>8a880284-9502-45a5-89d3-23adb098cbf5</t>
  </si>
  <si>
    <t>923</t>
  </si>
  <si>
    <t>9227326b-19f3-4eb1-b36e-e669a3b76ead</t>
  </si>
  <si>
    <t>400</t>
  </si>
  <si>
    <t>Clementina St</t>
  </si>
  <si>
    <t>dcb434e2-7836-4205-94e6-189004ce8b3e</t>
  </si>
  <si>
    <t xml:space="preserve">Clementina St </t>
  </si>
  <si>
    <t>d927523f-ed03-41e8-b773-1fc84b06f3c7</t>
  </si>
  <si>
    <t>f7a84785-ecb0-4ffe-a9dc-e56835366c99</t>
  </si>
  <si>
    <t>1889046d-cc31-4c1d-bfa3-b09bf40539bf</t>
  </si>
  <si>
    <t>360</t>
  </si>
  <si>
    <t>4385de82-7533-45c1-ba0b-f6eaf228a479</t>
  </si>
  <si>
    <t xml:space="preserve">locked container compactor </t>
  </si>
  <si>
    <t>160862bc-60bc-45cb-8103-932f06d4d244</t>
  </si>
  <si>
    <t>Rizal</t>
  </si>
  <si>
    <t>81ce7eea-c7cb-4ec2-b540-74ff6598ea19</t>
  </si>
  <si>
    <t>399</t>
  </si>
  <si>
    <t>c50cb645-6d9b-4324-b24d-baac59301270</t>
  </si>
  <si>
    <t>795</t>
  </si>
  <si>
    <t>86b5aee4-af47-4649-888b-4fd1f792e61d</t>
  </si>
  <si>
    <t>inside dock, calls gaurd, has to exit lock to dump</t>
  </si>
  <si>
    <t>0a02b4aa-8203-4bec-8b1b-a1f6ffda2b9a</t>
  </si>
  <si>
    <t>has to enter driveway</t>
  </si>
  <si>
    <t>3dda0abc-e522-4e34-be8a-39538ea6df05</t>
  </si>
  <si>
    <t>ae0495e1-85ff-491b-8c3a-581a24aa14ba</t>
  </si>
  <si>
    <t>f8081aa8-4e69-42d7-aad8-62350fcb32f9</t>
  </si>
  <si>
    <t xml:space="preserve">locked enclosure, gets out and pulls container </t>
  </si>
  <si>
    <t>a54255b8-aff5-4b35-ab75-e334494e83df</t>
  </si>
  <si>
    <t>691</t>
  </si>
  <si>
    <t>goes outside pulls container</t>
  </si>
  <si>
    <t>403e2ce2-71ad-49e1-a547-4c570bf4d213</t>
  </si>
  <si>
    <t>750</t>
  </si>
  <si>
    <t>117d6d45-38ab-455d-a28f-1e564af437e1</t>
  </si>
  <si>
    <t>a2f0145a-868d-432f-99cf-863b4845659c</t>
  </si>
  <si>
    <t xml:space="preserve">loading dock, gets out pulls container </t>
  </si>
  <si>
    <t>91f5573a-672a-4804-9ad0-ea9723e8ec49</t>
  </si>
  <si>
    <t>a7e07d29-434c-406c-987a-56fee02d8810</t>
  </si>
  <si>
    <t>1330</t>
  </si>
  <si>
    <t>enclosure, alley</t>
  </si>
  <si>
    <t>40e6b508-5032-4490-bba7-c4370df3c985</t>
  </si>
  <si>
    <t>c8909255-a5c2-4384-a4c2-1af6c8dc2871</t>
  </si>
  <si>
    <t xml:space="preserve">Francisco </t>
  </si>
  <si>
    <t xml:space="preserve">gets out opens enclosure </t>
  </si>
  <si>
    <t>09eca3c6-ee25-445e-848d-4ba0d1611bff</t>
  </si>
  <si>
    <t xml:space="preserve">parking lot </t>
  </si>
  <si>
    <t>91f83941-1a43-4938-8694-ed1785e5473e</t>
  </si>
  <si>
    <t>1532c2fd-c0bb-4dbd-a6fd-30372e379bf1</t>
  </si>
  <si>
    <t>2524</t>
  </si>
  <si>
    <t xml:space="preserve">Lombard </t>
  </si>
  <si>
    <t xml:space="preserve">gets out and pulls container </t>
  </si>
  <si>
    <t>7aa471e5-7f8d-44ce-8825-9b016bd15463</t>
  </si>
  <si>
    <t>distance, parking lot</t>
  </si>
  <si>
    <t>e289c426-6a4a-4e38-a53d-2bf5c2c3207e</t>
  </si>
  <si>
    <t xml:space="preserve">pulls out 4 yr container </t>
  </si>
  <si>
    <t>5decb97f-cfbb-48a8-92ce-87cb51e436fd</t>
  </si>
  <si>
    <t>1152</t>
  </si>
  <si>
    <t>Gorgas Ave</t>
  </si>
  <si>
    <t xml:space="preserve">gets out and pulls container out of enclosure </t>
  </si>
  <si>
    <t>82559896-7835-4622-899e-24e13bf55cd2</t>
  </si>
  <si>
    <t>850</t>
  </si>
  <si>
    <t xml:space="preserve">locked enclosure </t>
  </si>
  <si>
    <t>10bee82b-3f37-4b1e-8e50-809f61588f11</t>
  </si>
  <si>
    <t>844acae3-73dd-4957-a594-6eaef77732d6</t>
  </si>
  <si>
    <t xml:space="preserve">Marina </t>
  </si>
  <si>
    <t>4 different spread out</t>
  </si>
  <si>
    <t>f4c93a4d-99e2-4056-8ae1-305aeb34703d</t>
  </si>
  <si>
    <t>Yacht Rd</t>
  </si>
  <si>
    <t>4693f02e-a137-4fba-909b-8b4f0baf642a</t>
  </si>
  <si>
    <t>locked containers, parking lot</t>
  </si>
  <si>
    <t>484ada0b-bdf8-40c0-bcfc-e8dfe09a7a69</t>
  </si>
  <si>
    <t>6aeb3fb0-2604-46aa-9efc-298e6e458943</t>
  </si>
  <si>
    <t>1029</t>
  </si>
  <si>
    <t>2f719ba3-7599-403f-9abf-9f9d7bebf250</t>
  </si>
  <si>
    <t>37</t>
  </si>
  <si>
    <t>04466a44-614c-4a52-a115-5976d9cf1409</t>
  </si>
  <si>
    <t>45337b24-777e-409c-9ed2-e12fdcd6e89b</t>
  </si>
  <si>
    <t xml:space="preserve">Moraga Ave </t>
  </si>
  <si>
    <t>e490a30c-ea1d-4c13-aef8-72420e873a99</t>
  </si>
  <si>
    <t>06d3c41e-80d6-4a1f-a364-fb4c70bb840a</t>
  </si>
  <si>
    <t>918ac91f-7554-4ecd-9e22-a893338dcc6b</t>
  </si>
  <si>
    <t>f84dc449-bc46-4339-873a-00c819fdef7e</t>
  </si>
  <si>
    <t>eb690c85-546e-43ab-9905-906c8958cc51</t>
  </si>
  <si>
    <t>1095</t>
  </si>
  <si>
    <t>7967762d-6674-4045-afd5-2a9bf9e9af0e</t>
  </si>
  <si>
    <t>1765</t>
  </si>
  <si>
    <t>calls customer</t>
  </si>
  <si>
    <t>72643245-8502-4504-b23f-4c02050d96be</t>
  </si>
  <si>
    <t>gets out or truck to pull c ok brainers, svc alley</t>
  </si>
  <si>
    <t>55a63d61-eae9-4ce2-82f6-29dbcd0a5cdd</t>
  </si>
  <si>
    <t>650c3850-28d9-4307-b22b-4f42762d48d8</t>
  </si>
  <si>
    <t>1a9e16d7-c0a4-4a4d-95c9-0167958d027f</t>
  </si>
  <si>
    <t>a27cae3b-eaf5-4587-b82c-a02af2460d8c</t>
  </si>
  <si>
    <t>933a90d2-4aaa-498c-b90d-1cb8ab70ea8c</t>
  </si>
  <si>
    <t>84da302e-1eaa-48ce-8678-7364d17c1f42</t>
  </si>
  <si>
    <t>gets out pulls container</t>
  </si>
  <si>
    <t>6a8d75b9-418e-4bfb-865e-f88755d8cc66</t>
  </si>
  <si>
    <t>3b99df6e-2d83-42ee-9cb8-cb3b139fda19</t>
  </si>
  <si>
    <t>1b51b3f6-72c6-44f7-96d9-bd47a2878ef7</t>
  </si>
  <si>
    <t>15e39d38-0fd2-4656-a805-e7926c4a8ea4</t>
  </si>
  <si>
    <t>0729c8c0-4b15-4b16-9a9a-94605b490492</t>
  </si>
  <si>
    <t>87ccea9f-580b-4ef3-8c57-d91f9d7dc411</t>
  </si>
  <si>
    <t>9e79c567-2808-4148-8d50-f1e506e85aa8</t>
  </si>
  <si>
    <t>460</t>
  </si>
  <si>
    <t>Davis</t>
  </si>
  <si>
    <t>b4b97d5c-815f-4e26-91fd-1844041f58a1</t>
  </si>
  <si>
    <t>cc790a5f-cbea-4618-8eef-b10f0edce4f7</t>
  </si>
  <si>
    <t xml:space="preserve">behind gate enclosure, closed gate after servicing </t>
  </si>
  <si>
    <t>54a943ac-288d-436d-bcd2-84249f153e1f</t>
  </si>
  <si>
    <t>Fisher loop</t>
  </si>
  <si>
    <t>48cb9cbd-7364-4a89-94cd-fb336af2f594</t>
  </si>
  <si>
    <t>926</t>
  </si>
  <si>
    <t xml:space="preserve">behind gste </t>
  </si>
  <si>
    <t>aaee31dc-8598-442a-a2a7-4390cd4c6e2b</t>
  </si>
  <si>
    <t>Golden Gate Bridge</t>
  </si>
  <si>
    <t>calls customer, opens gate, drives down narrow ramp, has to wait for customer to open gate</t>
  </si>
  <si>
    <t>3e8633b4-0c3b-4b39-b04f-aba65c0f60e2</t>
  </si>
  <si>
    <t>643</t>
  </si>
  <si>
    <t>ae36d1cb-b7bf-4536-b57c-585ec9e4da31</t>
  </si>
  <si>
    <t>1227</t>
  </si>
  <si>
    <t>Ruckman</t>
  </si>
  <si>
    <t>f24c61c2-113d-41d9-9113-4c2643204c0a</t>
  </si>
  <si>
    <t>8bdc697d-6d5c-4006-a29a-78bbba7ecb9b</t>
  </si>
  <si>
    <t>c8a8654e-383c-415f-a028-093227a9948e</t>
  </si>
  <si>
    <t xml:space="preserve">backs up in reverse </t>
  </si>
  <si>
    <t>c2d034f9-63cb-4af2-a2c6-d0ec62b9e128</t>
  </si>
  <si>
    <t>8c1dc92b-0a6b-4f48-b757-e70292993302</t>
  </si>
  <si>
    <t>3ba5725e-864e-4012-b9cb-de52592a0c45</t>
  </si>
  <si>
    <t>23114484-2f3a-4661-b8ba-45319697a575</t>
  </si>
  <si>
    <t>1549</t>
  </si>
  <si>
    <t>62b04c77-1fb3-4105-bb23-af6bb7dbe635</t>
  </si>
  <si>
    <t>ab3640d6-4131-48ab-82eb-d3ccb8c6ec55</t>
  </si>
  <si>
    <t>4ccc23f7-b1dc-486d-8da6-e511b10318b2</t>
  </si>
  <si>
    <t>b3c19efc-25aa-4341-bbda-7e5beae4ed64</t>
  </si>
  <si>
    <t>55c4d76d-3107-4f95-9431-7b0c106d750c</t>
  </si>
  <si>
    <t>2737658a-249e-4604-8c3e-9519526b6a5b</t>
  </si>
  <si>
    <t>177d5f26-4b14-480c-93f5-87ca155b9088</t>
  </si>
  <si>
    <t>bb035bef-61f6-43f3-af6c-a7fe30def175</t>
  </si>
  <si>
    <t>34da4069-1961-40c8-820e-3108fbfe7d93</t>
  </si>
  <si>
    <t>2c5fca71-aff8-4eda-a851-b0f6c49b3bdd</t>
  </si>
  <si>
    <t>c4973a5e-7713-47d8-8a02-45fa87003407</t>
  </si>
  <si>
    <t>864007d4-e646-45c3-9e9c-dd2c4a864f50</t>
  </si>
  <si>
    <t>bb0384b0-e0a5-496b-9b46-a30f102a3e38</t>
  </si>
  <si>
    <t>44feeaac-4f15-46df-bf7e-3eba70138ee3</t>
  </si>
  <si>
    <t>69c14153-4715-471a-a91f-8c72ea03f797</t>
  </si>
  <si>
    <t>33ef1061-898b-4a27-91ef-a7a138d6adde</t>
  </si>
  <si>
    <t>9c1efbde-fe7c-4d24-abcc-c02f68ecc523</t>
  </si>
  <si>
    <t>0ff31f71-ee1a-421f-a4ce-f370794f2e15</t>
  </si>
  <si>
    <t>1af9a71a-808e-4415-8e9c-f0d75b273e74</t>
  </si>
  <si>
    <t>0841ea38-99ed-43ce-a19e-0d4546535152</t>
  </si>
  <si>
    <t>08027c51-11da-4c94-a783-1c01dcdb6b25</t>
  </si>
  <si>
    <t>72240448-6a79-429a-9f17-2f33c230b32e</t>
  </si>
  <si>
    <t>c8d38eaa-2b5e-4ad0-8d0e-af3482a2154b</t>
  </si>
  <si>
    <t>Lincoln Blvd</t>
  </si>
  <si>
    <t>9dbbbc8b-5867-416f-9738-3653e52871fe</t>
  </si>
  <si>
    <t>1801</t>
  </si>
  <si>
    <t>Hays</t>
  </si>
  <si>
    <t>ab3ada01-24a6-4b7a-a23a-4cca9b7b3e51</t>
  </si>
  <si>
    <t>3334</t>
  </si>
  <si>
    <t>c280139f-b475-47ed-9fe7-82e09f58a363</t>
  </si>
  <si>
    <t>3344</t>
  </si>
  <si>
    <t>093a7855-2127-4a10-808d-e4bde34d07be</t>
  </si>
  <si>
    <t>2026</t>
  </si>
  <si>
    <t>43dc67cd-5690-4825-90c9-313d6273c82a</t>
  </si>
  <si>
    <t>2030</t>
  </si>
  <si>
    <t>328476fe-aeed-4a60-b3c6-aa3fb0d15336</t>
  </si>
  <si>
    <t>2066</t>
  </si>
  <si>
    <t>eaa728ea-6fa5-41cc-8407-00c2a7a06544</t>
  </si>
  <si>
    <t>2086</t>
  </si>
  <si>
    <t>ad2cc0ab-016e-4e7e-83d1-c05794e9effd</t>
  </si>
  <si>
    <t>b5ab1568-c809-49db-b339-989ac442c043</t>
  </si>
  <si>
    <t>2132</t>
  </si>
  <si>
    <t xml:space="preserve">32 is city can </t>
  </si>
  <si>
    <t>0760717c-af4b-4e63-8add-945395c3d6a1</t>
  </si>
  <si>
    <t>2234</t>
  </si>
  <si>
    <t>d7794338-188a-4da8-9e68-d5e88678ff7f</t>
  </si>
  <si>
    <t>d95d9037-854e-40e2-b2ae-791ef473e9cc</t>
  </si>
  <si>
    <t>2277</t>
  </si>
  <si>
    <t>a2a0008c-aef2-41ef-baac-ab79e7a3c541</t>
  </si>
  <si>
    <t>2263</t>
  </si>
  <si>
    <t>1a736cc5-0c30-4566-b2ce-5594af2df31f</t>
  </si>
  <si>
    <t>2231</t>
  </si>
  <si>
    <t>a2322b6b-088b-4043-bdee-7261122c19a5</t>
  </si>
  <si>
    <t>3f2c5708-39f8-4575-bace-3c8817763bff</t>
  </si>
  <si>
    <t>2215</t>
  </si>
  <si>
    <t>471b59b6-aa0b-4023-b2bf-2536a237f9d3</t>
  </si>
  <si>
    <t>2197</t>
  </si>
  <si>
    <t>b93a7bbf-7d52-4abb-80f1-b60cdc197852</t>
  </si>
  <si>
    <t>2175</t>
  </si>
  <si>
    <t>8ded9c11-988f-4f08-9b21-af9912a6d878</t>
  </si>
  <si>
    <t>2141</t>
  </si>
  <si>
    <t>73da2bb4-9e2b-42d6-9d9f-a3cebf2d4381</t>
  </si>
  <si>
    <t>7da7c68c-061f-4222-bda3-6866a7735d3d</t>
  </si>
  <si>
    <t>2109</t>
  </si>
  <si>
    <t>abef1edb-42e0-40bb-8ca4-f492d34c524b</t>
  </si>
  <si>
    <t>ad2aba62-2b58-4d66-8a57-8a32884c05f8</t>
  </si>
  <si>
    <t>55a2bc11-3169-4ac3-b2b6-955dbafee8c2</t>
  </si>
  <si>
    <t>2031</t>
  </si>
  <si>
    <t>f2cca82c-7571-4065-b7f0-09fcef666760</t>
  </si>
  <si>
    <t>3347</t>
  </si>
  <si>
    <t>e6ae3cb9-75ea-4715-baf4-cc40da577ce3</t>
  </si>
  <si>
    <t>3345</t>
  </si>
  <si>
    <t>88fd8798-8cc3-4d16-86e6-7ef2f9181903</t>
  </si>
  <si>
    <t>3315</t>
  </si>
  <si>
    <t>6deb15ce-faf5-4578-9a90-7e1f06a8a310</t>
  </si>
  <si>
    <t>2150</t>
  </si>
  <si>
    <t>16f93c92-15f7-4593-8026-c9ea7f601d2b</t>
  </si>
  <si>
    <t>3314</t>
  </si>
  <si>
    <t>dae42a87-798b-4afd-8066-a91585cded92</t>
  </si>
  <si>
    <t>3340</t>
  </si>
  <si>
    <t>0aa874ac-ab3e-4f4c-ad82-0ac48234d8cb</t>
  </si>
  <si>
    <t>3348</t>
  </si>
  <si>
    <t>2ae2d266-860e-4679-a41d-88c075b2ab2f</t>
  </si>
  <si>
    <t>3352</t>
  </si>
  <si>
    <t>1e9da2a2-0360-4cae-84e6-6e8e8e518da8</t>
  </si>
  <si>
    <t>3251/3259</t>
  </si>
  <si>
    <t>d5d0253c-15f3-451a-945c-70c7c5ab1d32</t>
  </si>
  <si>
    <t>3247</t>
  </si>
  <si>
    <t>e30b5d84-a159-42db-aa45-8807be456070</t>
  </si>
  <si>
    <t>3237</t>
  </si>
  <si>
    <t>805ee10f-a630-4985-af23-a7a548b69689</t>
  </si>
  <si>
    <t>3231</t>
  </si>
  <si>
    <t>7781018c-a717-4878-942f-9a6428a70359</t>
  </si>
  <si>
    <t>2346</t>
  </si>
  <si>
    <t>1e9912c6-d1dc-4fdd-99b8-3a8a7b33b29d</t>
  </si>
  <si>
    <t>2386</t>
  </si>
  <si>
    <t xml:space="preserve">Narrow long walkway </t>
  </si>
  <si>
    <t>4af19f6f-8f45-4a82-a7b1-a969b52c270b</t>
  </si>
  <si>
    <t>3339/3345</t>
  </si>
  <si>
    <t>c110f2cb-36e6-406b-856c-2f6d2b5afe4c</t>
  </si>
  <si>
    <t>3321/3317</t>
  </si>
  <si>
    <t>eedfd8f3-b498-47e0-9643-d0f47441315b</t>
  </si>
  <si>
    <t>196cc8cc-2d3c-473f-9565-87f35bbeb4fc</t>
  </si>
  <si>
    <t>ac20794a-e977-4158-8330-dd80fadd521f</t>
  </si>
  <si>
    <t>2272/2246</t>
  </si>
  <si>
    <t>ceebaeaa-d3b4-4de6-a8ca-d7f8ea7b8747</t>
  </si>
  <si>
    <t>3330</t>
  </si>
  <si>
    <t>Serviced on Toledo</t>
  </si>
  <si>
    <t>0fc78010-129d-4d00-ae67-12c76efc36ba</t>
  </si>
  <si>
    <t>Toledo</t>
  </si>
  <si>
    <t>14dcdc86-1087-4aa9-848e-3cae63aaf276</t>
  </si>
  <si>
    <t>69</t>
  </si>
  <si>
    <t>ca4b544b-e602-452a-984d-3c4e55f8e3d3</t>
  </si>
  <si>
    <t>58</t>
  </si>
  <si>
    <t>1ec49c05-56fb-48f9-ba8a-f419ceb09c27</t>
  </si>
  <si>
    <t>41</t>
  </si>
  <si>
    <t>50564437-437c-4bc1-bf09-8ccd5d931f9f</t>
  </si>
  <si>
    <t>37/33</t>
  </si>
  <si>
    <t>c8051420-e485-40e9-b479-9d154ed5c954</t>
  </si>
  <si>
    <t>33</t>
  </si>
  <si>
    <t>44eaf23f-4154-44d0-a846-c59f981201b6</t>
  </si>
  <si>
    <t>86728f7a-0bb2-453d-be9a-8c6fbc0bdbfb</t>
  </si>
  <si>
    <t xml:space="preserve">Serviced Mallorca narrow walkway </t>
  </si>
  <si>
    <t>390be8bd-d184-495c-94b4-4174cafb970b</t>
  </si>
  <si>
    <t>165/160</t>
  </si>
  <si>
    <t>Narrow dark walkway/ narrow walkway</t>
  </si>
  <si>
    <t>33042d3a-b888-4cda-84cc-5b766aa15da1</t>
  </si>
  <si>
    <t>61f50926-50ae-42d6-888b-86c76c49774e</t>
  </si>
  <si>
    <t>27</t>
  </si>
  <si>
    <t>abff2525-8577-4723-881f-bdadf20aaa40</t>
  </si>
  <si>
    <t>180</t>
  </si>
  <si>
    <t>Serviced on Mallorca</t>
  </si>
  <si>
    <t>bd6df1d5-98dc-4543-a27b-010f44f75709</t>
  </si>
  <si>
    <t>516f4307-fc50-4b5a-89fc-f7484af43772</t>
  </si>
  <si>
    <t>15</t>
  </si>
  <si>
    <t>Garage not working</t>
  </si>
  <si>
    <t>83327b03-9fbc-42a3-ac27-f6ea151f9edb</t>
  </si>
  <si>
    <t>3575</t>
  </si>
  <si>
    <t>976e478e-cc4c-46d9-ba89-8d0026eef3eb</t>
  </si>
  <si>
    <t>3565</t>
  </si>
  <si>
    <t>6b2911f0-d993-4c9f-bbe6-d33abe79dae4</t>
  </si>
  <si>
    <t>3535</t>
  </si>
  <si>
    <t>da61385c-926c-4b10-a39a-6e0466879645</t>
  </si>
  <si>
    <t>85f93eeb-f593-4305-9fa3-bc31a2bc001a</t>
  </si>
  <si>
    <t>3501</t>
  </si>
  <si>
    <t>c0561091-feb3-490b-b6dc-0b831ec0a2c4</t>
  </si>
  <si>
    <t>3455</t>
  </si>
  <si>
    <t>cb0671b4-dbd1-4627-aa25-11abcab4bec4</t>
  </si>
  <si>
    <t>3423</t>
  </si>
  <si>
    <t>Narrow long walkway</t>
  </si>
  <si>
    <t>9fe674d2-ecc0-4279-a359-330c4e9f69a7</t>
  </si>
  <si>
    <t>Services on Fillmore / long path way to get to toters</t>
  </si>
  <si>
    <t>3077ee9c-3edc-4ee3-a003-ebe831134354</t>
  </si>
  <si>
    <t>96</t>
  </si>
  <si>
    <t>Serviced on Pierce</t>
  </si>
  <si>
    <t>90a2af88-bafc-468e-953c-5e10cd612ec1</t>
  </si>
  <si>
    <t>1994c444-77d0-48b8-b5e8-bf608ad80cf0</t>
  </si>
  <si>
    <t>20</t>
  </si>
  <si>
    <t>1b6515ca-06f7-4dec-bd84-dfe1c30e1026</t>
  </si>
  <si>
    <t>36</t>
  </si>
  <si>
    <t>65fe6231-3fc3-4e83-b7c0-95c0c5fe73f9</t>
  </si>
  <si>
    <t xml:space="preserve">44 </t>
  </si>
  <si>
    <t xml:space="preserve">Mallorca </t>
  </si>
  <si>
    <t>ec29ffc5-b48a-447f-87c7-ba4ac224546c</t>
  </si>
  <si>
    <t>48</t>
  </si>
  <si>
    <t>318fccd3-a78f-4bf4-9ffb-6b928f760a8c</t>
  </si>
  <si>
    <t>52</t>
  </si>
  <si>
    <t>f8b1a8d8-ee18-4440-844a-c9c7bb0672d8</t>
  </si>
  <si>
    <t>68</t>
  </si>
  <si>
    <t>63994fc5-09f0-431e-9549-6ffa5e869ff0</t>
  </si>
  <si>
    <t>72</t>
  </si>
  <si>
    <t>0ae7d2a0-3bd2-4d9e-a097-0a84f0a3e3fd</t>
  </si>
  <si>
    <t>Serviced on pierce</t>
  </si>
  <si>
    <t>5199b45f-238b-4ec6-8559-2e3574d2bd22</t>
  </si>
  <si>
    <t>75</t>
  </si>
  <si>
    <t xml:space="preserve">Services in Pierce </t>
  </si>
  <si>
    <t>e9939432-afde-4e3e-98d7-e5b39d9afa2b</t>
  </si>
  <si>
    <t xml:space="preserve">50 </t>
  </si>
  <si>
    <t xml:space="preserve">Services on Pierce / narrow walkway </t>
  </si>
  <si>
    <t>98502532-658f-4940-889d-82cc13488e8c</t>
  </si>
  <si>
    <t>3514</t>
  </si>
  <si>
    <t>ae26b0bf-71e8-41fd-81ff-8b7a0348b607</t>
  </si>
  <si>
    <t>3522</t>
  </si>
  <si>
    <t>eb07b17b-ad79-42c8-853d-e4d381b483d9</t>
  </si>
  <si>
    <t>3526</t>
  </si>
  <si>
    <t>dee702ba-8442-4134-8ebd-b9d67c911ce2</t>
  </si>
  <si>
    <t>3540</t>
  </si>
  <si>
    <t>255c40aa-855b-49cf-8ec6-0097ed4b977a</t>
  </si>
  <si>
    <t>3560</t>
  </si>
  <si>
    <t>2c15d9b9-f548-4ab1-a533-081b5c949ebe</t>
  </si>
  <si>
    <t>3570</t>
  </si>
  <si>
    <t xml:space="preserve">Narrow long  walkway </t>
  </si>
  <si>
    <t>c5ffa245-6425-43a4-baf2-1d82d03b21c2</t>
  </si>
  <si>
    <t>3572</t>
  </si>
  <si>
    <t>cf6e59a1-9929-4d81-8b11-7f0f64407222</t>
  </si>
  <si>
    <t>3578</t>
  </si>
  <si>
    <t>8ecb798b-611d-410c-9ae4-e48029ae50e2</t>
  </si>
  <si>
    <t>3590</t>
  </si>
  <si>
    <t>a843206a-21fd-46a4-a005-a0bba4cf701a</t>
  </si>
  <si>
    <t xml:space="preserve">Narrow walkway </t>
  </si>
  <si>
    <t>ca87567b-1da6-4dce-bcb3-1cc7410a1865</t>
  </si>
  <si>
    <t>30</t>
  </si>
  <si>
    <t>e76908ba-fcca-4ddc-b065-c37e706e64cc</t>
  </si>
  <si>
    <t>529e02f0-cd4d-4ff9-8672-9b5bb8f98054</t>
  </si>
  <si>
    <t>45</t>
  </si>
  <si>
    <t>ee388cae-0cae-4736-811a-40f78e1a6d97</t>
  </si>
  <si>
    <t>5</t>
  </si>
  <si>
    <t>f61aaeff-ffce-4bb3-9c06-95e2e20fe629</t>
  </si>
  <si>
    <t>11228951-7eb4-4cf9-9622-61dbf2a48519</t>
  </si>
  <si>
    <t>3579</t>
  </si>
  <si>
    <t>eb19cf10-566c-4064-a521-5be9d4f3399e</t>
  </si>
  <si>
    <t>ab4d168e-2c58-48f5-99d4-d4a4ee22412c</t>
  </si>
  <si>
    <t>3567</t>
  </si>
  <si>
    <t>f5d3ed18-4cff-4add-a367-223e4850c76a</t>
  </si>
  <si>
    <t>3555/3563</t>
  </si>
  <si>
    <t>9ad5a2fd-7421-4b94-b4f2-5a71dcd23b0a</t>
  </si>
  <si>
    <t>3537</t>
  </si>
  <si>
    <t>14c1c2cc-f1c6-4ca8-9235-ab675855e662</t>
  </si>
  <si>
    <t>3519</t>
  </si>
  <si>
    <t>1ffc56ae-0258-4e94-87a5-d5b1ca19e4f1</t>
  </si>
  <si>
    <t>3517</t>
  </si>
  <si>
    <t>68f54531-a522-47ba-ab2d-8db7aac91ef8</t>
  </si>
  <si>
    <t>3481</t>
  </si>
  <si>
    <t>3670e2f7-8128-4c1b-9f97-4636a29ca456</t>
  </si>
  <si>
    <t>ddb0450f-39aa-4fa3-8675-75e946681d38</t>
  </si>
  <si>
    <t>3445</t>
  </si>
  <si>
    <t>596c559c-48be-4e8f-abed-d89c72bf4478</t>
  </si>
  <si>
    <t>3415</t>
  </si>
  <si>
    <t>6b29aec8-07a1-4751-bc4f-0a45b6370f99</t>
  </si>
  <si>
    <t xml:space="preserve">200 </t>
  </si>
  <si>
    <t xml:space="preserve">Alhambra </t>
  </si>
  <si>
    <t>bdc1aa08-e96d-4d02-8467-1ae80511840b</t>
  </si>
  <si>
    <t>51</t>
  </si>
  <si>
    <t>afec01de-bd82-4970-8098-7373374e97da</t>
  </si>
  <si>
    <t xml:space="preserve">Construction </t>
  </si>
  <si>
    <t>70ac9702-9058-4baa-984e-71b0dc3cf3e3</t>
  </si>
  <si>
    <t>225</t>
  </si>
  <si>
    <t>6412972c-9e5c-40dd-94b3-65a37d8283ad</t>
  </si>
  <si>
    <t xml:space="preserve">Narro walkway services on mallorca </t>
  </si>
  <si>
    <t>5593795e-c599-458a-a71e-b3c1e0624a05</t>
  </si>
  <si>
    <t>60120e58-8711-418c-ad08-6edad07e3878</t>
  </si>
  <si>
    <t>190</t>
  </si>
  <si>
    <t>3420011a-8fe3-4686-b651-8f4b1de48894</t>
  </si>
  <si>
    <t>1825</t>
  </si>
  <si>
    <t>8c6dcab6-f86b-4208-8f61-7ab07d4451ee</t>
  </si>
  <si>
    <t>3600</t>
  </si>
  <si>
    <t>a02c6a65-f340-4eaf-a606-3079af55c083</t>
  </si>
  <si>
    <t>1695</t>
  </si>
  <si>
    <t>Service in fillmore</t>
  </si>
  <si>
    <t>2dc78fca-205a-4f0d-bf89-467be66d93a8</t>
  </si>
  <si>
    <t>1690</t>
  </si>
  <si>
    <t xml:space="preserve">Service on Fillmore </t>
  </si>
  <si>
    <t>5be789eb-f1c6-494d-8eac-235b46cf4019</t>
  </si>
  <si>
    <t>3720</t>
  </si>
  <si>
    <t>97ae1b35-c373-433a-9431-1c664344bd83</t>
  </si>
  <si>
    <t xml:space="preserve">Service on fillmore </t>
  </si>
  <si>
    <t>28e5d8c6-fbdc-4097-a2e2-80a9f429e2da</t>
  </si>
  <si>
    <t>3737</t>
  </si>
  <si>
    <t>3e66aa98-e48b-40b1-b18a-5f39798c5ece</t>
  </si>
  <si>
    <t>3727</t>
  </si>
  <si>
    <t>611bd1c1-3c32-4424-8166-f5c7524d2141</t>
  </si>
  <si>
    <t>3711</t>
  </si>
  <si>
    <t>7d9431c9-7213-469e-b435-5e8727763717</t>
  </si>
  <si>
    <t>Service on Fillmore</t>
  </si>
  <si>
    <t>131dad79-bfa1-4d84-bfb8-177121478d49</t>
  </si>
  <si>
    <t>3665</t>
  </si>
  <si>
    <t>8b3c837d-a495-4ed1-84c9-dfcba8a804a4</t>
  </si>
  <si>
    <t>3637</t>
  </si>
  <si>
    <t>8cb08789-1486-412a-bf64-aa3e550e944d</t>
  </si>
  <si>
    <t>84258619-cb96-4c38-bb99-31eecd2abdd6</t>
  </si>
  <si>
    <t>1745</t>
  </si>
  <si>
    <t>Narrow walkway long</t>
  </si>
  <si>
    <t>2ed574d8-3f7f-46fc-ba57-822546697b13</t>
  </si>
  <si>
    <t>0093b122-42c9-412b-824d-00cbdcda20f7</t>
  </si>
  <si>
    <t>1750</t>
  </si>
  <si>
    <t>Retiro</t>
  </si>
  <si>
    <t>969265ac-f743-41d6-ab3e-e54490bb5a5d</t>
  </si>
  <si>
    <t>83cf893c-924b-4795-9bb5-2e8960715a61</t>
  </si>
  <si>
    <t>a7162ca2-3f9b-41a4-9a13-e005dd4e657a</t>
  </si>
  <si>
    <t>2054</t>
  </si>
  <si>
    <t>33b9fae0-e230-4dc0-a34d-8ecc91099714</t>
  </si>
  <si>
    <t>1465</t>
  </si>
  <si>
    <t xml:space="preserve">Broadway </t>
  </si>
  <si>
    <t>c958799d-72a4-4c0e-ab6b-fb4991cf7fd9</t>
  </si>
  <si>
    <t xml:space="preserve">Broadway service </t>
  </si>
  <si>
    <t>2252bee8-0cca-44d2-b0de-d1242adc220d</t>
  </si>
  <si>
    <t>eb21854f-8d72-4c60-b3eb-6586eb52fa48</t>
  </si>
  <si>
    <t>b5ec0563-4e83-40d1-b0bc-73a5457bd213</t>
  </si>
  <si>
    <t>b8957b98-9287-496f-8fa1-b294923b501f</t>
  </si>
  <si>
    <t xml:space="preserve">Compactor not working properly </t>
  </si>
  <si>
    <t>42316c2c-5bdd-428c-8ca0-12460c375ba9</t>
  </si>
  <si>
    <t>e0384540-5f53-4530-a61b-fd16af435ae8</t>
  </si>
  <si>
    <t>079a0696-4944-4cb3-8d12-7d415b210276</t>
  </si>
  <si>
    <t>2354</t>
  </si>
  <si>
    <t>a66c7a18-11dd-44f1-88aa-40358b068173</t>
  </si>
  <si>
    <t>2360</t>
  </si>
  <si>
    <t xml:space="preserve">City can </t>
  </si>
  <si>
    <t>55113541-c6dd-4bf1-b1c9-4b3d1497457f</t>
  </si>
  <si>
    <t>0ee93805-003b-4b1d-a52f-ff06f44ffa50</t>
  </si>
  <si>
    <t>Narrow long walkway and empty toters</t>
  </si>
  <si>
    <t>0ebcf752-61e3-4a44-b506-1e6030c25ad9</t>
  </si>
  <si>
    <t>578b500f-40d5-4199-a31f-898bdbda4a65</t>
  </si>
  <si>
    <t>2436</t>
  </si>
  <si>
    <t>93412e23-1df3-42e6-bd9c-8b287918d1ac</t>
  </si>
  <si>
    <t>2446</t>
  </si>
  <si>
    <t xml:space="preserve">Stairs narrow walkway </t>
  </si>
  <si>
    <t>decbc84b-9cc8-4c35-be1d-0a8a7f99bcf4</t>
  </si>
  <si>
    <t>2458</t>
  </si>
  <si>
    <t>64b59169-c599-49dd-9961-c7dd14e46a30</t>
  </si>
  <si>
    <t>7e9cb03d-19f9-445b-95c2-fc8fb45bf270</t>
  </si>
  <si>
    <t>2435</t>
  </si>
  <si>
    <t>98742330-2901-4a8d-b42c-bf3e4cab1260</t>
  </si>
  <si>
    <t>cc4b3baf-f8fc-4aed-8c03-14c77cd35bc1</t>
  </si>
  <si>
    <t>be21207e-7552-4104-bd66-4d6d4ecc6e3d</t>
  </si>
  <si>
    <t>68c123aa-7958-4a7e-b81b-a20f2193a7a2</t>
  </si>
  <si>
    <t>2a87e5c3-ef95-4a5f-9ad6-019c869e974c</t>
  </si>
  <si>
    <t>28744c6a-ce05-4169-91cf-c19c59cd8074</t>
  </si>
  <si>
    <t>1562</t>
  </si>
  <si>
    <t xml:space="preserve">Serviced on bonita couldn't service one 96 heavy had water </t>
  </si>
  <si>
    <t>e2800f44-9938-4644-a202-dd5e62b9a89b</t>
  </si>
  <si>
    <t>10</t>
  </si>
  <si>
    <t>58df0a2e-6f85-4691-ae7c-5fc23bccf696</t>
  </si>
  <si>
    <t>7c55fc16-e6f5-4fc0-bc3e-faf57b64c696</t>
  </si>
  <si>
    <t xml:space="preserve">40 </t>
  </si>
  <si>
    <t>1c71c5c1-c61a-4917-a3e1-7e8baf22b0c1</t>
  </si>
  <si>
    <t>519ad6dd-f0c7-4a2e-844e-d6e598c35b2e</t>
  </si>
  <si>
    <t>2223</t>
  </si>
  <si>
    <t>b61f97fc-ed87-4f49-ad87-d530f49a392d</t>
  </si>
  <si>
    <t>2163</t>
  </si>
  <si>
    <t>32 city can</t>
  </si>
  <si>
    <t>e7024f14-1839-4bd0-8776-984cea716855</t>
  </si>
  <si>
    <t>2127</t>
  </si>
  <si>
    <t>b73b405b-a4af-40c1-a632-633f37ac4fa1</t>
  </si>
  <si>
    <t>2139</t>
  </si>
  <si>
    <t>5855bb1c-16ef-4b8a-9c09-f90a2d63aa85</t>
  </si>
  <si>
    <t>2123</t>
  </si>
  <si>
    <t>feb8e3ae-5790-4532-bf1a-bf582ea92db1</t>
  </si>
  <si>
    <t>82b24894-db01-4356-b347-1b3ff071a4f3</t>
  </si>
  <si>
    <t>03e2a1a2-f4b7-49e7-83b1-cb6ac26ff0cf</t>
  </si>
  <si>
    <t>d11e3f6d-2d68-42e0-be8c-fc4702718cc8</t>
  </si>
  <si>
    <t>2023</t>
  </si>
  <si>
    <t xml:space="preserve">narrow walkway  with stairs </t>
  </si>
  <si>
    <t>75271727-107f-411c-96cb-d2014b589c7a</t>
  </si>
  <si>
    <t>a492f5c7-840c-4860-8a02-6662a5bec4fa</t>
  </si>
  <si>
    <t>1648</t>
  </si>
  <si>
    <t>28fda817-fb90-4191-a3e7-5676266a0bef</t>
  </si>
  <si>
    <t>6cb62651-b357-453a-bef4-47ab2362a65d</t>
  </si>
  <si>
    <t>serviced on pacific</t>
  </si>
  <si>
    <t>02a86748-179c-4f1f-9210-42e8fc037d0e</t>
  </si>
  <si>
    <t>parked on opposite side / city can</t>
  </si>
  <si>
    <t>9a3d7b29-c0ab-415c-87b6-2b3fcbfc15ec</t>
  </si>
  <si>
    <t>1590</t>
  </si>
  <si>
    <t>1c59f38b-6ffc-4875-be3e-21d5810ac4ce</t>
  </si>
  <si>
    <t>2260</t>
  </si>
  <si>
    <t>63331f09-7420-4e0c-bd9a-94d0b19c9c54</t>
  </si>
  <si>
    <t>29a10830-0bac-4e22-9414-edaf16e76d46</t>
  </si>
  <si>
    <t>1565</t>
  </si>
  <si>
    <t>3543e7a2-02c3-4da3-8fce-134d5306d872</t>
  </si>
  <si>
    <t>driver had wrong key/ long narrow walkway</t>
  </si>
  <si>
    <t>d5380d69-dfbd-4533-9d38-c4b3ead67ef6</t>
  </si>
  <si>
    <t>89a1ee35-8b34-4d6d-b8d9-36d27e7a7a43</t>
  </si>
  <si>
    <t>45ae720c-0b56-42a9-86f7-ab2fa372368e</t>
  </si>
  <si>
    <t>e52c7009-e760-490b-8b34-58cc0ba4342d</t>
  </si>
  <si>
    <t>11dc4305-6235-474b-93fe-00c2456d21ea</t>
  </si>
  <si>
    <t>1810</t>
  </si>
  <si>
    <t>long driveway with ramp toters far from garage entrance</t>
  </si>
  <si>
    <t>bc13ee01-aaff-49e2-a085-feaa58cafcb2</t>
  </si>
  <si>
    <t>1901</t>
  </si>
  <si>
    <t xml:space="preserve">serviced on pacific </t>
  </si>
  <si>
    <t>303ec645-7157-4a66-8bd8-09bb3eeebd6f</t>
  </si>
  <si>
    <t>8d66f674-b9a6-4d29-ba08-278dfc12c368</t>
  </si>
  <si>
    <t>1536</t>
  </si>
  <si>
    <t>a112cf52-b29b-4820-85f2-a9f0e4941be1</t>
  </si>
  <si>
    <t>long driveway with ramp</t>
  </si>
  <si>
    <t>09389fd0-42bc-4a19-aacb-b64f9c7e1c30</t>
  </si>
  <si>
    <t>1544</t>
  </si>
  <si>
    <t>5cb56a93-eae4-4e60-a0f4-30465c144d55</t>
  </si>
  <si>
    <t>1560</t>
  </si>
  <si>
    <t>5399b396-1866-4d87-913f-3de6db2e876a</t>
  </si>
  <si>
    <t>1391</t>
  </si>
  <si>
    <t>b6cc9e2e-e02e-4027-b9bc-063eb973edf3</t>
  </si>
  <si>
    <t xml:space="preserve">Y </t>
  </si>
  <si>
    <t>narrow walkway with stairs</t>
  </si>
  <si>
    <t>2a65b1db-e0f1-43e4-8ebe-260e404c645c</t>
  </si>
  <si>
    <t>1367</t>
  </si>
  <si>
    <t>4aa62999-a161-46a1-9c4f-da643e9a63eb</t>
  </si>
  <si>
    <t>7f9fd168-0361-44d3-b453-375827b7d45e</t>
  </si>
  <si>
    <t>1347-1359</t>
  </si>
  <si>
    <t>f9ceb860-4974-4e6a-837f-7d96172518a7</t>
  </si>
  <si>
    <t>1339</t>
  </si>
  <si>
    <t>cbe68566-577f-4dae-8058-6de8a9b53f2e</t>
  </si>
  <si>
    <t>1329</t>
  </si>
  <si>
    <t>6eec4e7c-bdb5-4672-89e9-9501f6623274</t>
  </si>
  <si>
    <t>1325</t>
  </si>
  <si>
    <t>no</t>
  </si>
  <si>
    <t>a5d2d1b0-5878-41d0-b461-ee62ec7d2597</t>
  </si>
  <si>
    <t>1317</t>
  </si>
  <si>
    <t>6a14027b-9a25-408a-8121-1d251b5bf7e7</t>
  </si>
  <si>
    <t>1310</t>
  </si>
  <si>
    <t>11cbe472-3dcd-41fe-8956-24838e8560e9</t>
  </si>
  <si>
    <t>1320</t>
  </si>
  <si>
    <t>8d532e6d-ebc4-43cd-93bd-efd2598b09b6</t>
  </si>
  <si>
    <t>1340</t>
  </si>
  <si>
    <t>1df2302b-f655-454b-92e8-0be9af05348b</t>
  </si>
  <si>
    <t>1352</t>
  </si>
  <si>
    <t>60dd7be4-ff74-483a-9e23-ab410942463a</t>
  </si>
  <si>
    <t>1358</t>
  </si>
  <si>
    <t>f60a3464-79fd-4267-93d8-a311b1405504</t>
  </si>
  <si>
    <t>1364</t>
  </si>
  <si>
    <t>11fa568a-70cb-480e-8fa5-35bf53e8f949</t>
  </si>
  <si>
    <t>1372</t>
  </si>
  <si>
    <t>bcdd7500-a0e2-4b23-8c72-4ed1114c66b3</t>
  </si>
  <si>
    <t>1378</t>
  </si>
  <si>
    <t>6352e053-ae57-41fc-bcf2-3d45ea457c50</t>
  </si>
  <si>
    <t xml:space="preserve">1536 </t>
  </si>
  <si>
    <t>25adbc27-62d9-456a-8277-5ee2201f2752</t>
  </si>
  <si>
    <t>6549fd31-027e-43b0-bc5f-d8317eab499d</t>
  </si>
  <si>
    <t>1546</t>
  </si>
  <si>
    <t>d52cf9a3-d7bf-4381-9290-c60278e81189</t>
  </si>
  <si>
    <t>1554</t>
  </si>
  <si>
    <t>4e185ca5-1674-4412-86f5-943b5ca1ad3b</t>
  </si>
  <si>
    <t xml:space="preserve">toter was empty </t>
  </si>
  <si>
    <t>399d290d-f3fe-4a71-ba64-9b1f929bc442</t>
  </si>
  <si>
    <t>2350/52</t>
  </si>
  <si>
    <t>cc539a86-1662-44ac-94f5-d896bde8adb5</t>
  </si>
  <si>
    <t>1459</t>
  </si>
  <si>
    <t>b71a4f12-6207-4044-aa5a-e85d9b61ebe9</t>
  </si>
  <si>
    <t>1445</t>
  </si>
  <si>
    <t>762346ad-d7cc-4939-925e-a0d2e38c03b9</t>
  </si>
  <si>
    <t>1439</t>
  </si>
  <si>
    <t>085288b9-467e-4a79-9d12-198f58e53b54</t>
  </si>
  <si>
    <t>1435</t>
  </si>
  <si>
    <t>79d016b9-903c-4d10-92b1-0fa8ed9e2692</t>
  </si>
  <si>
    <t>1429</t>
  </si>
  <si>
    <t>c78f1cb3-3343-41f1-95b3-dcf53943268d</t>
  </si>
  <si>
    <t>0989aaca-4fb7-44ac-b855-a94069e5887c</t>
  </si>
  <si>
    <t>2254</t>
  </si>
  <si>
    <t xml:space="preserve">stairs </t>
  </si>
  <si>
    <t>027055dd-e717-4e85-a2fb-2e3cb6f7d890</t>
  </si>
  <si>
    <t>1353</t>
  </si>
  <si>
    <t>3010f5ce-bfa9-4cc7-b42a-4ef72f022b56</t>
  </si>
  <si>
    <t>96a28c6b-e025-497c-bfd8-aa9c9331f5e6</t>
  </si>
  <si>
    <t>1341</t>
  </si>
  <si>
    <t>de17d198-a0f0-4097-ba75-0e34083f4679</t>
  </si>
  <si>
    <t>1331</t>
  </si>
  <si>
    <t>9d2ec6da-17af-47fd-9b9f-9303b395deb0</t>
  </si>
  <si>
    <t>bbe8d7c6-9389-45c9-bafb-49b1e780fa4c</t>
  </si>
  <si>
    <t xml:space="preserve">serviced on green </t>
  </si>
  <si>
    <t>6eba7973-9d58-45b5-a935-645c66e50f69</t>
  </si>
  <si>
    <t>1216</t>
  </si>
  <si>
    <t>482e435b-132e-4435-ad3d-9087ff9d4e68</t>
  </si>
  <si>
    <t>1224</t>
  </si>
  <si>
    <t>300e027b-f563-4377-8dd8-48593af8bf29</t>
  </si>
  <si>
    <t>1230</t>
  </si>
  <si>
    <t>narrow long walkway</t>
  </si>
  <si>
    <t>23d5e891-4333-4e7f-90e1-ca9cd00f4ce3</t>
  </si>
  <si>
    <t>1238</t>
  </si>
  <si>
    <t>f6a686b7-5c30-44c9-b69e-fdb3ad65fd28</t>
  </si>
  <si>
    <t>07bbd22e-b5a6-4670-85f7-904a9f00a5fd</t>
  </si>
  <si>
    <t>1254</t>
  </si>
  <si>
    <t>18fd84f3-73a0-41d1-a0d7-7de070e39239</t>
  </si>
  <si>
    <t>1268/70</t>
  </si>
  <si>
    <t>99ed27b4-d53e-4892-81a1-8fb154949974</t>
  </si>
  <si>
    <t>1274</t>
  </si>
  <si>
    <t>50b6f838-3046-4858-9ef2-ea3af8702595</t>
  </si>
  <si>
    <t>1288</t>
  </si>
  <si>
    <t>779bf7fd-f0e7-423c-9741-24a7b0184f10</t>
  </si>
  <si>
    <t>bbc6a6a3-ba0c-4e34-9511-a32e9d3cbb41</t>
  </si>
  <si>
    <t>da8a0a31-e729-4ea5-9f67-48bc22384abd</t>
  </si>
  <si>
    <t>1354</t>
  </si>
  <si>
    <t>1fe23092-e5cb-4e99-a2ce-6ae02f9e77c1</t>
  </si>
  <si>
    <t>1366</t>
  </si>
  <si>
    <t>fb2e28f2-9a6a-464f-8de3-4b3f4198611a</t>
  </si>
  <si>
    <t>1370</t>
  </si>
  <si>
    <t>a7d8de53-06c2-4dbd-80c9-d07c3708533c</t>
  </si>
  <si>
    <t>1384</t>
  </si>
  <si>
    <t>long driveway</t>
  </si>
  <si>
    <t>d492e9a9-bbae-46eb-8091-75e02b47a569</t>
  </si>
  <si>
    <t>1438</t>
  </si>
  <si>
    <t>525e5a12-f67f-4209-bd8b-f462fa7d7707</t>
  </si>
  <si>
    <t>1458</t>
  </si>
  <si>
    <t>f98cfc3b-0112-410c-bbef-3916cb6dceb5</t>
  </si>
  <si>
    <t xml:space="preserve">Union </t>
  </si>
  <si>
    <t>e7f71ee3-6c63-4174-b82b-e149c39b56d0</t>
  </si>
  <si>
    <t>1381</t>
  </si>
  <si>
    <t>7f0892b7-b5d9-41b8-989f-9076570df213</t>
  </si>
  <si>
    <t xml:space="preserve">1373 </t>
  </si>
  <si>
    <t>44e776ef-3a2f-40c8-b030-b8a699662968</t>
  </si>
  <si>
    <t>1361</t>
  </si>
  <si>
    <t>f2f23dd6-a3d9-4cd6-a8ce-a87d8afcd8af</t>
  </si>
  <si>
    <t>1365</t>
  </si>
  <si>
    <t>10891e18-1f7a-4b14-9776-88e4ee37be62</t>
  </si>
  <si>
    <t>1283</t>
  </si>
  <si>
    <t>7b0be8b9-a341-4c21-b117-0e64d8242a82</t>
  </si>
  <si>
    <t>1265</t>
  </si>
  <si>
    <t>low narrow walkway with stairs</t>
  </si>
  <si>
    <t>f665d333-6e7a-4916-a993-2b58f4c8e4ad</t>
  </si>
  <si>
    <t>1257</t>
  </si>
  <si>
    <t>7bf23021-b613-4b78-aaad-2a407dfe60e1</t>
  </si>
  <si>
    <t>a05f0280-de2e-4543-94b1-9dee06cb89de</t>
  </si>
  <si>
    <t>1209</t>
  </si>
  <si>
    <t>ed4fa579-e19a-4fba-93c3-a4a99a3c8e26</t>
  </si>
  <si>
    <t>1316</t>
  </si>
  <si>
    <t>long driveway toters far from garage entrance</t>
  </si>
  <si>
    <t>3465705a-bea2-400e-8f26-634e61c59a4b</t>
  </si>
  <si>
    <t>1334</t>
  </si>
  <si>
    <t>eef33708-4f3c-419e-bc24-83610755bda2</t>
  </si>
  <si>
    <t>40</t>
  </si>
  <si>
    <t>White</t>
  </si>
  <si>
    <t>4801bc99-234c-43c5-82ab-bc4e14e3b1e3</t>
  </si>
  <si>
    <t>624d32fd-ef59-4a88-9b50-0449584fbdb6</t>
  </si>
  <si>
    <t>35-55</t>
  </si>
  <si>
    <t>a4cf5045-e8cd-46cd-86b9-1a8a87fc6256</t>
  </si>
  <si>
    <t>23</t>
  </si>
  <si>
    <t>low narrow entrance with stairs</t>
  </si>
  <si>
    <t>608bdb76-3b1c-43d6-a3e4-3eba5d84a220</t>
  </si>
  <si>
    <t>17</t>
  </si>
  <si>
    <t>c4a7c339-be14-450b-9cf3-68df4bf0242e</t>
  </si>
  <si>
    <t>serviced on white</t>
  </si>
  <si>
    <t>b4cdea38-dad3-484b-9d7d-239d7f6dd0a2</t>
  </si>
  <si>
    <t>service on white</t>
  </si>
  <si>
    <t>de015173-345a-4be6-a59c-a773be5c45a4</t>
  </si>
  <si>
    <t>1362</t>
  </si>
  <si>
    <t>339570c1-c58d-4427-8b4f-da5c608cf3dd</t>
  </si>
  <si>
    <t>1380</t>
  </si>
  <si>
    <t>223664b7-aa14-4f8e-aa5e-a19af419cd2b</t>
  </si>
  <si>
    <t>0e7e1bea-7c7d-4d8a-a7d1-566d653abb19</t>
  </si>
  <si>
    <t xml:space="preserve">1360 </t>
  </si>
  <si>
    <t>4cd86cdd-4143-4d04-b81f-b269544a6bb5</t>
  </si>
  <si>
    <t>only services 1 out of 2/64</t>
  </si>
  <si>
    <t>4c73516a-afe5-41be-8a74-341c2cd35883</t>
  </si>
  <si>
    <t>1376</t>
  </si>
  <si>
    <t>stairs toters far from door entrance</t>
  </si>
  <si>
    <t>0b1189e3-57a2-47dd-a20d-d78fa1fdd555</t>
  </si>
  <si>
    <t>1406</t>
  </si>
  <si>
    <t>1bcf21ff-02a5-496d-90fe-ea8efb6b8bc5</t>
  </si>
  <si>
    <t>1418</t>
  </si>
  <si>
    <t xml:space="preserve">two gates to get to toters narrow had to go to backyard to grab toters </t>
  </si>
  <si>
    <t>781e788d-6d15-4c8d-b530-67e8f9d90635</t>
  </si>
  <si>
    <t>452c15b1-c65f-4741-9521-cf7c09f8eea7</t>
  </si>
  <si>
    <t>1444</t>
  </si>
  <si>
    <t>8f2d99ec-0899-49b6-97a9-7f2e2ae4bc27</t>
  </si>
  <si>
    <t xml:space="preserve">long walkway gate to get in and other door to retrieve toters </t>
  </si>
  <si>
    <t>c47ada05-1fa1-441e-96f3-85b596f87067</t>
  </si>
  <si>
    <t>1472</t>
  </si>
  <si>
    <t xml:space="preserve">long narrow walkway/ toters all the way in backyard </t>
  </si>
  <si>
    <t>1133860e-ee5d-43a7-a03b-399b2245a9b4</t>
  </si>
  <si>
    <t>96df4001-b046-4ffd-8d9b-fceeb6710087</t>
  </si>
  <si>
    <t>2016 /2020</t>
  </si>
  <si>
    <t>8f762c39-b42c-49ef-a2ba-83e64d922b57</t>
  </si>
  <si>
    <t>2050</t>
  </si>
  <si>
    <t>76e7481a-cc7e-4a68-8a23-c87c645e4ec0</t>
  </si>
  <si>
    <t>f619211e-349b-495b-a54c-7f2b9091247d</t>
  </si>
  <si>
    <t>2122</t>
  </si>
  <si>
    <t>1dee4af2-87b5-403d-9043-8180c8850065</t>
  </si>
  <si>
    <t>03e0db25-bc56-4800-ad46-8e8c0e01baf5</t>
  </si>
  <si>
    <t>f0d2f828-a45b-4973-8d59-5b064888b95c</t>
  </si>
  <si>
    <t>4c7e6074-3354-4ff5-a6e2-781dce447cc0</t>
  </si>
  <si>
    <t>2244</t>
  </si>
  <si>
    <t>22ffe9a3-8cee-4f79-89ed-18b7a4818e22</t>
  </si>
  <si>
    <t>aa5c1f12-6998-4310-a339-d0fa2f4060d9</t>
  </si>
  <si>
    <t xml:space="preserve">city can </t>
  </si>
  <si>
    <t>b30209e4-17b2-4a53-8209-5d02d29593c9</t>
  </si>
  <si>
    <t>ca513097-2094-458e-bde0-944751e95f52</t>
  </si>
  <si>
    <t>733d0ed3-c8be-493f-b5e6-8551a7ba40be</t>
  </si>
  <si>
    <t xml:space="preserve">1/32 city can </t>
  </si>
  <si>
    <t>c19b0519-b1d0-4432-b312-991005a23973</t>
  </si>
  <si>
    <t>services on fillmore</t>
  </si>
  <si>
    <t>9c506f33-74b6-4ae5-a6e7-4f13c11d9742</t>
  </si>
  <si>
    <t>services on scott</t>
  </si>
  <si>
    <t>51d3d414-dd8c-46d2-9f0b-89f7fa834de1</t>
  </si>
  <si>
    <t>4c5abc08-ae44-4f74-96a1-ac5849571f26</t>
  </si>
  <si>
    <t>670da634-cbd5-4922-8161-b213f0c70ce4</t>
  </si>
  <si>
    <t>22e040cf-6bc0-487a-8e5b-f1a7dd39fd88</t>
  </si>
  <si>
    <t xml:space="preserve">services on divisadero / narrow walkway </t>
  </si>
  <si>
    <t>6bbd5e52-5da2-4263-a923-567cd0170a12</t>
  </si>
  <si>
    <t>b8931e0f-7a7d-40df-8b67-ae9b79280175</t>
  </si>
  <si>
    <t>b990c3c1-1ddc-42b5-801e-6fee7fbcfc91</t>
  </si>
  <si>
    <t>2523</t>
  </si>
  <si>
    <t xml:space="preserve">stairs narrow walkway </t>
  </si>
  <si>
    <t>83070475-9e9e-4fef-bf3b-1871c49db6c0</t>
  </si>
  <si>
    <t>2507</t>
  </si>
  <si>
    <t>5b1ccf0f-f224-4609-84e9-84fe484c0ace</t>
  </si>
  <si>
    <t>2501</t>
  </si>
  <si>
    <t>e6add485-b66c-4967-813b-9bd0a57b9413</t>
  </si>
  <si>
    <t>2520</t>
  </si>
  <si>
    <t>68ad1b1c-2183-4d0f-aa2b-e813e67bf4ec</t>
  </si>
  <si>
    <t>ae85f3e6-5d26-48e7-b163-251abcdf564c</t>
  </si>
  <si>
    <t>2515</t>
  </si>
  <si>
    <t>eaa64ae5-95a0-4a9e-8e34-8f261365ac75</t>
  </si>
  <si>
    <t>2497</t>
  </si>
  <si>
    <t>54b37a23-7043-492d-aaee-494f486b56f1</t>
  </si>
  <si>
    <t xml:space="preserve">narrow walkway </t>
  </si>
  <si>
    <t>55901723-2abb-4b53-9890-2d4c3d411cc3</t>
  </si>
  <si>
    <t>d6dff679-152b-4255-a9b3-f475b1825237</t>
  </si>
  <si>
    <t>2301</t>
  </si>
  <si>
    <t>dbb67fee-2f97-4e95-b361-a49201f929c5</t>
  </si>
  <si>
    <t>1a17a373-6e84-422d-95f3-1687b8c344b3</t>
  </si>
  <si>
    <t>45b5df1b-28bf-487f-b472-1b770445d309</t>
  </si>
  <si>
    <t>05f0fa99-fa33-4311-bfe7-bb93ea540d8a</t>
  </si>
  <si>
    <t>8afb074c-cb5e-43f4-9c64-989bff11c818</t>
  </si>
  <si>
    <t>2595</t>
  </si>
  <si>
    <t>6a9bffba-65e2-49c1-bcb9-3b03eb0bb4a0</t>
  </si>
  <si>
    <t>5eddcccf-a6a6-47c7-b6ff-46a92b2d3c31</t>
  </si>
  <si>
    <t xml:space="preserve">services on washington / 1/32 city can </t>
  </si>
  <si>
    <t>a81b8e7e-627e-473d-b099-9e84a9de2df5</t>
  </si>
  <si>
    <t>2504</t>
  </si>
  <si>
    <t>4211b08e-bb92-4ef6-8e59-f06d39f2dafb</t>
  </si>
  <si>
    <t>2528</t>
  </si>
  <si>
    <t>stairs narrow walkway two trips</t>
  </si>
  <si>
    <t>16b0e4ff-23ed-4488-8539-9a38712895a1</t>
  </si>
  <si>
    <t>2576</t>
  </si>
  <si>
    <t>941bd84d-ca99-4287-866f-eea30e99cb78</t>
  </si>
  <si>
    <t>2 pickup locations</t>
  </si>
  <si>
    <t>f3df9dbc-2c7a-4982-b402-fd1821637f5c</t>
  </si>
  <si>
    <t>46aeab41-e06c-4544-a1b7-4b34be5f9d41</t>
  </si>
  <si>
    <t>2575</t>
  </si>
  <si>
    <t>e6b31178-0431-481f-97b5-fe5889400bd3</t>
  </si>
  <si>
    <t>2579</t>
  </si>
  <si>
    <t>71aac965-9d9d-498e-98f4-0335b6e35270</t>
  </si>
  <si>
    <t>2502</t>
  </si>
  <si>
    <t>b263843b-9b02-49d2-a7ec-22a0f1ce3ceb</t>
  </si>
  <si>
    <t>2570</t>
  </si>
  <si>
    <t>4f770da8-21ba-4139-8165-f6fe201ff834</t>
  </si>
  <si>
    <t>2590</t>
  </si>
  <si>
    <t>755b76e2-5a1e-4a5a-b4f9-369a87166717</t>
  </si>
  <si>
    <t>2606</t>
  </si>
  <si>
    <t>81aa954e-4cfd-4d03-a60a-0516434a03f4</t>
  </si>
  <si>
    <t>2610</t>
  </si>
  <si>
    <t>9b7af5e0-b545-4ee3-b0d7-1195e701aff3</t>
  </si>
  <si>
    <t>2620</t>
  </si>
  <si>
    <t>the different locations/ long walkway with stairs</t>
  </si>
  <si>
    <t>39e8829e-24f9-449f-95c4-1efae69ae969</t>
  </si>
  <si>
    <t>380cfdf5-9d18-4635-8d89-2292dcc4b75d</t>
  </si>
  <si>
    <t>2315</t>
  </si>
  <si>
    <t>787e7099-ac61-4c8e-854e-aac326d88480</t>
  </si>
  <si>
    <t>2976</t>
  </si>
  <si>
    <t>ec01d8b4-9e14-44f6-9aea-ae47ecdf4d21</t>
  </si>
  <si>
    <t xml:space="preserve">services on Broderick </t>
  </si>
  <si>
    <t>c45078a4-d944-4f2c-b6ea-dd3cf9979cf1</t>
  </si>
  <si>
    <t>f0f9596b-ce2b-4f24-8344-9d2624dac8d7</t>
  </si>
  <si>
    <t>3a4fb0e0-c3fd-4f3b-8b2f-d2af5fdad0b5</t>
  </si>
  <si>
    <t>16968c05-e030-44fc-8fc0-68aea5194026</t>
  </si>
  <si>
    <t>c507d30f-3ce8-45a3-bb09-dfaacf1bd1e4</t>
  </si>
  <si>
    <t>2302</t>
  </si>
  <si>
    <t>029aaf74-590b-4536-bb74-5a825be3b5df</t>
  </si>
  <si>
    <t>25f5baa4-53f0-48db-b3e8-8c37c60382e2</t>
  </si>
  <si>
    <t>2101</t>
  </si>
  <si>
    <t>services on washington</t>
  </si>
  <si>
    <t>218af171-04b9-459b-9e8a-4d7dbdca02b0</t>
  </si>
  <si>
    <t>a5ab0d19-59a3-4454-8568-f7bd0898af48</t>
  </si>
  <si>
    <t>3299</t>
  </si>
  <si>
    <t>bb8aab3d-a0ce-418c-85d2-082e634c0c98</t>
  </si>
  <si>
    <t>3298/ 140</t>
  </si>
  <si>
    <t xml:space="preserve">serviced on presidio/ about 25 stairs narrow / serviced at same time </t>
  </si>
  <si>
    <t>108745de-0150-451e-b5f6-4fe2c45925a8</t>
  </si>
  <si>
    <t xml:space="preserve">3065 </t>
  </si>
  <si>
    <t>029e0094-9faa-446f-a638-5f3b7bf821fa</t>
  </si>
  <si>
    <t>d6c075ff-f66b-4b10-868d-2d49143b22cf</t>
  </si>
  <si>
    <t>2975</t>
  </si>
  <si>
    <t>39ed6e6e-152f-4b72-8032-8fedafcdd503</t>
  </si>
  <si>
    <t>2898</t>
  </si>
  <si>
    <t xml:space="preserve">serviced on Broderick </t>
  </si>
  <si>
    <t>4c1fb180-3dfa-4ee6-8743-6df2f8ac466f</t>
  </si>
  <si>
    <t>6237455f-7f40-4f9b-b143-889e2f8dc885</t>
  </si>
  <si>
    <t>2940</t>
  </si>
  <si>
    <t>cb970a7d-0e8d-4b87-99e1-e1f92ceee424</t>
  </si>
  <si>
    <t>bf4b865c-9c3f-4001-8bef-08110a2cfb67</t>
  </si>
  <si>
    <t>2988</t>
  </si>
  <si>
    <t>f05dabe2-4bcc-4224-93b7-656cb1e07ee3</t>
  </si>
  <si>
    <t>3060</t>
  </si>
  <si>
    <t>73e8c04b-e2f6-47a8-9374-a296faa9ba16</t>
  </si>
  <si>
    <t>3070</t>
  </si>
  <si>
    <t>bbba0d07-1262-4a0d-9ff3-527c8ea6c212</t>
  </si>
  <si>
    <t>2953</t>
  </si>
  <si>
    <t xml:space="preserve">two pickup locations </t>
  </si>
  <si>
    <t>116420dd-18a6-4adb-bc5c-382315862831</t>
  </si>
  <si>
    <t>2945</t>
  </si>
  <si>
    <t>two pickup locations/ narrow stairs</t>
  </si>
  <si>
    <t>c2a52710-a113-47ad-b054-244789edaeb1</t>
  </si>
  <si>
    <t>bd284192-8ec3-4433-a014-b8f694f3794a</t>
  </si>
  <si>
    <t>000</t>
  </si>
  <si>
    <t>had to walk the alley all the way in the end to retrieve toter</t>
  </si>
  <si>
    <t>0b0cab9f-51e6-4bb3-bcc1-2a757283d6d0</t>
  </si>
  <si>
    <t>long narrow walkway with stairs</t>
  </si>
  <si>
    <t>53a8665c-c57c-4520-af51-ab3dca5629af</t>
  </si>
  <si>
    <t>2550</t>
  </si>
  <si>
    <t>2a8d6def-1c18-4261-b1ba-8893f457bd68</t>
  </si>
  <si>
    <t>44</t>
  </si>
  <si>
    <t>dfd3c8d4-6e31-412e-950e-e310b93f0727</t>
  </si>
  <si>
    <t>4300ea2d-8b64-413b-b357-1b68d11d5c46</t>
  </si>
  <si>
    <t>2712</t>
  </si>
  <si>
    <t>7e24622e-8a27-4961-85f3-08ded8aa6606</t>
  </si>
  <si>
    <t>247e3bc9-2160-4c5a-a39b-27f7ac73834b</t>
  </si>
  <si>
    <t>762d9693-c586-43b6-9f09-63fa3ebab30a</t>
  </si>
  <si>
    <t>34f4afdc-f644-49df-a410-07d6f22bdca8</t>
  </si>
  <si>
    <t>service on Broderick pacifiv</t>
  </si>
  <si>
    <t>3c7b67d3-3774-4bea-b1de-f9a35ef48250</t>
  </si>
  <si>
    <t>2799</t>
  </si>
  <si>
    <t xml:space="preserve">serviced on divisadero </t>
  </si>
  <si>
    <t>2f6a456e-0b51-4808-84b0-c9d51e1cee6c</t>
  </si>
  <si>
    <t>7033e2cd-96e8-4550-ac1f-6e7f66695819</t>
  </si>
  <si>
    <t>lots of stairs one toter at  a time</t>
  </si>
  <si>
    <t>4cf09ff6-05f5-4712-8e07-110391c3b7e3</t>
  </si>
  <si>
    <t>2880</t>
  </si>
  <si>
    <t>819c9823-d3dd-445b-9ba1-832eca25fe2a</t>
  </si>
  <si>
    <t>6e1498e3-a0e1-4212-ae96-60d26806c121</t>
  </si>
  <si>
    <t>ca7b1866-6c19-40ca-86f6-1e2a2496e065</t>
  </si>
  <si>
    <t>2930</t>
  </si>
  <si>
    <t>e0bfea95-0cec-4ac5-879c-6644b03f3ee2</t>
  </si>
  <si>
    <t>7778ad65-53a9-442f-9571-637d39ff4d69</t>
  </si>
  <si>
    <t>2970</t>
  </si>
  <si>
    <t>781e4f11-4373-474c-99fb-b96e39f6c901</t>
  </si>
  <si>
    <t xml:space="preserve">long driveway with ramp once in garage at the end </t>
  </si>
  <si>
    <t>c4821a22-11a4-4410-965c-a2ee40d5a1e7</t>
  </si>
  <si>
    <t>2825</t>
  </si>
  <si>
    <t xml:space="preserve">two flights of stairs narrow </t>
  </si>
  <si>
    <t>4b6beb9a-83c7-4898-ac5b-a6e985dd3e82</t>
  </si>
  <si>
    <t>118b7f05-c460-4bee-ac0b-be4b44a18401</t>
  </si>
  <si>
    <t>752ef365-5c67-4a48-ab00-940f2a677c9c</t>
  </si>
  <si>
    <t xml:space="preserve">1540 </t>
  </si>
  <si>
    <t>d1089252-0cde-48ea-ba17-0eb62283f7b7</t>
  </si>
  <si>
    <t>3497d68f-deda-442a-b45a-5fe339155d2f</t>
  </si>
  <si>
    <t>3035</t>
  </si>
  <si>
    <t>narrow walkway 2/64 empty</t>
  </si>
  <si>
    <t>841e67d3-b494-4c42-814e-6928267a1ae5</t>
  </si>
  <si>
    <t>3005</t>
  </si>
  <si>
    <t>64 empty</t>
  </si>
  <si>
    <t>033d5b8d-a26f-499f-8cf4-a8c98426eb96</t>
  </si>
  <si>
    <t>eeff3f5c-2420-4816-8308-79559e4acde2</t>
  </si>
  <si>
    <t>1626</t>
  </si>
  <si>
    <t>83620671-c941-4d7f-81ec-1bbe2bc75ee1</t>
  </si>
  <si>
    <t>7bbb0e08-933a-4596-825e-00508fc48d37</t>
  </si>
  <si>
    <t>38e28e35-e47f-4232-af43-53386cf89bd7</t>
  </si>
  <si>
    <t>1680</t>
  </si>
  <si>
    <t>f9eeeb0c-78a7-4100-a1fd-324e379ede6e</t>
  </si>
  <si>
    <t>3110</t>
  </si>
  <si>
    <t>0222aff1-bb14-462c-b005-9d13f7100e65</t>
  </si>
  <si>
    <t>3134</t>
  </si>
  <si>
    <t>0ba0623b-ffe8-4427-be75-1eec01b0b851</t>
  </si>
  <si>
    <t>3140</t>
  </si>
  <si>
    <t>eba2b410-3387-4d1b-aba6-834eabb2c16c</t>
  </si>
  <si>
    <t>a7d33d15-114b-48cb-a28e-6b4c645904c5</t>
  </si>
  <si>
    <t>005070b6-fdd0-479d-8808-84afff60f74b</t>
  </si>
  <si>
    <t>3210</t>
  </si>
  <si>
    <t>ce74bebd-0590-45cc-a409-67b2641c2d7a</t>
  </si>
  <si>
    <t>3155</t>
  </si>
  <si>
    <t>8473eba1-25f4-4744-ba2b-0055e361d6fc</t>
  </si>
  <si>
    <t>3145</t>
  </si>
  <si>
    <t>97cdc529-2541-4d8b-903f-99af9b778b22</t>
  </si>
  <si>
    <t>89a3ee51-341d-4c5c-be03-2643c7d56604</t>
  </si>
  <si>
    <t>c809a54f-7844-40e4-9955-5614971efca0</t>
  </si>
  <si>
    <t>dddf79cc-d28f-4fad-ab8f-a2f41c48f3d1</t>
  </si>
  <si>
    <t>1734</t>
  </si>
  <si>
    <t>only one 96</t>
  </si>
  <si>
    <t>09f11868-14f4-4387-afd7-6ad5dcc20454</t>
  </si>
  <si>
    <t>narro walkway</t>
  </si>
  <si>
    <t>50e262b5-0e32-44d1-ad41-9ee558e82909</t>
  </si>
  <si>
    <t xml:space="preserve">narrow walkway/ service on Lombard </t>
  </si>
  <si>
    <t>f6da17e8-a7a4-4bd0-a2ee-07f819eefec8</t>
  </si>
  <si>
    <t>1968</t>
  </si>
  <si>
    <t>c7cbf700-e9fd-4ff8-ba2f-739fbd7d4bf8</t>
  </si>
  <si>
    <t>14ab7c68-8476-4d63-a43f-b9a4319204b9</t>
  </si>
  <si>
    <t xml:space="preserve">2/96 2/64 only service one of each </t>
  </si>
  <si>
    <t>a85d1bc7-024f-450d-a0fd-388fd4436f8d</t>
  </si>
  <si>
    <t>1925</t>
  </si>
  <si>
    <t xml:space="preserve">suppose to be 2/96 and 2/32 only one </t>
  </si>
  <si>
    <t>ac7ba9de-af5a-45a0-8680-61a598389311</t>
  </si>
  <si>
    <t xml:space="preserve">there's suppose to be a 32 as well </t>
  </si>
  <si>
    <t>1f651b90-4b99-463a-917c-8c406493997f</t>
  </si>
  <si>
    <t>3250</t>
  </si>
  <si>
    <t xml:space="preserve">services on magnolia/ supposed to have 2/64 </t>
  </si>
  <si>
    <t>d7cfd458-939b-4719-80fc-1e6770c72ce0</t>
  </si>
  <si>
    <t>1940</t>
  </si>
  <si>
    <t>services on magnolia</t>
  </si>
  <si>
    <t>0ee70708-8913-4d86-aabe-0c235891e9b6</t>
  </si>
  <si>
    <t>1900/1910</t>
  </si>
  <si>
    <t>5e6c0a83-0a5f-4bf3-8bc0-3d89ec585e0d</t>
  </si>
  <si>
    <t>1710</t>
  </si>
  <si>
    <t xml:space="preserve">services Buchanan </t>
  </si>
  <si>
    <t>0aec7fbf-24b9-48bd-a396-3f75ad5dd42f</t>
  </si>
  <si>
    <t>1950</t>
  </si>
  <si>
    <t>914bd5cf-a18f-40e6-83dc-962aab48cce2</t>
  </si>
  <si>
    <t>3500</t>
  </si>
  <si>
    <t>services on bay</t>
  </si>
  <si>
    <t>d398fb6e-e3ec-4a2c-9a3d-7f30aaadf18c</t>
  </si>
  <si>
    <t xml:space="preserve">Buchanan </t>
  </si>
  <si>
    <t>b0bf74df-e51b-42b6-9ebc-75c18373c632</t>
  </si>
  <si>
    <t>3717</t>
  </si>
  <si>
    <t>buchanan</t>
  </si>
  <si>
    <t>bb6916ed-abcb-44a2-9517-c16a0f1d2a55</t>
  </si>
  <si>
    <t>3645</t>
  </si>
  <si>
    <t xml:space="preserve">buchanan </t>
  </si>
  <si>
    <t>58e373f3-2152-4af6-9822-f9573580caf3</t>
  </si>
  <si>
    <t>128cf1c1-21c6-4f2a-8436-11061f1feb6b</t>
  </si>
  <si>
    <t xml:space="preserve">3400 </t>
  </si>
  <si>
    <t>5d36b599-b527-4ee5-8cb5-04ff14693278</t>
  </si>
  <si>
    <t xml:space="preserve">3235 </t>
  </si>
  <si>
    <t>8016bfb5-81a5-4959-b7f3-9cd2de13e299</t>
  </si>
  <si>
    <t xml:space="preserve">3201 </t>
  </si>
  <si>
    <t xml:space="preserve">services on Francisco </t>
  </si>
  <si>
    <t>a75839f3-adf8-46c0-8725-46dddd9e9c75</t>
  </si>
  <si>
    <t>e7668967-52b9-4e39-9933-1edc647f36dc</t>
  </si>
  <si>
    <t>1731</t>
  </si>
  <si>
    <t>e4fbec79-1340-46e1-aea7-9591a2fe6eb1</t>
  </si>
  <si>
    <t>1725</t>
  </si>
  <si>
    <t>c156c9c8-bc23-44d8-b380-2b9172d81c0c</t>
  </si>
  <si>
    <t>1721</t>
  </si>
  <si>
    <t>small tree</t>
  </si>
  <si>
    <t>754e5f69-ec4b-4a64-b6db-bbd0943258f4</t>
  </si>
  <si>
    <t xml:space="preserve">3250 </t>
  </si>
  <si>
    <t>services on chestnut</t>
  </si>
  <si>
    <t>f9931c04-76b7-475c-9ac1-b9ec6a746f03</t>
  </si>
  <si>
    <t>1685</t>
  </si>
  <si>
    <t>e624dac3-07ae-4f72-894e-78aafb3a3457</t>
  </si>
  <si>
    <t xml:space="preserve">1665 </t>
  </si>
  <si>
    <t>bc350547-e8cd-4cd9-bf2c-5937bafb23cc</t>
  </si>
  <si>
    <t>1655</t>
  </si>
  <si>
    <t>7ebaa588-76a4-4943-8e34-eb5d7b0bceb3</t>
  </si>
  <si>
    <t>1631</t>
  </si>
  <si>
    <t>4f239ea5-7cd0-4163-9b8c-ecbccc929bb4</t>
  </si>
  <si>
    <t>62fbbec0-5eff-4ca7-979d-07670499ff80</t>
  </si>
  <si>
    <t>2d8406d6-05a1-411b-bb47-d50594dea930</t>
  </si>
  <si>
    <t>1555</t>
  </si>
  <si>
    <t>a36d127f-7ee2-4a50-b98a-d5c25579a95a</t>
  </si>
  <si>
    <t>07cd8394-489c-4d6b-9c66-03f4c69196aa</t>
  </si>
  <si>
    <t>c78d79ce-9399-46b1-8349-071aed1d4028</t>
  </si>
  <si>
    <t>cdadc104-2fc6-455c-8d51-aeedd23a1030</t>
  </si>
  <si>
    <t>3bc0e56f-4d39-4a25-bec6-b80c5db35a3d</t>
  </si>
  <si>
    <t>1457</t>
  </si>
  <si>
    <t>5265d3a2-0c72-4fe5-93ba-55083a1d3efd</t>
  </si>
  <si>
    <t>1447</t>
  </si>
  <si>
    <t>4c1b318f-23c0-494f-8b96-0dee41a9fc4c</t>
  </si>
  <si>
    <t>1437</t>
  </si>
  <si>
    <t>e41159ae-9253-43d5-999a-91632bbd24ac</t>
  </si>
  <si>
    <t xml:space="preserve">1490 </t>
  </si>
  <si>
    <t>dbd3c314-cf51-4efe-b34d-7fafd07a55ca</t>
  </si>
  <si>
    <t>3316</t>
  </si>
  <si>
    <t>51290705-cb60-4cb3-9005-52b362e65b64</t>
  </si>
  <si>
    <t>3326</t>
  </si>
  <si>
    <t>67c25d2c-9834-47a5-81aa-d8535bece575</t>
  </si>
  <si>
    <t>3336</t>
  </si>
  <si>
    <t>b7bbd3c6-4136-439d-9dba-b1409e51e10f</t>
  </si>
  <si>
    <t>3342</t>
  </si>
  <si>
    <t>dc88a6f0-8aa0-437f-9473-269d5f7dcb35</t>
  </si>
  <si>
    <t>3354</t>
  </si>
  <si>
    <t>74f6808d-77ff-4984-9985-19013e211cf9</t>
  </si>
  <si>
    <t>40b0f2ed-8710-4b1f-abfb-ac6d63640829</t>
  </si>
  <si>
    <t>e5b9dfa5-fbce-45da-a5d7-8ad6ff672337</t>
  </si>
  <si>
    <t>3350</t>
  </si>
  <si>
    <t xml:space="preserve">2 pick up locations </t>
  </si>
  <si>
    <t>be079f6e-8f92-4595-927d-d9ce098b42ae</t>
  </si>
  <si>
    <t>3360</t>
  </si>
  <si>
    <t>5fc845c3-a563-4a07-9514-3f0a7b26b30b</t>
  </si>
  <si>
    <t>3615</t>
  </si>
  <si>
    <t xml:space="preserve">serviced on bay </t>
  </si>
  <si>
    <t>cabab819-cfeb-4c87-ad43-29089ef26350</t>
  </si>
  <si>
    <t>1640</t>
  </si>
  <si>
    <t>bf1aa374-2227-4f57-b77e-0032fd744471</t>
  </si>
  <si>
    <t xml:space="preserve">1660 </t>
  </si>
  <si>
    <t>52124b54-7606-41dc-9f4d-13199a508ec6</t>
  </si>
  <si>
    <t xml:space="preserve">1690 </t>
  </si>
  <si>
    <t xml:space="preserve">services on Webster </t>
  </si>
  <si>
    <t>d0154e49-9952-416b-a429-33c27673b006</t>
  </si>
  <si>
    <t>1b55a528-bdac-4827-9fb8-ef8356ed5310</t>
  </si>
  <si>
    <t>services on north point</t>
  </si>
  <si>
    <t>0913b44d-203e-4443-8d3a-ff99f1418433</t>
  </si>
  <si>
    <t>af9efafc-f8f0-498b-8b96-414b63a16af4</t>
  </si>
  <si>
    <t xml:space="preserve">235 </t>
  </si>
  <si>
    <t>d33fe3e0-05ce-42af-806e-545753568a00</t>
  </si>
  <si>
    <t>2647d8ce-5c3f-4004-a374-76312d818686</t>
  </si>
  <si>
    <t xml:space="preserve">3740 </t>
  </si>
  <si>
    <t xml:space="preserve">services on Jefferson </t>
  </si>
  <si>
    <t>04b2eb88-cb91-4258-bfd8-7883b7c33d0c</t>
  </si>
  <si>
    <t>3757</t>
  </si>
  <si>
    <t>08c92bef-ca60-44a0-a2b9-cc7050b1c6a0</t>
  </si>
  <si>
    <t xml:space="preserve">1600 </t>
  </si>
  <si>
    <t>beach</t>
  </si>
  <si>
    <t>services on webster</t>
  </si>
  <si>
    <t>a13dfb09-bd2c-46d0-9470-180a53976adb</t>
  </si>
  <si>
    <t xml:space="preserve">beach </t>
  </si>
  <si>
    <t>3ee021b0-9787-4bae-b3aa-b29ca793e306</t>
  </si>
  <si>
    <t xml:space="preserve">services on webster </t>
  </si>
  <si>
    <t>db69aedb-cdda-45cc-8b18-2ccd740c90fd</t>
  </si>
  <si>
    <t>0b4a46f3-429c-4538-8319-3d9c40c79bf7</t>
  </si>
  <si>
    <t>80cb0567-6ec5-4a21-82e7-41e3557347db</t>
  </si>
  <si>
    <t>b9bb6270-fc53-47e6-be81-d8056a923c37</t>
  </si>
  <si>
    <t>90f50f8d-33d9-43a8-857e-1a79ee7a0a4e</t>
  </si>
  <si>
    <t>eea54a4b-6133-4ccb-a099-1a22545cbced</t>
  </si>
  <si>
    <t>1758</t>
  </si>
  <si>
    <t>ba4aaacc-d067-4718-bc33-962aaaa11162</t>
  </si>
  <si>
    <t>5386fbae-3921-4771-ba09-97c0f35b81e7</t>
  </si>
  <si>
    <t>services at north point</t>
  </si>
  <si>
    <t>fbdfd56c-e4a6-4b1a-8cd4-c83afe0b80ea</t>
  </si>
  <si>
    <t>3260</t>
  </si>
  <si>
    <t xml:space="preserve">services on bay </t>
  </si>
  <si>
    <t>548f1349-694b-4ef2-9067-85fef00c228e</t>
  </si>
  <si>
    <t>1235</t>
  </si>
  <si>
    <t>877aede1-20d8-42ba-8ce7-2b8d26d2df1f</t>
  </si>
  <si>
    <t>1225</t>
  </si>
  <si>
    <t>8ae80e41-09e3-42c7-a907-d2ec0e614132</t>
  </si>
  <si>
    <t>1215</t>
  </si>
  <si>
    <t>a3e8e112-aee4-46d0-a37d-1f29d53a258d</t>
  </si>
  <si>
    <t>1407</t>
  </si>
  <si>
    <t xml:space="preserve">services on gough </t>
  </si>
  <si>
    <t>1d125bfa-f494-400a-9ee5-32577b6fee9d</t>
  </si>
  <si>
    <t>3f1115f6-6124-4096-ab2c-44b40e92af85</t>
  </si>
  <si>
    <t>50c78d1d-e7c6-4374-b1a2-b7d9c0aa2f93</t>
  </si>
  <si>
    <t>key, stairs</t>
  </si>
  <si>
    <t>d88466ff-80d8-484e-910f-1aa2a0222f4a</t>
  </si>
  <si>
    <t>1609</t>
  </si>
  <si>
    <t xml:space="preserve">key, </t>
  </si>
  <si>
    <t>6d26a6ca-6ae8-4d78-bfbb-f19e51089164</t>
  </si>
  <si>
    <t>743a0218-7ddd-4ba8-80c8-8de5dff9f273</t>
  </si>
  <si>
    <t xml:space="preserve">key, serviced in Franklin </t>
  </si>
  <si>
    <t>eff7c43d-3be5-4a1f-bf3e-49ed509c79b4</t>
  </si>
  <si>
    <t>lock on toter</t>
  </si>
  <si>
    <t>6994d975-457e-482d-8d65-43fddf106aef</t>
  </si>
  <si>
    <t>f158ead1-fa9c-4611-942e-8505381e26c5</t>
  </si>
  <si>
    <t>1739</t>
  </si>
  <si>
    <t xml:space="preserve">key, stairs </t>
  </si>
  <si>
    <t>0040feb2-ac1c-4312-b7ba-b69594855ffd</t>
  </si>
  <si>
    <t>1817</t>
  </si>
  <si>
    <t>c752eb89-62fb-45b0-b3c0-967b47c8eb4f</t>
  </si>
  <si>
    <t>1270</t>
  </si>
  <si>
    <t xml:space="preserve">code, elevation </t>
  </si>
  <si>
    <t>0626af52-44f9-4ce2-ba47-668515b41097</t>
  </si>
  <si>
    <t>code, distance,serviced franklin</t>
  </si>
  <si>
    <t>6fa98f37-5f93-469b-9ad4-68e7636efea7</t>
  </si>
  <si>
    <t xml:space="preserve">key, stairs, </t>
  </si>
  <si>
    <t>4ef843df-989b-4826-9269-073af6159f73</t>
  </si>
  <si>
    <t>1987</t>
  </si>
  <si>
    <t>917a9e75-07bb-4e84-85d7-2779cade6952</t>
  </si>
  <si>
    <t>3117e2a2-887c-46d1-bf4c-c48519a70904</t>
  </si>
  <si>
    <t>1899</t>
  </si>
  <si>
    <t xml:space="preserve">key, serviced on Gough </t>
  </si>
  <si>
    <t>1ede11fb-b5e1-492f-ab9a-8b78cac0e011</t>
  </si>
  <si>
    <t>1666</t>
  </si>
  <si>
    <t>f1d6f357-b3c0-40e9-aa19-115aff9d9d91</t>
  </si>
  <si>
    <t>1711/1715</t>
  </si>
  <si>
    <t>key, distance , 2:26 for 1711</t>
  </si>
  <si>
    <t>0845f818-e8fd-4a92-a149-d2576168701a</t>
  </si>
  <si>
    <t>1856</t>
  </si>
  <si>
    <t>key' distance, narrow</t>
  </si>
  <si>
    <t>da0d6549-1255-4d21-9759-a8b390cb6de3</t>
  </si>
  <si>
    <t>1865</t>
  </si>
  <si>
    <t xml:space="preserve">service 1863 Inside to. 2-96 1-64, 92 sec for 1st stop 73 for 2nd stop </t>
  </si>
  <si>
    <t>1263259a-8920-4c51-9890-eef756adaf15</t>
  </si>
  <si>
    <t>key, narrow</t>
  </si>
  <si>
    <t>8d9c0536-c95e-4635-9b07-0ce5af4484a2</t>
  </si>
  <si>
    <t>8e321719-74bc-4e95-9843-045cf9e54410</t>
  </si>
  <si>
    <t>1821</t>
  </si>
  <si>
    <t>efa51d07-d80b-4139-9c7b-0d636e5e346b</t>
  </si>
  <si>
    <t>1850</t>
  </si>
  <si>
    <t>97623713-80b6-4e56-b194-48d27783ec47</t>
  </si>
  <si>
    <t>1920</t>
  </si>
  <si>
    <t xml:space="preserve">key, distance , narrow had to love totter </t>
  </si>
  <si>
    <t>5ebfce92-37ba-43f9-88a3-4a12ed854c0a</t>
  </si>
  <si>
    <t>1930</t>
  </si>
  <si>
    <t xml:space="preserve">key, narrow </t>
  </si>
  <si>
    <t>f671a131-9c94-421b-ae3a-df9d287882e5</t>
  </si>
  <si>
    <t>1909</t>
  </si>
  <si>
    <t>alley. distance</t>
  </si>
  <si>
    <t>7733e009-ce37-4ecd-9d6f-b7d7dbf5059f</t>
  </si>
  <si>
    <t>key'ssmistank</t>
  </si>
  <si>
    <t>cc205df5-d58f-4abb-bb65-129327b1cf77</t>
  </si>
  <si>
    <t>cc, key, stairs</t>
  </si>
  <si>
    <t>ab1356e7-3e38-4838-880a-3a3b46aa4cc1</t>
  </si>
  <si>
    <t>144c863f-cb2f-4316-89ba-ca1e62fe299d</t>
  </si>
  <si>
    <t>1845</t>
  </si>
  <si>
    <t xml:space="preserve">key, narrow, distance,  stairs, </t>
  </si>
  <si>
    <t>2e5d0af8-c054-463e-b55f-d0c957d0ffd0</t>
  </si>
  <si>
    <t xml:space="preserve">key, distance, </t>
  </si>
  <si>
    <t>81518a2f-4b1e-4559-83f8-344c9c0432a1</t>
  </si>
  <si>
    <t>1830</t>
  </si>
  <si>
    <t>e25f9dbb-fdcb-454f-b75a-716216ca826a</t>
  </si>
  <si>
    <t xml:space="preserve">serviced on California, distance </t>
  </si>
  <si>
    <t>21baf339-46b6-4d19-873e-7ce9d3d712ce</t>
  </si>
  <si>
    <t>1855</t>
  </si>
  <si>
    <t>key, stairs,</t>
  </si>
  <si>
    <t>27a64e94-31be-4a11-a848-ef9bddae103b</t>
  </si>
  <si>
    <t>key, distance</t>
  </si>
  <si>
    <t>e821751d-2ef3-4d64-98df-73b57ad2cc43</t>
  </si>
  <si>
    <t xml:space="preserve">1850 </t>
  </si>
  <si>
    <t>distance, code</t>
  </si>
  <si>
    <t>2408eea5-7c78-4eed-bee7-c0ef62a6e953</t>
  </si>
  <si>
    <t>6164ae57-f5d9-4ee6-a6a9-3929a555d169</t>
  </si>
  <si>
    <t xml:space="preserve">key, stairs, serviced </t>
  </si>
  <si>
    <t>b533e133-a592-46d4-b93f-446e61b1a635</t>
  </si>
  <si>
    <t>233c599c-8137-4fb0-b69d-4d40ed42181d</t>
  </si>
  <si>
    <t>5ef99bf6-e579-42b9-8720-582d11c72c3c</t>
  </si>
  <si>
    <t>1999/2001</t>
  </si>
  <si>
    <t>cc</t>
  </si>
  <si>
    <t>3e2566bb-e06c-4495-a11a-dfc9e359d743</t>
  </si>
  <si>
    <t>8c4eedc9-ea3f-47b8-8652-6cd43c830e0e</t>
  </si>
  <si>
    <t>1755</t>
  </si>
  <si>
    <t>key, narrow hallway</t>
  </si>
  <si>
    <t>255b6e42-b40c-4c8f-88b1-5bb42647b1e2</t>
  </si>
  <si>
    <t>0ef02dee-b8a4-40df-92d0-aea540f15894</t>
  </si>
  <si>
    <t>28b53de3-cf55-46a1-ba65-80ecd0708233</t>
  </si>
  <si>
    <t>ba57a0fb-3c30-4bd7-9be7-ce00d3b8961c</t>
  </si>
  <si>
    <t>cf36b0b6-ec40-46c6-9497-932ba1c23263</t>
  </si>
  <si>
    <t xml:space="preserve">key, stairs, narrow hallway </t>
  </si>
  <si>
    <t>a80598dc-3cf9-4ca1-8ccb-e9e0708ade29</t>
  </si>
  <si>
    <t>1860</t>
  </si>
  <si>
    <t>distance, key,</t>
  </si>
  <si>
    <t>926a62e0-b616-4083-bbbf-ae9984e4108d</t>
  </si>
  <si>
    <t>1880</t>
  </si>
  <si>
    <t>key, stairs, distance</t>
  </si>
  <si>
    <t>2c94adf7-75cb-4ae6-aa32-f11162c9bd4b</t>
  </si>
  <si>
    <t>1895</t>
  </si>
  <si>
    <t>86a45442-b036-4d35-acbd-4e1b93b20e6c</t>
  </si>
  <si>
    <t>2080</t>
  </si>
  <si>
    <t>distance, customer opens gate,</t>
  </si>
  <si>
    <t>0ea23b9b-65b2-4d6c-aa64-b31782cfe0bc</t>
  </si>
  <si>
    <t>1946</t>
  </si>
  <si>
    <t>ca670e30-cecb-411a-9784-b70738a8123d</t>
  </si>
  <si>
    <t>f9fe4d8b-2a93-49e0-896a-791b3f6bd6d2</t>
  </si>
  <si>
    <t>afb384f9-c268-42c1-92fd-6afa04c47349</t>
  </si>
  <si>
    <t>1891</t>
  </si>
  <si>
    <t>59eaa8b6-750f-48a5-8031-df7c9dd94692</t>
  </si>
  <si>
    <t xml:space="preserve">key, stairs, distance </t>
  </si>
  <si>
    <t>e5df68d6-7f39-4868-b966-ae37c2b38569</t>
  </si>
  <si>
    <t>1849</t>
  </si>
  <si>
    <t>da833c10-c2c9-468d-8ffa-95b322c9a291</t>
  </si>
  <si>
    <t>81ff45b2-b855-404a-bee3-c5b64e37bb7a</t>
  </si>
  <si>
    <t>key,narrow</t>
  </si>
  <si>
    <t>3a7827dc-05de-4391-88ba-9ec856f80165</t>
  </si>
  <si>
    <t>1960</t>
  </si>
  <si>
    <t xml:space="preserve">key, distance, organics/garbage </t>
  </si>
  <si>
    <t>0f66424d-0e38-40af-952d-522464842f65</t>
  </si>
  <si>
    <t>1080</t>
  </si>
  <si>
    <t>d8065fcf-4c8d-4e9a-abc2-7c98c445760e</t>
  </si>
  <si>
    <t>1896</t>
  </si>
  <si>
    <t>serviced on gough ,key</t>
  </si>
  <si>
    <t>1ad98a1e-0d4c-427b-b774-f3f8c67bec95</t>
  </si>
  <si>
    <t>2119</t>
  </si>
  <si>
    <t>fb96969a-d584-4ca3-8a55-a60649afebde</t>
  </si>
  <si>
    <t>94e01e22-08d5-4dda-b6d6-5a46edf91e43</t>
  </si>
  <si>
    <t>1808</t>
  </si>
  <si>
    <t>19676502-1fea-4980-9221-8e5578e1e5e5</t>
  </si>
  <si>
    <t>495d58d2-bcd7-48d5-8d29-cac27220ba35</t>
  </si>
  <si>
    <t>2d55db8b-c0fc-4658-9093-322e19e39cb8</t>
  </si>
  <si>
    <t>68d94b16-c0c1-4a25-b20d-ba6c63a556c3</t>
  </si>
  <si>
    <t>United Nations</t>
  </si>
  <si>
    <t>code, alley</t>
  </si>
  <si>
    <t>9cfc39af-efc5-4e7c-9235-b14ab6b03041</t>
  </si>
  <si>
    <t>270</t>
  </si>
  <si>
    <t>Hayes</t>
  </si>
  <si>
    <t>call client open gate.</t>
  </si>
  <si>
    <t>6d152732-836f-419c-a36a-8a7a998e2f38</t>
  </si>
  <si>
    <t>1187</t>
  </si>
  <si>
    <t>client gate opened already.</t>
  </si>
  <si>
    <t>adf8f916-6692-4b45-984e-ed6f48b172d7</t>
  </si>
  <si>
    <t>Simonds Loop</t>
  </si>
  <si>
    <t>9ae24a4a-e05a-48ce-b88d-8d79f3bbcad8</t>
  </si>
  <si>
    <t>537-532</t>
  </si>
  <si>
    <t>5cdafaef-1538-4aee-9387-d77c75d71551</t>
  </si>
  <si>
    <t>572</t>
  </si>
  <si>
    <t>62a29591-518e-47ec-b909-1538d12bb122</t>
  </si>
  <si>
    <t>71c6d302-f109-4f87-9440-1d5dd585a6db</t>
  </si>
  <si>
    <t>510/511/512/513/514/530-531</t>
  </si>
  <si>
    <t>41b1dde9-e662-47c1-aec5-05295cc93e89</t>
  </si>
  <si>
    <t>540-551</t>
  </si>
  <si>
    <t>9c79282c-42b1-485e-a320-b05a1e8a73b0</t>
  </si>
  <si>
    <t>5608342c-3cc0-4bfc-bdbd-4b5e7d27eff2</t>
  </si>
  <si>
    <t>Martinez</t>
  </si>
  <si>
    <t>7f9dee57-e14a-4198-bde5-c2a0220e793b</t>
  </si>
  <si>
    <t>1000-1004</t>
  </si>
  <si>
    <t>Oreilly</t>
  </si>
  <si>
    <t>5b08117d-1e11-46b4-9070-be1274e0be20</t>
  </si>
  <si>
    <t>1051</t>
  </si>
  <si>
    <t>Edie Rd</t>
  </si>
  <si>
    <t>6f5d361c-cff3-41e6-812e-58d09f1af504</t>
  </si>
  <si>
    <t>32</t>
  </si>
  <si>
    <t>1fc81c94-9956-4038-9ec2-0752b49026e0</t>
  </si>
  <si>
    <t>603</t>
  </si>
  <si>
    <t>b7861aa7-17a0-4fd4-b385-13691522856c</t>
  </si>
  <si>
    <t>920</t>
  </si>
  <si>
    <t>key,</t>
  </si>
  <si>
    <t>9c2e2417-ab45-4992-bbf2-20eee82d7e8e</t>
  </si>
  <si>
    <t>642</t>
  </si>
  <si>
    <t>f902ac92-cdae-4358-bc27-054301bf3cd8</t>
  </si>
  <si>
    <t>16-5</t>
  </si>
  <si>
    <t xml:space="preserve">Presidio </t>
  </si>
  <si>
    <t>c531603f-999d-4dd5-bc73-9a6a2e6e39d7</t>
  </si>
  <si>
    <t>718-728</t>
  </si>
  <si>
    <t>Ligett</t>
  </si>
  <si>
    <t>5a021972-3c43-492f-9be0-aedd17c0f69b</t>
  </si>
  <si>
    <t>733</t>
  </si>
  <si>
    <t>292f11af-3b32-4b42-89ee-fab6186cfa0e</t>
  </si>
  <si>
    <t>back down an alley.</t>
  </si>
  <si>
    <t>3b03ee44-2d2d-4e9d-983e-06158f27c52f</t>
  </si>
  <si>
    <t>1832</t>
  </si>
  <si>
    <t>ee793b79-0016-4f6d-a19c-b1e2a315e0f5</t>
  </si>
  <si>
    <t>a45d87c2-f7f8-4040-905f-385391c55137</t>
  </si>
  <si>
    <t>1904</t>
  </si>
  <si>
    <t>c1f8f21e-f8dd-4397-a465-a59ef76d7dbb</t>
  </si>
  <si>
    <t>1948/46</t>
  </si>
  <si>
    <t>940ec5c7-3054-400c-ac40-ae91c05a6095</t>
  </si>
  <si>
    <t>1956</t>
  </si>
  <si>
    <t xml:space="preserve">key, distance, 2 areas, </t>
  </si>
  <si>
    <t>cc4c7523-3c8f-4cb9-b0c2-314eebe98ab4</t>
  </si>
  <si>
    <t>547db13a-91b7-4c5e-96c8-da643a6be4d6</t>
  </si>
  <si>
    <t>1867</t>
  </si>
  <si>
    <t>001cb0a9-cc25-4b69-b548-63e50fcc347e</t>
  </si>
  <si>
    <t>1815</t>
  </si>
  <si>
    <t>6431f9d1-f528-4816-acb8-ba349e9de32c</t>
  </si>
  <si>
    <t>1809</t>
  </si>
  <si>
    <t>5682c08e-caf7-4e59-8442-9b3edcaff74e</t>
  </si>
  <si>
    <t>1873/1875/1877</t>
  </si>
  <si>
    <t>1877-75</t>
  </si>
  <si>
    <t>ec66e7ea-3d9b-4071-8fdc-b89df805b139</t>
  </si>
  <si>
    <t>1863</t>
  </si>
  <si>
    <t>49c92db1-7fad-4026-9628-ec44c7264cb9</t>
  </si>
  <si>
    <t>1851/53</t>
  </si>
  <si>
    <t>dc97314e-5734-4219-8c25-4c4340cc2a90</t>
  </si>
  <si>
    <t>1843/45</t>
  </si>
  <si>
    <t>ba71e39f-25f8-4a42-bb31-cff5a439c3ac</t>
  </si>
  <si>
    <t>d59bdabc-6a25-4930-9e4e-8f0d5703e7af</t>
  </si>
  <si>
    <t>3125</t>
  </si>
  <si>
    <t>code,</t>
  </si>
  <si>
    <t>f80b1579-5b42-46ba-8df8-9c3291db5ecc</t>
  </si>
  <si>
    <t>3121</t>
  </si>
  <si>
    <t>4ed52753-9d67-4e5b-a30d-7f9999ce8160</t>
  </si>
  <si>
    <t>3047/49/51</t>
  </si>
  <si>
    <t xml:space="preserve">key </t>
  </si>
  <si>
    <t>2ef448cf-2e4c-4ade-90e7-32ef12c0e26b</t>
  </si>
  <si>
    <t>3035/3037</t>
  </si>
  <si>
    <t>be61ce9e-4f22-4cef-99fc-660cf795b294</t>
  </si>
  <si>
    <t>2957</t>
  </si>
  <si>
    <t>8838afd5-41da-4027-90db-67b6f2a11eb0</t>
  </si>
  <si>
    <t>1af1758e-8bfb-4500-829a-3c3a80c3828c</t>
  </si>
  <si>
    <t>d58badd7-1127-4ee2-843d-b3e55103fead</t>
  </si>
  <si>
    <t>4/8/14/20/28/34/38</t>
  </si>
  <si>
    <t>Harris</t>
  </si>
  <si>
    <t>e1967aeb-8b98-4b5e-a772-64ce4b42347c</t>
  </si>
  <si>
    <t>2920</t>
  </si>
  <si>
    <t>c7aa5d89-8e60-4ba9-8922-79958198c33b</t>
  </si>
  <si>
    <t>3123</t>
  </si>
  <si>
    <t>fa0cb6bb-8926-4407-96f3-3349ed1efdf0</t>
  </si>
  <si>
    <t>1925/23</t>
  </si>
  <si>
    <t>79163ef5-f518-47a7-bceb-e92e7c8f6f7b</t>
  </si>
  <si>
    <t>c4f1c7f1-da8a-4500-aec3-8a675b256fd8</t>
  </si>
  <si>
    <t xml:space="preserve">key, distance </t>
  </si>
  <si>
    <t>2ab7b3b6-8804-4a3a-89b2-d71904a5dea6</t>
  </si>
  <si>
    <t>1870</t>
  </si>
  <si>
    <t xml:space="preserve">key, stairs m Octavia and rilbwe subside </t>
  </si>
  <si>
    <t>eb38fc92-7ab1-4baa-bb32-1659ee74b2c2</t>
  </si>
  <si>
    <t>1882</t>
  </si>
  <si>
    <t>e69becc9-93eb-48f1-a95e-318e25a74378</t>
  </si>
  <si>
    <t>1902</t>
  </si>
  <si>
    <t>ey</t>
  </si>
  <si>
    <t>b1c50d52-e227-4a7b-877c-8400cdd2f4e4</t>
  </si>
  <si>
    <t>fc863a6f-7140-4d9a-8250-016bd5e75dbe</t>
  </si>
  <si>
    <t>1978</t>
  </si>
  <si>
    <t xml:space="preserve">stairs, distance </t>
  </si>
  <si>
    <t>e74f3156-d344-4d98-a68f-aa4d0f30b4c6</t>
  </si>
  <si>
    <t>1999</t>
  </si>
  <si>
    <t>94d9763d-3e38-4584-bf54-2ec6ecdb3b53</t>
  </si>
  <si>
    <t>1965</t>
  </si>
  <si>
    <t>25d7ce5a-9fdc-405e-b118-c476edf2f636</t>
  </si>
  <si>
    <t>1961</t>
  </si>
  <si>
    <t>8556ec15-775f-4822-baf4-a55c0946bee9</t>
  </si>
  <si>
    <t>f9e5f896-242e-458f-85c8-bdce6f0f83e7</t>
  </si>
  <si>
    <t>1911</t>
  </si>
  <si>
    <t>9d9c5d4b-dc56-489b-977a-2e46978698f9</t>
  </si>
  <si>
    <t xml:space="preserve">kay, stairs </t>
  </si>
  <si>
    <t>ca632f3d-d9a7-4f75-bac7-fd84dcf978a2</t>
  </si>
  <si>
    <t>1879</t>
  </si>
  <si>
    <t>9185d9c1-7724-46ed-a1e0-707e230230f9</t>
  </si>
  <si>
    <t>1861</t>
  </si>
  <si>
    <t>b8d1483d-53d4-4425-a566-6db2b13907da</t>
  </si>
  <si>
    <t>1835,37,39</t>
  </si>
  <si>
    <t>key, 1 96 out garage , distance</t>
  </si>
  <si>
    <t>79cd829a-c845-4c61-aae9-e150e9e7f526</t>
  </si>
  <si>
    <t>4d7b46f8-6e81-4b12-80af-61b81f1932ec</t>
  </si>
  <si>
    <t>1835</t>
  </si>
  <si>
    <t>c242eca1-4751-4bb2-a64d-52f06cd03e5f</t>
  </si>
  <si>
    <t>c35610f0-f0c5-4c24-a98c-770d7a56a23c</t>
  </si>
  <si>
    <t>1814</t>
  </si>
  <si>
    <t>004d3c29-66f3-4edd-b467-3ebe105975d0</t>
  </si>
  <si>
    <t>1854</t>
  </si>
  <si>
    <t>7bef6e7d-ef67-4514-87fd-337020b5bdf7</t>
  </si>
  <si>
    <t>1874</t>
  </si>
  <si>
    <t>key, status, distance</t>
  </si>
  <si>
    <t>4cb518b2-d569-4663-aeab-0f46fbbf4304</t>
  </si>
  <si>
    <t>61fb621c-7157-4427-a8f7-306a2d91078f</t>
  </si>
  <si>
    <t>1918</t>
  </si>
  <si>
    <t>7501a711-76de-4190-9a43-e9ba4e1bbe4c</t>
  </si>
  <si>
    <t>19242</t>
  </si>
  <si>
    <t>79fcb7e3-4b81-4001-befa-d343bfbe0f33</t>
  </si>
  <si>
    <t>adb44d0f-4e1f-493a-b744-f162392da9a5</t>
  </si>
  <si>
    <t>153184e3-3e4a-4817-9c3a-34c0183e66ff</t>
  </si>
  <si>
    <t>keys stairs</t>
  </si>
  <si>
    <t>314808a3-41b3-4fd9-bc75-77bc8dba8413</t>
  </si>
  <si>
    <t>2755</t>
  </si>
  <si>
    <t>5495f56b-4574-4e85-ab7c-429db18da138</t>
  </si>
  <si>
    <t>2743</t>
  </si>
  <si>
    <t>98cddd62-da39-452d-a222-e3728b485753</t>
  </si>
  <si>
    <t>2739</t>
  </si>
  <si>
    <t>8e484e10-d846-4556-b2bf-9b50d200c88a</t>
  </si>
  <si>
    <t>2619</t>
  </si>
  <si>
    <t>last 3 Lagunas NSH. Stairs, distance</t>
  </si>
  <si>
    <t>2c902514-0ea8-4564-8884-9df932039d2a</t>
  </si>
  <si>
    <t>2617</t>
  </si>
  <si>
    <t>No key</t>
  </si>
  <si>
    <t>edf16c46-fa86-456f-838e-f192c59e8661</t>
  </si>
  <si>
    <t xml:space="preserve">2620 </t>
  </si>
  <si>
    <t xml:space="preserve">No key. </t>
  </si>
  <si>
    <t>88be7220-58df-44e8-98cc-0888eb688ef4</t>
  </si>
  <si>
    <t>1917</t>
  </si>
  <si>
    <t>02fd5397-85d4-4c1e-9aae-333ffb3eee51</t>
  </si>
  <si>
    <t>1890</t>
  </si>
  <si>
    <t>e1db8633-2c7e-4aea-a48c-1eb0e5b83677</t>
  </si>
  <si>
    <t>f7bd1f3b-ad2b-4619-b369-a46fa0648bc9</t>
  </si>
  <si>
    <t>2711</t>
  </si>
  <si>
    <t xml:space="preserve">code </t>
  </si>
  <si>
    <t>727fabe0-ba6e-4c6d-8e76-e6a27052064e</t>
  </si>
  <si>
    <t xml:space="preserve">Code, </t>
  </si>
  <si>
    <t>207e1c32-1ea9-4912-9566-1447e52571aa</t>
  </si>
  <si>
    <t>1c31b16d-0ad3-40bd-a7e0-62ca19d73f24</t>
  </si>
  <si>
    <t>2020</t>
  </si>
  <si>
    <t>key, Broadway is Flat street, walking to customer due to construction blocking curb.</t>
  </si>
  <si>
    <t>29b5ae78-5440-41d9-bb45-1dcbd3e12c3d</t>
  </si>
  <si>
    <t>code, elevation, distance</t>
  </si>
  <si>
    <t>2bdaebda-6efa-4e07-82c1-029408c7b44e</t>
  </si>
  <si>
    <t>aadf61ab-8fba-4e19-8de5-ef030218e2d8</t>
  </si>
  <si>
    <t>d9714cda-ae20-4075-b960-4f55781aed40</t>
  </si>
  <si>
    <t>1981</t>
  </si>
  <si>
    <t>a79922fd-35d6-4d61-a859-4551941d81df</t>
  </si>
  <si>
    <t>1955</t>
  </si>
  <si>
    <t>4107cf23-bd7a-414e-b6f0-34295fb6c71f</t>
  </si>
  <si>
    <t>b866357e-4e66-4c51-b7a4-ed0b5485e537</t>
  </si>
  <si>
    <t>fe3db364-eb3c-45dd-8522-f597dcdc7a8f</t>
  </si>
  <si>
    <t>87deb00b-efd0-46a5-9f3d-9e748f09bc91</t>
  </si>
  <si>
    <t>53244988-c641-4a38-9c7a-9f830512c8bf</t>
  </si>
  <si>
    <t>2348</t>
  </si>
  <si>
    <t>c6a4e222-b1a6-46ea-b857-28c53f9ba672</t>
  </si>
  <si>
    <t>657</t>
  </si>
  <si>
    <t>5c3c37d1-b6ba-4fb4-acc0-0695dedb8fc6</t>
  </si>
  <si>
    <t>599/588</t>
  </si>
  <si>
    <t>wait to cross busy street.</t>
  </si>
  <si>
    <t>5fce8dc8-fae4-4613-8a94-f10dc0280891</t>
  </si>
  <si>
    <t>500</t>
  </si>
  <si>
    <t>5185114b-cf4e-4e1d-be20-9a6101cb9e50</t>
  </si>
  <si>
    <t>690</t>
  </si>
  <si>
    <t>ac397cbf-a902-41e6-b9c6-2c6a5caad6e2</t>
  </si>
  <si>
    <t>255</t>
  </si>
  <si>
    <t>8ca01802-3e51-428c-9e08-f2b80e2e46bd</t>
  </si>
  <si>
    <t>10255bcc-3da1-4654-b8c1-83b421abefdc</t>
  </si>
  <si>
    <t>2cbf0f51-5593-4d81-af30-c615440833e0</t>
  </si>
  <si>
    <t>d77220a0-799a-4d45-b82a-aaf97c5f6da7</t>
  </si>
  <si>
    <t>f9a7ca2c-25f7-4e98-8f95-ce60e7416c79</t>
  </si>
  <si>
    <t>74</t>
  </si>
  <si>
    <t>9709f7f8-0e1c-4c89-b5da-05b27cbf4740</t>
  </si>
  <si>
    <t>clean up</t>
  </si>
  <si>
    <t>1c390153-d220-49dc-b9ec-abb6a401f786</t>
  </si>
  <si>
    <t>201/145/193/200/299/301</t>
  </si>
  <si>
    <t>781d9624-ab96-4913-a24c-e22a4489ac16</t>
  </si>
  <si>
    <t>220/210/201/199</t>
  </si>
  <si>
    <t>867548f9-ec1c-4fd8-b9fd-d1f7a35154e7</t>
  </si>
  <si>
    <t>1a61d2bf-8293-48ee-925e-5fadc0774b11</t>
  </si>
  <si>
    <t>ae374396-d50a-40eb-9b05-41c6d6242618</t>
  </si>
  <si>
    <t>ba511384-a06f-48b1-979f-851847ab8260</t>
  </si>
  <si>
    <t>199/198/298</t>
  </si>
  <si>
    <t>09d8e1e0-4ac3-46cd-8920-72b35b096ecb</t>
  </si>
  <si>
    <t>346</t>
  </si>
  <si>
    <t>131dbec0-71fd-4b84-b656-3a54b9510bb8</t>
  </si>
  <si>
    <t>fa8cd0c0-8bed-434a-98e8-55e01b854b5f</t>
  </si>
  <si>
    <t>13660b6f-611c-4c64-9830-e1cb3e627053</t>
  </si>
  <si>
    <t>fcd5f613-3526-42c3-9533-ece443fea1c9</t>
  </si>
  <si>
    <t>66c77254-278b-4387-88a5-62025080b888</t>
  </si>
  <si>
    <t>217</t>
  </si>
  <si>
    <t>fb714b2a-8665-43d4-8a74-dce5a4bd6bc0</t>
  </si>
  <si>
    <t>1/2</t>
  </si>
  <si>
    <t>Pier</t>
  </si>
  <si>
    <t>7b320714-bd37-41f1-9b28-ae965430c97b</t>
  </si>
  <si>
    <t>7</t>
  </si>
  <si>
    <t>c343b5a3-0718-4650-b5bf-b74f575970b9</t>
  </si>
  <si>
    <t>46cfcba5-a799-4463-b716-5590757d023d</t>
  </si>
  <si>
    <t>9</t>
  </si>
  <si>
    <t>f542bc46-48e2-4c0f-942d-b0df8232a2f8</t>
  </si>
  <si>
    <t>2d1dcda2-c67d-4481-9b61-cd1d4beebc08</t>
  </si>
  <si>
    <t>31</t>
  </si>
  <si>
    <t>e76e4440-cc5c-4eba-84d3-bab814aa5c1e</t>
  </si>
  <si>
    <t>b6d0e756-fabe-4eff-aa63-1268ff47d2b1</t>
  </si>
  <si>
    <t>98</t>
  </si>
  <si>
    <t>e354b83a-0433-4311-9984-ea44f1308c24</t>
  </si>
  <si>
    <t xml:space="preserve">wait to cross traffic </t>
  </si>
  <si>
    <t>26c03900-512f-4564-8b8f-0e3b30044f06</t>
  </si>
  <si>
    <t>7a305500-7312-4019-b4f5-c7bde2e6ea5b</t>
  </si>
  <si>
    <t>e84272dd-139e-460a-b0f4-a4fc89d53ba3</t>
  </si>
  <si>
    <t>d54a7ec8-819d-4ed8-90e2-88acb77215d1</t>
  </si>
  <si>
    <t>5e8ace12-3ab2-4c47-b33e-785a852ee3d3</t>
  </si>
  <si>
    <t>142</t>
  </si>
  <si>
    <t>b5affb0c-61b2-4495-b7aa-f48f2324c4ec</t>
  </si>
  <si>
    <t>1fa3f81d-1654-44e8-ad86-0d642465a0ff</t>
  </si>
  <si>
    <t>daaec7fb-f82a-4255-b801-630afaf218fa</t>
  </si>
  <si>
    <t>22acf441-b5ec-4fa9-8c7b-7fa6b747e7ee</t>
  </si>
  <si>
    <t>cross street</t>
  </si>
  <si>
    <t>395dd4ad-0265-4a6f-b35a-e86cab939135</t>
  </si>
  <si>
    <t>f9fc5647-8d95-4ef6-a2fd-b1bfbafaac39</t>
  </si>
  <si>
    <t>sansome</t>
  </si>
  <si>
    <t>998001d2-9414-4b85-85db-49c7f5579ab2</t>
  </si>
  <si>
    <t xml:space="preserve">Battery </t>
  </si>
  <si>
    <t>ef09c288-be5b-4efd-abe1-4e4f2e7b57b0</t>
  </si>
  <si>
    <t>600/603</t>
  </si>
  <si>
    <t>cb9489eb-ffa3-4b95-a283-b1910369f258</t>
  </si>
  <si>
    <t>447/500</t>
  </si>
  <si>
    <t>479f9dcf-f254-4a54-bdd7-e2afa350bd62</t>
  </si>
  <si>
    <t>e7661400-deb0-4d34-ae95-1153f27a9802</t>
  </si>
  <si>
    <t>7ee53cfe-f7b5-463b-a68f-e60552d708a1</t>
  </si>
  <si>
    <t>542</t>
  </si>
  <si>
    <t>408a845f-0625-48f6-8111-840788acc82b</t>
  </si>
  <si>
    <t>582</t>
  </si>
  <si>
    <t>65302703-3d78-4dff-a28d-c573eebffa08</t>
  </si>
  <si>
    <t>578</t>
  </si>
  <si>
    <t>9150b4d9-a5b1-40bb-9cd8-300e60203ec1</t>
  </si>
  <si>
    <t>590</t>
  </si>
  <si>
    <t>f2e60463-90c9-42dc-b14d-78ec43294e06</t>
  </si>
  <si>
    <t>347a3031-c9ce-421b-b05f-54b22d5b23c6</t>
  </si>
  <si>
    <t>1e8c3df5-f8d6-441e-81d1-66952f9b6436</t>
  </si>
  <si>
    <t>650</t>
  </si>
  <si>
    <t>0563fbed-5956-48ad-8434-8e7c9bc1821d</t>
  </si>
  <si>
    <t>9a7f87da-3576-4089-a16d-2be1d0eb6053</t>
  </si>
  <si>
    <t xml:space="preserve">610/601/101/598 </t>
  </si>
  <si>
    <t>Mission/2nd/Mission</t>
  </si>
  <si>
    <t>ae4773ac-0828-4cca-9732-d3d80749e0fe</t>
  </si>
  <si>
    <t>600/404</t>
  </si>
  <si>
    <t>Harrison/2nd</t>
  </si>
  <si>
    <t>44f1d86d-be02-477a-b355-73385b2ba955</t>
  </si>
  <si>
    <t>e78be59b-16d5-4f91-aedf-c07a455b5971</t>
  </si>
  <si>
    <t>480</t>
  </si>
  <si>
    <t>9c413275-28f9-49c3-add3-cf48586bcda7</t>
  </si>
  <si>
    <t>499/8,500</t>
  </si>
  <si>
    <t>a4878d79-9085-430c-ad8d-7bbed17726e7</t>
  </si>
  <si>
    <t>cross busy street.</t>
  </si>
  <si>
    <t>6c100cc7-68e6-4b64-8347-5c687b322ec1</t>
  </si>
  <si>
    <t>26/44/80/98/110/200</t>
  </si>
  <si>
    <t>2812b38d-9e9f-48e1-b9aa-42b1240ea0d6</t>
  </si>
  <si>
    <t>110</t>
  </si>
  <si>
    <t>a3bed20c-5af5-46ec-8c18-3ec9c22c57e9</t>
  </si>
  <si>
    <t>55842cee-ddf5-4194-b362-60ff7729e1df</t>
  </si>
  <si>
    <t>ba24f7ae-788b-47ce-a17c-23a16df80461</t>
  </si>
  <si>
    <t>456</t>
  </si>
  <si>
    <t>284a80ed-ff8b-44b1-bf83-2502d3dadc5f</t>
  </si>
  <si>
    <t>80466842-716f-4514-a636-a8cf623c7ae1</t>
  </si>
  <si>
    <t>9489fd80-dfa0-4ad5-bf57-c465c1ad1b86</t>
  </si>
  <si>
    <t>546</t>
  </si>
  <si>
    <t>ec49ab2f-f0a3-47e8-8d61-33bd780c5610</t>
  </si>
  <si>
    <t>581</t>
  </si>
  <si>
    <t>06a666c7-b4df-4162-a6b3-7eb03fd11542</t>
  </si>
  <si>
    <t>280</t>
  </si>
  <si>
    <t>149691a5-a29a-4ffd-97d6-81175403e21f</t>
  </si>
  <si>
    <t>15bf00d4-8db3-47db-912d-3375c77666be</t>
  </si>
  <si>
    <t>470f40e7-8685-43bb-87ef-db27c13752e0</t>
  </si>
  <si>
    <t>a884dd9c-f51e-43ba-94a1-47b48d7c2600</t>
  </si>
  <si>
    <t>130</t>
  </si>
  <si>
    <t>3595729b-51a8-4b12-8181-15797faf4134</t>
  </si>
  <si>
    <t>214</t>
  </si>
  <si>
    <t>45f1167b-a4d5-41f8-90de-56f64589e899</t>
  </si>
  <si>
    <t>332</t>
  </si>
  <si>
    <t>2d719809-87f1-4113-a94c-5b1045f67cbd</t>
  </si>
  <si>
    <t>5bf0dc27-c3da-4ac8-a258-1dd03c8d0aca</t>
  </si>
  <si>
    <t>398</t>
  </si>
  <si>
    <t>66111f54-16d2-4087-a8f0-81ae1cb47a5d</t>
  </si>
  <si>
    <t>7ba19801-02c3-42cc-87cb-c6c23cee9a12</t>
  </si>
  <si>
    <t>pulls container w fork</t>
  </si>
  <si>
    <t>989dcea6-7512-4b23-995e-690422f63434</t>
  </si>
  <si>
    <t>0f9a61a8-0569-4dc2-ae42-924d3c69cf9e</t>
  </si>
  <si>
    <t>49028410-431a-4220-bd47-3ae6256c8530</t>
  </si>
  <si>
    <t>svc on geary, lock</t>
  </si>
  <si>
    <t>59693ad2-0786-40d4-bf86-16b4e574868d</t>
  </si>
  <si>
    <t>remote, garage, driver pulls container</t>
  </si>
  <si>
    <t>9b4f2ec2-a092-4bac-b4fc-60bb0e37afa5</t>
  </si>
  <si>
    <t>code to access garage</t>
  </si>
  <si>
    <t>609263fc-6e3f-4794-81ce-e3ef8f226bac</t>
  </si>
  <si>
    <t>e72b6fc6-64e9-41a3-8667-98f6cc4cf312</t>
  </si>
  <si>
    <t>unlocks roll up door, pulls container doesn't put back inside</t>
  </si>
  <si>
    <t>838a2502-b709-40cf-bf72-0b7256119e09</t>
  </si>
  <si>
    <t xml:space="preserve">unlocked container </t>
  </si>
  <si>
    <t>8c9f1a5f-2bf0-4da8-bdf5-c028c92be310</t>
  </si>
  <si>
    <t>3c13222f-db03-4c7b-8fd7-edb03c353a83</t>
  </si>
  <si>
    <t>unlocks gate</t>
  </si>
  <si>
    <t>c161ad1f-4845-449a-b45f-a7788e85495b</t>
  </si>
  <si>
    <t>757</t>
  </si>
  <si>
    <t>unlocks gate, pulls container, drives inside lot and services</t>
  </si>
  <si>
    <t>cf9f5000-3737-4648-833e-06e323e51bec</t>
  </si>
  <si>
    <t>card key, loading dock, svc on beach</t>
  </si>
  <si>
    <t>98f80395-ad17-4358-9923-b65473ba5d88</t>
  </si>
  <si>
    <t>fort mason</t>
  </si>
  <si>
    <t>73f12765-42ce-4c0f-8f7e-e940ffb83b1e</t>
  </si>
  <si>
    <t>2cd7dc83-5e5d-421e-81d6-312f76909769</t>
  </si>
  <si>
    <t>07e2edba-74f0-41e0-8a3c-2b233a02394f</t>
  </si>
  <si>
    <t>fort mason b-c</t>
  </si>
  <si>
    <t>9a54863b-f62c-456a-9ca0-ac41280284d1</t>
  </si>
  <si>
    <t>b87e0e26-0622-44d4-a700-0da5205e4d02</t>
  </si>
  <si>
    <t>in parking lot</t>
  </si>
  <si>
    <t>babb8a6c-8219-47c5-aa98-8be5365826ec</t>
  </si>
  <si>
    <t>Girard Rd</t>
  </si>
  <si>
    <t>6ad31224-2e09-492e-98d9-9fc214ab883d</t>
  </si>
  <si>
    <t>8341362f-081b-45ce-ad4e-aca479adca7c</t>
  </si>
  <si>
    <t xml:space="preserve">down small ramp </t>
  </si>
  <si>
    <t>fdd10fae-33c5-460c-b8c7-7c2c7e980dae</t>
  </si>
  <si>
    <t xml:space="preserve">behind gate unlocks </t>
  </si>
  <si>
    <t>18602c92-c922-48c6-82ec-f8937d753de6</t>
  </si>
  <si>
    <t xml:space="preserve">behind gate enclosur, unlocks and relocks after finishing </t>
  </si>
  <si>
    <t>401c0a63-e9c9-4ac7-8d37-379d6d883b45</t>
  </si>
  <si>
    <t>behind gated enclosure</t>
  </si>
  <si>
    <t>f9a1d2da-8735-40b2-8e5d-f4618f16b19a</t>
  </si>
  <si>
    <t>933</t>
  </si>
  <si>
    <t xml:space="preserve">behind gated enclosure </t>
  </si>
  <si>
    <t>fc7b27f4-278b-40d2-b366-07fb532aa10d</t>
  </si>
  <si>
    <t>behind gated enclosure. driver pulls container, relocks wncloaure</t>
  </si>
  <si>
    <t>40c20992-15d8-48fe-9af7-1e8005254a65</t>
  </si>
  <si>
    <t xml:space="preserve">behind gated enclosure, puts back container and closets gate after seevicubg </t>
  </si>
  <si>
    <t>97ce92a7-ce7f-4c9d-8620-2b797debc94c</t>
  </si>
  <si>
    <t xml:space="preserve">gets trick and pulls container </t>
  </si>
  <si>
    <t>c068f450-c176-4da5-9a6a-5fe73fe50d72</t>
  </si>
  <si>
    <t>dd0a220b-23e0-4ab3-a899-fb9a71d98215</t>
  </si>
  <si>
    <t>bb8f76e7-dc42-4035-be77-fbc684fe522e</t>
  </si>
  <si>
    <t>808a2e45-820a-4d25-a0db-21ddb3c47a94</t>
  </si>
  <si>
    <t>746</t>
  </si>
  <si>
    <t>uses remote to access, behind gate, driver gets out and pulls conntainer</t>
  </si>
  <si>
    <t>dcb220c7-480d-40d4-8c1e-7ae2e0c1b9ef</t>
  </si>
  <si>
    <t>999</t>
  </si>
  <si>
    <t xml:space="preserve">unlocks container </t>
  </si>
  <si>
    <t>4dcb5795-9c19-4e45-bc8e-27b1d3a667d2</t>
  </si>
  <si>
    <t>unlocked container, svc kn alley</t>
  </si>
  <si>
    <t>75422b0e-1ed3-466e-8d49-a99de9eb3e8f</t>
  </si>
  <si>
    <t>1059/1095</t>
  </si>
  <si>
    <t xml:space="preserve">customer pulls out to curb </t>
  </si>
  <si>
    <t>75c8ccbf-10c2-4784-b8aa-c62b5191c558</t>
  </si>
  <si>
    <t xml:space="preserve">drives ju nto loadsting dock. drives out services and puts back </t>
  </si>
  <si>
    <t>3adb920d-28c9-49fd-a0a1-589d8ae559fb</t>
  </si>
  <si>
    <t>e68b4dae-4a1a-408f-85b9-836bc9832fd5</t>
  </si>
  <si>
    <t>1790</t>
  </si>
  <si>
    <t>in parking lot, lots of cars due to traffic</t>
  </si>
  <si>
    <t>5f092d37-d6fe-4033-ae09-08191dcf4afa</t>
  </si>
  <si>
    <t>1199</t>
  </si>
  <si>
    <t>6aa6603c-f771-4824-a9c9-a3041b9784e3</t>
  </si>
  <si>
    <t>East Beach</t>
  </si>
  <si>
    <t xml:space="preserve">inside locked enclosure, gets out to pull container out, relocks </t>
  </si>
  <si>
    <t>b4eadb92-fb19-4bf4-bd38-29179bf4c3c6</t>
  </si>
  <si>
    <t xml:space="preserve">Golden Gate Bridge </t>
  </si>
  <si>
    <t>calls customer, behind gate, down ramp, tight space. calls customer to exit</t>
  </si>
  <si>
    <t>db28f909-6cbf-4982-841e-cec50fa2011b</t>
  </si>
  <si>
    <t>9000</t>
  </si>
  <si>
    <t>back or building, compactor, has to lock back into locking system</t>
  </si>
  <si>
    <t>3042b879-7c09-4984-afe2-32b901209d6a</t>
  </si>
  <si>
    <t>1202</t>
  </si>
  <si>
    <t>inside enclosure, geys out pulls container</t>
  </si>
  <si>
    <t>d72bc011-ebdc-4fd1-a660-54ab110db241</t>
  </si>
  <si>
    <t>backs up in reverse, steep hill</t>
  </si>
  <si>
    <t>b526583e-b6f5-4822-9c37-02a9d7a60c7b</t>
  </si>
  <si>
    <t>exits un reverse steep hill</t>
  </si>
  <si>
    <t>55b6855b-90eb-4206-a5af-3401b35ceb34</t>
  </si>
  <si>
    <t>backs up in reverse steep hill</t>
  </si>
  <si>
    <t>ddf92601-2eb8-4d36-9221-30ae057b8a6b</t>
  </si>
  <si>
    <t>1552</t>
  </si>
  <si>
    <t>exits in reverse steep hill</t>
  </si>
  <si>
    <t>11694061-fd5e-4614-b336-f674f9b28912</t>
  </si>
  <si>
    <t>13130d21-c1c4-4dc5-9f72-cb6eaf5690b0</t>
  </si>
  <si>
    <t>8fb04487-142a-4f1a-bfb8-a68ab380bf43</t>
  </si>
  <si>
    <t>06dab9d2-9f72-4177-800f-f8918daaceef</t>
  </si>
  <si>
    <t>5e2ce2ce-6a16-4d99-b5ac-c8dfd0e9c5c1</t>
  </si>
  <si>
    <t>be959dbe-49bb-44ca-aff4-9d01964e14be</t>
  </si>
  <si>
    <t>b712dc63-0a30-4031-a585-acf5ef5fa335</t>
  </si>
  <si>
    <t>cf76f5cf-0194-40fe-9d2b-1ca1835066aa</t>
  </si>
  <si>
    <t>0f0c4383-af2f-4090-9737-645ae2a639fc</t>
  </si>
  <si>
    <t>1cb40734-e072-4870-8711-af9016d5151f</t>
  </si>
  <si>
    <t>329a3394-7992-46d2-983d-336c7f3f0753</t>
  </si>
  <si>
    <t>1586</t>
  </si>
  <si>
    <t>7d3e2686-155b-4e72-9c57-d98be3a85438</t>
  </si>
  <si>
    <t>f97c28ba-c472-41c3-aabe-561f7207af39</t>
  </si>
  <si>
    <t>482447be-733a-424b-9e52-c8f7fd725e4a</t>
  </si>
  <si>
    <t>be0de142-dbf0-4f50-8f85-8f5c8524fc02</t>
  </si>
  <si>
    <t>a0445c8b-9a23-49dd-8696-5323495bd972</t>
  </si>
  <si>
    <t>1517</t>
  </si>
  <si>
    <t>48258a1d-5479-4d4b-b327-d11d30a664ed</t>
  </si>
  <si>
    <t>44f22514-964a-4e34-92ab-6ccde6048fd2</t>
  </si>
  <si>
    <t>d624a660-4bee-4c1b-aee0-af5b196dcea6</t>
  </si>
  <si>
    <t>8a7eabd2-b969-4d60-93dc-c27eef4da64b</t>
  </si>
  <si>
    <t>5678abf2-20e5-4f0f-910a-5f0f98a1efe7</t>
  </si>
  <si>
    <t>a4f29ea2-c973-4c13-af42-df379132a07f</t>
  </si>
  <si>
    <t>0879bc84-aad5-46b2-bc92-18828576e4c7</t>
  </si>
  <si>
    <t>39a40f07-ffa1-41ee-957c-dedfb3ae4e69</t>
  </si>
  <si>
    <t>exits in reverse steep hill, parking lot kept time running</t>
  </si>
  <si>
    <t>6d231e33-0011-4069-b0cf-74f5d3347129</t>
  </si>
  <si>
    <t>be2b1cd8-5267-44b6-82cc-e1fba27bd2c9</t>
  </si>
  <si>
    <t>timer started when entering parking lot</t>
  </si>
  <si>
    <t>d57b78f0-e540-4c1f-b901-ead37b1b2ee5</t>
  </si>
  <si>
    <t>1100/1116</t>
  </si>
  <si>
    <t>1 city can container 1100</t>
  </si>
  <si>
    <t>53df15d7-6936-416a-9c97-883e29e9f398</t>
  </si>
  <si>
    <t>toter o the righ</t>
  </si>
  <si>
    <t>0d13d71b-ff46-4c28-b8c3-0e5d97db7c71</t>
  </si>
  <si>
    <t>40d665d0-c1ea-4d21-b707-022f60a2b6a0</t>
  </si>
  <si>
    <t>1233</t>
  </si>
  <si>
    <t>service on fern</t>
  </si>
  <si>
    <t>3b8cc793-d8c3-4eb8-b882-f98589e97a95</t>
  </si>
  <si>
    <t>b27bb588-eb75-4955-a056-bb27459686f9</t>
  </si>
  <si>
    <t>1338</t>
  </si>
  <si>
    <t>frescos pizza shwatma, customer takes out can for driver</t>
  </si>
  <si>
    <t>7988b530-11d2-438d-adc9-8efcb7d91bcb</t>
  </si>
  <si>
    <t>1428</t>
  </si>
  <si>
    <t>e9e6f6e7-69fd-4cb8-ac1c-2eb5b35a9623</t>
  </si>
  <si>
    <t>ec1e40c3-a3a8-4c1d-ae09-bc2cb7a6e3ac</t>
  </si>
  <si>
    <t>01ecec3d-ad92-4199-8d66-320662701f9c</t>
  </si>
  <si>
    <t>city canp</t>
  </si>
  <si>
    <t>42dc1f03-44c0-4ba1-bc19-6dc837afa597</t>
  </si>
  <si>
    <t>a1bfc4a7-c4ec-495c-a985-9cd4c0228c1c</t>
  </si>
  <si>
    <t>walgreens</t>
  </si>
  <si>
    <t>8ea92db4-0fd3-4f39-959d-849149ce4d8a</t>
  </si>
  <si>
    <t>11aead49-5f09-447e-998d-8cf56806a114</t>
  </si>
  <si>
    <t>shirley hotel, up 15 stairs</t>
  </si>
  <si>
    <t>b2c1a001-a150-4b33-8b1e-cabaf3924235</t>
  </si>
  <si>
    <t>c504bb80-b312-4bbe-b84e-041389184e37</t>
  </si>
  <si>
    <t>donut shop orspa</t>
  </si>
  <si>
    <t>80988caf-aa90-4123-9bb8-319955f929f2</t>
  </si>
  <si>
    <t>depot or nara</t>
  </si>
  <si>
    <t>ad2e9ac5-19b3-446b-b11f-21cf48219181</t>
  </si>
  <si>
    <t>1502</t>
  </si>
  <si>
    <t>city can odd side across street chase 1500</t>
  </si>
  <si>
    <t>2dbae6d2-4463-4fd2-82e8-e0f3d85387ed</t>
  </si>
  <si>
    <t>1538</t>
  </si>
  <si>
    <t>b05833e7-aeba-4f92-b013-8e330c4abe60</t>
  </si>
  <si>
    <t>1475</t>
  </si>
  <si>
    <t>eb91bbb7-063a-46a5-a751-9d23198c65ca</t>
  </si>
  <si>
    <t>1445/1452</t>
  </si>
  <si>
    <t>9a50038a-a164-4f17-81d2-dd9c68960423</t>
  </si>
  <si>
    <t>1411</t>
  </si>
  <si>
    <t>5fc043bb-29a1-46e0-8560-d73b7d0c2cec</t>
  </si>
  <si>
    <t>1431</t>
  </si>
  <si>
    <t>f999f0ef-3abd-4295-b3d4-6ce0e7e2fc2a</t>
  </si>
  <si>
    <t>1411/1409</t>
  </si>
  <si>
    <t>95b488e4-57d0-46c2-bd63-9877a975be80</t>
  </si>
  <si>
    <t>8e828f8e-a85c-4009-b862-a4b21e8676c9</t>
  </si>
  <si>
    <t>1 city can 1380</t>
  </si>
  <si>
    <t>19df250b-c3b0-475e-8ae3-adc9587fae7f</t>
  </si>
  <si>
    <t xml:space="preserve">2 city cans on hush meander </t>
  </si>
  <si>
    <t>636de24d-d0fd-41d4-89be-5e42b49ac268</t>
  </si>
  <si>
    <t>hschool behind gste</t>
  </si>
  <si>
    <t>513cb9bf-db41-45ec-ae86-5d011bd2801c</t>
  </si>
  <si>
    <t>1331/1351</t>
  </si>
  <si>
    <t xml:space="preserve">city can and 2 toters </t>
  </si>
  <si>
    <t>a13ff324-a5dd-48ab-a21a-8b5f3926c90a</t>
  </si>
  <si>
    <t>1247</t>
  </si>
  <si>
    <t>1 city catwalks distance fir can</t>
  </si>
  <si>
    <t>3aa9c90e-4c51-4b6f-a3d9-b3006acf2d5e</t>
  </si>
  <si>
    <t>1239</t>
  </si>
  <si>
    <t>mcteahues saloon</t>
  </si>
  <si>
    <t>e253d75c-a103-45be-b2f2-8bd266eb5f71</t>
  </si>
  <si>
    <t>1219</t>
  </si>
  <si>
    <t>dc30cd8f-fe51-4f33-a56e-3bf32f5fdfc9</t>
  </si>
  <si>
    <t>a0a11e30-f15d-45c9-b1bd-7f7fa2f78865</t>
  </si>
  <si>
    <t>1238/1268</t>
  </si>
  <si>
    <t>05902df5-6058-4e1e-b12a-e4fb1f1633d8</t>
  </si>
  <si>
    <t>331f058e-3bdb-469e-baff-bbcaa9c41947</t>
  </si>
  <si>
    <t>298f9669-ba38-4c54-9397-33f61200fcce</t>
  </si>
  <si>
    <t>b2efc215-9fe4-47e7-b311-876f881a1e80</t>
  </si>
  <si>
    <t>inside garage</t>
  </si>
  <si>
    <t>03a2957a-1fa0-46f9-8af0-fef7474df344</t>
  </si>
  <si>
    <t>ef7d7285-90b2-43ef-8e99-9b2a292d7dae</t>
  </si>
  <si>
    <t>1138</t>
  </si>
  <si>
    <t>8a4cf1d5-83e2-4c96-bf4b-d5eb5398983a</t>
  </si>
  <si>
    <t>1140</t>
  </si>
  <si>
    <t>cb01d916-b013-42c9-9387-818b796255cb</t>
  </si>
  <si>
    <t>009d9ec3-cfd1-4183-905b-ee33c5409590</t>
  </si>
  <si>
    <t>inside on pine st, up 4 steps</t>
  </si>
  <si>
    <t>021fdb38-a1e0-470a-87a7-3fc8d1f8309e</t>
  </si>
  <si>
    <t>even</t>
  </si>
  <si>
    <t>5a9101a8-d691-4c68-9939-bb4fb985f9a5</t>
  </si>
  <si>
    <t>1485</t>
  </si>
  <si>
    <t>bffec18c-cbf0-4446-83e5-9e42ba476d6a</t>
  </si>
  <si>
    <t xml:space="preserve">batter bakery </t>
  </si>
  <si>
    <t>6e0d4ebb-7f8d-47cf-94f9-bcb14b0bc14f</t>
  </si>
  <si>
    <t>address on van ness, enter a door e sc its through garage</t>
  </si>
  <si>
    <t>51a1641b-d6ca-47c7-8447-0b4006263a6f</t>
  </si>
  <si>
    <t>next ti  peets, opens garage down ramp</t>
  </si>
  <si>
    <t>183966d8-8cdf-4517-a808-c46ea27d4e9f</t>
  </si>
  <si>
    <t>e71157ac-1479-482e-9acd-8fb5dadcfb3a</t>
  </si>
  <si>
    <t>a7db509f-bb91-41e8-b602-d7560341bc52</t>
  </si>
  <si>
    <t>2422e6af-1d08-41ad-b80d-f6a8136f32b0</t>
  </si>
  <si>
    <t>b71ea7be-f601-4ad7-bb9e-9dffacfdf005</t>
  </si>
  <si>
    <t>1422</t>
  </si>
  <si>
    <t>50e151be-603f-49bf-abb7-5ee6e4e45e14</t>
  </si>
  <si>
    <t>8616b1c9-57fa-499a-9ed0-71a7a91c593e</t>
  </si>
  <si>
    <t>64a7d028-354b-47d7-9f0b-534ec7f97e90</t>
  </si>
  <si>
    <t>1454</t>
  </si>
  <si>
    <t>257ed4d4-68e7-4e20-947a-61fa86b8ebf4</t>
  </si>
  <si>
    <t>783ac036-2ad8-46db-bd24-f9c775aaa7d9</t>
  </si>
  <si>
    <t>225b02bc-c3b7-400a-b327-24db22453e31</t>
  </si>
  <si>
    <t>140e1bac-b8ed-4b65-9a71-b533b9a65bdf</t>
  </si>
  <si>
    <t>1530/1548</t>
  </si>
  <si>
    <t>9f9560ce-89c9-4e54-a702-832025610c52</t>
  </si>
  <si>
    <t>1572</t>
  </si>
  <si>
    <t>be15fd84-969a-472f-a71f-bee5ea845197</t>
  </si>
  <si>
    <t>90c365c0-4d60-4465-a546-a39cd64de5c7</t>
  </si>
  <si>
    <t>524f962d-1d71-474e-aee5-f8026772fff0</t>
  </si>
  <si>
    <t>1624</t>
  </si>
  <si>
    <t>ee905dd0-59f5-4d1a-8879-b6f718be8e27</t>
  </si>
  <si>
    <t>7734a4cd-9fc6-4319-b973-04b245391130</t>
  </si>
  <si>
    <t>6d158697-b37d-44f0-b56a-2ad76f5202d9</t>
  </si>
  <si>
    <t>1e4959d8-cb4a-4b2e-8a5c-08fc0eba61fe</t>
  </si>
  <si>
    <t>9ba27ae0-991d-459c-aa61-98143078a62c</t>
  </si>
  <si>
    <t>57cf2d79-905e-471c-9ecf-aecfb5a1fe4a</t>
  </si>
  <si>
    <t>1720</t>
  </si>
  <si>
    <t>a8040012-d3ae-4228-a139-0034b2cd93bc</t>
  </si>
  <si>
    <t>1722</t>
  </si>
  <si>
    <t>20bf1a12-0c49-458b-a36f-14514b7d5e8e</t>
  </si>
  <si>
    <t>30abcdb2-21d4-4ff7-ac21-2492cea3f5b5</t>
  </si>
  <si>
    <t>1633</t>
  </si>
  <si>
    <t>4130f66a-24db-4274-ad39-6327988b4db1</t>
  </si>
  <si>
    <t>b9ea3637-55ae-4b90-bcc9-580b7dac6a46</t>
  </si>
  <si>
    <t>1042</t>
  </si>
  <si>
    <t>cee561a1-8683-40cd-a4c5-aa7bb8337d52</t>
  </si>
  <si>
    <t>1010</t>
  </si>
  <si>
    <t>down 5-10 steps</t>
  </si>
  <si>
    <t>76834d80-abd0-4ef2-a3b2-d82f0e0fd5ca</t>
  </si>
  <si>
    <t>through gate down narrow walkway</t>
  </si>
  <si>
    <t>22074c4c-e09d-4c19-8626-05e71a142f60</t>
  </si>
  <si>
    <t>838</t>
  </si>
  <si>
    <t>st Francis memorial hospital, behind gate</t>
  </si>
  <si>
    <t>76e7ae0b-a5b3-494b-ab7d-71da7d1c28cb</t>
  </si>
  <si>
    <t>835</t>
  </si>
  <si>
    <t>narrow walkway colombiji bistro</t>
  </si>
  <si>
    <t>95beba7e-7c89-456e-9703-998336b0787b</t>
  </si>
  <si>
    <t>9a8dcb17-e410-4a6a-baaf-c0b1082c0f29</t>
  </si>
  <si>
    <t>9c6ca1c9-81c0-4d52-a18d-5572125befa9</t>
  </si>
  <si>
    <t>svc on sutter</t>
  </si>
  <si>
    <t>5b03587b-4550-40b4-91d7-f9671b1baa0d</t>
  </si>
  <si>
    <t>3b12c947-0848-4e72-b9ee-221a83318f3c</t>
  </si>
  <si>
    <t>1253/1257</t>
  </si>
  <si>
    <t>4b348e6c-e44b-41e1-81af-e3ede04866d6</t>
  </si>
  <si>
    <t>8479ce20-bfae-4cd2-8a8f-14d80d8bcb11</t>
  </si>
  <si>
    <t>9041a6c3-150a-4cdb-9c47-d9f33efbe290</t>
  </si>
  <si>
    <t>1fa4a312-c935-4b44-91b2-ed02da3243dc</t>
  </si>
  <si>
    <t>738420a5-12ac-49d0-9691-a477807dd8aa</t>
  </si>
  <si>
    <t>1153</t>
  </si>
  <si>
    <t>d22db0d7-b52a-4a7e-bfeb-5d676a59be12</t>
  </si>
  <si>
    <t>1e4c2d9f-3ba4-43c6-833e-d5a99f78ca26</t>
  </si>
  <si>
    <t>1106</t>
  </si>
  <si>
    <t>974b133f-606f-4c86-9deb-debca97b8d15</t>
  </si>
  <si>
    <t>435a6497-4f60-4b9d-a36c-818e1d3d0cd0</t>
  </si>
  <si>
    <t>1250</t>
  </si>
  <si>
    <t>10ff5b42-64d7-455f-ba1c-abe42b17c12b</t>
  </si>
  <si>
    <t>st Francis memorial loading dock</t>
  </si>
  <si>
    <t>ea1aeb1d-0b21-4a44-b316-173170f72b12</t>
  </si>
  <si>
    <t>1280/</t>
  </si>
  <si>
    <t>narrow walkway, 2nd address up 10 steps</t>
  </si>
  <si>
    <t>ab804906-6aa9-431f-9bb2-950245097c30</t>
  </si>
  <si>
    <t>door 8 steps down then another locked door, 4 steps</t>
  </si>
  <si>
    <t>cd5302ff-3fc5-424b-9616-eccfca0cfafc</t>
  </si>
  <si>
    <t>1346</t>
  </si>
  <si>
    <t>1fa7e42d-276e-43f1-992a-c7ab02200df5</t>
  </si>
  <si>
    <t>narrow walkway, up 4 steps</t>
  </si>
  <si>
    <t>fc77da8d-c05c-4ab7-a233-1348e012eb61</t>
  </si>
  <si>
    <t>d1ddaed9-27b0-4a3e-a666-1225d3efdb0d</t>
  </si>
  <si>
    <t>96g locked toter</t>
  </si>
  <si>
    <t>163d64b5-8a39-48b7-9b33-344d03fc1072</t>
  </si>
  <si>
    <t>1430</t>
  </si>
  <si>
    <t>8f1aaa5d-c008-4499-9719-67331a332f09</t>
  </si>
  <si>
    <t>c5c33d0a-c7ea-4da9-b26f-2286b037e9b7</t>
  </si>
  <si>
    <t>1315</t>
  </si>
  <si>
    <t>91260c92-57a5-4778-9f32-9d0550b755c8</t>
  </si>
  <si>
    <t>3318</t>
  </si>
  <si>
    <t>47f0737e-62e3-426b-ab5a-0ca060c7394e</t>
  </si>
  <si>
    <t>.</t>
  </si>
  <si>
    <t>33e4bc89-4bae-436d-bade-1cf95f18ab66</t>
  </si>
  <si>
    <t>1d2b4a6f-c111-42fa-aa94-031435a7c674</t>
  </si>
  <si>
    <t>0c2bc868-aff8-4bbe-a04c-25eb185d71b8</t>
  </si>
  <si>
    <t>2089</t>
  </si>
  <si>
    <t>e84ee683-9db6-4a08-b6d8-d0a26cc99370</t>
  </si>
  <si>
    <t>2108</t>
  </si>
  <si>
    <t>a9148654-2d55-49bd-85d5-a5cc7261cf42</t>
  </si>
  <si>
    <t>deb7cb86-e08b-4496-8382-5ad86de74e93</t>
  </si>
  <si>
    <t>15551d23-335c-4f42-a281-c21d2d351f8e</t>
  </si>
  <si>
    <t>2146</t>
  </si>
  <si>
    <t>ca719a47-ee71-4166-ba36-8119f733674a</t>
  </si>
  <si>
    <t>2154</t>
  </si>
  <si>
    <t>67c7f317-8ad9-4e18-9562-b8a757a8dc44</t>
  </si>
  <si>
    <t>2172</t>
  </si>
  <si>
    <t>d4778a3b-08ea-4ee6-8ed0-1a41dda435ce</t>
  </si>
  <si>
    <t>2228</t>
  </si>
  <si>
    <t>b1160c62-bd9b-4ecf-a9bf-e6a688a923b1</t>
  </si>
  <si>
    <t>9307dba7-a613-489b-bd0b-9e497825b650</t>
  </si>
  <si>
    <t>c2ee8c44-0d38-4a17-a1d7-ed7531a023e0</t>
  </si>
  <si>
    <t>a8dc192e-776e-4e33-929b-b59a69c89e5f</t>
  </si>
  <si>
    <t>f4c26cd4-f240-4881-b95e-73b4488f8341</t>
  </si>
  <si>
    <t>d55266b0-3510-4f71-96e9-b0eaa8183dc1</t>
  </si>
  <si>
    <t>1c1dad4a-e61e-43c3-b03c-fcfed77d97b8</t>
  </si>
  <si>
    <t>b822f9ec-781b-481d-a3f5-6b7df58a1f20</t>
  </si>
  <si>
    <t>729b9687-877f-4b38-9198-5404433a2e72</t>
  </si>
  <si>
    <t>77c2a200-b709-4870-9f3c-7d7be76374f7</t>
  </si>
  <si>
    <t>99e15263-ca0c-4308-a0f6-0516c6a6aa22</t>
  </si>
  <si>
    <t>ec087d54-4982-4695-b239-6cc9cc75709d</t>
  </si>
  <si>
    <t>2149</t>
  </si>
  <si>
    <t>flay</t>
  </si>
  <si>
    <t>d6cbf2bd-926f-4c23-a9ea-a16aa53cc8ef</t>
  </si>
  <si>
    <t>e5e7e55c-53fa-46e3-9668-1decfad38ea2</t>
  </si>
  <si>
    <t>531943ef-1354-4d40-874a-ce0e9754d41c</t>
  </si>
  <si>
    <t>24cdb14b-e2b2-4e4c-87ed-298002733219</t>
  </si>
  <si>
    <t>66eefca2-d0a6-4af0-992a-bdff3899b420</t>
  </si>
  <si>
    <t>72947f7a-fccf-4db1-a890-7632c54f69af</t>
  </si>
  <si>
    <t>01cc8345-6149-4eef-af8a-99c47eb58027</t>
  </si>
  <si>
    <t>df59485e-cb6e-4703-8398-d78420c9eb4f</t>
  </si>
  <si>
    <t>978c5390-0aef-467b-9a1a-b0e5807e4de4</t>
  </si>
  <si>
    <t>0768d976-dc04-48f6-a3cb-f3591cede04c</t>
  </si>
  <si>
    <t>3201</t>
  </si>
  <si>
    <t>ddd4d76b-c0c4-4511-ab06-bf36f0cb573b</t>
  </si>
  <si>
    <t>2322</t>
  </si>
  <si>
    <t>b3eb0097-4fe8-4798-b07b-8a239ef87ce7</t>
  </si>
  <si>
    <t>e8697093-3b7e-42e2-83a3-60b187082f86</t>
  </si>
  <si>
    <t>3339</t>
  </si>
  <si>
    <t>e4ccc10b-4cf3-456e-9458-328ead32a7d1</t>
  </si>
  <si>
    <t>3337</t>
  </si>
  <si>
    <t>59179d40-a07d-4665-84e9-58e39cbc46d9</t>
  </si>
  <si>
    <t>3333</t>
  </si>
  <si>
    <t>a650bd0b-439d-4e95-aa21-a829c98391c4</t>
  </si>
  <si>
    <t>88486bf7-f12f-466b-bdd2-932a2229f091</t>
  </si>
  <si>
    <t>159/165</t>
  </si>
  <si>
    <t>e2b0a9b5-9dd9-4839-b65c-ef9d69742901</t>
  </si>
  <si>
    <t>893467e2-da50-4e53-9082-26b9987103ff</t>
  </si>
  <si>
    <t>125</t>
  </si>
  <si>
    <t>9b89724a-66b0-47eb-821b-61f24d13b9b2</t>
  </si>
  <si>
    <t>405192f4-ed60-4859-a0a1-ba6559da9fdb</t>
  </si>
  <si>
    <t>3449</t>
  </si>
  <si>
    <t>f82b2cfb-284b-4690-b52e-5ad65e08d4e5</t>
  </si>
  <si>
    <t>f5ebf371-fe33-4881-b453-bfef27b47c5b</t>
  </si>
  <si>
    <t>e059a06c-3fdf-4ff6-bf68-72ba40ca5ac6</t>
  </si>
  <si>
    <t>e0d4ad10-4e4f-46a0-8392-185a93420f41</t>
  </si>
  <si>
    <t>165</t>
  </si>
  <si>
    <t>47d1ad50-6de2-44e3-957f-fd2bafeb84fe</t>
  </si>
  <si>
    <t>137</t>
  </si>
  <si>
    <t>058600e9-32ab-4003-ab82-55da13e101e6</t>
  </si>
  <si>
    <t>0ec271e7-3c7b-4714-9fb1-10e8d3f76796</t>
  </si>
  <si>
    <t>117</t>
  </si>
  <si>
    <t>b026541d-e156-4e05-9882-cb53c77e74c9</t>
  </si>
  <si>
    <t>ba436ae0-fe1f-451a-bfce-89f4c362ea0d</t>
  </si>
  <si>
    <t>60c75cb0-98c0-435a-bef2-be79f477a75f</t>
  </si>
  <si>
    <t>c17e446a-106d-471d-8119-46313a5e2bc5</t>
  </si>
  <si>
    <t>26</t>
  </si>
  <si>
    <t>5a970359-44a3-483c-9104-d950eac36268</t>
  </si>
  <si>
    <t>b08ca88f-8b3d-40e8-801a-4e0f8524d71f</t>
  </si>
  <si>
    <t>25ed7564-4613-4810-a09b-3ec4d967542d</t>
  </si>
  <si>
    <t>60</t>
  </si>
  <si>
    <t>63731e77-ed38-49a6-bb90-d2aaae26cb9d</t>
  </si>
  <si>
    <t>66</t>
  </si>
  <si>
    <t>3c915c16-7622-4a6b-8b00-5c82044a71c8</t>
  </si>
  <si>
    <t>76</t>
  </si>
  <si>
    <t>a3852563-1295-4590-a1c9-1ec06b404926</t>
  </si>
  <si>
    <t>102</t>
  </si>
  <si>
    <t>fbe53975-e469-4735-b214-dfa9aa3787c1</t>
  </si>
  <si>
    <t>112</t>
  </si>
  <si>
    <t>flat</t>
  </si>
  <si>
    <t>cbaa51ef-83ed-44f5-8b29-362e5d473c73</t>
  </si>
  <si>
    <t>118</t>
  </si>
  <si>
    <t>57bc0e5a-879c-4190-9e83-95d3399db187</t>
  </si>
  <si>
    <t>130/132</t>
  </si>
  <si>
    <t>d2f3a706-1893-47e0-b254-8ac6ff8665b9</t>
  </si>
  <si>
    <t>16c44a22-aa8f-4052-b21b-18a3eecd5038</t>
  </si>
  <si>
    <t>154</t>
  </si>
  <si>
    <t>9549e000-9d9d-44f8-b028-5583b5128bae</t>
  </si>
  <si>
    <t>212</t>
  </si>
  <si>
    <t>08e23a14-ee95-427e-b21e-447e7a2dc3a8</t>
  </si>
  <si>
    <t>5ee792ec-3d17-4bc6-9857-e5180b782e8d</t>
  </si>
  <si>
    <t>222-24</t>
  </si>
  <si>
    <t>f0f5bba1-178f-43df-b23b-6ce63b510f49</t>
  </si>
  <si>
    <t>226</t>
  </si>
  <si>
    <t>4bff5836-f089-47d1-abee-74da314c6558</t>
  </si>
  <si>
    <t>248</t>
  </si>
  <si>
    <t>92165a11-8ff6-4df4-8a26-ec7649099b50</t>
  </si>
  <si>
    <t>cdabfe05-acd0-4a25-b3ab-98cafc53a1ff</t>
  </si>
  <si>
    <t>268</t>
  </si>
  <si>
    <t>07ce5c08-0b95-4b35-8b77-440791c0eb9f</t>
  </si>
  <si>
    <t>278</t>
  </si>
  <si>
    <t>813abfd2-f284-41e6-9285-d496e5212776</t>
  </si>
  <si>
    <t>275</t>
  </si>
  <si>
    <t>3507fe12-09f7-4707-bdf8-66c867bf5a9e</t>
  </si>
  <si>
    <t>114</t>
  </si>
  <si>
    <t>e46d4769-5c78-4a6d-b489-85d03ce1b2dc</t>
  </si>
  <si>
    <t>476c55de-c77e-4790-8c4c-f6833d47a90b</t>
  </si>
  <si>
    <t>126-132</t>
  </si>
  <si>
    <t>9c573326-3ddd-418c-a75b-e002f80cdf39</t>
  </si>
  <si>
    <t>152/158</t>
  </si>
  <si>
    <t>ca0c00fa-0951-489e-ba8c-f5954bb63df8</t>
  </si>
  <si>
    <t>162</t>
  </si>
  <si>
    <t>775ce634-8dda-40de-af88-66fadec1843d</t>
  </si>
  <si>
    <t>230</t>
  </si>
  <si>
    <t>a38c9de4-e3b8-4f9d-a13e-65164666e0ad</t>
  </si>
  <si>
    <t>240</t>
  </si>
  <si>
    <t>cd2d74a9-aa1c-4538-888e-bb22fcc954a2</t>
  </si>
  <si>
    <t>2a27596d-2999-44f6-b35a-1401277d87a0</t>
  </si>
  <si>
    <t>465</t>
  </si>
  <si>
    <t>5e0029cd-71f9-4a32-8f22-79bd1733f676</t>
  </si>
  <si>
    <t>445</t>
  </si>
  <si>
    <t>8c881b90-0215-4f49-b02d-633b5ab98d31</t>
  </si>
  <si>
    <t>439</t>
  </si>
  <si>
    <t>7e8b8919-7400-4f97-bd8c-cdaf5f2a4694</t>
  </si>
  <si>
    <t>431</t>
  </si>
  <si>
    <t>a1e6f24a-7cd5-4172-a2d2-f0dc9a38ab49</t>
  </si>
  <si>
    <t>Service on Avial</t>
  </si>
  <si>
    <t>91b559f4-2ce0-42eb-b8ef-c47188e446b5</t>
  </si>
  <si>
    <t>259</t>
  </si>
  <si>
    <t>4ce979c7-3b71-4d7c-a331-1578211536bd</t>
  </si>
  <si>
    <t>251</t>
  </si>
  <si>
    <t>04100b7e-9283-4538-9248-b0c565a78896</t>
  </si>
  <si>
    <t>233</t>
  </si>
  <si>
    <t>76cb30bf-3bdb-462d-9742-b684a89980ff</t>
  </si>
  <si>
    <t>440</t>
  </si>
  <si>
    <t>e172176f-e204-4304-ac32-86328890536a</t>
  </si>
  <si>
    <t>490</t>
  </si>
  <si>
    <t>3e9769a9-9bd2-42c8-97f7-99e34c32f763</t>
  </si>
  <si>
    <t>411</t>
  </si>
  <si>
    <t>55acbb8a-fdc3-4ddc-8b6e-4c028aef41a1</t>
  </si>
  <si>
    <t>364ef03e-bcfe-4f51-baab-ee3436cbdd4e</t>
  </si>
  <si>
    <t>59</t>
  </si>
  <si>
    <t>e9c19a06-621e-44ef-abe8-7e661d645bf8</t>
  </si>
  <si>
    <t>aa86617f-07a1-4da1-ba8a-3d71526fb1a7</t>
  </si>
  <si>
    <t>49</t>
  </si>
  <si>
    <t>e7d08915-fc2b-4179-b902-88973ae73ef5</t>
  </si>
  <si>
    <t>9f2e22c9-fd88-4d44-b0d4-040c9ea02b90</t>
  </si>
  <si>
    <t>4571879c-0e96-42ab-b425-ff83878ac78e</t>
  </si>
  <si>
    <t>1e2fab49-c888-4299-a775-3d5b4ab1b83e</t>
  </si>
  <si>
    <t>19dd94c8-7689-46a9-9c86-5c3b307ac4e7</t>
  </si>
  <si>
    <t>4f71679c-6c67-42e3-b149-bb9aca960f2f</t>
  </si>
  <si>
    <t>eb15744f-a35a-41bd-b25e-2d86953e5f15</t>
  </si>
  <si>
    <t>e4367818-f739-48fb-9a66-70c64587a63a</t>
  </si>
  <si>
    <t>12/22</t>
  </si>
  <si>
    <t>a9e06ecd-d831-43cc-b83b-060ad75811d6</t>
  </si>
  <si>
    <t>30/38</t>
  </si>
  <si>
    <t>b96d0eb1-c886-4073-a50c-95c6d0171e09</t>
  </si>
  <si>
    <t>50/56</t>
  </si>
  <si>
    <t>4a64f0fa-036e-4411-8055-c266645cc073</t>
  </si>
  <si>
    <t>30/25</t>
  </si>
  <si>
    <t>d2896fc5-074c-46dd-af7e-846ad02e90c3</t>
  </si>
  <si>
    <t>42</t>
  </si>
  <si>
    <t>49834f03-2385-4af8-b287-319c066b74d3</t>
  </si>
  <si>
    <t>54</t>
  </si>
  <si>
    <t>c3bfcba3-3dc8-4895-b692-e75d677e5ac7</t>
  </si>
  <si>
    <t>e1f1e8b9-175a-4f0f-b691-62f6217b6543</t>
  </si>
  <si>
    <t>377</t>
  </si>
  <si>
    <t>e9b67df3-1ea9-45d1-acbb-9129c9447cec</t>
  </si>
  <si>
    <t>373</t>
  </si>
  <si>
    <t>4c142533-99d8-4e35-86e6-a194b81ccd8b</t>
  </si>
  <si>
    <t>369</t>
  </si>
  <si>
    <t>cd3b0d48-4b9b-4a55-b946-015cee23e5b9</t>
  </si>
  <si>
    <t>363</t>
  </si>
  <si>
    <t>2b61a23a-d357-4897-a0c1-f5a5d3cde16d</t>
  </si>
  <si>
    <t>357</t>
  </si>
  <si>
    <t>b66b197c-fdcd-4b68-ac73-42d2d47d7ea5</t>
  </si>
  <si>
    <t>351</t>
  </si>
  <si>
    <t>5d944a0b-df1f-4c9a-a588-8510098a8de9</t>
  </si>
  <si>
    <t>335</t>
  </si>
  <si>
    <t>43d15c5e-ba62-412f-822e-462d088c91d8</t>
  </si>
  <si>
    <t>323</t>
  </si>
  <si>
    <t>fb63f9bb-2495-43b9-93f2-879a14572ef1</t>
  </si>
  <si>
    <t>4e27bdd1-b381-434f-9b0f-f5f86bdd20c2</t>
  </si>
  <si>
    <t>4bcdbc2d-0aae-4d05-a7b0-0371ffbdc28e</t>
  </si>
  <si>
    <t>135l</t>
  </si>
  <si>
    <t>9894d2e9-e655-4ae2-a67a-f5bf7b1802b9</t>
  </si>
  <si>
    <t>3789</t>
  </si>
  <si>
    <t>Serviced on Retiro</t>
  </si>
  <si>
    <t>4416cdd4-bada-4ec0-81f0-a10847759fb1</t>
  </si>
  <si>
    <t>3775</t>
  </si>
  <si>
    <t>def930c7-ded1-48dd-82fa-d31fe6288f14</t>
  </si>
  <si>
    <t>12/18</t>
  </si>
  <si>
    <t>5c34fb25-463b-4173-9c60-cda9e5bd3dc4</t>
  </si>
  <si>
    <t>23aeea5e-db78-41d9-8f2e-3b0857014ec2</t>
  </si>
  <si>
    <t>24962cc9-5ed0-435e-9098-0ccebdccca19</t>
  </si>
  <si>
    <t>f6c0da62-dbec-4825-b892-57d6d21ecdb5</t>
  </si>
  <si>
    <t>44-48</t>
  </si>
  <si>
    <t>1bd3c0cf-8360-4e1f-8df8-ef733098dbe8</t>
  </si>
  <si>
    <t>53-56</t>
  </si>
  <si>
    <t>a05e92fa-03e5-4957-a406-c4ae947819db</t>
  </si>
  <si>
    <t>59-67</t>
  </si>
  <si>
    <t>d1aa4f8e-4dca-43e7-9440-589e93a92f91</t>
  </si>
  <si>
    <t>70/71</t>
  </si>
  <si>
    <t>f71baa7a-6b22-49e5-8ea2-779557f3acf1</t>
  </si>
  <si>
    <t>78</t>
  </si>
  <si>
    <t>67a8faf7-14ef-43ad-a9bc-51c6a1aee1fc</t>
  </si>
  <si>
    <t>e28296be-27a4-4d92-8395-2d74b611422e</t>
  </si>
  <si>
    <t>1775</t>
  </si>
  <si>
    <t>1deebd13-fb04-4774-9231-579ba73be67d</t>
  </si>
  <si>
    <t>af352558-a62f-40d7-89ce-9e01296addd1</t>
  </si>
  <si>
    <t>1712</t>
  </si>
  <si>
    <t>Pick up on Gough</t>
  </si>
  <si>
    <t>8927bf8d-8c23-45d6-918c-0e123209b90c</t>
  </si>
  <si>
    <t>1668</t>
  </si>
  <si>
    <t>da859863-c5db-4ef0-a7c3-acf686a2c1e7</t>
  </si>
  <si>
    <t>c42454dc-1ddd-4bfd-960a-ef6830514acf</t>
  </si>
  <si>
    <t>2645</t>
  </si>
  <si>
    <t>f6df993a-4458-4209-9e61-e845831719e2</t>
  </si>
  <si>
    <t>2655</t>
  </si>
  <si>
    <t>74114fe0-1d0f-4676-b61e-6ec1a4c5e644</t>
  </si>
  <si>
    <t>2641</t>
  </si>
  <si>
    <t>3a8c48b1-1de1-4165-954b-e4c1ebf2cb03</t>
  </si>
  <si>
    <t>a18f1de3-2db4-4d90-9c20-b5d8373582fb</t>
  </si>
  <si>
    <t>2748</t>
  </si>
  <si>
    <t>c9d3bd7b-d6cf-477a-9e9d-2d50d78bcc54</t>
  </si>
  <si>
    <t>2427990f-3fb5-4b97-ac32-4ee03767809e</t>
  </si>
  <si>
    <t>2827/1501</t>
  </si>
  <si>
    <t>Franklin/ Lombard</t>
  </si>
  <si>
    <t>Lombard address pick up at Franklin</t>
  </si>
  <si>
    <t>96376ecc-651a-45ca-8a8c-782b9155bac9</t>
  </si>
  <si>
    <t>931d3a20-c984-4921-a80a-e1f36a9c934e</t>
  </si>
  <si>
    <t>2942</t>
  </si>
  <si>
    <t>a51ed441-ef16-475d-aaf9-da76a9f94b5a</t>
  </si>
  <si>
    <t>1671</t>
  </si>
  <si>
    <t>1ac1b0cc-ae2a-4211-a8d5-bdf9f50a1688</t>
  </si>
  <si>
    <t>b29d2fb8-333d-417a-a361-2b04953437df</t>
  </si>
  <si>
    <t>39ee59b3-f114-49ef-b1e2-a84f256acd5c</t>
  </si>
  <si>
    <t>5c117c13-4c5d-4f5b-b91b-466822aca645</t>
  </si>
  <si>
    <t>c27f569b-f400-4d93-8f8e-a29bea5f9b99</t>
  </si>
  <si>
    <t>2509</t>
  </si>
  <si>
    <t xml:space="preserve">Construction needs to service on Union </t>
  </si>
  <si>
    <t>db998f2c-9c6e-427b-8acb-dd8fd559dfaa</t>
  </si>
  <si>
    <t>973d9570-27e8-43fa-9eec-d0cf8f2c3191</t>
  </si>
  <si>
    <t>1576</t>
  </si>
  <si>
    <t>37da6637-d036-423f-8ff7-5ced7e3d9020</t>
  </si>
  <si>
    <t>cb08f92a-1dbc-4f80-8b61-7691ba237f5e</t>
  </si>
  <si>
    <t>2811</t>
  </si>
  <si>
    <t>0ffbc0d9-6992-4378-8401-728ca42897a6</t>
  </si>
  <si>
    <t>065f1766-9bb4-426d-b276-38d35e268ead</t>
  </si>
  <si>
    <t>2929/2941</t>
  </si>
  <si>
    <t>Serviced both customers at the same/ long narrow walkway</t>
  </si>
  <si>
    <t>0ed5e76e-8028-4787-8940-7686b7c41005</t>
  </si>
  <si>
    <t>7d393bc7-6fc4-4db7-8dc5-7786dc4aeab2</t>
  </si>
  <si>
    <t>1321</t>
  </si>
  <si>
    <t>872cf283-34d6-44fc-808a-f1499537b8f9</t>
  </si>
  <si>
    <t>2905</t>
  </si>
  <si>
    <t>3534b78c-7f5b-4128-a1d8-0e9098927fd3</t>
  </si>
  <si>
    <t xml:space="preserve">Serviced on Chestnut </t>
  </si>
  <si>
    <t>27636b12-8613-408b-8cf9-ddb948515f6b</t>
  </si>
  <si>
    <t>2845</t>
  </si>
  <si>
    <t>56cb467b-7747-45f9-865b-cfda4dd8b2ce</t>
  </si>
  <si>
    <t>2815/2825</t>
  </si>
  <si>
    <t>Serviced both customers at same time/2 pick up locations</t>
  </si>
  <si>
    <t>3a015ddf-a1f8-41ef-ad51-64d5a0ebdc18</t>
  </si>
  <si>
    <t xml:space="preserve">2805 </t>
  </si>
  <si>
    <t xml:space="preserve">Two pick up location </t>
  </si>
  <si>
    <t>4b92676a-8613-4dcb-a8e9-939b771192c3</t>
  </si>
  <si>
    <t>1402</t>
  </si>
  <si>
    <t>c973c9e7-1447-4754-b1c3-6b6cfb00534a</t>
  </si>
  <si>
    <t>Serviced on Lombard/ stairs narrow walkwayt</t>
  </si>
  <si>
    <t>b91d2ba3-67b2-448b-8a38-0d825617309b</t>
  </si>
  <si>
    <t>3010</t>
  </si>
  <si>
    <t>19ea7a74-a383-4175-adfc-1e804acc4394</t>
  </si>
  <si>
    <t>3040</t>
  </si>
  <si>
    <t>b21f7b64-a1bf-4d0e-8cdb-1d2fcb9551fe</t>
  </si>
  <si>
    <t>3033</t>
  </si>
  <si>
    <t>def52c23-9e9c-41f7-b5a7-89e9b440d2a9</t>
  </si>
  <si>
    <t>9135f212-1a2a-461e-9841-45e700d1cb52</t>
  </si>
  <si>
    <t>3050</t>
  </si>
  <si>
    <t>ee452a92-aa6b-4e31-88b6-995baeb31029</t>
  </si>
  <si>
    <t>3150/</t>
  </si>
  <si>
    <t>a0793e4a-4bc0-497f-9aa0-897f71ffaf33</t>
  </si>
  <si>
    <t>3141/3151</t>
  </si>
  <si>
    <t xml:space="preserve">Serviced both customers ar the same time </t>
  </si>
  <si>
    <t>cb7415cd-182e-41a4-bc5f-a150e0a648fe</t>
  </si>
  <si>
    <t>1165</t>
  </si>
  <si>
    <t xml:space="preserve">Two pickup lo cations </t>
  </si>
  <si>
    <t>e9126f54-91f9-4cf2-9e74-f0501e549d33</t>
  </si>
  <si>
    <t>1141/1135</t>
  </si>
  <si>
    <t>65fcebbd-7437-42ab-b06f-ba7ee9f3bf14</t>
  </si>
  <si>
    <t>1111</t>
  </si>
  <si>
    <t>b58cd047-541e-49a0-ba17-c05c619de442</t>
  </si>
  <si>
    <t>3025</t>
  </si>
  <si>
    <t>a1133c5a-3784-4473-97d4-3d298140d213</t>
  </si>
  <si>
    <t>3015</t>
  </si>
  <si>
    <t>d668dbd0-b76e-4b2f-8f7c-0c81ddd38479</t>
  </si>
  <si>
    <t>Toters all the way in back yard</t>
  </si>
  <si>
    <t>c5df5d50-faf6-462c-b3de-37f16c7eb5c5</t>
  </si>
  <si>
    <t>1245/1242</t>
  </si>
  <si>
    <t xml:space="preserve">Two pickup locations </t>
  </si>
  <si>
    <t>796f1815-0240-4f98-b5bc-613d152b9e13</t>
  </si>
  <si>
    <t>9f911bf8-a480-4727-904c-96d18551b08f</t>
  </si>
  <si>
    <t>2955</t>
  </si>
  <si>
    <t>717b9830-681e-45b8-b08a-39f051b2cbf5</t>
  </si>
  <si>
    <t>2935</t>
  </si>
  <si>
    <t>3851718c-d153-40ec-b534-ae8aeb9f6e39</t>
  </si>
  <si>
    <t>1526</t>
  </si>
  <si>
    <t>11471872-c4d3-4639-98d7-a33e411683e6</t>
  </si>
  <si>
    <t>Narrow long ww</t>
  </si>
  <si>
    <t>d4f5b7c7-442d-4637-aa1e-dfb6bc07e082</t>
  </si>
  <si>
    <t>1541</t>
  </si>
  <si>
    <t>e88ad0e1-0861-4547-907e-188571293846</t>
  </si>
  <si>
    <t>1556</t>
  </si>
  <si>
    <t>508b05dc-c8bf-46c1-a049-40d1db920b84</t>
  </si>
  <si>
    <t>9b489327-bf50-4223-b9be-7192a2bab468</t>
  </si>
  <si>
    <t xml:space="preserve">Toter usually inside due to construction toters are outside </t>
  </si>
  <si>
    <t>fd8544fa-f42e-433c-b71a-35e94982d547</t>
  </si>
  <si>
    <t>73300ca9-8420-4b09-bc2b-a204526dacf9</t>
  </si>
  <si>
    <t xml:space="preserve">Serviced on filbert </t>
  </si>
  <si>
    <t>c7c89baf-8ff6-47ad-8008-b9f40496bb77</t>
  </si>
  <si>
    <t>3586c749-61ac-49ff-a16d-231159a148f9</t>
  </si>
  <si>
    <t>819cfd37-9ca2-4ac7-8336-5109f6ce0b3d</t>
  </si>
  <si>
    <t>f2d19900-7f15-40d1-89e5-b90199512f00</t>
  </si>
  <si>
    <t>63c4f4bc-1f0b-4765-8ec9-9003a9872b35</t>
  </si>
  <si>
    <t>1651</t>
  </si>
  <si>
    <t>ed5295e0-b040-4228-bf16-26c551752a30</t>
  </si>
  <si>
    <t>ae1c7b43-09f4-4a80-a669-3a054532a9c4</t>
  </si>
  <si>
    <t>75eaefa2-b88c-45ed-975b-585da35a0780</t>
  </si>
  <si>
    <t>45ee93a1-fabf-4f03-ad83-c17a6fafd642</t>
  </si>
  <si>
    <t>1760</t>
  </si>
  <si>
    <t>3e1f5176-d8fc-495b-8ab0-43733a0b3917</t>
  </si>
  <si>
    <t xml:space="preserve">Serviced on Greenwich </t>
  </si>
  <si>
    <t>6c8c63b1-5e53-4b0c-8785-7dd851fe93b1</t>
  </si>
  <si>
    <t>2744</t>
  </si>
  <si>
    <t>26d3c252-26b1-4354-add3-f7987b7b6bbf</t>
  </si>
  <si>
    <t>65d87f33-3f36-4c72-a164-6513218fd35a</t>
  </si>
  <si>
    <t>f21a5732-c5cf-43d4-8aba-6bdb84ecbaec</t>
  </si>
  <si>
    <t>3ce44063-af9a-40e3-921a-b71a1e71f06f</t>
  </si>
  <si>
    <t>1540/1520</t>
  </si>
  <si>
    <t>62776f40-67f0-474a-b1c4-b7e113705482</t>
  </si>
  <si>
    <t>231dd249-cdbd-4b73-8ff2-4fa9fba90820</t>
  </si>
  <si>
    <t xml:space="preserve">Long driveway with ramp </t>
  </si>
  <si>
    <t>f2824109-0d35-4ee3-b63c-af5dc7f1e650</t>
  </si>
  <si>
    <t>8378b1dd-2e5e-4845-86b5-d1561d3efbb5</t>
  </si>
  <si>
    <t>1614</t>
  </si>
  <si>
    <t>00c120b9-f007-4afb-aa5e-e0c18c7dd67c</t>
  </si>
  <si>
    <t>66cb35d3-3680-4778-b61d-73a43cd15d96</t>
  </si>
  <si>
    <t>Two doors to get toters/ low entrance with stairs</t>
  </si>
  <si>
    <t>060a9ce5-30c8-475a-93c1-769176fa7ac1</t>
  </si>
  <si>
    <t>aeacd32a-c9d6-4a1f-9223-53850510a5f6</t>
  </si>
  <si>
    <t>1730/1750</t>
  </si>
  <si>
    <t xml:space="preserve">Serviced both customers at the same time </t>
  </si>
  <si>
    <t>2075346f-ed59-4b60-8371-32f99160d740</t>
  </si>
  <si>
    <t>c8bfeb98-d97f-487f-9121-230fc94b8a54</t>
  </si>
  <si>
    <t>2e191cf2-89b3-49b7-a6d2-46c36c96f150</t>
  </si>
  <si>
    <t>1675</t>
  </si>
  <si>
    <t>172f0b73-25a5-42fb-add4-4bc9db43bf49</t>
  </si>
  <si>
    <t>1667</t>
  </si>
  <si>
    <t>b71d8d57-2423-4c9e-8af6-4fcaa7ad99d3</t>
  </si>
  <si>
    <t>1545/1565</t>
  </si>
  <si>
    <t xml:space="preserve">Narrow walkway/ serviced both customers same time </t>
  </si>
  <si>
    <t>1936b16d-1a56-4f86-be09-aa085dfe9aa9</t>
  </si>
  <si>
    <t>8171c26b-1c69-40a9-a9ec-1c790f17aabb</t>
  </si>
  <si>
    <t>40fde6f7-f7c6-46b0-8acd-7752ec0d9d0d</t>
  </si>
  <si>
    <t>d3a59684-b9db-4c24-84e6-bd263ce4b53d</t>
  </si>
  <si>
    <t>67349672-dc76-4451-95a9-c81d49d49d2c</t>
  </si>
  <si>
    <t>9366</t>
  </si>
  <si>
    <t xml:space="preserve"> Serviced on green</t>
  </si>
  <si>
    <t>468f7e2d-90e1-426e-8b2a-7e612c8577c0</t>
  </si>
  <si>
    <t>Long driveway with ramp</t>
  </si>
  <si>
    <t>79117e5a-baed-4ab8-bc65-e1ec4f4ef3c0</t>
  </si>
  <si>
    <t>1818</t>
  </si>
  <si>
    <t>14d55f41-e21a-4224-b682-7b683122efff</t>
  </si>
  <si>
    <t>fdc0cad2-4c19-4255-8bbc-6d4c24604cea</t>
  </si>
  <si>
    <t>0a59fb75-b65a-4c22-a10d-34388e4eb399</t>
  </si>
  <si>
    <t>1769</t>
  </si>
  <si>
    <t>d4e075bf-5926-45ad-9ec3-37bdef53955d</t>
  </si>
  <si>
    <t>Pier1</t>
  </si>
  <si>
    <t>050f6b0c-e783-4a9b-aa67-154db753ee50</t>
  </si>
  <si>
    <t>3911f9b0-e4f4-4539-9e9c-ea5a92452df8</t>
  </si>
  <si>
    <t>fd0cce43-e966-4544-a8b7-f7946fde5e5b</t>
  </si>
  <si>
    <t>78e56cfe-fb2e-4359-8851-7b57c9c0e98b</t>
  </si>
  <si>
    <t>151</t>
  </si>
  <si>
    <t xml:space="preserve">Serviced on Icehouse </t>
  </si>
  <si>
    <t>395c2095-ede7-44fd-8057-5298895af498</t>
  </si>
  <si>
    <t>76189d63-338d-4f87-86bf-9a071a7d3d31</t>
  </si>
  <si>
    <t>df5e71c4-1cdd-4f22-8116-64ed52c124dc</t>
  </si>
  <si>
    <t>0b5a4944-7f91-476d-81e5-a5169e3f0004</t>
  </si>
  <si>
    <t>52591ccc-6343-45ce-8d0e-e7cca8700430</t>
  </si>
  <si>
    <t>855</t>
  </si>
  <si>
    <t xml:space="preserve">Had to wait for security to open garage door </t>
  </si>
  <si>
    <t>f7091bfa-ed5c-4ce3-8aaa-9d9f7ff71a9c</t>
  </si>
  <si>
    <t>7520a502-e544-4939-b787-2fc64daede35</t>
  </si>
  <si>
    <t>59589d1d-fa5e-416b-aca7-58803bafaab3</t>
  </si>
  <si>
    <t>430</t>
  </si>
  <si>
    <t>179b3489-efdd-4387-b454-2494f1505bc3</t>
  </si>
  <si>
    <t>506</t>
  </si>
  <si>
    <t>d539308f-7a17-4365-80a3-5e251224deaa</t>
  </si>
  <si>
    <t>539</t>
  </si>
  <si>
    <t>42701638-0d01-4ac0-a6a9-a95a448b95a0</t>
  </si>
  <si>
    <t>0f0e1c2f-5c52-456f-b846-29bfb55b9c59</t>
  </si>
  <si>
    <t>447</t>
  </si>
  <si>
    <t>Talking with cust</t>
  </si>
  <si>
    <t>970bcbef-27ae-4291-8dae-7b7693bf2cff</t>
  </si>
  <si>
    <t xml:space="preserve">Montgomery </t>
  </si>
  <si>
    <t xml:space="preserve">Serviced on Enid Ng Limits Alley </t>
  </si>
  <si>
    <t>9f4cdd91-2124-41c6-8f0c-84014ebe4362</t>
  </si>
  <si>
    <t>735</t>
  </si>
  <si>
    <t>830555cc-da5c-47fc-8ccf-932984ad9c2a</t>
  </si>
  <si>
    <t>298</t>
  </si>
  <si>
    <t>Serviced on Battery</t>
  </si>
  <si>
    <t>487c02f0-8e97-433a-8b89-8b4d2cb5a834</t>
  </si>
  <si>
    <t>747</t>
  </si>
  <si>
    <t>a98b260e-cf09-484c-b469-7e1ea1b5a7a7</t>
  </si>
  <si>
    <t>1455</t>
  </si>
  <si>
    <t>6033bb16-05f0-43a5-a329-30d2dfc246bf</t>
  </si>
  <si>
    <t>88</t>
  </si>
  <si>
    <t>4a7c4a49-4b3b-4a29-8dfa-2b0128fe81c3</t>
  </si>
  <si>
    <t>350a38ac-94b9-4cf9-8c6b-576114e7c7fc</t>
  </si>
  <si>
    <t>8bb95664-ae6e-4512-93de-856a5925904d</t>
  </si>
  <si>
    <t>46566b37-afdd-44e9-817c-bdf46cdb21dd</t>
  </si>
  <si>
    <t>451</t>
  </si>
  <si>
    <t>40ca951c-5f2d-4ba4-98a2-7172f988fb5d</t>
  </si>
  <si>
    <t xml:space="preserve">serviced on Montgomery </t>
  </si>
  <si>
    <t>cb4d58c0-adb3-4bae-be11-361e73eddb5b</t>
  </si>
  <si>
    <t>510</t>
  </si>
  <si>
    <t>b19b3b4a-24f2-4287-92ea-f54d6e1cdd86</t>
  </si>
  <si>
    <t>25512748-f658-43ee-91b3-554d02cb4f79</t>
  </si>
  <si>
    <t xml:space="preserve">Serviced on Jasper </t>
  </si>
  <si>
    <t>75a79597-8973-4891-84a1-72a63f500087</t>
  </si>
  <si>
    <t>570</t>
  </si>
  <si>
    <t>262ac63f-0e1e-4cab-8840-434cbbb06fec</t>
  </si>
  <si>
    <t>5f1359ca-8e1b-4457-ae47-2135ccf2923f</t>
  </si>
  <si>
    <t>1170</t>
  </si>
  <si>
    <t>833e1a64-cef2-40a0-9892-6e7f48c4a39b</t>
  </si>
  <si>
    <t>1142</t>
  </si>
  <si>
    <t>539d4438-9431-4814-9a74-ab4a61c7786b</t>
  </si>
  <si>
    <t>1115</t>
  </si>
  <si>
    <t>ff37ab9b-6f0c-4ebc-a18a-92e39014ef9f</t>
  </si>
  <si>
    <t>365</t>
  </si>
  <si>
    <t>76852d95-9003-484f-b728-61a9092852e8</t>
  </si>
  <si>
    <t>360/352</t>
  </si>
  <si>
    <t>d897472a-8ff2-4f45-bf71-b18de7e996c3</t>
  </si>
  <si>
    <t>29</t>
  </si>
  <si>
    <t>Prescott</t>
  </si>
  <si>
    <t>Driver had to walk all the way in alley to get toters</t>
  </si>
  <si>
    <t>105cfae7-88e6-447f-ba42-07d182fc7222</t>
  </si>
  <si>
    <t>343</t>
  </si>
  <si>
    <t>381e401b-9129-4b28-956b-1af7e5184edc</t>
  </si>
  <si>
    <t>337/336</t>
  </si>
  <si>
    <t xml:space="preserve">Serviced both addresses at same time </t>
  </si>
  <si>
    <t>e3cbc134-ee6a-4845-96f0-5f14023c1ee5</t>
  </si>
  <si>
    <t>1151</t>
  </si>
  <si>
    <t>Serviced all on Fresno consolidated everything to one 64 toter 2/32 serviced on Romelo 1/64 on Romelo</t>
  </si>
  <si>
    <t>ea9d9399-8d4b-4bdc-8e9d-7c1f2fd35f2c</t>
  </si>
  <si>
    <t>450</t>
  </si>
  <si>
    <t>0184b591-5176-41f5-a4ce-fd5c0a912d11</t>
  </si>
  <si>
    <t>462</t>
  </si>
  <si>
    <t>d9e2e01a-ef47-4075-aaa0-54b7ee6bdaf2</t>
  </si>
  <si>
    <t>468</t>
  </si>
  <si>
    <t>865f1de5-11f0-452a-bd37-8944bac61a93</t>
  </si>
  <si>
    <t>20dec753-2dc6-418e-ae75-ab86d24ecdd7</t>
  </si>
  <si>
    <t>383</t>
  </si>
  <si>
    <t>fb9426a6-3b33-4220-947d-fe7c0af12c97</t>
  </si>
  <si>
    <t>349</t>
  </si>
  <si>
    <t>abbf31e7-4a99-44b6-9a6f-feaf6f706e13</t>
  </si>
  <si>
    <t>354</t>
  </si>
  <si>
    <t>bf32458c-294f-4d40-9515-47a942ad6560</t>
  </si>
  <si>
    <t>329</t>
  </si>
  <si>
    <t>8344163d-316b-48d7-bb7f-a26e74c9d204</t>
  </si>
  <si>
    <t>241</t>
  </si>
  <si>
    <t>08f4bbf3-946a-46dc-aa90-1bb16fd1552f</t>
  </si>
  <si>
    <t>Telegraph Hill</t>
  </si>
  <si>
    <t>8fbea917-dd3d-4645-b161-2c0aaaffe233</t>
  </si>
  <si>
    <t xml:space="preserve">Driver had to go down to the houses serviced three customers </t>
  </si>
  <si>
    <t>78cce0f8-2935-4c48-9bf5-26d6386b3e3f</t>
  </si>
  <si>
    <t xml:space="preserve">La Ferrera </t>
  </si>
  <si>
    <t xml:space="preserve">Driver had to go into alley  and  consolidate all toters </t>
  </si>
  <si>
    <t>f5cd4cfe-23a1-4e51-8ea3-88d40709a46f</t>
  </si>
  <si>
    <t>b149612e-4440-4956-9a3c-815147afddb1</t>
  </si>
  <si>
    <t>372</t>
  </si>
  <si>
    <t>38980d5b-92f1-4d40-926b-681e732ea3f7</t>
  </si>
  <si>
    <t>3/26</t>
  </si>
  <si>
    <t>Whiting /Julius</t>
  </si>
  <si>
    <t xml:space="preserve">Driver had to go walk Julia to get to Whiting alley service all toters stairs to Withing alley </t>
  </si>
  <si>
    <t>9b210fd8-2935-49f6-bd2a-d60be141e9ad</t>
  </si>
  <si>
    <t>396</t>
  </si>
  <si>
    <t>dfbc2217-4a77-4c22-86e3-a06bedde7297</t>
  </si>
  <si>
    <t>69403e5a-b80b-4cdf-9db2-93b3c09617bb</t>
  </si>
  <si>
    <t xml:space="preserve">Long driveway toter all the way in the back </t>
  </si>
  <si>
    <t>6f8cc55c-6ea6-473e-9ca7-b9d5f83f02ad</t>
  </si>
  <si>
    <t>1831</t>
  </si>
  <si>
    <t>2f19164a-d0d2-4ccf-a9d4-bbbf29b99ce9</t>
  </si>
  <si>
    <t>1740</t>
  </si>
  <si>
    <t xml:space="preserve">Driver had to walk up dead end to retrieve toters </t>
  </si>
  <si>
    <t>3447f510-096f-450d-b7cc-96cf4d40ffca</t>
  </si>
  <si>
    <t>163</t>
  </si>
  <si>
    <t>f824c215-ae8c-4e57-ae00-df9f990f64cd</t>
  </si>
  <si>
    <t>ee5154a3-fed1-40e3-a50c-192717d40707</t>
  </si>
  <si>
    <t>262-298</t>
  </si>
  <si>
    <t>87d8a6e3-3b18-44e9-93c5-7d7a75b85f7e</t>
  </si>
  <si>
    <t>1962f137-9b9c-401b-8a14-f57ff6fdd1b9</t>
  </si>
  <si>
    <t>409</t>
  </si>
  <si>
    <t>629fdf77-2a85-4a57-afec-de3eda52a4d6</t>
  </si>
  <si>
    <t xml:space="preserve">Driver couldn't open garage </t>
  </si>
  <si>
    <t>b56329ed-de8d-4679-8744-d7a86a740796</t>
  </si>
  <si>
    <t>463</t>
  </si>
  <si>
    <t xml:space="preserve">Flight of stairs </t>
  </si>
  <si>
    <t>647395b0-0e09-4b0f-a547-d9f29426ce00</t>
  </si>
  <si>
    <t>1ae76d2a-9046-440d-af7d-b6e20dcfd835</t>
  </si>
  <si>
    <t>1245</t>
  </si>
  <si>
    <t>ac1986d0-4f75-4ba1-b855-e939a924bad2</t>
  </si>
  <si>
    <t>6fe19aa9-ebc1-4e81-99cc-dbbc60174f68</t>
  </si>
  <si>
    <t>1221</t>
  </si>
  <si>
    <t>f71ddcdb-f297-4bba-ab19-6413abff9541</t>
  </si>
  <si>
    <t>90eb01a0-b451-46ef-b24b-db950d0cfad1</t>
  </si>
  <si>
    <t>51416b32-16b2-4b60-b899-6e3e0f21545c</t>
  </si>
  <si>
    <t xml:space="preserve">Parked opposite side stairs lots </t>
  </si>
  <si>
    <t>ef189af1-e5c2-4656-bf08-50e19a09d823</t>
  </si>
  <si>
    <t>Yes</t>
  </si>
  <si>
    <t>132e6192-1da8-468c-9e99-84b9ba1b35ab</t>
  </si>
  <si>
    <t>glat</t>
  </si>
  <si>
    <t>Hill I l</t>
  </si>
  <si>
    <t>drives into parking lot, pulls containers</t>
  </si>
  <si>
    <t>107</t>
  </si>
  <si>
    <t>garage door, key to open</t>
  </si>
  <si>
    <t>160</t>
  </si>
  <si>
    <t>garage door already open, pulls container</t>
  </si>
  <si>
    <t>loading dock, door open,locked container , has to pull outside dock to service</t>
  </si>
  <si>
    <t>svc in alley, started time moment entered alley</t>
  </si>
  <si>
    <t xml:space="preserve">45 </t>
  </si>
  <si>
    <t>honks security to open roll up door</t>
  </si>
  <si>
    <t>pulls into small lot area</t>
  </si>
  <si>
    <t xml:space="preserve">one way street traffic </t>
  </si>
  <si>
    <t>905</t>
  </si>
  <si>
    <t>svc in alley loading dock, rime started when entered dock, locked containers, relocks after</t>
  </si>
  <si>
    <t>191</t>
  </si>
  <si>
    <t>avc in alley pulls container</t>
  </si>
  <si>
    <t>Kearney</t>
  </si>
  <si>
    <t>unlocks gate, alley</t>
  </si>
  <si>
    <t xml:space="preserve">compactor, has to pull out to service tgen put back in compact area </t>
  </si>
  <si>
    <t>659</t>
  </si>
  <si>
    <t xml:space="preserve">unlocks gatage, pulls contaiber, has tp rxit ti service </t>
  </si>
  <si>
    <t>Samsone</t>
  </si>
  <si>
    <t>rollup garage door, pulls cintainer outside</t>
  </si>
  <si>
    <t>had to move container, wires in the way</t>
  </si>
  <si>
    <t>455</t>
  </si>
  <si>
    <t>honks cusromer to open, on side garage, pulls container</t>
  </si>
  <si>
    <t>199</t>
  </si>
  <si>
    <t>181</t>
  </si>
  <si>
    <t>unlock gate</t>
  </si>
  <si>
    <t>svc alley</t>
  </si>
  <si>
    <t>Natoma</t>
  </si>
  <si>
    <t>425</t>
  </si>
  <si>
    <t>svc one inside, 1 curb</t>
  </si>
  <si>
    <t>ramp</t>
  </si>
  <si>
    <t>299</t>
  </si>
  <si>
    <t xml:space="preserve">svc alley </t>
  </si>
  <si>
    <t xml:space="preserve">garage,  gets out and pulls to servive </t>
  </si>
  <si>
    <t>405</t>
  </si>
  <si>
    <t xml:space="preserve">rollup door, down ramp, </t>
  </si>
  <si>
    <t>Tahoma</t>
  </si>
  <si>
    <t>Tehema</t>
  </si>
  <si>
    <t>222</t>
  </si>
  <si>
    <t>svc allwy</t>
  </si>
  <si>
    <t>85/55</t>
  </si>
  <si>
    <t>svc in alley started time when entered alley, pulls cpntaine3</t>
  </si>
  <si>
    <t>68d21895-9926-4f81-bedf-61c936cfe550</t>
  </si>
  <si>
    <t>536</t>
  </si>
  <si>
    <t>95659051-def8-467d-a0aa-f611549a5666</t>
  </si>
  <si>
    <t>72e34392-92c2-43cd-a171-f65654c7cb73</t>
  </si>
  <si>
    <t>gets out, moves no 0arking signs, pulls container</t>
  </si>
  <si>
    <t>0dc2ad68-abbc-4725-a80a-4ee5e33723da</t>
  </si>
  <si>
    <t>embarcadero</t>
  </si>
  <si>
    <t>638ef492-03db-4555-a855-1c19d491ef5b</t>
  </si>
  <si>
    <t>having trouble pulling container</t>
  </si>
  <si>
    <t>67dd73d1-400b-46d3-81fa-cfa453c267d7</t>
  </si>
  <si>
    <t>353</t>
  </si>
  <si>
    <t>remote, pulls comtainers,  pulls back inside</t>
  </si>
  <si>
    <t>320d3c26-ffb5-4f45-b453-8f084d9b9e69</t>
  </si>
  <si>
    <t>b42aef42-92ba-4de0-bcd2-989acfdd7a87</t>
  </si>
  <si>
    <t>pulls container and puts back</t>
  </si>
  <si>
    <t>48cf5b17-8023-498a-9111-315cc2007f12</t>
  </si>
  <si>
    <t>c635fc0b-b649-4cae-9bc1-2d2b07da8734</t>
  </si>
  <si>
    <t>77fa6a71-6ea2-4b02-aadb-eb6ab11ece5a</t>
  </si>
  <si>
    <t>424</t>
  </si>
  <si>
    <t>0ff0072f-f1a2-44f8-afb8-60b41e915308</t>
  </si>
  <si>
    <t>samsone</t>
  </si>
  <si>
    <t>pulls cintainer</t>
  </si>
  <si>
    <t>b8f35a51-054f-48ac-a980-36e0405edadf</t>
  </si>
  <si>
    <t>montglm34y st</t>
  </si>
  <si>
    <t>52df6c83-8a47-446b-8b05-8a8cae6a002d</t>
  </si>
  <si>
    <t>dceb476e-f733-45aa-b75d-575e50ce04a9</t>
  </si>
  <si>
    <t>59f347fb-bf65-4999-ad4c-89144d027fe8</t>
  </si>
  <si>
    <t xml:space="preserve">remote, behind gate </t>
  </si>
  <si>
    <t>b5fb2519-b85d-42e5-ac74-a5caaf861535</t>
  </si>
  <si>
    <t>6aaad5cb-5a7e-4301-94bb-087fe2b688b5</t>
  </si>
  <si>
    <t>195</t>
  </si>
  <si>
    <t>f857e3bf-ac4f-4f2b-9253-968733c697ad</t>
  </si>
  <si>
    <t>378abd1c-6bcf-4910-a42a-b5392ad84a8e</t>
  </si>
  <si>
    <t>3e6880ce-35f8-46a7-944d-2d7b635423c2</t>
  </si>
  <si>
    <t>b3e2e016-915c-4607-857b-d0cc0be2681d</t>
  </si>
  <si>
    <t>eddf6196-6683-45de-a2ba-dafed4df7ff2</t>
  </si>
  <si>
    <t>fba27386-edf2-4561-8ecb-2ff6935deda8</t>
  </si>
  <si>
    <t>575</t>
  </si>
  <si>
    <t xml:space="preserve">pulls containers </t>
  </si>
  <si>
    <t>549881cc-730a-42e3-922f-ff2512b77759</t>
  </si>
  <si>
    <t>6aae2a44-0b6f-4298-8566-d76714c0df1d</t>
  </si>
  <si>
    <t xml:space="preserve">pulls container from ooading dock </t>
  </si>
  <si>
    <t>660a64b5-e699-4f54-a361-7f3634cb24f6</t>
  </si>
  <si>
    <t>code ti loading dock</t>
  </si>
  <si>
    <t>5db8dbcb-7077-4141-86f1-015aa3382164</t>
  </si>
  <si>
    <t>036e5045-d621-401c-ad00-38d91eb565c7</t>
  </si>
  <si>
    <t>026635f1-9552-460a-a285-06e36f22d36e</t>
  </si>
  <si>
    <t>ad1778ed-2c3c-4db9-9582-e59226ca1fe3</t>
  </si>
  <si>
    <t>595</t>
  </si>
  <si>
    <t>4804904b-44c7-41a2-8275-c8a0d61a4bfa</t>
  </si>
  <si>
    <t xml:space="preserve">525 </t>
  </si>
  <si>
    <t>7883ef3d-4568-446a-b51f-446c3d26c41f</t>
  </si>
  <si>
    <t>b2012a4f-8e31-42fe-a36d-81b9f1cf6f1e</t>
  </si>
  <si>
    <t>535</t>
  </si>
  <si>
    <t>bcb31b1d-7fbb-42a0-87fc-9624bc306adc</t>
  </si>
  <si>
    <t>c40f6a0d-c62c-4750-8090-ebaa3f652fe5</t>
  </si>
  <si>
    <t>500/425</t>
  </si>
  <si>
    <t>Howard/Mission</t>
  </si>
  <si>
    <t>22e1ea93-72f1-4555-b805-8529cdd7fe97</t>
  </si>
  <si>
    <t>fef4f894-3d44-4fd5-adad-623bda809781</t>
  </si>
  <si>
    <t>70688ccc-e67a-4da6-973f-33b3ada0d663</t>
  </si>
  <si>
    <t>340cf7b3-4e59-49ca-83d6-257483db6cde</t>
  </si>
  <si>
    <t>918ae622-4914-4457-a674-30be6d59a786</t>
  </si>
  <si>
    <t>9a6c26e2-894c-4821-bb47-38ff0217423e</t>
  </si>
  <si>
    <t>Califronia</t>
  </si>
  <si>
    <t>8929cc99-c7a7-482c-a12d-007468f433da</t>
  </si>
  <si>
    <t>388</t>
  </si>
  <si>
    <t>b5f53a94-4a87-41d1-97c3-01bacfb54d21</t>
  </si>
  <si>
    <t>a23778a8-05a9-4329-ac1c-b1b1b3a3efc8</t>
  </si>
  <si>
    <t>345</t>
  </si>
  <si>
    <t>rollup dpor,pulls out to service then goes back in to leave container</t>
  </si>
  <si>
    <t>be16dd14-1083-43ac-b8a1-9c1f93b99871</t>
  </si>
  <si>
    <t>59cd0a7e-453c-4dad-af09-218b3f134cc2</t>
  </si>
  <si>
    <t xml:space="preserve">600 </t>
  </si>
  <si>
    <t>90b0acfe-f53d-44b0-8bac-8c006977f7d6</t>
  </si>
  <si>
    <t>655</t>
  </si>
  <si>
    <t>e8cb2695-318b-4025-a9de-334f5c4b18c3</t>
  </si>
  <si>
    <t>203d6352-45db-4d69-983a-ba8ebe0c735f</t>
  </si>
  <si>
    <t>8f70cdcb-80bb-4d9a-9969-4555905610a7</t>
  </si>
  <si>
    <t>7fa16274-e5a6-4891-ab78-25c2ea8758ae</t>
  </si>
  <si>
    <t>6694307f-26b8-4ed4-8ee2-fd71c70bb33b</t>
  </si>
  <si>
    <t>6aa3c67c-6c29-44e4-83e2-73a250fd4ddc</t>
  </si>
  <si>
    <t>4569e7d0-6ebe-41b6-9883-48d780921973</t>
  </si>
  <si>
    <t>735f7d9e-48df-4bb5-b02d-c84508fc6ca0</t>
  </si>
  <si>
    <t>2b8bbec0-d46b-4039-a054-483e50a8cc25</t>
  </si>
  <si>
    <t>645e6773-c603-4391-ac53-1e50c45e1a54</t>
  </si>
  <si>
    <t>3ddefc74-a831-41e6-bfa2-12152e453f41</t>
  </si>
  <si>
    <t xml:space="preserve">remote </t>
  </si>
  <si>
    <t>74aa3876-48c4-411a-85b9-69b498e5369c</t>
  </si>
  <si>
    <t>compactor, down ramp</t>
  </si>
  <si>
    <t>7b111c87-91ad-4bbc-88d6-b7c024a1be8e</t>
  </si>
  <si>
    <t>security checks truck</t>
  </si>
  <si>
    <t>75d9cf66-1782-421a-b2e9-cc83094f8afd</t>
  </si>
  <si>
    <t>8</t>
  </si>
  <si>
    <t>44507ad6-e3d2-445c-a8ca-672ac07dd45c</t>
  </si>
  <si>
    <t>719088ec-f34f-463d-86b9-4bfc19df60be</t>
  </si>
  <si>
    <t>rollup door</t>
  </si>
  <si>
    <t>fd5ace1f-360c-4422-bb24-c58c831c0774</t>
  </si>
  <si>
    <t>montgomery/bush</t>
  </si>
  <si>
    <t>cust9mer vribgd out contaibwr</t>
  </si>
  <si>
    <t>449c79d6-9fd9-4179-bc69-db10db9c401c</t>
  </si>
  <si>
    <t>997f2354-8814-40b6-917f-b628e126df9a</t>
  </si>
  <si>
    <t>3b430e4b-bde0-4c66-af20-8714409f31f0</t>
  </si>
  <si>
    <t>ef39d951-44b6-4062-a1d2-92d01e04065f</t>
  </si>
  <si>
    <t>b45d8e33-d7af-4ccd-b13e-6dc3e4f7ab4a</t>
  </si>
  <si>
    <t>bd7ed811-dd95-40d7-bd10-92e646bb2193</t>
  </si>
  <si>
    <t>48e3e3d4-2def-4d5d-bf80-31607ab16895</t>
  </si>
  <si>
    <t>d1474ad4-97d3-4039-ae4d-c5c61072d4cd</t>
  </si>
  <si>
    <t>8c13b21b-fab8-4f13-97ef-d685b6ff15de</t>
  </si>
  <si>
    <t>57135fee-3047-4143-88d8-617fe15849c2</t>
  </si>
  <si>
    <t>bd9314e2-359e-4608-b783-84c919a9fe10</t>
  </si>
  <si>
    <t>aada0b75-1ca9-43ef-9cf8-aa0188b3cd56</t>
  </si>
  <si>
    <t>180/225</t>
  </si>
  <si>
    <t>bafc81fb-6d20-47f8-99d8-dd87b3ff4a1e</t>
  </si>
  <si>
    <t>2d497fbc-2d3e-4126-bb20-7171a0bb0085</t>
  </si>
  <si>
    <t>pulls container back to place</t>
  </si>
  <si>
    <t>75a8b1b9-db4f-41a1-98d7-50f76ec13215</t>
  </si>
  <si>
    <t>8ef01335-956f-47a8-9d1f-28688fb4e165</t>
  </si>
  <si>
    <t>560</t>
  </si>
  <si>
    <t>87b14de5-2509-418b-bc20-62ea1e36045d</t>
  </si>
  <si>
    <t>2f2bbb13-ee2e-466e-8f03-23b87c5fe576</t>
  </si>
  <si>
    <t>e6298aaf-831d-4037-bad9-ea22e13f33ae</t>
  </si>
  <si>
    <t>71</t>
  </si>
  <si>
    <t>0656ffc0-d823-420b-96b9-7dcd32488aa6</t>
  </si>
  <si>
    <t>F</t>
  </si>
  <si>
    <t>shovels compost thrown on floor</t>
  </si>
  <si>
    <t>36a13d20-16f8-4dd8-b184-c8d59595cf52</t>
  </si>
  <si>
    <t>6ced8010-fcd2-4274-a2c8-af892f7931fd</t>
  </si>
  <si>
    <t>8ebbcf61-da8b-49e3-a1e1-c6da0927f1d2</t>
  </si>
  <si>
    <t>1548</t>
  </si>
  <si>
    <t>b08a092b-bd66-4691-853c-067ad5670f31</t>
  </si>
  <si>
    <t>1566</t>
  </si>
  <si>
    <t>ef23c6fa-09d5-45a9-9ac0-762b621cf02d</t>
  </si>
  <si>
    <t>Grant Ave</t>
  </si>
  <si>
    <t>H</t>
  </si>
  <si>
    <t>code, garage up ramp</t>
  </si>
  <si>
    <t>8e95ac66-9fc3-48bb-9d3f-df2a994d825e</t>
  </si>
  <si>
    <t>94ebf050-00a6-460c-877e-f1d80781f0c5</t>
  </si>
  <si>
    <t>e0dcaec3-6ce6-45a8-8f06-89063bb89d09</t>
  </si>
  <si>
    <t>2746ffe8-22fc-47d4-a7c7-2457f77c7c08</t>
  </si>
  <si>
    <t>ef50e9be-a3ca-46aa-b839-a18a06fbd249</t>
  </si>
  <si>
    <t>59fca83d-0c4e-423e-9390-da9d38b2824f</t>
  </si>
  <si>
    <t>Columbus Ave</t>
  </si>
  <si>
    <t>9caf3ec8-4e0d-4b39-9580-39fc0195e45b</t>
  </si>
  <si>
    <t>narrow wallway</t>
  </si>
  <si>
    <t>8c473966-0882-4881-aeb4-f3d2b5e34b72</t>
  </si>
  <si>
    <t>716</t>
  </si>
  <si>
    <t>62f229bd-e991-4156-9152-dd5c0e8605cf</t>
  </si>
  <si>
    <t>code garagw service in allwy</t>
  </si>
  <si>
    <t>b0c0e96b-d274-4778-b859-354c83747e44</t>
  </si>
  <si>
    <t>b9c0eb88-45cd-426b-9607-48e4ae78b6f7</t>
  </si>
  <si>
    <t>1719</t>
  </si>
  <si>
    <t>1 locked 96g</t>
  </si>
  <si>
    <t>489f3c8f-2743-4ddf-9549-92d0534ca0dd</t>
  </si>
  <si>
    <t>f23ea99d-ed78-4b22-af81-fea7790659f0</t>
  </si>
  <si>
    <t>72a3ddff-9dfe-4966-9a7c-18e617133b27</t>
  </si>
  <si>
    <t>631/629</t>
  </si>
  <si>
    <t>8719cb62-209d-4494-83d4-68ffc6490809</t>
  </si>
  <si>
    <t>615</t>
  </si>
  <si>
    <t>f9465959-0ffa-494e-b964-8be0f405832d</t>
  </si>
  <si>
    <t>c7c8cd68-82ac-4562-b0b9-fe492ecc5ce7</t>
  </si>
  <si>
    <t>566</t>
  </si>
  <si>
    <t>26f6295a-0293-4cce-accf-22d5eb33f007</t>
  </si>
  <si>
    <t>1822</t>
  </si>
  <si>
    <t>04cc5d0b-43ec-466d-bcde-55fb1bf4b354</t>
  </si>
  <si>
    <t>19aab566-9abf-4b06-9ece-9bdfef22699e</t>
  </si>
  <si>
    <t>1820-16</t>
  </si>
  <si>
    <t>efc7da32-b05d-4dc2-9580-c582ac685101</t>
  </si>
  <si>
    <t>c8530efe-7655-4c0b-a3f6-1a4bd13cb767</t>
  </si>
  <si>
    <t>1836-38</t>
  </si>
  <si>
    <t>50bcdccd-50d5-4b2d-8bb9-e371b89806f1</t>
  </si>
  <si>
    <t>1858-60</t>
  </si>
  <si>
    <t>244860d3-07ba-46a8-8315-37db199a448b</t>
  </si>
  <si>
    <t>f20d03d7-5782-4798-aca4-07530c5d3fdf</t>
  </si>
  <si>
    <t>code garage, down garage then left</t>
  </si>
  <si>
    <t>f611df59-c6b6-4981-be24-e6c13f016130</t>
  </si>
  <si>
    <t>5aa537e7-8bd1-4611-84b5-2b8043881163</t>
  </si>
  <si>
    <t>314</t>
  </si>
  <si>
    <t>6295f908-8949-4664-a3ef-015ca7d6c4aa</t>
  </si>
  <si>
    <t>312-314</t>
  </si>
  <si>
    <t>down ramp, through door</t>
  </si>
  <si>
    <t>45ec5339-674f-4a67-93ab-58098f2a8138</t>
  </si>
  <si>
    <t>348-350</t>
  </si>
  <si>
    <t>8e52f8e7-4a20-41b7-8924-38a62a0ad54c</t>
  </si>
  <si>
    <t>e3672d33-d522-4366-9674-5b160cf61c58</t>
  </si>
  <si>
    <t>2190</t>
  </si>
  <si>
    <t>32139699-53ee-4110-b45d-5b4e8cd83f0c</t>
  </si>
  <si>
    <t>595d5b23-ff32-483a-964a-5af1acc9e56d</t>
  </si>
  <si>
    <t>408-410</t>
  </si>
  <si>
    <t>7c53b0d6-48a7-4631-879f-27d8c5e8a0f4</t>
  </si>
  <si>
    <t>414-416</t>
  </si>
  <si>
    <t>dd5ba37c-65aa-4b0d-865b-792a7130e801</t>
  </si>
  <si>
    <t>3923bdd9-3fef-4376-8e56-be53a9574651</t>
  </si>
  <si>
    <t>424-434</t>
  </si>
  <si>
    <t>lockee gate, then 4 stairs down, then narrow walkway</t>
  </si>
  <si>
    <t>126c6191-6ca7-448e-b470-7df83535c90b</t>
  </si>
  <si>
    <t>444</t>
  </si>
  <si>
    <t>e6d72d18-f201-4424-85f8-bd622054e88a</t>
  </si>
  <si>
    <t>2475a092-2a9e-436c-9451-68b5e68c0cfb</t>
  </si>
  <si>
    <t>474</t>
  </si>
  <si>
    <t>94273e24-b3db-4617-8471-fa1b81e4c4ef</t>
  </si>
  <si>
    <t>483-495</t>
  </si>
  <si>
    <t>d2d41b88-def9-4ded-ba03-f097769abd4d</t>
  </si>
  <si>
    <t>1-6</t>
  </si>
  <si>
    <t>4 steps up, walkway then 10-15 stairs up</t>
  </si>
  <si>
    <t>6987d07d-b9d9-4a4e-8742-7548f841eca3</t>
  </si>
  <si>
    <t>32e92eb5-87ba-4b04-b625-7f9b0871927f</t>
  </si>
  <si>
    <t>2151/53/55</t>
  </si>
  <si>
    <t>1 city can, meandor</t>
  </si>
  <si>
    <t>07932e8a-560d-478b-b5e9-d774e0318795</t>
  </si>
  <si>
    <t>3ee9b02b-de26-43dc-8f75-dc18b40449cd</t>
  </si>
  <si>
    <t>2121/23/19</t>
  </si>
  <si>
    <t>a777a905-cd3b-437c-b6a9-b962c0e79c32</t>
  </si>
  <si>
    <t>2 city can, consolidated into 1 64g, meandor</t>
  </si>
  <si>
    <t>425f0117-b2d8-488e-a1ab-cf4a4cf885d3</t>
  </si>
  <si>
    <t>670</t>
  </si>
  <si>
    <t>c077bce5-c621-4dc7-8531-050785b52f5b</t>
  </si>
  <si>
    <t xml:space="preserve">columbus </t>
  </si>
  <si>
    <t>a9022dca-4ade-4c35-a7d6-52428558e54a</t>
  </si>
  <si>
    <t>columbus</t>
  </si>
  <si>
    <t>a7be0332-a350-4430-aaa2-63880ad4641d</t>
  </si>
  <si>
    <t>be5cdc9c-8a4e-4a8e-a39d-d9841bfa1cc4</t>
  </si>
  <si>
    <t>caf2edf5-16af-4642-9234-d5314b12f3a2</t>
  </si>
  <si>
    <t>2591359b-414a-494d-93a6-6a5951fb1178</t>
  </si>
  <si>
    <t>Midway st</t>
  </si>
  <si>
    <t>27996d85-e200-47dd-922d-99de2edc3271</t>
  </si>
  <si>
    <t xml:space="preserve">Midway </t>
  </si>
  <si>
    <t>code garagep</t>
  </si>
  <si>
    <t>ab0ad00e-7c3f-4b65-a491-22206a7d242c</t>
  </si>
  <si>
    <t>07f03cbe-5b98-4193-bbe7-0ba8e071c593</t>
  </si>
  <si>
    <t>10-16</t>
  </si>
  <si>
    <t>42b33f3a-9bd3-43a6-bef9-9a4993dd0347</t>
  </si>
  <si>
    <t>250-252</t>
  </si>
  <si>
    <t>39f5fd95-44d8-4f0a-92b0-86467f284d3d</t>
  </si>
  <si>
    <t>271-276</t>
  </si>
  <si>
    <t>db48e57f-7c72-4d58-9cc0-c686d6e069b5</t>
  </si>
  <si>
    <t>420/428-32</t>
  </si>
  <si>
    <t>behind gate, down ramp</t>
  </si>
  <si>
    <t>3dc76d8b-ed44-429b-baca-ff7c2cae6d5d</t>
  </si>
  <si>
    <t>56e0d293-1c00-4ba1-908e-a7f4e29cbb35</t>
  </si>
  <si>
    <t>e27af6cd-0072-4ee2-8854-466a1305da33</t>
  </si>
  <si>
    <t>9edd90f2-9f02-4be7-83b2-79fc2dc1a695</t>
  </si>
  <si>
    <t>bc841da2-7617-4d8e-9b01-4d91f43fd970</t>
  </si>
  <si>
    <t>9f54c152-1720-4390-8a18-8fbd8f9b5216</t>
  </si>
  <si>
    <t>637-39</t>
  </si>
  <si>
    <t>96g inside</t>
  </si>
  <si>
    <t>13e4b441-7034-4ce6-91be-dbcce9781fc1</t>
  </si>
  <si>
    <t>ffa45f2f-8765-495b-af1a-ad602260bd21</t>
  </si>
  <si>
    <t>549</t>
  </si>
  <si>
    <t>4f6c2247-775e-4f19-a54b-c5f44bb1ae2a</t>
  </si>
  <si>
    <t>525/527</t>
  </si>
  <si>
    <t>92089aab-858d-42e6-b40b-34e21f0f06f8</t>
  </si>
  <si>
    <t>533/535</t>
  </si>
  <si>
    <t>f068bca5-a841-49ed-bacc-8c65f96dd494</t>
  </si>
  <si>
    <t>541/543</t>
  </si>
  <si>
    <t>171df9dc-7e06-4621-b0a9-a436ca1a6049</t>
  </si>
  <si>
    <t>491</t>
  </si>
  <si>
    <t>06970c41-4920-4917-9d42-c0b1b404106d</t>
  </si>
  <si>
    <t>dbf6472b-6d2b-40f6-a2e9-4f93081f6ccb</t>
  </si>
  <si>
    <t>453-449</t>
  </si>
  <si>
    <t>c976be01-eb4d-4fbd-8389-bc0dbc3623f4</t>
  </si>
  <si>
    <t>437-439</t>
  </si>
  <si>
    <t>a0939d7a-f763-4979-b722-5d81d6163790</t>
  </si>
  <si>
    <t>443-447</t>
  </si>
  <si>
    <t xml:space="preserve">up 4 steps narrow walkway </t>
  </si>
  <si>
    <t>8f14d70a-ef12-4b42-82f0-2d1bdcbeaff1</t>
  </si>
  <si>
    <t>421-423</t>
  </si>
  <si>
    <t>c7e92f15-4382-4e10-a9f8-98a0683e2114</t>
  </si>
  <si>
    <t>fd3c8fc3-ec2d-4ac4-892e-7a4cae6d5949</t>
  </si>
  <si>
    <t>624</t>
  </si>
  <si>
    <t>6dc3a709-0f21-44b5-b931-91a3a1bb49df</t>
  </si>
  <si>
    <t>628-630</t>
  </si>
  <si>
    <t>86e3d104-9924-41e4-8793-405d3d83a602</t>
  </si>
  <si>
    <t>632-635</t>
  </si>
  <si>
    <t>139841b2-fc73-4d2a-9113-3d76d55f85ab</t>
  </si>
  <si>
    <t>644-650</t>
  </si>
  <si>
    <t>long narrow walway</t>
  </si>
  <si>
    <t>1036ba87-ea90-4b52-a28c-9818400658e1</t>
  </si>
  <si>
    <t>658,660,64</t>
  </si>
  <si>
    <t>81976eb3-c3e5-41c0-81bf-7017ae29b2a3</t>
  </si>
  <si>
    <t>674/666</t>
  </si>
  <si>
    <t>668, 676, 672</t>
  </si>
  <si>
    <t>e062e4f9-7f43-4720-a49a-030e786489c8</t>
  </si>
  <si>
    <t>747 749-51</t>
  </si>
  <si>
    <t xml:space="preserve">down 5 steps </t>
  </si>
  <si>
    <t>c58e6544-48d9-4b1d-9e44-1f81ea20d52a</t>
  </si>
  <si>
    <t>32228921-d9a6-4366-9a56-c2788d4f1e79</t>
  </si>
  <si>
    <t>637</t>
  </si>
  <si>
    <t>3c0774d6-7514-43be-9488-454c53c851ca</t>
  </si>
  <si>
    <t xml:space="preserve">699-671 inside 10 steps up services on brant alley, rest curb side </t>
  </si>
  <si>
    <t>d3447a8a-68ce-4c7a-a45b-7c7e8b95b6f0</t>
  </si>
  <si>
    <t>651-659</t>
  </si>
  <si>
    <t>8f0793e1-e382-4db9-a124-f888d4f2bb48</t>
  </si>
  <si>
    <t>aa83a91c-ce62-4254-abb5-fbd28c53e582</t>
  </si>
  <si>
    <t>637-641</t>
  </si>
  <si>
    <t>766320ad-e4b7-4184-bd0e-8e55b10fc5d7</t>
  </si>
  <si>
    <t>655/656</t>
  </si>
  <si>
    <t>068063c2-cc06-4d9e-bf01-fce3054c8db3</t>
  </si>
  <si>
    <t>619-21</t>
  </si>
  <si>
    <t>4593fe4d-facc-4422-ae28-b4425b9cc911</t>
  </si>
  <si>
    <t>615-617</t>
  </si>
  <si>
    <t>up 5 steps, narrow walkway</t>
  </si>
  <si>
    <t>21a4968f-2755-4229-860d-95036034949e</t>
  </si>
  <si>
    <t>b747ed2c-9784-4995-baed-f35bf2c3d1f2</t>
  </si>
  <si>
    <t>579-81/91</t>
  </si>
  <si>
    <t>-97</t>
  </si>
  <si>
    <t>ca749b83-e21f-46b7-822c-b9261e9cf2e7</t>
  </si>
  <si>
    <t>569/567</t>
  </si>
  <si>
    <t>95b7df40-0704-4202-a01d-97655aff66a9</t>
  </si>
  <si>
    <t>550-61</t>
  </si>
  <si>
    <t>8bbb6fa4-3135-4787-be40-cc318a26b5d3</t>
  </si>
  <si>
    <t>528-530</t>
  </si>
  <si>
    <t>elevation up 10-15 steps</t>
  </si>
  <si>
    <t>97dffb50-801a-424d-b3e9-e9d2960e4347</t>
  </si>
  <si>
    <t>887fe8fb-b6f0-464f-bc3d-9d65046f0f39</t>
  </si>
  <si>
    <t>501</t>
  </si>
  <si>
    <t>5a94d1a5-792a-490e-8649-7096415720f1</t>
  </si>
  <si>
    <t>7355f5f2-b6fe-465a-ab41-ddce406f30d4</t>
  </si>
  <si>
    <t>592</t>
  </si>
  <si>
    <t>locked door, 10-15 steps up</t>
  </si>
  <si>
    <t>6f8e7eed-d813-49d0-a681-67f0f3026574</t>
  </si>
  <si>
    <t xml:space="preserve">up 5 steps </t>
  </si>
  <si>
    <t>3dabf27a-a872-4cea-a70f-1cdb553cd75d</t>
  </si>
  <si>
    <t>570-566</t>
  </si>
  <si>
    <t>000724a1-54b0-4b16-b80a-1938a6520f89</t>
  </si>
  <si>
    <t>2112-2116</t>
  </si>
  <si>
    <t>Mason</t>
  </si>
  <si>
    <t>d319030e-8838-4fa6-930e-51e3dedf797a</t>
  </si>
  <si>
    <t>10-15 steps, long narrow walkway, condenses into 96g</t>
  </si>
  <si>
    <t>dd69606d-c65c-431d-8413-b7a02c34790d</t>
  </si>
  <si>
    <t>4ccf9da5-689b-4ff7-9822-6b79f3f97f40</t>
  </si>
  <si>
    <t>2160-62</t>
  </si>
  <si>
    <t>7360453f-9660-4685-956c-29939f4f9111</t>
  </si>
  <si>
    <t>594/2200</t>
  </si>
  <si>
    <t>Chestnut/Mason</t>
  </si>
  <si>
    <t xml:space="preserve">three 32g locked toters </t>
  </si>
  <si>
    <t>f0cf50a8-9efa-4bb0-9be4-26ce1b778511</t>
  </si>
  <si>
    <t>2216-18</t>
  </si>
  <si>
    <t>23e2cb27-e27d-4ef2-b6b2-b9547712b37b</t>
  </si>
  <si>
    <t>26b42646-7e59-4eed-8cec-2214cd84f4fa</t>
  </si>
  <si>
    <t>2257</t>
  </si>
  <si>
    <t>serviced on 0 water</t>
  </si>
  <si>
    <t>ea1bf07d-8827-41d6-9df9-fa215720bbc5</t>
  </si>
  <si>
    <t>2328df1d-66f4-460f-aa1b-411c65dbd6aa</t>
  </si>
  <si>
    <t>5756bbea-3008-4c60-85a2-ef64ec422e1d</t>
  </si>
  <si>
    <t>537</t>
  </si>
  <si>
    <t xml:space="preserve">serviced on 0 water </t>
  </si>
  <si>
    <t>160893b9-e62f-451a-9312-f294400498e1</t>
  </si>
  <si>
    <t>545/547/549</t>
  </si>
  <si>
    <t>f610b966-b00f-4507-ae82-53ae7495d2d0</t>
  </si>
  <si>
    <t>1ce79a40-5aff-4cf9-b11d-5fabe32e1583</t>
  </si>
  <si>
    <t>76b6620c-7523-411f-b4c3-46e4e76430cd</t>
  </si>
  <si>
    <t>633-635</t>
  </si>
  <si>
    <t>639-41</t>
  </si>
  <si>
    <t>7a8c5955-6072-4c8c-996e-313268a28ce5</t>
  </si>
  <si>
    <t>619-621</t>
  </si>
  <si>
    <t>down 10 steps, long narrow walkway</t>
  </si>
  <si>
    <t>150ddd88-c8d4-411c-a499-ee3c9a6e5ab5</t>
  </si>
  <si>
    <t>609-11</t>
  </si>
  <si>
    <t>ca2601cd-eec3-47c5-85a4-c8da3c304acf</t>
  </si>
  <si>
    <t>e89fa78d-dda4-4134-a88b-85d4f0af1584</t>
  </si>
  <si>
    <t>2165-2169</t>
  </si>
  <si>
    <t>down 10 steps</t>
  </si>
  <si>
    <t>c67f17dd-c079-402f-9f04-02d080724b88</t>
  </si>
  <si>
    <t>2147-49</t>
  </si>
  <si>
    <t>down 10 steps. narrow walkway</t>
  </si>
  <si>
    <t>e3cf758d-8d20-4d71-a33f-7b360e5cc6f5</t>
  </si>
  <si>
    <t>2131</t>
  </si>
  <si>
    <t>A-C</t>
  </si>
  <si>
    <t>32944b74-8eaf-46be-b4f2-094be00fb368</t>
  </si>
  <si>
    <t>2125/2131</t>
  </si>
  <si>
    <t>35427d0f-9ce8-4a20-a958-144c94418108</t>
  </si>
  <si>
    <t>No</t>
  </si>
  <si>
    <t>service through garage, alley</t>
  </si>
  <si>
    <t>b94c73a4-1fbb-4420-a3d5-a764ac45282a</t>
  </si>
  <si>
    <t>1416</t>
  </si>
  <si>
    <t>locked door, 20 ft walkway</t>
  </si>
  <si>
    <t>b1fc15b3-b3c9-4084-bc5d-e51fe5ab0709</t>
  </si>
  <si>
    <t>790</t>
  </si>
  <si>
    <t xml:space="preserve">locked door, 20+ stairs, </t>
  </si>
  <si>
    <t>6e4baf90-78f8-400b-8801-151cc48b9704</t>
  </si>
  <si>
    <t>789</t>
  </si>
  <si>
    <t>b591fb64-e583-463e-b775-5647166359a0</t>
  </si>
  <si>
    <t>705</t>
  </si>
  <si>
    <t>dd016148-600f-416f-9ed8-28c3aafa4a7a</t>
  </si>
  <si>
    <t xml:space="preserve">20 stairs, locked door, condensed </t>
  </si>
  <si>
    <t>d0becf79-23d9-4a3a-ae17-eefbccb3990c</t>
  </si>
  <si>
    <t>658</t>
  </si>
  <si>
    <t>aec4ab5a-3198-4dae-bcaf-37bf1a9727ec</t>
  </si>
  <si>
    <t>1362/641</t>
  </si>
  <si>
    <t>Stockton/Vallejo</t>
  </si>
  <si>
    <t>serviced cans at curb as well as inside for same address, lots of other trash in the way, locked door, 60 ft walkway, narrow</t>
  </si>
  <si>
    <t>3df34842-6e90-4b73-b046-0b2e75fddac2</t>
  </si>
  <si>
    <t xml:space="preserve">Columbus </t>
  </si>
  <si>
    <t>3ff9fff0-7b62-455a-bfe0-ebf92a74bcc1</t>
  </si>
  <si>
    <t>20+ stairs. locked door</t>
  </si>
  <si>
    <t>d4a8103d-66d2-490c-9308-7f55ea87db88</t>
  </si>
  <si>
    <t>331</t>
  </si>
  <si>
    <t>deae74a9-87f2-4119-be38-7a5ec8615bee</t>
  </si>
  <si>
    <t>485dacdc-2935-45d9-8bbe-2b577c077d6a</t>
  </si>
  <si>
    <t>606</t>
  </si>
  <si>
    <t>17b2082e-629d-485b-a831-0162fec7868b</t>
  </si>
  <si>
    <t xml:space="preserve">Stockton </t>
  </si>
  <si>
    <t>957451c9-dc2a-4a6a-a028-ce4a64958d43</t>
  </si>
  <si>
    <t>337f95ce-6395-4ea9-8724-3946764ae7b6</t>
  </si>
  <si>
    <t>service on vallejo, small outdoor structure that is locked with cans inside</t>
  </si>
  <si>
    <t>6bfe3050-874b-4bcf-b870-72be2ec28a0c</t>
  </si>
  <si>
    <t>Emery</t>
  </si>
  <si>
    <t>driver had to walk down alley to service through garage, 60 ft down alley</t>
  </si>
  <si>
    <t>c7ac9a93-7592-4b28-aab8-39d745ad5277</t>
  </si>
  <si>
    <t>73</t>
  </si>
  <si>
    <t xml:space="preserve">Card Alley </t>
  </si>
  <si>
    <t>door is 80 ft down Emery alley, service on emery, 4 stairs</t>
  </si>
  <si>
    <t>e2939c47-4a24-411e-8c86-d06cd5439339</t>
  </si>
  <si>
    <t>766</t>
  </si>
  <si>
    <t>70 feet down alley, service through garage, driver had to be let in garage, made two trips down alley to service</t>
  </si>
  <si>
    <t>6db4d2aa-ff86-4c45-908d-4eccbd0ad9fd</t>
  </si>
  <si>
    <t>1504</t>
  </si>
  <si>
    <t>c918a7d1-18ab-4c17-b9b4-33cf0abc0dab</t>
  </si>
  <si>
    <t>22ebd95f-f29b-40c8-9006-525edcef7486</t>
  </si>
  <si>
    <t>1557</t>
  </si>
  <si>
    <t>debfedb7-d0ec-4676-94f5-5f8c3d3800ec</t>
  </si>
  <si>
    <t>8bdf0024-7983-4cd6-9000-d883dbf82554</t>
  </si>
  <si>
    <t>service on powell</t>
  </si>
  <si>
    <t>c2c8d219-a2c2-45bf-a3f6-7aa4cb68b0cb</t>
  </si>
  <si>
    <t>507</t>
  </si>
  <si>
    <t xml:space="preserve">Columbia </t>
  </si>
  <si>
    <t>aeaf6283-696c-4267-8681-b897e359db8f</t>
  </si>
  <si>
    <t>649</t>
  </si>
  <si>
    <t>e8474050-1e40-41e4-957b-2226f75f7268</t>
  </si>
  <si>
    <t>511/622</t>
  </si>
  <si>
    <t>Columbus/Green</t>
  </si>
  <si>
    <t xml:space="preserve">serviced cans at curb first then went inside, locked door, 40 ft walkway, stairs, service on green </t>
  </si>
  <si>
    <t>e2bb3cdb-7538-4958-88a8-9000cb99dcd9</t>
  </si>
  <si>
    <t>29325836-00f5-430e-8b68-0957144e8347</t>
  </si>
  <si>
    <t>671</t>
  </si>
  <si>
    <t>locked door, long narrow hallway</t>
  </si>
  <si>
    <t>f55ae2ff-e668-4fda-8a32-dee4c74437cd</t>
  </si>
  <si>
    <t>679</t>
  </si>
  <si>
    <t>locked door</t>
  </si>
  <si>
    <t>94928c31-ee3d-41b3-9b5a-e5fc7e389101</t>
  </si>
  <si>
    <t xml:space="preserve">1573 </t>
  </si>
  <si>
    <t>service on green,  locked door, 8 stairs</t>
  </si>
  <si>
    <t>02027994-c4df-4b09-8616-d2cedf807244</t>
  </si>
  <si>
    <t>service on green</t>
  </si>
  <si>
    <t>98682ebe-efe0-4149-a60a-bc2e63113760</t>
  </si>
  <si>
    <t>August</t>
  </si>
  <si>
    <t>100 ft alley to garage, service through garage, 30 more feet in garage</t>
  </si>
  <si>
    <t>7c96db61-d92c-4763-9f7c-9d2ea84eccc1</t>
  </si>
  <si>
    <t>755</t>
  </si>
  <si>
    <t>40 ft down driveway</t>
  </si>
  <si>
    <t>df1e4f9d-a9d7-4863-ae96-1dd0d2519000</t>
  </si>
  <si>
    <t>899</t>
  </si>
  <si>
    <t>f3adbe37-8ee8-4611-98c6-ec2e1cda47d2</t>
  </si>
  <si>
    <t>866</t>
  </si>
  <si>
    <t>driver condensed into 1 96, 70 ft steep driveway</t>
  </si>
  <si>
    <t>aa8f6e66-7c58-40a6-ab01-03e1390c1c65</t>
  </si>
  <si>
    <t>869</t>
  </si>
  <si>
    <t>faa6931a-39f6-444b-b981-1f4f5ef79a9a</t>
  </si>
  <si>
    <t>driver serviced multiple addresses</t>
  </si>
  <si>
    <t>0832b4ba-2ebc-49ba-994c-4493e4deacb1</t>
  </si>
  <si>
    <t>locked door, stairs</t>
  </si>
  <si>
    <t>1e2ce10c-0db4-4df5-9366-a0720fedb1f4</t>
  </si>
  <si>
    <t>c489637b-70c3-4a0a-869a-0620913a5d3c</t>
  </si>
  <si>
    <t>1441</t>
  </si>
  <si>
    <t>2 locked doors, driver could not get through 2nd door, had to go to front to be let in - could not service</t>
  </si>
  <si>
    <t>ca1e74f5-8c43-4743-9700-5b84f198fe56</t>
  </si>
  <si>
    <t>840</t>
  </si>
  <si>
    <t>service through garage with code</t>
  </si>
  <si>
    <t>6aee7c98-3253-43ab-a228-0b0ae452541d</t>
  </si>
  <si>
    <t>990</t>
  </si>
  <si>
    <t>trash all over street</t>
  </si>
  <si>
    <t>228dfaee-05c1-41e6-9ae7-f9cc02aa634d</t>
  </si>
  <si>
    <t>ecde4f22-9497-42a6-a9a0-a950a0d9674e</t>
  </si>
  <si>
    <t>1446</t>
  </si>
  <si>
    <t xml:space="preserve">service through garage, </t>
  </si>
  <si>
    <t>c935b099-773d-46d8-a0d3-d0bd10cdd471</t>
  </si>
  <si>
    <t>875</t>
  </si>
  <si>
    <t>service through locked door</t>
  </si>
  <si>
    <t>aad98633-d431-4478-9e5f-99fdecbd3f8a</t>
  </si>
  <si>
    <t>805</t>
  </si>
  <si>
    <t>locked door, 8 stairs</t>
  </si>
  <si>
    <t>fca2334f-3467-4c0f-a692-6021cb7916b4</t>
  </si>
  <si>
    <t>a66060db-0e13-414e-b171-c10955c462da</t>
  </si>
  <si>
    <t>918</t>
  </si>
  <si>
    <t xml:space="preserve">Pacific </t>
  </si>
  <si>
    <t>70 ft driveway, locked door,  narrow with car, few stairs</t>
  </si>
  <si>
    <t>acd4eae6-0037-4720-82a7-33e6c9ecc8f7</t>
  </si>
  <si>
    <t>serviced cans one at a time because of weight</t>
  </si>
  <si>
    <t>8626eeb9-28b6-4668-9503-d2800b76c3b6</t>
  </si>
  <si>
    <t>service on pacific</t>
  </si>
  <si>
    <t>97f8be2d-de83-4eae-9504-b0e33d845593</t>
  </si>
  <si>
    <t>40 ft walkway, locked door</t>
  </si>
  <si>
    <t>40c5a6fd-f61c-4b39-ae27-fb71e2c8253f</t>
  </si>
  <si>
    <t>locked door, 5+ stairs</t>
  </si>
  <si>
    <t>7eb623d6-a3ef-4e17-9b62-98f5ffbb56bd</t>
  </si>
  <si>
    <t>873</t>
  </si>
  <si>
    <t xml:space="preserve">40 ft driveway </t>
  </si>
  <si>
    <t>93334ff6-b5cc-4851-b223-47a9cadffc6a</t>
  </si>
  <si>
    <t>865</t>
  </si>
  <si>
    <t>service through garage, 20 ft to cans</t>
  </si>
  <si>
    <t>5b89a9b2-2bb3-4f60-8e0c-566fc5531ac6</t>
  </si>
  <si>
    <t>847</t>
  </si>
  <si>
    <t>20 ft walkway to cans</t>
  </si>
  <si>
    <t>bc6196bf-61c7-4a5b-92c6-ceffa414b6e7</t>
  </si>
  <si>
    <t>859</t>
  </si>
  <si>
    <t xml:space="preserve">10 stairs, locked door, </t>
  </si>
  <si>
    <t>bfb76c3f-8cd0-499e-b9f4-fe43d75edef7</t>
  </si>
  <si>
    <t>behind unlocked door</t>
  </si>
  <si>
    <t>555b2458-0b93-489f-95b0-8b5263be4a24</t>
  </si>
  <si>
    <t>grabbed cans inside locked door as well as ones at curb</t>
  </si>
  <si>
    <t>a3a3d9eb-6f87-4758-a074-d1e8333e2746</t>
  </si>
  <si>
    <t>808</t>
  </si>
  <si>
    <t>5a84d30b-d509-489b-bbed-5b57b0f01211</t>
  </si>
  <si>
    <t>897</t>
  </si>
  <si>
    <t>1 stair, 30 ft hallway</t>
  </si>
  <si>
    <t>bb425fe2-96f1-4408-99a4-ad4d0bcee694</t>
  </si>
  <si>
    <t>service on vallejo, locked door, long hallway</t>
  </si>
  <si>
    <t>af321173-8d14-4cf6-a2b4-45c3f73dd1c0</t>
  </si>
  <si>
    <t>1618/1632</t>
  </si>
  <si>
    <t>driver services 2 address in one long alley that goes behind apartments, long hallway, 200+ feet, 15 stairs</t>
  </si>
  <si>
    <t>cf5ca1bc-0bc5-4c92-96e6-222aeb23fdb2</t>
  </si>
  <si>
    <t xml:space="preserve">service through garage </t>
  </si>
  <si>
    <t>181dd8f5-558d-4881-9499-cc218a3af63d</t>
  </si>
  <si>
    <t>locked door, 1 stair</t>
  </si>
  <si>
    <t>edd4a631-3e0e-48a8-8aef-048038552b19</t>
  </si>
  <si>
    <t>1828</t>
  </si>
  <si>
    <t>4b2e22fa-36a3-4249-872b-f5e71e0f903b</t>
  </si>
  <si>
    <t>service through garage with code, 2nd door</t>
  </si>
  <si>
    <t>d3e1a48b-c2a0-4d9e-8312-34c4f7134235</t>
  </si>
  <si>
    <t>770</t>
  </si>
  <si>
    <t>service on mason, locked door, 7 stairs, driver condensed into 96 gal</t>
  </si>
  <si>
    <t>f4875bf3-3c5f-4c38-a537-679888a02e7e</t>
  </si>
  <si>
    <t>Mason And Greenwich</t>
  </si>
  <si>
    <t>36348e27-16e8-460a-a5b1-6ae67a096101</t>
  </si>
  <si>
    <t>2 sets of stairs (25 stairs), 70 ft walkway, narrow, condensed into 96 gal</t>
  </si>
  <si>
    <t>47beb509-65ee-415d-9d5d-a72b9cf83ab9</t>
  </si>
  <si>
    <t>822</t>
  </si>
  <si>
    <t>10 stairs, locked door, condensed into 1 96 gal</t>
  </si>
  <si>
    <t>28622bd5-ef18-4d86-810d-07091bb85d3a</t>
  </si>
  <si>
    <t>830</t>
  </si>
  <si>
    <t>10 stairs, locked door, narrow</t>
  </si>
  <si>
    <t>fcdc7dd4-c49b-4fa6-b945-8ac78de6281f</t>
  </si>
  <si>
    <t>1040</t>
  </si>
  <si>
    <t>service through garage, 50 ft walkway to cans</t>
  </si>
  <si>
    <t>cef6ad7e-e12a-441c-a1ca-5e5653ec4fbc</t>
  </si>
  <si>
    <t>1085</t>
  </si>
  <si>
    <t>locked door, steep hill, condensed into 1 96 gal</t>
  </si>
  <si>
    <t>edc9655c-6a1a-4161-981a-b91654662d45</t>
  </si>
  <si>
    <t>8 stairs, 80 ft hallway, locked door</t>
  </si>
  <si>
    <t>0afd7fe4-4ff0-40e1-94a9-7810280469b2</t>
  </si>
  <si>
    <t>locked door, 4 stairs, 35 ft to garbage cans</t>
  </si>
  <si>
    <t>0dd6c2d3-2335-4d4f-b87e-1271b9d94043</t>
  </si>
  <si>
    <t>service on jones, locked door, steep hill, 10 stairs</t>
  </si>
  <si>
    <t>b7711ec9-17c3-477b-ab8c-0234eda357c4</t>
  </si>
  <si>
    <t>1020</t>
  </si>
  <si>
    <t>empty</t>
  </si>
  <si>
    <t>caf48fbd-3d73-4778-883e-bd48cb04de51</t>
  </si>
  <si>
    <t>1011</t>
  </si>
  <si>
    <t>locked door, long hallway, few stairs</t>
  </si>
  <si>
    <t>b91db3aa-085c-49b4-a6ba-6bd40b308894</t>
  </si>
  <si>
    <t>1019</t>
  </si>
  <si>
    <t>locked door, 30 ft walkway</t>
  </si>
  <si>
    <t>b4c82242-c2ae-401e-8f35-5e36ec0f73ca</t>
  </si>
  <si>
    <t>1048</t>
  </si>
  <si>
    <t xml:space="preserve">5 stairs,cans in outside corridor, </t>
  </si>
  <si>
    <t>d6af3f49-6d68-471a-be67-e7fb1ba01107</t>
  </si>
  <si>
    <t>1083</t>
  </si>
  <si>
    <t>locked door, 8 stairs, 2nd door</t>
  </si>
  <si>
    <t>36d85481-f755-4a64-bdb6-210dee15e79b</t>
  </si>
  <si>
    <t>1074</t>
  </si>
  <si>
    <t>5 stairs, dark, locked door</t>
  </si>
  <si>
    <t>e7709b88-b527-4a76-97e1-9e72aad9ef4a</t>
  </si>
  <si>
    <t>1082</t>
  </si>
  <si>
    <t>50 ft hallway to cans, locked door, dark</t>
  </si>
  <si>
    <t>b1adb307-da31-4f30-89c2-f48ffee71c91</t>
  </si>
  <si>
    <t>1096</t>
  </si>
  <si>
    <t>service on leavenworth</t>
  </si>
  <si>
    <t>6ba9a79b-1ce3-47d1-8a73-3487ddc5f7f4</t>
  </si>
  <si>
    <t>2008</t>
  </si>
  <si>
    <t>locked door steep</t>
  </si>
  <si>
    <t>5453bb41-486d-4533-b541-59ea3584c93a</t>
  </si>
  <si>
    <t>2033</t>
  </si>
  <si>
    <t>6f92a809-9e0d-4730-ba0e-38b598dcaf61</t>
  </si>
  <si>
    <t>2042a/2034</t>
  </si>
  <si>
    <t>servicing 2 address at once, stairs, locked doors, condensed</t>
  </si>
  <si>
    <t>d87db43b-aed1-48f2-abcc-8f802470c42f</t>
  </si>
  <si>
    <t>2060</t>
  </si>
  <si>
    <t>service on filbert</t>
  </si>
  <si>
    <t>50ec120f-96d4-4f67-bc61-fd07ffdbfe2e</t>
  </si>
  <si>
    <t>1034</t>
  </si>
  <si>
    <t xml:space="preserve">service through garage, 30 ft walkway </t>
  </si>
  <si>
    <t>a1b986b1-92a6-4fad-99d9-f33257c2b50a</t>
  </si>
  <si>
    <t xml:space="preserve">Filbert </t>
  </si>
  <si>
    <t>locked door, 10 stairs, condensed</t>
  </si>
  <si>
    <t>bd11c958-75a6-456e-80e3-787b17aab16f</t>
  </si>
  <si>
    <t>949</t>
  </si>
  <si>
    <t>locked door, 40 ft hallway</t>
  </si>
  <si>
    <t>883c4a04-2ae6-400f-9c67-1a34cbf57140</t>
  </si>
  <si>
    <t>1 stair, locked door, narrow</t>
  </si>
  <si>
    <t>1471897e-2ac0-4beb-a323-1e1875f2212b</t>
  </si>
  <si>
    <t>7 stairs, condensed, locked door</t>
  </si>
  <si>
    <t>668371ac-fb29-4be7-ae7c-917ff44a7104</t>
  </si>
  <si>
    <t>901/2047</t>
  </si>
  <si>
    <t>Greenwich/Taylor</t>
  </si>
  <si>
    <t xml:space="preserve">service on taylor, locked door </t>
  </si>
  <si>
    <t>712bddde-a877-4991-bbb9-2a8fdefe2ddb</t>
  </si>
  <si>
    <t>2083</t>
  </si>
  <si>
    <t>stairs, locked door</t>
  </si>
  <si>
    <t>b1d16379-2b0d-491c-bea1-7e3236359f76</t>
  </si>
  <si>
    <t>6f7c083f-355b-4b05-984f-6218bb089463</t>
  </si>
  <si>
    <t>daf7a4ea-6833-46ab-941a-0821f9b66dab</t>
  </si>
  <si>
    <t>3d1f0958-6aaa-4d15-964d-4adcf9eb1f7b</t>
  </si>
  <si>
    <t>1943</t>
  </si>
  <si>
    <t>locked door, steep</t>
  </si>
  <si>
    <t>d51297bd-019e-4948-b48e-19f3e61f7fa2</t>
  </si>
  <si>
    <t>1953</t>
  </si>
  <si>
    <t>locked door, cans already out at curb</t>
  </si>
  <si>
    <t>2a117e35-1e7d-402c-9be4-3dfdbc99f79a</t>
  </si>
  <si>
    <t>1924</t>
  </si>
  <si>
    <t>locked door, condensed</t>
  </si>
  <si>
    <t>6d391f7c-c27c-4aaf-b176-0db763be2aa0</t>
  </si>
  <si>
    <t>834</t>
  </si>
  <si>
    <t xml:space="preserve">service in taylor, </t>
  </si>
  <si>
    <t>75a21c84-5b4a-44d3-af79-35e97f29deec</t>
  </si>
  <si>
    <t>small stair, locked door</t>
  </si>
  <si>
    <t>58f6e07e-d64a-49ab-817a-675f6b04f131</t>
  </si>
  <si>
    <t>906</t>
  </si>
  <si>
    <t>locked door, 15 ft to cans</t>
  </si>
  <si>
    <t>f5c47a7e-e6ab-4ed0-9bbb-c19f95e6a5df</t>
  </si>
  <si>
    <t>15f01f2f-06b4-49bc-9867-04c595062624</t>
  </si>
  <si>
    <t>922/912</t>
  </si>
  <si>
    <t>serviced 2 addresses at same time, locked doors, 10+ stairs</t>
  </si>
  <si>
    <t>6d1ab208-9a65-4f07-b6ce-8d6cec3f27f6</t>
  </si>
  <si>
    <t>940</t>
  </si>
  <si>
    <t>e774392c-da4e-4360-9646-b8da57879e04</t>
  </si>
  <si>
    <t>service through garage, 2nd door</t>
  </si>
  <si>
    <t>72f292a7-1520-4cd5-b944-39faab303aa7</t>
  </si>
  <si>
    <t>2130</t>
  </si>
  <si>
    <t>2 doors to service, 10 stairs per door, locked doors, condensed into 1 96 gal</t>
  </si>
  <si>
    <t>90215e61-253a-4822-b25a-540f740b693f</t>
  </si>
  <si>
    <t>2222/2200</t>
  </si>
  <si>
    <t>locked gate, small step onto ramp to curb, service both addresses at one gate</t>
  </si>
  <si>
    <t>accff6e3-0945-4a53-ae07-f3dcb4837cc5</t>
  </si>
  <si>
    <t>service on lurmont, locked door, 1 stair</t>
  </si>
  <si>
    <t>da1c1f91-c52d-46be-92db-1e1072f78f38</t>
  </si>
  <si>
    <t>cf388b7c-16a2-402c-9676-4f919089a619</t>
  </si>
  <si>
    <t>2235/2243</t>
  </si>
  <si>
    <t>services multiple addresses at once, locked door, 30 ft walkway</t>
  </si>
  <si>
    <t>cd4a2eca-8986-4524-bfea-7f2d58196e80</t>
  </si>
  <si>
    <t>1001</t>
  </si>
  <si>
    <t>service on leavenworth, locked door, driver had to go around back of house</t>
  </si>
  <si>
    <t>9bc58d91-4033-4b22-bf5e-df7f03c57242</t>
  </si>
  <si>
    <t xml:space="preserve">service on taylor, condensed, service through garage </t>
  </si>
  <si>
    <t>bd496784-2660-4df7-9fc8-b3985e352545</t>
  </si>
  <si>
    <t>service through garage, steep hill, 20 ft to cans, driver has to leave one can at door so it doesn't close</t>
  </si>
  <si>
    <t>dffe7344-1aaa-486f-901c-6b0b77103d0f</t>
  </si>
  <si>
    <t>1656</t>
  </si>
  <si>
    <t>gate locked</t>
  </si>
  <si>
    <t>957a29e3-e8b0-457c-991d-baa0c9dc4861</t>
  </si>
  <si>
    <t>20 outside stairs, 16 inside stairs, 2 door ways, low head clearance</t>
  </si>
  <si>
    <t>6451c156-c345-4e53-9733-3011d452e9be</t>
  </si>
  <si>
    <t>1632</t>
  </si>
  <si>
    <t>25 stairs, narrow, steep, 30 ft walkway, multiple cans condensed into 96 gal</t>
  </si>
  <si>
    <t>36363ef3-f0da-490a-87ba-659ca112cdde</t>
  </si>
  <si>
    <t>1616</t>
  </si>
  <si>
    <t>20 ft to cans, locked door, narrow</t>
  </si>
  <si>
    <t>17482902-f1b5-410b-a0f9-96be433773f8</t>
  </si>
  <si>
    <t>service on taylor</t>
  </si>
  <si>
    <t>a9a20ee8-e93e-4b55-b5f2-27e25036720b</t>
  </si>
  <si>
    <t>1005</t>
  </si>
  <si>
    <t>service on taylor, locked door</t>
  </si>
  <si>
    <t>9b98d606-4c95-466b-a274-91e6a609182d</t>
  </si>
  <si>
    <t>8cfaa855-e57a-482c-b1ba-e69d87bcc56e</t>
  </si>
  <si>
    <t>43e324eb-f7aa-4b18-9444-ef86a6d6f585</t>
  </si>
  <si>
    <t xml:space="preserve">6 stairs, door already open </t>
  </si>
  <si>
    <t>00772c3b-e16b-4c72-9072-6da4634f64bd</t>
  </si>
  <si>
    <t>service through garage, 20 ft to cans, 2nd door</t>
  </si>
  <si>
    <t>10eaa492-3761-4a0e-b47b-b4da4add2485</t>
  </si>
  <si>
    <t>10+ stairs, locked door, condensed into 96</t>
  </si>
  <si>
    <t>6663f7ad-0e80-44ae-99a6-c60fbafe47ec</t>
  </si>
  <si>
    <t>1508/1520</t>
  </si>
  <si>
    <t xml:space="preserve">5 stairs, narrow, locked door, serviced 2 addresses at once, </t>
  </si>
  <si>
    <t>897b3b5b-f398-4d68-8207-2ac5396938d4</t>
  </si>
  <si>
    <t>5 stairs, 40 ft. to cans</t>
  </si>
  <si>
    <t>a79d6db9-8526-43f7-a0b9-5972d5636036</t>
  </si>
  <si>
    <t>8 stairs, locked door, condensed Into 96</t>
  </si>
  <si>
    <t>2ce7418d-6403-44ff-aed4-6607d0724e79</t>
  </si>
  <si>
    <t>2 stairs, 40 ft walkway, condensed into 96 gal</t>
  </si>
  <si>
    <t>53d29ffd-0d9e-4a76-8512-00b0e7f61820</t>
  </si>
  <si>
    <t>1451</t>
  </si>
  <si>
    <t>3 stairs, locked door</t>
  </si>
  <si>
    <t>383ecefb-f640-4b4b-9f12-fa1d4029ee09</t>
  </si>
  <si>
    <t xml:space="preserve">15 stairs, 2nd door, </t>
  </si>
  <si>
    <t>68ac390c-7cf2-4be3-b607-31bfd9f79cb3</t>
  </si>
  <si>
    <t>1101</t>
  </si>
  <si>
    <t>Pacific</t>
  </si>
  <si>
    <t>72f66c4a-8053-4c38-85ce-3b3bb0bcac75</t>
  </si>
  <si>
    <t>1425</t>
  </si>
  <si>
    <t xml:space="preserve">service through garage, door already open </t>
  </si>
  <si>
    <t>8c694296-5e67-4d88-9726-c4caf1e8f5ab</t>
  </si>
  <si>
    <t>low head clearance, 8 stairs, 20 ft walkway</t>
  </si>
  <si>
    <t>0b90be24-c3af-4d53-970a-062beb31ca14</t>
  </si>
  <si>
    <t>10 stairs, 50 ft walkway, locked door</t>
  </si>
  <si>
    <t>db6c4714-d709-4c52-807b-71e4d721ff21</t>
  </si>
  <si>
    <t>1405</t>
  </si>
  <si>
    <t>3 stairs, 30 ft walkway</t>
  </si>
  <si>
    <t>8f426845-8e1f-4f30-a93e-4f4807830051</t>
  </si>
  <si>
    <t xml:space="preserve">super steep, same record as before but has time indicated </t>
  </si>
  <si>
    <t>1e9f80e9-b78f-41a1-a42c-6a3edc6ce27c</t>
  </si>
  <si>
    <t>had to return to address to service because of new lock, had to be let in front door</t>
  </si>
  <si>
    <t>622b491e-b4d7-4e74-b5b1-76a8d9fc20e8</t>
  </si>
  <si>
    <t>truck 14476, back down alley to service</t>
  </si>
  <si>
    <t>1f4d208f-7587-4e29-a47c-4ca196c732d4</t>
  </si>
  <si>
    <t>acc32b44-a828-47c7-903e-d6f18315ffd8</t>
  </si>
  <si>
    <t>ae065bd4-43ea-4ef4-a8f2-0ff40c94c97c</t>
  </si>
  <si>
    <t>c5da95b7-a0f0-4363-842e-44b63f89a2fe</t>
  </si>
  <si>
    <t>c15d3dc1-316f-4032-8864-ba23105bda12</t>
  </si>
  <si>
    <t>641</t>
  </si>
  <si>
    <t>locked door, 60 ft walkway</t>
  </si>
  <si>
    <t>da1f55e8-d207-468e-9893-57fa31256017</t>
  </si>
  <si>
    <t>627</t>
  </si>
  <si>
    <t>8f414541-7fa4-455a-b624-e2d7d7e5f095</t>
  </si>
  <si>
    <t>d044a0da-c7e9-4dc4-88bd-3da4fb9802fd</t>
  </si>
  <si>
    <t>9a458313-1180-4382-bb2f-d7f710254618</t>
  </si>
  <si>
    <t>bd35d112-a963-4a91-9695-6064dbec6b02</t>
  </si>
  <si>
    <t>babdbd35-b628-4582-8d5b-72812e03b390</t>
  </si>
  <si>
    <t>b60a6173-9d0c-45c6-9d7e-cb7691c6f7ee</t>
  </si>
  <si>
    <t>e72243f0-1e8b-47b1-b183-410e33bc9905</t>
  </si>
  <si>
    <t>e60c671a-77ea-46cc-a782-d2fe44f13fad</t>
  </si>
  <si>
    <t>735028c0-c249-49db-99f9-4e4112fcebab</t>
  </si>
  <si>
    <t>66893619-e17a-46bc-9df3-ddfe424eba4a</t>
  </si>
  <si>
    <t>7a540278-42cd-4fd8-bc3a-b21b8ee62b66</t>
  </si>
  <si>
    <t xml:space="preserve">708 </t>
  </si>
  <si>
    <t>48e2e27b-ffa7-42e3-bc40-6bb87464d59b</t>
  </si>
  <si>
    <t>486</t>
  </si>
  <si>
    <t>d61e9a9e-5e47-4689-868f-3b962eaf9c10</t>
  </si>
  <si>
    <t xml:space="preserve">1642 </t>
  </si>
  <si>
    <t>e459c917-cb1f-4c3a-95bd-23d22bd1938e</t>
  </si>
  <si>
    <t>d87e4817-ec50-4853-b9bc-85e4e078e820</t>
  </si>
  <si>
    <t>3b45e655-057e-4557-961c-edf9656f632e</t>
  </si>
  <si>
    <t>1417</t>
  </si>
  <si>
    <t>9c3eb214-ed90-42af-828c-7687b4587634</t>
  </si>
  <si>
    <t>d9fe1e4e-1cd4-412d-8199-45b07b5a2c0a</t>
  </si>
  <si>
    <t>1405-1401</t>
  </si>
  <si>
    <t>multiple customers serviced</t>
  </si>
  <si>
    <t>10405c01-a90d-4fcb-ae66-3857dd465ef3</t>
  </si>
  <si>
    <t>831</t>
  </si>
  <si>
    <t>4c959b71-eba2-4ad1-9012-8c8dc7a30c92</t>
  </si>
  <si>
    <t>860</t>
  </si>
  <si>
    <t>c5e335d4-f1d8-4429-acf0-d7f1ca71e515</t>
  </si>
  <si>
    <t>870-878</t>
  </si>
  <si>
    <t>1f9d4a8f-f966-4f92-9a42-ffd4767851da</t>
  </si>
  <si>
    <t>2bab06d0-68e2-4104-967f-37b16372d2fc</t>
  </si>
  <si>
    <t>1437-1429</t>
  </si>
  <si>
    <t>5f1a795b-f567-4329-91d6-93c38ca9a4cf</t>
  </si>
  <si>
    <t>1427</t>
  </si>
  <si>
    <t>028a29b1-84e6-42a2-b07a-c61b9827d630</t>
  </si>
  <si>
    <t>1409-1401</t>
  </si>
  <si>
    <t>77569047-c73a-446c-960f-3d1698b84a50</t>
  </si>
  <si>
    <t>69941169-def7-4cf2-961e-bd123680d48a</t>
  </si>
  <si>
    <t>977</t>
  </si>
  <si>
    <t>service through garage</t>
  </si>
  <si>
    <t>c07ab42a-fe3f-4c5c-8ca9-1b4c7e2b0bc4</t>
  </si>
  <si>
    <t>condensed into 96 gal</t>
  </si>
  <si>
    <t>8b69ea7b-e8dd-4527-8651-a93e8aec25eb</t>
  </si>
  <si>
    <t>971</t>
  </si>
  <si>
    <t>70 ft narrow walkway</t>
  </si>
  <si>
    <t>618837e1-9598-4dfb-9c2d-7ce2744a6d9d</t>
  </si>
  <si>
    <t>87c32be3-80d9-4e81-aa00-19c9e7346285</t>
  </si>
  <si>
    <t>4649b096-4c05-4594-81f5-e868ba1cd4cc</t>
  </si>
  <si>
    <t>935</t>
  </si>
  <si>
    <t>2160d57d-9ef3-4bd3-ac50-17eba04b95c5</t>
  </si>
  <si>
    <t>929</t>
  </si>
  <si>
    <t>bd168d90-4f10-4449-b96d-cd175bcbf2a3</t>
  </si>
  <si>
    <t>911</t>
  </si>
  <si>
    <t>2c775b8c-3f7b-4980-9db0-6aa220d2564c</t>
  </si>
  <si>
    <t>930</t>
  </si>
  <si>
    <t xml:space="preserve">driver had to service cans in parking lot behind house </t>
  </si>
  <si>
    <t>373bd1c0-936c-4d19-b6b3-3deeba163ac9</t>
  </si>
  <si>
    <t>43</t>
  </si>
  <si>
    <t>Wayne</t>
  </si>
  <si>
    <t>155b9bf1-55a7-42ce-9308-7f9a3945cb98</t>
  </si>
  <si>
    <t>33-20</t>
  </si>
  <si>
    <t>serviced both sides of street</t>
  </si>
  <si>
    <t>3d4efdbd-66bf-47b1-b2f2-99b01d5dce80</t>
  </si>
  <si>
    <t>12-18</t>
  </si>
  <si>
    <t>70b89db9-8a73-43b3-a39d-522dd2888663</t>
  </si>
  <si>
    <t>999-969</t>
  </si>
  <si>
    <t>b253e97d-24d0-44d4-8a36-7c6fb36d902a</t>
  </si>
  <si>
    <t>961</t>
  </si>
  <si>
    <t>12+ stairs, locked door, has to pick up can to put under chute</t>
  </si>
  <si>
    <t>d60b9e25-2eb5-4e41-9ebc-1542f8e0d24f</t>
  </si>
  <si>
    <t>953</t>
  </si>
  <si>
    <t>b3a62d6f-3fea-4ce4-affe-7a8d161ba81d</t>
  </si>
  <si>
    <t>driver has to place can in front of sensor so door does not close, empty</t>
  </si>
  <si>
    <t>c98ff5f8-62b3-4456-8265-ad1188bcc8f5</t>
  </si>
  <si>
    <t>921</t>
  </si>
  <si>
    <t>8598f95a-90dd-4cf4-a4e6-89047b69ae44</t>
  </si>
  <si>
    <t>881</t>
  </si>
  <si>
    <t>a9ddd459-594e-43a5-a1f7-48b1e19fdbf2</t>
  </si>
  <si>
    <t>871</t>
  </si>
  <si>
    <t>7b6161e5-6561-42fc-85df-b1cebb4d3b9b</t>
  </si>
  <si>
    <t>851</t>
  </si>
  <si>
    <t>a76b19dc-7c6f-4a44-be4f-3ccb5dabc241</t>
  </si>
  <si>
    <t>841-833</t>
  </si>
  <si>
    <t>multiple addresses serviced</t>
  </si>
  <si>
    <t>3a891128-72a4-4145-87eb-d2c8e4e8f5ff</t>
  </si>
  <si>
    <t>825-819</t>
  </si>
  <si>
    <t>d451cf21-9001-493b-9889-4cb73e73985d</t>
  </si>
  <si>
    <t>765</t>
  </si>
  <si>
    <t>service on union, multiple addresses serviced</t>
  </si>
  <si>
    <t>7f62efb2-0652-4f04-9790-b83e386dbc0d</t>
  </si>
  <si>
    <t>411654aa-90b3-4c3c-9f68-3ec2186005c4</t>
  </si>
  <si>
    <t>18-24</t>
  </si>
  <si>
    <t xml:space="preserve">Valparaiso </t>
  </si>
  <si>
    <t>fecd2701-bc3c-4a1f-8f99-e096de0a3a95</t>
  </si>
  <si>
    <t>28</t>
  </si>
  <si>
    <t>63a99e79-10b3-4327-97a5-68566dca4f58</t>
  </si>
  <si>
    <t>40-36</t>
  </si>
  <si>
    <t>13f87279-6661-45c5-9981-70ffa9af5959</t>
  </si>
  <si>
    <t>64227b6d-21a6-43a5-bb13-1a0564f4d864</t>
  </si>
  <si>
    <t>62</t>
  </si>
  <si>
    <t>93fa0f51-650e-4bd7-81da-3eafb05f06ee</t>
  </si>
  <si>
    <t>84</t>
  </si>
  <si>
    <t>d1b56b0a-e539-41c7-aca0-48464f9af0c9</t>
  </si>
  <si>
    <t>bd038063-9530-4820-96c5-84a7f24794ae</t>
  </si>
  <si>
    <t>2004</t>
  </si>
  <si>
    <t>abe91b87-3ee4-4167-b0c1-c1150dab432f</t>
  </si>
  <si>
    <t>87</t>
  </si>
  <si>
    <t>92a35526-0e3d-429e-bffb-54132003d0f0</t>
  </si>
  <si>
    <t>4e2f3449-1831-4616-87f6-390d01c137ed</t>
  </si>
  <si>
    <t>79-71</t>
  </si>
  <si>
    <t>05ff27e8-38a6-4baa-a0f3-4b0b63794987</t>
  </si>
  <si>
    <t>65</t>
  </si>
  <si>
    <t>543cc628-a5e8-4dea-b9bd-649c3c97ed5f</t>
  </si>
  <si>
    <t>2e3f62d3-cf3f-4ca3-a694-57fb4a2ce960</t>
  </si>
  <si>
    <t>cb928fc4-ca8e-4d17-9813-4a3832a07b91</t>
  </si>
  <si>
    <t>072d9ad4-ce4a-4fe3-82b9-6b3079340a8a</t>
  </si>
  <si>
    <t>050eaba2-65df-481f-9cd5-ceaf23158997</t>
  </si>
  <si>
    <t>11</t>
  </si>
  <si>
    <t>214ed2e7-3a02-40fc-9c3d-308b25e0cf3c</t>
  </si>
  <si>
    <t xml:space="preserve">long driveway behind property, slight incline in driveway, condensed </t>
  </si>
  <si>
    <t>c44d1742-5d2f-46cc-a4f2-7b99b06cc865</t>
  </si>
  <si>
    <t>852</t>
  </si>
  <si>
    <t xml:space="preserve">multiple addresses </t>
  </si>
  <si>
    <t>32435a09-c556-497a-96a0-b84634d13bb5</t>
  </si>
  <si>
    <t>864</t>
  </si>
  <si>
    <t>70 ft walkway</t>
  </si>
  <si>
    <t>a0bee18d-f7b1-4623-9cfb-1f8a74155a89</t>
  </si>
  <si>
    <t>3ea29712-ff61-46c9-95f9-0d81d80ce532</t>
  </si>
  <si>
    <t>312b3910-9780-44b7-9905-02f918ce019a</t>
  </si>
  <si>
    <t>942-940</t>
  </si>
  <si>
    <t>915d439e-aebd-4181-b50c-e37cb7812605</t>
  </si>
  <si>
    <t>952</t>
  </si>
  <si>
    <t>locked door, narrow, 15 ft hallway</t>
  </si>
  <si>
    <t>c110906a-1305-42f1-8d26-717c9882426c</t>
  </si>
  <si>
    <t>966/17</t>
  </si>
  <si>
    <t>Union/Marion</t>
  </si>
  <si>
    <t>dd5d765e-8156-4c31-b7e6-952f3ddb6c79</t>
  </si>
  <si>
    <t>968</t>
  </si>
  <si>
    <t>c01179cd-7776-4c6d-b7df-b510b91290d7</t>
  </si>
  <si>
    <t>988</t>
  </si>
  <si>
    <t>8f8c4578-ba36-4d32-a907-e0dd64d62689</t>
  </si>
  <si>
    <t>996</t>
  </si>
  <si>
    <t>stairs to backyard</t>
  </si>
  <si>
    <t>f17df2dd-1217-4248-a7f7-b5c005837bdb</t>
  </si>
  <si>
    <t>2022-2030</t>
  </si>
  <si>
    <t>condensed into 96 gal, super steep hill</t>
  </si>
  <si>
    <t>5c392481-defe-4983-b97a-b292ab14c592</t>
  </si>
  <si>
    <t xml:space="preserve">super steep, locked door, stairs, condensed </t>
  </si>
  <si>
    <t>7c3a5883-12a3-4eb6-b3d2-fac3ff90b1f7</t>
  </si>
  <si>
    <t>2058</t>
  </si>
  <si>
    <t xml:space="preserve">steep hill, locked door, 12 stairs. condensed </t>
  </si>
  <si>
    <t>6e57408c-d502-478a-9d27-115f6c964432</t>
  </si>
  <si>
    <t>d8595cfc-7e74-486c-be8c-96df5ec45078</t>
  </si>
  <si>
    <t>2041</t>
  </si>
  <si>
    <t>service on valparaiso through back gate</t>
  </si>
  <si>
    <t>c063bd33-92c3-4fd6-80b3-77b2e9852ef7</t>
  </si>
  <si>
    <t>126</t>
  </si>
  <si>
    <t xml:space="preserve">backed into Valparaiso </t>
  </si>
  <si>
    <t>e5c4b64f-6ea5-443b-87ee-33358217a51e</t>
  </si>
  <si>
    <t>ff4e40ad-532b-49e4-a0e0-beb9d6d5a636</t>
  </si>
  <si>
    <t>156/111</t>
  </si>
  <si>
    <t>660a7b74-9b44-4109-ac12-30d6cc382e6f</t>
  </si>
  <si>
    <t>service on Valparaiso,locked gate</t>
  </si>
  <si>
    <t>8b9aad30-32eb-4c5e-bc0b-06d6242d83fc</t>
  </si>
  <si>
    <t>176</t>
  </si>
  <si>
    <t>50ca5fde-19d0-4198-b092-738ed1c26283</t>
  </si>
  <si>
    <t>169</t>
  </si>
  <si>
    <t>0daa39a3-8f32-41f7-b640-08d626fce3fb</t>
  </si>
  <si>
    <t>2134</t>
  </si>
  <si>
    <t>locked gate</t>
  </si>
  <si>
    <t>aad19347-3eea-4788-9952-5ff756f44135</t>
  </si>
  <si>
    <t>127</t>
  </si>
  <si>
    <t>serviced inside cans and outside cans for same address, low head clearance, large step</t>
  </si>
  <si>
    <t>f79a3577-3ad4-4f45-b2d7-76b480228c47</t>
  </si>
  <si>
    <t xml:space="preserve">locked door, service through garage on Valparaiso </t>
  </si>
  <si>
    <t>753aaa79-fc5a-421e-b796-94a7b9a77ed3</t>
  </si>
  <si>
    <t>stairs, 40 ft to cans, service on jones</t>
  </si>
  <si>
    <t>83d63ef2-e2aa-4a06-8ef1-1ab0cffc7b3e</t>
  </si>
  <si>
    <t>stair to enter walkway, narrow, 60 ft walkway</t>
  </si>
  <si>
    <t>5969c58a-e03d-4671-b673-8329ad4643db</t>
  </si>
  <si>
    <t>1046</t>
  </si>
  <si>
    <t>ce0ad153-e503-4f40-9aa8-3c2e1b50b612</t>
  </si>
  <si>
    <t>991</t>
  </si>
  <si>
    <t>187e4948-02aa-4603-8869-fc995d742e9c</t>
  </si>
  <si>
    <t>locked door, 80 ft walkway, condensed into 96 gal</t>
  </si>
  <si>
    <t>249e041d-ed8a-4754-b468-0b01cac8ab77</t>
  </si>
  <si>
    <t xml:space="preserve">987 </t>
  </si>
  <si>
    <t>00ffe5ab-addd-4b11-bc4d-7b22bbe2e46f</t>
  </si>
  <si>
    <t>974</t>
  </si>
  <si>
    <t>condensed multiple cans into 96 gal</t>
  </si>
  <si>
    <t>902f57a2-e9c9-4144-afe7-b14597067482</t>
  </si>
  <si>
    <t>967</t>
  </si>
  <si>
    <t>9985ecf4-55c3-4577-8f79-c8d34b989d5e</t>
  </si>
  <si>
    <t>ccbc83e7-46bb-48c0-8a22-242f27c1d1ad</t>
  </si>
  <si>
    <t>7d1659b7-3dd8-49cc-a38c-6a414226a09d</t>
  </si>
  <si>
    <t>locked door, service through garage, 30 ft to cans, grabbed 64 gal at curb</t>
  </si>
  <si>
    <t>fc6876a9-ce31-4229-8ffc-564f45d6cb06</t>
  </si>
  <si>
    <t>912</t>
  </si>
  <si>
    <t>a7c06c57-e977-4085-9609-f99ac726abea</t>
  </si>
  <si>
    <t>925</t>
  </si>
  <si>
    <t>3a396f87-5e83-4bba-95ca-9a5786eb61a0</t>
  </si>
  <si>
    <t>1959</t>
  </si>
  <si>
    <t>service through garage on filbert</t>
  </si>
  <si>
    <t>8f5aa6c5-c5b7-4d3f-a9d1-1bb237c42de2</t>
  </si>
  <si>
    <t>c7a962e5-beb1-4e8b-99d3-3c8f602bc4b4</t>
  </si>
  <si>
    <t>65e6604f-c4ce-4026-8276-9eca412e45a8</t>
  </si>
  <si>
    <t>locked gate, 8 stairs, 2 doors</t>
  </si>
  <si>
    <t>e88e58c9-8103-4a14-bc2b-44bc9af56fbd</t>
  </si>
  <si>
    <t>882</t>
  </si>
  <si>
    <t>8 stairs, 2nd doorway, at least 50 ft to cans, condensed into 96 gal</t>
  </si>
  <si>
    <t>b4d87a6d-7611-43e1-92c5-aa9aa812a42d</t>
  </si>
  <si>
    <t>912-920</t>
  </si>
  <si>
    <t>47ca2383-2699-4c37-b74f-261a6bbc03d6</t>
  </si>
  <si>
    <t>922</t>
  </si>
  <si>
    <t>7df1a2b8-e246-4aa9-9d49-c22797be2cbc</t>
  </si>
  <si>
    <t>936</t>
  </si>
  <si>
    <t>driver had to unlock 2 doors (one was easier to service through), 7 stairs, another doorway, condensed into 96</t>
  </si>
  <si>
    <t>dafacc69-1732-4727-93d9-fc417201b8d0</t>
  </si>
  <si>
    <t>946</t>
  </si>
  <si>
    <t>cc62d841-f005-42f9-a2e3-f9668a67d412</t>
  </si>
  <si>
    <t>958/960</t>
  </si>
  <si>
    <t>08ae2505-372d-4abd-a72e-19987e2295f6</t>
  </si>
  <si>
    <t>982</t>
  </si>
  <si>
    <t>61cae05f-d4c9-426a-897f-0903c6930106</t>
  </si>
  <si>
    <t>962-968</t>
  </si>
  <si>
    <t>locked gate, 2 doors, 10+ stairs, at least 100 ft to cans, condensed into 1 96 gal tote, bats</t>
  </si>
  <si>
    <t>ec824941-d371-47a5-9cda-874c34b4b020</t>
  </si>
  <si>
    <t>970</t>
  </si>
  <si>
    <t>service through garage, 40 ft to cans</t>
  </si>
  <si>
    <t>d24d8849-9c78-41b4-850f-7787cff9f1fa</t>
  </si>
  <si>
    <t>2156</t>
  </si>
  <si>
    <t xml:space="preserve">service on Greenwich through garage </t>
  </si>
  <si>
    <t>356efc97-b2ff-4d04-bc73-d6968f0117a0</t>
  </si>
  <si>
    <t>985</t>
  </si>
  <si>
    <t>166f9d3d-2860-4167-aaf2-6a8441bf8f02</t>
  </si>
  <si>
    <t>979-969</t>
  </si>
  <si>
    <t>b810566c-c9c3-473c-92aa-59d01dd71dd8</t>
  </si>
  <si>
    <t>1090be18-1950-4d65-b527-e7dbf974c876</t>
  </si>
  <si>
    <t>947</t>
  </si>
  <si>
    <t>9dd48c7e-bdfd-4d82-b9bf-964a62e920bb</t>
  </si>
  <si>
    <t>939</t>
  </si>
  <si>
    <t>aaf1b189-535e-493b-9940-286538537675</t>
  </si>
  <si>
    <t>f50f6a9b-a77f-4bed-b213-8db7da860fac</t>
  </si>
  <si>
    <t>927</t>
  </si>
  <si>
    <t xml:space="preserve">service through garage with code </t>
  </si>
  <si>
    <t>d80488c2-8d0a-49a2-8d43-acafc6c72863</t>
  </si>
  <si>
    <t>915</t>
  </si>
  <si>
    <t>8efa7d70-6445-43ac-ac07-df77a49063dc</t>
  </si>
  <si>
    <t>893/2060</t>
  </si>
  <si>
    <t>93210605-b6e5-4d5f-b329-7f8a47c5bf4b</t>
  </si>
  <si>
    <t>881-875</t>
  </si>
  <si>
    <t>15644f04-c0bb-4970-b1da-29186fc2dd31</t>
  </si>
  <si>
    <t>7bd9bfc0-9512-4f20-89c7-740970c7b251</t>
  </si>
  <si>
    <t>857-851</t>
  </si>
  <si>
    <t>7a7798e6-e8be-4633-9a69-54d3d834fc7c</t>
  </si>
  <si>
    <t>locked door, 2nd door, 5 stairs</t>
  </si>
  <si>
    <t>86d3e644-a359-4a99-82af-003dcaccd7f8</t>
  </si>
  <si>
    <t>839</t>
  </si>
  <si>
    <t>8949ad66-7fba-4c52-b44e-e4b7d856cfac</t>
  </si>
  <si>
    <t>821</t>
  </si>
  <si>
    <t>8c47a36a-b124-4410-945f-10697771ed1c</t>
  </si>
  <si>
    <t>locked door, open garage to service</t>
  </si>
  <si>
    <t>d33872aa-1702-40cf-87f9-4f6aacee6030</t>
  </si>
  <si>
    <t>service through garage with code, steep</t>
  </si>
  <si>
    <t>e24bbae4-b508-4b0e-b7b3-01ea43cf025d</t>
  </si>
  <si>
    <t xml:space="preserve">service on Leavenworth </t>
  </si>
  <si>
    <t>d3ca2979-e2b6-4461-a547-c9f39a21b8ce</t>
  </si>
  <si>
    <t>2117</t>
  </si>
  <si>
    <t>09330802-214a-4153-a9aa-9ed18ef32972</t>
  </si>
  <si>
    <t>2114</t>
  </si>
  <si>
    <t>15+ stairs, locked door, narrow walkway. condensed into 1 96 gal</t>
  </si>
  <si>
    <t>c650ace4-e655-4563-be39-e31ce0e63893</t>
  </si>
  <si>
    <t>a559d1e5-b628-4bdc-993a-a4bb63d2bc3e</t>
  </si>
  <si>
    <t>1236</t>
  </si>
  <si>
    <t>77d07e1e-20ce-494d-a8dd-72be709c7736</t>
  </si>
  <si>
    <t>2148</t>
  </si>
  <si>
    <t>locked door, narrow, 40 ft hallway, condensed into 96 gal</t>
  </si>
  <si>
    <t>3ef2736f-4416-4682-a6a0-86b01712a33a</t>
  </si>
  <si>
    <t>2150-2156</t>
  </si>
  <si>
    <t>driver pulled recycling out, 20 ft to cans</t>
  </si>
  <si>
    <t>0b0e35b7-c9cb-431c-a18a-4ac45a0d1a36</t>
  </si>
  <si>
    <t>b52e3500-5785-41a4-8eba-ba57f2732ffe</t>
  </si>
  <si>
    <t>2200-2222</t>
  </si>
  <si>
    <t>de67fccb-1a8a-43bf-be88-0f52d1401ea2</t>
  </si>
  <si>
    <t>2242-2254</t>
  </si>
  <si>
    <t>d3e0ae11-c598-4388-8b99-42ae4423de83</t>
  </si>
  <si>
    <t>5e9a8f41-67b5-42f0-96e8-ec2d27508c00</t>
  </si>
  <si>
    <t>back into driveway</t>
  </si>
  <si>
    <t>76960ead-3a30-4b04-beb0-7c00658dd120</t>
  </si>
  <si>
    <t>720/855</t>
  </si>
  <si>
    <t xml:space="preserve">California/Sacramento </t>
  </si>
  <si>
    <t>back into alley, service on sabin</t>
  </si>
  <si>
    <t>63325379-175b-45ef-948d-f4d0d6a99050</t>
  </si>
  <si>
    <t>d78d2d0d-71ce-466e-8f8a-4f8a552db1d9</t>
  </si>
  <si>
    <t>second door at location on clay st</t>
  </si>
  <si>
    <t>b477d2e5-3590-44b7-a0f2-8df97aa99a4e</t>
  </si>
  <si>
    <t>965</t>
  </si>
  <si>
    <t>service on joice alley, lock on can</t>
  </si>
  <si>
    <t>f11ba181-0873-4fc1-9ce8-9f87fea15964</t>
  </si>
  <si>
    <t>937</t>
  </si>
  <si>
    <t>narrow, ramp, driver had to move trash to service, heavy, serviced one at a time</t>
  </si>
  <si>
    <t>b8006eaf-b9c3-4852-8271-8b50f2ee45b2</t>
  </si>
  <si>
    <t>945/777</t>
  </si>
  <si>
    <t>Sacramento/Stockton</t>
  </si>
  <si>
    <t>service on joice</t>
  </si>
  <si>
    <t>3583af58-672c-4b4c-9b7c-6c4dd9089c93</t>
  </si>
  <si>
    <t xml:space="preserve">inside school yard fence, locked gate, </t>
  </si>
  <si>
    <t>a82583ad-089f-44ad-abf3-61791a4d5eac</t>
  </si>
  <si>
    <t>af1be6c6-f30f-460e-bddb-59e111ce5fda</t>
  </si>
  <si>
    <t>928/930</t>
  </si>
  <si>
    <t>3c249b40-03e9-4aac-a5f9-4405a81e207e</t>
  </si>
  <si>
    <t>7c579710-2311-4b71-98a6-74d50b90cd35</t>
  </si>
  <si>
    <t>1014</t>
  </si>
  <si>
    <t>53f64391-3db9-4f2a-866b-67f93bccf631</t>
  </si>
  <si>
    <t>1068</t>
  </si>
  <si>
    <t>ed0e9d9a-eb6e-492f-a89e-889251614c04</t>
  </si>
  <si>
    <t>1108</t>
  </si>
  <si>
    <t>5b41ce68-b7d4-430c-a26f-eebdfc4d2580</t>
  </si>
  <si>
    <t>1118</t>
  </si>
  <si>
    <t>caf538db-e2e9-4e5d-8f7f-72d362721ec9</t>
  </si>
  <si>
    <t>heavy cans</t>
  </si>
  <si>
    <t>029ac61e-d3a5-46d4-bcd2-9521e72ad05f</t>
  </si>
  <si>
    <t>1210/1216</t>
  </si>
  <si>
    <t>1 64 belongs to 1216 stockton</t>
  </si>
  <si>
    <t>c577ee81-e8d6-4030-a619-a652b3ea8139</t>
  </si>
  <si>
    <t>675/681</t>
  </si>
  <si>
    <t xml:space="preserve">back into stark alley, service multiple broadway addresses in alley, </t>
  </si>
  <si>
    <t>9f6777b4-bfcb-4765-acf3-a9b31d784c12</t>
  </si>
  <si>
    <t>801/808</t>
  </si>
  <si>
    <t>driver serviced addresses on both sides at same time, 30 ft to can at 808</t>
  </si>
  <si>
    <t>d81e330c-8fa8-4c60-8f38-cdbe91c1f922</t>
  </si>
  <si>
    <t>874</t>
  </si>
  <si>
    <t>edb6dae8-2fda-494e-a338-b00077e087ad</t>
  </si>
  <si>
    <t>service on broadway</t>
  </si>
  <si>
    <t>4585027f-a2aa-4252-8eb0-9430cb884ac7</t>
  </si>
  <si>
    <t>1261/1249/1247</t>
  </si>
  <si>
    <t>7bcf45a5-3f3f-45ef-851f-45793344fab6</t>
  </si>
  <si>
    <t>1215/1213/1211/1209</t>
  </si>
  <si>
    <t>3 64 gal = 1215, 3 64 gal = 1213, 1 64 gal = 1211, 1 32 gal = 1209</t>
  </si>
  <si>
    <t>db96d1d1-fe7b-4c46-9615-0e886cfd89f7</t>
  </si>
  <si>
    <t>1205</t>
  </si>
  <si>
    <t>7b3b79d8-fac4-49c4-8df6-c76359694375</t>
  </si>
  <si>
    <t>unknown address for 1 of 64 gal, 2 64 gal = 1199</t>
  </si>
  <si>
    <t>f0d12f0e-9fff-422b-a384-8e44be1783f2</t>
  </si>
  <si>
    <t>1151/1145</t>
  </si>
  <si>
    <t>1 64 = 1151, 1 64 = 1145</t>
  </si>
  <si>
    <t>36ee77ae-2070-43dc-a9ca-3c991512a657</t>
  </si>
  <si>
    <t>1125/1117</t>
  </si>
  <si>
    <t xml:space="preserve">unsure what cars belong to what address, </t>
  </si>
  <si>
    <t>63f18a6d-91b7-4205-a4ad-f6dfd91c083a</t>
  </si>
  <si>
    <t>1107/1103</t>
  </si>
  <si>
    <t>4 64 gal = 1107, 1 64 gal and 1 32 gal = 1103</t>
  </si>
  <si>
    <t>4679b35c-585c-4b62-a0ce-83f1130163c5</t>
  </si>
  <si>
    <t>1055/1051</t>
  </si>
  <si>
    <t>2 64 gal = 1055, 1 32 gal = 1051</t>
  </si>
  <si>
    <t>a52f54c7-d633-48aa-aed2-9330802a257f</t>
  </si>
  <si>
    <t>1049/1045/1043</t>
  </si>
  <si>
    <t>1 64 gal = 1049, 1 64 gal = 1045, 2 32 gal = 1043</t>
  </si>
  <si>
    <t>86bd777b-776b-401b-822b-c3ea622a151d</t>
  </si>
  <si>
    <t>1023</t>
  </si>
  <si>
    <t>4bed9c0b-46e4-4322-9bf5-7f02b9b05873</t>
  </si>
  <si>
    <t>870</t>
  </si>
  <si>
    <t>c9500860-f604-4eb8-b368-7a7bc590972a</t>
  </si>
  <si>
    <t>854</t>
  </si>
  <si>
    <t>20+ stairs, locked door, driver grabbed bag from cans, two spots to service inside, 2nd set of stairs</t>
  </si>
  <si>
    <t>cfc4180b-9187-47ba-85d1-e6cadc842156</t>
  </si>
  <si>
    <t>8887c7ad-8cd4-4967-918d-ed8388eb57f3</t>
  </si>
  <si>
    <t>debaaa8c-9f23-4e38-b04b-3b28909d33a4</t>
  </si>
  <si>
    <t>139/153/150</t>
  </si>
  <si>
    <t>1 can per address</t>
  </si>
  <si>
    <t>0a463ebc-b080-4960-b3f1-2944a3df4193</t>
  </si>
  <si>
    <t>103/112</t>
  </si>
  <si>
    <t xml:space="preserve">one can per address </t>
  </si>
  <si>
    <t>533c5588-7ea2-421b-8a80-34c0fe492533</t>
  </si>
  <si>
    <t>823/65</t>
  </si>
  <si>
    <t>Clay/Waverly</t>
  </si>
  <si>
    <t>32 gal = 65 waverly</t>
  </si>
  <si>
    <t>1ce87c43-e171-4f14-a4bb-10b58c81a634</t>
  </si>
  <si>
    <t>094e0ead-1c81-48fe-843a-8872f5be3d8c</t>
  </si>
  <si>
    <t>5bc23e08-d547-412a-b5e9-299c50ee9d35</t>
  </si>
  <si>
    <t>815/809</t>
  </si>
  <si>
    <t xml:space="preserve">traffic </t>
  </si>
  <si>
    <t>77f0acca-58fb-43e5-bc01-466cc1f82a6d</t>
  </si>
  <si>
    <t>001fa5e3-616b-4515-92e8-1938ed9f4532</t>
  </si>
  <si>
    <t>757/775/777</t>
  </si>
  <si>
    <t>d886bd08-b051-4437-85bb-0e7b88039d49</t>
  </si>
  <si>
    <t>728</t>
  </si>
  <si>
    <t>heavy can</t>
  </si>
  <si>
    <t>777a9af8-4204-49c1-98a0-aef1d97216f5</t>
  </si>
  <si>
    <t>760/11/15</t>
  </si>
  <si>
    <t>Clay/Walter Lum Pl</t>
  </si>
  <si>
    <t>2 32 gal = 11 Walter lum, 1 64 gal = 760 clay. 1 64 gal= 15</t>
  </si>
  <si>
    <t>aaacc835-d7fa-40cf-a42e-feb9244b234f</t>
  </si>
  <si>
    <t>715</t>
  </si>
  <si>
    <t>78860be3-dd51-47c4-ab21-033f1add6bd4</t>
  </si>
  <si>
    <t>680</t>
  </si>
  <si>
    <t>3e7191ee-c67c-4acb-9488-3d276436da6d</t>
  </si>
  <si>
    <t>driver picked up can to dump</t>
  </si>
  <si>
    <t>f642f8a3-50f7-4c62-94c9-3b9bd6c006c1</t>
  </si>
  <si>
    <t>657/661</t>
  </si>
  <si>
    <t>one can per address</t>
  </si>
  <si>
    <t>82af840a-8fe0-45a8-bd00-dce81bc5e872</t>
  </si>
  <si>
    <t>643/645/635</t>
  </si>
  <si>
    <t>64 gal = 635 clay and 645, 32 gal = 643 clay</t>
  </si>
  <si>
    <t>e84d36b0-aea8-49e2-81d4-0da583c8aa1b</t>
  </si>
  <si>
    <t xml:space="preserve">service through garage, driver honked horn to have garage opened, had to move garbage to access compost, </t>
  </si>
  <si>
    <t>d6a6c63e-ab25-4551-b905-a3ba3a1e8b9e</t>
  </si>
  <si>
    <t>4f5e7146-d51d-4e81-8e27-9a13d833cb86</t>
  </si>
  <si>
    <t>d5cd02c0-a9b7-4ec5-b117-ec8ee0062c03</t>
  </si>
  <si>
    <t>688</t>
  </si>
  <si>
    <t>20+ stairs, locked door, driver has to make 2 trips up and down stairs, confined space where cans are serviced</t>
  </si>
  <si>
    <t>0d945bcd-cbc6-4761-a76b-5d224f566113</t>
  </si>
  <si>
    <t>710</t>
  </si>
  <si>
    <t>607b3f4a-fdc6-43da-9237-f2b21f97e0fe</t>
  </si>
  <si>
    <t>38c55a8b-d224-401b-a103-b25962ec9d31</t>
  </si>
  <si>
    <t>Merchant</t>
  </si>
  <si>
    <t>a4e15f12-a344-4938-8630-a8ff0cb15040</t>
  </si>
  <si>
    <t>409a9493-9c5e-4363-be4e-6a67c096e349</t>
  </si>
  <si>
    <t>service through garage, driver honked horn to have garage opened, 25 ft to cans</t>
  </si>
  <si>
    <t>35dc2093-468b-4a39-a441-080485f9ce39</t>
  </si>
  <si>
    <t xml:space="preserve">back into spring st </t>
  </si>
  <si>
    <t>10f55891-3f1d-46ca-8555-88dcde602620</t>
  </si>
  <si>
    <t>660/668/674</t>
  </si>
  <si>
    <t>1 32 gal per address</t>
  </si>
  <si>
    <t>61b9bd7a-58e2-4bbd-9dd4-cafd89916957</t>
  </si>
  <si>
    <t>686/688/600</t>
  </si>
  <si>
    <t>cd159e69-5f07-455f-b6c7-899881be1f22</t>
  </si>
  <si>
    <t>631/649</t>
  </si>
  <si>
    <t>1 32 gal = 649 kearny, 4 64 gal = 631 kearny, heavy cans, returned 649 cans inside and up 20+ stairs, locked door</t>
  </si>
  <si>
    <t>a05655d5-09e8-4771-8b09-1389bb539575</t>
  </si>
  <si>
    <t>b98bd6c1-1640-4b28-84f7-ffa25b9f0be8</t>
  </si>
  <si>
    <t>59/53/848/838</t>
  </si>
  <si>
    <t>Columbus/Jackson/Jackson/Jackson</t>
  </si>
  <si>
    <t>back into Gibb alley, serviced multiple addresses, hard to determine what cans go to what address, some cans inside unlocked gate</t>
  </si>
  <si>
    <t>aed48278-ace3-4d73-ba0d-6b677105c0c0</t>
  </si>
  <si>
    <t>80 ft walkway to location, locked door, driver made 2 trips</t>
  </si>
  <si>
    <t>ea30b891-1b35-4011-beae-4009cae8e22b</t>
  </si>
  <si>
    <t>bb6fba1e-d4fa-449d-9a2b-60d1b28c4710</t>
  </si>
  <si>
    <t>582/550</t>
  </si>
  <si>
    <t>service on hotaling, 2 64 gal =550, 1 64 gal = 582</t>
  </si>
  <si>
    <t>1bda5ac0-37f6-4702-8fd0-ae4bce986c34</t>
  </si>
  <si>
    <t>7b851491-95c0-40c9-9182-9003cafa7229</t>
  </si>
  <si>
    <t>a03e5fc5-d88d-4f9f-8534-ffa21388c7ac</t>
  </si>
  <si>
    <t>movie set equipment in the way, driver had to text supervisor because 500 block of grant is closed</t>
  </si>
  <si>
    <t>fae2d523-4f87-44c2-b96e-926a1804aaba</t>
  </si>
  <si>
    <t>movie set equipment in the way</t>
  </si>
  <si>
    <t>41fc3ac6-d89d-431a-aaa0-2d3174c522a3</t>
  </si>
  <si>
    <t>720</t>
  </si>
  <si>
    <t>f34aa587-9c6b-4d84-8799-66ff3b46dc04</t>
  </si>
  <si>
    <t>locked door, 1 stair, driver had to wait for elevator, condensed into 1 64 gal, driver had to stop on all 4 floors</t>
  </si>
  <si>
    <t>46ad543a-1d41-432f-966e-8adc3d016c3d</t>
  </si>
  <si>
    <t>0a711704-7ff3-4b7a-97c6-e5fa9b7c0bfb</t>
  </si>
  <si>
    <t>825</t>
  </si>
  <si>
    <t>c60d5f2c-85a1-4f15-83cb-96b47fea19c0</t>
  </si>
  <si>
    <t>737</t>
  </si>
  <si>
    <t>e167c939-ed1b-4771-8097-39f087ac3753</t>
  </si>
  <si>
    <t>826/834/818</t>
  </si>
  <si>
    <t xml:space="preserve">1 64 gal= 826, 2 32 gal=818, 1 32 gal =834 Washington </t>
  </si>
  <si>
    <t>ea4863a5-c1c0-4349-a187-5461ac56ff47</t>
  </si>
  <si>
    <t>848/852</t>
  </si>
  <si>
    <t>1856b2d2-1b6d-47df-9234-3cdc4d380ac9</t>
  </si>
  <si>
    <t>308b68a5-a3ba-4618-bbf7-c6ccd6135573</t>
  </si>
  <si>
    <t>858</t>
  </si>
  <si>
    <t>100+ ft walkway to door of address on old Chinatown lane (Donaldina cameron alley), locked door</t>
  </si>
  <si>
    <t>c093765d-ba4b-4b15-92bd-6ff1801379ce</t>
  </si>
  <si>
    <t>1101/1114</t>
  </si>
  <si>
    <t>1 64 gal = 1114 grant, 2 64 gal =1101</t>
  </si>
  <si>
    <t>614bc4b6-a430-469b-8ae4-b0dea58fa244</t>
  </si>
  <si>
    <t>1131</t>
  </si>
  <si>
    <t>5d2032ed-dafb-4755-b41d-2c6a7e15d157</t>
  </si>
  <si>
    <t>6f8bfbab-b0d2-4342-acd2-c42df979eadf</t>
  </si>
  <si>
    <t>237</t>
  </si>
  <si>
    <t>locked door, 10+ stairs, driver had to unlock twice</t>
  </si>
  <si>
    <t>c41dc03b-01c7-482e-9c7c-4175f208263f</t>
  </si>
  <si>
    <t>943</t>
  </si>
  <si>
    <t xml:space="preserve">service on Columbus </t>
  </si>
  <si>
    <t>21fd87bd-894d-4a27-9517-2427cd54700f</t>
  </si>
  <si>
    <t>0412c8a0-5887-44e6-a0bd-199bf4854481</t>
  </si>
  <si>
    <t>2aa60bc4-8ddd-4c6d-9432-2a08f7c621fb</t>
  </si>
  <si>
    <t>eaaf1889-a49a-4820-80e3-f32382bd1b08</t>
  </si>
  <si>
    <t xml:space="preserve">Kearny </t>
  </si>
  <si>
    <t>c9acac19-9180-44ea-be9f-60932a62e088</t>
  </si>
  <si>
    <t>915/919</t>
  </si>
  <si>
    <t>64 gal = 919 kearny</t>
  </si>
  <si>
    <t>3868a24c-41b8-4e15-a927-4d3002d6001b</t>
  </si>
  <si>
    <t>9ff52e02-e0dc-48d3-afd1-44e21eeeeeca</t>
  </si>
  <si>
    <t>heavy</t>
  </si>
  <si>
    <t>c5b94a03-0c46-4ad0-b9d0-249762fa9d66</t>
  </si>
  <si>
    <t>415/414</t>
  </si>
  <si>
    <t>32 gal = 414</t>
  </si>
  <si>
    <t>db5a4bff-2a5b-4632-a5c0-267f31b69fb2</t>
  </si>
  <si>
    <t>a96abc0e-aca7-4cd8-b9f5-43521ff9a880</t>
  </si>
  <si>
    <t>605/633</t>
  </si>
  <si>
    <t>2 64 gal = 633, 1 32 gal = 605</t>
  </si>
  <si>
    <t>a744c1ea-5ab1-45e3-a262-d02e000a53e0</t>
  </si>
  <si>
    <t>768</t>
  </si>
  <si>
    <t>46b37c2e-a2c8-4131-bf9e-6a7e39bb152c</t>
  </si>
  <si>
    <t>704</t>
  </si>
  <si>
    <t>driver condensed into 1 64 gal</t>
  </si>
  <si>
    <t>5af62bd8-f703-49f1-a635-eee09db27497</t>
  </si>
  <si>
    <t>Gold</t>
  </si>
  <si>
    <t>41fefcd6-92c5-46d7-aece-ef7d78b95fe0</t>
  </si>
  <si>
    <t>862ab736-1930-480e-8e91-d7a50676be81</t>
  </si>
  <si>
    <t>909</t>
  </si>
  <si>
    <t>aa08ea19-c43c-45b1-a6d6-44118c40e537</t>
  </si>
  <si>
    <t>bhd gate with code</t>
  </si>
  <si>
    <t>8143dd3b-192a-4809-b5c1-eceef31d6bf0</t>
  </si>
  <si>
    <t>564</t>
  </si>
  <si>
    <t>2910eb48-fe95-4522-bd47-713302749fe6</t>
  </si>
  <si>
    <t>596</t>
  </si>
  <si>
    <t>c633ace9-f52e-4649-abb3-f9bb97e255a8</t>
  </si>
  <si>
    <t>210</t>
  </si>
  <si>
    <t>4188196e-bbde-4260-a834-2223c21af38c</t>
  </si>
  <si>
    <t>256</t>
  </si>
  <si>
    <t>b9705c11-8bed-48c1-8d5d-5397b717a72d</t>
  </si>
  <si>
    <t>673c4f00-98ba-4497-8d78-ad75993fa3ed</t>
  </si>
  <si>
    <t>609</t>
  </si>
  <si>
    <t>9ed11c1c-06bd-46af-88a7-8b4fa0b86957</t>
  </si>
  <si>
    <t>dee0112b-ae9b-490d-a39d-9bb9be1ca58c</t>
  </si>
  <si>
    <t>628</t>
  </si>
  <si>
    <t>91fe779e-2772-4754-ae0a-aee107829aa8</t>
  </si>
  <si>
    <t>648</t>
  </si>
  <si>
    <t>105b6868-b2f3-48a4-a15d-d45bee007bb1</t>
  </si>
  <si>
    <t>c92d2da3-cde8-48ff-bf2f-5e1421ab52f7</t>
  </si>
  <si>
    <t>1990e349-b440-4bfe-a4fd-4568e50034ae</t>
  </si>
  <si>
    <t>527c8185-38f4-4205-afa0-986752a8c1f9</t>
  </si>
  <si>
    <t>758</t>
  </si>
  <si>
    <t>5ad9799d-010a-4b44-8c08-c00bc0abe6f0</t>
  </si>
  <si>
    <t>772</t>
  </si>
  <si>
    <t>5f47fa05-aa93-434c-a843-5100b327e808</t>
  </si>
  <si>
    <t>895</t>
  </si>
  <si>
    <t>locked gate, had to relock</t>
  </si>
  <si>
    <t>188657a8-12a7-4575-8359-8f30ceed6860</t>
  </si>
  <si>
    <t>6b6816b1-987e-45e4-bcaa-f87e555e8fc7</t>
  </si>
  <si>
    <t>920/940</t>
  </si>
  <si>
    <t>1 64 gal per address</t>
  </si>
  <si>
    <t>1574878a-4213-4794-b100-898d76f50fcf</t>
  </si>
  <si>
    <t>location 100+ feet down Trenton alley</t>
  </si>
  <si>
    <t>0c4cbc46-be3e-4343-9807-a310c6a51414</t>
  </si>
  <si>
    <t>21e4d6da-2d19-4025-bf3e-b051d93d4777</t>
  </si>
  <si>
    <t>295dfd5d-8d8d-47d7-8a14-d9284e541e36</t>
  </si>
  <si>
    <t>848</t>
  </si>
  <si>
    <t>cbfd78bd-1ba5-41b8-8fa8-99a13e58d1e8</t>
  </si>
  <si>
    <t>7fb2eab7-c811-4d3d-95e1-f38f7284effc</t>
  </si>
  <si>
    <t>765/776</t>
  </si>
  <si>
    <t>5b8d68be-f658-4946-bf10-9722c7347a07</t>
  </si>
  <si>
    <t>752/741</t>
  </si>
  <si>
    <t>50582732-45d6-4266-9f74-2b3d0785821a</t>
  </si>
  <si>
    <t>Ross</t>
  </si>
  <si>
    <t xml:space="preserve">had to pull out garbage to get to compost, 80 ft walkway down Ross </t>
  </si>
  <si>
    <t>cec9bb0d-0fe6-42bc-901d-98fc1f41f3e8</t>
  </si>
  <si>
    <t>51/56</t>
  </si>
  <si>
    <t>64 gal = 51 ross, 32 gal = 56 ross</t>
  </si>
  <si>
    <t>4a9c1724-3e4d-4c6f-9d87-d7f1f56aaf71</t>
  </si>
  <si>
    <t>732/735</t>
  </si>
  <si>
    <t>7ee4bcf4-3696-48a5-94fb-807b773be83a</t>
  </si>
  <si>
    <t>650/655/640</t>
  </si>
  <si>
    <t>dfd0f689-b765-4646-8eb7-00e0535e200f</t>
  </si>
  <si>
    <t>647</t>
  </si>
  <si>
    <t>4c4d9b87-d5ca-4417-aab3-a2d245e56471</t>
  </si>
  <si>
    <t>614/608/626/610</t>
  </si>
  <si>
    <t>55371421-8a7e-44cc-a968-82d66d96ea2d</t>
  </si>
  <si>
    <t>1b43c5b0-c013-4e19-b82d-5b857aab1362</t>
  </si>
  <si>
    <t>710/716</t>
  </si>
  <si>
    <t>3 64 gal = 716</t>
  </si>
  <si>
    <t>9b498fd8-56b7-4713-80a1-21247c4b426c</t>
  </si>
  <si>
    <t>cb659411-b56f-4060-ab64-77ca3ff17aa2</t>
  </si>
  <si>
    <t>653</t>
  </si>
  <si>
    <t>cd7bb196-b1f7-4e0f-971f-f81981eb3781</t>
  </si>
  <si>
    <t>674</t>
  </si>
  <si>
    <t>b9df23f3-1e33-4551-a052-efd91aff6231</t>
  </si>
  <si>
    <t>1308</t>
  </si>
  <si>
    <t>driver services toters one at a time</t>
  </si>
  <si>
    <t>1ee0c193-e6dc-4116-805c-bc6d64c09e5c</t>
  </si>
  <si>
    <t>1326</t>
  </si>
  <si>
    <t>5016de64-77ba-4788-ad74-db4e8d08bc8d</t>
  </si>
  <si>
    <t>781</t>
  </si>
  <si>
    <t>28c52e0b-3639-494e-8cac-6ffdc07ad74a</t>
  </si>
  <si>
    <t>785</t>
  </si>
  <si>
    <t>b3cbaa64-ed36-436e-b32f-75e783f5506f</t>
  </si>
  <si>
    <t>4c919702-c1c8-4afe-8d7c-a3ae5978533c</t>
  </si>
  <si>
    <t>driver walked 50 ft across parking lot</t>
  </si>
  <si>
    <t>24b8d710-bb7a-4446-89c7-db2582aecf5c</t>
  </si>
  <si>
    <t>tons of cardboard in the way</t>
  </si>
  <si>
    <t>e6774984-5785-4995-93de-260e51232c36</t>
  </si>
  <si>
    <t>8a007b03-db90-41d0-9fd1-6201661b6aa9</t>
  </si>
  <si>
    <t>1300/1304</t>
  </si>
  <si>
    <t>90171e7f-abd5-4dc8-96e1-e88e47e7aeb2</t>
  </si>
  <si>
    <t>d90e38f0-04fb-4c0e-8d67-429b49324371</t>
  </si>
  <si>
    <t>418</t>
  </si>
  <si>
    <t>3e47a468-74f1-4264-a739-79faaf8cbfca</t>
  </si>
  <si>
    <t>24a91199-17e7-4940-b637-084ebc20a341</t>
  </si>
  <si>
    <t>service on vallejo</t>
  </si>
  <si>
    <t>58a1e37c-f9b7-47eb-bfc6-8dea7bb031a1</t>
  </si>
  <si>
    <t>b539fbba-81f8-47e4-aa63-665bad6c20c7</t>
  </si>
  <si>
    <t>b8ce1bb7-7533-4a49-85b2-6bee2013dffc</t>
  </si>
  <si>
    <t>d8081f18-0231-40c1-a630-c834c8bc2a40</t>
  </si>
  <si>
    <t>325/303</t>
  </si>
  <si>
    <t>903387b5-6f3f-4577-a1c9-a85eb270794f</t>
  </si>
  <si>
    <t>83cd40cd-f1a2-4808-8810-36a6dab15952</t>
  </si>
  <si>
    <t>2e040cf5-829c-457f-878f-0d1d60769f42</t>
  </si>
  <si>
    <t>670/674</t>
  </si>
  <si>
    <t>f1e80daf-ce82-4593-9445-f485bfb461cb</t>
  </si>
  <si>
    <t>684</t>
  </si>
  <si>
    <t>0a443537-9b23-4fcb-8d6f-c5e03215c6b1</t>
  </si>
  <si>
    <t>036b707f-f794-4c7b-9267-ab548d3edf29</t>
  </si>
  <si>
    <t>776</t>
  </si>
  <si>
    <t>d98619bc-faa3-42f4-8081-2c746fbec344</t>
  </si>
  <si>
    <t>622</t>
  </si>
  <si>
    <t>a1de8390-71f3-4fd2-96a0-5b7435c895a1</t>
  </si>
  <si>
    <t>51708a87-5fc3-4ccb-9890-afe51eecea7a</t>
  </si>
  <si>
    <t>8781a74a-fec3-403f-8bd8-ca2fd2fe8c9c</t>
  </si>
  <si>
    <t>1319/1331</t>
  </si>
  <si>
    <t>08fcfc0e-277a-44da-9ef5-19fa4a00269b</t>
  </si>
  <si>
    <t>b97ed780-88b7-42dc-93ef-7ae37de6a609</t>
  </si>
  <si>
    <t>524</t>
  </si>
  <si>
    <t>6b144c9e-f948-43d5-b6b2-612017471d73</t>
  </si>
  <si>
    <t>1707</t>
  </si>
  <si>
    <t>aac7565f-f039-43a8-bb26-1a5a6798aa27</t>
  </si>
  <si>
    <t>502bd0e0-b119-4f01-bd1a-273715b39b5a</t>
  </si>
  <si>
    <t>Pier 43 1/2</t>
  </si>
  <si>
    <t>Franciscan crab restaurant</t>
  </si>
  <si>
    <t>34e189ab-5462-4418-badd-2890a35789a1</t>
  </si>
  <si>
    <t>905fa38e-c754-4d00-94ef-e03e9458dcbd</t>
  </si>
  <si>
    <t>from stand 2</t>
  </si>
  <si>
    <t>22eb6e0f-5b15-4914-8886-09a58b00ab9f</t>
  </si>
  <si>
    <t>3</t>
  </si>
  <si>
    <t>from stand 3</t>
  </si>
  <si>
    <t>880f077f-2ecf-49d6-86a4-c609b35ae01e</t>
  </si>
  <si>
    <t>from stand 5</t>
  </si>
  <si>
    <t>fd3c784e-b917-442e-9c15-2bc5d33a6e84</t>
  </si>
  <si>
    <t xml:space="preserve">Jefferson </t>
  </si>
  <si>
    <t>7bc56cd4-97fc-4c08-909c-ccffbcb9ac86</t>
  </si>
  <si>
    <t>286</t>
  </si>
  <si>
    <t>d3f40b8f-7f9a-42ce-9d51-2f3985f9b438</t>
  </si>
  <si>
    <t>d70b53e3-3ef9-4b08-bbf3-0c508802dcdb</t>
  </si>
  <si>
    <t xml:space="preserve">service on alley beside restaurant </t>
  </si>
  <si>
    <t>fb80aa4b-eda1-46cb-95a2-925c6e7f8da0</t>
  </si>
  <si>
    <t>498</t>
  </si>
  <si>
    <t>13471799-6888-45ff-8be5-bd60644a9886</t>
  </si>
  <si>
    <t>9416ba4e-9383-48fc-835b-cc8e9c2ee32a</t>
  </si>
  <si>
    <t>803</t>
  </si>
  <si>
    <t>b263f3ea-5b23-4f94-a334-4ee977e5f6c5</t>
  </si>
  <si>
    <t>745</t>
  </si>
  <si>
    <t>c00871cb-8200-410e-a349-beafec0d2364</t>
  </si>
  <si>
    <t>707</t>
  </si>
  <si>
    <t>3de1892e-9f07-4990-8ceb-902f3fd0ff63</t>
  </si>
  <si>
    <t>fc25bc4c-5060-4d29-b917-bdaa75d8a76c</t>
  </si>
  <si>
    <t>7e3af8b6-def4-4cf8-99e1-52360974e800</t>
  </si>
  <si>
    <t>a2863c18-baa1-4c37-a32b-3f4e9d08e3b2</t>
  </si>
  <si>
    <t>b0a1b27a-c06e-427c-800e-84696b610a2f</t>
  </si>
  <si>
    <t>df86f52b-37dc-4cc4-ae57-08dd3a1011a7</t>
  </si>
  <si>
    <t>2fdd8c13-3c85-43ab-bdfe-0bf3c5132104</t>
  </si>
  <si>
    <t>cbd980da-120b-4fad-a8ff-9935360b753b</t>
  </si>
  <si>
    <t>629/615</t>
  </si>
  <si>
    <t>also serviced cans inside locked outdoor structure</t>
  </si>
  <si>
    <t>0067b3ec-26c8-4c61-8068-fdc92f755efd</t>
  </si>
  <si>
    <t>410950dc-968d-4522-adc7-f7985bb32cfd</t>
  </si>
  <si>
    <t xml:space="preserve">came to this address earlier, one more 64 gal can out </t>
  </si>
  <si>
    <t>7cb5b1ec-da72-4f7b-8330-359821b07392</t>
  </si>
  <si>
    <t>8e7ead98-1622-4f0b-8cda-480396e18567</t>
  </si>
  <si>
    <t>1098/1085</t>
  </si>
  <si>
    <t>serviced both sides of block at same stop</t>
  </si>
  <si>
    <t>75ff8551-2232-4449-8e7a-b73fda7eeeab</t>
  </si>
  <si>
    <t>1138/1140</t>
  </si>
  <si>
    <t>1 64 gal per address, 1140 address has lock on container, had to wait for customer to bring out to curb</t>
  </si>
  <si>
    <t>5bea02c4-47a7-4edf-a818-1c9f8b8e1f18</t>
  </si>
  <si>
    <t>1176/1200</t>
  </si>
  <si>
    <t>64 gal belongs to 1200 sutter</t>
  </si>
  <si>
    <t>8ebcdf42-44eb-4516-a746-199affe204c5</t>
  </si>
  <si>
    <t>28ef0f14-ba67-4374-854c-ac2bc963f26a</t>
  </si>
  <si>
    <t>37abe127-6c57-41c1-9e5f-43949d0ef250</t>
  </si>
  <si>
    <t>service in alley</t>
  </si>
  <si>
    <t>c28e01e4-18e1-40d0-b6c9-d6926bc13808</t>
  </si>
  <si>
    <t>locked can</t>
  </si>
  <si>
    <t>919e4b30-8f8d-4201-adc9-4d6ca6202102</t>
  </si>
  <si>
    <t>1161</t>
  </si>
  <si>
    <t>lock on can, service on cedar, relock</t>
  </si>
  <si>
    <t>be1c2aca-221d-4814-8d9e-30586c0fc843</t>
  </si>
  <si>
    <t>driver had to be let in by security guard, service through garage, 2nd door to cans, 40 ft to cans</t>
  </si>
  <si>
    <t>18ba243e-fbb8-471d-bbb7-cc05a56d885d</t>
  </si>
  <si>
    <t>service on post. cans 60 ft from truck</t>
  </si>
  <si>
    <t>64c999e2-2eaa-4359-ae54-a9d209004683</t>
  </si>
  <si>
    <t>service on post, had to wait for customer to bring can out, service on post</t>
  </si>
  <si>
    <t>ca6c81fa-7c81-4f0d-bd49-54fa654b9d8e</t>
  </si>
  <si>
    <t>3773d1fb-a323-49ee-802d-b69ebda92272</t>
  </si>
  <si>
    <t>82044d18-7f7f-45db-9304-543c360885f6</t>
  </si>
  <si>
    <t>5e33dff9-b90e-4a3e-a738-7d087a789f5d</t>
  </si>
  <si>
    <t>811</t>
  </si>
  <si>
    <t>0df27133-9df7-45c8-970b-464a7cec7624</t>
  </si>
  <si>
    <t>46feb780-57ab-4747-bec1-5d0dff0c6ebb</t>
  </si>
  <si>
    <t>876</t>
  </si>
  <si>
    <t>4018625c-24e0-40ca-910f-2d637aba5f05</t>
  </si>
  <si>
    <t>887</t>
  </si>
  <si>
    <t>a24dcac7-013a-4bff-b909-85e4041f1f7b</t>
  </si>
  <si>
    <t>d661b3e4-160e-4bcc-89b8-1ccacbfebebd</t>
  </si>
  <si>
    <t>771</t>
  </si>
  <si>
    <t xml:space="preserve">O'Farrell </t>
  </si>
  <si>
    <t>f86f30bf-bb15-4a15-85a2-3bd029c5dcdb</t>
  </si>
  <si>
    <t>lock on 2 64 gal, 32 gal unlocked</t>
  </si>
  <si>
    <t>86417295-a990-4a15-9b26-b13c679dee9a</t>
  </si>
  <si>
    <t>626/608</t>
  </si>
  <si>
    <t>driver walked 15 ft to one of cans</t>
  </si>
  <si>
    <t>816bbb23-7c2d-47dd-87f7-4ea3944d1ec1</t>
  </si>
  <si>
    <t>locked gate, 5-10 stairs</t>
  </si>
  <si>
    <t>016d0a15-0cb0-402c-9666-52770f9f4e40</t>
  </si>
  <si>
    <t>0010393f-8e82-4520-a26b-196c0ff1165d</t>
  </si>
  <si>
    <t>723/725</t>
  </si>
  <si>
    <t>locked door, 2nd door, 30 ft to cans</t>
  </si>
  <si>
    <t>def63924-c1df-4219-bb04-36c6e9e65c4a</t>
  </si>
  <si>
    <t xml:space="preserve">15-20 stairs, locked door, </t>
  </si>
  <si>
    <t>6bb38bae-e0c5-412e-9122-cde8d92d682d</t>
  </si>
  <si>
    <t>2 stairs, locked door</t>
  </si>
  <si>
    <t>b55b25f1-3555-453f-abb6-7f2db5042392</t>
  </si>
  <si>
    <t>854f7f32-f2da-407d-9dbb-4681301433d6</t>
  </si>
  <si>
    <t>845</t>
  </si>
  <si>
    <t>driver serviced can 60 ft from door, locked door</t>
  </si>
  <si>
    <t>66596ac4-69bf-4ce4-b144-e5f775692fdd</t>
  </si>
  <si>
    <t>6b7f2a48-73b2-4a25-ad2c-de876da94e7b</t>
  </si>
  <si>
    <t>enter address from door on vine alley, cans in back corner of garage 100+ ft from entrance door, 1/2 64 gal serviced</t>
  </si>
  <si>
    <t>aa9f02df-1155-4481-a27b-ad205b2ced4c</t>
  </si>
  <si>
    <t>34298667-903a-4f05-88c9-a9512f7f20c9</t>
  </si>
  <si>
    <t>955</t>
  </si>
  <si>
    <t>locked door, 10-20 stairs, 60 ft walkway</t>
  </si>
  <si>
    <t>65cc48e9-b5e6-45a5-956b-eb81f9c82416</t>
  </si>
  <si>
    <t>driver having trouble finding correct key, locked door, 5-10 stairs, driver grabbed 1 bag from 32 gal</t>
  </si>
  <si>
    <t>defeb0b2-926b-4bd6-b01c-bef37f6ed925</t>
  </si>
  <si>
    <t>locked door, driver had trouble finding correct key, key did not work - no service</t>
  </si>
  <si>
    <t>a4d64cfe-fb97-4afb-822b-baae91242943</t>
  </si>
  <si>
    <t>locked door, 1 stair, driver walked 45 feet to door to service</t>
  </si>
  <si>
    <t>93835473-04b7-439b-a46f-bb159d8cc4cf</t>
  </si>
  <si>
    <t>960/966</t>
  </si>
  <si>
    <t>service through garage with key, 2nd door, driver took out bags and put into 32 gal at curbside, 1 32 gal per address, closed garage</t>
  </si>
  <si>
    <t>3977d850-b937-4dba-a783-da6ae77585ab</t>
  </si>
  <si>
    <t>974/990</t>
  </si>
  <si>
    <t>locked door, 40 ft walkway, 1 32 gal = 974 pine, 990 pine = empty</t>
  </si>
  <si>
    <t>c417a4fd-0b3d-4d87-96b0-0b6c8b8a5f08</t>
  </si>
  <si>
    <t>10-20 stairs, ramp on stairs, locked door</t>
  </si>
  <si>
    <t>5b290ca3-ab7a-4e73-add7-05d80e35dbd8</t>
  </si>
  <si>
    <t>3b88c3af-166c-40e7-8008-efe2ef8184f5</t>
  </si>
  <si>
    <t>driver had to pull down security pacific alley to service cans. locked gate, 2 locks, heavy cans, relock</t>
  </si>
  <si>
    <t>eb3a90e4-cf53-41e6-bd6b-14b56b8c02cb</t>
  </si>
  <si>
    <t>818751b2-6722-4228-8fd5-1448d6985691</t>
  </si>
  <si>
    <t>09e018ad-c7db-4653-b897-d67010ba860c</t>
  </si>
  <si>
    <t>7f5637c8-c8b1-473c-95fb-063b829350be</t>
  </si>
  <si>
    <t>760</t>
  </si>
  <si>
    <t xml:space="preserve">locked door, service through garage, 20 ft to cans, service on o'farrell </t>
  </si>
  <si>
    <t>1bc6073d-df87-41c1-a5b2-432b4144356e</t>
  </si>
  <si>
    <t>780</t>
  </si>
  <si>
    <t>55d8327d-3a0a-4b28-829b-7997814dff99</t>
  </si>
  <si>
    <t>lock on can, empty</t>
  </si>
  <si>
    <t>c8df0ed5-d7a7-438a-9d68-6d2d4918e8eb</t>
  </si>
  <si>
    <t>ae880bc4-0f36-4d10-a3c1-1b852a56f2d9</t>
  </si>
  <si>
    <t>service on ellis</t>
  </si>
  <si>
    <t>37eb838b-1876-43fa-8f4a-e950f7d9a937</t>
  </si>
  <si>
    <t>243</t>
  </si>
  <si>
    <t>service on Cyril magnin</t>
  </si>
  <si>
    <t>34138458-26e2-4515-9794-47904aefc3b9</t>
  </si>
  <si>
    <t>219</t>
  </si>
  <si>
    <t>88f29077-6305-4ba2-9288-ba334179fe03</t>
  </si>
  <si>
    <t>232</t>
  </si>
  <si>
    <t>1304e1fe-eb5e-4a7f-b04e-6981801f0910</t>
  </si>
  <si>
    <t>184</t>
  </si>
  <si>
    <t>5948f4c0-5bdd-45ba-90c6-7d0f4fd09c11</t>
  </si>
  <si>
    <t>133/165</t>
  </si>
  <si>
    <t>304ca2dc-c5a4-4e12-86a7-7bec5668798d</t>
  </si>
  <si>
    <t>152275cd-5388-4d00-a3e4-313cd405a3be</t>
  </si>
  <si>
    <t>da454c56-74b9-4804-8a51-59c518ab6c30</t>
  </si>
  <si>
    <t>lock on can</t>
  </si>
  <si>
    <t>b0335dff-0915-465c-854d-7fa11d2c010f</t>
  </si>
  <si>
    <t>347</t>
  </si>
  <si>
    <t>4d3fb206-e16b-4459-9ec9-dce0c7e8333e</t>
  </si>
  <si>
    <t>construction scaffolding in way</t>
  </si>
  <si>
    <t>33eedd8a-fa44-4525-b1f1-4d67f50efdf3</t>
  </si>
  <si>
    <t>470</t>
  </si>
  <si>
    <t>b1fd1051-3ecb-41bc-bfad-e5b4c7148963</t>
  </si>
  <si>
    <t>a304bc87-7221-4357-844c-bd0640dfbf4f</t>
  </si>
  <si>
    <t>4a4e8903-ca51-406b-bad8-a93703a8fb67</t>
  </si>
  <si>
    <t>439/449</t>
  </si>
  <si>
    <t>64 gal belongs to 449 powell</t>
  </si>
  <si>
    <t>89442ec3-7edb-4014-aec1-4c712fcc1b38</t>
  </si>
  <si>
    <t>357e9673-613e-40fa-8dd6-7d16631397b1</t>
  </si>
  <si>
    <t>562</t>
  </si>
  <si>
    <t>9a2685c4-c29c-4843-819c-be7c65409b0d</t>
  </si>
  <si>
    <t>0e680bd1-94ea-4ce1-9f56-6a1260750c90</t>
  </si>
  <si>
    <t>d26bf72d-5b55-4d85-8b64-2b2f1067bd94</t>
  </si>
  <si>
    <t>515</t>
  </si>
  <si>
    <t>49f596d0-b55c-4511-a3b3-9f4f48467ec3</t>
  </si>
  <si>
    <t>545</t>
  </si>
  <si>
    <t>lock on can, service on bush</t>
  </si>
  <si>
    <t>cd19d9e0-5942-4a74-99a5-5fb96bdca482</t>
  </si>
  <si>
    <t>service through garage, had to wait to be let in, heavy</t>
  </si>
  <si>
    <t>281b2a55-cd98-4290-9a64-245020348c2f</t>
  </si>
  <si>
    <t>240/242</t>
  </si>
  <si>
    <t>tipper having issues</t>
  </si>
  <si>
    <t>7c727e16-7571-4985-ba0c-54cfcf0ee8d4</t>
  </si>
  <si>
    <t>service through garage with key, 40 ft in garage to cans</t>
  </si>
  <si>
    <t>cac85d22-8d5f-4b37-b695-9eb71a53c99f</t>
  </si>
  <si>
    <t>c3c801f1-c7c8-47f9-90e2-ef806c2a8f6d</t>
  </si>
  <si>
    <t>959</t>
  </si>
  <si>
    <t>1cb9e323-633e-4e22-9adc-270a9ffaa64e</t>
  </si>
  <si>
    <t>service on clay</t>
  </si>
  <si>
    <t>a193a099-779b-4f63-8162-c687974cae52</t>
  </si>
  <si>
    <t>941</t>
  </si>
  <si>
    <t>a04e0600-66d8-4393-8245-d2433ce320c9</t>
  </si>
  <si>
    <t>multiple unknown addresses, service on joice. unsure if street is correct</t>
  </si>
  <si>
    <t>2dc84d10-449d-4d66-9222-7b241d1d85d7</t>
  </si>
  <si>
    <t>can is 100 ft down driveway</t>
  </si>
  <si>
    <t>4c87dc93-3af0-4ff4-81e4-a77cbfda12db</t>
  </si>
  <si>
    <t>locked gate, 1 stair, ramp, 2nd door</t>
  </si>
  <si>
    <t>55541698-6bfa-4ce4-84d6-9236789ba368</t>
  </si>
  <si>
    <t>5 stairs, speaker equipment in the way, locked door, 2nd door, 50 ft walkway to cans</t>
  </si>
  <si>
    <t>6b2e0b4f-d646-496b-9716-16e65201f61d</t>
  </si>
  <si>
    <t>1043</t>
  </si>
  <si>
    <t>5602a434-ff27-4d7d-bc8d-4f8cba912a69</t>
  </si>
  <si>
    <t>1059</t>
  </si>
  <si>
    <t>06503cf9-a58d-46cf-8e29-d401a69bbad8</t>
  </si>
  <si>
    <t>garbage spilled, extra tip</t>
  </si>
  <si>
    <t>df14d788-2064-4426-9e45-abb13785bfd2</t>
  </si>
  <si>
    <t>1122</t>
  </si>
  <si>
    <t>c6544f69-ec6c-446d-bdca-6ef10b05c44f</t>
  </si>
  <si>
    <t>1123</t>
  </si>
  <si>
    <t>01c2143b-7e61-4096-a719-4b4e6b9697aa</t>
  </si>
  <si>
    <t>1135</t>
  </si>
  <si>
    <t>17871ad2-e5d4-409a-9bf8-9db01fdfdc13</t>
  </si>
  <si>
    <t>b2b8baa5-ae42-425b-9781-1f916c94ffe4</t>
  </si>
  <si>
    <t>6e775e72-75df-466b-a456-67e3fc7df322</t>
  </si>
  <si>
    <t>777</t>
  </si>
  <si>
    <t>service door 40 ft down alley, locked door</t>
  </si>
  <si>
    <t>b2d606fd-235e-47c1-b782-d67b84153d5f</t>
  </si>
  <si>
    <t>629/639</t>
  </si>
  <si>
    <t>bc0a2f91-db07-49db-b111-35880e622d6d</t>
  </si>
  <si>
    <t>308</t>
  </si>
  <si>
    <t>ec38fb8a-c817-41f2-9e46-883f0453ef29</t>
  </si>
  <si>
    <t>318</t>
  </si>
  <si>
    <t>44978db9-22a5-4b59-abc8-02555a8653b1</t>
  </si>
  <si>
    <t>locked cans</t>
  </si>
  <si>
    <t>b5a3c17c-6522-4458-b20b-68adcfaa5d6e</t>
  </si>
  <si>
    <t>c3422011-facc-44b5-a482-3d1dcc56cc8c</t>
  </si>
  <si>
    <t>ac3590af-5177-4b1e-8379-5ee8d6c91a91</t>
  </si>
  <si>
    <t>c07a794c-32c3-4570-96ed-399f9f9ad01b</t>
  </si>
  <si>
    <t>419</t>
  </si>
  <si>
    <t>c015d3c8-0b15-41ed-8562-43231b70f01a</t>
  </si>
  <si>
    <t>4170727a-83c4-430f-a753-3b718d7aca1c</t>
  </si>
  <si>
    <t>0edb2b22-f519-4e34-a0e3-ab40a3d9c0df</t>
  </si>
  <si>
    <t>abdcb923-9c11-401d-92af-c21971a5311b</t>
  </si>
  <si>
    <t>49b4a3d0-789d-4867-90b4-72b7c8414d9f</t>
  </si>
  <si>
    <t>674/684</t>
  </si>
  <si>
    <t>c0754cfb-df8b-47a9-b3ee-62ef6ffdf56f</t>
  </si>
  <si>
    <t>9d60000d-b9fb-4ca1-abc4-c365b1e9f168</t>
  </si>
  <si>
    <t>locked door, 10 stairs, 2nd door</t>
  </si>
  <si>
    <t>7617cbb7-e4ee-4deb-b8a2-a327f879d256</t>
  </si>
  <si>
    <t>740/744</t>
  </si>
  <si>
    <t>32 gal belongs to 744 broadway</t>
  </si>
  <si>
    <t>d8c010c2-6c4b-4f23-a6c6-049c1cc4d24a</t>
  </si>
  <si>
    <t>2d05d3d2-f91c-453a-9e21-018b4824b29a</t>
  </si>
  <si>
    <t>e5859ba9-8394-48de-886d-65c3bcf66bdb</t>
  </si>
  <si>
    <t>870-880</t>
  </si>
  <si>
    <t>1c529093-2a44-4d31-803b-86128f56a223</t>
  </si>
  <si>
    <t>1483</t>
  </si>
  <si>
    <t>99dcdf73-da78-4726-9373-31eeee8b967b</t>
  </si>
  <si>
    <t>53626d4d-ce4c-4d7c-a30b-c749c7d17e04</t>
  </si>
  <si>
    <t>0db370dd-bc99-46b3-bd5b-99844efa21d8</t>
  </si>
  <si>
    <t>1025</t>
  </si>
  <si>
    <t>service through garage, service on marcy, service door 50 ft down marcy</t>
  </si>
  <si>
    <t>a272ac7f-0e23-4d64-9bf6-6e91c6a52c50</t>
  </si>
  <si>
    <t>1030/1032</t>
  </si>
  <si>
    <t>acf52be2-9f66-4ad7-ba1f-e31145f68014</t>
  </si>
  <si>
    <t>1060</t>
  </si>
  <si>
    <t>55ecfa1d-5a04-4724-94e1-95bcd3d17470</t>
  </si>
  <si>
    <t>not sure if address is correct</t>
  </si>
  <si>
    <t>b5446a15-dcbd-44b1-8aea-29543ebb70aa</t>
  </si>
  <si>
    <t>1440/1430</t>
  </si>
  <si>
    <t>b72ef0b6-e7e8-4db8-a96c-48667ac1a0ee</t>
  </si>
  <si>
    <t>427c16f3-f336-4b91-be18-241a6483796e</t>
  </si>
  <si>
    <t>a468547f-9d5f-4e83-8ee1-c5a93c4388e4</t>
  </si>
  <si>
    <t>2e7d5546-2d8e-4f24-8c81-030044ec23e1</t>
  </si>
  <si>
    <t>service around side of building</t>
  </si>
  <si>
    <t>a115fb2f-3015-417c-9d39-39fd6b3b7915</t>
  </si>
  <si>
    <t>934</t>
  </si>
  <si>
    <t>38ea4ac5-6cf5-4bc7-8b91-872f81a8b7c0</t>
  </si>
  <si>
    <t>condensed 3 32 gal into one on wayne</t>
  </si>
  <si>
    <t>70abd8ac-7902-4ad8-839c-a2dc2dd57e79</t>
  </si>
  <si>
    <t>6a5e1b0c-a854-45f5-9e7e-aa12fc5c216e</t>
  </si>
  <si>
    <t>995</t>
  </si>
  <si>
    <t>661ed210-365f-4aff-8f7f-b8f9e266caed</t>
  </si>
  <si>
    <t>1201</t>
  </si>
  <si>
    <t>locked door, service on washington, service through garage, had to wait to be let in, locked door</t>
  </si>
  <si>
    <t>4fb23d8e-18c7-4aa9-923c-86187cdbb28a</t>
  </si>
  <si>
    <t>043eb06b-cfd8-4320-9c82-e9b8811549c3</t>
  </si>
  <si>
    <t>960/950</t>
  </si>
  <si>
    <t>8cffe9eb-adf7-4e67-b81c-33a1319dcd9e</t>
  </si>
  <si>
    <t>one can curbside, other can inside</t>
  </si>
  <si>
    <t>25e5412a-38ee-4a2e-9fc8-ba780068de07</t>
  </si>
  <si>
    <t>976</t>
  </si>
  <si>
    <t>07430dc0-b42e-4029-924f-0187bbb329a2</t>
  </si>
  <si>
    <t>975</t>
  </si>
  <si>
    <t>service door is 80 ft down doric alley, locked door</t>
  </si>
  <si>
    <t>0c822427-6a9c-4392-a710-ba9a01cfccd7</t>
  </si>
  <si>
    <t>982/984</t>
  </si>
  <si>
    <t>f3af54dd-4a17-493a-9732-15ae79f44f5f</t>
  </si>
  <si>
    <t>Miller</t>
  </si>
  <si>
    <t>service through garage with key, door closed while driver inside</t>
  </si>
  <si>
    <t>6fd130cd-ad63-46c8-845b-6597b8d5afde</t>
  </si>
  <si>
    <t>service 100+ ft down Miller, condensed into 64 gal, 916 powell = empty 32 gal</t>
  </si>
  <si>
    <t>b46c33fe-933b-4c12-8cc6-7b6ad874f0bb</t>
  </si>
  <si>
    <t>Joice</t>
  </si>
  <si>
    <t>d5848caa-399c-4d14-87e5-fe5ab7f41895</t>
  </si>
  <si>
    <t xml:space="preserve">Joice </t>
  </si>
  <si>
    <t>locked door, service door is 40 ft from truck, 2nd door</t>
  </si>
  <si>
    <t>90c574d9-a9d8-4e26-885f-2e846db0850e</t>
  </si>
  <si>
    <t>500ceb3e-56d1-470a-a74a-6c29d8e6e538</t>
  </si>
  <si>
    <t>Nob Hill Pl</t>
  </si>
  <si>
    <t xml:space="preserve">service on mason, locked gate to nob hill place alley, driver turns truck off to avoid noise complaint, lifts can to service, picks up can to avoid noise, 2 locations to service in alley (849 mason), condensed </t>
  </si>
  <si>
    <t>686d67ef-287a-4452-bace-705e789e7bb0</t>
  </si>
  <si>
    <t>751-767</t>
  </si>
  <si>
    <t>locked gate, driver turned off truck to avoid noise, services multiple locations behind one gate, steep, driver picks up can to avoid noise complaint, condensed into 1 96 gal, multiple floors of building</t>
  </si>
  <si>
    <t>74ef40f5-8fab-435f-9e7b-6adaf4944061</t>
  </si>
  <si>
    <t>container inside locked fence. did not have to close fence</t>
  </si>
  <si>
    <t>5f48d71a-4b28-46af-9c1f-3d168e631e23</t>
  </si>
  <si>
    <t>12334b09-8378-49d0-abd0-d368e807674f</t>
  </si>
  <si>
    <t>service in the back of parking lot</t>
  </si>
  <si>
    <t>e4c10cb9-6843-454d-80b8-423397c1976e</t>
  </si>
  <si>
    <t xml:space="preserve">locked gate, driver had to get out to position container and unlock gate </t>
  </si>
  <si>
    <t>54dd07ef-63d1-40f2-b2ba-a883a4a0345c</t>
  </si>
  <si>
    <t xml:space="preserve">7th Street </t>
  </si>
  <si>
    <t xml:space="preserve">locked gate, driver had to get out to position container </t>
  </si>
  <si>
    <t>42fda1b2-b42f-420c-819d-a372edc15ebe</t>
  </si>
  <si>
    <t>service in back of parking lot</t>
  </si>
  <si>
    <t>1963d7d2-83c3-4479-934a-9da80b44f4a2</t>
  </si>
  <si>
    <t>pull across road to service</t>
  </si>
  <si>
    <t>eca51951-206b-479b-ab39-14c2177175fa</t>
  </si>
  <si>
    <t xml:space="preserve">driver positioned container with truck </t>
  </si>
  <si>
    <t>a44b2d4d-c085-4326-b830-20b05cb9b1cb</t>
  </si>
  <si>
    <t>roll up door to service through, driver had to get out to position container, also had to move recycle toters out of the way, had to wait to close garage</t>
  </si>
  <si>
    <t>19696731-020f-4e75-bf9f-9075ee13733c</t>
  </si>
  <si>
    <t>lock on container, relock</t>
  </si>
  <si>
    <t>6efee046-04c0-4f74-8a7b-0ff742c70fa4</t>
  </si>
  <si>
    <t>service through garage with remote, driver had to position cans</t>
  </si>
  <si>
    <t>4406c45a-e843-4787-b149-0dc82b7dac2b</t>
  </si>
  <si>
    <t xml:space="preserve">service through garage with remote, driver had to get out to position container </t>
  </si>
  <si>
    <t>d759d442-f2dd-4272-8066-332d2bc58565</t>
  </si>
  <si>
    <t xml:space="preserve">lock on container, relock </t>
  </si>
  <si>
    <t>10452ba9-45d9-4f6e-85d1-aa222e1a9fe6</t>
  </si>
  <si>
    <t xml:space="preserve">driver used key to open roll up door then had to position container </t>
  </si>
  <si>
    <t>5c8f7503-1a46-40f4-a0bf-902b0fc123de</t>
  </si>
  <si>
    <t>Moss</t>
  </si>
  <si>
    <t>back into alley, lock on container, relock</t>
  </si>
  <si>
    <t>9f796322-b0d8-48db-9806-b9bbfed31b4d</t>
  </si>
  <si>
    <t xml:space="preserve">driver positioned container with truck, had to change label on container </t>
  </si>
  <si>
    <t>63d8c696-fb17-4056-bb66-3711e271dabd</t>
  </si>
  <si>
    <t>driver positioned container with truck, lock on container</t>
  </si>
  <si>
    <t>b9c79e7c-8029-41c6-9ca1-09079f952260</t>
  </si>
  <si>
    <t>had to pull across road to service</t>
  </si>
  <si>
    <t>f1211782-75a0-4969-bf15-24eafd428132</t>
  </si>
  <si>
    <t xml:space="preserve">driver got out to position container </t>
  </si>
  <si>
    <t>91c3e05d-0504-4429-9fca-61a16822a31c</t>
  </si>
  <si>
    <t xml:space="preserve">driver had to position container with truck </t>
  </si>
  <si>
    <t>a72e4bb8-ea68-4dea-b111-44d2cf642dee</t>
  </si>
  <si>
    <t>3bc94ea0-bb4f-4714-aa4f-74991a43a9de</t>
  </si>
  <si>
    <t>new one way on ellis slowed driver down - confusing</t>
  </si>
  <si>
    <t>091456c7-3468-4ab3-8aab-55f4684e6633</t>
  </si>
  <si>
    <t>driver has to reverse out of garage to service due to clearance</t>
  </si>
  <si>
    <t>d34832e8-c0fd-4529-aae6-f1c0d51bc206</t>
  </si>
  <si>
    <t xml:space="preserve">Driver had to get out to release latch on container </t>
  </si>
  <si>
    <t>d6d13fbc-b197-4630-ae4b-f8f41ea71917</t>
  </si>
  <si>
    <t>driver had to call to have the roll up door opened, service in garage, reverse to service, 3 mins waiting for door to roll up</t>
  </si>
  <si>
    <t>e7ee7fed-d675-4630-b404-fd48b3dcd2ef</t>
  </si>
  <si>
    <t>Cyril Magnin</t>
  </si>
  <si>
    <t>1= 1.5 yd container, 1 = 1.25 yd compactor, driver had to get out to position containers multiple times</t>
  </si>
  <si>
    <t>6d001c77-9d20-4304-b058-127d139e42b5</t>
  </si>
  <si>
    <t>a3a4ea82-23b2-49cf-810f-a28d2cfd6e68</t>
  </si>
  <si>
    <t>c3c5f150-76a6-47c4-bfec-590a2fc89fc8</t>
  </si>
  <si>
    <t>e061f8e3-77e7-4d18-a879-8dc0bbfadc67</t>
  </si>
  <si>
    <t xml:space="preserve">Mcallister </t>
  </si>
  <si>
    <t>driver had to get out to release latch, had to move recycle container out of the way, cleared tipper of debris</t>
  </si>
  <si>
    <t>e728303a-95ca-4bfd-9c62-8514ab85ec7d</t>
  </si>
  <si>
    <t>ef5ec6d8-cae2-499e-a558-61bf10de7826</t>
  </si>
  <si>
    <t>d01e7480-1d98-4d13-9282-a9b74a7b9baa</t>
  </si>
  <si>
    <t xml:space="preserve">2.5 yd compactor, compactor door open, trash all over, driver had to get out to close compactor door </t>
  </si>
  <si>
    <t>12ad3dd3-c91e-42d6-a851-72efc9add0ec</t>
  </si>
  <si>
    <t xml:space="preserve">I helped driver pull out compactor container because car in the way, serviced both addresses at once, 3 yd  compactor belongs to 705 natoma, driver had to get out to position containers </t>
  </si>
  <si>
    <t>ef217e79-57ea-47ca-9579-d98e12d25865</t>
  </si>
  <si>
    <t>718/705</t>
  </si>
  <si>
    <t>service on natoma st</t>
  </si>
  <si>
    <t>bb2b18f5-3091-4c47-afb5-b31d12389b1d</t>
  </si>
  <si>
    <t>c3caa0d9-531f-43ef-a896-b3023b5141f4</t>
  </si>
  <si>
    <t>driver got out to position container, service through garage with key</t>
  </si>
  <si>
    <t>8b84d938-a270-4a55-8a13-e6a9f170cdb5</t>
  </si>
  <si>
    <t>3b36e377-d789-4daa-b026-3e794c2d9f4f</t>
  </si>
  <si>
    <t>29303caf-b4fa-4ad2-8c22-22903a1b53a0</t>
  </si>
  <si>
    <t xml:space="preserve">Mission </t>
  </si>
  <si>
    <t>driver had to get out to position containers because compost totes in the way</t>
  </si>
  <si>
    <t>b9e1c44b-1ff3-4adc-ac47-f34c7fe0da0f</t>
  </si>
  <si>
    <t>service at end of alley behind address</t>
  </si>
  <si>
    <t>ab99a30c-1444-425f-8785-8f071d42173a</t>
  </si>
  <si>
    <t>1f01070c-d038-456e-b24f-92b857615c2d</t>
  </si>
  <si>
    <t>driver got out to release latch, 3.25 yd compactor</t>
  </si>
  <si>
    <t>552035da-2ff2-473e-975f-09a30b4ac292</t>
  </si>
  <si>
    <t>4dcc475a-080c-4752-96d4-f2cb9a5c0bf9</t>
  </si>
  <si>
    <t xml:space="preserve">driver had to get out to unlock and position containers, extra service pickup. </t>
  </si>
  <si>
    <t>a40bd20f-b3ec-4ac6-af2e-bdee0522b7f9</t>
  </si>
  <si>
    <t>3fb5aad8-4d7c-47d9-bf9f-4531fcb7e537</t>
  </si>
  <si>
    <t>pick up in alley behind address</t>
  </si>
  <si>
    <t>f50e13ba-87af-41ac-b500-a82248fb5810</t>
  </si>
  <si>
    <t>pulled into gated driveway, let in by security</t>
  </si>
  <si>
    <t>5c885820-2130-4174-af2f-efdfd032f65c</t>
  </si>
  <si>
    <t>9222f135-2b06-46f1-8e5a-7395bac4ad57</t>
  </si>
  <si>
    <t>Golden Gate</t>
  </si>
  <si>
    <t>locked gate, service in alley behind address</t>
  </si>
  <si>
    <t>71608713-f9d6-47e3-acf9-5b0950189bfb</t>
  </si>
  <si>
    <t>2.5 yard compactor</t>
  </si>
  <si>
    <t>1d555a2d-9eef-47b9-9c0d-0310f4556b2d</t>
  </si>
  <si>
    <t>had to tip multiple times because trash stuck</t>
  </si>
  <si>
    <t>216fb5bc-eb36-4dba-9b07-87b6444a90a9</t>
  </si>
  <si>
    <t>driver had to get out to position container</t>
  </si>
  <si>
    <t>87b8be62-e5dd-4626-97d1-2782a39c3b35</t>
  </si>
  <si>
    <t>ef3de0ee-5496-4990-87bf-7ab477e66279</t>
  </si>
  <si>
    <t xml:space="preserve">driver had to get out to position container </t>
  </si>
  <si>
    <t>3a0764c9-efa7-4a03-bbce-cb70d3d0354b</t>
  </si>
  <si>
    <t>b5a0a504-f6ab-48c3-880f-47467ba734fc</t>
  </si>
  <si>
    <t>workers were waiting with container to be serviced</t>
  </si>
  <si>
    <t>2d6a5f43-cc8f-4b64-89f5-69e0b7884415</t>
  </si>
  <si>
    <t>2.5yd compact, homeless guy in the way of servicing, driver for out to release latch</t>
  </si>
  <si>
    <t>a769ca2c-8b61-493a-87fe-85d7708254c4</t>
  </si>
  <si>
    <t>339a45c6-1107-4ddb-afd6-7a6a5aae17e2</t>
  </si>
  <si>
    <t>waited for customer to pull to curb</t>
  </si>
  <si>
    <t>35a0f104-53e3-4581-bb21-5a8f6dc3a59d</t>
  </si>
  <si>
    <t>pulled into driveway to service, cans belong to 3 different customers at same building (2 have same address)</t>
  </si>
  <si>
    <t>281ea4f7-a4a0-469c-8b48-0351b0bdbc6e</t>
  </si>
  <si>
    <t>885/855</t>
  </si>
  <si>
    <t xml:space="preserve">Brannan </t>
  </si>
  <si>
    <t>2.5 yd compactor, containers in 2 different locations, spoke with  near office</t>
  </si>
  <si>
    <t>9a4c604c-2a5f-45c5-97fe-006ff03349da</t>
  </si>
  <si>
    <t>79ad9fe1-37be-46fe-8c13-1b86cb4b9606</t>
  </si>
  <si>
    <t>b7048523-feda-4ed2-bf30-3e11d60a87c8</t>
  </si>
  <si>
    <t>f7cc2939-6b3a-461b-b35e-bee18a2ac437</t>
  </si>
  <si>
    <t>da9417bd-6c04-468f-bf9a-f5b3a4a7333d</t>
  </si>
  <si>
    <t>798</t>
  </si>
  <si>
    <t>cb5424ad-975d-4e94-892f-5d7ac143d81b</t>
  </si>
  <si>
    <t>15f41def-34f7-43b4-8330-3dd01b70d05e</t>
  </si>
  <si>
    <t>227</t>
  </si>
  <si>
    <t>locked door, service through small roll up garage with key, pull container out</t>
  </si>
  <si>
    <t>5d61a059-cca4-40e4-9fce-0acfb338908b</t>
  </si>
  <si>
    <t>1097</t>
  </si>
  <si>
    <t>4ae90535-a438-40af-8d4b-db226736a043</t>
  </si>
  <si>
    <t>service through garage with remote, pull container out</t>
  </si>
  <si>
    <t>e001b82e-80db-45b9-a085-f80887e0e354</t>
  </si>
  <si>
    <t>pull into parking lot</t>
  </si>
  <si>
    <t>bafb17bc-e653-4ac3-b204-8eb4c5f2b09c</t>
  </si>
  <si>
    <t>1028</t>
  </si>
  <si>
    <t xml:space="preserve">service through garage with remote, pull container to curb </t>
  </si>
  <si>
    <t>0ac52f0b-5997-4d26-a1f0-3a0afe437725</t>
  </si>
  <si>
    <t>172</t>
  </si>
  <si>
    <t xml:space="preserve">had to get out to position container </t>
  </si>
  <si>
    <t>6c923a55-22b2-4ffb-817d-06b8345673de</t>
  </si>
  <si>
    <t>service through garage with key, pull containers out, waited for garage to close</t>
  </si>
  <si>
    <t>35197bb3-f512-472b-a322-eb8ff83426b2</t>
  </si>
  <si>
    <t>2.25 yd compactor, positioned container using truck</t>
  </si>
  <si>
    <t>d453787c-5890-42ed-92af-31056acdd360</t>
  </si>
  <si>
    <t>lock on container, no relock</t>
  </si>
  <si>
    <t>8eb8f4d5-a1eb-4920-be01-1d09736de77c</t>
  </si>
  <si>
    <t>lock on container, relock, driver had to position container</t>
  </si>
  <si>
    <t>23b79ca9-0d85-494a-a67f-dae3e6fedf6c</t>
  </si>
  <si>
    <t>529</t>
  </si>
  <si>
    <t>service in alley, service through garage with code, container already out</t>
  </si>
  <si>
    <t>947567fa-6a34-4a8f-86c4-d7f5b973fe95</t>
  </si>
  <si>
    <t>111</t>
  </si>
  <si>
    <t>position container with truck</t>
  </si>
  <si>
    <t>99566bde-816b-4ff1-9135-383505e96acc</t>
  </si>
  <si>
    <t>c8a314d9-38b4-4aa9-b261-882f2a944b6f</t>
  </si>
  <si>
    <t>lock on container, driver got out to position container</t>
  </si>
  <si>
    <t>bd7d6d9d-be78-43f4-9e69-b712f6a97bbc</t>
  </si>
  <si>
    <t>driver had to position container with truck, got out to release lock</t>
  </si>
  <si>
    <t>c1b03cdd-6c0e-468e-ad8e-4fb5729e877f</t>
  </si>
  <si>
    <t xml:space="preserve">driver had to pull into garage, driver had to call ahead to be let in, reverse put of garage to service container for overhead clearance </t>
  </si>
  <si>
    <t>ea4c003b-3d40-4fc2-b377-b245db0d9a51</t>
  </si>
  <si>
    <t>released lock on trash</t>
  </si>
  <si>
    <t>1c0c2e58-3a1b-4b26-9218-1e162b27c4c4</t>
  </si>
  <si>
    <t>had to put containers back in specific spot, service on O'farrell</t>
  </si>
  <si>
    <t>1348c902-8fb5-4df6-82da-8074dd1e2249</t>
  </si>
  <si>
    <t>123</t>
  </si>
  <si>
    <t>216c255f-1664-4fad-8d2f-d32d2b27f06e</t>
  </si>
  <si>
    <t xml:space="preserve">driver had to use intercom to be let in, service through garage, reverse out of garage to service container for overhead clearance </t>
  </si>
  <si>
    <t>7b812bfa-523f-4175-b251-cac1fa308371</t>
  </si>
  <si>
    <t>security had to open garage, service through garage, reverse to service containers</t>
  </si>
  <si>
    <t>7f6f9799-15ba-41b1-809a-8558a2e2d400</t>
  </si>
  <si>
    <t>driver had to get out to release lock, driver positioned cans with truck</t>
  </si>
  <si>
    <t>27270ba8-fd93-44d5-b9a1-ed5d4d871840</t>
  </si>
  <si>
    <t>service through garage, called to be let in, reverse out of garage 3x to service, had to get out of truck to move containers 3x, service door on post, 1 2 yd container is extra</t>
  </si>
  <si>
    <t>1a8945f4-6097-4d8b-965f-390c53c9a4aa</t>
  </si>
  <si>
    <t>driver got out to position containers and release lock</t>
  </si>
  <si>
    <t>2ce432a2-1fb7-42a0-856a-be21bb49302a</t>
  </si>
  <si>
    <t>78c0a6a2-4983-4306-ae36-ee1a4bbc4273</t>
  </si>
  <si>
    <t>a33605b0-dcc5-4231-ae5e-e49a9a5acc6d</t>
  </si>
  <si>
    <t>578a6db9-ff2e-4991-9165-2628e0f8e425</t>
  </si>
  <si>
    <t>driver got out to release lock, no relock</t>
  </si>
  <si>
    <t>e12cbdac-1124-4a97-883b-0e53935fdfda</t>
  </si>
  <si>
    <t xml:space="preserve">driver got out to release lock, positioned container with truck </t>
  </si>
  <si>
    <t>ef0344b7-8f6b-44b6-a2e1-7ea90b02dd72</t>
  </si>
  <si>
    <t>15781a29-f4d4-48cb-a785-d63470ee2924</t>
  </si>
  <si>
    <t>2.25 yd compactor, locked gate, narrow, driver had to get out to open flaps on container and position containers, relock gate</t>
  </si>
  <si>
    <t>c8e93916-478f-49ff-a472-e880cbabb9f7</t>
  </si>
  <si>
    <t>7a29c380-5995-4394-b845-b9fbfad6f754</t>
  </si>
  <si>
    <t>129</t>
  </si>
  <si>
    <t>a187180d-51f9-4c8b-afcd-9d416b0783e9</t>
  </si>
  <si>
    <t>lock on container</t>
  </si>
  <si>
    <t>01ddf73c-df9d-4639-bfc3-925f3ae3942e</t>
  </si>
  <si>
    <t>locked gate in back of parking lot, relock gate</t>
  </si>
  <si>
    <t>e27453e9-693c-40fa-9043-35437dca7b96</t>
  </si>
  <si>
    <t xml:space="preserve">555 </t>
  </si>
  <si>
    <t>locked gate, driver got out to position containers, relock gate, unit number 5</t>
  </si>
  <si>
    <t>c2e9e96a-7d97-42a5-82dc-3785f2a155c6</t>
  </si>
  <si>
    <t>unit numbers 2 and 8. service in garage, driver had to get out to position containers, locked door to one of the containers</t>
  </si>
  <si>
    <t>1ceee7e4-6a64-40a0-8a1e-dee8625d9592</t>
  </si>
  <si>
    <t>7f9444ba-567d-4a42-8a8c-bc298d116bf6</t>
  </si>
  <si>
    <t>service in the back of the parking lot</t>
  </si>
  <si>
    <t>8c09cb66-9592-4d3b-96c5-91a6fcd8578a</t>
  </si>
  <si>
    <t>Langton</t>
  </si>
  <si>
    <t xml:space="preserve">alley, unlocked gate, driver got out to position container </t>
  </si>
  <si>
    <t>7150d499-b0f4-4cd2-8965-97604593e821</t>
  </si>
  <si>
    <t>b6384f6f-8108-4825-9e6d-31cbe372ab77</t>
  </si>
  <si>
    <t>ae6f9ea9-f8ac-43f6-a287-47d886cc7eaf</t>
  </si>
  <si>
    <t>a94b5a54-d0ed-4d04-9ed8-1a349907b191</t>
  </si>
  <si>
    <t>50/55</t>
  </si>
  <si>
    <t>8th Street/9th Street</t>
  </si>
  <si>
    <t>had to move recycle containers out of way x3, 4 yd compactor = 55 9th</t>
  </si>
  <si>
    <t>055efa1e-2271-40e0-84ee-8d84329a31ba</t>
  </si>
  <si>
    <t xml:space="preserve">driver got out to position container, </t>
  </si>
  <si>
    <t>1e9d8152-5873-4099-99e5-a6be6d3015a6</t>
  </si>
  <si>
    <t>36fea2cc-1ca3-4568-8bab-aac0a80ef1de</t>
  </si>
  <si>
    <t>df06d765-7353-4863-9c42-5b82bb3b2466</t>
  </si>
  <si>
    <t xml:space="preserve">2.25 yd compactor </t>
  </si>
  <si>
    <t>d3cae48f-98e5-4427-aa4b-570a5e666674</t>
  </si>
  <si>
    <t>10th Street</t>
  </si>
  <si>
    <t>5f0f44a0-ac62-4322-aa44-fa1c2371d367</t>
  </si>
  <si>
    <t>1282</t>
  </si>
  <si>
    <t>driver got out to position container and unlock, no relock</t>
  </si>
  <si>
    <t>be048ad2-c2c2-4cca-a4c3-9a30baac27d7</t>
  </si>
  <si>
    <t>driver got out to position container and unlock,</t>
  </si>
  <si>
    <t>a6d98431-4717-4cf1-a54d-70d1f45d2408</t>
  </si>
  <si>
    <t>1180</t>
  </si>
  <si>
    <t>2.5 yd compactor</t>
  </si>
  <si>
    <t>ce250466-6704-4753-ab0c-d8e9f86bbd37</t>
  </si>
  <si>
    <t>1190</t>
  </si>
  <si>
    <t xml:space="preserve">2.5 yd compactor, lock on container, </t>
  </si>
  <si>
    <t>ca46ca6a-dc15-4520-9f85-e42e570a804c</t>
  </si>
  <si>
    <t>7791de07-2d08-4dc6-acc4-5b775fb5c680</t>
  </si>
  <si>
    <t>267</t>
  </si>
  <si>
    <t xml:space="preserve">lock on can but other driver already unlocked </t>
  </si>
  <si>
    <t>67df9df8-82ac-4472-9ccf-307480b773b5</t>
  </si>
  <si>
    <t>driver had to get out to pull container out, locked door</t>
  </si>
  <si>
    <t>b5a40328-177b-4feb-86a7-23fcb57252ec</t>
  </si>
  <si>
    <t>lock on container, trash was too compacted and was stuck in container</t>
  </si>
  <si>
    <t>7c29dc80-152a-4549-86ae-07201c6816b3</t>
  </si>
  <si>
    <t>driver got out to release lock</t>
  </si>
  <si>
    <t>bff851f6-ac39-4d09-a472-20fff20896ff</t>
  </si>
  <si>
    <t>service through garage with remote, container already pulled to curbside but had to return it inside</t>
  </si>
  <si>
    <t>e90abd78-4eeb-41de-9325-20e3e605709c</t>
  </si>
  <si>
    <t>service in driveway behind gate, driver had to use gate code to enter</t>
  </si>
  <si>
    <t>21c62c03-a427-4952-95eb-f0b561a28526</t>
  </si>
  <si>
    <t>driver had to position container with truck</t>
  </si>
  <si>
    <t>0afc07db-56c1-49ca-b4d1-6d0cdd4adcdc</t>
  </si>
  <si>
    <t>364</t>
  </si>
  <si>
    <t xml:space="preserve">lock on container </t>
  </si>
  <si>
    <t>c62eb3cd-c729-48cb-ad0f-c05694d3192d</t>
  </si>
  <si>
    <t xml:space="preserve">1/3 containers is a 3 yd compactor, containers at 2 different locations </t>
  </si>
  <si>
    <t>0073f52a-2e25-4698-9a48-f456536f8f02</t>
  </si>
  <si>
    <t>service along back/side of building</t>
  </si>
  <si>
    <t>01e70cf8-00f2-4e95-98da-f265d5ed73f5</t>
  </si>
  <si>
    <t>pull into driveway to service, 2 yd container belongs to Pete's, 3 yd containers belong to equity residential, one extra 3 yd, lock on containers</t>
  </si>
  <si>
    <t>e65138f5-4ad4-4d9e-8482-70d68a6b2540</t>
  </si>
  <si>
    <t>driver got out to chain side door of compactor, waited for other driver to finish, ran blade</t>
  </si>
  <si>
    <t>8beb95f1-a63d-4508-9370-8f589324450f</t>
  </si>
  <si>
    <t xml:space="preserve">had to be let in by security at federal reserve, </t>
  </si>
  <si>
    <t>5cc907dc-07c3-42b2-a4d5-d4efba71d0ef</t>
  </si>
  <si>
    <t xml:space="preserve">service through garage, driver had to pull containers out of garage 60 ft x2, </t>
  </si>
  <si>
    <t>3dd49b59-dc9b-4ac9-9cc2-21d693af83ff</t>
  </si>
  <si>
    <t xml:space="preserve">Golden Gate </t>
  </si>
  <si>
    <t>bb1f6d9a-e40c-456f-93a3-060c18bc0063</t>
  </si>
  <si>
    <t>146</t>
  </si>
  <si>
    <t>2.5 yd compactor, locked gate, had to open gate again to back out</t>
  </si>
  <si>
    <t>ab72c33c-a49d-429f-a7f5-9cb72df8827b</t>
  </si>
  <si>
    <t>driver got out to position containers x3</t>
  </si>
  <si>
    <t>d6727714-3935-48a0-89e4-a71d82368fcc</t>
  </si>
  <si>
    <t>driver maneuvered containers with truck</t>
  </si>
  <si>
    <t>f137e76b-5289-4b2d-b87b-a7a067d007d7</t>
  </si>
  <si>
    <t>374</t>
  </si>
  <si>
    <t>pulled down alley, service behind locked gate</t>
  </si>
  <si>
    <t>1ef7c6b3-693e-4bff-92cb-ecbd0e81e121</t>
  </si>
  <si>
    <t>driver got out to position container</t>
  </si>
  <si>
    <t>2a969d1c-0a05-42d5-a7ff-4a5bcb79c6b0</t>
  </si>
  <si>
    <t>service on willow, driver got out to position container, homeless in the way</t>
  </si>
  <si>
    <t>cec8829d-b0e3-4d17-9d43-08983b743d56</t>
  </si>
  <si>
    <t>8dfb2830-5378-4fa8-93c7-8556a90715c0</t>
  </si>
  <si>
    <t xml:space="preserve">driver positioned cans with truck </t>
  </si>
  <si>
    <t>80b137f3-060b-4709-a1f0-b6cc37258da8</t>
  </si>
  <si>
    <t>service in alley behind building</t>
  </si>
  <si>
    <t>9c15ce21-e562-499d-aa08-c28a4d0fdd5c</t>
  </si>
  <si>
    <t>3 yd container in locked fence area, did not have to put back</t>
  </si>
  <si>
    <t>1ca7e28f-59b3-43bf-9dfc-46b23227c3d9</t>
  </si>
  <si>
    <t>customer pulls containers out 1 at a time, made call to dispatch, 2.25 yd compactors for all, 1 extra 2.25 yard compactor</t>
  </si>
  <si>
    <t>e8a3857d-35ff-49f4-bd04-5c1b1a2e6b43</t>
  </si>
  <si>
    <t>60952020-4509-46c9-b432-59ece1a2040f</t>
  </si>
  <si>
    <t>service through garage with remote. driver had to pull containers out</t>
  </si>
  <si>
    <t>7ba5d593-f8c9-4869-8bff-cee56990a481</t>
  </si>
  <si>
    <t>driver had to move recycle containers out of way and had to put them back</t>
  </si>
  <si>
    <t>6593d859-6cde-460f-8289-3466c313e458</t>
  </si>
  <si>
    <t>driver had to call dispatch</t>
  </si>
  <si>
    <t>51e05c43-557f-4c62-a4a2-f5e0dad3beff</t>
  </si>
  <si>
    <t>ff313cb0-2b6a-4dd3-9877-6f59021e88a0</t>
  </si>
  <si>
    <t>4a8d412d-0e98-4351-a136-8aa7586292db</t>
  </si>
  <si>
    <t>moving truck parked in the way, had to pull container to middle of street to service, talked to customer about positioning container properly (omitted extra time)</t>
  </si>
  <si>
    <t>922594ae-ea5c-4651-a638-5283c3f0b135</t>
  </si>
  <si>
    <t>384</t>
  </si>
  <si>
    <t xml:space="preserve">2.5 yd compactor, had to ring bell to be let in, service through garage, customers brought containers out </t>
  </si>
  <si>
    <t>1f4175f5-220f-4b21-9ca5-29717b1a8fa9</t>
  </si>
  <si>
    <t>locked door, service through garage, driver had to pull container to curb using pallet-jack</t>
  </si>
  <si>
    <t>54357d4a-f8e9-4cee-9d6c-ba61582dcfe2</t>
  </si>
  <si>
    <t xml:space="preserve">pier 1 </t>
  </si>
  <si>
    <t>a3cdae73-c719-49f1-8431-25644e918122</t>
  </si>
  <si>
    <t>pier 17</t>
  </si>
  <si>
    <t xml:space="preserve">serviced on icehouse </t>
  </si>
  <si>
    <t>Samsome</t>
  </si>
  <si>
    <t xml:space="preserve">had to wait for security to open garage door </t>
  </si>
  <si>
    <t>talkigm with cust</t>
  </si>
  <si>
    <t xml:space="preserve">serviced on enid ng limits alley </t>
  </si>
  <si>
    <t xml:space="preserve">asrviced in battery </t>
  </si>
  <si>
    <t xml:space="preserve">serviced on jasper </t>
  </si>
  <si>
    <t>stairs narro ww</t>
  </si>
  <si>
    <t>device had to hop all the way in alley to get toters</t>
  </si>
  <si>
    <t>serviced both addresses at same time 1</t>
  </si>
  <si>
    <t>serviced all on Fresno consolidated everything to one 64 toter 2/32 serviced on romelo 1/64 on romelo</t>
  </si>
  <si>
    <t>Lomvard</t>
  </si>
  <si>
    <t xml:space="preserve">Telegraph Hill </t>
  </si>
  <si>
    <t xml:space="preserve">driver had to go down to the houses segivec three customers </t>
  </si>
  <si>
    <t xml:space="preserve">driver had to go into alert and  consolidate all toters </t>
  </si>
  <si>
    <t xml:space="preserve">driver had to go walk Julia to get to whiting alley service all toters stairs to withing alley </t>
  </si>
  <si>
    <t xml:space="preserve">long dw toter all the way in the back </t>
  </si>
  <si>
    <t xml:space="preserve">driver had to walk up dead end to retrieve toters </t>
  </si>
  <si>
    <t xml:space="preserve">driver couldn't open garage </t>
  </si>
  <si>
    <t xml:space="preserve">flights of stairs </t>
  </si>
  <si>
    <t xml:space="preserve">parker on opposite side </t>
  </si>
  <si>
    <t xml:space="preserve">parked opposite side stairs lots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</si>
</sst>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14" fontId="0" fillId="0" borderId="0" xfId="0" applyNumberFormat="1"/>
    <xf numFmtId="0" fontId="0" fillId="2" borderId="0" xfId="0" applyFill="1"/>
    <xf numFmtId="0" fontId="1" fillId="0" borderId="0" xfId="0" applyFont="1" applyFill="1" applyAlignment="1">
      <alignment horizontal="center"/>
    </xf>
    <xf numFmtId="49" fontId="1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left"/>
    </xf>
    <xf numFmtId="0" fontId="0" fillId="0" borderId="0" xfId="0" applyFill="1"/>
    <xf numFmtId="0" fontId="0" fillId="0" borderId="0" xfId="0" applyAlignment="1">
      <alignment horizontal="left" vertical="top"/>
    </xf>
    <xf numFmtId="0" fontId="1" fillId="0" borderId="0" xfId="0" applyFont="1" applyFill="1" applyAlignment="1">
      <alignment horizontal="left" vertical="top"/>
    </xf>
    <xf numFmtId="14" fontId="0" fillId="0" borderId="0" xfId="0" applyNumberFormat="1" applyFill="1" applyBorder="1"/>
    <xf numFmtId="14" fontId="1" fillId="0" borderId="0" xfId="0" applyNumberFormat="1" applyFont="1" applyFill="1" applyAlignment="1">
      <alignment horizontal="center"/>
    </xf>
    <xf numFmtId="14" fontId="0" fillId="2" borderId="0" xfId="0" applyNumberFormat="1" applyFill="1"/>
    <xf numFmtId="14" fontId="0" fillId="0" borderId="0" xfId="0" applyNumberFormat="1" applyFill="1"/>
    <xf numFmtId="14" fontId="0" fillId="0" borderId="0" xfId="0" applyNumberFormat="1" applyBorder="1" applyAlignment="1">
      <alignment horizontal="center" vertical="center"/>
    </xf>
    <xf numFmtId="14" fontId="3" fillId="2" borderId="0" xfId="0" applyNumberFormat="1" applyFont="1" applyFill="1"/>
    <xf numFmtId="0" fontId="3" fillId="2" borderId="0" xfId="0" applyFont="1" applyFill="1"/>
    <xf numFmtId="14" fontId="2" fillId="0" borderId="0" xfId="0" applyNumberFormat="1" applyFont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0" xfId="0" applyFont="1"/>
    <xf numFmtId="0" fontId="0" fillId="3" borderId="0" xfId="0" applyNumberFormat="1" applyFont="1" applyFill="1" applyAlignment="1" applyProtection="1"/>
    <xf numFmtId="14" fontId="0" fillId="0" borderId="0" xfId="0" applyNumberFormat="1" applyFill="1" applyAlignment="1" applyProtection="1"/>
    <xf numFmtId="0" fontId="0" fillId="0" borderId="0" xfId="0" applyNumberFormat="1" applyFill="1" applyAlignment="1" applyProtection="1"/>
    <xf numFmtId="14" fontId="0" fillId="0" borderId="0" xfId="0" applyNumberFormat="1" applyFill="1" applyBorder="1" applyAlignment="1" applyProtection="1">
      <alignment horizontal="right"/>
    </xf>
    <xf numFmtId="0" fontId="0" fillId="0" borderId="0" xfId="0" applyNumberFormat="1" applyFill="1" applyAlignment="1" applyProtection="1">
      <alignment horizontal="right"/>
    </xf>
    <xf numFmtId="14" fontId="0" fillId="0" borderId="0" xfId="0" applyNumberFormat="1" applyFill="1" applyBorder="1" applyAlignment="1" applyProtection="1">
      <alignment horizontal="right" vertical="center"/>
    </xf>
    <xf numFmtId="0" fontId="0" fillId="0" borderId="0" xfId="0" applyAlignment="1">
      <alignment horizontal="right"/>
    </xf>
    <xf numFmtId="0" fontId="0" fillId="0" borderId="0" xfId="0" applyNumberFormat="1" applyFill="1" applyAlignment="1" applyProtection="1">
      <alignment horizontal="right" vertical="top"/>
    </xf>
    <xf numFmtId="1" fontId="0" fillId="0" borderId="0" xfId="0" applyNumberFormat="1" applyFill="1" applyAlignment="1" applyProtection="1"/>
    <xf numFmtId="0" fontId="1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Relationship Id="rId9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Aijaz Patel" id="{C1213066-3FE5-4BE2-BC6C-6AF3A4F606EC}" userId="S::apatel@recology.com::dfd2b070-0361-40fa-8374-20083706d444" providerId="AD"/>
  <person displayName="amee.tan16" id="{C93AB04D-B935-46FA-BBB9-988CA017F077}" userId="S::amee.tan16_gmail.com#ext#@recology001.onmicrosoft.com::daddca53-4a48-42a2-993c-c32b0b2c38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Y1" dT="2021-01-06T16:45:21.90" personId="{C93AB04D-B935-46FA-BBB9-988CA017F077}" id="{DFD3AA83-78AF-43C2-B74B-2727746C1CF6}">
    <text xml:space="preserve">What do these yrd columns represent? </text>
  </threadedComment>
  <threadedComment ref="Y1" dT="2021-01-06T16:49:54.52" personId="{C1213066-3FE5-4BE2-BC6C-6AF3A4F606EC}" id="{B785B5B6-5B1B-4EBE-81FD-1C5A568DA398}" parentId="{DFD3AA83-78AF-43C2-B74B-2727746C1CF6}">
    <text xml:space="preserve">yard (size of container)  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10574"/>
  <sheetViews>
    <sheetView tabSelected="1" zoomScale="140" zoomScaleNormal="140" workbookViewId="0">
      <pane ySplit="1" topLeftCell="T2" activePane="bottomLeft" state="frozen"/>
      <selection pane="bottomLeft" activeCell="AE1" sqref="T1:AE1"/>
      <selection activeCell="G1" sqref="G1"/>
    </sheetView>
  </sheetViews>
  <sheetFormatPr defaultColWidth="8.85546875" defaultRowHeight="15"/>
  <cols>
    <col min="1" max="1" width="10.7109375" style="1" bestFit="1" customWidth="1"/>
    <col min="2" max="2" width="7.42578125" bestFit="1" customWidth="1"/>
    <col min="4" max="4" width="7.42578125" style="7" bestFit="1" customWidth="1"/>
    <col min="5" max="5" width="15.42578125" style="7" bestFit="1" customWidth="1"/>
    <col min="6" max="7" width="11.28515625" bestFit="1" customWidth="1"/>
    <col min="8" max="8" width="22" customWidth="1"/>
    <col min="9" max="9" width="30.140625" bestFit="1" customWidth="1"/>
    <col min="10" max="10" width="10.140625" customWidth="1"/>
    <col min="11" max="11" width="24.42578125" bestFit="1" customWidth="1"/>
    <col min="12" max="12" width="13.7109375" customWidth="1"/>
    <col min="13" max="13" width="14.140625" bestFit="1" customWidth="1"/>
    <col min="14" max="14" width="16" bestFit="1" customWidth="1"/>
    <col min="15" max="15" width="11.7109375" customWidth="1"/>
    <col min="16" max="16" width="14.42578125" bestFit="1" customWidth="1"/>
    <col min="17" max="17" width="8.42578125" bestFit="1" customWidth="1"/>
    <col min="18" max="18" width="16" bestFit="1" customWidth="1"/>
    <col min="24" max="24" width="9.140625" style="21"/>
    <col min="31" max="31" width="10.7109375" bestFit="1" customWidth="1"/>
    <col min="32" max="32" width="14.7109375" bestFit="1" customWidth="1"/>
    <col min="33" max="33" width="15.140625" bestFit="1" customWidth="1"/>
    <col min="34" max="34" width="19" bestFit="1" customWidth="1"/>
    <col min="35" max="35" width="12.7109375" bestFit="1" customWidth="1"/>
    <col min="36" max="36" width="20.7109375" bestFit="1" customWidth="1"/>
    <col min="37" max="37" width="20.28515625" bestFit="1" customWidth="1"/>
    <col min="38" max="38" width="29.42578125" customWidth="1"/>
  </cols>
  <sheetData>
    <row r="1" spans="1:42" s="6" customFormat="1">
      <c r="A1" s="10" t="s">
        <v>0</v>
      </c>
      <c r="B1" s="3" t="s">
        <v>1</v>
      </c>
      <c r="C1" s="4" t="s">
        <v>2</v>
      </c>
      <c r="D1" s="8" t="s">
        <v>3</v>
      </c>
      <c r="E1" s="8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>
        <v>16</v>
      </c>
      <c r="T1" s="28">
        <v>20</v>
      </c>
      <c r="U1" s="28">
        <v>32</v>
      </c>
      <c r="V1" s="28">
        <v>64</v>
      </c>
      <c r="W1" s="28">
        <v>96</v>
      </c>
      <c r="X1" s="19" t="s">
        <v>18</v>
      </c>
      <c r="Y1" s="28" t="s">
        <v>19</v>
      </c>
      <c r="Z1" s="28" t="s">
        <v>20</v>
      </c>
      <c r="AA1" s="28" t="s">
        <v>21</v>
      </c>
      <c r="AB1" s="28" t="s">
        <v>22</v>
      </c>
      <c r="AC1" s="28" t="s">
        <v>23</v>
      </c>
      <c r="AD1" s="28" t="s">
        <v>24</v>
      </c>
      <c r="AE1" s="28" t="s">
        <v>25</v>
      </c>
      <c r="AF1" s="3" t="s">
        <v>26</v>
      </c>
      <c r="AG1" s="5" t="s">
        <v>27</v>
      </c>
      <c r="AH1" s="3" t="s">
        <v>28</v>
      </c>
      <c r="AI1" s="3" t="s">
        <v>29</v>
      </c>
      <c r="AJ1" s="3" t="s">
        <v>30</v>
      </c>
      <c r="AK1" s="3" t="s">
        <v>31</v>
      </c>
      <c r="AL1" s="3" t="s">
        <v>32</v>
      </c>
      <c r="AM1" s="19" t="s">
        <v>33</v>
      </c>
      <c r="AN1" s="19" t="s">
        <v>34</v>
      </c>
      <c r="AO1" s="19" t="s">
        <v>35</v>
      </c>
      <c r="AP1" s="3" t="s">
        <v>36</v>
      </c>
    </row>
    <row r="2" spans="1:42">
      <c r="A2" s="1">
        <v>43790</v>
      </c>
      <c r="B2">
        <v>4</v>
      </c>
      <c r="C2">
        <v>310</v>
      </c>
      <c r="D2"/>
      <c r="E2" t="s">
        <v>37</v>
      </c>
      <c r="F2" t="s">
        <v>38</v>
      </c>
      <c r="G2">
        <v>1</v>
      </c>
      <c r="H2">
        <v>1</v>
      </c>
      <c r="I2" s="25">
        <v>0</v>
      </c>
      <c r="K2" t="s">
        <v>39</v>
      </c>
      <c r="N2" t="s">
        <v>40</v>
      </c>
      <c r="O2">
        <v>110</v>
      </c>
      <c r="Q2">
        <f t="shared" ref="Q2:Q11" si="0">SUM(S2:AE2)</f>
        <v>5</v>
      </c>
      <c r="S2">
        <v>0</v>
      </c>
      <c r="T2">
        <v>0</v>
      </c>
      <c r="U2">
        <v>0</v>
      </c>
      <c r="V2">
        <v>5</v>
      </c>
      <c r="W2">
        <v>0</v>
      </c>
      <c r="X2" s="21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f t="shared" ref="AH2:AH64" si="1">(S2*16)+(T2*20)+(U2*32)+(V2*64)+(W2*96)</f>
        <v>320</v>
      </c>
      <c r="AP2" t="s">
        <v>41</v>
      </c>
    </row>
    <row r="3" spans="1:42">
      <c r="A3" s="1">
        <v>43790</v>
      </c>
      <c r="B3">
        <v>4</v>
      </c>
      <c r="C3">
        <v>310</v>
      </c>
      <c r="D3"/>
      <c r="E3" t="s">
        <v>37</v>
      </c>
      <c r="F3" t="s">
        <v>38</v>
      </c>
      <c r="G3">
        <v>1</v>
      </c>
      <c r="H3">
        <v>3</v>
      </c>
      <c r="I3" s="25">
        <v>200</v>
      </c>
      <c r="K3" t="s">
        <v>39</v>
      </c>
      <c r="N3" t="s">
        <v>40</v>
      </c>
      <c r="P3">
        <v>120</v>
      </c>
      <c r="Q3">
        <f t="shared" si="0"/>
        <v>9</v>
      </c>
      <c r="R3">
        <v>8</v>
      </c>
      <c r="S3">
        <v>0</v>
      </c>
      <c r="T3">
        <v>0</v>
      </c>
      <c r="U3">
        <v>5</v>
      </c>
      <c r="V3">
        <v>4</v>
      </c>
      <c r="W3">
        <v>0</v>
      </c>
      <c r="X3" s="21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f t="shared" si="1"/>
        <v>416</v>
      </c>
      <c r="AP3" t="s">
        <v>41</v>
      </c>
    </row>
    <row r="4" spans="1:42">
      <c r="A4" s="1">
        <v>43790</v>
      </c>
      <c r="B4">
        <v>4</v>
      </c>
      <c r="C4">
        <v>310</v>
      </c>
      <c r="D4"/>
      <c r="E4" t="s">
        <v>37</v>
      </c>
      <c r="F4" t="s">
        <v>38</v>
      </c>
      <c r="G4">
        <v>1</v>
      </c>
      <c r="H4">
        <v>4</v>
      </c>
      <c r="I4" s="25">
        <v>300</v>
      </c>
      <c r="K4" t="s">
        <v>39</v>
      </c>
      <c r="N4" t="s">
        <v>42</v>
      </c>
      <c r="P4">
        <v>182</v>
      </c>
      <c r="Q4">
        <f t="shared" si="0"/>
        <v>7</v>
      </c>
      <c r="R4">
        <v>6</v>
      </c>
      <c r="S4">
        <v>0</v>
      </c>
      <c r="T4">
        <v>0</v>
      </c>
      <c r="U4">
        <v>5</v>
      </c>
      <c r="V4">
        <v>2</v>
      </c>
      <c r="W4">
        <v>0</v>
      </c>
      <c r="X4" s="21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f t="shared" si="1"/>
        <v>288</v>
      </c>
      <c r="AP4" t="s">
        <v>41</v>
      </c>
    </row>
    <row r="5" spans="1:42">
      <c r="A5" s="1">
        <v>43790</v>
      </c>
      <c r="B5">
        <v>4</v>
      </c>
      <c r="C5">
        <v>310</v>
      </c>
      <c r="D5"/>
      <c r="E5" t="s">
        <v>37</v>
      </c>
      <c r="F5" t="s">
        <v>38</v>
      </c>
      <c r="G5">
        <v>1</v>
      </c>
      <c r="H5">
        <v>5</v>
      </c>
      <c r="I5" s="25"/>
      <c r="K5" t="s">
        <v>43</v>
      </c>
      <c r="N5" t="s">
        <v>44</v>
      </c>
      <c r="O5">
        <v>110</v>
      </c>
      <c r="Q5">
        <f t="shared" si="0"/>
        <v>2</v>
      </c>
      <c r="R5">
        <v>1</v>
      </c>
      <c r="S5">
        <v>0</v>
      </c>
      <c r="T5">
        <v>0</v>
      </c>
      <c r="U5">
        <v>0</v>
      </c>
      <c r="V5">
        <v>2</v>
      </c>
      <c r="W5">
        <v>0</v>
      </c>
      <c r="X5" s="21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f t="shared" si="1"/>
        <v>128</v>
      </c>
      <c r="AL5" t="s">
        <v>45</v>
      </c>
      <c r="AP5" t="s">
        <v>41</v>
      </c>
    </row>
    <row r="6" spans="1:42">
      <c r="A6" s="1">
        <v>43790</v>
      </c>
      <c r="B6">
        <v>4</v>
      </c>
      <c r="C6">
        <v>310</v>
      </c>
      <c r="D6"/>
      <c r="E6" t="s">
        <v>37</v>
      </c>
      <c r="F6" t="s">
        <v>38</v>
      </c>
      <c r="G6">
        <v>1</v>
      </c>
      <c r="H6">
        <v>6</v>
      </c>
      <c r="I6" s="25">
        <v>600</v>
      </c>
      <c r="K6" t="s">
        <v>46</v>
      </c>
      <c r="N6" t="s">
        <v>44</v>
      </c>
      <c r="P6">
        <v>117</v>
      </c>
      <c r="Q6">
        <f t="shared" si="0"/>
        <v>3</v>
      </c>
      <c r="R6">
        <v>4</v>
      </c>
      <c r="S6">
        <v>0</v>
      </c>
      <c r="T6">
        <v>0</v>
      </c>
      <c r="U6">
        <v>2</v>
      </c>
      <c r="V6">
        <v>1</v>
      </c>
      <c r="W6">
        <v>0</v>
      </c>
      <c r="X6" s="21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f t="shared" si="1"/>
        <v>128</v>
      </c>
      <c r="AP6" t="s">
        <v>41</v>
      </c>
    </row>
    <row r="7" spans="1:42">
      <c r="A7" s="1">
        <v>43790</v>
      </c>
      <c r="B7">
        <v>4</v>
      </c>
      <c r="C7">
        <v>310</v>
      </c>
      <c r="D7"/>
      <c r="E7" t="s">
        <v>37</v>
      </c>
      <c r="F7" t="s">
        <v>38</v>
      </c>
      <c r="G7">
        <v>1</v>
      </c>
      <c r="H7">
        <v>7</v>
      </c>
      <c r="I7" s="25">
        <v>600</v>
      </c>
      <c r="K7" t="s">
        <v>46</v>
      </c>
      <c r="N7" t="s">
        <v>40</v>
      </c>
      <c r="P7">
        <v>74</v>
      </c>
      <c r="Q7">
        <f t="shared" si="0"/>
        <v>2</v>
      </c>
      <c r="R7">
        <v>1</v>
      </c>
      <c r="S7">
        <v>0</v>
      </c>
      <c r="T7">
        <v>0</v>
      </c>
      <c r="U7">
        <v>1</v>
      </c>
      <c r="V7">
        <v>1</v>
      </c>
      <c r="W7">
        <v>0</v>
      </c>
      <c r="X7" s="21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f t="shared" si="1"/>
        <v>96</v>
      </c>
      <c r="AP7" t="s">
        <v>41</v>
      </c>
    </row>
    <row r="8" spans="1:42">
      <c r="A8" s="1">
        <v>43790</v>
      </c>
      <c r="B8">
        <v>4</v>
      </c>
      <c r="C8">
        <v>310</v>
      </c>
      <c r="D8"/>
      <c r="E8" t="s">
        <v>37</v>
      </c>
      <c r="F8" t="s">
        <v>38</v>
      </c>
      <c r="G8">
        <v>1</v>
      </c>
      <c r="H8">
        <v>8</v>
      </c>
      <c r="I8" s="25">
        <v>530</v>
      </c>
      <c r="K8" t="s">
        <v>46</v>
      </c>
      <c r="N8" t="s">
        <v>44</v>
      </c>
      <c r="O8">
        <v>96</v>
      </c>
      <c r="Q8">
        <f t="shared" si="0"/>
        <v>4</v>
      </c>
      <c r="R8">
        <v>1</v>
      </c>
      <c r="S8">
        <v>0</v>
      </c>
      <c r="T8">
        <v>0</v>
      </c>
      <c r="U8">
        <v>0</v>
      </c>
      <c r="V8">
        <v>4</v>
      </c>
      <c r="W8">
        <v>0</v>
      </c>
      <c r="X8" s="21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f t="shared" si="1"/>
        <v>256</v>
      </c>
      <c r="AL8" t="s">
        <v>47</v>
      </c>
      <c r="AP8" t="s">
        <v>41</v>
      </c>
    </row>
    <row r="9" spans="1:42">
      <c r="A9" s="1">
        <v>43790</v>
      </c>
      <c r="B9">
        <v>4</v>
      </c>
      <c r="C9">
        <v>310</v>
      </c>
      <c r="D9"/>
      <c r="E9" t="s">
        <v>37</v>
      </c>
      <c r="F9" t="s">
        <v>38</v>
      </c>
      <c r="G9">
        <v>1</v>
      </c>
      <c r="H9">
        <v>9</v>
      </c>
      <c r="I9" s="25">
        <v>359</v>
      </c>
      <c r="K9" t="s">
        <v>48</v>
      </c>
      <c r="N9" t="s">
        <v>40</v>
      </c>
      <c r="O9">
        <v>41</v>
      </c>
      <c r="Q9">
        <f t="shared" si="0"/>
        <v>1</v>
      </c>
      <c r="R9">
        <v>1</v>
      </c>
      <c r="S9">
        <v>0</v>
      </c>
      <c r="T9">
        <v>0</v>
      </c>
      <c r="U9">
        <v>0</v>
      </c>
      <c r="V9">
        <v>1</v>
      </c>
      <c r="W9">
        <v>0</v>
      </c>
      <c r="X9" s="21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f t="shared" si="1"/>
        <v>64</v>
      </c>
      <c r="AP9" t="s">
        <v>41</v>
      </c>
    </row>
    <row r="10" spans="1:42">
      <c r="A10" s="1">
        <v>43790</v>
      </c>
      <c r="B10">
        <v>4</v>
      </c>
      <c r="C10">
        <v>310</v>
      </c>
      <c r="D10"/>
      <c r="E10" t="s">
        <v>37</v>
      </c>
      <c r="F10" t="s">
        <v>38</v>
      </c>
      <c r="G10">
        <v>1</v>
      </c>
      <c r="H10">
        <v>10</v>
      </c>
      <c r="I10" s="25">
        <v>250</v>
      </c>
      <c r="K10" t="s">
        <v>49</v>
      </c>
      <c r="N10" t="s">
        <v>42</v>
      </c>
      <c r="O10">
        <v>61</v>
      </c>
      <c r="Q10">
        <f t="shared" si="0"/>
        <v>1</v>
      </c>
      <c r="R10">
        <v>1</v>
      </c>
      <c r="S10">
        <v>0</v>
      </c>
      <c r="T10">
        <v>0</v>
      </c>
      <c r="U10">
        <v>0</v>
      </c>
      <c r="V10">
        <v>1</v>
      </c>
      <c r="W10">
        <v>0</v>
      </c>
      <c r="X10" s="21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f t="shared" si="1"/>
        <v>64</v>
      </c>
      <c r="AL10" t="s">
        <v>45</v>
      </c>
      <c r="AP10" t="s">
        <v>41</v>
      </c>
    </row>
    <row r="11" spans="1:42">
      <c r="A11" s="1">
        <v>43790</v>
      </c>
      <c r="B11">
        <v>4</v>
      </c>
      <c r="C11">
        <v>310</v>
      </c>
      <c r="D11"/>
      <c r="E11" t="s">
        <v>37</v>
      </c>
      <c r="F11" t="s">
        <v>38</v>
      </c>
      <c r="G11">
        <v>1</v>
      </c>
      <c r="H11">
        <v>11</v>
      </c>
      <c r="I11" s="25">
        <v>447</v>
      </c>
      <c r="K11" t="s">
        <v>46</v>
      </c>
      <c r="N11" t="s">
        <v>42</v>
      </c>
      <c r="O11">
        <v>61</v>
      </c>
      <c r="Q11">
        <f t="shared" si="0"/>
        <v>1</v>
      </c>
      <c r="R11">
        <v>1</v>
      </c>
      <c r="S11">
        <v>0</v>
      </c>
      <c r="T11">
        <v>0</v>
      </c>
      <c r="U11">
        <v>0</v>
      </c>
      <c r="V11">
        <v>1</v>
      </c>
      <c r="W11">
        <v>0</v>
      </c>
      <c r="X11" s="2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f t="shared" si="1"/>
        <v>64</v>
      </c>
      <c r="AL11" t="s">
        <v>45</v>
      </c>
      <c r="AP11" t="s">
        <v>41</v>
      </c>
    </row>
    <row r="12" spans="1:42">
      <c r="A12" s="1">
        <v>43790</v>
      </c>
      <c r="B12">
        <v>4</v>
      </c>
      <c r="C12">
        <v>310</v>
      </c>
      <c r="D12"/>
      <c r="E12" t="s">
        <v>37</v>
      </c>
      <c r="F12" t="s">
        <v>38</v>
      </c>
      <c r="G12">
        <v>1</v>
      </c>
      <c r="H12">
        <v>12</v>
      </c>
      <c r="I12" s="25">
        <v>222</v>
      </c>
      <c r="K12" t="s">
        <v>49</v>
      </c>
      <c r="N12" t="s">
        <v>42</v>
      </c>
      <c r="O12">
        <v>61</v>
      </c>
      <c r="Q12">
        <f t="shared" ref="Q12:Q75" si="2">SUM(S12:AE12)</f>
        <v>2</v>
      </c>
      <c r="R12">
        <v>1</v>
      </c>
      <c r="S12">
        <v>0</v>
      </c>
      <c r="T12">
        <v>0</v>
      </c>
      <c r="U12">
        <v>0</v>
      </c>
      <c r="V12">
        <v>2</v>
      </c>
      <c r="W12">
        <v>0</v>
      </c>
      <c r="X12" s="21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f t="shared" si="1"/>
        <v>128</v>
      </c>
      <c r="AL12" t="s">
        <v>45</v>
      </c>
      <c r="AP12" t="s">
        <v>41</v>
      </c>
    </row>
    <row r="13" spans="1:42">
      <c r="A13" s="1">
        <v>43790</v>
      </c>
      <c r="B13">
        <v>4</v>
      </c>
      <c r="C13">
        <v>310</v>
      </c>
      <c r="D13"/>
      <c r="E13" t="s">
        <v>37</v>
      </c>
      <c r="F13" t="s">
        <v>38</v>
      </c>
      <c r="G13">
        <v>1</v>
      </c>
      <c r="H13">
        <v>13</v>
      </c>
      <c r="I13" s="25">
        <v>344</v>
      </c>
      <c r="K13" t="s">
        <v>48</v>
      </c>
      <c r="N13" t="s">
        <v>40</v>
      </c>
      <c r="O13">
        <v>77</v>
      </c>
      <c r="Q13">
        <f t="shared" si="2"/>
        <v>3</v>
      </c>
      <c r="R13">
        <v>1</v>
      </c>
      <c r="S13">
        <v>0</v>
      </c>
      <c r="T13">
        <v>0</v>
      </c>
      <c r="U13">
        <v>0</v>
      </c>
      <c r="V13">
        <v>3</v>
      </c>
      <c r="W13">
        <v>0</v>
      </c>
      <c r="X13" s="21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f t="shared" si="1"/>
        <v>192</v>
      </c>
      <c r="AL13" t="s">
        <v>45</v>
      </c>
      <c r="AP13" t="s">
        <v>41</v>
      </c>
    </row>
    <row r="14" spans="1:42">
      <c r="A14" s="1">
        <v>43790</v>
      </c>
      <c r="B14">
        <v>4</v>
      </c>
      <c r="C14">
        <v>310</v>
      </c>
      <c r="D14"/>
      <c r="E14" t="s">
        <v>37</v>
      </c>
      <c r="F14" t="s">
        <v>38</v>
      </c>
      <c r="G14">
        <v>1</v>
      </c>
      <c r="H14">
        <v>14</v>
      </c>
      <c r="I14" s="25">
        <v>312</v>
      </c>
      <c r="K14" t="s">
        <v>49</v>
      </c>
      <c r="N14" t="s">
        <v>40</v>
      </c>
      <c r="O14">
        <v>37</v>
      </c>
      <c r="Q14">
        <f t="shared" si="2"/>
        <v>2</v>
      </c>
      <c r="R14">
        <v>1</v>
      </c>
      <c r="S14">
        <v>0</v>
      </c>
      <c r="T14">
        <v>0</v>
      </c>
      <c r="U14">
        <v>2</v>
      </c>
      <c r="V14">
        <v>0</v>
      </c>
      <c r="W14">
        <v>0</v>
      </c>
      <c r="X14" s="21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f t="shared" si="1"/>
        <v>64</v>
      </c>
      <c r="AP14" t="s">
        <v>41</v>
      </c>
    </row>
    <row r="15" spans="1:42">
      <c r="A15" s="1">
        <v>43790</v>
      </c>
      <c r="B15">
        <v>4</v>
      </c>
      <c r="C15">
        <v>310</v>
      </c>
      <c r="D15"/>
      <c r="E15" t="s">
        <v>37</v>
      </c>
      <c r="F15" t="s">
        <v>38</v>
      </c>
      <c r="G15">
        <v>1</v>
      </c>
      <c r="H15">
        <v>15</v>
      </c>
      <c r="I15" s="25">
        <v>309</v>
      </c>
      <c r="K15" t="s">
        <v>49</v>
      </c>
      <c r="N15" t="s">
        <v>40</v>
      </c>
      <c r="O15">
        <v>37</v>
      </c>
      <c r="Q15">
        <f t="shared" si="2"/>
        <v>1</v>
      </c>
      <c r="R15">
        <v>1</v>
      </c>
      <c r="S15">
        <v>0</v>
      </c>
      <c r="T15">
        <v>0</v>
      </c>
      <c r="U15">
        <v>1</v>
      </c>
      <c r="V15">
        <v>0</v>
      </c>
      <c r="W15">
        <v>0</v>
      </c>
      <c r="X15" s="21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f t="shared" si="1"/>
        <v>32</v>
      </c>
      <c r="AP15" t="s">
        <v>41</v>
      </c>
    </row>
    <row r="16" spans="1:42">
      <c r="A16" s="1">
        <v>43790</v>
      </c>
      <c r="B16">
        <v>4</v>
      </c>
      <c r="C16">
        <v>310</v>
      </c>
      <c r="D16"/>
      <c r="E16" t="s">
        <v>37</v>
      </c>
      <c r="F16" t="s">
        <v>38</v>
      </c>
      <c r="G16">
        <v>1</v>
      </c>
      <c r="H16">
        <v>16</v>
      </c>
      <c r="I16" s="25">
        <v>391</v>
      </c>
      <c r="K16" t="s">
        <v>49</v>
      </c>
      <c r="N16" t="s">
        <v>44</v>
      </c>
      <c r="O16">
        <v>48</v>
      </c>
      <c r="Q16">
        <f t="shared" si="2"/>
        <v>1</v>
      </c>
      <c r="R16">
        <v>1</v>
      </c>
      <c r="S16">
        <v>0</v>
      </c>
      <c r="T16">
        <v>0</v>
      </c>
      <c r="U16">
        <v>0</v>
      </c>
      <c r="V16">
        <v>1</v>
      </c>
      <c r="W16">
        <v>0</v>
      </c>
      <c r="X16" s="21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f t="shared" si="1"/>
        <v>64</v>
      </c>
      <c r="AP16" t="s">
        <v>41</v>
      </c>
    </row>
    <row r="17" spans="1:42">
      <c r="A17" s="1">
        <v>43790</v>
      </c>
      <c r="B17">
        <v>4</v>
      </c>
      <c r="C17">
        <v>310</v>
      </c>
      <c r="D17"/>
      <c r="E17" t="s">
        <v>37</v>
      </c>
      <c r="F17" t="s">
        <v>38</v>
      </c>
      <c r="G17">
        <v>1</v>
      </c>
      <c r="H17">
        <v>17</v>
      </c>
      <c r="I17" s="25">
        <v>391</v>
      </c>
      <c r="K17" t="s">
        <v>49</v>
      </c>
      <c r="N17" t="s">
        <v>40</v>
      </c>
      <c r="O17">
        <v>40</v>
      </c>
      <c r="Q17">
        <f t="shared" si="2"/>
        <v>1</v>
      </c>
      <c r="R17">
        <v>1</v>
      </c>
      <c r="S17">
        <v>0</v>
      </c>
      <c r="T17">
        <v>0</v>
      </c>
      <c r="U17">
        <v>0</v>
      </c>
      <c r="V17">
        <v>1</v>
      </c>
      <c r="W17">
        <v>0</v>
      </c>
      <c r="X17" s="21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f t="shared" si="1"/>
        <v>64</v>
      </c>
      <c r="AP17" t="s">
        <v>41</v>
      </c>
    </row>
    <row r="18" spans="1:42">
      <c r="A18" s="1">
        <v>43790</v>
      </c>
      <c r="B18">
        <v>4</v>
      </c>
      <c r="C18">
        <v>310</v>
      </c>
      <c r="D18"/>
      <c r="E18" t="s">
        <v>37</v>
      </c>
      <c r="F18" t="s">
        <v>38</v>
      </c>
      <c r="G18">
        <v>1</v>
      </c>
      <c r="H18">
        <v>18</v>
      </c>
      <c r="I18" s="25">
        <v>340</v>
      </c>
      <c r="K18" t="s">
        <v>50</v>
      </c>
      <c r="N18" t="s">
        <v>42</v>
      </c>
      <c r="O18">
        <v>96</v>
      </c>
      <c r="Q18">
        <f t="shared" si="2"/>
        <v>3</v>
      </c>
      <c r="R18">
        <v>1</v>
      </c>
      <c r="S18">
        <v>0</v>
      </c>
      <c r="T18">
        <v>0</v>
      </c>
      <c r="U18">
        <v>0</v>
      </c>
      <c r="V18">
        <v>3</v>
      </c>
      <c r="W18">
        <v>0</v>
      </c>
      <c r="X18" s="21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f t="shared" si="1"/>
        <v>192</v>
      </c>
      <c r="AP18" t="s">
        <v>41</v>
      </c>
    </row>
    <row r="19" spans="1:42">
      <c r="A19" s="1">
        <v>43790</v>
      </c>
      <c r="B19">
        <v>4</v>
      </c>
      <c r="C19">
        <v>310</v>
      </c>
      <c r="D19"/>
      <c r="E19" t="s">
        <v>37</v>
      </c>
      <c r="F19" t="s">
        <v>38</v>
      </c>
      <c r="G19">
        <v>1</v>
      </c>
      <c r="H19">
        <v>19</v>
      </c>
      <c r="I19" s="25">
        <v>400</v>
      </c>
      <c r="K19" t="s">
        <v>50</v>
      </c>
      <c r="N19" t="s">
        <v>40</v>
      </c>
      <c r="P19">
        <v>95</v>
      </c>
      <c r="Q19">
        <f t="shared" si="2"/>
        <v>3</v>
      </c>
      <c r="R19">
        <v>3</v>
      </c>
      <c r="S19">
        <v>0</v>
      </c>
      <c r="T19">
        <v>0</v>
      </c>
      <c r="U19">
        <v>2</v>
      </c>
      <c r="V19">
        <v>1</v>
      </c>
      <c r="W19">
        <v>0</v>
      </c>
      <c r="X19" s="21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f t="shared" si="1"/>
        <v>128</v>
      </c>
      <c r="AP19" t="s">
        <v>41</v>
      </c>
    </row>
    <row r="20" spans="1:42">
      <c r="A20" s="1">
        <v>43790</v>
      </c>
      <c r="B20">
        <v>4</v>
      </c>
      <c r="C20">
        <v>310</v>
      </c>
      <c r="D20"/>
      <c r="E20" t="s">
        <v>37</v>
      </c>
      <c r="F20" t="s">
        <v>38</v>
      </c>
      <c r="G20">
        <v>1</v>
      </c>
      <c r="H20">
        <v>20</v>
      </c>
      <c r="I20" s="25">
        <v>400</v>
      </c>
      <c r="K20" t="s">
        <v>49</v>
      </c>
      <c r="N20" t="s">
        <v>40</v>
      </c>
      <c r="P20">
        <v>220</v>
      </c>
      <c r="Q20">
        <f t="shared" si="2"/>
        <v>8</v>
      </c>
      <c r="R20">
        <v>4</v>
      </c>
      <c r="S20">
        <v>0</v>
      </c>
      <c r="T20">
        <v>0</v>
      </c>
      <c r="U20">
        <v>3</v>
      </c>
      <c r="V20">
        <v>5</v>
      </c>
      <c r="W20">
        <v>0</v>
      </c>
      <c r="X20" s="21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f t="shared" si="1"/>
        <v>416</v>
      </c>
      <c r="AP20" t="s">
        <v>41</v>
      </c>
    </row>
    <row r="21" spans="1:42">
      <c r="A21" s="1">
        <v>43790</v>
      </c>
      <c r="B21">
        <v>4</v>
      </c>
      <c r="C21">
        <v>310</v>
      </c>
      <c r="D21"/>
      <c r="E21" t="s">
        <v>37</v>
      </c>
      <c r="F21" t="s">
        <v>38</v>
      </c>
      <c r="G21">
        <v>1</v>
      </c>
      <c r="H21">
        <v>21</v>
      </c>
      <c r="I21" s="25">
        <v>475</v>
      </c>
      <c r="K21" t="s">
        <v>49</v>
      </c>
      <c r="N21" t="s">
        <v>40</v>
      </c>
      <c r="O21">
        <v>144</v>
      </c>
      <c r="Q21">
        <f t="shared" si="2"/>
        <v>5</v>
      </c>
      <c r="R21">
        <v>1</v>
      </c>
      <c r="S21">
        <v>0</v>
      </c>
      <c r="T21">
        <v>0</v>
      </c>
      <c r="U21">
        <v>0</v>
      </c>
      <c r="V21">
        <v>5</v>
      </c>
      <c r="W21">
        <v>0</v>
      </c>
      <c r="X21" s="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f t="shared" si="1"/>
        <v>320</v>
      </c>
      <c r="AJ21" t="s">
        <v>51</v>
      </c>
      <c r="AK21" t="s">
        <v>52</v>
      </c>
      <c r="AP21" t="s">
        <v>41</v>
      </c>
    </row>
    <row r="22" spans="1:42">
      <c r="A22" s="1">
        <v>43790</v>
      </c>
      <c r="B22">
        <v>4</v>
      </c>
      <c r="C22">
        <v>310</v>
      </c>
      <c r="D22"/>
      <c r="E22" t="s">
        <v>37</v>
      </c>
      <c r="F22" t="s">
        <v>38</v>
      </c>
      <c r="G22">
        <v>1</v>
      </c>
      <c r="H22">
        <v>22</v>
      </c>
      <c r="I22" s="25">
        <v>210</v>
      </c>
      <c r="K22" t="s">
        <v>53</v>
      </c>
      <c r="N22" t="s">
        <v>40</v>
      </c>
      <c r="O22">
        <v>37</v>
      </c>
      <c r="Q22">
        <f t="shared" si="2"/>
        <v>1</v>
      </c>
      <c r="R22">
        <v>1</v>
      </c>
      <c r="S22">
        <v>0</v>
      </c>
      <c r="T22">
        <v>0</v>
      </c>
      <c r="U22">
        <v>0</v>
      </c>
      <c r="V22">
        <v>1</v>
      </c>
      <c r="W22">
        <v>0</v>
      </c>
      <c r="X22" s="21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f t="shared" si="1"/>
        <v>64</v>
      </c>
      <c r="AJ22" t="s">
        <v>54</v>
      </c>
      <c r="AK22" t="s">
        <v>52</v>
      </c>
      <c r="AL22" t="s">
        <v>55</v>
      </c>
      <c r="AP22" t="s">
        <v>41</v>
      </c>
    </row>
    <row r="23" spans="1:42">
      <c r="A23" s="1">
        <v>43790</v>
      </c>
      <c r="B23">
        <v>4</v>
      </c>
      <c r="C23">
        <v>310</v>
      </c>
      <c r="D23"/>
      <c r="E23" t="s">
        <v>37</v>
      </c>
      <c r="F23" t="s">
        <v>38</v>
      </c>
      <c r="G23">
        <v>1</v>
      </c>
      <c r="H23">
        <v>23</v>
      </c>
      <c r="I23" s="25">
        <v>455</v>
      </c>
      <c r="K23" t="s">
        <v>48</v>
      </c>
      <c r="N23" t="s">
        <v>40</v>
      </c>
      <c r="O23">
        <v>40</v>
      </c>
      <c r="Q23">
        <f t="shared" si="2"/>
        <v>1</v>
      </c>
      <c r="R23">
        <v>1</v>
      </c>
      <c r="S23">
        <v>0</v>
      </c>
      <c r="T23">
        <v>0</v>
      </c>
      <c r="U23">
        <v>0</v>
      </c>
      <c r="V23">
        <v>1</v>
      </c>
      <c r="W23">
        <v>0</v>
      </c>
      <c r="X23" s="21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f t="shared" si="1"/>
        <v>64</v>
      </c>
      <c r="AJ23" t="s">
        <v>54</v>
      </c>
      <c r="AK23" t="s">
        <v>52</v>
      </c>
      <c r="AL23" t="s">
        <v>55</v>
      </c>
      <c r="AP23" t="s">
        <v>41</v>
      </c>
    </row>
    <row r="24" spans="1:42">
      <c r="A24" s="1">
        <v>43790</v>
      </c>
      <c r="B24">
        <v>4</v>
      </c>
      <c r="C24">
        <v>310</v>
      </c>
      <c r="D24"/>
      <c r="E24" t="s">
        <v>37</v>
      </c>
      <c r="F24" t="s">
        <v>38</v>
      </c>
      <c r="G24">
        <v>1</v>
      </c>
      <c r="H24">
        <v>24</v>
      </c>
      <c r="I24" s="25">
        <v>601</v>
      </c>
      <c r="K24" t="s">
        <v>56</v>
      </c>
      <c r="N24" t="s">
        <v>42</v>
      </c>
      <c r="O24">
        <v>152</v>
      </c>
      <c r="Q24">
        <f t="shared" si="2"/>
        <v>6</v>
      </c>
      <c r="R24">
        <v>1</v>
      </c>
      <c r="S24">
        <v>0</v>
      </c>
      <c r="T24">
        <v>0</v>
      </c>
      <c r="U24">
        <v>0</v>
      </c>
      <c r="V24">
        <v>6</v>
      </c>
      <c r="W24">
        <v>0</v>
      </c>
      <c r="X24" s="21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f t="shared" si="1"/>
        <v>384</v>
      </c>
      <c r="AJ24" t="s">
        <v>54</v>
      </c>
      <c r="AK24" t="s">
        <v>52</v>
      </c>
      <c r="AL24" t="s">
        <v>57</v>
      </c>
      <c r="AP24" t="s">
        <v>41</v>
      </c>
    </row>
    <row r="25" spans="1:42">
      <c r="A25" s="1">
        <v>43790</v>
      </c>
      <c r="B25">
        <v>4</v>
      </c>
      <c r="C25">
        <v>310</v>
      </c>
      <c r="D25"/>
      <c r="E25" t="s">
        <v>37</v>
      </c>
      <c r="F25" t="s">
        <v>38</v>
      </c>
      <c r="G25">
        <v>1</v>
      </c>
      <c r="H25">
        <v>25</v>
      </c>
      <c r="I25" s="25">
        <v>433</v>
      </c>
      <c r="K25" t="s">
        <v>56</v>
      </c>
      <c r="N25" t="s">
        <v>40</v>
      </c>
      <c r="O25">
        <v>50</v>
      </c>
      <c r="Q25">
        <f t="shared" si="2"/>
        <v>2</v>
      </c>
      <c r="R25">
        <v>1</v>
      </c>
      <c r="S25">
        <v>0</v>
      </c>
      <c r="T25">
        <v>0</v>
      </c>
      <c r="U25">
        <v>0</v>
      </c>
      <c r="V25">
        <v>2</v>
      </c>
      <c r="W25">
        <v>0</v>
      </c>
      <c r="X25" s="21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f t="shared" si="1"/>
        <v>128</v>
      </c>
      <c r="AJ25" t="s">
        <v>51</v>
      </c>
      <c r="AK25" t="s">
        <v>52</v>
      </c>
      <c r="AP25" t="s">
        <v>41</v>
      </c>
    </row>
    <row r="26" spans="1:42">
      <c r="A26" s="1">
        <v>43790</v>
      </c>
      <c r="B26">
        <v>4</v>
      </c>
      <c r="C26">
        <v>310</v>
      </c>
      <c r="D26"/>
      <c r="E26" t="s">
        <v>37</v>
      </c>
      <c r="F26" t="s">
        <v>38</v>
      </c>
      <c r="G26">
        <v>1</v>
      </c>
      <c r="H26">
        <v>26</v>
      </c>
      <c r="I26" s="25">
        <v>350</v>
      </c>
      <c r="K26" t="s">
        <v>56</v>
      </c>
      <c r="N26" t="s">
        <v>40</v>
      </c>
      <c r="O26">
        <v>74</v>
      </c>
      <c r="Q26">
        <f t="shared" si="2"/>
        <v>5</v>
      </c>
      <c r="R26">
        <v>1</v>
      </c>
      <c r="S26">
        <v>0</v>
      </c>
      <c r="T26">
        <v>0</v>
      </c>
      <c r="U26">
        <v>0</v>
      </c>
      <c r="V26">
        <v>5</v>
      </c>
      <c r="W26">
        <v>0</v>
      </c>
      <c r="X26" s="21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f t="shared" si="1"/>
        <v>320</v>
      </c>
      <c r="AJ26" t="s">
        <v>51</v>
      </c>
      <c r="AK26" t="s">
        <v>52</v>
      </c>
      <c r="AP26" t="s">
        <v>41</v>
      </c>
    </row>
    <row r="27" spans="1:42">
      <c r="A27" s="1">
        <v>43790</v>
      </c>
      <c r="B27">
        <v>4</v>
      </c>
      <c r="C27">
        <v>310</v>
      </c>
      <c r="D27"/>
      <c r="E27" t="s">
        <v>37</v>
      </c>
      <c r="F27" t="s">
        <v>38</v>
      </c>
      <c r="G27">
        <v>1</v>
      </c>
      <c r="H27">
        <v>27</v>
      </c>
      <c r="I27" s="25">
        <v>357</v>
      </c>
      <c r="K27" t="s">
        <v>58</v>
      </c>
      <c r="N27" t="s">
        <v>40</v>
      </c>
      <c r="O27">
        <v>74</v>
      </c>
      <c r="Q27">
        <f t="shared" si="2"/>
        <v>3</v>
      </c>
      <c r="R27">
        <v>1</v>
      </c>
      <c r="S27">
        <v>0</v>
      </c>
      <c r="T27">
        <v>0</v>
      </c>
      <c r="U27">
        <v>1</v>
      </c>
      <c r="V27">
        <v>2</v>
      </c>
      <c r="W27">
        <v>0</v>
      </c>
      <c r="X27" s="21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f t="shared" si="1"/>
        <v>160</v>
      </c>
      <c r="AJ27" t="s">
        <v>51</v>
      </c>
      <c r="AK27" t="s">
        <v>52</v>
      </c>
      <c r="AP27" t="s">
        <v>41</v>
      </c>
    </row>
    <row r="28" spans="1:42">
      <c r="A28" s="1">
        <v>43790</v>
      </c>
      <c r="B28">
        <v>4</v>
      </c>
      <c r="C28">
        <v>310</v>
      </c>
      <c r="D28"/>
      <c r="E28" t="s">
        <v>37</v>
      </c>
      <c r="F28" t="s">
        <v>38</v>
      </c>
      <c r="G28">
        <v>1</v>
      </c>
      <c r="H28">
        <v>28</v>
      </c>
      <c r="I28" s="25" t="s">
        <v>59</v>
      </c>
      <c r="K28" t="s">
        <v>56</v>
      </c>
      <c r="N28" t="s">
        <v>40</v>
      </c>
      <c r="O28">
        <v>130</v>
      </c>
      <c r="Q28">
        <f t="shared" si="2"/>
        <v>6</v>
      </c>
      <c r="R28">
        <v>1</v>
      </c>
      <c r="S28">
        <v>0</v>
      </c>
      <c r="T28">
        <v>0</v>
      </c>
      <c r="U28">
        <v>1</v>
      </c>
      <c r="V28">
        <v>5</v>
      </c>
      <c r="W28">
        <v>0</v>
      </c>
      <c r="X28" s="21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f t="shared" si="1"/>
        <v>352</v>
      </c>
      <c r="AJ28" t="s">
        <v>51</v>
      </c>
      <c r="AK28" t="s">
        <v>52</v>
      </c>
      <c r="AP28" t="s">
        <v>41</v>
      </c>
    </row>
    <row r="29" spans="1:42">
      <c r="A29" s="1">
        <v>43790</v>
      </c>
      <c r="B29">
        <v>4</v>
      </c>
      <c r="C29">
        <v>310</v>
      </c>
      <c r="D29"/>
      <c r="E29" t="s">
        <v>37</v>
      </c>
      <c r="F29" t="s">
        <v>38</v>
      </c>
      <c r="G29">
        <v>1</v>
      </c>
      <c r="H29">
        <v>29</v>
      </c>
      <c r="I29" s="25">
        <v>20</v>
      </c>
      <c r="K29" t="s">
        <v>60</v>
      </c>
      <c r="N29" t="s">
        <v>40</v>
      </c>
      <c r="O29">
        <v>48</v>
      </c>
      <c r="Q29">
        <f t="shared" si="2"/>
        <v>0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 s="21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f t="shared" si="1"/>
        <v>0</v>
      </c>
      <c r="AJ29" t="s">
        <v>51</v>
      </c>
      <c r="AK29" t="s">
        <v>52</v>
      </c>
      <c r="AP29" t="s">
        <v>41</v>
      </c>
    </row>
    <row r="30" spans="1:42">
      <c r="A30" s="1">
        <v>43790</v>
      </c>
      <c r="B30">
        <v>4</v>
      </c>
      <c r="C30">
        <v>310</v>
      </c>
      <c r="D30"/>
      <c r="E30" t="s">
        <v>37</v>
      </c>
      <c r="F30" t="s">
        <v>38</v>
      </c>
      <c r="G30">
        <v>1</v>
      </c>
      <c r="H30">
        <v>30</v>
      </c>
      <c r="I30" s="25">
        <v>250</v>
      </c>
      <c r="K30" t="s">
        <v>56</v>
      </c>
      <c r="N30" t="s">
        <v>40</v>
      </c>
      <c r="O30">
        <v>50</v>
      </c>
      <c r="Q30">
        <f t="shared" si="2"/>
        <v>2</v>
      </c>
      <c r="R30">
        <v>1</v>
      </c>
      <c r="S30">
        <v>0</v>
      </c>
      <c r="T30">
        <v>0</v>
      </c>
      <c r="U30">
        <v>0</v>
      </c>
      <c r="V30">
        <v>2</v>
      </c>
      <c r="W30">
        <v>0</v>
      </c>
      <c r="X30" s="21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f t="shared" si="1"/>
        <v>128</v>
      </c>
      <c r="AJ30" t="s">
        <v>51</v>
      </c>
      <c r="AK30" t="s">
        <v>52</v>
      </c>
      <c r="AP30" t="s">
        <v>41</v>
      </c>
    </row>
    <row r="31" spans="1:42">
      <c r="A31" s="1">
        <v>43790</v>
      </c>
      <c r="B31">
        <v>4</v>
      </c>
      <c r="C31">
        <v>310</v>
      </c>
      <c r="D31"/>
      <c r="E31" t="s">
        <v>37</v>
      </c>
      <c r="F31" t="s">
        <v>38</v>
      </c>
      <c r="G31">
        <v>1</v>
      </c>
      <c r="H31">
        <v>31</v>
      </c>
      <c r="I31" s="25">
        <v>220</v>
      </c>
      <c r="K31" t="s">
        <v>56</v>
      </c>
      <c r="N31" t="s">
        <v>40</v>
      </c>
      <c r="O31">
        <v>64</v>
      </c>
      <c r="Q31">
        <f t="shared" si="2"/>
        <v>3</v>
      </c>
      <c r="R31">
        <v>1</v>
      </c>
      <c r="S31">
        <v>0</v>
      </c>
      <c r="T31">
        <v>0</v>
      </c>
      <c r="U31">
        <v>0</v>
      </c>
      <c r="V31">
        <v>3</v>
      </c>
      <c r="W31">
        <v>0</v>
      </c>
      <c r="X31" s="2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f t="shared" si="1"/>
        <v>192</v>
      </c>
      <c r="AJ31" t="s">
        <v>51</v>
      </c>
      <c r="AK31" t="s">
        <v>52</v>
      </c>
      <c r="AP31" t="s">
        <v>41</v>
      </c>
    </row>
    <row r="32" spans="1:42">
      <c r="A32" s="1">
        <v>43790</v>
      </c>
      <c r="B32">
        <v>4</v>
      </c>
      <c r="C32">
        <v>310</v>
      </c>
      <c r="D32"/>
      <c r="E32" t="s">
        <v>37</v>
      </c>
      <c r="F32" t="s">
        <v>38</v>
      </c>
      <c r="G32">
        <v>1</v>
      </c>
      <c r="H32">
        <v>32</v>
      </c>
      <c r="I32" s="25">
        <v>235</v>
      </c>
      <c r="K32" t="s">
        <v>61</v>
      </c>
      <c r="N32" t="s">
        <v>40</v>
      </c>
      <c r="O32">
        <v>64</v>
      </c>
      <c r="Q32">
        <f t="shared" si="2"/>
        <v>3</v>
      </c>
      <c r="R32">
        <v>1</v>
      </c>
      <c r="S32">
        <v>0</v>
      </c>
      <c r="T32">
        <v>0</v>
      </c>
      <c r="U32">
        <v>0</v>
      </c>
      <c r="V32">
        <v>3</v>
      </c>
      <c r="W32">
        <v>0</v>
      </c>
      <c r="X32" s="21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f t="shared" si="1"/>
        <v>192</v>
      </c>
      <c r="AP32" t="s">
        <v>41</v>
      </c>
    </row>
    <row r="33" spans="1:42">
      <c r="A33" s="1">
        <v>43790</v>
      </c>
      <c r="B33">
        <v>4</v>
      </c>
      <c r="C33">
        <v>310</v>
      </c>
      <c r="D33"/>
      <c r="E33" t="s">
        <v>37</v>
      </c>
      <c r="F33" t="s">
        <v>38</v>
      </c>
      <c r="G33">
        <v>1</v>
      </c>
      <c r="H33">
        <v>33</v>
      </c>
      <c r="I33" s="25">
        <v>227</v>
      </c>
      <c r="K33" t="s">
        <v>61</v>
      </c>
      <c r="N33" t="s">
        <v>40</v>
      </c>
      <c r="O33">
        <v>33</v>
      </c>
      <c r="Q33">
        <f t="shared" si="2"/>
        <v>1</v>
      </c>
      <c r="R33">
        <v>1</v>
      </c>
      <c r="S33">
        <v>0</v>
      </c>
      <c r="T33">
        <v>0</v>
      </c>
      <c r="U33">
        <v>0</v>
      </c>
      <c r="V33">
        <v>1</v>
      </c>
      <c r="W33">
        <v>0</v>
      </c>
      <c r="X33" s="21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f t="shared" si="1"/>
        <v>64</v>
      </c>
      <c r="AP33" t="s">
        <v>41</v>
      </c>
    </row>
    <row r="34" spans="1:42">
      <c r="A34" s="1">
        <v>43790</v>
      </c>
      <c r="B34">
        <v>4</v>
      </c>
      <c r="C34">
        <v>310</v>
      </c>
      <c r="D34"/>
      <c r="E34" t="s">
        <v>37</v>
      </c>
      <c r="F34" t="s">
        <v>38</v>
      </c>
      <c r="G34">
        <v>1</v>
      </c>
      <c r="H34">
        <v>34</v>
      </c>
      <c r="I34" s="25">
        <v>222</v>
      </c>
      <c r="K34" t="s">
        <v>61</v>
      </c>
      <c r="N34" t="s">
        <v>40</v>
      </c>
      <c r="O34">
        <v>33</v>
      </c>
      <c r="Q34">
        <f t="shared" si="2"/>
        <v>1</v>
      </c>
      <c r="R34">
        <v>1</v>
      </c>
      <c r="S34">
        <v>0</v>
      </c>
      <c r="T34">
        <v>0</v>
      </c>
      <c r="U34">
        <v>0</v>
      </c>
      <c r="V34">
        <v>1</v>
      </c>
      <c r="W34">
        <v>0</v>
      </c>
      <c r="X34" s="21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f t="shared" si="1"/>
        <v>64</v>
      </c>
      <c r="AP34" t="s">
        <v>41</v>
      </c>
    </row>
    <row r="35" spans="1:42">
      <c r="A35" s="1">
        <v>43790</v>
      </c>
      <c r="B35">
        <v>4</v>
      </c>
      <c r="C35">
        <v>310</v>
      </c>
      <c r="D35"/>
      <c r="E35" t="s">
        <v>37</v>
      </c>
      <c r="F35" t="s">
        <v>38</v>
      </c>
      <c r="G35">
        <v>1</v>
      </c>
      <c r="H35">
        <v>35</v>
      </c>
      <c r="I35" s="25">
        <v>240</v>
      </c>
      <c r="K35" t="s">
        <v>61</v>
      </c>
      <c r="N35" t="s">
        <v>40</v>
      </c>
      <c r="O35">
        <v>47</v>
      </c>
      <c r="Q35">
        <f t="shared" si="2"/>
        <v>1</v>
      </c>
      <c r="R35">
        <v>1</v>
      </c>
      <c r="S35">
        <v>0</v>
      </c>
      <c r="T35">
        <v>0</v>
      </c>
      <c r="U35">
        <v>0</v>
      </c>
      <c r="V35">
        <v>1</v>
      </c>
      <c r="W35">
        <v>0</v>
      </c>
      <c r="X35" s="21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f t="shared" si="1"/>
        <v>64</v>
      </c>
      <c r="AP35" t="s">
        <v>41</v>
      </c>
    </row>
    <row r="36" spans="1:42">
      <c r="A36" s="1">
        <v>43790</v>
      </c>
      <c r="B36">
        <v>4</v>
      </c>
      <c r="C36">
        <v>310</v>
      </c>
      <c r="D36"/>
      <c r="E36" t="s">
        <v>37</v>
      </c>
      <c r="F36" t="s">
        <v>38</v>
      </c>
      <c r="G36">
        <v>1</v>
      </c>
      <c r="H36">
        <v>36</v>
      </c>
      <c r="I36" s="25">
        <v>301</v>
      </c>
      <c r="K36" t="s">
        <v>62</v>
      </c>
      <c r="N36" t="s">
        <v>40</v>
      </c>
      <c r="O36">
        <v>47</v>
      </c>
      <c r="Q36">
        <f t="shared" si="2"/>
        <v>2</v>
      </c>
      <c r="R36">
        <v>1</v>
      </c>
      <c r="S36">
        <v>0</v>
      </c>
      <c r="T36">
        <v>0</v>
      </c>
      <c r="U36">
        <v>0</v>
      </c>
      <c r="V36">
        <v>2</v>
      </c>
      <c r="W36">
        <v>0</v>
      </c>
      <c r="X36" s="21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f t="shared" si="1"/>
        <v>128</v>
      </c>
      <c r="AP36" t="s">
        <v>41</v>
      </c>
    </row>
    <row r="37" spans="1:42">
      <c r="A37" s="1">
        <v>43790</v>
      </c>
      <c r="B37">
        <v>4</v>
      </c>
      <c r="C37">
        <v>310</v>
      </c>
      <c r="D37"/>
      <c r="E37" t="s">
        <v>37</v>
      </c>
      <c r="F37" t="s">
        <v>38</v>
      </c>
      <c r="G37">
        <v>1</v>
      </c>
      <c r="H37">
        <v>37</v>
      </c>
      <c r="I37" s="25">
        <v>245</v>
      </c>
      <c r="K37" t="s">
        <v>61</v>
      </c>
      <c r="N37" t="s">
        <v>40</v>
      </c>
      <c r="O37">
        <v>47</v>
      </c>
      <c r="Q37">
        <f t="shared" si="2"/>
        <v>1</v>
      </c>
      <c r="R37">
        <v>1</v>
      </c>
      <c r="S37">
        <v>0</v>
      </c>
      <c r="T37">
        <v>0</v>
      </c>
      <c r="U37">
        <v>0</v>
      </c>
      <c r="V37">
        <v>1</v>
      </c>
      <c r="W37">
        <v>0</v>
      </c>
      <c r="X37" s="21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f t="shared" si="1"/>
        <v>64</v>
      </c>
      <c r="AP37" t="s">
        <v>41</v>
      </c>
    </row>
    <row r="38" spans="1:42">
      <c r="A38" s="1">
        <v>43790</v>
      </c>
      <c r="B38">
        <v>4</v>
      </c>
      <c r="C38">
        <v>310</v>
      </c>
      <c r="D38"/>
      <c r="E38" t="s">
        <v>37</v>
      </c>
      <c r="F38" t="s">
        <v>38</v>
      </c>
      <c r="G38">
        <v>1</v>
      </c>
      <c r="H38">
        <v>38</v>
      </c>
      <c r="I38" s="25">
        <v>8</v>
      </c>
      <c r="K38" t="s">
        <v>56</v>
      </c>
      <c r="N38" t="s">
        <v>40</v>
      </c>
      <c r="O38">
        <v>42</v>
      </c>
      <c r="Q38">
        <f t="shared" si="2"/>
        <v>2</v>
      </c>
      <c r="R38">
        <v>1</v>
      </c>
      <c r="S38">
        <v>0</v>
      </c>
      <c r="T38">
        <v>0</v>
      </c>
      <c r="U38">
        <v>1</v>
      </c>
      <c r="V38">
        <v>1</v>
      </c>
      <c r="W38">
        <v>0</v>
      </c>
      <c r="X38" s="21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f t="shared" si="1"/>
        <v>96</v>
      </c>
      <c r="AP38" t="s">
        <v>41</v>
      </c>
    </row>
    <row r="39" spans="1:42">
      <c r="A39" s="1">
        <v>43790</v>
      </c>
      <c r="B39">
        <v>4</v>
      </c>
      <c r="C39">
        <v>310</v>
      </c>
      <c r="D39"/>
      <c r="E39" t="s">
        <v>37</v>
      </c>
      <c r="F39" t="s">
        <v>38</v>
      </c>
      <c r="G39">
        <v>1</v>
      </c>
      <c r="H39">
        <v>39</v>
      </c>
      <c r="I39" s="25">
        <v>20</v>
      </c>
      <c r="K39" t="s">
        <v>56</v>
      </c>
      <c r="N39" t="s">
        <v>40</v>
      </c>
      <c r="O39">
        <v>42</v>
      </c>
      <c r="Q39">
        <f t="shared" si="2"/>
        <v>1</v>
      </c>
      <c r="R39">
        <v>1</v>
      </c>
      <c r="S39">
        <v>0</v>
      </c>
      <c r="T39">
        <v>0</v>
      </c>
      <c r="U39">
        <v>0</v>
      </c>
      <c r="V39">
        <v>1</v>
      </c>
      <c r="W39">
        <v>0</v>
      </c>
      <c r="X39" s="21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f t="shared" si="1"/>
        <v>64</v>
      </c>
      <c r="AP39" t="s">
        <v>41</v>
      </c>
    </row>
    <row r="40" spans="1:42">
      <c r="A40" s="1">
        <v>43790</v>
      </c>
      <c r="B40">
        <v>4</v>
      </c>
      <c r="C40">
        <v>310</v>
      </c>
      <c r="D40"/>
      <c r="E40" t="s">
        <v>37</v>
      </c>
      <c r="F40" t="s">
        <v>38</v>
      </c>
      <c r="G40">
        <v>1</v>
      </c>
      <c r="H40">
        <v>40</v>
      </c>
      <c r="I40" s="25">
        <v>1</v>
      </c>
      <c r="K40" t="s">
        <v>56</v>
      </c>
      <c r="N40" t="s">
        <v>40</v>
      </c>
      <c r="O40">
        <v>48</v>
      </c>
      <c r="Q40">
        <f t="shared" si="2"/>
        <v>1</v>
      </c>
      <c r="R40">
        <v>1</v>
      </c>
      <c r="S40">
        <v>0</v>
      </c>
      <c r="T40">
        <v>0</v>
      </c>
      <c r="U40">
        <v>0</v>
      </c>
      <c r="V40">
        <v>1</v>
      </c>
      <c r="W40">
        <v>0</v>
      </c>
      <c r="X40" s="21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f t="shared" si="1"/>
        <v>64</v>
      </c>
      <c r="AL40" t="s">
        <v>63</v>
      </c>
      <c r="AP40" t="s">
        <v>64</v>
      </c>
    </row>
    <row r="41" spans="1:42">
      <c r="A41" s="1">
        <v>43790</v>
      </c>
      <c r="B41">
        <v>4</v>
      </c>
      <c r="C41">
        <v>310</v>
      </c>
      <c r="D41"/>
      <c r="E41" t="s">
        <v>37</v>
      </c>
      <c r="F41" t="s">
        <v>38</v>
      </c>
      <c r="G41">
        <v>1</v>
      </c>
      <c r="H41">
        <v>41</v>
      </c>
      <c r="I41" s="25">
        <v>129</v>
      </c>
      <c r="K41" t="s">
        <v>62</v>
      </c>
      <c r="N41" t="s">
        <v>40</v>
      </c>
      <c r="O41">
        <v>55</v>
      </c>
      <c r="Q41">
        <f t="shared" si="2"/>
        <v>2</v>
      </c>
      <c r="R41">
        <v>1</v>
      </c>
      <c r="S41">
        <v>0</v>
      </c>
      <c r="T41">
        <v>0</v>
      </c>
      <c r="U41">
        <v>0</v>
      </c>
      <c r="V41">
        <v>2</v>
      </c>
      <c r="W41">
        <v>0</v>
      </c>
      <c r="X41" s="2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f t="shared" si="1"/>
        <v>128</v>
      </c>
      <c r="AP41" t="s">
        <v>41</v>
      </c>
    </row>
    <row r="42" spans="1:42">
      <c r="A42" s="1">
        <v>43790</v>
      </c>
      <c r="B42">
        <v>4</v>
      </c>
      <c r="C42">
        <v>310</v>
      </c>
      <c r="D42"/>
      <c r="E42" t="s">
        <v>37</v>
      </c>
      <c r="F42" t="s">
        <v>38</v>
      </c>
      <c r="G42">
        <v>1</v>
      </c>
      <c r="H42">
        <v>42</v>
      </c>
      <c r="I42" s="25">
        <v>113</v>
      </c>
      <c r="K42" t="s">
        <v>62</v>
      </c>
      <c r="N42" t="s">
        <v>40</v>
      </c>
      <c r="O42">
        <v>55</v>
      </c>
      <c r="Q42">
        <f t="shared" si="2"/>
        <v>2</v>
      </c>
      <c r="R42">
        <v>1</v>
      </c>
      <c r="S42">
        <v>0</v>
      </c>
      <c r="T42">
        <v>0</v>
      </c>
      <c r="U42">
        <v>0</v>
      </c>
      <c r="V42">
        <v>2</v>
      </c>
      <c r="W42">
        <v>0</v>
      </c>
      <c r="X42" s="21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f t="shared" si="1"/>
        <v>128</v>
      </c>
      <c r="AP42" t="s">
        <v>41</v>
      </c>
    </row>
    <row r="43" spans="1:42">
      <c r="A43" s="1">
        <v>43790</v>
      </c>
      <c r="B43">
        <v>4</v>
      </c>
      <c r="C43">
        <v>310</v>
      </c>
      <c r="D43"/>
      <c r="E43" t="s">
        <v>37</v>
      </c>
      <c r="F43" t="s">
        <v>38</v>
      </c>
      <c r="G43">
        <v>1</v>
      </c>
      <c r="H43">
        <v>43</v>
      </c>
      <c r="I43" s="25">
        <v>100</v>
      </c>
      <c r="K43" t="s">
        <v>56</v>
      </c>
      <c r="N43" t="s">
        <v>40</v>
      </c>
      <c r="O43">
        <v>79</v>
      </c>
      <c r="Q43">
        <f t="shared" si="2"/>
        <v>4</v>
      </c>
      <c r="R43">
        <v>1</v>
      </c>
      <c r="S43">
        <v>0</v>
      </c>
      <c r="T43">
        <v>0</v>
      </c>
      <c r="U43">
        <v>0</v>
      </c>
      <c r="V43">
        <v>4</v>
      </c>
      <c r="W43">
        <v>0</v>
      </c>
      <c r="X43" s="21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f t="shared" si="1"/>
        <v>256</v>
      </c>
      <c r="AP43" t="s">
        <v>41</v>
      </c>
    </row>
    <row r="44" spans="1:42">
      <c r="A44" s="1">
        <v>43790</v>
      </c>
      <c r="B44">
        <v>4</v>
      </c>
      <c r="C44">
        <v>310</v>
      </c>
      <c r="D44"/>
      <c r="E44" t="s">
        <v>37</v>
      </c>
      <c r="F44" t="s">
        <v>38</v>
      </c>
      <c r="G44">
        <v>1</v>
      </c>
      <c r="H44">
        <v>44</v>
      </c>
      <c r="I44" s="25">
        <v>275</v>
      </c>
      <c r="K44" t="s">
        <v>62</v>
      </c>
      <c r="N44" t="s">
        <v>40</v>
      </c>
      <c r="O44">
        <v>79</v>
      </c>
      <c r="Q44">
        <f t="shared" si="2"/>
        <v>1</v>
      </c>
      <c r="R44">
        <v>1</v>
      </c>
      <c r="S44">
        <v>0</v>
      </c>
      <c r="T44">
        <v>0</v>
      </c>
      <c r="U44">
        <v>0</v>
      </c>
      <c r="V44">
        <v>1</v>
      </c>
      <c r="W44">
        <v>0</v>
      </c>
      <c r="X44" s="21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f t="shared" si="1"/>
        <v>64</v>
      </c>
      <c r="AP44" t="s">
        <v>41</v>
      </c>
    </row>
    <row r="45" spans="1:42">
      <c r="A45" s="1">
        <v>43790</v>
      </c>
      <c r="B45">
        <v>4</v>
      </c>
      <c r="C45">
        <v>310</v>
      </c>
      <c r="D45"/>
      <c r="E45" t="s">
        <v>37</v>
      </c>
      <c r="F45" t="s">
        <v>38</v>
      </c>
      <c r="G45">
        <v>1</v>
      </c>
      <c r="H45">
        <v>45</v>
      </c>
      <c r="I45" s="25">
        <v>325</v>
      </c>
      <c r="K45" t="s">
        <v>62</v>
      </c>
      <c r="N45" t="s">
        <v>40</v>
      </c>
      <c r="O45">
        <v>30</v>
      </c>
      <c r="Q45">
        <f t="shared" si="2"/>
        <v>1</v>
      </c>
      <c r="R45">
        <v>1</v>
      </c>
      <c r="S45">
        <v>0</v>
      </c>
      <c r="T45">
        <v>0</v>
      </c>
      <c r="U45">
        <v>1</v>
      </c>
      <c r="V45">
        <v>0</v>
      </c>
      <c r="W45">
        <v>0</v>
      </c>
      <c r="X45" s="21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f t="shared" si="1"/>
        <v>32</v>
      </c>
      <c r="AP45" t="s">
        <v>41</v>
      </c>
    </row>
    <row r="46" spans="1:42">
      <c r="A46" s="1">
        <v>43790</v>
      </c>
      <c r="B46">
        <v>4</v>
      </c>
      <c r="C46">
        <v>310</v>
      </c>
      <c r="D46"/>
      <c r="E46" t="s">
        <v>37</v>
      </c>
      <c r="F46" t="s">
        <v>38</v>
      </c>
      <c r="G46">
        <v>1</v>
      </c>
      <c r="H46">
        <v>46</v>
      </c>
      <c r="I46" s="25">
        <v>411</v>
      </c>
      <c r="K46" t="s">
        <v>58</v>
      </c>
      <c r="N46" t="s">
        <v>40</v>
      </c>
      <c r="O46">
        <v>28</v>
      </c>
      <c r="Q46">
        <f t="shared" si="2"/>
        <v>1</v>
      </c>
      <c r="R46">
        <v>1</v>
      </c>
      <c r="S46">
        <v>0</v>
      </c>
      <c r="T46">
        <v>0</v>
      </c>
      <c r="U46">
        <v>0</v>
      </c>
      <c r="V46">
        <v>1</v>
      </c>
      <c r="W46">
        <v>0</v>
      </c>
      <c r="X46" s="21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f t="shared" si="1"/>
        <v>64</v>
      </c>
      <c r="AP46" t="s">
        <v>41</v>
      </c>
    </row>
    <row r="47" spans="1:42">
      <c r="A47" s="1">
        <v>43790</v>
      </c>
      <c r="B47">
        <v>4</v>
      </c>
      <c r="C47">
        <v>310</v>
      </c>
      <c r="D47"/>
      <c r="E47" t="s">
        <v>37</v>
      </c>
      <c r="F47" t="s">
        <v>38</v>
      </c>
      <c r="G47">
        <v>1</v>
      </c>
      <c r="H47">
        <v>47</v>
      </c>
      <c r="I47" s="25">
        <v>500</v>
      </c>
      <c r="K47" t="s">
        <v>62</v>
      </c>
      <c r="N47" t="s">
        <v>40</v>
      </c>
      <c r="O47">
        <v>28</v>
      </c>
      <c r="Q47">
        <f t="shared" si="2"/>
        <v>1</v>
      </c>
      <c r="R47">
        <v>1</v>
      </c>
      <c r="S47">
        <v>0</v>
      </c>
      <c r="T47">
        <v>0</v>
      </c>
      <c r="U47">
        <v>0</v>
      </c>
      <c r="V47">
        <v>1</v>
      </c>
      <c r="W47">
        <v>0</v>
      </c>
      <c r="X47" s="21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f t="shared" si="1"/>
        <v>64</v>
      </c>
      <c r="AP47" t="s">
        <v>41</v>
      </c>
    </row>
    <row r="48" spans="1:42">
      <c r="A48" s="1">
        <v>43790</v>
      </c>
      <c r="B48">
        <v>4</v>
      </c>
      <c r="C48">
        <v>310</v>
      </c>
      <c r="D48"/>
      <c r="E48" t="s">
        <v>37</v>
      </c>
      <c r="F48" t="s">
        <v>38</v>
      </c>
      <c r="G48">
        <v>1</v>
      </c>
      <c r="H48">
        <v>48</v>
      </c>
      <c r="I48" s="25">
        <v>544</v>
      </c>
      <c r="K48" t="s">
        <v>65</v>
      </c>
      <c r="N48" t="s">
        <v>40</v>
      </c>
      <c r="O48">
        <v>52</v>
      </c>
      <c r="Q48">
        <f t="shared" si="2"/>
        <v>2</v>
      </c>
      <c r="R48">
        <v>1</v>
      </c>
      <c r="S48">
        <v>0</v>
      </c>
      <c r="T48">
        <v>0</v>
      </c>
      <c r="U48">
        <v>0</v>
      </c>
      <c r="V48">
        <v>2</v>
      </c>
      <c r="W48">
        <v>0</v>
      </c>
      <c r="X48" s="21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f t="shared" si="1"/>
        <v>128</v>
      </c>
      <c r="AP48" t="s">
        <v>41</v>
      </c>
    </row>
    <row r="49" spans="1:42">
      <c r="A49" s="1">
        <v>43790</v>
      </c>
      <c r="B49">
        <v>4</v>
      </c>
      <c r="C49">
        <v>310</v>
      </c>
      <c r="D49"/>
      <c r="E49" t="s">
        <v>37</v>
      </c>
      <c r="F49" t="s">
        <v>38</v>
      </c>
      <c r="G49">
        <v>1</v>
      </c>
      <c r="H49">
        <v>49</v>
      </c>
      <c r="I49" s="25">
        <v>558</v>
      </c>
      <c r="K49" t="s">
        <v>62</v>
      </c>
      <c r="N49" t="s">
        <v>40</v>
      </c>
      <c r="O49">
        <v>52</v>
      </c>
      <c r="Q49">
        <f t="shared" si="2"/>
        <v>2</v>
      </c>
      <c r="R49">
        <v>1</v>
      </c>
      <c r="S49">
        <v>0</v>
      </c>
      <c r="T49">
        <v>0</v>
      </c>
      <c r="U49">
        <v>0</v>
      </c>
      <c r="V49">
        <v>2</v>
      </c>
      <c r="W49">
        <v>0</v>
      </c>
      <c r="X49" s="21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f t="shared" si="1"/>
        <v>128</v>
      </c>
      <c r="AP49" t="s">
        <v>41</v>
      </c>
    </row>
    <row r="50" spans="1:42">
      <c r="A50" s="1">
        <v>43790</v>
      </c>
      <c r="B50">
        <v>4</v>
      </c>
      <c r="C50">
        <v>310</v>
      </c>
      <c r="D50"/>
      <c r="E50" t="s">
        <v>37</v>
      </c>
      <c r="F50" t="s">
        <v>38</v>
      </c>
      <c r="G50">
        <v>1</v>
      </c>
      <c r="H50">
        <v>50</v>
      </c>
      <c r="I50" s="25">
        <v>531</v>
      </c>
      <c r="K50" t="s">
        <v>65</v>
      </c>
      <c r="N50" t="s">
        <v>40</v>
      </c>
      <c r="O50">
        <v>39</v>
      </c>
      <c r="Q50">
        <f t="shared" si="2"/>
        <v>1</v>
      </c>
      <c r="R50">
        <v>1</v>
      </c>
      <c r="S50">
        <v>0</v>
      </c>
      <c r="T50">
        <v>0</v>
      </c>
      <c r="U50">
        <v>1</v>
      </c>
      <c r="V50">
        <v>0</v>
      </c>
      <c r="W50">
        <v>0</v>
      </c>
      <c r="X50" s="21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f t="shared" si="1"/>
        <v>32</v>
      </c>
      <c r="AP50" t="s">
        <v>41</v>
      </c>
    </row>
    <row r="51" spans="1:42">
      <c r="A51" s="1">
        <v>43790</v>
      </c>
      <c r="B51">
        <v>4</v>
      </c>
      <c r="C51">
        <v>310</v>
      </c>
      <c r="D51"/>
      <c r="E51" t="s">
        <v>37</v>
      </c>
      <c r="F51" t="s">
        <v>38</v>
      </c>
      <c r="G51">
        <v>1</v>
      </c>
      <c r="H51">
        <v>51</v>
      </c>
      <c r="I51" s="25">
        <v>525</v>
      </c>
      <c r="K51" t="s">
        <v>66</v>
      </c>
      <c r="N51" t="s">
        <v>40</v>
      </c>
      <c r="O51">
        <v>45</v>
      </c>
      <c r="Q51">
        <f t="shared" si="2"/>
        <v>2</v>
      </c>
      <c r="R51">
        <v>1</v>
      </c>
      <c r="S51">
        <v>0</v>
      </c>
      <c r="T51">
        <v>0</v>
      </c>
      <c r="U51">
        <v>0</v>
      </c>
      <c r="V51">
        <v>2</v>
      </c>
      <c r="W51">
        <v>0</v>
      </c>
      <c r="X51" s="2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f t="shared" si="1"/>
        <v>128</v>
      </c>
      <c r="AP51" t="s">
        <v>41</v>
      </c>
    </row>
    <row r="52" spans="1:42">
      <c r="A52" s="1">
        <v>43790</v>
      </c>
      <c r="B52">
        <v>4</v>
      </c>
      <c r="C52">
        <v>310</v>
      </c>
      <c r="D52"/>
      <c r="E52" t="s">
        <v>37</v>
      </c>
      <c r="F52" t="s">
        <v>38</v>
      </c>
      <c r="G52">
        <v>1</v>
      </c>
      <c r="H52">
        <v>52</v>
      </c>
      <c r="I52" s="25">
        <v>475</v>
      </c>
      <c r="K52" t="s">
        <v>58</v>
      </c>
      <c r="N52" t="s">
        <v>40</v>
      </c>
      <c r="O52">
        <v>45</v>
      </c>
      <c r="Q52">
        <f t="shared" si="2"/>
        <v>2</v>
      </c>
      <c r="R52">
        <v>1</v>
      </c>
      <c r="S52">
        <v>0</v>
      </c>
      <c r="T52">
        <v>0</v>
      </c>
      <c r="U52">
        <v>0</v>
      </c>
      <c r="V52">
        <v>2</v>
      </c>
      <c r="W52">
        <v>0</v>
      </c>
      <c r="X52" s="21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f t="shared" si="1"/>
        <v>128</v>
      </c>
      <c r="AP52" t="s">
        <v>41</v>
      </c>
    </row>
    <row r="53" spans="1:42">
      <c r="A53" s="1">
        <v>43790</v>
      </c>
      <c r="B53">
        <v>4</v>
      </c>
      <c r="C53">
        <v>310</v>
      </c>
      <c r="D53"/>
      <c r="E53" t="s">
        <v>37</v>
      </c>
      <c r="F53" t="s">
        <v>38</v>
      </c>
      <c r="G53">
        <v>1</v>
      </c>
      <c r="H53">
        <v>53</v>
      </c>
      <c r="I53" s="25">
        <v>500</v>
      </c>
      <c r="K53" t="s">
        <v>58</v>
      </c>
      <c r="N53" t="s">
        <v>40</v>
      </c>
      <c r="O53">
        <v>72</v>
      </c>
      <c r="Q53">
        <f t="shared" si="2"/>
        <v>3</v>
      </c>
      <c r="R53">
        <v>1</v>
      </c>
      <c r="S53">
        <v>0</v>
      </c>
      <c r="T53">
        <v>0</v>
      </c>
      <c r="U53">
        <v>0</v>
      </c>
      <c r="V53">
        <v>3</v>
      </c>
      <c r="W53">
        <v>0</v>
      </c>
      <c r="X53" s="21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f t="shared" si="1"/>
        <v>192</v>
      </c>
      <c r="AL53" t="s">
        <v>67</v>
      </c>
      <c r="AP53" t="s">
        <v>41</v>
      </c>
    </row>
    <row r="54" spans="1:42">
      <c r="A54" s="1">
        <v>43790</v>
      </c>
      <c r="B54">
        <v>4</v>
      </c>
      <c r="C54">
        <v>310</v>
      </c>
      <c r="D54"/>
      <c r="E54" t="s">
        <v>37</v>
      </c>
      <c r="F54" t="s">
        <v>38</v>
      </c>
      <c r="G54">
        <v>1</v>
      </c>
      <c r="H54">
        <v>54</v>
      </c>
      <c r="I54" s="25">
        <v>565</v>
      </c>
      <c r="K54" t="s">
        <v>68</v>
      </c>
      <c r="N54" t="s">
        <v>40</v>
      </c>
      <c r="O54">
        <v>63</v>
      </c>
      <c r="Q54">
        <f t="shared" si="2"/>
        <v>1</v>
      </c>
      <c r="R54">
        <v>1</v>
      </c>
      <c r="S54">
        <v>0</v>
      </c>
      <c r="T54">
        <v>0</v>
      </c>
      <c r="U54">
        <v>1</v>
      </c>
      <c r="V54">
        <v>0</v>
      </c>
      <c r="W54">
        <v>0</v>
      </c>
      <c r="X54" s="21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f t="shared" si="1"/>
        <v>32</v>
      </c>
      <c r="AP54" t="s">
        <v>41</v>
      </c>
    </row>
    <row r="55" spans="1:42">
      <c r="A55" s="1">
        <v>43790</v>
      </c>
      <c r="B55">
        <v>4</v>
      </c>
      <c r="C55">
        <v>310</v>
      </c>
      <c r="D55"/>
      <c r="E55" t="s">
        <v>37</v>
      </c>
      <c r="F55" t="s">
        <v>38</v>
      </c>
      <c r="G55">
        <v>1</v>
      </c>
      <c r="H55">
        <v>55</v>
      </c>
      <c r="I55" s="25">
        <v>555</v>
      </c>
      <c r="K55" t="s">
        <v>68</v>
      </c>
      <c r="N55" t="s">
        <v>40</v>
      </c>
      <c r="O55">
        <v>63</v>
      </c>
      <c r="Q55">
        <f t="shared" si="2"/>
        <v>2</v>
      </c>
      <c r="R55">
        <v>1</v>
      </c>
      <c r="S55">
        <v>0</v>
      </c>
      <c r="T55">
        <v>0</v>
      </c>
      <c r="U55">
        <v>0</v>
      </c>
      <c r="V55">
        <v>2</v>
      </c>
      <c r="W55">
        <v>0</v>
      </c>
      <c r="X55" s="21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f t="shared" si="1"/>
        <v>128</v>
      </c>
      <c r="AP55" t="s">
        <v>41</v>
      </c>
    </row>
    <row r="56" spans="1:42">
      <c r="A56" s="1">
        <v>43790</v>
      </c>
      <c r="B56">
        <v>4</v>
      </c>
      <c r="C56">
        <v>310</v>
      </c>
      <c r="D56"/>
      <c r="E56" t="s">
        <v>37</v>
      </c>
      <c r="F56" t="s">
        <v>38</v>
      </c>
      <c r="G56">
        <v>1</v>
      </c>
      <c r="H56">
        <v>56</v>
      </c>
      <c r="I56" s="25">
        <v>475</v>
      </c>
      <c r="K56" t="s">
        <v>58</v>
      </c>
      <c r="N56" t="s">
        <v>40</v>
      </c>
      <c r="O56">
        <v>53</v>
      </c>
      <c r="Q56">
        <f t="shared" si="2"/>
        <v>1</v>
      </c>
      <c r="R56">
        <v>1</v>
      </c>
      <c r="S56">
        <v>0</v>
      </c>
      <c r="T56">
        <v>0</v>
      </c>
      <c r="U56">
        <v>0</v>
      </c>
      <c r="V56">
        <v>1</v>
      </c>
      <c r="W56">
        <v>0</v>
      </c>
      <c r="X56" s="21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f t="shared" si="1"/>
        <v>64</v>
      </c>
      <c r="AP56" t="s">
        <v>41</v>
      </c>
    </row>
    <row r="57" spans="1:42">
      <c r="A57" s="1">
        <v>43790</v>
      </c>
      <c r="B57">
        <v>4</v>
      </c>
      <c r="C57">
        <v>310</v>
      </c>
      <c r="D57"/>
      <c r="E57" t="s">
        <v>37</v>
      </c>
      <c r="F57" t="s">
        <v>38</v>
      </c>
      <c r="G57">
        <v>1</v>
      </c>
      <c r="H57">
        <v>57</v>
      </c>
      <c r="I57" s="25">
        <v>400</v>
      </c>
      <c r="K57" t="s">
        <v>58</v>
      </c>
      <c r="N57" t="s">
        <v>44</v>
      </c>
      <c r="O57">
        <v>163</v>
      </c>
      <c r="Q57">
        <f t="shared" si="2"/>
        <v>4</v>
      </c>
      <c r="R57">
        <v>1</v>
      </c>
      <c r="S57">
        <v>0</v>
      </c>
      <c r="T57">
        <v>0</v>
      </c>
      <c r="U57">
        <v>0</v>
      </c>
      <c r="V57">
        <v>4</v>
      </c>
      <c r="W57">
        <v>0</v>
      </c>
      <c r="X57" s="21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f t="shared" si="1"/>
        <v>256</v>
      </c>
      <c r="AP57" t="s">
        <v>41</v>
      </c>
    </row>
    <row r="58" spans="1:42">
      <c r="A58" s="1">
        <v>43790</v>
      </c>
      <c r="B58">
        <v>4</v>
      </c>
      <c r="C58">
        <v>310</v>
      </c>
      <c r="D58"/>
      <c r="E58" t="s">
        <v>37</v>
      </c>
      <c r="F58" t="s">
        <v>38</v>
      </c>
      <c r="G58">
        <v>1</v>
      </c>
      <c r="H58">
        <v>58</v>
      </c>
      <c r="I58" s="25">
        <v>333</v>
      </c>
      <c r="K58" t="s">
        <v>60</v>
      </c>
      <c r="N58" t="s">
        <v>44</v>
      </c>
      <c r="O58">
        <v>163</v>
      </c>
      <c r="Q58">
        <f t="shared" si="2"/>
        <v>9</v>
      </c>
      <c r="R58">
        <v>1</v>
      </c>
      <c r="S58">
        <v>0</v>
      </c>
      <c r="T58">
        <v>0</v>
      </c>
      <c r="U58">
        <v>0</v>
      </c>
      <c r="V58">
        <v>9</v>
      </c>
      <c r="W58">
        <v>0</v>
      </c>
      <c r="X58" s="21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f t="shared" si="1"/>
        <v>576</v>
      </c>
      <c r="AP58" t="s">
        <v>41</v>
      </c>
    </row>
    <row r="59" spans="1:42">
      <c r="A59" s="1">
        <v>43790</v>
      </c>
      <c r="B59">
        <v>4</v>
      </c>
      <c r="C59">
        <v>310</v>
      </c>
      <c r="D59"/>
      <c r="E59" t="s">
        <v>37</v>
      </c>
      <c r="F59" t="s">
        <v>38</v>
      </c>
      <c r="G59">
        <v>1</v>
      </c>
      <c r="H59">
        <v>59</v>
      </c>
      <c r="I59" s="25">
        <v>100</v>
      </c>
      <c r="K59" t="s">
        <v>69</v>
      </c>
      <c r="N59" t="s">
        <v>40</v>
      </c>
      <c r="O59">
        <v>118</v>
      </c>
      <c r="Q59">
        <f t="shared" si="2"/>
        <v>6</v>
      </c>
      <c r="R59">
        <v>1</v>
      </c>
      <c r="S59">
        <v>0</v>
      </c>
      <c r="T59">
        <v>0</v>
      </c>
      <c r="U59">
        <v>0</v>
      </c>
      <c r="V59">
        <v>6</v>
      </c>
      <c r="W59">
        <v>0</v>
      </c>
      <c r="X59" s="21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f t="shared" si="1"/>
        <v>384</v>
      </c>
      <c r="AP59" t="s">
        <v>41</v>
      </c>
    </row>
    <row r="60" spans="1:42">
      <c r="A60" s="1">
        <v>43790</v>
      </c>
      <c r="B60">
        <v>4</v>
      </c>
      <c r="C60">
        <v>310</v>
      </c>
      <c r="D60"/>
      <c r="E60" t="s">
        <v>37</v>
      </c>
      <c r="F60" t="s">
        <v>38</v>
      </c>
      <c r="G60">
        <v>1</v>
      </c>
      <c r="H60">
        <v>60</v>
      </c>
      <c r="I60" s="25">
        <v>201</v>
      </c>
      <c r="K60" t="s">
        <v>56</v>
      </c>
      <c r="N60" t="s">
        <v>40</v>
      </c>
      <c r="O60">
        <v>118</v>
      </c>
      <c r="Q60">
        <f t="shared" si="2"/>
        <v>5</v>
      </c>
      <c r="R60">
        <v>1</v>
      </c>
      <c r="S60">
        <v>0</v>
      </c>
      <c r="T60">
        <v>0</v>
      </c>
      <c r="U60">
        <v>0</v>
      </c>
      <c r="V60">
        <v>5</v>
      </c>
      <c r="W60">
        <v>0</v>
      </c>
      <c r="X60" s="21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f t="shared" si="1"/>
        <v>320</v>
      </c>
      <c r="AP60" t="s">
        <v>41</v>
      </c>
    </row>
    <row r="61" spans="1:42">
      <c r="A61" s="1">
        <v>43790</v>
      </c>
      <c r="B61">
        <v>4</v>
      </c>
      <c r="C61">
        <v>310</v>
      </c>
      <c r="D61"/>
      <c r="E61" t="s">
        <v>37</v>
      </c>
      <c r="F61" t="s">
        <v>38</v>
      </c>
      <c r="G61">
        <v>1</v>
      </c>
      <c r="H61">
        <v>61</v>
      </c>
      <c r="I61" s="25">
        <v>212</v>
      </c>
      <c r="K61" t="s">
        <v>56</v>
      </c>
      <c r="N61" t="s">
        <v>40</v>
      </c>
      <c r="O61">
        <v>97</v>
      </c>
      <c r="Q61">
        <f t="shared" si="2"/>
        <v>1</v>
      </c>
      <c r="R61">
        <v>1</v>
      </c>
      <c r="S61">
        <v>0</v>
      </c>
      <c r="T61">
        <v>0</v>
      </c>
      <c r="U61">
        <v>0</v>
      </c>
      <c r="V61">
        <v>1</v>
      </c>
      <c r="W61">
        <v>0</v>
      </c>
      <c r="X61" s="2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f t="shared" si="1"/>
        <v>64</v>
      </c>
      <c r="AP61" t="s">
        <v>41</v>
      </c>
    </row>
    <row r="62" spans="1:42">
      <c r="A62" s="1">
        <v>43790</v>
      </c>
      <c r="B62">
        <v>4</v>
      </c>
      <c r="C62">
        <v>310</v>
      </c>
      <c r="D62"/>
      <c r="E62" t="s">
        <v>37</v>
      </c>
      <c r="F62" t="s">
        <v>38</v>
      </c>
      <c r="G62">
        <v>1</v>
      </c>
      <c r="H62">
        <v>62</v>
      </c>
      <c r="I62" s="25">
        <v>230</v>
      </c>
      <c r="K62" t="s">
        <v>56</v>
      </c>
      <c r="N62" t="s">
        <v>40</v>
      </c>
      <c r="O62">
        <v>30</v>
      </c>
      <c r="Q62">
        <f t="shared" si="2"/>
        <v>0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 s="21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f t="shared" si="1"/>
        <v>0</v>
      </c>
      <c r="AP62" t="s">
        <v>41</v>
      </c>
    </row>
    <row r="63" spans="1:42">
      <c r="A63" s="1">
        <v>43790</v>
      </c>
      <c r="B63">
        <v>4</v>
      </c>
      <c r="C63">
        <v>310</v>
      </c>
      <c r="D63"/>
      <c r="E63" t="s">
        <v>37</v>
      </c>
      <c r="F63" t="s">
        <v>38</v>
      </c>
      <c r="G63">
        <v>1</v>
      </c>
      <c r="H63">
        <v>63</v>
      </c>
      <c r="I63" s="25">
        <v>255</v>
      </c>
      <c r="K63" t="s">
        <v>56</v>
      </c>
      <c r="N63" t="s">
        <v>40</v>
      </c>
      <c r="O63">
        <v>54</v>
      </c>
      <c r="Q63">
        <f t="shared" si="2"/>
        <v>3</v>
      </c>
      <c r="R63">
        <v>1</v>
      </c>
      <c r="S63">
        <v>0</v>
      </c>
      <c r="T63">
        <v>0</v>
      </c>
      <c r="U63">
        <v>0</v>
      </c>
      <c r="V63">
        <v>3</v>
      </c>
      <c r="W63">
        <v>0</v>
      </c>
      <c r="X63" s="21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f t="shared" si="1"/>
        <v>192</v>
      </c>
      <c r="AP63" t="s">
        <v>41</v>
      </c>
    </row>
    <row r="64" spans="1:42">
      <c r="A64" s="1">
        <v>43790</v>
      </c>
      <c r="B64">
        <v>4</v>
      </c>
      <c r="C64">
        <v>310</v>
      </c>
      <c r="D64"/>
      <c r="E64" t="s">
        <v>37</v>
      </c>
      <c r="F64" t="s">
        <v>38</v>
      </c>
      <c r="G64">
        <v>1</v>
      </c>
      <c r="H64">
        <v>64</v>
      </c>
      <c r="I64" s="25">
        <v>295</v>
      </c>
      <c r="K64" t="s">
        <v>56</v>
      </c>
      <c r="N64" t="s">
        <v>40</v>
      </c>
      <c r="O64">
        <v>54</v>
      </c>
      <c r="Q64">
        <f t="shared" si="2"/>
        <v>0</v>
      </c>
      <c r="R64">
        <v>1</v>
      </c>
      <c r="S64">
        <v>0</v>
      </c>
      <c r="T64">
        <v>0</v>
      </c>
      <c r="U64">
        <v>0</v>
      </c>
      <c r="V64">
        <v>0</v>
      </c>
      <c r="W64">
        <v>0</v>
      </c>
      <c r="X64" s="21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f t="shared" si="1"/>
        <v>0</v>
      </c>
      <c r="AP64" t="s">
        <v>41</v>
      </c>
    </row>
    <row r="65" spans="1:42">
      <c r="A65" s="1">
        <v>43790</v>
      </c>
      <c r="B65">
        <v>4</v>
      </c>
      <c r="C65">
        <v>310</v>
      </c>
      <c r="D65"/>
      <c r="E65" t="s">
        <v>37</v>
      </c>
      <c r="F65" t="s">
        <v>38</v>
      </c>
      <c r="G65">
        <v>1</v>
      </c>
      <c r="H65">
        <v>65</v>
      </c>
      <c r="I65" s="25">
        <v>301</v>
      </c>
      <c r="K65" t="s">
        <v>56</v>
      </c>
      <c r="N65" t="s">
        <v>40</v>
      </c>
      <c r="O65">
        <v>54</v>
      </c>
      <c r="Q65">
        <f t="shared" si="2"/>
        <v>3</v>
      </c>
      <c r="R65">
        <v>1</v>
      </c>
      <c r="S65">
        <v>0</v>
      </c>
      <c r="T65">
        <v>0</v>
      </c>
      <c r="U65">
        <v>0</v>
      </c>
      <c r="V65">
        <v>3</v>
      </c>
      <c r="W65">
        <v>0</v>
      </c>
      <c r="X65" s="21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f t="shared" ref="AH65:AH128" si="3">(S65*16)+(T65*20)+(U65*32)+(V65*64)+(W65*96)</f>
        <v>192</v>
      </c>
      <c r="AP65" t="s">
        <v>41</v>
      </c>
    </row>
    <row r="66" spans="1:42">
      <c r="A66" s="1">
        <v>43790</v>
      </c>
      <c r="B66">
        <v>4</v>
      </c>
      <c r="C66">
        <v>310</v>
      </c>
      <c r="D66"/>
      <c r="E66" t="s">
        <v>37</v>
      </c>
      <c r="F66" t="s">
        <v>38</v>
      </c>
      <c r="G66">
        <v>1</v>
      </c>
      <c r="H66">
        <v>66</v>
      </c>
      <c r="I66" s="25">
        <v>311</v>
      </c>
      <c r="K66" t="s">
        <v>56</v>
      </c>
      <c r="N66" t="s">
        <v>40</v>
      </c>
      <c r="O66">
        <v>54</v>
      </c>
      <c r="Q66">
        <f t="shared" si="2"/>
        <v>0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 s="21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f t="shared" si="3"/>
        <v>0</v>
      </c>
      <c r="AP66" t="s">
        <v>41</v>
      </c>
    </row>
    <row r="67" spans="1:42">
      <c r="A67" s="1">
        <v>43790</v>
      </c>
      <c r="B67">
        <v>4</v>
      </c>
      <c r="C67">
        <v>310</v>
      </c>
      <c r="D67"/>
      <c r="E67" t="s">
        <v>37</v>
      </c>
      <c r="F67" t="s">
        <v>38</v>
      </c>
      <c r="G67">
        <v>1</v>
      </c>
      <c r="H67">
        <v>67</v>
      </c>
      <c r="I67" s="25">
        <v>75</v>
      </c>
      <c r="K67" t="s">
        <v>60</v>
      </c>
      <c r="N67" t="s">
        <v>40</v>
      </c>
      <c r="O67">
        <v>47</v>
      </c>
      <c r="Q67">
        <f t="shared" si="2"/>
        <v>2</v>
      </c>
      <c r="R67">
        <v>1</v>
      </c>
      <c r="S67">
        <v>0</v>
      </c>
      <c r="T67">
        <v>0</v>
      </c>
      <c r="U67">
        <v>0</v>
      </c>
      <c r="V67">
        <v>2</v>
      </c>
      <c r="W67">
        <v>0</v>
      </c>
      <c r="X67" s="21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f t="shared" si="3"/>
        <v>128</v>
      </c>
      <c r="AP67" t="s">
        <v>41</v>
      </c>
    </row>
    <row r="68" spans="1:42">
      <c r="A68" s="1">
        <v>43790</v>
      </c>
      <c r="B68">
        <v>4</v>
      </c>
      <c r="C68">
        <v>310</v>
      </c>
      <c r="D68"/>
      <c r="E68" t="s">
        <v>37</v>
      </c>
      <c r="F68" t="s">
        <v>38</v>
      </c>
      <c r="G68">
        <v>1</v>
      </c>
      <c r="H68">
        <v>68</v>
      </c>
      <c r="I68" s="25">
        <v>77</v>
      </c>
      <c r="K68" t="s">
        <v>60</v>
      </c>
      <c r="N68" t="s">
        <v>40</v>
      </c>
      <c r="O68">
        <v>47</v>
      </c>
      <c r="Q68">
        <f t="shared" si="2"/>
        <v>2</v>
      </c>
      <c r="R68">
        <v>1</v>
      </c>
      <c r="S68">
        <v>0</v>
      </c>
      <c r="T68">
        <v>0</v>
      </c>
      <c r="U68">
        <v>2</v>
      </c>
      <c r="V68">
        <v>0</v>
      </c>
      <c r="W68">
        <v>0</v>
      </c>
      <c r="X68" s="21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f t="shared" si="3"/>
        <v>64</v>
      </c>
      <c r="AP68" t="s">
        <v>41</v>
      </c>
    </row>
    <row r="69" spans="1:42">
      <c r="A69" s="1">
        <v>43790</v>
      </c>
      <c r="B69">
        <v>4</v>
      </c>
      <c r="C69">
        <v>310</v>
      </c>
      <c r="D69"/>
      <c r="E69" t="s">
        <v>37</v>
      </c>
      <c r="F69" t="s">
        <v>38</v>
      </c>
      <c r="G69">
        <v>1</v>
      </c>
      <c r="H69">
        <v>69</v>
      </c>
      <c r="I69" s="25">
        <v>98</v>
      </c>
      <c r="K69" t="s">
        <v>60</v>
      </c>
      <c r="N69" t="s">
        <v>40</v>
      </c>
      <c r="O69">
        <v>47</v>
      </c>
      <c r="Q69">
        <f t="shared" si="2"/>
        <v>0</v>
      </c>
      <c r="R69">
        <v>1</v>
      </c>
      <c r="S69">
        <v>0</v>
      </c>
      <c r="T69">
        <v>0</v>
      </c>
      <c r="U69">
        <v>0</v>
      </c>
      <c r="V69">
        <v>0</v>
      </c>
      <c r="W69">
        <v>0</v>
      </c>
      <c r="X69" s="21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f t="shared" si="3"/>
        <v>0</v>
      </c>
      <c r="AP69" t="s">
        <v>41</v>
      </c>
    </row>
    <row r="70" spans="1:42">
      <c r="A70" s="1">
        <v>43790</v>
      </c>
      <c r="B70">
        <v>4</v>
      </c>
      <c r="C70">
        <v>310</v>
      </c>
      <c r="D70"/>
      <c r="E70" t="s">
        <v>37</v>
      </c>
      <c r="F70" t="s">
        <v>38</v>
      </c>
      <c r="G70">
        <v>1</v>
      </c>
      <c r="H70">
        <v>70</v>
      </c>
      <c r="I70" s="25">
        <v>191</v>
      </c>
      <c r="K70" t="s">
        <v>69</v>
      </c>
      <c r="N70" t="s">
        <v>40</v>
      </c>
      <c r="O70">
        <v>47</v>
      </c>
      <c r="Q70">
        <f t="shared" si="2"/>
        <v>2</v>
      </c>
      <c r="R70">
        <v>1</v>
      </c>
      <c r="S70">
        <v>0</v>
      </c>
      <c r="T70">
        <v>0</v>
      </c>
      <c r="U70">
        <v>0</v>
      </c>
      <c r="V70">
        <v>2</v>
      </c>
      <c r="W70">
        <v>0</v>
      </c>
      <c r="X70" s="21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f t="shared" si="3"/>
        <v>128</v>
      </c>
      <c r="AP70" t="s">
        <v>41</v>
      </c>
    </row>
    <row r="71" spans="1:42">
      <c r="A71" s="1">
        <v>43790</v>
      </c>
      <c r="B71">
        <v>4</v>
      </c>
      <c r="C71">
        <v>310</v>
      </c>
      <c r="D71"/>
      <c r="E71" t="s">
        <v>37</v>
      </c>
      <c r="F71" t="s">
        <v>38</v>
      </c>
      <c r="G71">
        <v>1</v>
      </c>
      <c r="H71">
        <v>71</v>
      </c>
      <c r="I71" s="25">
        <v>22</v>
      </c>
      <c r="K71" t="s">
        <v>60</v>
      </c>
      <c r="N71" t="s">
        <v>40</v>
      </c>
      <c r="O71">
        <v>70</v>
      </c>
      <c r="Q71">
        <f t="shared" si="2"/>
        <v>3</v>
      </c>
      <c r="R71">
        <v>1</v>
      </c>
      <c r="S71">
        <v>0</v>
      </c>
      <c r="T71">
        <v>0</v>
      </c>
      <c r="U71">
        <v>0</v>
      </c>
      <c r="V71">
        <v>3</v>
      </c>
      <c r="W71">
        <v>0</v>
      </c>
      <c r="X71" s="2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f t="shared" si="3"/>
        <v>192</v>
      </c>
      <c r="AP71" t="s">
        <v>41</v>
      </c>
    </row>
    <row r="72" spans="1:42">
      <c r="A72" s="1">
        <v>43790</v>
      </c>
      <c r="B72">
        <v>4</v>
      </c>
      <c r="C72">
        <v>310</v>
      </c>
      <c r="D72"/>
      <c r="E72" t="s">
        <v>37</v>
      </c>
      <c r="F72" t="s">
        <v>38</v>
      </c>
      <c r="G72">
        <v>1</v>
      </c>
      <c r="H72">
        <v>72</v>
      </c>
      <c r="I72" s="25">
        <v>120</v>
      </c>
      <c r="K72" t="s">
        <v>69</v>
      </c>
      <c r="N72" t="s">
        <v>40</v>
      </c>
      <c r="O72">
        <v>32</v>
      </c>
      <c r="Q72">
        <f t="shared" si="2"/>
        <v>1</v>
      </c>
      <c r="R72">
        <v>1</v>
      </c>
      <c r="S72">
        <v>0</v>
      </c>
      <c r="T72">
        <v>0</v>
      </c>
      <c r="U72">
        <v>0</v>
      </c>
      <c r="V72">
        <v>1</v>
      </c>
      <c r="W72">
        <v>0</v>
      </c>
      <c r="X72" s="21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f t="shared" si="3"/>
        <v>64</v>
      </c>
      <c r="AP72" t="s">
        <v>41</v>
      </c>
    </row>
    <row r="73" spans="1:42">
      <c r="A73" s="1">
        <v>43790</v>
      </c>
      <c r="B73">
        <v>4</v>
      </c>
      <c r="C73">
        <v>310</v>
      </c>
      <c r="D73"/>
      <c r="E73" t="s">
        <v>37</v>
      </c>
      <c r="F73" t="s">
        <v>38</v>
      </c>
      <c r="G73">
        <v>1</v>
      </c>
      <c r="H73">
        <v>73</v>
      </c>
      <c r="I73" s="25">
        <v>235</v>
      </c>
      <c r="K73" t="s">
        <v>69</v>
      </c>
      <c r="N73" t="s">
        <v>40</v>
      </c>
      <c r="O73">
        <v>70</v>
      </c>
      <c r="Q73">
        <f t="shared" si="2"/>
        <v>4</v>
      </c>
      <c r="R73">
        <v>1</v>
      </c>
      <c r="S73">
        <v>0</v>
      </c>
      <c r="T73">
        <v>0</v>
      </c>
      <c r="U73">
        <v>0</v>
      </c>
      <c r="V73">
        <v>4</v>
      </c>
      <c r="W73">
        <v>0</v>
      </c>
      <c r="X73" s="21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f t="shared" si="3"/>
        <v>256</v>
      </c>
      <c r="AP73" t="s">
        <v>41</v>
      </c>
    </row>
    <row r="74" spans="1:42">
      <c r="A74" s="1">
        <v>43790</v>
      </c>
      <c r="B74">
        <v>4</v>
      </c>
      <c r="C74">
        <v>310</v>
      </c>
      <c r="D74"/>
      <c r="E74" t="s">
        <v>37</v>
      </c>
      <c r="F74" t="s">
        <v>38</v>
      </c>
      <c r="G74">
        <v>1</v>
      </c>
      <c r="H74">
        <v>74</v>
      </c>
      <c r="I74" s="25">
        <v>155</v>
      </c>
      <c r="K74" t="s">
        <v>58</v>
      </c>
      <c r="N74" t="s">
        <v>40</v>
      </c>
      <c r="O74">
        <v>45</v>
      </c>
      <c r="Q74">
        <f t="shared" si="2"/>
        <v>2</v>
      </c>
      <c r="R74">
        <v>1</v>
      </c>
      <c r="S74">
        <v>0</v>
      </c>
      <c r="T74">
        <v>0</v>
      </c>
      <c r="U74">
        <v>0</v>
      </c>
      <c r="V74">
        <v>2</v>
      </c>
      <c r="W74">
        <v>0</v>
      </c>
      <c r="X74" s="21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f t="shared" si="3"/>
        <v>128</v>
      </c>
      <c r="AP74" t="s">
        <v>41</v>
      </c>
    </row>
    <row r="75" spans="1:42">
      <c r="A75" s="1">
        <v>43790</v>
      </c>
      <c r="B75">
        <v>4</v>
      </c>
      <c r="C75">
        <v>310</v>
      </c>
      <c r="D75"/>
      <c r="E75" t="s">
        <v>37</v>
      </c>
      <c r="F75" t="s">
        <v>38</v>
      </c>
      <c r="G75">
        <v>1</v>
      </c>
      <c r="H75">
        <v>75</v>
      </c>
      <c r="I75" s="25">
        <v>114</v>
      </c>
      <c r="K75" t="s">
        <v>58</v>
      </c>
      <c r="N75" t="s">
        <v>40</v>
      </c>
      <c r="O75">
        <v>45</v>
      </c>
      <c r="Q75">
        <f t="shared" si="2"/>
        <v>1</v>
      </c>
      <c r="R75">
        <v>1</v>
      </c>
      <c r="S75">
        <v>0</v>
      </c>
      <c r="T75">
        <v>0</v>
      </c>
      <c r="U75">
        <v>0</v>
      </c>
      <c r="V75">
        <v>1</v>
      </c>
      <c r="W75">
        <v>0</v>
      </c>
      <c r="X75" s="21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f t="shared" si="3"/>
        <v>64</v>
      </c>
      <c r="AP75" t="s">
        <v>41</v>
      </c>
    </row>
    <row r="76" spans="1:42">
      <c r="A76" s="1">
        <v>43790</v>
      </c>
      <c r="B76">
        <v>4</v>
      </c>
      <c r="C76">
        <v>310</v>
      </c>
      <c r="D76"/>
      <c r="E76" t="s">
        <v>37</v>
      </c>
      <c r="F76" t="s">
        <v>38</v>
      </c>
      <c r="G76">
        <v>1</v>
      </c>
      <c r="H76">
        <v>76</v>
      </c>
      <c r="I76" s="25">
        <v>115</v>
      </c>
      <c r="K76" t="s">
        <v>58</v>
      </c>
      <c r="N76" t="s">
        <v>40</v>
      </c>
      <c r="O76">
        <v>66</v>
      </c>
      <c r="Q76">
        <f t="shared" ref="Q76:Q139" si="4">SUM(S76:AE76)</f>
        <v>3</v>
      </c>
      <c r="R76">
        <v>1</v>
      </c>
      <c r="S76">
        <v>0</v>
      </c>
      <c r="T76">
        <v>0</v>
      </c>
      <c r="U76">
        <v>0</v>
      </c>
      <c r="V76">
        <v>3</v>
      </c>
      <c r="W76">
        <v>0</v>
      </c>
      <c r="X76" s="21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f t="shared" si="3"/>
        <v>192</v>
      </c>
      <c r="AP76" t="s">
        <v>41</v>
      </c>
    </row>
    <row r="77" spans="1:42">
      <c r="A77" s="1">
        <v>43790</v>
      </c>
      <c r="B77">
        <v>4</v>
      </c>
      <c r="C77">
        <v>310</v>
      </c>
      <c r="D77"/>
      <c r="E77" t="s">
        <v>37</v>
      </c>
      <c r="F77" t="s">
        <v>38</v>
      </c>
      <c r="G77">
        <v>1</v>
      </c>
      <c r="H77">
        <v>77</v>
      </c>
      <c r="I77" s="25">
        <v>114</v>
      </c>
      <c r="K77" t="s">
        <v>70</v>
      </c>
      <c r="N77" t="s">
        <v>40</v>
      </c>
      <c r="O77">
        <v>84</v>
      </c>
      <c r="Q77">
        <f t="shared" si="4"/>
        <v>1</v>
      </c>
      <c r="R77">
        <v>1</v>
      </c>
      <c r="S77">
        <v>0</v>
      </c>
      <c r="T77">
        <v>0</v>
      </c>
      <c r="U77">
        <v>1</v>
      </c>
      <c r="V77">
        <v>0</v>
      </c>
      <c r="W77">
        <v>0</v>
      </c>
      <c r="X77" s="21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f t="shared" si="3"/>
        <v>32</v>
      </c>
      <c r="AP77" t="s">
        <v>41</v>
      </c>
    </row>
    <row r="78" spans="1:42">
      <c r="A78" s="1">
        <v>43790</v>
      </c>
      <c r="B78">
        <v>4</v>
      </c>
      <c r="C78">
        <v>310</v>
      </c>
      <c r="D78"/>
      <c r="E78" t="s">
        <v>37</v>
      </c>
      <c r="F78" t="s">
        <v>38</v>
      </c>
      <c r="G78">
        <v>1</v>
      </c>
      <c r="H78">
        <v>78</v>
      </c>
      <c r="I78" s="25">
        <v>132</v>
      </c>
      <c r="K78" t="s">
        <v>46</v>
      </c>
      <c r="N78" t="s">
        <v>40</v>
      </c>
      <c r="O78">
        <v>84</v>
      </c>
      <c r="Q78">
        <f t="shared" si="4"/>
        <v>6</v>
      </c>
      <c r="R78">
        <v>1</v>
      </c>
      <c r="S78">
        <v>0</v>
      </c>
      <c r="T78">
        <v>0</v>
      </c>
      <c r="U78">
        <v>0</v>
      </c>
      <c r="V78">
        <v>6</v>
      </c>
      <c r="W78">
        <v>0</v>
      </c>
      <c r="X78" s="21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f t="shared" si="3"/>
        <v>384</v>
      </c>
      <c r="AP78" t="s">
        <v>41</v>
      </c>
    </row>
    <row r="79" spans="1:42">
      <c r="A79" s="1">
        <v>43790</v>
      </c>
      <c r="B79">
        <v>4</v>
      </c>
      <c r="C79">
        <v>310</v>
      </c>
      <c r="D79"/>
      <c r="E79" t="s">
        <v>37</v>
      </c>
      <c r="F79" t="s">
        <v>38</v>
      </c>
      <c r="G79">
        <v>1</v>
      </c>
      <c r="H79">
        <v>79</v>
      </c>
      <c r="I79" s="25">
        <v>118</v>
      </c>
      <c r="K79" t="s">
        <v>71</v>
      </c>
      <c r="N79" t="s">
        <v>40</v>
      </c>
      <c r="O79">
        <v>40</v>
      </c>
      <c r="Q79">
        <f t="shared" si="4"/>
        <v>1</v>
      </c>
      <c r="R79">
        <v>1</v>
      </c>
      <c r="S79">
        <v>0</v>
      </c>
      <c r="T79">
        <v>0</v>
      </c>
      <c r="U79">
        <v>0</v>
      </c>
      <c r="V79">
        <v>1</v>
      </c>
      <c r="W79">
        <v>0</v>
      </c>
      <c r="X79" s="21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f t="shared" si="3"/>
        <v>64</v>
      </c>
      <c r="AP79" t="s">
        <v>41</v>
      </c>
    </row>
    <row r="80" spans="1:42">
      <c r="A80" s="1">
        <v>43790</v>
      </c>
      <c r="B80">
        <v>4</v>
      </c>
      <c r="C80">
        <v>310</v>
      </c>
      <c r="D80"/>
      <c r="E80" t="s">
        <v>37</v>
      </c>
      <c r="F80" t="s">
        <v>38</v>
      </c>
      <c r="G80">
        <v>1</v>
      </c>
      <c r="H80">
        <v>80</v>
      </c>
      <c r="I80" s="25">
        <v>70</v>
      </c>
      <c r="K80" t="s">
        <v>72</v>
      </c>
      <c r="N80" t="s">
        <v>40</v>
      </c>
      <c r="O80">
        <v>45</v>
      </c>
      <c r="Q80">
        <f t="shared" si="4"/>
        <v>1</v>
      </c>
      <c r="R80">
        <v>1</v>
      </c>
      <c r="S80">
        <v>0</v>
      </c>
      <c r="T80">
        <v>0</v>
      </c>
      <c r="U80">
        <v>0</v>
      </c>
      <c r="V80">
        <v>1</v>
      </c>
      <c r="W80">
        <v>0</v>
      </c>
      <c r="X80" s="21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f t="shared" si="3"/>
        <v>64</v>
      </c>
      <c r="AP80" t="s">
        <v>41</v>
      </c>
    </row>
    <row r="81" spans="1:42">
      <c r="A81" s="1">
        <v>43790</v>
      </c>
      <c r="B81">
        <v>4</v>
      </c>
      <c r="C81">
        <v>310</v>
      </c>
      <c r="D81"/>
      <c r="E81" t="s">
        <v>37</v>
      </c>
      <c r="F81" t="s">
        <v>38</v>
      </c>
      <c r="G81">
        <v>1</v>
      </c>
      <c r="H81">
        <v>81</v>
      </c>
      <c r="I81" s="25">
        <v>351</v>
      </c>
      <c r="K81" t="s">
        <v>56</v>
      </c>
      <c r="N81" t="s">
        <v>40</v>
      </c>
      <c r="O81">
        <v>59</v>
      </c>
      <c r="Q81">
        <f t="shared" si="4"/>
        <v>1</v>
      </c>
      <c r="R81">
        <v>1</v>
      </c>
      <c r="S81">
        <v>0</v>
      </c>
      <c r="T81">
        <v>0</v>
      </c>
      <c r="U81">
        <v>0</v>
      </c>
      <c r="V81">
        <v>1</v>
      </c>
      <c r="W81">
        <v>0</v>
      </c>
      <c r="X81" s="2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f t="shared" si="3"/>
        <v>64</v>
      </c>
      <c r="AP81" t="s">
        <v>41</v>
      </c>
    </row>
    <row r="82" spans="1:42">
      <c r="A82" s="1">
        <v>43790</v>
      </c>
      <c r="B82">
        <v>4</v>
      </c>
      <c r="C82">
        <v>310</v>
      </c>
      <c r="D82"/>
      <c r="E82" t="s">
        <v>37</v>
      </c>
      <c r="F82" t="s">
        <v>38</v>
      </c>
      <c r="G82">
        <v>1</v>
      </c>
      <c r="H82">
        <v>82</v>
      </c>
      <c r="I82" s="25">
        <v>240</v>
      </c>
      <c r="K82" t="s">
        <v>56</v>
      </c>
      <c r="N82" t="s">
        <v>40</v>
      </c>
      <c r="O82">
        <v>150</v>
      </c>
      <c r="Q82">
        <f t="shared" si="4"/>
        <v>2</v>
      </c>
      <c r="R82">
        <v>1</v>
      </c>
      <c r="S82">
        <v>0</v>
      </c>
      <c r="T82">
        <v>0</v>
      </c>
      <c r="U82">
        <v>0</v>
      </c>
      <c r="V82">
        <v>2</v>
      </c>
      <c r="W82">
        <v>0</v>
      </c>
      <c r="X82" s="21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f t="shared" si="3"/>
        <v>128</v>
      </c>
      <c r="AP82" t="s">
        <v>41</v>
      </c>
    </row>
    <row r="83" spans="1:42">
      <c r="A83" s="1">
        <v>43790</v>
      </c>
      <c r="B83">
        <v>4</v>
      </c>
      <c r="C83">
        <v>310</v>
      </c>
      <c r="D83"/>
      <c r="E83" t="s">
        <v>37</v>
      </c>
      <c r="F83" t="s">
        <v>38</v>
      </c>
      <c r="G83">
        <v>1</v>
      </c>
      <c r="H83">
        <v>83</v>
      </c>
      <c r="I83" s="25">
        <v>456</v>
      </c>
      <c r="K83" t="s">
        <v>71</v>
      </c>
      <c r="N83" t="s">
        <v>40</v>
      </c>
      <c r="O83">
        <v>37</v>
      </c>
      <c r="Q83">
        <f t="shared" si="4"/>
        <v>2</v>
      </c>
      <c r="R83">
        <v>1</v>
      </c>
      <c r="S83">
        <v>0</v>
      </c>
      <c r="T83">
        <v>0</v>
      </c>
      <c r="U83">
        <v>0</v>
      </c>
      <c r="V83">
        <v>2</v>
      </c>
      <c r="W83">
        <v>0</v>
      </c>
      <c r="X83" s="21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f t="shared" si="3"/>
        <v>128</v>
      </c>
      <c r="AP83" t="s">
        <v>41</v>
      </c>
    </row>
    <row r="84" spans="1:42">
      <c r="A84" s="1">
        <v>43790</v>
      </c>
      <c r="B84">
        <v>4</v>
      </c>
      <c r="C84">
        <v>310</v>
      </c>
      <c r="D84"/>
      <c r="E84" t="s">
        <v>37</v>
      </c>
      <c r="F84" t="s">
        <v>38</v>
      </c>
      <c r="G84">
        <v>1</v>
      </c>
      <c r="H84">
        <v>84</v>
      </c>
      <c r="I84" s="25">
        <v>417</v>
      </c>
      <c r="K84" t="s">
        <v>71</v>
      </c>
      <c r="N84" t="s">
        <v>40</v>
      </c>
      <c r="O84">
        <v>133</v>
      </c>
      <c r="Q84">
        <f t="shared" si="4"/>
        <v>3</v>
      </c>
      <c r="R84">
        <v>1</v>
      </c>
      <c r="S84">
        <v>0</v>
      </c>
      <c r="T84">
        <v>0</v>
      </c>
      <c r="U84">
        <v>0</v>
      </c>
      <c r="V84">
        <v>3</v>
      </c>
      <c r="W84">
        <v>0</v>
      </c>
      <c r="X84" s="21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f t="shared" si="3"/>
        <v>192</v>
      </c>
      <c r="AP84" t="s">
        <v>41</v>
      </c>
    </row>
    <row r="85" spans="1:42">
      <c r="A85" s="1">
        <v>43790</v>
      </c>
      <c r="B85">
        <v>4</v>
      </c>
      <c r="C85">
        <v>310</v>
      </c>
      <c r="D85"/>
      <c r="E85" t="s">
        <v>37</v>
      </c>
      <c r="F85" t="s">
        <v>38</v>
      </c>
      <c r="G85">
        <v>1</v>
      </c>
      <c r="H85">
        <v>85</v>
      </c>
      <c r="I85" s="25">
        <v>500</v>
      </c>
      <c r="K85" t="s">
        <v>56</v>
      </c>
      <c r="N85" t="s">
        <v>40</v>
      </c>
      <c r="O85">
        <v>133</v>
      </c>
      <c r="Q85">
        <f t="shared" si="4"/>
        <v>6</v>
      </c>
      <c r="R85">
        <v>1</v>
      </c>
      <c r="S85">
        <v>0</v>
      </c>
      <c r="T85">
        <v>0</v>
      </c>
      <c r="U85">
        <v>0</v>
      </c>
      <c r="V85">
        <v>6</v>
      </c>
      <c r="W85">
        <v>0</v>
      </c>
      <c r="X85" s="21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f t="shared" si="3"/>
        <v>384</v>
      </c>
      <c r="AP85" t="s">
        <v>41</v>
      </c>
    </row>
    <row r="86" spans="1:42">
      <c r="A86" s="1">
        <v>43790</v>
      </c>
      <c r="B86">
        <v>4</v>
      </c>
      <c r="C86">
        <v>310</v>
      </c>
      <c r="D86"/>
      <c r="E86" t="s">
        <v>37</v>
      </c>
      <c r="F86" t="s">
        <v>38</v>
      </c>
      <c r="G86">
        <v>1</v>
      </c>
      <c r="H86">
        <v>86</v>
      </c>
      <c r="I86" s="25">
        <v>300</v>
      </c>
      <c r="K86" t="s">
        <v>71</v>
      </c>
      <c r="N86" t="s">
        <v>40</v>
      </c>
      <c r="O86">
        <v>36</v>
      </c>
      <c r="Q86">
        <f t="shared" si="4"/>
        <v>2</v>
      </c>
      <c r="R86">
        <v>1</v>
      </c>
      <c r="S86">
        <v>0</v>
      </c>
      <c r="T86">
        <v>0</v>
      </c>
      <c r="U86">
        <v>0</v>
      </c>
      <c r="V86">
        <v>2</v>
      </c>
      <c r="W86">
        <v>0</v>
      </c>
      <c r="X86" s="21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f t="shared" si="3"/>
        <v>128</v>
      </c>
      <c r="AP86" t="s">
        <v>41</v>
      </c>
    </row>
    <row r="87" spans="1:42">
      <c r="A87" s="1">
        <v>43790</v>
      </c>
      <c r="B87">
        <v>4</v>
      </c>
      <c r="C87">
        <v>310</v>
      </c>
      <c r="D87"/>
      <c r="E87" t="s">
        <v>37</v>
      </c>
      <c r="F87" t="s">
        <v>38</v>
      </c>
      <c r="G87">
        <v>1</v>
      </c>
      <c r="H87">
        <v>87</v>
      </c>
      <c r="I87" s="25">
        <v>315</v>
      </c>
      <c r="K87" t="s">
        <v>71</v>
      </c>
      <c r="N87" t="s">
        <v>40</v>
      </c>
      <c r="O87">
        <v>146</v>
      </c>
      <c r="Q87">
        <f t="shared" si="4"/>
        <v>4</v>
      </c>
      <c r="R87">
        <v>1</v>
      </c>
      <c r="S87">
        <v>0</v>
      </c>
      <c r="T87">
        <v>0</v>
      </c>
      <c r="U87">
        <v>0</v>
      </c>
      <c r="V87">
        <v>4</v>
      </c>
      <c r="W87">
        <v>0</v>
      </c>
      <c r="X87" s="21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f t="shared" si="3"/>
        <v>256</v>
      </c>
      <c r="AP87" t="s">
        <v>41</v>
      </c>
    </row>
    <row r="88" spans="1:42">
      <c r="A88" s="1">
        <v>43790</v>
      </c>
      <c r="B88">
        <v>4</v>
      </c>
      <c r="C88">
        <v>310</v>
      </c>
      <c r="D88"/>
      <c r="E88" t="s">
        <v>37</v>
      </c>
      <c r="F88" t="s">
        <v>38</v>
      </c>
      <c r="G88">
        <v>1</v>
      </c>
      <c r="H88">
        <v>88</v>
      </c>
      <c r="I88" s="25">
        <v>155</v>
      </c>
      <c r="K88" t="s">
        <v>71</v>
      </c>
      <c r="N88" t="s">
        <v>40</v>
      </c>
      <c r="O88">
        <v>81</v>
      </c>
      <c r="Q88">
        <f t="shared" si="4"/>
        <v>3</v>
      </c>
      <c r="R88">
        <v>1</v>
      </c>
      <c r="S88">
        <v>0</v>
      </c>
      <c r="T88">
        <v>0</v>
      </c>
      <c r="U88">
        <v>0</v>
      </c>
      <c r="V88">
        <v>3</v>
      </c>
      <c r="W88">
        <v>0</v>
      </c>
      <c r="X88" s="21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f t="shared" si="3"/>
        <v>192</v>
      </c>
      <c r="AP88" t="s">
        <v>41</v>
      </c>
    </row>
    <row r="89" spans="1:42">
      <c r="A89" s="1">
        <v>43790</v>
      </c>
      <c r="B89">
        <v>4</v>
      </c>
      <c r="C89">
        <v>310</v>
      </c>
      <c r="D89"/>
      <c r="E89" t="s">
        <v>37</v>
      </c>
      <c r="F89" t="s">
        <v>38</v>
      </c>
      <c r="G89">
        <v>1</v>
      </c>
      <c r="H89">
        <v>89</v>
      </c>
      <c r="I89" s="25">
        <v>101</v>
      </c>
      <c r="K89" t="s">
        <v>71</v>
      </c>
      <c r="N89" t="s">
        <v>40</v>
      </c>
      <c r="O89">
        <v>200</v>
      </c>
      <c r="Q89">
        <f t="shared" si="4"/>
        <v>2</v>
      </c>
      <c r="R89">
        <v>1</v>
      </c>
      <c r="S89">
        <v>0</v>
      </c>
      <c r="T89">
        <v>0</v>
      </c>
      <c r="U89">
        <v>0</v>
      </c>
      <c r="V89">
        <v>2</v>
      </c>
      <c r="W89">
        <v>0</v>
      </c>
      <c r="X89" s="21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f t="shared" si="3"/>
        <v>128</v>
      </c>
      <c r="AP89" t="s">
        <v>41</v>
      </c>
    </row>
    <row r="90" spans="1:42">
      <c r="A90" s="1">
        <v>43790</v>
      </c>
      <c r="B90">
        <v>4</v>
      </c>
      <c r="C90">
        <v>310</v>
      </c>
      <c r="D90"/>
      <c r="E90" t="s">
        <v>37</v>
      </c>
      <c r="F90" t="s">
        <v>38</v>
      </c>
      <c r="G90">
        <v>1</v>
      </c>
      <c r="H90">
        <v>90</v>
      </c>
      <c r="I90" s="25">
        <v>44</v>
      </c>
      <c r="K90" t="s">
        <v>71</v>
      </c>
      <c r="N90" t="s">
        <v>40</v>
      </c>
      <c r="O90">
        <v>38</v>
      </c>
      <c r="Q90">
        <f t="shared" si="4"/>
        <v>1</v>
      </c>
      <c r="R90">
        <v>1</v>
      </c>
      <c r="S90">
        <v>0</v>
      </c>
      <c r="T90">
        <v>0</v>
      </c>
      <c r="U90">
        <v>0</v>
      </c>
      <c r="V90">
        <v>1</v>
      </c>
      <c r="W90">
        <v>0</v>
      </c>
      <c r="X90" s="21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f t="shared" si="3"/>
        <v>64</v>
      </c>
      <c r="AP90" t="s">
        <v>41</v>
      </c>
    </row>
    <row r="91" spans="1:42">
      <c r="A91" s="1">
        <v>43790</v>
      </c>
      <c r="B91">
        <v>4</v>
      </c>
      <c r="C91">
        <v>310</v>
      </c>
      <c r="D91"/>
      <c r="E91" t="s">
        <v>37</v>
      </c>
      <c r="F91" t="s">
        <v>38</v>
      </c>
      <c r="G91">
        <v>1</v>
      </c>
      <c r="H91">
        <v>91</v>
      </c>
      <c r="I91" s="25">
        <v>2</v>
      </c>
      <c r="K91" t="s">
        <v>71</v>
      </c>
      <c r="N91" t="s">
        <v>40</v>
      </c>
      <c r="O91">
        <v>45</v>
      </c>
      <c r="Q91">
        <f t="shared" si="4"/>
        <v>1</v>
      </c>
      <c r="R91">
        <v>1</v>
      </c>
      <c r="S91">
        <v>0</v>
      </c>
      <c r="T91">
        <v>0</v>
      </c>
      <c r="U91">
        <v>0</v>
      </c>
      <c r="V91">
        <v>1</v>
      </c>
      <c r="W91">
        <v>0</v>
      </c>
      <c r="X91" s="2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f t="shared" si="3"/>
        <v>64</v>
      </c>
      <c r="AP91" t="s">
        <v>41</v>
      </c>
    </row>
    <row r="92" spans="1:42">
      <c r="A92" s="1">
        <v>43790</v>
      </c>
      <c r="B92">
        <v>4</v>
      </c>
      <c r="C92">
        <v>310</v>
      </c>
      <c r="D92"/>
      <c r="E92" t="s">
        <v>37</v>
      </c>
      <c r="F92" t="s">
        <v>38</v>
      </c>
      <c r="G92">
        <v>1</v>
      </c>
      <c r="H92">
        <v>92</v>
      </c>
      <c r="I92" s="25">
        <v>500</v>
      </c>
      <c r="K92" t="s">
        <v>73</v>
      </c>
      <c r="N92" t="s">
        <v>40</v>
      </c>
      <c r="P92">
        <v>122</v>
      </c>
      <c r="Q92">
        <f t="shared" si="4"/>
        <v>3</v>
      </c>
      <c r="R92">
        <v>3</v>
      </c>
      <c r="S92">
        <v>0</v>
      </c>
      <c r="T92">
        <v>0</v>
      </c>
      <c r="U92">
        <v>1</v>
      </c>
      <c r="V92">
        <v>2</v>
      </c>
      <c r="W92">
        <v>0</v>
      </c>
      <c r="X92" s="21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f t="shared" si="3"/>
        <v>160</v>
      </c>
      <c r="AP92" t="s">
        <v>41</v>
      </c>
    </row>
    <row r="93" spans="1:42">
      <c r="A93" s="1">
        <v>43790</v>
      </c>
      <c r="B93">
        <v>4</v>
      </c>
      <c r="C93">
        <v>310</v>
      </c>
      <c r="D93"/>
      <c r="E93" t="s">
        <v>37</v>
      </c>
      <c r="F93" t="s">
        <v>38</v>
      </c>
      <c r="G93">
        <v>1</v>
      </c>
      <c r="H93">
        <v>93</v>
      </c>
      <c r="I93" s="25">
        <v>43</v>
      </c>
      <c r="K93" t="s">
        <v>49</v>
      </c>
      <c r="N93" t="s">
        <v>40</v>
      </c>
      <c r="O93">
        <v>54</v>
      </c>
      <c r="Q93">
        <f t="shared" si="4"/>
        <v>1</v>
      </c>
      <c r="R93">
        <v>1</v>
      </c>
      <c r="S93">
        <v>0</v>
      </c>
      <c r="T93">
        <v>0</v>
      </c>
      <c r="U93">
        <v>0</v>
      </c>
      <c r="V93">
        <v>1</v>
      </c>
      <c r="W93">
        <v>0</v>
      </c>
      <c r="X93" s="21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f t="shared" si="3"/>
        <v>64</v>
      </c>
      <c r="AP93" t="s">
        <v>41</v>
      </c>
    </row>
    <row r="94" spans="1:42">
      <c r="A94" s="1">
        <v>43790</v>
      </c>
      <c r="B94">
        <v>4</v>
      </c>
      <c r="C94">
        <v>310</v>
      </c>
      <c r="D94"/>
      <c r="E94" t="s">
        <v>37</v>
      </c>
      <c r="F94" t="s">
        <v>38</v>
      </c>
      <c r="G94">
        <v>1</v>
      </c>
      <c r="H94">
        <v>94</v>
      </c>
      <c r="I94" s="25">
        <v>44</v>
      </c>
      <c r="K94" t="s">
        <v>71</v>
      </c>
      <c r="N94" t="s">
        <v>40</v>
      </c>
      <c r="O94">
        <v>165</v>
      </c>
      <c r="Q94">
        <f t="shared" si="4"/>
        <v>7</v>
      </c>
      <c r="R94">
        <v>1</v>
      </c>
      <c r="S94">
        <v>0</v>
      </c>
      <c r="T94">
        <v>0</v>
      </c>
      <c r="U94">
        <v>0</v>
      </c>
      <c r="V94">
        <v>7</v>
      </c>
      <c r="W94">
        <v>0</v>
      </c>
      <c r="X94" s="21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f t="shared" si="3"/>
        <v>448</v>
      </c>
      <c r="AP94" t="s">
        <v>41</v>
      </c>
    </row>
    <row r="95" spans="1:42">
      <c r="A95" s="1">
        <v>43790</v>
      </c>
      <c r="B95">
        <v>4</v>
      </c>
      <c r="C95">
        <v>310</v>
      </c>
      <c r="D95"/>
      <c r="E95" t="s">
        <v>37</v>
      </c>
      <c r="F95" t="s">
        <v>38</v>
      </c>
      <c r="G95">
        <v>1</v>
      </c>
      <c r="H95">
        <v>95</v>
      </c>
      <c r="I95" s="25">
        <v>120</v>
      </c>
      <c r="K95" t="s">
        <v>71</v>
      </c>
      <c r="N95" t="s">
        <v>40</v>
      </c>
      <c r="O95">
        <v>165</v>
      </c>
      <c r="Q95">
        <f t="shared" si="4"/>
        <v>7</v>
      </c>
      <c r="R95">
        <v>1</v>
      </c>
      <c r="S95">
        <v>0</v>
      </c>
      <c r="T95">
        <v>0</v>
      </c>
      <c r="U95">
        <v>0</v>
      </c>
      <c r="V95">
        <v>7</v>
      </c>
      <c r="W95">
        <v>0</v>
      </c>
      <c r="X95" s="21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f t="shared" si="3"/>
        <v>448</v>
      </c>
      <c r="AP95" t="s">
        <v>41</v>
      </c>
    </row>
    <row r="96" spans="1:42">
      <c r="A96" s="1">
        <v>43790</v>
      </c>
      <c r="B96">
        <v>4</v>
      </c>
      <c r="C96">
        <v>310</v>
      </c>
      <c r="D96"/>
      <c r="E96" t="s">
        <v>37</v>
      </c>
      <c r="F96" t="s">
        <v>38</v>
      </c>
      <c r="G96">
        <v>1</v>
      </c>
      <c r="H96">
        <v>96</v>
      </c>
      <c r="I96" s="25">
        <v>1</v>
      </c>
      <c r="K96" t="s">
        <v>39</v>
      </c>
      <c r="N96" t="s">
        <v>40</v>
      </c>
      <c r="O96">
        <v>53</v>
      </c>
      <c r="Q96">
        <f t="shared" si="4"/>
        <v>2</v>
      </c>
      <c r="R96">
        <v>1</v>
      </c>
      <c r="S96">
        <v>0</v>
      </c>
      <c r="T96">
        <v>0</v>
      </c>
      <c r="U96">
        <v>0</v>
      </c>
      <c r="V96">
        <v>2</v>
      </c>
      <c r="W96">
        <v>0</v>
      </c>
      <c r="X96" s="21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f t="shared" si="3"/>
        <v>128</v>
      </c>
      <c r="AP96" t="s">
        <v>41</v>
      </c>
    </row>
    <row r="97" spans="1:42">
      <c r="A97" s="1">
        <v>43790</v>
      </c>
      <c r="B97">
        <v>4</v>
      </c>
      <c r="C97">
        <v>310</v>
      </c>
      <c r="D97"/>
      <c r="E97" t="s">
        <v>37</v>
      </c>
      <c r="F97" t="s">
        <v>38</v>
      </c>
      <c r="G97">
        <v>1</v>
      </c>
      <c r="H97">
        <v>97</v>
      </c>
      <c r="I97" s="25">
        <v>22</v>
      </c>
      <c r="K97" t="s">
        <v>74</v>
      </c>
      <c r="N97" t="s">
        <v>40</v>
      </c>
      <c r="O97">
        <v>53</v>
      </c>
      <c r="Q97">
        <f t="shared" si="4"/>
        <v>2</v>
      </c>
      <c r="R97">
        <v>1</v>
      </c>
      <c r="S97">
        <v>0</v>
      </c>
      <c r="T97">
        <v>0</v>
      </c>
      <c r="U97">
        <v>0</v>
      </c>
      <c r="V97">
        <v>2</v>
      </c>
      <c r="W97">
        <v>0</v>
      </c>
      <c r="X97" s="21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f t="shared" si="3"/>
        <v>128</v>
      </c>
      <c r="AP97" t="s">
        <v>41</v>
      </c>
    </row>
    <row r="98" spans="1:42">
      <c r="A98" s="1">
        <v>43790</v>
      </c>
      <c r="B98">
        <v>4</v>
      </c>
      <c r="C98">
        <v>310</v>
      </c>
      <c r="D98"/>
      <c r="E98" t="s">
        <v>37</v>
      </c>
      <c r="F98" t="s">
        <v>38</v>
      </c>
      <c r="G98">
        <v>1</v>
      </c>
      <c r="H98">
        <v>98</v>
      </c>
      <c r="I98" s="25">
        <v>47</v>
      </c>
      <c r="K98" t="s">
        <v>74</v>
      </c>
      <c r="N98" t="s">
        <v>40</v>
      </c>
      <c r="O98">
        <v>26</v>
      </c>
      <c r="Q98">
        <f t="shared" si="4"/>
        <v>2</v>
      </c>
      <c r="R98">
        <v>1</v>
      </c>
      <c r="S98">
        <v>0</v>
      </c>
      <c r="T98">
        <v>0</v>
      </c>
      <c r="U98">
        <v>0</v>
      </c>
      <c r="V98">
        <v>2</v>
      </c>
      <c r="W98">
        <v>0</v>
      </c>
      <c r="X98" s="21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f t="shared" si="3"/>
        <v>128</v>
      </c>
      <c r="AP98" t="s">
        <v>41</v>
      </c>
    </row>
    <row r="99" spans="1:42">
      <c r="A99" s="1">
        <v>43790</v>
      </c>
      <c r="B99">
        <v>4</v>
      </c>
      <c r="C99">
        <v>310</v>
      </c>
      <c r="D99"/>
      <c r="E99" t="s">
        <v>37</v>
      </c>
      <c r="F99" t="s">
        <v>38</v>
      </c>
      <c r="G99">
        <v>1</v>
      </c>
      <c r="H99">
        <v>99</v>
      </c>
      <c r="I99" s="25">
        <v>49</v>
      </c>
      <c r="K99" t="s">
        <v>74</v>
      </c>
      <c r="N99" t="s">
        <v>40</v>
      </c>
      <c r="O99">
        <v>26</v>
      </c>
      <c r="Q99">
        <f t="shared" si="4"/>
        <v>0</v>
      </c>
      <c r="R99">
        <v>1</v>
      </c>
      <c r="S99">
        <v>0</v>
      </c>
      <c r="T99">
        <v>0</v>
      </c>
      <c r="U99">
        <v>0</v>
      </c>
      <c r="V99">
        <v>0</v>
      </c>
      <c r="W99">
        <v>0</v>
      </c>
      <c r="X99" s="21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f t="shared" si="3"/>
        <v>0</v>
      </c>
      <c r="AP99" t="s">
        <v>41</v>
      </c>
    </row>
    <row r="100" spans="1:42">
      <c r="A100" s="1">
        <v>43790</v>
      </c>
      <c r="B100">
        <v>4</v>
      </c>
      <c r="C100">
        <v>310</v>
      </c>
      <c r="D100"/>
      <c r="E100" t="s">
        <v>37</v>
      </c>
      <c r="F100" t="s">
        <v>38</v>
      </c>
      <c r="G100">
        <v>1</v>
      </c>
      <c r="H100">
        <v>100</v>
      </c>
      <c r="I100" s="25">
        <v>55</v>
      </c>
      <c r="K100" t="s">
        <v>74</v>
      </c>
      <c r="N100" t="s">
        <v>40</v>
      </c>
      <c r="O100">
        <v>35</v>
      </c>
      <c r="Q100">
        <f t="shared" si="4"/>
        <v>1</v>
      </c>
      <c r="R100">
        <v>1</v>
      </c>
      <c r="S100">
        <v>0</v>
      </c>
      <c r="T100">
        <v>0</v>
      </c>
      <c r="U100">
        <v>0</v>
      </c>
      <c r="V100">
        <v>1</v>
      </c>
      <c r="W100">
        <v>0</v>
      </c>
      <c r="X100" s="21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f t="shared" si="3"/>
        <v>64</v>
      </c>
      <c r="AP100" t="s">
        <v>41</v>
      </c>
    </row>
    <row r="101" spans="1:42">
      <c r="A101" s="1">
        <v>43790</v>
      </c>
      <c r="B101">
        <v>4</v>
      </c>
      <c r="C101">
        <v>310</v>
      </c>
      <c r="D101"/>
      <c r="E101" t="s">
        <v>37</v>
      </c>
      <c r="F101" t="s">
        <v>38</v>
      </c>
      <c r="G101">
        <v>1</v>
      </c>
      <c r="H101">
        <v>101</v>
      </c>
      <c r="I101" s="25">
        <v>140</v>
      </c>
      <c r="K101" t="s">
        <v>74</v>
      </c>
      <c r="N101" t="s">
        <v>40</v>
      </c>
      <c r="O101">
        <v>45</v>
      </c>
      <c r="Q101">
        <f t="shared" si="4"/>
        <v>1</v>
      </c>
      <c r="R101">
        <v>1</v>
      </c>
      <c r="S101">
        <v>0</v>
      </c>
      <c r="T101">
        <v>0</v>
      </c>
      <c r="U101">
        <v>0</v>
      </c>
      <c r="V101">
        <v>1</v>
      </c>
      <c r="W101">
        <v>0</v>
      </c>
      <c r="X101" s="2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f t="shared" si="3"/>
        <v>64</v>
      </c>
      <c r="AP101" t="s">
        <v>41</v>
      </c>
    </row>
    <row r="102" spans="1:42">
      <c r="A102" s="1">
        <v>43790</v>
      </c>
      <c r="B102">
        <v>4</v>
      </c>
      <c r="C102">
        <v>310</v>
      </c>
      <c r="D102"/>
      <c r="E102" t="s">
        <v>37</v>
      </c>
      <c r="F102" t="s">
        <v>38</v>
      </c>
      <c r="G102">
        <v>1</v>
      </c>
      <c r="H102">
        <v>102</v>
      </c>
      <c r="I102" s="25">
        <v>570</v>
      </c>
      <c r="K102" t="s">
        <v>75</v>
      </c>
      <c r="N102" t="s">
        <v>40</v>
      </c>
      <c r="O102">
        <v>43</v>
      </c>
      <c r="Q102">
        <f t="shared" si="4"/>
        <v>1</v>
      </c>
      <c r="R102">
        <v>1</v>
      </c>
      <c r="S102">
        <v>0</v>
      </c>
      <c r="T102">
        <v>0</v>
      </c>
      <c r="U102">
        <v>0</v>
      </c>
      <c r="V102">
        <v>1</v>
      </c>
      <c r="W102">
        <v>0</v>
      </c>
      <c r="X102" s="21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f t="shared" si="3"/>
        <v>64</v>
      </c>
      <c r="AL102" t="s">
        <v>76</v>
      </c>
      <c r="AP102" t="s">
        <v>41</v>
      </c>
    </row>
    <row r="103" spans="1:42">
      <c r="A103" s="1">
        <v>43790</v>
      </c>
      <c r="B103">
        <v>4</v>
      </c>
      <c r="C103">
        <v>310</v>
      </c>
      <c r="D103"/>
      <c r="E103" t="s">
        <v>37</v>
      </c>
      <c r="F103" t="s">
        <v>38</v>
      </c>
      <c r="G103">
        <v>1</v>
      </c>
      <c r="H103">
        <v>103</v>
      </c>
      <c r="I103" s="25">
        <v>540</v>
      </c>
      <c r="K103" t="s">
        <v>75</v>
      </c>
      <c r="N103" t="s">
        <v>40</v>
      </c>
      <c r="O103">
        <v>43</v>
      </c>
      <c r="Q103">
        <f t="shared" si="4"/>
        <v>1</v>
      </c>
      <c r="R103">
        <v>1</v>
      </c>
      <c r="S103">
        <v>0</v>
      </c>
      <c r="T103">
        <v>0</v>
      </c>
      <c r="U103">
        <v>0</v>
      </c>
      <c r="V103">
        <v>1</v>
      </c>
      <c r="W103">
        <v>0</v>
      </c>
      <c r="X103" s="21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f t="shared" si="3"/>
        <v>64</v>
      </c>
      <c r="AL103" t="s">
        <v>76</v>
      </c>
      <c r="AP103" t="s">
        <v>41</v>
      </c>
    </row>
    <row r="104" spans="1:42">
      <c r="A104" s="1">
        <v>43790</v>
      </c>
      <c r="B104">
        <v>4</v>
      </c>
      <c r="C104">
        <v>310</v>
      </c>
      <c r="D104"/>
      <c r="E104" t="s">
        <v>37</v>
      </c>
      <c r="F104" t="s">
        <v>38</v>
      </c>
      <c r="G104">
        <v>1</v>
      </c>
      <c r="H104">
        <v>104</v>
      </c>
      <c r="I104" s="25">
        <v>245</v>
      </c>
      <c r="K104" t="s">
        <v>77</v>
      </c>
      <c r="N104" t="s">
        <v>40</v>
      </c>
      <c r="O104">
        <v>25</v>
      </c>
      <c r="Q104">
        <f t="shared" si="4"/>
        <v>1</v>
      </c>
      <c r="R104">
        <v>1</v>
      </c>
      <c r="S104">
        <v>0</v>
      </c>
      <c r="T104">
        <v>0</v>
      </c>
      <c r="U104">
        <v>1</v>
      </c>
      <c r="V104">
        <v>0</v>
      </c>
      <c r="W104">
        <v>0</v>
      </c>
      <c r="X104" s="21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f t="shared" si="3"/>
        <v>32</v>
      </c>
      <c r="AP104" t="s">
        <v>41</v>
      </c>
    </row>
    <row r="105" spans="1:42">
      <c r="A105" s="1">
        <v>43790</v>
      </c>
      <c r="B105">
        <v>4</v>
      </c>
      <c r="C105">
        <v>310</v>
      </c>
      <c r="D105"/>
      <c r="E105" t="s">
        <v>37</v>
      </c>
      <c r="F105" t="s">
        <v>38</v>
      </c>
      <c r="G105">
        <v>1</v>
      </c>
      <c r="H105">
        <v>105</v>
      </c>
      <c r="I105" s="25">
        <v>166</v>
      </c>
      <c r="K105" t="s">
        <v>78</v>
      </c>
      <c r="N105" t="s">
        <v>40</v>
      </c>
      <c r="O105">
        <v>40</v>
      </c>
      <c r="Q105">
        <f t="shared" si="4"/>
        <v>1</v>
      </c>
      <c r="R105">
        <v>1</v>
      </c>
      <c r="S105">
        <v>0</v>
      </c>
      <c r="T105">
        <v>0</v>
      </c>
      <c r="U105">
        <v>1</v>
      </c>
      <c r="V105">
        <v>0</v>
      </c>
      <c r="W105">
        <v>0</v>
      </c>
      <c r="X105" s="21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f t="shared" si="3"/>
        <v>32</v>
      </c>
      <c r="AP105" t="s">
        <v>41</v>
      </c>
    </row>
    <row r="106" spans="1:42">
      <c r="A106" s="1">
        <v>43790</v>
      </c>
      <c r="B106">
        <v>4</v>
      </c>
      <c r="C106">
        <v>310</v>
      </c>
      <c r="D106"/>
      <c r="E106" t="s">
        <v>37</v>
      </c>
      <c r="F106" t="s">
        <v>38</v>
      </c>
      <c r="G106">
        <v>1</v>
      </c>
      <c r="H106">
        <v>106</v>
      </c>
      <c r="I106" s="25">
        <v>218</v>
      </c>
      <c r="K106" t="s">
        <v>50</v>
      </c>
      <c r="N106" t="s">
        <v>40</v>
      </c>
      <c r="O106">
        <v>40</v>
      </c>
      <c r="Q106">
        <f t="shared" si="4"/>
        <v>1</v>
      </c>
      <c r="R106">
        <v>1</v>
      </c>
      <c r="S106">
        <v>0</v>
      </c>
      <c r="T106">
        <v>0</v>
      </c>
      <c r="U106">
        <v>1</v>
      </c>
      <c r="V106">
        <v>0</v>
      </c>
      <c r="W106">
        <v>0</v>
      </c>
      <c r="X106" s="21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f t="shared" si="3"/>
        <v>32</v>
      </c>
      <c r="AP106" t="s">
        <v>41</v>
      </c>
    </row>
    <row r="107" spans="1:42">
      <c r="A107" s="1">
        <v>43790</v>
      </c>
      <c r="B107">
        <v>4</v>
      </c>
      <c r="C107">
        <v>310</v>
      </c>
      <c r="D107"/>
      <c r="E107" t="s">
        <v>37</v>
      </c>
      <c r="F107" t="s">
        <v>38</v>
      </c>
      <c r="G107">
        <v>1</v>
      </c>
      <c r="H107">
        <v>107</v>
      </c>
      <c r="I107" s="25">
        <v>77</v>
      </c>
      <c r="K107" t="s">
        <v>78</v>
      </c>
      <c r="N107" t="s">
        <v>40</v>
      </c>
      <c r="O107">
        <v>50</v>
      </c>
      <c r="Q107">
        <f t="shared" si="4"/>
        <v>1</v>
      </c>
      <c r="R107">
        <v>1</v>
      </c>
      <c r="S107">
        <v>0</v>
      </c>
      <c r="T107">
        <v>0</v>
      </c>
      <c r="U107">
        <v>0</v>
      </c>
      <c r="V107">
        <v>1</v>
      </c>
      <c r="W107">
        <v>0</v>
      </c>
      <c r="X107" s="21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f t="shared" si="3"/>
        <v>64</v>
      </c>
      <c r="AP107" t="s">
        <v>41</v>
      </c>
    </row>
    <row r="108" spans="1:42">
      <c r="A108" s="1">
        <v>43790</v>
      </c>
      <c r="B108">
        <v>4</v>
      </c>
      <c r="C108">
        <v>310</v>
      </c>
      <c r="D108"/>
      <c r="E108" t="s">
        <v>37</v>
      </c>
      <c r="F108" t="s">
        <v>38</v>
      </c>
      <c r="G108">
        <v>1</v>
      </c>
      <c r="H108">
        <v>108</v>
      </c>
      <c r="I108" s="25">
        <v>135</v>
      </c>
      <c r="K108" t="s">
        <v>53</v>
      </c>
      <c r="N108" t="s">
        <v>40</v>
      </c>
      <c r="O108">
        <v>33</v>
      </c>
      <c r="Q108">
        <f t="shared" si="4"/>
        <v>1</v>
      </c>
      <c r="R108">
        <v>1</v>
      </c>
      <c r="S108">
        <v>0</v>
      </c>
      <c r="T108">
        <v>0</v>
      </c>
      <c r="U108">
        <v>0</v>
      </c>
      <c r="V108">
        <v>1</v>
      </c>
      <c r="W108">
        <v>0</v>
      </c>
      <c r="X108" s="21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f t="shared" si="3"/>
        <v>64</v>
      </c>
      <c r="AP108" t="s">
        <v>41</v>
      </c>
    </row>
    <row r="109" spans="1:42">
      <c r="A109" s="1">
        <v>43790</v>
      </c>
      <c r="B109">
        <v>4</v>
      </c>
      <c r="C109">
        <v>310</v>
      </c>
      <c r="D109"/>
      <c r="E109" t="s">
        <v>37</v>
      </c>
      <c r="F109" t="s">
        <v>38</v>
      </c>
      <c r="G109">
        <v>1</v>
      </c>
      <c r="H109">
        <v>109</v>
      </c>
      <c r="I109" s="25">
        <v>25</v>
      </c>
      <c r="K109" t="s">
        <v>78</v>
      </c>
      <c r="N109" t="s">
        <v>40</v>
      </c>
      <c r="O109">
        <v>59</v>
      </c>
      <c r="Q109">
        <f t="shared" si="4"/>
        <v>1</v>
      </c>
      <c r="R109">
        <v>1</v>
      </c>
      <c r="S109">
        <v>0</v>
      </c>
      <c r="T109">
        <v>0</v>
      </c>
      <c r="U109">
        <v>0</v>
      </c>
      <c r="V109">
        <v>1</v>
      </c>
      <c r="W109">
        <v>0</v>
      </c>
      <c r="X109" s="21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f t="shared" si="3"/>
        <v>64</v>
      </c>
      <c r="AP109" t="s">
        <v>41</v>
      </c>
    </row>
    <row r="110" spans="1:42">
      <c r="A110" s="1">
        <v>43790</v>
      </c>
      <c r="B110">
        <v>4</v>
      </c>
      <c r="C110">
        <v>310</v>
      </c>
      <c r="D110"/>
      <c r="E110" t="s">
        <v>37</v>
      </c>
      <c r="F110" t="s">
        <v>38</v>
      </c>
      <c r="G110">
        <v>1</v>
      </c>
      <c r="H110">
        <v>110</v>
      </c>
      <c r="I110" s="25" t="s">
        <v>79</v>
      </c>
      <c r="K110" t="s">
        <v>39</v>
      </c>
      <c r="N110" t="s">
        <v>40</v>
      </c>
      <c r="O110">
        <v>75</v>
      </c>
      <c r="Q110">
        <f t="shared" si="4"/>
        <v>3</v>
      </c>
      <c r="R110">
        <v>1</v>
      </c>
      <c r="S110">
        <v>0</v>
      </c>
      <c r="T110">
        <v>0</v>
      </c>
      <c r="U110">
        <v>0</v>
      </c>
      <c r="V110">
        <v>3</v>
      </c>
      <c r="W110">
        <v>0</v>
      </c>
      <c r="X110" s="21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f t="shared" si="3"/>
        <v>192</v>
      </c>
      <c r="AP110" t="s">
        <v>41</v>
      </c>
    </row>
    <row r="111" spans="1:42">
      <c r="A111" s="1">
        <v>43790</v>
      </c>
      <c r="B111">
        <v>4</v>
      </c>
      <c r="C111">
        <v>310</v>
      </c>
      <c r="D111"/>
      <c r="E111" t="s">
        <v>37</v>
      </c>
      <c r="F111" t="s">
        <v>38</v>
      </c>
      <c r="G111">
        <v>1</v>
      </c>
      <c r="H111">
        <v>111</v>
      </c>
      <c r="I111" s="25">
        <v>153</v>
      </c>
      <c r="K111" t="s">
        <v>39</v>
      </c>
      <c r="N111" t="s">
        <v>40</v>
      </c>
      <c r="O111">
        <v>62</v>
      </c>
      <c r="Q111">
        <f t="shared" si="4"/>
        <v>3</v>
      </c>
      <c r="R111">
        <v>1</v>
      </c>
      <c r="S111">
        <v>0</v>
      </c>
      <c r="T111">
        <v>0</v>
      </c>
      <c r="U111">
        <v>0</v>
      </c>
      <c r="V111">
        <v>3</v>
      </c>
      <c r="W111">
        <v>0</v>
      </c>
      <c r="X111" s="2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f t="shared" si="3"/>
        <v>192</v>
      </c>
      <c r="AP111" t="s">
        <v>41</v>
      </c>
    </row>
    <row r="112" spans="1:42">
      <c r="A112" s="1">
        <v>43790</v>
      </c>
      <c r="B112">
        <v>4</v>
      </c>
      <c r="C112">
        <v>310</v>
      </c>
      <c r="D112"/>
      <c r="E112" t="s">
        <v>37</v>
      </c>
      <c r="F112" t="s">
        <v>38</v>
      </c>
      <c r="G112">
        <v>1</v>
      </c>
      <c r="H112">
        <v>112</v>
      </c>
      <c r="I112" s="25">
        <v>211</v>
      </c>
      <c r="K112" t="s">
        <v>49</v>
      </c>
      <c r="N112" t="s">
        <v>40</v>
      </c>
      <c r="O112">
        <v>62</v>
      </c>
      <c r="Q112">
        <f t="shared" si="4"/>
        <v>2</v>
      </c>
      <c r="R112">
        <v>1</v>
      </c>
      <c r="S112">
        <v>0</v>
      </c>
      <c r="T112">
        <v>0</v>
      </c>
      <c r="U112">
        <v>0</v>
      </c>
      <c r="V112">
        <v>2</v>
      </c>
      <c r="W112">
        <v>0</v>
      </c>
      <c r="X112" s="21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f t="shared" si="3"/>
        <v>128</v>
      </c>
      <c r="AP112" t="s">
        <v>41</v>
      </c>
    </row>
    <row r="113" spans="1:42">
      <c r="A113" s="1">
        <v>43790</v>
      </c>
      <c r="B113">
        <v>4</v>
      </c>
      <c r="C113">
        <v>310</v>
      </c>
      <c r="D113"/>
      <c r="E113" t="s">
        <v>37</v>
      </c>
      <c r="F113" t="s">
        <v>38</v>
      </c>
      <c r="G113">
        <v>1</v>
      </c>
      <c r="H113">
        <v>113</v>
      </c>
      <c r="I113" s="25">
        <v>11</v>
      </c>
      <c r="K113" t="s">
        <v>80</v>
      </c>
      <c r="N113" t="s">
        <v>40</v>
      </c>
      <c r="O113">
        <v>50</v>
      </c>
      <c r="Q113">
        <f t="shared" si="4"/>
        <v>3</v>
      </c>
      <c r="R113">
        <v>1</v>
      </c>
      <c r="S113">
        <v>0</v>
      </c>
      <c r="T113">
        <v>0</v>
      </c>
      <c r="U113">
        <v>3</v>
      </c>
      <c r="V113">
        <v>0</v>
      </c>
      <c r="W113">
        <v>0</v>
      </c>
      <c r="X113" s="21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f t="shared" si="3"/>
        <v>96</v>
      </c>
      <c r="AP113" t="s">
        <v>41</v>
      </c>
    </row>
    <row r="114" spans="1:42">
      <c r="A114" s="1">
        <v>43790</v>
      </c>
      <c r="B114">
        <v>4</v>
      </c>
      <c r="C114">
        <v>310</v>
      </c>
      <c r="D114"/>
      <c r="E114" t="s">
        <v>37</v>
      </c>
      <c r="F114" t="s">
        <v>38</v>
      </c>
      <c r="G114">
        <v>1</v>
      </c>
      <c r="H114">
        <v>114</v>
      </c>
      <c r="I114" s="25">
        <v>1</v>
      </c>
      <c r="K114" t="s">
        <v>80</v>
      </c>
      <c r="N114" t="s">
        <v>40</v>
      </c>
      <c r="O114">
        <v>50</v>
      </c>
      <c r="Q114">
        <f t="shared" si="4"/>
        <v>2</v>
      </c>
      <c r="R114">
        <v>1</v>
      </c>
      <c r="S114">
        <v>0</v>
      </c>
      <c r="T114">
        <v>0</v>
      </c>
      <c r="U114">
        <v>0</v>
      </c>
      <c r="V114">
        <v>2</v>
      </c>
      <c r="W114">
        <v>0</v>
      </c>
      <c r="X114" s="21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f t="shared" si="3"/>
        <v>128</v>
      </c>
      <c r="AP114" t="s">
        <v>41</v>
      </c>
    </row>
    <row r="115" spans="1:42">
      <c r="A115" s="1">
        <v>43790</v>
      </c>
      <c r="B115">
        <v>4</v>
      </c>
      <c r="C115">
        <v>310</v>
      </c>
      <c r="D115"/>
      <c r="E115" t="s">
        <v>37</v>
      </c>
      <c r="F115" t="s">
        <v>38</v>
      </c>
      <c r="G115">
        <v>1</v>
      </c>
      <c r="H115">
        <v>115</v>
      </c>
      <c r="I115" s="25">
        <v>101</v>
      </c>
      <c r="K115" t="s">
        <v>53</v>
      </c>
      <c r="N115" t="s">
        <v>40</v>
      </c>
      <c r="O115">
        <v>52</v>
      </c>
      <c r="Q115">
        <f t="shared" si="4"/>
        <v>2</v>
      </c>
      <c r="R115">
        <v>1</v>
      </c>
      <c r="S115">
        <v>0</v>
      </c>
      <c r="T115">
        <v>0</v>
      </c>
      <c r="U115">
        <v>0</v>
      </c>
      <c r="V115">
        <v>2</v>
      </c>
      <c r="W115">
        <v>0</v>
      </c>
      <c r="X115" s="21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f t="shared" si="3"/>
        <v>128</v>
      </c>
      <c r="AP115" t="s">
        <v>41</v>
      </c>
    </row>
    <row r="116" spans="1:42">
      <c r="A116" s="1">
        <v>43790</v>
      </c>
      <c r="B116">
        <v>4</v>
      </c>
      <c r="C116">
        <v>310</v>
      </c>
      <c r="D116"/>
      <c r="E116" t="s">
        <v>37</v>
      </c>
      <c r="F116" t="s">
        <v>38</v>
      </c>
      <c r="G116">
        <v>1</v>
      </c>
      <c r="H116">
        <v>116</v>
      </c>
      <c r="I116" s="25">
        <v>57</v>
      </c>
      <c r="K116" t="s">
        <v>53</v>
      </c>
      <c r="N116" t="s">
        <v>40</v>
      </c>
      <c r="O116">
        <v>48</v>
      </c>
      <c r="Q116">
        <f t="shared" si="4"/>
        <v>1</v>
      </c>
      <c r="R116">
        <v>1</v>
      </c>
      <c r="S116">
        <v>0</v>
      </c>
      <c r="T116">
        <v>0</v>
      </c>
      <c r="U116">
        <v>0</v>
      </c>
      <c r="V116">
        <v>1</v>
      </c>
      <c r="W116">
        <v>0</v>
      </c>
      <c r="X116" s="21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f t="shared" si="3"/>
        <v>64</v>
      </c>
      <c r="AP116" t="s">
        <v>41</v>
      </c>
    </row>
    <row r="117" spans="1:42">
      <c r="A117" s="1">
        <v>43790</v>
      </c>
      <c r="B117">
        <v>4</v>
      </c>
      <c r="C117">
        <v>310</v>
      </c>
      <c r="D117"/>
      <c r="E117" t="s">
        <v>37</v>
      </c>
      <c r="F117" t="s">
        <v>38</v>
      </c>
      <c r="G117">
        <v>1</v>
      </c>
      <c r="H117">
        <v>117</v>
      </c>
      <c r="I117" s="25">
        <v>305</v>
      </c>
      <c r="K117" t="s">
        <v>48</v>
      </c>
      <c r="N117" t="s">
        <v>40</v>
      </c>
      <c r="O117">
        <v>52</v>
      </c>
      <c r="Q117">
        <f t="shared" si="4"/>
        <v>2</v>
      </c>
      <c r="R117">
        <v>1</v>
      </c>
      <c r="S117">
        <v>0</v>
      </c>
      <c r="T117">
        <v>0</v>
      </c>
      <c r="U117">
        <v>2</v>
      </c>
      <c r="V117">
        <v>0</v>
      </c>
      <c r="W117">
        <v>0</v>
      </c>
      <c r="X117" s="21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f t="shared" si="3"/>
        <v>64</v>
      </c>
      <c r="AP117" t="s">
        <v>41</v>
      </c>
    </row>
    <row r="118" spans="1:42">
      <c r="A118" s="1">
        <v>43790</v>
      </c>
      <c r="B118">
        <v>4</v>
      </c>
      <c r="C118">
        <v>310</v>
      </c>
      <c r="D118"/>
      <c r="E118" t="s">
        <v>37</v>
      </c>
      <c r="F118" t="s">
        <v>38</v>
      </c>
      <c r="G118">
        <v>1</v>
      </c>
      <c r="H118">
        <v>118</v>
      </c>
      <c r="I118" s="25">
        <v>323</v>
      </c>
      <c r="K118" t="s">
        <v>48</v>
      </c>
      <c r="N118" t="s">
        <v>40</v>
      </c>
      <c r="O118">
        <v>52</v>
      </c>
      <c r="Q118">
        <f t="shared" si="4"/>
        <v>0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0</v>
      </c>
      <c r="X118" s="21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f t="shared" si="3"/>
        <v>0</v>
      </c>
      <c r="AP118" t="s">
        <v>41</v>
      </c>
    </row>
    <row r="119" spans="1:42">
      <c r="A119" s="1">
        <v>43790</v>
      </c>
      <c r="B119">
        <v>4</v>
      </c>
      <c r="C119">
        <v>310</v>
      </c>
      <c r="D119"/>
      <c r="E119" t="s">
        <v>37</v>
      </c>
      <c r="F119" t="s">
        <v>38</v>
      </c>
      <c r="G119">
        <v>1</v>
      </c>
      <c r="H119">
        <v>119</v>
      </c>
      <c r="I119" s="25">
        <v>453</v>
      </c>
      <c r="K119" t="s">
        <v>46</v>
      </c>
      <c r="N119" t="s">
        <v>40</v>
      </c>
      <c r="O119">
        <v>59</v>
      </c>
      <c r="Q119">
        <f t="shared" si="4"/>
        <v>2</v>
      </c>
      <c r="R119">
        <v>1</v>
      </c>
      <c r="S119">
        <v>0</v>
      </c>
      <c r="T119">
        <v>0</v>
      </c>
      <c r="U119">
        <v>2</v>
      </c>
      <c r="V119">
        <v>0</v>
      </c>
      <c r="W119">
        <v>0</v>
      </c>
      <c r="X119" s="21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f t="shared" si="3"/>
        <v>64</v>
      </c>
      <c r="AP119" t="s">
        <v>41</v>
      </c>
    </row>
    <row r="120" spans="1:42">
      <c r="A120" s="1">
        <v>43790</v>
      </c>
      <c r="B120">
        <v>4</v>
      </c>
      <c r="C120">
        <v>310</v>
      </c>
      <c r="D120"/>
      <c r="E120" t="s">
        <v>37</v>
      </c>
      <c r="F120" t="s">
        <v>38</v>
      </c>
      <c r="G120">
        <v>1</v>
      </c>
      <c r="H120">
        <v>120</v>
      </c>
      <c r="I120" s="25">
        <v>429</v>
      </c>
      <c r="K120" t="s">
        <v>46</v>
      </c>
      <c r="N120" t="s">
        <v>40</v>
      </c>
      <c r="O120">
        <v>52</v>
      </c>
      <c r="Q120">
        <f t="shared" si="4"/>
        <v>1</v>
      </c>
      <c r="R120">
        <v>1</v>
      </c>
      <c r="S120">
        <v>0</v>
      </c>
      <c r="T120">
        <v>0</v>
      </c>
      <c r="U120">
        <v>0</v>
      </c>
      <c r="V120">
        <v>1</v>
      </c>
      <c r="W120">
        <v>0</v>
      </c>
      <c r="X120" s="21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f t="shared" si="3"/>
        <v>64</v>
      </c>
      <c r="AP120" t="s">
        <v>41</v>
      </c>
    </row>
    <row r="121" spans="1:42">
      <c r="A121" s="1">
        <v>43790</v>
      </c>
      <c r="B121">
        <v>4</v>
      </c>
      <c r="C121">
        <v>310</v>
      </c>
      <c r="D121"/>
      <c r="E121" t="s">
        <v>37</v>
      </c>
      <c r="F121" t="s">
        <v>38</v>
      </c>
      <c r="G121">
        <v>1</v>
      </c>
      <c r="H121">
        <v>121</v>
      </c>
      <c r="I121" s="25">
        <v>445</v>
      </c>
      <c r="K121" t="s">
        <v>46</v>
      </c>
      <c r="N121" t="s">
        <v>40</v>
      </c>
      <c r="O121">
        <v>52</v>
      </c>
      <c r="Q121">
        <f t="shared" si="4"/>
        <v>2</v>
      </c>
      <c r="R121">
        <v>1</v>
      </c>
      <c r="S121">
        <v>0</v>
      </c>
      <c r="T121">
        <v>0</v>
      </c>
      <c r="U121">
        <v>0</v>
      </c>
      <c r="V121">
        <v>2</v>
      </c>
      <c r="W121">
        <v>0</v>
      </c>
      <c r="X121" s="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f t="shared" si="3"/>
        <v>128</v>
      </c>
      <c r="AP121" t="s">
        <v>41</v>
      </c>
    </row>
    <row r="122" spans="1:42">
      <c r="A122" s="1">
        <v>43790</v>
      </c>
      <c r="B122">
        <v>4</v>
      </c>
      <c r="C122">
        <v>310</v>
      </c>
      <c r="D122"/>
      <c r="E122" t="s">
        <v>37</v>
      </c>
      <c r="F122" t="s">
        <v>38</v>
      </c>
      <c r="G122">
        <v>1</v>
      </c>
      <c r="H122">
        <v>122</v>
      </c>
      <c r="I122" s="25">
        <v>0</v>
      </c>
      <c r="K122" t="s">
        <v>81</v>
      </c>
      <c r="N122" t="s">
        <v>40</v>
      </c>
      <c r="O122">
        <v>31</v>
      </c>
      <c r="Q122">
        <f t="shared" si="4"/>
        <v>1</v>
      </c>
      <c r="R122">
        <v>1</v>
      </c>
      <c r="S122">
        <v>0</v>
      </c>
      <c r="T122">
        <v>0</v>
      </c>
      <c r="U122">
        <v>0</v>
      </c>
      <c r="V122">
        <v>1</v>
      </c>
      <c r="W122">
        <v>0</v>
      </c>
      <c r="X122" s="21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f t="shared" si="3"/>
        <v>64</v>
      </c>
      <c r="AP122" t="s">
        <v>41</v>
      </c>
    </row>
    <row r="123" spans="1:42">
      <c r="A123" s="1">
        <v>43790</v>
      </c>
      <c r="B123">
        <v>4</v>
      </c>
      <c r="C123">
        <v>310</v>
      </c>
      <c r="D123"/>
      <c r="E123" t="s">
        <v>37</v>
      </c>
      <c r="F123" t="s">
        <v>38</v>
      </c>
      <c r="G123">
        <v>1</v>
      </c>
      <c r="H123">
        <v>123</v>
      </c>
      <c r="I123" s="25">
        <v>31</v>
      </c>
      <c r="K123" t="s">
        <v>46</v>
      </c>
      <c r="N123" t="s">
        <v>40</v>
      </c>
      <c r="O123">
        <v>31</v>
      </c>
      <c r="Q123">
        <f t="shared" si="4"/>
        <v>1</v>
      </c>
      <c r="R123">
        <v>1</v>
      </c>
      <c r="S123">
        <v>0</v>
      </c>
      <c r="T123">
        <v>0</v>
      </c>
      <c r="U123">
        <v>0</v>
      </c>
      <c r="V123">
        <v>1</v>
      </c>
      <c r="W123">
        <v>0</v>
      </c>
      <c r="X123" s="21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f t="shared" si="3"/>
        <v>64</v>
      </c>
      <c r="AP123" t="s">
        <v>41</v>
      </c>
    </row>
    <row r="124" spans="1:42">
      <c r="A124" s="1">
        <v>43790</v>
      </c>
      <c r="B124">
        <v>4</v>
      </c>
      <c r="C124">
        <v>310</v>
      </c>
      <c r="D124"/>
      <c r="E124" t="s">
        <v>37</v>
      </c>
      <c r="F124" t="s">
        <v>38</v>
      </c>
      <c r="G124">
        <v>1</v>
      </c>
      <c r="H124">
        <v>124</v>
      </c>
      <c r="I124" s="25">
        <v>25</v>
      </c>
      <c r="K124" t="s">
        <v>46</v>
      </c>
      <c r="N124" t="s">
        <v>40</v>
      </c>
      <c r="O124">
        <v>66</v>
      </c>
      <c r="Q124">
        <f t="shared" si="4"/>
        <v>1</v>
      </c>
      <c r="R124">
        <v>1</v>
      </c>
      <c r="S124">
        <v>0</v>
      </c>
      <c r="T124">
        <v>0</v>
      </c>
      <c r="U124">
        <v>0</v>
      </c>
      <c r="V124">
        <v>1</v>
      </c>
      <c r="W124">
        <v>0</v>
      </c>
      <c r="X124" s="21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f t="shared" si="3"/>
        <v>64</v>
      </c>
      <c r="AP124" t="s">
        <v>41</v>
      </c>
    </row>
    <row r="125" spans="1:42">
      <c r="A125" s="1">
        <v>43790</v>
      </c>
      <c r="B125">
        <v>4</v>
      </c>
      <c r="C125">
        <v>310</v>
      </c>
      <c r="D125"/>
      <c r="E125" t="s">
        <v>37</v>
      </c>
      <c r="F125" t="s">
        <v>38</v>
      </c>
      <c r="G125">
        <v>1</v>
      </c>
      <c r="H125">
        <v>125</v>
      </c>
      <c r="I125" s="25">
        <v>380</v>
      </c>
      <c r="K125" t="s">
        <v>46</v>
      </c>
      <c r="N125" t="s">
        <v>40</v>
      </c>
      <c r="O125">
        <v>66</v>
      </c>
      <c r="Q125">
        <f t="shared" si="4"/>
        <v>3</v>
      </c>
      <c r="R125">
        <v>1</v>
      </c>
      <c r="S125">
        <v>0</v>
      </c>
      <c r="T125">
        <v>0</v>
      </c>
      <c r="U125">
        <v>3</v>
      </c>
      <c r="V125">
        <v>0</v>
      </c>
      <c r="W125">
        <v>0</v>
      </c>
      <c r="X125" s="21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f t="shared" si="3"/>
        <v>96</v>
      </c>
      <c r="AP125" t="s">
        <v>41</v>
      </c>
    </row>
    <row r="126" spans="1:42">
      <c r="A126" s="1">
        <v>43790</v>
      </c>
      <c r="B126">
        <v>4</v>
      </c>
      <c r="C126">
        <v>310</v>
      </c>
      <c r="D126"/>
      <c r="E126" t="s">
        <v>37</v>
      </c>
      <c r="F126" t="s">
        <v>38</v>
      </c>
      <c r="G126">
        <v>1</v>
      </c>
      <c r="H126">
        <v>126</v>
      </c>
      <c r="I126" s="25">
        <v>374</v>
      </c>
      <c r="K126" t="s">
        <v>46</v>
      </c>
      <c r="N126" t="s">
        <v>40</v>
      </c>
      <c r="O126">
        <v>66</v>
      </c>
      <c r="Q126">
        <f t="shared" si="4"/>
        <v>2</v>
      </c>
      <c r="R126">
        <v>1</v>
      </c>
      <c r="S126">
        <v>0</v>
      </c>
      <c r="T126">
        <v>0</v>
      </c>
      <c r="U126">
        <v>0</v>
      </c>
      <c r="V126">
        <v>2</v>
      </c>
      <c r="W126">
        <v>0</v>
      </c>
      <c r="X126" s="21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f t="shared" si="3"/>
        <v>128</v>
      </c>
      <c r="AL126" t="s">
        <v>67</v>
      </c>
      <c r="AP126" t="s">
        <v>41</v>
      </c>
    </row>
    <row r="127" spans="1:42">
      <c r="A127" s="1">
        <v>43790</v>
      </c>
      <c r="B127">
        <v>4</v>
      </c>
      <c r="C127">
        <v>310</v>
      </c>
      <c r="D127"/>
      <c r="E127" t="s">
        <v>37</v>
      </c>
      <c r="F127" t="s">
        <v>38</v>
      </c>
      <c r="G127">
        <v>1</v>
      </c>
      <c r="H127">
        <v>127</v>
      </c>
      <c r="I127" s="25">
        <v>22</v>
      </c>
      <c r="K127" t="s">
        <v>82</v>
      </c>
      <c r="N127" t="s">
        <v>40</v>
      </c>
      <c r="O127">
        <v>66</v>
      </c>
      <c r="Q127">
        <f t="shared" si="4"/>
        <v>1</v>
      </c>
      <c r="R127">
        <v>1</v>
      </c>
      <c r="S127">
        <v>0</v>
      </c>
      <c r="T127">
        <v>0</v>
      </c>
      <c r="U127">
        <v>0</v>
      </c>
      <c r="V127">
        <v>1</v>
      </c>
      <c r="W127">
        <v>0</v>
      </c>
      <c r="X127" s="21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f t="shared" si="3"/>
        <v>64</v>
      </c>
      <c r="AP127" t="s">
        <v>41</v>
      </c>
    </row>
    <row r="128" spans="1:42">
      <c r="A128" s="1">
        <v>43790</v>
      </c>
      <c r="B128">
        <v>4</v>
      </c>
      <c r="C128">
        <v>310</v>
      </c>
      <c r="D128"/>
      <c r="E128" t="s">
        <v>37</v>
      </c>
      <c r="F128" t="s">
        <v>38</v>
      </c>
      <c r="G128">
        <v>1</v>
      </c>
      <c r="H128">
        <v>128</v>
      </c>
      <c r="I128" s="25">
        <v>28</v>
      </c>
      <c r="K128" t="s">
        <v>82</v>
      </c>
      <c r="N128" t="s">
        <v>40</v>
      </c>
      <c r="O128">
        <v>66</v>
      </c>
      <c r="Q128">
        <f t="shared" si="4"/>
        <v>1</v>
      </c>
      <c r="R128">
        <v>1</v>
      </c>
      <c r="S128">
        <v>0</v>
      </c>
      <c r="T128">
        <v>0</v>
      </c>
      <c r="U128">
        <v>0</v>
      </c>
      <c r="V128">
        <v>1</v>
      </c>
      <c r="W128">
        <v>0</v>
      </c>
      <c r="X128" s="21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f t="shared" si="3"/>
        <v>64</v>
      </c>
      <c r="AP128" t="s">
        <v>41</v>
      </c>
    </row>
    <row r="129" spans="1:42">
      <c r="A129" s="1">
        <v>43790</v>
      </c>
      <c r="B129">
        <v>4</v>
      </c>
      <c r="C129">
        <v>310</v>
      </c>
      <c r="D129"/>
      <c r="E129" t="s">
        <v>37</v>
      </c>
      <c r="F129" t="s">
        <v>38</v>
      </c>
      <c r="G129">
        <v>1</v>
      </c>
      <c r="H129">
        <v>129</v>
      </c>
      <c r="I129" s="25">
        <v>44</v>
      </c>
      <c r="K129" t="s">
        <v>82</v>
      </c>
      <c r="N129" t="s">
        <v>40</v>
      </c>
      <c r="O129">
        <v>66</v>
      </c>
      <c r="Q129">
        <f t="shared" si="4"/>
        <v>1</v>
      </c>
      <c r="R129">
        <v>1</v>
      </c>
      <c r="S129">
        <v>0</v>
      </c>
      <c r="T129">
        <v>0</v>
      </c>
      <c r="U129">
        <v>0</v>
      </c>
      <c r="V129">
        <v>1</v>
      </c>
      <c r="W129">
        <v>0</v>
      </c>
      <c r="X129" s="21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f t="shared" ref="AH129:AH192" si="5">(S129*16)+(T129*20)+(U129*32)+(V129*64)+(W129*96)</f>
        <v>64</v>
      </c>
      <c r="AP129" t="s">
        <v>41</v>
      </c>
    </row>
    <row r="130" spans="1:42">
      <c r="A130" s="1">
        <v>43790</v>
      </c>
      <c r="B130">
        <v>4</v>
      </c>
      <c r="C130">
        <v>310</v>
      </c>
      <c r="D130"/>
      <c r="E130" t="s">
        <v>37</v>
      </c>
      <c r="F130" t="s">
        <v>38</v>
      </c>
      <c r="G130">
        <v>1</v>
      </c>
      <c r="H130">
        <v>130</v>
      </c>
      <c r="I130" s="25">
        <v>52</v>
      </c>
      <c r="K130" t="s">
        <v>82</v>
      </c>
      <c r="N130" t="s">
        <v>40</v>
      </c>
      <c r="O130">
        <v>66</v>
      </c>
      <c r="Q130">
        <f t="shared" si="4"/>
        <v>1</v>
      </c>
      <c r="R130">
        <v>1</v>
      </c>
      <c r="S130">
        <v>0</v>
      </c>
      <c r="T130">
        <v>0</v>
      </c>
      <c r="U130">
        <v>0</v>
      </c>
      <c r="V130">
        <v>1</v>
      </c>
      <c r="W130">
        <v>0</v>
      </c>
      <c r="X130" s="21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f t="shared" si="5"/>
        <v>64</v>
      </c>
      <c r="AP130" t="s">
        <v>41</v>
      </c>
    </row>
    <row r="131" spans="1:42">
      <c r="A131" s="1">
        <v>43790</v>
      </c>
      <c r="B131">
        <v>4</v>
      </c>
      <c r="C131">
        <v>310</v>
      </c>
      <c r="D131"/>
      <c r="E131" t="s">
        <v>37</v>
      </c>
      <c r="F131" t="s">
        <v>38</v>
      </c>
      <c r="G131">
        <v>1</v>
      </c>
      <c r="H131">
        <v>131</v>
      </c>
      <c r="I131" s="25">
        <v>333</v>
      </c>
      <c r="K131" t="s">
        <v>46</v>
      </c>
      <c r="N131" t="s">
        <v>44</v>
      </c>
      <c r="O131">
        <v>292</v>
      </c>
      <c r="Q131">
        <f t="shared" si="4"/>
        <v>14</v>
      </c>
      <c r="R131">
        <v>1</v>
      </c>
      <c r="S131">
        <v>0</v>
      </c>
      <c r="T131">
        <v>0</v>
      </c>
      <c r="U131">
        <v>0</v>
      </c>
      <c r="V131">
        <v>14</v>
      </c>
      <c r="W131">
        <v>0</v>
      </c>
      <c r="X131" s="2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f t="shared" si="5"/>
        <v>896</v>
      </c>
      <c r="AP131" t="s">
        <v>41</v>
      </c>
    </row>
    <row r="132" spans="1:42">
      <c r="A132" s="1">
        <v>43790</v>
      </c>
      <c r="B132">
        <v>4</v>
      </c>
      <c r="C132">
        <v>310</v>
      </c>
      <c r="D132"/>
      <c r="E132" t="s">
        <v>37</v>
      </c>
      <c r="F132" t="s">
        <v>38</v>
      </c>
      <c r="G132">
        <v>1</v>
      </c>
      <c r="H132">
        <v>132</v>
      </c>
      <c r="I132" s="25">
        <v>110</v>
      </c>
      <c r="K132" t="s">
        <v>49</v>
      </c>
      <c r="N132" t="s">
        <v>40</v>
      </c>
      <c r="O132">
        <v>37</v>
      </c>
      <c r="Q132">
        <f t="shared" si="4"/>
        <v>1</v>
      </c>
      <c r="R132">
        <v>1</v>
      </c>
      <c r="S132">
        <v>0</v>
      </c>
      <c r="T132">
        <v>0</v>
      </c>
      <c r="U132">
        <v>0</v>
      </c>
      <c r="V132">
        <v>1</v>
      </c>
      <c r="W132">
        <v>0</v>
      </c>
      <c r="X132" s="21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f t="shared" si="5"/>
        <v>64</v>
      </c>
      <c r="AP132" t="s">
        <v>41</v>
      </c>
    </row>
    <row r="133" spans="1:42">
      <c r="A133" s="1">
        <v>43790</v>
      </c>
      <c r="B133">
        <v>4</v>
      </c>
      <c r="C133">
        <v>310</v>
      </c>
      <c r="D133"/>
      <c r="E133" t="s">
        <v>37</v>
      </c>
      <c r="F133" t="s">
        <v>38</v>
      </c>
      <c r="G133">
        <v>1</v>
      </c>
      <c r="H133">
        <v>133</v>
      </c>
      <c r="I133" s="25">
        <v>126</v>
      </c>
      <c r="K133" t="s">
        <v>49</v>
      </c>
      <c r="N133" t="s">
        <v>40</v>
      </c>
      <c r="O133">
        <v>37</v>
      </c>
      <c r="Q133">
        <f t="shared" si="4"/>
        <v>2</v>
      </c>
      <c r="R133">
        <v>1</v>
      </c>
      <c r="S133">
        <v>0</v>
      </c>
      <c r="T133">
        <v>0</v>
      </c>
      <c r="U133">
        <v>0</v>
      </c>
      <c r="V133">
        <v>2</v>
      </c>
      <c r="W133">
        <v>0</v>
      </c>
      <c r="X133" s="21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f t="shared" si="5"/>
        <v>128</v>
      </c>
      <c r="AP133" t="s">
        <v>41</v>
      </c>
    </row>
    <row r="134" spans="1:42">
      <c r="A134" s="1">
        <v>43790</v>
      </c>
      <c r="B134">
        <v>4</v>
      </c>
      <c r="C134">
        <v>310</v>
      </c>
      <c r="D134"/>
      <c r="E134" t="s">
        <v>37</v>
      </c>
      <c r="F134" t="s">
        <v>38</v>
      </c>
      <c r="G134">
        <v>1</v>
      </c>
      <c r="H134">
        <v>134</v>
      </c>
      <c r="I134" s="25">
        <v>240</v>
      </c>
      <c r="K134" t="s">
        <v>39</v>
      </c>
      <c r="N134" t="s">
        <v>40</v>
      </c>
      <c r="O134">
        <v>162</v>
      </c>
      <c r="Q134">
        <f t="shared" si="4"/>
        <v>3</v>
      </c>
      <c r="R134">
        <v>1</v>
      </c>
      <c r="S134">
        <v>0</v>
      </c>
      <c r="T134">
        <v>0</v>
      </c>
      <c r="U134">
        <v>0</v>
      </c>
      <c r="V134">
        <v>3</v>
      </c>
      <c r="W134">
        <v>0</v>
      </c>
      <c r="X134" s="21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f t="shared" si="5"/>
        <v>192</v>
      </c>
      <c r="AP134" t="s">
        <v>41</v>
      </c>
    </row>
    <row r="135" spans="1:42">
      <c r="A135" s="1">
        <v>43790</v>
      </c>
      <c r="B135">
        <v>4</v>
      </c>
      <c r="C135">
        <v>310</v>
      </c>
      <c r="D135"/>
      <c r="E135" t="s">
        <v>37</v>
      </c>
      <c r="F135" t="s">
        <v>38</v>
      </c>
      <c r="G135">
        <v>1</v>
      </c>
      <c r="H135">
        <v>135</v>
      </c>
      <c r="I135" s="25">
        <v>240</v>
      </c>
      <c r="K135" t="s">
        <v>39</v>
      </c>
      <c r="N135" t="s">
        <v>40</v>
      </c>
      <c r="O135">
        <v>123</v>
      </c>
      <c r="Q135">
        <f t="shared" si="4"/>
        <v>3</v>
      </c>
      <c r="R135">
        <v>1</v>
      </c>
      <c r="S135">
        <v>0</v>
      </c>
      <c r="T135">
        <v>0</v>
      </c>
      <c r="U135">
        <v>0</v>
      </c>
      <c r="V135">
        <v>3</v>
      </c>
      <c r="W135">
        <v>0</v>
      </c>
      <c r="X135" s="21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f t="shared" si="5"/>
        <v>192</v>
      </c>
      <c r="AP135" t="s">
        <v>41</v>
      </c>
    </row>
    <row r="136" spans="1:42">
      <c r="A136" s="1">
        <v>43790</v>
      </c>
      <c r="B136">
        <v>4</v>
      </c>
      <c r="C136">
        <v>310</v>
      </c>
      <c r="D136"/>
      <c r="E136" t="s">
        <v>37</v>
      </c>
      <c r="F136" t="s">
        <v>38</v>
      </c>
      <c r="G136">
        <v>1</v>
      </c>
      <c r="H136">
        <v>136</v>
      </c>
      <c r="I136" s="25">
        <v>264</v>
      </c>
      <c r="K136" t="s">
        <v>39</v>
      </c>
      <c r="N136" t="s">
        <v>40</v>
      </c>
      <c r="O136">
        <v>58</v>
      </c>
      <c r="Q136">
        <f t="shared" si="4"/>
        <v>2</v>
      </c>
      <c r="R136">
        <v>1</v>
      </c>
      <c r="S136">
        <v>0</v>
      </c>
      <c r="T136">
        <v>0</v>
      </c>
      <c r="U136">
        <v>0</v>
      </c>
      <c r="V136">
        <v>2</v>
      </c>
      <c r="W136">
        <v>0</v>
      </c>
      <c r="X136" s="21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f t="shared" si="5"/>
        <v>128</v>
      </c>
      <c r="AP136" t="s">
        <v>41</v>
      </c>
    </row>
    <row r="137" spans="1:42">
      <c r="A137" s="1">
        <v>43790</v>
      </c>
      <c r="B137">
        <v>4</v>
      </c>
      <c r="C137">
        <v>310</v>
      </c>
      <c r="D137"/>
      <c r="E137" t="s">
        <v>37</v>
      </c>
      <c r="F137" t="s">
        <v>38</v>
      </c>
      <c r="G137">
        <v>1</v>
      </c>
      <c r="H137">
        <v>137</v>
      </c>
      <c r="I137" s="25">
        <v>260</v>
      </c>
      <c r="K137" t="s">
        <v>39</v>
      </c>
      <c r="N137" t="s">
        <v>40</v>
      </c>
      <c r="O137">
        <v>58</v>
      </c>
      <c r="Q137">
        <f t="shared" si="4"/>
        <v>0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 s="21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f t="shared" si="5"/>
        <v>0</v>
      </c>
      <c r="AP137" t="s">
        <v>41</v>
      </c>
    </row>
    <row r="138" spans="1:42">
      <c r="A138" s="1">
        <v>43790</v>
      </c>
      <c r="B138">
        <v>4</v>
      </c>
      <c r="C138">
        <v>310</v>
      </c>
      <c r="D138"/>
      <c r="E138" t="s">
        <v>37</v>
      </c>
      <c r="F138" t="s">
        <v>38</v>
      </c>
      <c r="G138">
        <v>1</v>
      </c>
      <c r="H138">
        <v>138</v>
      </c>
      <c r="I138" s="25">
        <v>308</v>
      </c>
      <c r="K138" t="s">
        <v>39</v>
      </c>
      <c r="N138" t="s">
        <v>40</v>
      </c>
      <c r="O138">
        <v>23</v>
      </c>
      <c r="Q138">
        <f t="shared" si="4"/>
        <v>1</v>
      </c>
      <c r="R138">
        <v>1</v>
      </c>
      <c r="S138">
        <v>0</v>
      </c>
      <c r="T138">
        <v>0</v>
      </c>
      <c r="U138">
        <v>1</v>
      </c>
      <c r="V138">
        <v>0</v>
      </c>
      <c r="W138">
        <v>0</v>
      </c>
      <c r="X138" s="21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f t="shared" si="5"/>
        <v>32</v>
      </c>
      <c r="AP138" t="s">
        <v>41</v>
      </c>
    </row>
    <row r="139" spans="1:42">
      <c r="A139" s="1">
        <v>43790</v>
      </c>
      <c r="B139">
        <v>4</v>
      </c>
      <c r="C139">
        <v>310</v>
      </c>
      <c r="D139"/>
      <c r="E139" t="s">
        <v>37</v>
      </c>
      <c r="F139" t="s">
        <v>38</v>
      </c>
      <c r="G139">
        <v>1</v>
      </c>
      <c r="H139">
        <v>139</v>
      </c>
      <c r="I139" s="25">
        <v>312</v>
      </c>
      <c r="K139" t="s">
        <v>39</v>
      </c>
      <c r="N139" t="s">
        <v>40</v>
      </c>
      <c r="O139">
        <v>23</v>
      </c>
      <c r="Q139">
        <f t="shared" si="4"/>
        <v>1</v>
      </c>
      <c r="R139">
        <v>1</v>
      </c>
      <c r="S139">
        <v>0</v>
      </c>
      <c r="T139">
        <v>0</v>
      </c>
      <c r="U139">
        <v>1</v>
      </c>
      <c r="V139">
        <v>0</v>
      </c>
      <c r="W139">
        <v>0</v>
      </c>
      <c r="X139" s="21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f t="shared" si="5"/>
        <v>32</v>
      </c>
      <c r="AP139" t="s">
        <v>41</v>
      </c>
    </row>
    <row r="140" spans="1:42">
      <c r="A140" s="1">
        <v>43790</v>
      </c>
      <c r="B140">
        <v>4</v>
      </c>
      <c r="C140">
        <v>310</v>
      </c>
      <c r="D140"/>
      <c r="E140" t="s">
        <v>37</v>
      </c>
      <c r="F140" t="s">
        <v>38</v>
      </c>
      <c r="G140">
        <v>1</v>
      </c>
      <c r="H140">
        <v>140</v>
      </c>
      <c r="I140" s="25">
        <v>322</v>
      </c>
      <c r="K140" t="s">
        <v>39</v>
      </c>
      <c r="N140" t="s">
        <v>40</v>
      </c>
      <c r="O140">
        <v>43</v>
      </c>
      <c r="Q140">
        <f t="shared" ref="Q140:Q203" si="6">SUM(S140:AE140)</f>
        <v>1</v>
      </c>
      <c r="R140">
        <v>1</v>
      </c>
      <c r="S140">
        <v>0</v>
      </c>
      <c r="T140">
        <v>0</v>
      </c>
      <c r="U140">
        <v>0</v>
      </c>
      <c r="V140">
        <v>1</v>
      </c>
      <c r="W140">
        <v>0</v>
      </c>
      <c r="X140" s="21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f t="shared" si="5"/>
        <v>64</v>
      </c>
      <c r="AP140" t="s">
        <v>41</v>
      </c>
    </row>
    <row r="141" spans="1:42">
      <c r="A141" s="1">
        <v>43790</v>
      </c>
      <c r="B141">
        <v>4</v>
      </c>
      <c r="C141">
        <v>310</v>
      </c>
      <c r="D141"/>
      <c r="E141" t="s">
        <v>37</v>
      </c>
      <c r="F141" t="s">
        <v>38</v>
      </c>
      <c r="G141">
        <v>1</v>
      </c>
      <c r="H141">
        <v>141</v>
      </c>
      <c r="I141" s="25">
        <v>356</v>
      </c>
      <c r="K141" t="s">
        <v>39</v>
      </c>
      <c r="N141" t="s">
        <v>40</v>
      </c>
      <c r="O141">
        <v>56</v>
      </c>
      <c r="Q141">
        <f t="shared" si="6"/>
        <v>1</v>
      </c>
      <c r="R141">
        <v>1</v>
      </c>
      <c r="S141">
        <v>0</v>
      </c>
      <c r="T141">
        <v>0</v>
      </c>
      <c r="U141">
        <v>1</v>
      </c>
      <c r="V141">
        <v>0</v>
      </c>
      <c r="W141">
        <v>0</v>
      </c>
      <c r="X141" s="2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f t="shared" si="5"/>
        <v>32</v>
      </c>
      <c r="AP141" t="s">
        <v>41</v>
      </c>
    </row>
    <row r="142" spans="1:42">
      <c r="A142" s="1">
        <v>43790</v>
      </c>
      <c r="B142">
        <v>4</v>
      </c>
      <c r="C142">
        <v>310</v>
      </c>
      <c r="D142"/>
      <c r="E142" t="s">
        <v>37</v>
      </c>
      <c r="F142" t="s">
        <v>38</v>
      </c>
      <c r="G142">
        <v>1</v>
      </c>
      <c r="H142">
        <v>142</v>
      </c>
      <c r="I142" s="25">
        <v>346</v>
      </c>
      <c r="K142" t="s">
        <v>39</v>
      </c>
      <c r="N142" t="s">
        <v>40</v>
      </c>
      <c r="O142">
        <v>56</v>
      </c>
      <c r="Q142">
        <f t="shared" si="6"/>
        <v>4</v>
      </c>
      <c r="R142">
        <v>1</v>
      </c>
      <c r="S142">
        <v>0</v>
      </c>
      <c r="T142">
        <v>0</v>
      </c>
      <c r="U142">
        <v>0</v>
      </c>
      <c r="V142">
        <v>4</v>
      </c>
      <c r="W142">
        <v>0</v>
      </c>
      <c r="X142" s="21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f t="shared" si="5"/>
        <v>256</v>
      </c>
      <c r="AP142" t="s">
        <v>41</v>
      </c>
    </row>
    <row r="143" spans="1:42">
      <c r="A143" s="1">
        <v>43790</v>
      </c>
      <c r="B143">
        <v>4</v>
      </c>
      <c r="C143">
        <v>310</v>
      </c>
      <c r="D143"/>
      <c r="E143" t="s">
        <v>37</v>
      </c>
      <c r="F143" t="s">
        <v>38</v>
      </c>
      <c r="G143">
        <v>1</v>
      </c>
      <c r="H143">
        <v>143</v>
      </c>
      <c r="I143" s="25">
        <v>555</v>
      </c>
      <c r="K143" t="s">
        <v>69</v>
      </c>
      <c r="N143" t="s">
        <v>44</v>
      </c>
      <c r="O143">
        <v>300</v>
      </c>
      <c r="Q143">
        <f t="shared" si="6"/>
        <v>4</v>
      </c>
      <c r="R143">
        <v>1</v>
      </c>
      <c r="S143">
        <v>0</v>
      </c>
      <c r="T143">
        <v>0</v>
      </c>
      <c r="U143">
        <v>0</v>
      </c>
      <c r="V143">
        <v>4</v>
      </c>
      <c r="W143">
        <v>0</v>
      </c>
      <c r="X143" s="21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f t="shared" si="5"/>
        <v>256</v>
      </c>
      <c r="AL143" t="s">
        <v>83</v>
      </c>
      <c r="AP143" t="s">
        <v>41</v>
      </c>
    </row>
    <row r="144" spans="1:42">
      <c r="A144" s="1">
        <v>43790</v>
      </c>
      <c r="B144">
        <v>4</v>
      </c>
      <c r="C144">
        <v>310</v>
      </c>
      <c r="D144"/>
      <c r="E144" t="s">
        <v>37</v>
      </c>
      <c r="F144" t="s">
        <v>38</v>
      </c>
      <c r="G144">
        <v>1</v>
      </c>
      <c r="H144">
        <v>144</v>
      </c>
      <c r="I144" s="25">
        <v>600</v>
      </c>
      <c r="K144" t="s">
        <v>71</v>
      </c>
      <c r="N144" t="s">
        <v>44</v>
      </c>
      <c r="O144">
        <v>199</v>
      </c>
      <c r="Q144">
        <f t="shared" si="6"/>
        <v>4</v>
      </c>
      <c r="R144">
        <v>1</v>
      </c>
      <c r="S144">
        <v>0</v>
      </c>
      <c r="T144">
        <v>0</v>
      </c>
      <c r="U144">
        <v>0</v>
      </c>
      <c r="V144">
        <v>4</v>
      </c>
      <c r="W144">
        <v>0</v>
      </c>
      <c r="X144" s="21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f t="shared" si="5"/>
        <v>256</v>
      </c>
      <c r="AP144" t="s">
        <v>41</v>
      </c>
    </row>
    <row r="145" spans="1:42">
      <c r="A145" s="1">
        <v>43790</v>
      </c>
      <c r="B145">
        <v>4</v>
      </c>
      <c r="C145">
        <v>310</v>
      </c>
      <c r="D145"/>
      <c r="E145" t="s">
        <v>37</v>
      </c>
      <c r="F145" t="s">
        <v>38</v>
      </c>
      <c r="G145">
        <v>1</v>
      </c>
      <c r="H145">
        <v>145</v>
      </c>
      <c r="I145" s="25">
        <v>558</v>
      </c>
      <c r="K145" t="s">
        <v>62</v>
      </c>
      <c r="N145" t="s">
        <v>40</v>
      </c>
      <c r="O145">
        <v>103</v>
      </c>
      <c r="Q145">
        <f t="shared" si="6"/>
        <v>4</v>
      </c>
      <c r="R145">
        <v>1</v>
      </c>
      <c r="S145">
        <v>0</v>
      </c>
      <c r="T145">
        <v>0</v>
      </c>
      <c r="U145">
        <v>0</v>
      </c>
      <c r="V145">
        <v>4</v>
      </c>
      <c r="W145">
        <v>0</v>
      </c>
      <c r="X145" s="21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f t="shared" si="5"/>
        <v>256</v>
      </c>
      <c r="AP145" t="s">
        <v>41</v>
      </c>
    </row>
    <row r="146" spans="1:42">
      <c r="A146" s="1">
        <v>43790</v>
      </c>
      <c r="B146">
        <v>4</v>
      </c>
      <c r="C146">
        <v>310</v>
      </c>
      <c r="D146"/>
      <c r="E146" t="s">
        <v>37</v>
      </c>
      <c r="F146" t="s">
        <v>38</v>
      </c>
      <c r="G146">
        <v>1</v>
      </c>
      <c r="H146">
        <v>146</v>
      </c>
      <c r="I146" s="25">
        <v>400</v>
      </c>
      <c r="K146" t="s">
        <v>71</v>
      </c>
      <c r="N146" t="s">
        <v>40</v>
      </c>
      <c r="O146">
        <v>70</v>
      </c>
      <c r="Q146">
        <f t="shared" si="6"/>
        <v>3</v>
      </c>
      <c r="R146">
        <v>1</v>
      </c>
      <c r="S146">
        <v>0</v>
      </c>
      <c r="T146">
        <v>0</v>
      </c>
      <c r="U146">
        <v>0</v>
      </c>
      <c r="V146">
        <v>3</v>
      </c>
      <c r="W146">
        <v>0</v>
      </c>
      <c r="X146" s="21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f t="shared" si="5"/>
        <v>192</v>
      </c>
      <c r="AP146" t="s">
        <v>41</v>
      </c>
    </row>
    <row r="147" spans="1:42">
      <c r="A147" s="1">
        <v>43790</v>
      </c>
      <c r="B147">
        <v>4</v>
      </c>
      <c r="C147">
        <v>310</v>
      </c>
      <c r="D147"/>
      <c r="E147" t="s">
        <v>37</v>
      </c>
      <c r="F147" t="s">
        <v>38</v>
      </c>
      <c r="G147">
        <v>1</v>
      </c>
      <c r="H147">
        <v>147</v>
      </c>
      <c r="I147" s="25">
        <v>425</v>
      </c>
      <c r="K147" t="s">
        <v>56</v>
      </c>
      <c r="N147" t="s">
        <v>40</v>
      </c>
      <c r="O147">
        <v>66</v>
      </c>
      <c r="Q147">
        <f t="shared" si="6"/>
        <v>3</v>
      </c>
      <c r="R147">
        <v>1</v>
      </c>
      <c r="S147">
        <v>0</v>
      </c>
      <c r="T147">
        <v>0</v>
      </c>
      <c r="U147">
        <v>0</v>
      </c>
      <c r="V147">
        <v>3</v>
      </c>
      <c r="W147">
        <v>0</v>
      </c>
      <c r="X147" s="21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f t="shared" si="5"/>
        <v>192</v>
      </c>
      <c r="AP147" t="s">
        <v>41</v>
      </c>
    </row>
    <row r="148" spans="1:42">
      <c r="A148" s="1">
        <v>43790</v>
      </c>
      <c r="B148">
        <v>4</v>
      </c>
      <c r="C148">
        <v>310</v>
      </c>
      <c r="D148"/>
      <c r="E148" t="s">
        <v>37</v>
      </c>
      <c r="F148" t="s">
        <v>38</v>
      </c>
      <c r="G148">
        <v>1</v>
      </c>
      <c r="H148">
        <v>148</v>
      </c>
      <c r="I148" s="25">
        <v>220</v>
      </c>
      <c r="K148" t="s">
        <v>58</v>
      </c>
      <c r="N148" t="s">
        <v>40</v>
      </c>
      <c r="O148">
        <v>66</v>
      </c>
      <c r="Q148">
        <f t="shared" si="6"/>
        <v>0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</v>
      </c>
      <c r="X148" s="21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f t="shared" si="5"/>
        <v>0</v>
      </c>
      <c r="AP148" t="s">
        <v>41</v>
      </c>
    </row>
    <row r="149" spans="1:42">
      <c r="A149" s="1">
        <v>43789</v>
      </c>
      <c r="B149">
        <v>3</v>
      </c>
      <c r="C149">
        <v>310</v>
      </c>
      <c r="D149"/>
      <c r="E149" t="s">
        <v>37</v>
      </c>
      <c r="F149" t="s">
        <v>38</v>
      </c>
      <c r="G149">
        <v>1</v>
      </c>
      <c r="H149">
        <v>1</v>
      </c>
      <c r="I149" s="25">
        <v>900</v>
      </c>
      <c r="K149" t="s">
        <v>39</v>
      </c>
      <c r="N149" t="s">
        <v>40</v>
      </c>
      <c r="O149">
        <v>48</v>
      </c>
      <c r="Q149">
        <f t="shared" si="6"/>
        <v>1</v>
      </c>
      <c r="R149">
        <v>1</v>
      </c>
      <c r="S149">
        <v>0</v>
      </c>
      <c r="T149">
        <v>0</v>
      </c>
      <c r="U149">
        <v>0</v>
      </c>
      <c r="V149">
        <v>1</v>
      </c>
      <c r="W149">
        <v>0</v>
      </c>
      <c r="X149" s="21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f t="shared" si="5"/>
        <v>64</v>
      </c>
      <c r="AP149" t="s">
        <v>41</v>
      </c>
    </row>
    <row r="150" spans="1:42">
      <c r="A150" s="1">
        <v>43789</v>
      </c>
      <c r="B150">
        <v>3</v>
      </c>
      <c r="C150">
        <v>310</v>
      </c>
      <c r="D150"/>
      <c r="E150" t="s">
        <v>37</v>
      </c>
      <c r="F150" t="s">
        <v>38</v>
      </c>
      <c r="G150">
        <v>1</v>
      </c>
      <c r="H150">
        <v>2</v>
      </c>
      <c r="I150" s="25">
        <v>125</v>
      </c>
      <c r="K150" t="s">
        <v>39</v>
      </c>
      <c r="N150" t="s">
        <v>40</v>
      </c>
      <c r="O150">
        <v>63</v>
      </c>
      <c r="Q150">
        <f t="shared" si="6"/>
        <v>3</v>
      </c>
      <c r="R150">
        <v>1</v>
      </c>
      <c r="S150">
        <v>0</v>
      </c>
      <c r="T150">
        <v>0</v>
      </c>
      <c r="U150">
        <v>0</v>
      </c>
      <c r="V150">
        <v>3</v>
      </c>
      <c r="W150">
        <v>0</v>
      </c>
      <c r="X150" s="21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f t="shared" si="5"/>
        <v>192</v>
      </c>
      <c r="AP150" t="s">
        <v>41</v>
      </c>
    </row>
    <row r="151" spans="1:42">
      <c r="A151" s="1">
        <v>43789</v>
      </c>
      <c r="B151">
        <v>3</v>
      </c>
      <c r="C151">
        <v>310</v>
      </c>
      <c r="D151"/>
      <c r="E151" t="s">
        <v>37</v>
      </c>
      <c r="F151" t="s">
        <v>38</v>
      </c>
      <c r="G151">
        <v>1</v>
      </c>
      <c r="H151">
        <v>3</v>
      </c>
      <c r="I151" s="25">
        <v>251</v>
      </c>
      <c r="K151" t="s">
        <v>39</v>
      </c>
      <c r="N151" t="s">
        <v>40</v>
      </c>
      <c r="O151">
        <v>46</v>
      </c>
      <c r="Q151">
        <f t="shared" si="6"/>
        <v>0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</v>
      </c>
      <c r="X151" s="2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f t="shared" si="5"/>
        <v>0</v>
      </c>
      <c r="AP151" t="s">
        <v>41</v>
      </c>
    </row>
    <row r="152" spans="1:42">
      <c r="A152" s="1">
        <v>43789</v>
      </c>
      <c r="B152">
        <v>3</v>
      </c>
      <c r="C152">
        <v>310</v>
      </c>
      <c r="D152"/>
      <c r="E152" t="s">
        <v>37</v>
      </c>
      <c r="F152" t="s">
        <v>38</v>
      </c>
      <c r="G152">
        <v>1</v>
      </c>
      <c r="H152">
        <v>4</v>
      </c>
      <c r="I152" s="25">
        <v>357</v>
      </c>
      <c r="K152" t="s">
        <v>39</v>
      </c>
      <c r="N152" t="s">
        <v>40</v>
      </c>
      <c r="O152">
        <v>67</v>
      </c>
      <c r="Q152">
        <f t="shared" si="6"/>
        <v>0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0</v>
      </c>
      <c r="X152" s="21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f t="shared" si="5"/>
        <v>0</v>
      </c>
      <c r="AP152" t="s">
        <v>41</v>
      </c>
    </row>
    <row r="153" spans="1:42">
      <c r="A153" s="1">
        <v>43789</v>
      </c>
      <c r="B153">
        <v>3</v>
      </c>
      <c r="C153">
        <v>310</v>
      </c>
      <c r="D153"/>
      <c r="E153" t="s">
        <v>37</v>
      </c>
      <c r="F153" t="s">
        <v>38</v>
      </c>
      <c r="G153">
        <v>1</v>
      </c>
      <c r="H153">
        <v>5</v>
      </c>
      <c r="I153" s="25"/>
      <c r="K153" t="s">
        <v>84</v>
      </c>
      <c r="N153" t="s">
        <v>42</v>
      </c>
      <c r="O153">
        <v>136</v>
      </c>
      <c r="Q153">
        <f t="shared" si="6"/>
        <v>3</v>
      </c>
      <c r="R153">
        <v>1</v>
      </c>
      <c r="S153">
        <v>0</v>
      </c>
      <c r="T153">
        <v>0</v>
      </c>
      <c r="U153">
        <v>0</v>
      </c>
      <c r="V153">
        <v>3</v>
      </c>
      <c r="W153">
        <v>0</v>
      </c>
      <c r="X153" s="21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f t="shared" si="5"/>
        <v>192</v>
      </c>
      <c r="AP153" t="s">
        <v>41</v>
      </c>
    </row>
    <row r="154" spans="1:42">
      <c r="A154" s="1">
        <v>43789</v>
      </c>
      <c r="B154">
        <v>3</v>
      </c>
      <c r="C154">
        <v>310</v>
      </c>
      <c r="D154"/>
      <c r="E154" t="s">
        <v>37</v>
      </c>
      <c r="F154" t="s">
        <v>38</v>
      </c>
      <c r="G154">
        <v>1</v>
      </c>
      <c r="H154">
        <v>6</v>
      </c>
      <c r="I154" s="25">
        <v>650</v>
      </c>
      <c r="K154" t="s">
        <v>46</v>
      </c>
      <c r="N154" t="s">
        <v>44</v>
      </c>
      <c r="O154">
        <v>90</v>
      </c>
      <c r="Q154">
        <f t="shared" si="6"/>
        <v>1</v>
      </c>
      <c r="R154">
        <v>1</v>
      </c>
      <c r="S154">
        <v>0</v>
      </c>
      <c r="T154">
        <v>0</v>
      </c>
      <c r="U154">
        <v>0</v>
      </c>
      <c r="V154">
        <v>1</v>
      </c>
      <c r="W154">
        <v>0</v>
      </c>
      <c r="X154" s="21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f t="shared" si="5"/>
        <v>64</v>
      </c>
      <c r="AP154" t="s">
        <v>41</v>
      </c>
    </row>
    <row r="155" spans="1:42">
      <c r="A155" s="1">
        <v>43789</v>
      </c>
      <c r="B155">
        <v>3</v>
      </c>
      <c r="C155">
        <v>310</v>
      </c>
      <c r="D155"/>
      <c r="E155" t="s">
        <v>37</v>
      </c>
      <c r="F155" t="s">
        <v>38</v>
      </c>
      <c r="G155">
        <v>1</v>
      </c>
      <c r="H155">
        <v>7</v>
      </c>
      <c r="I155" s="25" t="s">
        <v>85</v>
      </c>
      <c r="K155" t="s">
        <v>46</v>
      </c>
      <c r="N155" t="s">
        <v>44</v>
      </c>
      <c r="O155">
        <v>72</v>
      </c>
      <c r="Q155">
        <f t="shared" si="6"/>
        <v>1</v>
      </c>
      <c r="R155">
        <v>1</v>
      </c>
      <c r="S155">
        <v>0</v>
      </c>
      <c r="T155">
        <v>0</v>
      </c>
      <c r="U155">
        <v>0</v>
      </c>
      <c r="V155">
        <v>1</v>
      </c>
      <c r="W155">
        <v>0</v>
      </c>
      <c r="X155" s="21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f t="shared" si="5"/>
        <v>64</v>
      </c>
      <c r="AL155" t="s">
        <v>45</v>
      </c>
      <c r="AP155" t="s">
        <v>41</v>
      </c>
    </row>
    <row r="156" spans="1:42">
      <c r="A156" s="1">
        <v>43789</v>
      </c>
      <c r="B156">
        <v>3</v>
      </c>
      <c r="C156">
        <v>310</v>
      </c>
      <c r="D156"/>
      <c r="E156" t="s">
        <v>37</v>
      </c>
      <c r="F156" t="s">
        <v>38</v>
      </c>
      <c r="G156">
        <v>1</v>
      </c>
      <c r="H156">
        <v>8</v>
      </c>
      <c r="I156" s="25">
        <v>359</v>
      </c>
      <c r="K156" t="s">
        <v>48</v>
      </c>
      <c r="N156" t="s">
        <v>40</v>
      </c>
      <c r="O156">
        <v>48</v>
      </c>
      <c r="Q156">
        <f t="shared" si="6"/>
        <v>0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0</v>
      </c>
      <c r="X156" s="21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f t="shared" si="5"/>
        <v>0</v>
      </c>
      <c r="AP156" t="s">
        <v>41</v>
      </c>
    </row>
    <row r="157" spans="1:42">
      <c r="A157" s="1">
        <v>43789</v>
      </c>
      <c r="B157">
        <v>3</v>
      </c>
      <c r="C157">
        <v>310</v>
      </c>
      <c r="D157"/>
      <c r="E157" t="s">
        <v>37</v>
      </c>
      <c r="F157" t="s">
        <v>38</v>
      </c>
      <c r="G157">
        <v>1</v>
      </c>
      <c r="H157">
        <v>9</v>
      </c>
      <c r="I157" s="25">
        <v>314</v>
      </c>
      <c r="K157" t="s">
        <v>49</v>
      </c>
      <c r="O157">
        <v>68</v>
      </c>
      <c r="Q157">
        <f t="shared" si="6"/>
        <v>2</v>
      </c>
      <c r="R157">
        <v>1</v>
      </c>
      <c r="S157">
        <v>0</v>
      </c>
      <c r="T157">
        <v>0</v>
      </c>
      <c r="U157">
        <v>0</v>
      </c>
      <c r="V157">
        <v>2</v>
      </c>
      <c r="W157">
        <v>0</v>
      </c>
      <c r="X157" s="21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f t="shared" si="5"/>
        <v>128</v>
      </c>
      <c r="AP157" t="s">
        <v>41</v>
      </c>
    </row>
    <row r="158" spans="1:42">
      <c r="A158" s="1">
        <v>43789</v>
      </c>
      <c r="B158">
        <v>3</v>
      </c>
      <c r="C158">
        <v>310</v>
      </c>
      <c r="D158"/>
      <c r="E158" t="s">
        <v>37</v>
      </c>
      <c r="F158" t="s">
        <v>38</v>
      </c>
      <c r="G158">
        <v>1</v>
      </c>
      <c r="H158">
        <v>10</v>
      </c>
      <c r="I158" s="25">
        <v>250</v>
      </c>
      <c r="K158" t="s">
        <v>49</v>
      </c>
      <c r="N158" t="s">
        <v>40</v>
      </c>
      <c r="O158">
        <v>76</v>
      </c>
      <c r="Q158">
        <f t="shared" si="6"/>
        <v>1</v>
      </c>
      <c r="R158">
        <v>1</v>
      </c>
      <c r="S158">
        <v>0</v>
      </c>
      <c r="T158">
        <v>0</v>
      </c>
      <c r="U158">
        <v>0</v>
      </c>
      <c r="V158">
        <v>1</v>
      </c>
      <c r="W158">
        <v>0</v>
      </c>
      <c r="X158" s="21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f t="shared" si="5"/>
        <v>64</v>
      </c>
      <c r="AP158" t="s">
        <v>41</v>
      </c>
    </row>
    <row r="159" spans="1:42">
      <c r="A159" s="1">
        <v>43789</v>
      </c>
      <c r="B159">
        <v>3</v>
      </c>
      <c r="C159">
        <v>310</v>
      </c>
      <c r="D159"/>
      <c r="E159" t="s">
        <v>37</v>
      </c>
      <c r="F159" t="s">
        <v>38</v>
      </c>
      <c r="G159">
        <v>1</v>
      </c>
      <c r="H159">
        <v>11</v>
      </c>
      <c r="I159" s="25">
        <v>222</v>
      </c>
      <c r="K159" t="s">
        <v>49</v>
      </c>
      <c r="N159" t="s">
        <v>40</v>
      </c>
      <c r="O159">
        <v>76</v>
      </c>
      <c r="Q159">
        <f t="shared" si="6"/>
        <v>2</v>
      </c>
      <c r="R159">
        <v>1</v>
      </c>
      <c r="S159">
        <v>0</v>
      </c>
      <c r="T159">
        <v>0</v>
      </c>
      <c r="U159">
        <v>0</v>
      </c>
      <c r="V159">
        <v>2</v>
      </c>
      <c r="W159">
        <v>0</v>
      </c>
      <c r="X159" s="21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f t="shared" si="5"/>
        <v>128</v>
      </c>
      <c r="AP159" t="s">
        <v>41</v>
      </c>
    </row>
    <row r="160" spans="1:42">
      <c r="A160" s="1">
        <v>43789</v>
      </c>
      <c r="B160">
        <v>3</v>
      </c>
      <c r="C160">
        <v>310</v>
      </c>
      <c r="D160"/>
      <c r="E160" t="s">
        <v>37</v>
      </c>
      <c r="F160" t="s">
        <v>38</v>
      </c>
      <c r="G160">
        <v>1</v>
      </c>
      <c r="H160">
        <v>12</v>
      </c>
      <c r="I160" s="25">
        <v>344</v>
      </c>
      <c r="K160" t="s">
        <v>48</v>
      </c>
      <c r="N160" t="s">
        <v>40</v>
      </c>
      <c r="O160">
        <v>76</v>
      </c>
      <c r="Q160">
        <f t="shared" si="6"/>
        <v>3</v>
      </c>
      <c r="R160">
        <v>1</v>
      </c>
      <c r="S160">
        <v>0</v>
      </c>
      <c r="T160">
        <v>0</v>
      </c>
      <c r="U160">
        <v>0</v>
      </c>
      <c r="V160">
        <v>3</v>
      </c>
      <c r="W160">
        <v>0</v>
      </c>
      <c r="X160" s="21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f t="shared" si="5"/>
        <v>192</v>
      </c>
      <c r="AP160" t="s">
        <v>41</v>
      </c>
    </row>
    <row r="161" spans="1:42">
      <c r="A161" s="1">
        <v>43789</v>
      </c>
      <c r="B161">
        <v>3</v>
      </c>
      <c r="C161">
        <v>310</v>
      </c>
      <c r="D161"/>
      <c r="E161" t="s">
        <v>37</v>
      </c>
      <c r="F161" t="s">
        <v>38</v>
      </c>
      <c r="G161">
        <v>1</v>
      </c>
      <c r="H161">
        <v>13</v>
      </c>
      <c r="I161" s="25">
        <v>391</v>
      </c>
      <c r="K161" t="s">
        <v>49</v>
      </c>
      <c r="N161" t="s">
        <v>44</v>
      </c>
      <c r="O161">
        <v>56</v>
      </c>
      <c r="Q161">
        <f t="shared" si="6"/>
        <v>1</v>
      </c>
      <c r="R161">
        <v>1</v>
      </c>
      <c r="S161">
        <v>0</v>
      </c>
      <c r="T161">
        <v>0</v>
      </c>
      <c r="U161">
        <v>0</v>
      </c>
      <c r="V161">
        <v>1</v>
      </c>
      <c r="W161">
        <v>0</v>
      </c>
      <c r="X161" s="2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f t="shared" si="5"/>
        <v>64</v>
      </c>
      <c r="AP161" t="s">
        <v>41</v>
      </c>
    </row>
    <row r="162" spans="1:42">
      <c r="A162" s="1">
        <v>43789</v>
      </c>
      <c r="B162">
        <v>3</v>
      </c>
      <c r="C162">
        <v>310</v>
      </c>
      <c r="D162"/>
      <c r="E162" t="s">
        <v>37</v>
      </c>
      <c r="F162" t="s">
        <v>38</v>
      </c>
      <c r="G162">
        <v>1</v>
      </c>
      <c r="H162">
        <v>14</v>
      </c>
      <c r="I162" s="25">
        <v>391</v>
      </c>
      <c r="K162" t="s">
        <v>49</v>
      </c>
      <c r="N162" t="s">
        <v>40</v>
      </c>
      <c r="O162">
        <v>40</v>
      </c>
      <c r="Q162">
        <f t="shared" si="6"/>
        <v>1</v>
      </c>
      <c r="R162">
        <v>1</v>
      </c>
      <c r="S162">
        <v>0</v>
      </c>
      <c r="T162">
        <v>0</v>
      </c>
      <c r="U162">
        <v>0</v>
      </c>
      <c r="V162">
        <v>1</v>
      </c>
      <c r="W162">
        <v>0</v>
      </c>
      <c r="X162" s="21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f t="shared" si="5"/>
        <v>64</v>
      </c>
      <c r="AL162" t="s">
        <v>86</v>
      </c>
      <c r="AP162" t="s">
        <v>41</v>
      </c>
    </row>
    <row r="163" spans="1:42">
      <c r="A163" s="1">
        <v>43789</v>
      </c>
      <c r="B163">
        <v>3</v>
      </c>
      <c r="C163">
        <v>310</v>
      </c>
      <c r="D163"/>
      <c r="E163" t="s">
        <v>37</v>
      </c>
      <c r="F163" t="s">
        <v>38</v>
      </c>
      <c r="G163">
        <v>1</v>
      </c>
      <c r="H163">
        <v>15</v>
      </c>
      <c r="I163" s="25">
        <v>340</v>
      </c>
      <c r="K163" t="s">
        <v>50</v>
      </c>
      <c r="N163" t="s">
        <v>40</v>
      </c>
      <c r="O163">
        <v>82</v>
      </c>
      <c r="Q163">
        <f t="shared" si="6"/>
        <v>3</v>
      </c>
      <c r="R163">
        <v>1</v>
      </c>
      <c r="S163">
        <v>0</v>
      </c>
      <c r="T163">
        <v>0</v>
      </c>
      <c r="U163">
        <v>0</v>
      </c>
      <c r="V163">
        <v>3</v>
      </c>
      <c r="W163">
        <v>0</v>
      </c>
      <c r="X163" s="21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f t="shared" si="5"/>
        <v>192</v>
      </c>
      <c r="AP163" t="s">
        <v>41</v>
      </c>
    </row>
    <row r="164" spans="1:42">
      <c r="A164" s="1">
        <v>43789</v>
      </c>
      <c r="B164">
        <v>3</v>
      </c>
      <c r="C164">
        <v>310</v>
      </c>
      <c r="D164"/>
      <c r="E164" t="s">
        <v>37</v>
      </c>
      <c r="F164" t="s">
        <v>38</v>
      </c>
      <c r="G164">
        <v>1</v>
      </c>
      <c r="H164">
        <v>16</v>
      </c>
      <c r="I164" s="25">
        <v>445</v>
      </c>
      <c r="K164" t="s">
        <v>50</v>
      </c>
      <c r="N164" t="s">
        <v>40</v>
      </c>
      <c r="O164">
        <v>45</v>
      </c>
      <c r="Q164">
        <f t="shared" si="6"/>
        <v>1</v>
      </c>
      <c r="R164">
        <v>1</v>
      </c>
      <c r="S164">
        <v>0</v>
      </c>
      <c r="T164">
        <v>0</v>
      </c>
      <c r="U164">
        <v>1</v>
      </c>
      <c r="V164">
        <v>0</v>
      </c>
      <c r="W164">
        <v>0</v>
      </c>
      <c r="X164" s="21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f t="shared" si="5"/>
        <v>32</v>
      </c>
      <c r="AP164" t="s">
        <v>41</v>
      </c>
    </row>
    <row r="165" spans="1:42">
      <c r="A165" s="1">
        <v>43789</v>
      </c>
      <c r="B165">
        <v>3</v>
      </c>
      <c r="C165">
        <v>310</v>
      </c>
      <c r="D165"/>
      <c r="E165" t="s">
        <v>37</v>
      </c>
      <c r="F165" t="s">
        <v>38</v>
      </c>
      <c r="G165">
        <v>1</v>
      </c>
      <c r="H165">
        <v>17</v>
      </c>
      <c r="I165" s="25">
        <v>429</v>
      </c>
      <c r="K165" t="s">
        <v>50</v>
      </c>
      <c r="N165" t="s">
        <v>40</v>
      </c>
      <c r="O165">
        <v>31</v>
      </c>
      <c r="Q165">
        <f t="shared" si="6"/>
        <v>0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 s="21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f t="shared" si="5"/>
        <v>0</v>
      </c>
      <c r="AP165" t="s">
        <v>41</v>
      </c>
    </row>
    <row r="166" spans="1:42">
      <c r="A166" s="1">
        <v>43789</v>
      </c>
      <c r="B166">
        <v>3</v>
      </c>
      <c r="C166">
        <v>310</v>
      </c>
      <c r="D166"/>
      <c r="E166" t="s">
        <v>37</v>
      </c>
      <c r="F166" t="s">
        <v>38</v>
      </c>
      <c r="G166">
        <v>1</v>
      </c>
      <c r="H166">
        <v>18</v>
      </c>
      <c r="I166" s="25">
        <v>432</v>
      </c>
      <c r="K166" t="s">
        <v>49</v>
      </c>
      <c r="N166" t="s">
        <v>40</v>
      </c>
      <c r="O166">
        <v>52</v>
      </c>
      <c r="Q166">
        <f t="shared" si="6"/>
        <v>0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0</v>
      </c>
      <c r="X166" s="21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f t="shared" si="5"/>
        <v>0</v>
      </c>
      <c r="AP166" t="s">
        <v>41</v>
      </c>
    </row>
    <row r="167" spans="1:42">
      <c r="A167" s="1">
        <v>43789</v>
      </c>
      <c r="B167">
        <v>3</v>
      </c>
      <c r="C167">
        <v>310</v>
      </c>
      <c r="D167"/>
      <c r="E167" t="s">
        <v>37</v>
      </c>
      <c r="F167" t="s">
        <v>38</v>
      </c>
      <c r="G167">
        <v>1</v>
      </c>
      <c r="H167">
        <v>19</v>
      </c>
      <c r="I167" s="25">
        <v>441</v>
      </c>
      <c r="K167" t="s">
        <v>49</v>
      </c>
      <c r="N167" t="s">
        <v>40</v>
      </c>
      <c r="O167">
        <v>115</v>
      </c>
      <c r="Q167">
        <f t="shared" si="6"/>
        <v>2</v>
      </c>
      <c r="R167">
        <v>1</v>
      </c>
      <c r="S167">
        <v>0</v>
      </c>
      <c r="T167">
        <v>0</v>
      </c>
      <c r="U167">
        <v>0</v>
      </c>
      <c r="V167">
        <v>2</v>
      </c>
      <c r="W167">
        <v>0</v>
      </c>
      <c r="X167" s="21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f t="shared" si="5"/>
        <v>128</v>
      </c>
      <c r="AP167" t="s">
        <v>41</v>
      </c>
    </row>
    <row r="168" spans="1:42">
      <c r="A168" s="1">
        <v>43789</v>
      </c>
      <c r="B168">
        <v>3</v>
      </c>
      <c r="C168">
        <v>310</v>
      </c>
      <c r="D168"/>
      <c r="E168" t="s">
        <v>37</v>
      </c>
      <c r="F168" t="s">
        <v>38</v>
      </c>
      <c r="G168">
        <v>1</v>
      </c>
      <c r="H168">
        <v>20</v>
      </c>
      <c r="I168" s="25">
        <v>450</v>
      </c>
      <c r="K168" t="s">
        <v>49</v>
      </c>
      <c r="N168" t="s">
        <v>40</v>
      </c>
      <c r="O168">
        <v>115</v>
      </c>
      <c r="Q168">
        <f t="shared" si="6"/>
        <v>5</v>
      </c>
      <c r="R168">
        <v>1</v>
      </c>
      <c r="S168">
        <v>0</v>
      </c>
      <c r="T168">
        <v>0</v>
      </c>
      <c r="U168">
        <v>1</v>
      </c>
      <c r="V168">
        <v>4</v>
      </c>
      <c r="W168">
        <v>0</v>
      </c>
      <c r="X168" s="21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f t="shared" si="5"/>
        <v>288</v>
      </c>
      <c r="AP168" t="s">
        <v>41</v>
      </c>
    </row>
    <row r="169" spans="1:42">
      <c r="A169" s="1">
        <v>43789</v>
      </c>
      <c r="B169">
        <v>3</v>
      </c>
      <c r="C169">
        <v>310</v>
      </c>
      <c r="D169"/>
      <c r="E169" t="s">
        <v>37</v>
      </c>
      <c r="F169" t="s">
        <v>38</v>
      </c>
      <c r="G169">
        <v>1</v>
      </c>
      <c r="H169">
        <v>21</v>
      </c>
      <c r="I169" s="25">
        <v>450</v>
      </c>
      <c r="K169" t="s">
        <v>75</v>
      </c>
      <c r="N169" t="s">
        <v>40</v>
      </c>
      <c r="O169">
        <v>115</v>
      </c>
      <c r="Q169">
        <f t="shared" si="6"/>
        <v>5</v>
      </c>
      <c r="R169">
        <v>1</v>
      </c>
      <c r="S169">
        <v>0</v>
      </c>
      <c r="T169">
        <v>0</v>
      </c>
      <c r="U169">
        <v>0</v>
      </c>
      <c r="V169">
        <v>5</v>
      </c>
      <c r="W169">
        <v>0</v>
      </c>
      <c r="X169" s="21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f t="shared" si="5"/>
        <v>320</v>
      </c>
      <c r="AP169" t="s">
        <v>41</v>
      </c>
    </row>
    <row r="170" spans="1:42">
      <c r="A170" s="1">
        <v>43789</v>
      </c>
      <c r="B170">
        <v>3</v>
      </c>
      <c r="C170">
        <v>310</v>
      </c>
      <c r="D170"/>
      <c r="E170" t="s">
        <v>37</v>
      </c>
      <c r="F170" t="s">
        <v>38</v>
      </c>
      <c r="G170">
        <v>1</v>
      </c>
      <c r="H170">
        <v>22</v>
      </c>
      <c r="I170" s="25">
        <v>272</v>
      </c>
      <c r="K170" t="s">
        <v>53</v>
      </c>
      <c r="N170" t="s">
        <v>40</v>
      </c>
      <c r="O170">
        <v>50</v>
      </c>
      <c r="Q170">
        <f t="shared" si="6"/>
        <v>1</v>
      </c>
      <c r="R170">
        <v>1</v>
      </c>
      <c r="S170">
        <v>0</v>
      </c>
      <c r="T170">
        <v>0</v>
      </c>
      <c r="U170">
        <v>1</v>
      </c>
      <c r="V170">
        <v>0</v>
      </c>
      <c r="W170">
        <v>0</v>
      </c>
      <c r="X170" s="21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f t="shared" si="5"/>
        <v>32</v>
      </c>
      <c r="AP170" t="s">
        <v>41</v>
      </c>
    </row>
    <row r="171" spans="1:42">
      <c r="A171" s="1">
        <v>43789</v>
      </c>
      <c r="B171">
        <v>3</v>
      </c>
      <c r="C171">
        <v>310</v>
      </c>
      <c r="D171"/>
      <c r="E171" t="s">
        <v>37</v>
      </c>
      <c r="F171" t="s">
        <v>38</v>
      </c>
      <c r="G171">
        <v>1</v>
      </c>
      <c r="H171">
        <v>23</v>
      </c>
      <c r="I171" s="25">
        <v>419</v>
      </c>
      <c r="K171" t="s">
        <v>48</v>
      </c>
      <c r="N171" t="s">
        <v>40</v>
      </c>
      <c r="O171">
        <v>45</v>
      </c>
      <c r="Q171">
        <f t="shared" si="6"/>
        <v>1</v>
      </c>
      <c r="R171">
        <v>1</v>
      </c>
      <c r="S171">
        <v>0</v>
      </c>
      <c r="T171">
        <v>0</v>
      </c>
      <c r="U171">
        <v>0</v>
      </c>
      <c r="V171">
        <v>1</v>
      </c>
      <c r="W171">
        <v>0</v>
      </c>
      <c r="X171" s="2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f t="shared" si="5"/>
        <v>64</v>
      </c>
      <c r="AP171" t="s">
        <v>41</v>
      </c>
    </row>
    <row r="172" spans="1:42">
      <c r="A172" s="1">
        <v>43789</v>
      </c>
      <c r="B172">
        <v>3</v>
      </c>
      <c r="C172">
        <v>310</v>
      </c>
      <c r="D172"/>
      <c r="E172" t="s">
        <v>37</v>
      </c>
      <c r="F172" t="s">
        <v>38</v>
      </c>
      <c r="G172">
        <v>1</v>
      </c>
      <c r="H172">
        <v>24</v>
      </c>
      <c r="I172" s="25">
        <v>465</v>
      </c>
      <c r="K172" t="s">
        <v>48</v>
      </c>
      <c r="N172" t="s">
        <v>40</v>
      </c>
      <c r="O172">
        <v>31</v>
      </c>
      <c r="Q172">
        <f t="shared" si="6"/>
        <v>10</v>
      </c>
      <c r="R172">
        <v>1</v>
      </c>
      <c r="S172">
        <v>0</v>
      </c>
      <c r="T172">
        <v>0</v>
      </c>
      <c r="U172">
        <v>0</v>
      </c>
      <c r="V172">
        <v>10</v>
      </c>
      <c r="W172">
        <v>0</v>
      </c>
      <c r="X172" s="21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f t="shared" si="5"/>
        <v>640</v>
      </c>
      <c r="AP172" t="s">
        <v>41</v>
      </c>
    </row>
    <row r="173" spans="1:42">
      <c r="A173" s="1">
        <v>43789</v>
      </c>
      <c r="B173">
        <v>3</v>
      </c>
      <c r="C173">
        <v>310</v>
      </c>
      <c r="D173"/>
      <c r="E173" t="s">
        <v>37</v>
      </c>
      <c r="F173" t="s">
        <v>38</v>
      </c>
      <c r="G173">
        <v>1</v>
      </c>
      <c r="H173">
        <v>25</v>
      </c>
      <c r="I173" s="25">
        <v>601</v>
      </c>
      <c r="K173" t="s">
        <v>56</v>
      </c>
      <c r="N173" t="s">
        <v>44</v>
      </c>
      <c r="O173">
        <v>132</v>
      </c>
      <c r="Q173">
        <f t="shared" si="6"/>
        <v>10</v>
      </c>
      <c r="R173">
        <v>1</v>
      </c>
      <c r="S173">
        <v>0</v>
      </c>
      <c r="T173">
        <v>0</v>
      </c>
      <c r="U173">
        <v>0</v>
      </c>
      <c r="V173">
        <v>10</v>
      </c>
      <c r="W173">
        <v>0</v>
      </c>
      <c r="X173" s="21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f t="shared" si="5"/>
        <v>640</v>
      </c>
      <c r="AP173" t="s">
        <v>41</v>
      </c>
    </row>
    <row r="174" spans="1:42">
      <c r="A174" s="1">
        <v>43789</v>
      </c>
      <c r="B174">
        <v>3</v>
      </c>
      <c r="C174">
        <v>310</v>
      </c>
      <c r="D174"/>
      <c r="E174" t="s">
        <v>37</v>
      </c>
      <c r="F174" t="s">
        <v>38</v>
      </c>
      <c r="G174">
        <v>1</v>
      </c>
      <c r="H174">
        <v>26</v>
      </c>
      <c r="I174" s="25">
        <v>350</v>
      </c>
      <c r="K174" t="s">
        <v>56</v>
      </c>
      <c r="N174" t="s">
        <v>40</v>
      </c>
      <c r="O174">
        <v>159</v>
      </c>
      <c r="Q174">
        <f t="shared" si="6"/>
        <v>5</v>
      </c>
      <c r="R174">
        <v>1</v>
      </c>
      <c r="S174">
        <v>0</v>
      </c>
      <c r="T174">
        <v>0</v>
      </c>
      <c r="U174">
        <v>0</v>
      </c>
      <c r="V174">
        <v>5</v>
      </c>
      <c r="W174">
        <v>0</v>
      </c>
      <c r="X174" s="21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f t="shared" si="5"/>
        <v>320</v>
      </c>
      <c r="AP174" t="s">
        <v>41</v>
      </c>
    </row>
    <row r="175" spans="1:42">
      <c r="A175" s="1">
        <v>43789</v>
      </c>
      <c r="B175">
        <v>3</v>
      </c>
      <c r="C175">
        <v>310</v>
      </c>
      <c r="D175"/>
      <c r="E175" t="s">
        <v>37</v>
      </c>
      <c r="F175" t="s">
        <v>38</v>
      </c>
      <c r="G175">
        <v>1</v>
      </c>
      <c r="H175">
        <v>27</v>
      </c>
      <c r="I175" s="25">
        <v>350</v>
      </c>
      <c r="K175" t="s">
        <v>58</v>
      </c>
      <c r="N175" t="s">
        <v>40</v>
      </c>
      <c r="O175">
        <v>159</v>
      </c>
      <c r="Q175">
        <f t="shared" si="6"/>
        <v>1</v>
      </c>
      <c r="R175">
        <v>1</v>
      </c>
      <c r="S175">
        <v>0</v>
      </c>
      <c r="T175">
        <v>0</v>
      </c>
      <c r="U175">
        <v>1</v>
      </c>
      <c r="V175">
        <v>0</v>
      </c>
      <c r="W175">
        <v>0</v>
      </c>
      <c r="X175" s="21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f t="shared" si="5"/>
        <v>32</v>
      </c>
      <c r="AP175" t="s">
        <v>41</v>
      </c>
    </row>
    <row r="176" spans="1:42">
      <c r="A176" s="1">
        <v>43789</v>
      </c>
      <c r="B176">
        <v>3</v>
      </c>
      <c r="C176">
        <v>310</v>
      </c>
      <c r="D176"/>
      <c r="E176" t="s">
        <v>37</v>
      </c>
      <c r="F176" t="s">
        <v>38</v>
      </c>
      <c r="G176">
        <v>1</v>
      </c>
      <c r="H176">
        <v>28</v>
      </c>
      <c r="I176" s="25">
        <v>348</v>
      </c>
      <c r="K176" t="s">
        <v>62</v>
      </c>
      <c r="N176" t="s">
        <v>40</v>
      </c>
      <c r="O176">
        <v>159</v>
      </c>
      <c r="Q176">
        <f t="shared" si="6"/>
        <v>3</v>
      </c>
      <c r="R176">
        <v>1</v>
      </c>
      <c r="S176">
        <v>0</v>
      </c>
      <c r="T176">
        <v>0</v>
      </c>
      <c r="U176">
        <v>0</v>
      </c>
      <c r="V176">
        <v>3</v>
      </c>
      <c r="W176">
        <v>0</v>
      </c>
      <c r="X176" s="21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f t="shared" si="5"/>
        <v>192</v>
      </c>
      <c r="AP176" t="s">
        <v>41</v>
      </c>
    </row>
    <row r="177" spans="1:42">
      <c r="A177" s="1">
        <v>43789</v>
      </c>
      <c r="B177">
        <v>3</v>
      </c>
      <c r="C177">
        <v>310</v>
      </c>
      <c r="D177"/>
      <c r="E177" t="s">
        <v>37</v>
      </c>
      <c r="F177" t="s">
        <v>38</v>
      </c>
      <c r="G177">
        <v>1</v>
      </c>
      <c r="H177">
        <v>29</v>
      </c>
      <c r="I177" s="25" t="s">
        <v>87</v>
      </c>
      <c r="K177" t="s">
        <v>56</v>
      </c>
      <c r="N177" t="s">
        <v>40</v>
      </c>
      <c r="O177">
        <v>88</v>
      </c>
      <c r="Q177">
        <f t="shared" si="6"/>
        <v>5</v>
      </c>
      <c r="R177">
        <v>1</v>
      </c>
      <c r="S177">
        <v>0</v>
      </c>
      <c r="T177">
        <v>0</v>
      </c>
      <c r="U177">
        <v>0</v>
      </c>
      <c r="V177">
        <v>5</v>
      </c>
      <c r="W177">
        <v>0</v>
      </c>
      <c r="X177" s="21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f t="shared" si="5"/>
        <v>320</v>
      </c>
      <c r="AP177" t="s">
        <v>41</v>
      </c>
    </row>
    <row r="178" spans="1:42">
      <c r="A178" s="1">
        <v>43789</v>
      </c>
      <c r="B178">
        <v>3</v>
      </c>
      <c r="C178">
        <v>310</v>
      </c>
      <c r="D178"/>
      <c r="E178" t="s">
        <v>37</v>
      </c>
      <c r="F178" t="s">
        <v>38</v>
      </c>
      <c r="G178">
        <v>1</v>
      </c>
      <c r="H178">
        <v>30</v>
      </c>
      <c r="I178" s="25">
        <v>220</v>
      </c>
      <c r="K178" t="s">
        <v>60</v>
      </c>
      <c r="N178" t="s">
        <v>40</v>
      </c>
      <c r="O178">
        <v>75</v>
      </c>
      <c r="Q178">
        <f t="shared" si="6"/>
        <v>1</v>
      </c>
      <c r="R178">
        <v>1</v>
      </c>
      <c r="S178">
        <v>0</v>
      </c>
      <c r="T178">
        <v>0</v>
      </c>
      <c r="U178">
        <v>1</v>
      </c>
      <c r="V178">
        <v>0</v>
      </c>
      <c r="W178">
        <v>0</v>
      </c>
      <c r="X178" s="21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f t="shared" si="5"/>
        <v>32</v>
      </c>
      <c r="AP178" t="s">
        <v>41</v>
      </c>
    </row>
    <row r="179" spans="1:42">
      <c r="A179" s="1">
        <v>43789</v>
      </c>
      <c r="B179">
        <v>3</v>
      </c>
      <c r="C179">
        <v>310</v>
      </c>
      <c r="D179"/>
      <c r="E179" t="s">
        <v>37</v>
      </c>
      <c r="F179" t="s">
        <v>38</v>
      </c>
      <c r="G179">
        <v>1</v>
      </c>
      <c r="H179">
        <v>31</v>
      </c>
      <c r="I179" s="25">
        <v>220</v>
      </c>
      <c r="K179" t="s">
        <v>60</v>
      </c>
      <c r="N179" t="s">
        <v>40</v>
      </c>
      <c r="O179">
        <v>75</v>
      </c>
      <c r="Q179">
        <f t="shared" si="6"/>
        <v>1</v>
      </c>
      <c r="R179">
        <v>1</v>
      </c>
      <c r="S179">
        <v>0</v>
      </c>
      <c r="T179">
        <v>0</v>
      </c>
      <c r="U179">
        <v>1</v>
      </c>
      <c r="V179">
        <v>0</v>
      </c>
      <c r="W179">
        <v>0</v>
      </c>
      <c r="X179" s="21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f t="shared" si="5"/>
        <v>32</v>
      </c>
      <c r="AP179" t="s">
        <v>41</v>
      </c>
    </row>
    <row r="180" spans="1:42">
      <c r="A180" s="1">
        <v>43789</v>
      </c>
      <c r="B180">
        <v>3</v>
      </c>
      <c r="C180">
        <v>310</v>
      </c>
      <c r="D180"/>
      <c r="E180" t="s">
        <v>37</v>
      </c>
      <c r="F180" t="s">
        <v>38</v>
      </c>
      <c r="G180">
        <v>1</v>
      </c>
      <c r="H180">
        <v>32</v>
      </c>
      <c r="I180" s="25">
        <v>250</v>
      </c>
      <c r="K180" t="s">
        <v>56</v>
      </c>
      <c r="N180" t="s">
        <v>40</v>
      </c>
      <c r="O180">
        <v>75</v>
      </c>
      <c r="Q180">
        <f t="shared" si="6"/>
        <v>2</v>
      </c>
      <c r="R180">
        <v>1</v>
      </c>
      <c r="S180">
        <v>0</v>
      </c>
      <c r="T180">
        <v>0</v>
      </c>
      <c r="U180">
        <v>0</v>
      </c>
      <c r="V180">
        <v>2</v>
      </c>
      <c r="W180">
        <v>0</v>
      </c>
      <c r="X180" s="21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f t="shared" si="5"/>
        <v>128</v>
      </c>
      <c r="AP180" t="s">
        <v>41</v>
      </c>
    </row>
    <row r="181" spans="1:42">
      <c r="A181" s="1">
        <v>43789</v>
      </c>
      <c r="B181">
        <v>3</v>
      </c>
      <c r="C181">
        <v>310</v>
      </c>
      <c r="D181"/>
      <c r="E181" t="s">
        <v>37</v>
      </c>
      <c r="F181" t="s">
        <v>38</v>
      </c>
      <c r="G181">
        <v>1</v>
      </c>
      <c r="H181">
        <v>33</v>
      </c>
      <c r="I181" s="25">
        <v>220</v>
      </c>
      <c r="K181" t="s">
        <v>56</v>
      </c>
      <c r="N181" t="s">
        <v>40</v>
      </c>
      <c r="O181">
        <v>75</v>
      </c>
      <c r="Q181">
        <f t="shared" si="6"/>
        <v>3</v>
      </c>
      <c r="R181">
        <v>1</v>
      </c>
      <c r="S181">
        <v>0</v>
      </c>
      <c r="T181">
        <v>0</v>
      </c>
      <c r="U181">
        <v>0</v>
      </c>
      <c r="V181">
        <v>3</v>
      </c>
      <c r="W181">
        <v>0</v>
      </c>
      <c r="X181" s="2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f t="shared" si="5"/>
        <v>192</v>
      </c>
      <c r="AP181" t="s">
        <v>41</v>
      </c>
    </row>
    <row r="182" spans="1:42">
      <c r="A182" s="1">
        <v>43789</v>
      </c>
      <c r="B182">
        <v>3</v>
      </c>
      <c r="C182">
        <v>310</v>
      </c>
      <c r="D182"/>
      <c r="E182" t="s">
        <v>37</v>
      </c>
      <c r="F182" t="s">
        <v>38</v>
      </c>
      <c r="G182">
        <v>1</v>
      </c>
      <c r="H182">
        <v>34</v>
      </c>
      <c r="I182" s="25">
        <v>227</v>
      </c>
      <c r="K182" t="s">
        <v>61</v>
      </c>
      <c r="N182" t="s">
        <v>40</v>
      </c>
      <c r="O182">
        <v>42</v>
      </c>
      <c r="Q182">
        <f t="shared" si="6"/>
        <v>1</v>
      </c>
      <c r="R182">
        <v>1</v>
      </c>
      <c r="S182">
        <v>0</v>
      </c>
      <c r="T182">
        <v>0</v>
      </c>
      <c r="U182">
        <v>0</v>
      </c>
      <c r="V182">
        <v>1</v>
      </c>
      <c r="W182">
        <v>0</v>
      </c>
      <c r="X182" s="21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f t="shared" si="5"/>
        <v>64</v>
      </c>
      <c r="AP182" t="s">
        <v>41</v>
      </c>
    </row>
    <row r="183" spans="1:42">
      <c r="A183" s="1">
        <v>43789</v>
      </c>
      <c r="B183">
        <v>3</v>
      </c>
      <c r="C183">
        <v>310</v>
      </c>
      <c r="D183"/>
      <c r="E183" t="s">
        <v>37</v>
      </c>
      <c r="F183" t="s">
        <v>38</v>
      </c>
      <c r="G183">
        <v>1</v>
      </c>
      <c r="H183">
        <v>35</v>
      </c>
      <c r="I183" s="25">
        <v>225</v>
      </c>
      <c r="K183" t="s">
        <v>61</v>
      </c>
      <c r="N183" t="s">
        <v>40</v>
      </c>
      <c r="O183">
        <v>42</v>
      </c>
      <c r="Q183">
        <f t="shared" si="6"/>
        <v>1</v>
      </c>
      <c r="R183">
        <v>1</v>
      </c>
      <c r="S183">
        <v>0</v>
      </c>
      <c r="T183">
        <v>0</v>
      </c>
      <c r="U183">
        <v>1</v>
      </c>
      <c r="V183">
        <v>0</v>
      </c>
      <c r="W183">
        <v>0</v>
      </c>
      <c r="X183" s="21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f t="shared" si="5"/>
        <v>32</v>
      </c>
      <c r="AP183" t="s">
        <v>41</v>
      </c>
    </row>
    <row r="184" spans="1:42">
      <c r="A184" s="1">
        <v>43789</v>
      </c>
      <c r="B184">
        <v>3</v>
      </c>
      <c r="C184">
        <v>310</v>
      </c>
      <c r="D184"/>
      <c r="E184" t="s">
        <v>37</v>
      </c>
      <c r="F184" t="s">
        <v>38</v>
      </c>
      <c r="G184">
        <v>1</v>
      </c>
      <c r="H184">
        <v>36</v>
      </c>
      <c r="I184" s="25">
        <v>222</v>
      </c>
      <c r="K184" t="s">
        <v>61</v>
      </c>
      <c r="N184" t="s">
        <v>40</v>
      </c>
      <c r="O184">
        <v>42</v>
      </c>
      <c r="Q184">
        <f t="shared" si="6"/>
        <v>1</v>
      </c>
      <c r="R184">
        <v>1</v>
      </c>
      <c r="S184">
        <v>0</v>
      </c>
      <c r="T184">
        <v>0</v>
      </c>
      <c r="U184">
        <v>0</v>
      </c>
      <c r="V184">
        <v>1</v>
      </c>
      <c r="W184">
        <v>0</v>
      </c>
      <c r="X184" s="21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f t="shared" si="5"/>
        <v>64</v>
      </c>
      <c r="AP184" t="s">
        <v>41</v>
      </c>
    </row>
    <row r="185" spans="1:42">
      <c r="A185" s="1">
        <v>43789</v>
      </c>
      <c r="B185">
        <v>3</v>
      </c>
      <c r="C185">
        <v>310</v>
      </c>
      <c r="D185"/>
      <c r="E185" t="s">
        <v>37</v>
      </c>
      <c r="F185" t="s">
        <v>38</v>
      </c>
      <c r="G185">
        <v>1</v>
      </c>
      <c r="H185">
        <v>37</v>
      </c>
      <c r="I185" s="25">
        <v>301</v>
      </c>
      <c r="K185" t="s">
        <v>62</v>
      </c>
      <c r="N185" t="s">
        <v>40</v>
      </c>
      <c r="O185">
        <v>42</v>
      </c>
      <c r="Q185">
        <f t="shared" si="6"/>
        <v>2</v>
      </c>
      <c r="R185">
        <v>1</v>
      </c>
      <c r="S185">
        <v>0</v>
      </c>
      <c r="T185">
        <v>0</v>
      </c>
      <c r="U185">
        <v>0</v>
      </c>
      <c r="V185">
        <v>2</v>
      </c>
      <c r="W185">
        <v>0</v>
      </c>
      <c r="X185" s="21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f t="shared" si="5"/>
        <v>128</v>
      </c>
      <c r="AP185" t="s">
        <v>41</v>
      </c>
    </row>
    <row r="186" spans="1:42">
      <c r="A186" s="1">
        <v>43789</v>
      </c>
      <c r="B186">
        <v>3</v>
      </c>
      <c r="C186">
        <v>310</v>
      </c>
      <c r="D186"/>
      <c r="E186" t="s">
        <v>37</v>
      </c>
      <c r="F186" t="s">
        <v>38</v>
      </c>
      <c r="G186">
        <v>1</v>
      </c>
      <c r="H186">
        <v>38</v>
      </c>
      <c r="I186" s="25">
        <v>245</v>
      </c>
      <c r="K186" t="s">
        <v>61</v>
      </c>
      <c r="N186" t="s">
        <v>40</v>
      </c>
      <c r="O186">
        <v>42</v>
      </c>
      <c r="Q186">
        <f t="shared" si="6"/>
        <v>1</v>
      </c>
      <c r="R186">
        <v>1</v>
      </c>
      <c r="S186">
        <v>0</v>
      </c>
      <c r="T186">
        <v>0</v>
      </c>
      <c r="U186">
        <v>0</v>
      </c>
      <c r="V186">
        <v>1</v>
      </c>
      <c r="W186">
        <v>0</v>
      </c>
      <c r="X186" s="21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f t="shared" si="5"/>
        <v>64</v>
      </c>
      <c r="AP186" t="s">
        <v>41</v>
      </c>
    </row>
    <row r="187" spans="1:42">
      <c r="A187" s="1">
        <v>43789</v>
      </c>
      <c r="B187">
        <v>3</v>
      </c>
      <c r="C187">
        <v>310</v>
      </c>
      <c r="D187"/>
      <c r="E187" t="s">
        <v>37</v>
      </c>
      <c r="F187" t="s">
        <v>38</v>
      </c>
      <c r="G187">
        <v>1</v>
      </c>
      <c r="H187">
        <v>39</v>
      </c>
      <c r="I187" s="25">
        <v>240</v>
      </c>
      <c r="K187" t="s">
        <v>61</v>
      </c>
      <c r="N187" t="s">
        <v>40</v>
      </c>
      <c r="O187">
        <v>42</v>
      </c>
      <c r="Q187">
        <f t="shared" si="6"/>
        <v>1</v>
      </c>
      <c r="R187">
        <v>1</v>
      </c>
      <c r="S187">
        <v>0</v>
      </c>
      <c r="T187">
        <v>0</v>
      </c>
      <c r="U187">
        <v>0</v>
      </c>
      <c r="V187">
        <v>1</v>
      </c>
      <c r="W187">
        <v>0</v>
      </c>
      <c r="X187" s="21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f t="shared" si="5"/>
        <v>64</v>
      </c>
      <c r="AP187" t="s">
        <v>41</v>
      </c>
    </row>
    <row r="188" spans="1:42">
      <c r="A188" s="1">
        <v>43789</v>
      </c>
      <c r="B188">
        <v>3</v>
      </c>
      <c r="C188">
        <v>310</v>
      </c>
      <c r="D188"/>
      <c r="E188" t="s">
        <v>37</v>
      </c>
      <c r="F188" t="s">
        <v>38</v>
      </c>
      <c r="G188">
        <v>1</v>
      </c>
      <c r="H188">
        <v>40</v>
      </c>
      <c r="I188" s="25">
        <v>271</v>
      </c>
      <c r="K188" t="s">
        <v>62</v>
      </c>
      <c r="N188" t="s">
        <v>40</v>
      </c>
      <c r="O188">
        <v>53</v>
      </c>
      <c r="Q188">
        <f t="shared" si="6"/>
        <v>1</v>
      </c>
      <c r="R188">
        <v>1</v>
      </c>
      <c r="S188">
        <v>0</v>
      </c>
      <c r="T188">
        <v>0</v>
      </c>
      <c r="U188">
        <v>1</v>
      </c>
      <c r="V188">
        <v>0</v>
      </c>
      <c r="W188">
        <v>0</v>
      </c>
      <c r="X188" s="21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f t="shared" si="5"/>
        <v>32</v>
      </c>
      <c r="AP188" t="s">
        <v>41</v>
      </c>
    </row>
    <row r="189" spans="1:42">
      <c r="A189" s="1">
        <v>43789</v>
      </c>
      <c r="B189">
        <v>3</v>
      </c>
      <c r="C189">
        <v>310</v>
      </c>
      <c r="D189"/>
      <c r="E189" t="s">
        <v>37</v>
      </c>
      <c r="F189" t="s">
        <v>38</v>
      </c>
      <c r="G189">
        <v>1</v>
      </c>
      <c r="H189">
        <v>41</v>
      </c>
      <c r="I189" s="25">
        <v>91</v>
      </c>
      <c r="K189" t="s">
        <v>88</v>
      </c>
      <c r="N189" t="s">
        <v>40</v>
      </c>
      <c r="O189">
        <v>53</v>
      </c>
      <c r="Q189">
        <f t="shared" si="6"/>
        <v>1</v>
      </c>
      <c r="R189">
        <v>1</v>
      </c>
      <c r="S189">
        <v>0</v>
      </c>
      <c r="T189">
        <v>0</v>
      </c>
      <c r="U189">
        <v>0</v>
      </c>
      <c r="V189">
        <v>1</v>
      </c>
      <c r="W189">
        <v>0</v>
      </c>
      <c r="X189" s="21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f t="shared" si="5"/>
        <v>64</v>
      </c>
      <c r="AP189" t="s">
        <v>41</v>
      </c>
    </row>
    <row r="190" spans="1:42">
      <c r="A190" s="1">
        <v>43789</v>
      </c>
      <c r="B190">
        <v>3</v>
      </c>
      <c r="C190">
        <v>310</v>
      </c>
      <c r="D190"/>
      <c r="E190" t="s">
        <v>37</v>
      </c>
      <c r="F190" t="s">
        <v>38</v>
      </c>
      <c r="G190">
        <v>1</v>
      </c>
      <c r="H190">
        <v>42</v>
      </c>
      <c r="I190" s="25">
        <v>43</v>
      </c>
      <c r="K190" t="s">
        <v>88</v>
      </c>
      <c r="N190" t="s">
        <v>40</v>
      </c>
      <c r="O190">
        <v>53</v>
      </c>
      <c r="Q190">
        <f t="shared" si="6"/>
        <v>2</v>
      </c>
      <c r="R190">
        <v>1</v>
      </c>
      <c r="S190">
        <v>0</v>
      </c>
      <c r="T190">
        <v>0</v>
      </c>
      <c r="U190">
        <v>1</v>
      </c>
      <c r="V190">
        <v>1</v>
      </c>
      <c r="W190">
        <v>0</v>
      </c>
      <c r="X190" s="21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f t="shared" si="5"/>
        <v>96</v>
      </c>
      <c r="AP190" t="s">
        <v>41</v>
      </c>
    </row>
    <row r="191" spans="1:42">
      <c r="A191" s="1">
        <v>43789</v>
      </c>
      <c r="B191">
        <v>3</v>
      </c>
      <c r="C191">
        <v>310</v>
      </c>
      <c r="D191"/>
      <c r="E191" t="s">
        <v>37</v>
      </c>
      <c r="F191" t="s">
        <v>38</v>
      </c>
      <c r="G191">
        <v>1</v>
      </c>
      <c r="H191">
        <v>43</v>
      </c>
      <c r="I191" s="25">
        <v>99</v>
      </c>
      <c r="K191" t="s">
        <v>88</v>
      </c>
      <c r="N191" t="s">
        <v>40</v>
      </c>
      <c r="O191">
        <v>53</v>
      </c>
      <c r="Q191">
        <f t="shared" si="6"/>
        <v>1</v>
      </c>
      <c r="R191">
        <v>1</v>
      </c>
      <c r="S191">
        <v>0</v>
      </c>
      <c r="T191">
        <v>0</v>
      </c>
      <c r="U191">
        <v>1</v>
      </c>
      <c r="V191">
        <v>0</v>
      </c>
      <c r="W191">
        <v>0</v>
      </c>
      <c r="X191" s="2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f t="shared" si="5"/>
        <v>32</v>
      </c>
      <c r="AP191" t="s">
        <v>41</v>
      </c>
    </row>
    <row r="192" spans="1:42">
      <c r="A192" s="1">
        <v>43789</v>
      </c>
      <c r="B192">
        <v>3</v>
      </c>
      <c r="C192">
        <v>310</v>
      </c>
      <c r="D192"/>
      <c r="E192" t="s">
        <v>37</v>
      </c>
      <c r="F192" t="s">
        <v>38</v>
      </c>
      <c r="G192">
        <v>1</v>
      </c>
      <c r="H192">
        <v>44</v>
      </c>
      <c r="I192" s="25">
        <v>18</v>
      </c>
      <c r="K192" t="s">
        <v>56</v>
      </c>
      <c r="N192" t="s">
        <v>40</v>
      </c>
      <c r="O192">
        <v>55</v>
      </c>
      <c r="Q192">
        <f t="shared" si="6"/>
        <v>2</v>
      </c>
      <c r="R192">
        <v>1</v>
      </c>
      <c r="S192">
        <v>0</v>
      </c>
      <c r="T192">
        <v>0</v>
      </c>
      <c r="U192">
        <v>0</v>
      </c>
      <c r="V192">
        <v>2</v>
      </c>
      <c r="W192">
        <v>0</v>
      </c>
      <c r="X192" s="21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f t="shared" si="5"/>
        <v>128</v>
      </c>
      <c r="AP192" t="s">
        <v>41</v>
      </c>
    </row>
    <row r="193" spans="1:42">
      <c r="A193" s="1">
        <v>43789</v>
      </c>
      <c r="B193">
        <v>3</v>
      </c>
      <c r="C193">
        <v>310</v>
      </c>
      <c r="D193"/>
      <c r="E193" t="s">
        <v>37</v>
      </c>
      <c r="F193" t="s">
        <v>38</v>
      </c>
      <c r="G193">
        <v>1</v>
      </c>
      <c r="H193">
        <v>45</v>
      </c>
      <c r="I193" s="25">
        <v>1</v>
      </c>
      <c r="K193" t="s">
        <v>56</v>
      </c>
      <c r="N193" t="s">
        <v>40</v>
      </c>
      <c r="O193">
        <v>51</v>
      </c>
      <c r="Q193">
        <f t="shared" si="6"/>
        <v>1</v>
      </c>
      <c r="R193">
        <v>1</v>
      </c>
      <c r="S193">
        <v>0</v>
      </c>
      <c r="T193">
        <v>0</v>
      </c>
      <c r="U193">
        <v>0</v>
      </c>
      <c r="V193">
        <v>1</v>
      </c>
      <c r="W193">
        <v>0</v>
      </c>
      <c r="X193" s="21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f t="shared" ref="AH193:AH256" si="7">(S193*16)+(T193*20)+(U193*32)+(V193*64)+(W193*96)</f>
        <v>64</v>
      </c>
      <c r="AP193" t="s">
        <v>41</v>
      </c>
    </row>
    <row r="194" spans="1:42">
      <c r="A194" s="1">
        <v>43789</v>
      </c>
      <c r="B194">
        <v>3</v>
      </c>
      <c r="C194">
        <v>310</v>
      </c>
      <c r="D194"/>
      <c r="E194" t="s">
        <v>37</v>
      </c>
      <c r="F194" t="s">
        <v>38</v>
      </c>
      <c r="G194">
        <v>1</v>
      </c>
      <c r="H194">
        <v>46</v>
      </c>
      <c r="I194" s="25">
        <v>100</v>
      </c>
      <c r="K194" t="s">
        <v>62</v>
      </c>
      <c r="N194" t="s">
        <v>40</v>
      </c>
      <c r="O194">
        <v>87</v>
      </c>
      <c r="Q194">
        <f t="shared" si="6"/>
        <v>3</v>
      </c>
      <c r="R194">
        <v>1</v>
      </c>
      <c r="S194">
        <v>0</v>
      </c>
      <c r="T194">
        <v>0</v>
      </c>
      <c r="U194">
        <v>0</v>
      </c>
      <c r="V194">
        <v>3</v>
      </c>
      <c r="W194">
        <v>0</v>
      </c>
      <c r="X194" s="21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f t="shared" si="7"/>
        <v>192</v>
      </c>
      <c r="AP194" t="s">
        <v>41</v>
      </c>
    </row>
    <row r="195" spans="1:42">
      <c r="A195" s="1">
        <v>43789</v>
      </c>
      <c r="B195">
        <v>3</v>
      </c>
      <c r="C195">
        <v>310</v>
      </c>
      <c r="D195"/>
      <c r="E195" t="s">
        <v>37</v>
      </c>
      <c r="F195" t="s">
        <v>38</v>
      </c>
      <c r="G195">
        <v>1</v>
      </c>
      <c r="H195">
        <v>47</v>
      </c>
      <c r="I195" s="25">
        <v>100</v>
      </c>
      <c r="K195" t="s">
        <v>56</v>
      </c>
      <c r="N195" t="s">
        <v>40</v>
      </c>
      <c r="O195">
        <v>101</v>
      </c>
      <c r="Q195">
        <f t="shared" si="6"/>
        <v>4</v>
      </c>
      <c r="R195">
        <v>1</v>
      </c>
      <c r="S195">
        <v>0</v>
      </c>
      <c r="T195">
        <v>0</v>
      </c>
      <c r="U195">
        <v>0</v>
      </c>
      <c r="V195">
        <v>4</v>
      </c>
      <c r="W195">
        <v>0</v>
      </c>
      <c r="X195" s="21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f t="shared" si="7"/>
        <v>256</v>
      </c>
      <c r="AP195" t="s">
        <v>41</v>
      </c>
    </row>
    <row r="196" spans="1:42">
      <c r="A196" s="1">
        <v>43789</v>
      </c>
      <c r="B196">
        <v>3</v>
      </c>
      <c r="C196">
        <v>310</v>
      </c>
      <c r="D196"/>
      <c r="E196" t="s">
        <v>37</v>
      </c>
      <c r="F196" t="s">
        <v>38</v>
      </c>
      <c r="G196">
        <v>1</v>
      </c>
      <c r="H196">
        <v>48</v>
      </c>
      <c r="I196" s="25">
        <v>500</v>
      </c>
      <c r="K196" t="s">
        <v>62</v>
      </c>
      <c r="N196" t="s">
        <v>40</v>
      </c>
      <c r="O196">
        <v>60</v>
      </c>
      <c r="Q196">
        <f t="shared" si="6"/>
        <v>2</v>
      </c>
      <c r="R196">
        <v>1</v>
      </c>
      <c r="S196">
        <v>0</v>
      </c>
      <c r="T196">
        <v>0</v>
      </c>
      <c r="U196">
        <v>0</v>
      </c>
      <c r="V196">
        <v>2</v>
      </c>
      <c r="W196">
        <v>0</v>
      </c>
      <c r="X196" s="21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f t="shared" si="7"/>
        <v>128</v>
      </c>
      <c r="AP196" t="s">
        <v>41</v>
      </c>
    </row>
    <row r="197" spans="1:42">
      <c r="A197" s="1">
        <v>43789</v>
      </c>
      <c r="B197">
        <v>3</v>
      </c>
      <c r="C197">
        <v>310</v>
      </c>
      <c r="D197"/>
      <c r="E197" t="s">
        <v>37</v>
      </c>
      <c r="F197" t="s">
        <v>38</v>
      </c>
      <c r="G197">
        <v>1</v>
      </c>
      <c r="H197">
        <v>49</v>
      </c>
      <c r="I197" s="25">
        <v>215</v>
      </c>
      <c r="K197" t="s">
        <v>72</v>
      </c>
      <c r="N197" t="s">
        <v>40</v>
      </c>
      <c r="O197">
        <v>47</v>
      </c>
      <c r="Q197">
        <f t="shared" si="6"/>
        <v>0</v>
      </c>
      <c r="R197">
        <v>1</v>
      </c>
      <c r="S197">
        <v>0</v>
      </c>
      <c r="T197">
        <v>0</v>
      </c>
      <c r="U197">
        <v>0</v>
      </c>
      <c r="V197">
        <v>0</v>
      </c>
      <c r="W197">
        <v>0</v>
      </c>
      <c r="X197" s="21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f t="shared" si="7"/>
        <v>0</v>
      </c>
      <c r="AP197" t="s">
        <v>41</v>
      </c>
    </row>
    <row r="198" spans="1:42">
      <c r="A198" s="1">
        <v>43789</v>
      </c>
      <c r="B198">
        <v>3</v>
      </c>
      <c r="C198">
        <v>310</v>
      </c>
      <c r="D198"/>
      <c r="E198" t="s">
        <v>37</v>
      </c>
      <c r="F198" t="s">
        <v>38</v>
      </c>
      <c r="G198">
        <v>1</v>
      </c>
      <c r="H198">
        <v>50</v>
      </c>
      <c r="I198" s="25">
        <v>568</v>
      </c>
      <c r="K198" t="s">
        <v>62</v>
      </c>
      <c r="N198" t="s">
        <v>40</v>
      </c>
      <c r="O198">
        <v>44</v>
      </c>
      <c r="Q198">
        <f t="shared" si="6"/>
        <v>2</v>
      </c>
      <c r="R198">
        <v>1</v>
      </c>
      <c r="S198">
        <v>0</v>
      </c>
      <c r="T198">
        <v>0</v>
      </c>
      <c r="U198">
        <v>0</v>
      </c>
      <c r="V198">
        <v>2</v>
      </c>
      <c r="W198">
        <v>0</v>
      </c>
      <c r="X198" s="21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f t="shared" si="7"/>
        <v>128</v>
      </c>
      <c r="AP198" t="s">
        <v>41</v>
      </c>
    </row>
    <row r="199" spans="1:42">
      <c r="A199" s="1">
        <v>43789</v>
      </c>
      <c r="B199">
        <v>3</v>
      </c>
      <c r="C199">
        <v>310</v>
      </c>
      <c r="D199"/>
      <c r="E199" t="s">
        <v>37</v>
      </c>
      <c r="F199" t="s">
        <v>38</v>
      </c>
      <c r="G199">
        <v>1</v>
      </c>
      <c r="H199">
        <v>51</v>
      </c>
      <c r="I199" s="25">
        <v>544</v>
      </c>
      <c r="K199" t="s">
        <v>65</v>
      </c>
      <c r="N199" t="s">
        <v>40</v>
      </c>
      <c r="O199">
        <v>44</v>
      </c>
      <c r="Q199">
        <f t="shared" si="6"/>
        <v>2</v>
      </c>
      <c r="R199">
        <v>1</v>
      </c>
      <c r="S199">
        <v>0</v>
      </c>
      <c r="T199">
        <v>0</v>
      </c>
      <c r="U199">
        <v>0</v>
      </c>
      <c r="V199">
        <v>2</v>
      </c>
      <c r="W199">
        <v>0</v>
      </c>
      <c r="X199" s="21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f t="shared" si="7"/>
        <v>128</v>
      </c>
      <c r="AP199" t="s">
        <v>41</v>
      </c>
    </row>
    <row r="200" spans="1:42">
      <c r="A200" s="1">
        <v>43789</v>
      </c>
      <c r="B200">
        <v>3</v>
      </c>
      <c r="C200">
        <v>310</v>
      </c>
      <c r="D200"/>
      <c r="E200" t="s">
        <v>37</v>
      </c>
      <c r="F200" t="s">
        <v>38</v>
      </c>
      <c r="G200">
        <v>1</v>
      </c>
      <c r="H200">
        <v>52</v>
      </c>
      <c r="I200" s="25">
        <v>531</v>
      </c>
      <c r="K200" t="s">
        <v>65</v>
      </c>
      <c r="N200" t="s">
        <v>40</v>
      </c>
      <c r="O200">
        <v>40</v>
      </c>
      <c r="Q200">
        <f t="shared" si="6"/>
        <v>0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0</v>
      </c>
      <c r="X200" s="21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f t="shared" si="7"/>
        <v>0</v>
      </c>
      <c r="AP200" t="s">
        <v>41</v>
      </c>
    </row>
    <row r="201" spans="1:42">
      <c r="A201" s="1">
        <v>43789</v>
      </c>
      <c r="B201">
        <v>3</v>
      </c>
      <c r="C201">
        <v>310</v>
      </c>
      <c r="D201"/>
      <c r="E201" t="s">
        <v>37</v>
      </c>
      <c r="F201" t="s">
        <v>38</v>
      </c>
      <c r="G201">
        <v>1</v>
      </c>
      <c r="H201">
        <v>53</v>
      </c>
      <c r="I201" s="25">
        <v>525</v>
      </c>
      <c r="K201" t="s">
        <v>65</v>
      </c>
      <c r="N201" t="s">
        <v>40</v>
      </c>
      <c r="O201">
        <v>51</v>
      </c>
      <c r="Q201">
        <f t="shared" si="6"/>
        <v>2</v>
      </c>
      <c r="R201">
        <v>1</v>
      </c>
      <c r="S201">
        <v>0</v>
      </c>
      <c r="T201">
        <v>0</v>
      </c>
      <c r="U201">
        <v>0</v>
      </c>
      <c r="V201">
        <v>2</v>
      </c>
      <c r="W201">
        <v>0</v>
      </c>
      <c r="X201" s="2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f t="shared" si="7"/>
        <v>128</v>
      </c>
      <c r="AP201" t="s">
        <v>41</v>
      </c>
    </row>
    <row r="202" spans="1:42">
      <c r="A202" s="1">
        <v>43789</v>
      </c>
      <c r="B202">
        <v>3</v>
      </c>
      <c r="C202">
        <v>310</v>
      </c>
      <c r="D202"/>
      <c r="E202" t="s">
        <v>37</v>
      </c>
      <c r="F202" t="s">
        <v>38</v>
      </c>
      <c r="G202">
        <v>1</v>
      </c>
      <c r="H202">
        <v>54</v>
      </c>
      <c r="I202" s="25">
        <v>415</v>
      </c>
      <c r="K202" t="s">
        <v>65</v>
      </c>
      <c r="N202" t="s">
        <v>40</v>
      </c>
      <c r="O202">
        <v>51</v>
      </c>
      <c r="Q202">
        <f t="shared" si="6"/>
        <v>2</v>
      </c>
      <c r="R202">
        <v>1</v>
      </c>
      <c r="S202">
        <v>0</v>
      </c>
      <c r="T202">
        <v>0</v>
      </c>
      <c r="U202">
        <v>0</v>
      </c>
      <c r="V202">
        <v>2</v>
      </c>
      <c r="W202">
        <v>0</v>
      </c>
      <c r="X202" s="21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f t="shared" si="7"/>
        <v>128</v>
      </c>
      <c r="AP202" t="s">
        <v>41</v>
      </c>
    </row>
    <row r="203" spans="1:42">
      <c r="A203" s="1">
        <v>43789</v>
      </c>
      <c r="B203">
        <v>3</v>
      </c>
      <c r="C203">
        <v>310</v>
      </c>
      <c r="D203"/>
      <c r="E203" t="s">
        <v>37</v>
      </c>
      <c r="F203" t="s">
        <v>38</v>
      </c>
      <c r="G203">
        <v>1</v>
      </c>
      <c r="H203">
        <v>55</v>
      </c>
      <c r="I203" s="25">
        <v>475</v>
      </c>
      <c r="K203" t="s">
        <v>65</v>
      </c>
      <c r="N203" t="s">
        <v>40</v>
      </c>
      <c r="O203">
        <v>51</v>
      </c>
      <c r="Q203">
        <f t="shared" si="6"/>
        <v>0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0</v>
      </c>
      <c r="X203" s="21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f t="shared" si="7"/>
        <v>0</v>
      </c>
      <c r="AP203" t="s">
        <v>41</v>
      </c>
    </row>
    <row r="204" spans="1:42">
      <c r="A204" s="1">
        <v>43789</v>
      </c>
      <c r="B204">
        <v>3</v>
      </c>
      <c r="C204">
        <v>310</v>
      </c>
      <c r="D204"/>
      <c r="E204" t="s">
        <v>37</v>
      </c>
      <c r="F204" t="s">
        <v>38</v>
      </c>
      <c r="G204">
        <v>1</v>
      </c>
      <c r="H204">
        <v>56</v>
      </c>
      <c r="I204" s="25">
        <v>530</v>
      </c>
      <c r="K204" t="s">
        <v>58</v>
      </c>
      <c r="N204" t="s">
        <v>40</v>
      </c>
      <c r="O204">
        <v>91</v>
      </c>
      <c r="Q204">
        <f t="shared" ref="Q204:Q267" si="8">SUM(S204:AE204)</f>
        <v>1</v>
      </c>
      <c r="R204">
        <v>1</v>
      </c>
      <c r="S204">
        <v>0</v>
      </c>
      <c r="T204">
        <v>0</v>
      </c>
      <c r="U204">
        <v>0</v>
      </c>
      <c r="V204">
        <v>1</v>
      </c>
      <c r="W204">
        <v>0</v>
      </c>
      <c r="X204" s="21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f t="shared" si="7"/>
        <v>64</v>
      </c>
      <c r="AP204" t="s">
        <v>41</v>
      </c>
    </row>
    <row r="205" spans="1:42">
      <c r="A205" s="1">
        <v>43789</v>
      </c>
      <c r="B205">
        <v>3</v>
      </c>
      <c r="C205">
        <v>310</v>
      </c>
      <c r="D205"/>
      <c r="E205" t="s">
        <v>37</v>
      </c>
      <c r="F205" t="s">
        <v>38</v>
      </c>
      <c r="G205">
        <v>1</v>
      </c>
      <c r="H205">
        <v>57</v>
      </c>
      <c r="I205" s="25">
        <v>600</v>
      </c>
      <c r="K205" t="s">
        <v>71</v>
      </c>
      <c r="N205" t="s">
        <v>44</v>
      </c>
      <c r="O205">
        <v>180</v>
      </c>
      <c r="Q205">
        <f t="shared" si="8"/>
        <v>8</v>
      </c>
      <c r="R205">
        <v>1</v>
      </c>
      <c r="S205">
        <v>0</v>
      </c>
      <c r="T205">
        <v>0</v>
      </c>
      <c r="U205">
        <v>0</v>
      </c>
      <c r="V205">
        <v>8</v>
      </c>
      <c r="W205">
        <v>0</v>
      </c>
      <c r="X205" s="21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f t="shared" si="7"/>
        <v>512</v>
      </c>
      <c r="AP205" t="s">
        <v>41</v>
      </c>
    </row>
    <row r="206" spans="1:42">
      <c r="A206" s="1">
        <v>43789</v>
      </c>
      <c r="B206">
        <v>3</v>
      </c>
      <c r="C206">
        <v>310</v>
      </c>
      <c r="D206"/>
      <c r="E206" t="s">
        <v>37</v>
      </c>
      <c r="F206" t="s">
        <v>38</v>
      </c>
      <c r="G206">
        <v>1</v>
      </c>
      <c r="H206">
        <v>58</v>
      </c>
      <c r="I206" s="25">
        <v>563</v>
      </c>
      <c r="K206" t="s">
        <v>68</v>
      </c>
      <c r="N206" t="s">
        <v>40</v>
      </c>
      <c r="O206">
        <v>43</v>
      </c>
      <c r="Q206">
        <f t="shared" si="8"/>
        <v>1</v>
      </c>
      <c r="R206">
        <v>1</v>
      </c>
      <c r="S206">
        <v>0</v>
      </c>
      <c r="T206">
        <v>0</v>
      </c>
      <c r="U206">
        <v>1</v>
      </c>
      <c r="V206">
        <v>0</v>
      </c>
      <c r="W206">
        <v>0</v>
      </c>
      <c r="X206" s="21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f t="shared" si="7"/>
        <v>32</v>
      </c>
      <c r="AP206" t="s">
        <v>41</v>
      </c>
    </row>
    <row r="207" spans="1:42">
      <c r="A207" s="1">
        <v>43789</v>
      </c>
      <c r="B207">
        <v>3</v>
      </c>
      <c r="C207">
        <v>310</v>
      </c>
      <c r="D207"/>
      <c r="E207" t="s">
        <v>37</v>
      </c>
      <c r="F207" t="s">
        <v>38</v>
      </c>
      <c r="G207">
        <v>1</v>
      </c>
      <c r="H207">
        <v>59</v>
      </c>
      <c r="I207" s="25">
        <v>565</v>
      </c>
      <c r="K207" t="s">
        <v>68</v>
      </c>
      <c r="N207" t="s">
        <v>40</v>
      </c>
      <c r="O207">
        <v>43</v>
      </c>
      <c r="Q207">
        <f t="shared" si="8"/>
        <v>1</v>
      </c>
      <c r="R207">
        <v>1</v>
      </c>
      <c r="S207">
        <v>0</v>
      </c>
      <c r="T207">
        <v>0</v>
      </c>
      <c r="U207">
        <v>0</v>
      </c>
      <c r="V207">
        <v>1</v>
      </c>
      <c r="W207">
        <v>0</v>
      </c>
      <c r="X207" s="21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f t="shared" si="7"/>
        <v>64</v>
      </c>
      <c r="AP207" t="s">
        <v>41</v>
      </c>
    </row>
    <row r="208" spans="1:42">
      <c r="A208" s="1">
        <v>43789</v>
      </c>
      <c r="B208">
        <v>3</v>
      </c>
      <c r="C208">
        <v>310</v>
      </c>
      <c r="D208"/>
      <c r="E208" t="s">
        <v>37</v>
      </c>
      <c r="F208" t="s">
        <v>38</v>
      </c>
      <c r="G208">
        <v>1</v>
      </c>
      <c r="H208">
        <v>60</v>
      </c>
      <c r="I208" s="25">
        <v>475</v>
      </c>
      <c r="K208" t="s">
        <v>58</v>
      </c>
      <c r="N208" t="s">
        <v>40</v>
      </c>
      <c r="O208">
        <v>43</v>
      </c>
      <c r="Q208">
        <f t="shared" si="8"/>
        <v>1</v>
      </c>
      <c r="R208">
        <v>1</v>
      </c>
      <c r="S208">
        <v>0</v>
      </c>
      <c r="T208">
        <v>0</v>
      </c>
      <c r="U208">
        <v>0</v>
      </c>
      <c r="V208">
        <v>1</v>
      </c>
      <c r="W208">
        <v>0</v>
      </c>
      <c r="X208" s="21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f t="shared" si="7"/>
        <v>64</v>
      </c>
      <c r="AP208" t="s">
        <v>41</v>
      </c>
    </row>
    <row r="209" spans="1:42">
      <c r="A209" s="1">
        <v>43789</v>
      </c>
      <c r="B209">
        <v>3</v>
      </c>
      <c r="C209">
        <v>310</v>
      </c>
      <c r="D209"/>
      <c r="E209" t="s">
        <v>37</v>
      </c>
      <c r="F209" t="s">
        <v>38</v>
      </c>
      <c r="G209">
        <v>1</v>
      </c>
      <c r="H209">
        <v>61</v>
      </c>
      <c r="I209" s="25">
        <v>333</v>
      </c>
      <c r="K209" t="s">
        <v>60</v>
      </c>
      <c r="N209" t="s">
        <v>44</v>
      </c>
      <c r="O209">
        <v>119</v>
      </c>
      <c r="Q209">
        <f t="shared" si="8"/>
        <v>0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</v>
      </c>
      <c r="X209" s="21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f t="shared" si="7"/>
        <v>0</v>
      </c>
      <c r="AP209" t="s">
        <v>41</v>
      </c>
    </row>
    <row r="210" spans="1:42">
      <c r="A210" s="1">
        <v>43789</v>
      </c>
      <c r="B210">
        <v>3</v>
      </c>
      <c r="C210">
        <v>310</v>
      </c>
      <c r="D210"/>
      <c r="E210" t="s">
        <v>37</v>
      </c>
      <c r="F210" t="s">
        <v>38</v>
      </c>
      <c r="G210">
        <v>1</v>
      </c>
      <c r="H210">
        <v>62</v>
      </c>
      <c r="I210" s="25">
        <v>400</v>
      </c>
      <c r="K210" t="s">
        <v>58</v>
      </c>
      <c r="N210" t="s">
        <v>44</v>
      </c>
      <c r="O210">
        <v>119</v>
      </c>
      <c r="Q210">
        <f t="shared" si="8"/>
        <v>13</v>
      </c>
      <c r="R210">
        <v>1</v>
      </c>
      <c r="S210">
        <v>0</v>
      </c>
      <c r="T210">
        <v>0</v>
      </c>
      <c r="U210">
        <v>0</v>
      </c>
      <c r="V210">
        <v>13</v>
      </c>
      <c r="W210">
        <v>0</v>
      </c>
      <c r="X210" s="21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f t="shared" si="7"/>
        <v>832</v>
      </c>
      <c r="AP210" t="s">
        <v>41</v>
      </c>
    </row>
    <row r="211" spans="1:42">
      <c r="A211" s="1">
        <v>43789</v>
      </c>
      <c r="B211">
        <v>3</v>
      </c>
      <c r="C211">
        <v>310</v>
      </c>
      <c r="D211"/>
      <c r="E211" t="s">
        <v>37</v>
      </c>
      <c r="F211" t="s">
        <v>38</v>
      </c>
      <c r="G211">
        <v>1</v>
      </c>
      <c r="H211">
        <v>63</v>
      </c>
      <c r="I211" s="25">
        <v>432</v>
      </c>
      <c r="K211" t="s">
        <v>68</v>
      </c>
      <c r="N211" t="s">
        <v>40</v>
      </c>
      <c r="O211">
        <v>43</v>
      </c>
      <c r="Q211">
        <f t="shared" si="8"/>
        <v>1</v>
      </c>
      <c r="R211">
        <v>1</v>
      </c>
      <c r="S211">
        <v>0</v>
      </c>
      <c r="T211">
        <v>0</v>
      </c>
      <c r="U211">
        <v>1</v>
      </c>
      <c r="V211">
        <v>0</v>
      </c>
      <c r="W211">
        <v>0</v>
      </c>
      <c r="X211" s="2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f t="shared" si="7"/>
        <v>32</v>
      </c>
      <c r="AP211" t="s">
        <v>41</v>
      </c>
    </row>
    <row r="212" spans="1:42">
      <c r="A212" s="1">
        <v>43789</v>
      </c>
      <c r="B212">
        <v>3</v>
      </c>
      <c r="C212">
        <v>310</v>
      </c>
      <c r="D212"/>
      <c r="E212" t="s">
        <v>37</v>
      </c>
      <c r="F212" t="s">
        <v>38</v>
      </c>
      <c r="G212">
        <v>1</v>
      </c>
      <c r="H212">
        <v>64</v>
      </c>
      <c r="I212" s="25">
        <v>201</v>
      </c>
      <c r="K212" t="s">
        <v>56</v>
      </c>
      <c r="N212" t="s">
        <v>40</v>
      </c>
      <c r="O212">
        <v>93</v>
      </c>
      <c r="Q212">
        <f t="shared" si="8"/>
        <v>5</v>
      </c>
      <c r="R212">
        <v>1</v>
      </c>
      <c r="S212">
        <v>0</v>
      </c>
      <c r="T212">
        <v>0</v>
      </c>
      <c r="U212">
        <v>0</v>
      </c>
      <c r="V212">
        <v>5</v>
      </c>
      <c r="W212">
        <v>0</v>
      </c>
      <c r="X212" s="21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f t="shared" si="7"/>
        <v>320</v>
      </c>
      <c r="AP212" t="s">
        <v>41</v>
      </c>
    </row>
    <row r="213" spans="1:42">
      <c r="A213" s="1">
        <v>43789</v>
      </c>
      <c r="B213">
        <v>3</v>
      </c>
      <c r="C213">
        <v>310</v>
      </c>
      <c r="D213"/>
      <c r="E213" t="s">
        <v>37</v>
      </c>
      <c r="F213" t="s">
        <v>38</v>
      </c>
      <c r="G213">
        <v>1</v>
      </c>
      <c r="H213">
        <v>65</v>
      </c>
      <c r="I213" s="25">
        <v>100</v>
      </c>
      <c r="K213" t="s">
        <v>69</v>
      </c>
      <c r="N213" t="s">
        <v>40</v>
      </c>
      <c r="O213">
        <v>93</v>
      </c>
      <c r="Q213">
        <f t="shared" si="8"/>
        <v>4</v>
      </c>
      <c r="R213">
        <v>1</v>
      </c>
      <c r="S213">
        <v>0</v>
      </c>
      <c r="T213">
        <v>0</v>
      </c>
      <c r="U213">
        <v>0</v>
      </c>
      <c r="V213">
        <v>4</v>
      </c>
      <c r="W213">
        <v>0</v>
      </c>
      <c r="X213" s="21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f t="shared" si="7"/>
        <v>256</v>
      </c>
      <c r="AP213" t="s">
        <v>41</v>
      </c>
    </row>
    <row r="214" spans="1:42">
      <c r="A214" s="1">
        <v>43789</v>
      </c>
      <c r="B214">
        <v>3</v>
      </c>
      <c r="C214">
        <v>310</v>
      </c>
      <c r="D214"/>
      <c r="E214" t="s">
        <v>37</v>
      </c>
      <c r="F214" t="s">
        <v>38</v>
      </c>
      <c r="G214">
        <v>1</v>
      </c>
      <c r="H214">
        <v>66</v>
      </c>
      <c r="I214" s="25">
        <v>230</v>
      </c>
      <c r="K214" t="s">
        <v>56</v>
      </c>
      <c r="N214" t="s">
        <v>40</v>
      </c>
      <c r="O214">
        <v>31</v>
      </c>
      <c r="Q214">
        <f t="shared" si="8"/>
        <v>1</v>
      </c>
      <c r="R214">
        <v>1</v>
      </c>
      <c r="S214">
        <v>0</v>
      </c>
      <c r="T214">
        <v>0</v>
      </c>
      <c r="U214">
        <v>0</v>
      </c>
      <c r="V214">
        <v>1</v>
      </c>
      <c r="W214">
        <v>0</v>
      </c>
      <c r="X214" s="21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f t="shared" si="7"/>
        <v>64</v>
      </c>
      <c r="AP214" t="s">
        <v>41</v>
      </c>
    </row>
    <row r="215" spans="1:42">
      <c r="A215" s="1">
        <v>43789</v>
      </c>
      <c r="B215">
        <v>3</v>
      </c>
      <c r="C215">
        <v>310</v>
      </c>
      <c r="D215"/>
      <c r="E215" t="s">
        <v>37</v>
      </c>
      <c r="F215" t="s">
        <v>38</v>
      </c>
      <c r="G215">
        <v>1</v>
      </c>
      <c r="H215">
        <v>67</v>
      </c>
      <c r="I215" s="25">
        <v>212</v>
      </c>
      <c r="K215" t="s">
        <v>56</v>
      </c>
      <c r="N215" t="s">
        <v>40</v>
      </c>
      <c r="O215">
        <v>31</v>
      </c>
      <c r="Q215">
        <f t="shared" si="8"/>
        <v>1</v>
      </c>
      <c r="R215">
        <v>1</v>
      </c>
      <c r="S215">
        <v>0</v>
      </c>
      <c r="T215">
        <v>0</v>
      </c>
      <c r="U215">
        <v>0</v>
      </c>
      <c r="V215">
        <v>1</v>
      </c>
      <c r="W215">
        <v>0</v>
      </c>
      <c r="X215" s="21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f t="shared" si="7"/>
        <v>64</v>
      </c>
      <c r="AP215" t="s">
        <v>41</v>
      </c>
    </row>
    <row r="216" spans="1:42">
      <c r="A216" s="1">
        <v>43789</v>
      </c>
      <c r="B216">
        <v>3</v>
      </c>
      <c r="C216">
        <v>310</v>
      </c>
      <c r="D216"/>
      <c r="E216" t="s">
        <v>37</v>
      </c>
      <c r="F216" t="s">
        <v>38</v>
      </c>
      <c r="G216">
        <v>1</v>
      </c>
      <c r="H216">
        <v>68</v>
      </c>
      <c r="I216" s="25">
        <v>242</v>
      </c>
      <c r="K216" t="s">
        <v>56</v>
      </c>
      <c r="O216">
        <v>45</v>
      </c>
      <c r="Q216">
        <f t="shared" si="8"/>
        <v>0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</v>
      </c>
      <c r="X216" s="21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f t="shared" si="7"/>
        <v>0</v>
      </c>
      <c r="AP216" t="s">
        <v>41</v>
      </c>
    </row>
    <row r="217" spans="1:42">
      <c r="A217" s="1">
        <v>43789</v>
      </c>
      <c r="B217">
        <v>3</v>
      </c>
      <c r="C217">
        <v>310</v>
      </c>
      <c r="D217"/>
      <c r="E217" t="s">
        <v>37</v>
      </c>
      <c r="F217" t="s">
        <v>38</v>
      </c>
      <c r="G217">
        <v>1</v>
      </c>
      <c r="H217">
        <v>69</v>
      </c>
      <c r="I217" s="25">
        <v>260</v>
      </c>
      <c r="K217" t="s">
        <v>60</v>
      </c>
      <c r="N217" t="s">
        <v>40</v>
      </c>
      <c r="O217">
        <v>50</v>
      </c>
      <c r="Q217">
        <f t="shared" si="8"/>
        <v>0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0</v>
      </c>
      <c r="X217" s="21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f t="shared" si="7"/>
        <v>0</v>
      </c>
      <c r="AP217" t="s">
        <v>41</v>
      </c>
    </row>
    <row r="218" spans="1:42">
      <c r="A218" s="1">
        <v>43789</v>
      </c>
      <c r="B218">
        <v>3</v>
      </c>
      <c r="C218">
        <v>310</v>
      </c>
      <c r="D218"/>
      <c r="E218" t="s">
        <v>37</v>
      </c>
      <c r="F218" t="s">
        <v>38</v>
      </c>
      <c r="G218">
        <v>1</v>
      </c>
      <c r="H218">
        <v>70</v>
      </c>
      <c r="I218" s="25">
        <v>311</v>
      </c>
      <c r="K218" t="s">
        <v>56</v>
      </c>
      <c r="N218" t="s">
        <v>40</v>
      </c>
      <c r="O218">
        <v>52</v>
      </c>
      <c r="Q218">
        <f t="shared" si="8"/>
        <v>1</v>
      </c>
      <c r="R218">
        <v>1</v>
      </c>
      <c r="S218">
        <v>0</v>
      </c>
      <c r="T218">
        <v>0</v>
      </c>
      <c r="U218">
        <v>0</v>
      </c>
      <c r="V218">
        <v>1</v>
      </c>
      <c r="W218">
        <v>0</v>
      </c>
      <c r="X218" s="21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f t="shared" si="7"/>
        <v>64</v>
      </c>
      <c r="AP218" t="s">
        <v>41</v>
      </c>
    </row>
    <row r="219" spans="1:42">
      <c r="A219" s="1">
        <v>43789</v>
      </c>
      <c r="B219">
        <v>3</v>
      </c>
      <c r="C219">
        <v>310</v>
      </c>
      <c r="D219"/>
      <c r="E219" t="s">
        <v>37</v>
      </c>
      <c r="F219" t="s">
        <v>38</v>
      </c>
      <c r="G219">
        <v>1</v>
      </c>
      <c r="H219">
        <v>71</v>
      </c>
      <c r="I219" s="25">
        <v>255</v>
      </c>
      <c r="K219" t="s">
        <v>56</v>
      </c>
      <c r="N219" t="s">
        <v>40</v>
      </c>
      <c r="O219">
        <v>52</v>
      </c>
      <c r="Q219">
        <f t="shared" si="8"/>
        <v>2</v>
      </c>
      <c r="R219">
        <v>1</v>
      </c>
      <c r="S219">
        <v>0</v>
      </c>
      <c r="T219">
        <v>0</v>
      </c>
      <c r="U219">
        <v>0</v>
      </c>
      <c r="V219">
        <v>2</v>
      </c>
      <c r="W219">
        <v>0</v>
      </c>
      <c r="X219" s="21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f t="shared" si="7"/>
        <v>128</v>
      </c>
      <c r="AP219" t="s">
        <v>41</v>
      </c>
    </row>
    <row r="220" spans="1:42">
      <c r="A220" s="1">
        <v>43789</v>
      </c>
      <c r="B220">
        <v>3</v>
      </c>
      <c r="C220">
        <v>310</v>
      </c>
      <c r="D220"/>
      <c r="E220" t="s">
        <v>37</v>
      </c>
      <c r="F220" t="s">
        <v>38</v>
      </c>
      <c r="G220">
        <v>1</v>
      </c>
      <c r="H220">
        <v>72</v>
      </c>
      <c r="I220" s="25">
        <v>295</v>
      </c>
      <c r="K220" t="s">
        <v>56</v>
      </c>
      <c r="N220" t="s">
        <v>40</v>
      </c>
      <c r="O220">
        <v>52</v>
      </c>
      <c r="Q220">
        <f t="shared" si="8"/>
        <v>1</v>
      </c>
      <c r="R220">
        <v>1</v>
      </c>
      <c r="S220">
        <v>0</v>
      </c>
      <c r="T220">
        <v>0</v>
      </c>
      <c r="U220">
        <v>0</v>
      </c>
      <c r="V220">
        <v>1</v>
      </c>
      <c r="W220">
        <v>0</v>
      </c>
      <c r="X220" s="21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f t="shared" si="7"/>
        <v>64</v>
      </c>
      <c r="AP220" t="s">
        <v>41</v>
      </c>
    </row>
    <row r="221" spans="1:42">
      <c r="A221" s="1">
        <v>43789</v>
      </c>
      <c r="B221">
        <v>3</v>
      </c>
      <c r="C221">
        <v>310</v>
      </c>
      <c r="D221"/>
      <c r="E221" t="s">
        <v>37</v>
      </c>
      <c r="F221" t="s">
        <v>38</v>
      </c>
      <c r="G221">
        <v>1</v>
      </c>
      <c r="H221">
        <v>73</v>
      </c>
      <c r="I221" s="25">
        <v>130</v>
      </c>
      <c r="K221" t="s">
        <v>60</v>
      </c>
      <c r="N221" t="s">
        <v>40</v>
      </c>
      <c r="O221">
        <v>45</v>
      </c>
      <c r="Q221">
        <f t="shared" si="8"/>
        <v>1</v>
      </c>
      <c r="R221">
        <v>1</v>
      </c>
      <c r="S221">
        <v>0</v>
      </c>
      <c r="T221">
        <v>0</v>
      </c>
      <c r="U221">
        <v>0</v>
      </c>
      <c r="V221">
        <v>1</v>
      </c>
      <c r="W221">
        <v>0</v>
      </c>
      <c r="X221" s="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f t="shared" si="7"/>
        <v>64</v>
      </c>
      <c r="AP221" t="s">
        <v>41</v>
      </c>
    </row>
    <row r="222" spans="1:42">
      <c r="A222" s="1">
        <v>43789</v>
      </c>
      <c r="B222">
        <v>3</v>
      </c>
      <c r="C222">
        <v>310</v>
      </c>
      <c r="D222"/>
      <c r="E222" t="s">
        <v>37</v>
      </c>
      <c r="F222" t="s">
        <v>38</v>
      </c>
      <c r="G222">
        <v>1</v>
      </c>
      <c r="H222">
        <v>74</v>
      </c>
      <c r="I222" s="25">
        <v>75</v>
      </c>
      <c r="K222" t="s">
        <v>60</v>
      </c>
      <c r="N222" t="s">
        <v>40</v>
      </c>
      <c r="O222">
        <v>61</v>
      </c>
      <c r="Q222">
        <f t="shared" si="8"/>
        <v>2</v>
      </c>
      <c r="R222">
        <v>1</v>
      </c>
      <c r="S222">
        <v>0</v>
      </c>
      <c r="T222">
        <v>0</v>
      </c>
      <c r="U222">
        <v>0</v>
      </c>
      <c r="V222">
        <v>2</v>
      </c>
      <c r="W222">
        <v>0</v>
      </c>
      <c r="X222" s="21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f t="shared" si="7"/>
        <v>128</v>
      </c>
      <c r="AP222" t="s">
        <v>41</v>
      </c>
    </row>
    <row r="223" spans="1:42">
      <c r="A223" s="1">
        <v>43789</v>
      </c>
      <c r="B223">
        <v>3</v>
      </c>
      <c r="C223">
        <v>310</v>
      </c>
      <c r="D223"/>
      <c r="E223" t="s">
        <v>37</v>
      </c>
      <c r="F223" t="s">
        <v>38</v>
      </c>
      <c r="G223">
        <v>1</v>
      </c>
      <c r="H223">
        <v>75</v>
      </c>
      <c r="I223" s="25">
        <v>77</v>
      </c>
      <c r="K223" t="s">
        <v>60</v>
      </c>
      <c r="N223" t="s">
        <v>40</v>
      </c>
      <c r="O223">
        <v>61</v>
      </c>
      <c r="Q223">
        <f t="shared" si="8"/>
        <v>2</v>
      </c>
      <c r="R223">
        <v>1</v>
      </c>
      <c r="S223">
        <v>0</v>
      </c>
      <c r="T223">
        <v>0</v>
      </c>
      <c r="U223">
        <v>0</v>
      </c>
      <c r="V223">
        <v>2</v>
      </c>
      <c r="W223">
        <v>0</v>
      </c>
      <c r="X223" s="21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f t="shared" si="7"/>
        <v>128</v>
      </c>
      <c r="AP223" t="s">
        <v>41</v>
      </c>
    </row>
    <row r="224" spans="1:42">
      <c r="A224" s="1">
        <v>43789</v>
      </c>
      <c r="B224">
        <v>3</v>
      </c>
      <c r="C224">
        <v>310</v>
      </c>
      <c r="D224"/>
      <c r="E224" t="s">
        <v>37</v>
      </c>
      <c r="F224" t="s">
        <v>38</v>
      </c>
      <c r="G224">
        <v>1</v>
      </c>
      <c r="H224">
        <v>76</v>
      </c>
      <c r="I224" s="25">
        <v>22</v>
      </c>
      <c r="K224" t="s">
        <v>60</v>
      </c>
      <c r="N224" t="s">
        <v>40</v>
      </c>
      <c r="O224">
        <v>38</v>
      </c>
      <c r="Q224">
        <f t="shared" si="8"/>
        <v>1</v>
      </c>
      <c r="R224">
        <v>1</v>
      </c>
      <c r="S224">
        <v>0</v>
      </c>
      <c r="T224">
        <v>0</v>
      </c>
      <c r="U224">
        <v>0</v>
      </c>
      <c r="V224">
        <v>1</v>
      </c>
      <c r="W224">
        <v>0</v>
      </c>
      <c r="X224" s="21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f t="shared" si="7"/>
        <v>64</v>
      </c>
      <c r="AP224" t="s">
        <v>41</v>
      </c>
    </row>
    <row r="225" spans="1:42">
      <c r="A225" s="1">
        <v>43789</v>
      </c>
      <c r="B225">
        <v>3</v>
      </c>
      <c r="C225">
        <v>310</v>
      </c>
      <c r="D225"/>
      <c r="E225" t="s">
        <v>37</v>
      </c>
      <c r="F225" t="s">
        <v>38</v>
      </c>
      <c r="G225">
        <v>1</v>
      </c>
      <c r="H225">
        <v>77</v>
      </c>
      <c r="I225" s="25">
        <v>22</v>
      </c>
      <c r="K225" t="s">
        <v>60</v>
      </c>
      <c r="N225" t="s">
        <v>40</v>
      </c>
      <c r="O225">
        <v>80</v>
      </c>
      <c r="Q225">
        <f t="shared" si="8"/>
        <v>3</v>
      </c>
      <c r="R225">
        <v>1</v>
      </c>
      <c r="S225">
        <v>0</v>
      </c>
      <c r="T225">
        <v>0</v>
      </c>
      <c r="U225">
        <v>0</v>
      </c>
      <c r="V225">
        <v>3</v>
      </c>
      <c r="W225">
        <v>0</v>
      </c>
      <c r="X225" s="21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f t="shared" si="7"/>
        <v>192</v>
      </c>
      <c r="AP225" t="s">
        <v>41</v>
      </c>
    </row>
    <row r="226" spans="1:42">
      <c r="A226" s="1">
        <v>43789</v>
      </c>
      <c r="B226">
        <v>3</v>
      </c>
      <c r="C226">
        <v>310</v>
      </c>
      <c r="D226"/>
      <c r="E226" t="s">
        <v>37</v>
      </c>
      <c r="F226" t="s">
        <v>38</v>
      </c>
      <c r="G226">
        <v>1</v>
      </c>
      <c r="H226">
        <v>78</v>
      </c>
      <c r="I226" s="25">
        <v>111</v>
      </c>
      <c r="K226" t="s">
        <v>69</v>
      </c>
      <c r="N226" t="s">
        <v>40</v>
      </c>
      <c r="O226">
        <v>142</v>
      </c>
      <c r="Q226">
        <f t="shared" si="8"/>
        <v>8</v>
      </c>
      <c r="R226">
        <v>1</v>
      </c>
      <c r="S226">
        <v>0</v>
      </c>
      <c r="T226">
        <v>0</v>
      </c>
      <c r="U226">
        <v>0</v>
      </c>
      <c r="V226">
        <v>8</v>
      </c>
      <c r="W226">
        <v>0</v>
      </c>
      <c r="X226" s="21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f t="shared" si="7"/>
        <v>512</v>
      </c>
      <c r="AP226" t="s">
        <v>41</v>
      </c>
    </row>
    <row r="227" spans="1:42">
      <c r="A227" s="1">
        <v>43789</v>
      </c>
      <c r="B227">
        <v>3</v>
      </c>
      <c r="C227">
        <v>310</v>
      </c>
      <c r="D227"/>
      <c r="E227" t="s">
        <v>37</v>
      </c>
      <c r="F227" t="s">
        <v>38</v>
      </c>
      <c r="G227">
        <v>1</v>
      </c>
      <c r="H227">
        <v>79</v>
      </c>
      <c r="I227" s="25">
        <v>120</v>
      </c>
      <c r="K227" t="s">
        <v>69</v>
      </c>
      <c r="N227" t="s">
        <v>40</v>
      </c>
      <c r="O227">
        <v>35</v>
      </c>
      <c r="Q227">
        <f t="shared" si="8"/>
        <v>0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</v>
      </c>
      <c r="X227" s="21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f t="shared" si="7"/>
        <v>0</v>
      </c>
      <c r="AP227" t="s">
        <v>41</v>
      </c>
    </row>
    <row r="228" spans="1:42">
      <c r="A228" s="1">
        <v>43789</v>
      </c>
      <c r="B228">
        <v>3</v>
      </c>
      <c r="C228">
        <v>310</v>
      </c>
      <c r="D228"/>
      <c r="E228" t="s">
        <v>37</v>
      </c>
      <c r="F228" t="s">
        <v>38</v>
      </c>
      <c r="G228">
        <v>1</v>
      </c>
      <c r="H228">
        <v>80</v>
      </c>
      <c r="I228" s="25">
        <v>200</v>
      </c>
      <c r="K228" t="s">
        <v>69</v>
      </c>
      <c r="N228" t="s">
        <v>40</v>
      </c>
      <c r="O228">
        <v>48</v>
      </c>
      <c r="Q228">
        <f t="shared" si="8"/>
        <v>3</v>
      </c>
      <c r="R228">
        <v>1</v>
      </c>
      <c r="S228">
        <v>0</v>
      </c>
      <c r="T228">
        <v>0</v>
      </c>
      <c r="U228">
        <v>0</v>
      </c>
      <c r="V228">
        <v>3</v>
      </c>
      <c r="W228">
        <v>0</v>
      </c>
      <c r="X228" s="21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f t="shared" si="7"/>
        <v>192</v>
      </c>
      <c r="AP228" t="s">
        <v>41</v>
      </c>
    </row>
    <row r="229" spans="1:42">
      <c r="A229" s="1">
        <v>43789</v>
      </c>
      <c r="B229">
        <v>3</v>
      </c>
      <c r="C229">
        <v>310</v>
      </c>
      <c r="D229"/>
      <c r="E229" t="s">
        <v>37</v>
      </c>
      <c r="F229" t="s">
        <v>38</v>
      </c>
      <c r="G229">
        <v>1</v>
      </c>
      <c r="H229">
        <v>81</v>
      </c>
      <c r="I229" s="25">
        <v>221</v>
      </c>
      <c r="K229" t="s">
        <v>69</v>
      </c>
      <c r="N229" t="s">
        <v>40</v>
      </c>
      <c r="O229">
        <v>48</v>
      </c>
      <c r="Q229">
        <f t="shared" si="8"/>
        <v>1</v>
      </c>
      <c r="R229">
        <v>1</v>
      </c>
      <c r="S229">
        <v>0</v>
      </c>
      <c r="T229">
        <v>0</v>
      </c>
      <c r="U229">
        <v>0</v>
      </c>
      <c r="V229">
        <v>1</v>
      </c>
      <c r="W229">
        <v>0</v>
      </c>
      <c r="X229" s="21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f t="shared" si="7"/>
        <v>64</v>
      </c>
      <c r="AP229" t="s">
        <v>41</v>
      </c>
    </row>
    <row r="230" spans="1:42">
      <c r="A230" s="1">
        <v>43789</v>
      </c>
      <c r="B230">
        <v>3</v>
      </c>
      <c r="C230">
        <v>310</v>
      </c>
      <c r="D230"/>
      <c r="E230" t="s">
        <v>37</v>
      </c>
      <c r="F230" t="s">
        <v>38</v>
      </c>
      <c r="G230">
        <v>1</v>
      </c>
      <c r="H230">
        <v>82</v>
      </c>
      <c r="I230" s="25">
        <v>201</v>
      </c>
      <c r="K230" t="s">
        <v>69</v>
      </c>
      <c r="N230" t="s">
        <v>40</v>
      </c>
      <c r="O230">
        <v>48</v>
      </c>
      <c r="Q230">
        <f t="shared" si="8"/>
        <v>1</v>
      </c>
      <c r="R230">
        <v>1</v>
      </c>
      <c r="S230">
        <v>0</v>
      </c>
      <c r="T230">
        <v>0</v>
      </c>
      <c r="U230">
        <v>0</v>
      </c>
      <c r="V230">
        <v>1</v>
      </c>
      <c r="W230">
        <v>0</v>
      </c>
      <c r="X230" s="21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f t="shared" si="7"/>
        <v>64</v>
      </c>
      <c r="AP230" t="s">
        <v>41</v>
      </c>
    </row>
    <row r="231" spans="1:42">
      <c r="A231" s="1">
        <v>43789</v>
      </c>
      <c r="B231">
        <v>3</v>
      </c>
      <c r="C231">
        <v>310</v>
      </c>
      <c r="D231"/>
      <c r="E231" t="s">
        <v>37</v>
      </c>
      <c r="F231" t="s">
        <v>38</v>
      </c>
      <c r="G231">
        <v>1</v>
      </c>
      <c r="H231">
        <v>83</v>
      </c>
      <c r="I231" s="25">
        <v>115</v>
      </c>
      <c r="K231" t="s">
        <v>58</v>
      </c>
      <c r="N231" t="s">
        <v>40</v>
      </c>
      <c r="O231">
        <v>76</v>
      </c>
      <c r="Q231">
        <f t="shared" si="8"/>
        <v>4</v>
      </c>
      <c r="R231">
        <v>1</v>
      </c>
      <c r="S231">
        <v>0</v>
      </c>
      <c r="T231">
        <v>0</v>
      </c>
      <c r="U231">
        <v>0</v>
      </c>
      <c r="V231">
        <v>4</v>
      </c>
      <c r="W231">
        <v>0</v>
      </c>
      <c r="X231" s="2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f t="shared" si="7"/>
        <v>256</v>
      </c>
      <c r="AP231" t="s">
        <v>41</v>
      </c>
    </row>
    <row r="232" spans="1:42">
      <c r="A232" s="1">
        <v>43789</v>
      </c>
      <c r="B232">
        <v>3</v>
      </c>
      <c r="C232">
        <v>310</v>
      </c>
      <c r="D232"/>
      <c r="E232" t="s">
        <v>37</v>
      </c>
      <c r="F232" t="s">
        <v>38</v>
      </c>
      <c r="G232">
        <v>1</v>
      </c>
      <c r="H232">
        <v>84</v>
      </c>
      <c r="I232" s="25">
        <v>119</v>
      </c>
      <c r="K232" t="s">
        <v>58</v>
      </c>
      <c r="N232" t="s">
        <v>40</v>
      </c>
      <c r="O232">
        <v>50</v>
      </c>
      <c r="Q232">
        <f t="shared" si="8"/>
        <v>2</v>
      </c>
      <c r="R232">
        <v>1</v>
      </c>
      <c r="S232">
        <v>0</v>
      </c>
      <c r="T232">
        <v>0</v>
      </c>
      <c r="U232">
        <v>0</v>
      </c>
      <c r="V232">
        <v>2</v>
      </c>
      <c r="W232">
        <v>0</v>
      </c>
      <c r="X232" s="21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f t="shared" si="7"/>
        <v>128</v>
      </c>
      <c r="AP232" t="s">
        <v>41</v>
      </c>
    </row>
    <row r="233" spans="1:42">
      <c r="A233" s="1">
        <v>43789</v>
      </c>
      <c r="B233">
        <v>3</v>
      </c>
      <c r="C233">
        <v>310</v>
      </c>
      <c r="D233"/>
      <c r="E233" t="s">
        <v>37</v>
      </c>
      <c r="F233" t="s">
        <v>38</v>
      </c>
      <c r="G233">
        <v>1</v>
      </c>
      <c r="H233">
        <v>85</v>
      </c>
      <c r="I233" s="25">
        <v>155</v>
      </c>
      <c r="K233" t="s">
        <v>58</v>
      </c>
      <c r="N233" t="s">
        <v>40</v>
      </c>
      <c r="O233">
        <v>50</v>
      </c>
      <c r="Q233">
        <f t="shared" si="8"/>
        <v>2</v>
      </c>
      <c r="R233">
        <v>1</v>
      </c>
      <c r="S233">
        <v>0</v>
      </c>
      <c r="T233">
        <v>0</v>
      </c>
      <c r="U233">
        <v>0</v>
      </c>
      <c r="V233">
        <v>2</v>
      </c>
      <c r="W233">
        <v>0</v>
      </c>
      <c r="X233" s="21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f t="shared" si="7"/>
        <v>128</v>
      </c>
      <c r="AP233" t="s">
        <v>41</v>
      </c>
    </row>
    <row r="234" spans="1:42">
      <c r="A234" s="1">
        <v>43789</v>
      </c>
      <c r="B234">
        <v>3</v>
      </c>
      <c r="C234">
        <v>310</v>
      </c>
      <c r="D234"/>
      <c r="E234" t="s">
        <v>37</v>
      </c>
      <c r="F234" t="s">
        <v>38</v>
      </c>
      <c r="G234">
        <v>1</v>
      </c>
      <c r="H234">
        <v>86</v>
      </c>
      <c r="I234" s="25" t="s">
        <v>89</v>
      </c>
      <c r="K234" t="s">
        <v>71</v>
      </c>
      <c r="N234" t="s">
        <v>40</v>
      </c>
      <c r="O234">
        <v>63</v>
      </c>
      <c r="Q234">
        <f t="shared" si="8"/>
        <v>2</v>
      </c>
      <c r="R234">
        <v>1</v>
      </c>
      <c r="S234">
        <v>0</v>
      </c>
      <c r="T234">
        <v>0</v>
      </c>
      <c r="U234">
        <v>0</v>
      </c>
      <c r="V234">
        <v>2</v>
      </c>
      <c r="W234">
        <v>0</v>
      </c>
      <c r="X234" s="21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f t="shared" si="7"/>
        <v>128</v>
      </c>
      <c r="AP234" t="s">
        <v>41</v>
      </c>
    </row>
    <row r="235" spans="1:42">
      <c r="A235" s="1">
        <v>43789</v>
      </c>
      <c r="B235">
        <v>3</v>
      </c>
      <c r="C235">
        <v>310</v>
      </c>
      <c r="D235"/>
      <c r="E235" t="s">
        <v>37</v>
      </c>
      <c r="F235" t="s">
        <v>38</v>
      </c>
      <c r="G235">
        <v>1</v>
      </c>
      <c r="H235">
        <v>87</v>
      </c>
      <c r="I235" s="25">
        <v>301</v>
      </c>
      <c r="K235" t="s">
        <v>69</v>
      </c>
      <c r="N235" t="s">
        <v>42</v>
      </c>
      <c r="O235">
        <v>56</v>
      </c>
      <c r="Q235">
        <f t="shared" si="8"/>
        <v>1</v>
      </c>
      <c r="R235">
        <v>1</v>
      </c>
      <c r="S235">
        <v>0</v>
      </c>
      <c r="T235">
        <v>0</v>
      </c>
      <c r="U235">
        <v>0</v>
      </c>
      <c r="V235">
        <v>1</v>
      </c>
      <c r="W235">
        <v>0</v>
      </c>
      <c r="X235" s="21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f t="shared" si="7"/>
        <v>64</v>
      </c>
      <c r="AL235" t="s">
        <v>45</v>
      </c>
      <c r="AP235" t="s">
        <v>41</v>
      </c>
    </row>
    <row r="236" spans="1:42">
      <c r="A236" s="1">
        <v>43789</v>
      </c>
      <c r="B236">
        <v>3</v>
      </c>
      <c r="C236">
        <v>310</v>
      </c>
      <c r="D236"/>
      <c r="E236" t="s">
        <v>37</v>
      </c>
      <c r="F236" t="s">
        <v>38</v>
      </c>
      <c r="G236">
        <v>1</v>
      </c>
      <c r="H236">
        <v>88</v>
      </c>
      <c r="I236" s="25">
        <v>70</v>
      </c>
      <c r="K236" t="s">
        <v>72</v>
      </c>
      <c r="N236" t="s">
        <v>40</v>
      </c>
      <c r="O236">
        <v>45</v>
      </c>
      <c r="Q236">
        <f t="shared" si="8"/>
        <v>1</v>
      </c>
      <c r="R236">
        <v>1</v>
      </c>
      <c r="S236">
        <v>0</v>
      </c>
      <c r="T236">
        <v>0</v>
      </c>
      <c r="U236">
        <v>0</v>
      </c>
      <c r="V236">
        <v>1</v>
      </c>
      <c r="W236">
        <v>0</v>
      </c>
      <c r="X236" s="21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f t="shared" si="7"/>
        <v>64</v>
      </c>
      <c r="AP236" t="s">
        <v>41</v>
      </c>
    </row>
    <row r="237" spans="1:42">
      <c r="A237" s="1">
        <v>43789</v>
      </c>
      <c r="B237">
        <v>3</v>
      </c>
      <c r="C237">
        <v>310</v>
      </c>
      <c r="D237"/>
      <c r="E237" t="s">
        <v>37</v>
      </c>
      <c r="F237" t="s">
        <v>38</v>
      </c>
      <c r="G237">
        <v>1</v>
      </c>
      <c r="H237">
        <v>89</v>
      </c>
      <c r="I237" s="25">
        <v>351</v>
      </c>
      <c r="K237" t="s">
        <v>56</v>
      </c>
      <c r="N237" t="s">
        <v>40</v>
      </c>
      <c r="O237">
        <v>63</v>
      </c>
      <c r="Q237">
        <f t="shared" si="8"/>
        <v>1</v>
      </c>
      <c r="R237">
        <v>1</v>
      </c>
      <c r="S237">
        <v>0</v>
      </c>
      <c r="T237">
        <v>0</v>
      </c>
      <c r="U237">
        <v>0</v>
      </c>
      <c r="V237">
        <v>1</v>
      </c>
      <c r="W237">
        <v>0</v>
      </c>
      <c r="X237" s="21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f t="shared" si="7"/>
        <v>64</v>
      </c>
      <c r="AP237" t="s">
        <v>41</v>
      </c>
    </row>
    <row r="238" spans="1:42">
      <c r="A238" s="1">
        <v>43789</v>
      </c>
      <c r="B238">
        <v>3</v>
      </c>
      <c r="C238">
        <v>310</v>
      </c>
      <c r="D238"/>
      <c r="E238" t="s">
        <v>37</v>
      </c>
      <c r="F238" t="s">
        <v>38</v>
      </c>
      <c r="G238">
        <v>1</v>
      </c>
      <c r="H238">
        <v>90</v>
      </c>
      <c r="I238" s="25">
        <v>240</v>
      </c>
      <c r="K238" t="s">
        <v>56</v>
      </c>
      <c r="N238" t="s">
        <v>40</v>
      </c>
      <c r="O238">
        <v>125</v>
      </c>
      <c r="Q238">
        <f t="shared" si="8"/>
        <v>2</v>
      </c>
      <c r="R238">
        <v>1</v>
      </c>
      <c r="S238">
        <v>0</v>
      </c>
      <c r="T238">
        <v>0</v>
      </c>
      <c r="U238">
        <v>0</v>
      </c>
      <c r="V238">
        <v>2</v>
      </c>
      <c r="W238">
        <v>0</v>
      </c>
      <c r="X238" s="21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f t="shared" si="7"/>
        <v>128</v>
      </c>
      <c r="AP238" t="s">
        <v>41</v>
      </c>
    </row>
    <row r="239" spans="1:42">
      <c r="A239" s="1">
        <v>43789</v>
      </c>
      <c r="B239">
        <v>3</v>
      </c>
      <c r="C239">
        <v>310</v>
      </c>
      <c r="D239"/>
      <c r="E239" t="s">
        <v>37</v>
      </c>
      <c r="F239" t="s">
        <v>38</v>
      </c>
      <c r="G239">
        <v>1</v>
      </c>
      <c r="H239">
        <v>91</v>
      </c>
      <c r="I239" s="25">
        <v>456</v>
      </c>
      <c r="K239" t="s">
        <v>71</v>
      </c>
      <c r="N239" t="s">
        <v>40</v>
      </c>
      <c r="O239">
        <v>45</v>
      </c>
      <c r="Q239">
        <f t="shared" si="8"/>
        <v>2</v>
      </c>
      <c r="R239">
        <v>1</v>
      </c>
      <c r="S239">
        <v>0</v>
      </c>
      <c r="T239">
        <v>0</v>
      </c>
      <c r="U239">
        <v>0</v>
      </c>
      <c r="V239">
        <v>2</v>
      </c>
      <c r="W239">
        <v>0</v>
      </c>
      <c r="X239" s="21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f t="shared" si="7"/>
        <v>128</v>
      </c>
      <c r="AP239" t="s">
        <v>41</v>
      </c>
    </row>
    <row r="240" spans="1:42">
      <c r="A240" s="1">
        <v>43789</v>
      </c>
      <c r="B240">
        <v>3</v>
      </c>
      <c r="C240">
        <v>310</v>
      </c>
      <c r="D240"/>
      <c r="E240" t="s">
        <v>37</v>
      </c>
      <c r="F240" t="s">
        <v>38</v>
      </c>
      <c r="G240">
        <v>1</v>
      </c>
      <c r="H240">
        <v>92</v>
      </c>
      <c r="I240" s="25">
        <v>500</v>
      </c>
      <c r="K240" t="s">
        <v>56</v>
      </c>
      <c r="N240" t="s">
        <v>40</v>
      </c>
      <c r="O240">
        <v>180</v>
      </c>
      <c r="Q240">
        <f t="shared" si="8"/>
        <v>9</v>
      </c>
      <c r="R240">
        <v>1</v>
      </c>
      <c r="S240">
        <v>0</v>
      </c>
      <c r="T240">
        <v>0</v>
      </c>
      <c r="U240">
        <v>0</v>
      </c>
      <c r="V240">
        <v>9</v>
      </c>
      <c r="W240">
        <v>0</v>
      </c>
      <c r="X240" s="21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f t="shared" si="7"/>
        <v>576</v>
      </c>
      <c r="AP240" t="s">
        <v>41</v>
      </c>
    </row>
    <row r="241" spans="1:42">
      <c r="A241" s="1">
        <v>43789</v>
      </c>
      <c r="B241">
        <v>3</v>
      </c>
      <c r="C241">
        <v>310</v>
      </c>
      <c r="D241"/>
      <c r="E241" t="s">
        <v>37</v>
      </c>
      <c r="F241" t="s">
        <v>38</v>
      </c>
      <c r="G241">
        <v>1</v>
      </c>
      <c r="H241">
        <v>93</v>
      </c>
      <c r="I241" s="25">
        <v>300</v>
      </c>
      <c r="K241" t="s">
        <v>71</v>
      </c>
      <c r="N241" t="s">
        <v>40</v>
      </c>
      <c r="O241">
        <v>45</v>
      </c>
      <c r="Q241">
        <f t="shared" si="8"/>
        <v>2</v>
      </c>
      <c r="R241">
        <v>1</v>
      </c>
      <c r="S241">
        <v>0</v>
      </c>
      <c r="T241">
        <v>0</v>
      </c>
      <c r="U241">
        <v>0</v>
      </c>
      <c r="V241">
        <v>2</v>
      </c>
      <c r="W241">
        <v>0</v>
      </c>
      <c r="X241" s="2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f t="shared" si="7"/>
        <v>128</v>
      </c>
      <c r="AP241" t="s">
        <v>41</v>
      </c>
    </row>
    <row r="242" spans="1:42">
      <c r="A242" s="1">
        <v>43789</v>
      </c>
      <c r="B242">
        <v>3</v>
      </c>
      <c r="C242">
        <v>310</v>
      </c>
      <c r="D242"/>
      <c r="E242" t="s">
        <v>37</v>
      </c>
      <c r="F242" t="s">
        <v>38</v>
      </c>
      <c r="G242">
        <v>1</v>
      </c>
      <c r="H242">
        <v>94</v>
      </c>
      <c r="I242" s="25">
        <v>315</v>
      </c>
      <c r="K242" t="s">
        <v>71</v>
      </c>
      <c r="N242" t="s">
        <v>40</v>
      </c>
      <c r="O242">
        <v>125</v>
      </c>
      <c r="Q242">
        <f t="shared" si="8"/>
        <v>2</v>
      </c>
      <c r="R242">
        <v>1</v>
      </c>
      <c r="S242">
        <v>0</v>
      </c>
      <c r="T242">
        <v>0</v>
      </c>
      <c r="U242">
        <v>0</v>
      </c>
      <c r="V242">
        <v>2</v>
      </c>
      <c r="W242">
        <v>0</v>
      </c>
      <c r="X242" s="21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f t="shared" si="7"/>
        <v>128</v>
      </c>
      <c r="AP242" t="s">
        <v>41</v>
      </c>
    </row>
    <row r="243" spans="1:42">
      <c r="A243" s="1">
        <v>43789</v>
      </c>
      <c r="B243">
        <v>3</v>
      </c>
      <c r="C243">
        <v>310</v>
      </c>
      <c r="D243"/>
      <c r="E243" t="s">
        <v>37</v>
      </c>
      <c r="F243" t="s">
        <v>38</v>
      </c>
      <c r="G243">
        <v>1</v>
      </c>
      <c r="H243">
        <v>95</v>
      </c>
      <c r="I243" s="25">
        <v>56</v>
      </c>
      <c r="K243" t="s">
        <v>82</v>
      </c>
      <c r="N243" t="s">
        <v>40</v>
      </c>
      <c r="O243">
        <v>90</v>
      </c>
      <c r="Q243">
        <f t="shared" si="8"/>
        <v>2</v>
      </c>
      <c r="R243">
        <v>1</v>
      </c>
      <c r="S243">
        <v>0</v>
      </c>
      <c r="T243">
        <v>0</v>
      </c>
      <c r="U243">
        <v>1</v>
      </c>
      <c r="V243">
        <v>1</v>
      </c>
      <c r="W243">
        <v>0</v>
      </c>
      <c r="X243" s="21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f t="shared" si="7"/>
        <v>96</v>
      </c>
      <c r="AP243" t="s">
        <v>41</v>
      </c>
    </row>
    <row r="244" spans="1:42">
      <c r="A244" s="1">
        <v>43789</v>
      </c>
      <c r="B244">
        <v>3</v>
      </c>
      <c r="C244">
        <v>310</v>
      </c>
      <c r="D244"/>
      <c r="E244" t="s">
        <v>37</v>
      </c>
      <c r="F244" t="s">
        <v>38</v>
      </c>
      <c r="G244">
        <v>1</v>
      </c>
      <c r="H244">
        <v>96</v>
      </c>
      <c r="I244" s="25">
        <v>44</v>
      </c>
      <c r="K244" t="s">
        <v>82</v>
      </c>
      <c r="N244" t="s">
        <v>40</v>
      </c>
      <c r="O244">
        <v>29</v>
      </c>
      <c r="Q244">
        <f t="shared" si="8"/>
        <v>1</v>
      </c>
      <c r="R244">
        <v>1</v>
      </c>
      <c r="S244">
        <v>0</v>
      </c>
      <c r="T244">
        <v>0</v>
      </c>
      <c r="U244">
        <v>0</v>
      </c>
      <c r="V244">
        <v>1</v>
      </c>
      <c r="W244">
        <v>0</v>
      </c>
      <c r="X244" s="21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f t="shared" si="7"/>
        <v>64</v>
      </c>
      <c r="AP244" t="s">
        <v>41</v>
      </c>
    </row>
    <row r="245" spans="1:42">
      <c r="A245" s="1">
        <v>43789</v>
      </c>
      <c r="B245">
        <v>3</v>
      </c>
      <c r="C245">
        <v>310</v>
      </c>
      <c r="D245"/>
      <c r="E245" t="s">
        <v>37</v>
      </c>
      <c r="F245" t="s">
        <v>38</v>
      </c>
      <c r="G245">
        <v>1</v>
      </c>
      <c r="H245">
        <v>97</v>
      </c>
      <c r="I245" s="25">
        <v>52</v>
      </c>
      <c r="K245" t="s">
        <v>82</v>
      </c>
      <c r="N245" t="s">
        <v>40</v>
      </c>
      <c r="O245">
        <v>29</v>
      </c>
      <c r="Q245">
        <f t="shared" si="8"/>
        <v>1</v>
      </c>
      <c r="R245">
        <v>1</v>
      </c>
      <c r="S245">
        <v>0</v>
      </c>
      <c r="T245">
        <v>0</v>
      </c>
      <c r="U245">
        <v>0</v>
      </c>
      <c r="V245">
        <v>1</v>
      </c>
      <c r="W245">
        <v>0</v>
      </c>
      <c r="X245" s="21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f t="shared" si="7"/>
        <v>64</v>
      </c>
      <c r="AP245" t="s">
        <v>41</v>
      </c>
    </row>
    <row r="246" spans="1:42">
      <c r="A246" s="1">
        <v>43789</v>
      </c>
      <c r="B246">
        <v>3</v>
      </c>
      <c r="C246">
        <v>310</v>
      </c>
      <c r="D246"/>
      <c r="E246" t="s">
        <v>37</v>
      </c>
      <c r="F246" t="s">
        <v>38</v>
      </c>
      <c r="G246">
        <v>1</v>
      </c>
      <c r="H246">
        <v>98</v>
      </c>
      <c r="I246" s="25">
        <v>28</v>
      </c>
      <c r="K246" t="s">
        <v>82</v>
      </c>
      <c r="N246" t="s">
        <v>40</v>
      </c>
      <c r="O246">
        <v>41</v>
      </c>
      <c r="Q246">
        <f t="shared" si="8"/>
        <v>1</v>
      </c>
      <c r="R246">
        <v>1</v>
      </c>
      <c r="S246">
        <v>0</v>
      </c>
      <c r="T246">
        <v>0</v>
      </c>
      <c r="U246">
        <v>0</v>
      </c>
      <c r="V246">
        <v>1</v>
      </c>
      <c r="W246">
        <v>0</v>
      </c>
      <c r="X246" s="21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f t="shared" si="7"/>
        <v>64</v>
      </c>
      <c r="AP246" t="s">
        <v>41</v>
      </c>
    </row>
    <row r="247" spans="1:42">
      <c r="A247" s="1">
        <v>43789</v>
      </c>
      <c r="B247">
        <v>3</v>
      </c>
      <c r="C247">
        <v>310</v>
      </c>
      <c r="D247"/>
      <c r="E247" t="s">
        <v>37</v>
      </c>
      <c r="F247" t="s">
        <v>38</v>
      </c>
      <c r="G247">
        <v>1</v>
      </c>
      <c r="H247">
        <v>99</v>
      </c>
      <c r="I247" s="25">
        <v>22</v>
      </c>
      <c r="K247" t="s">
        <v>82</v>
      </c>
      <c r="N247" t="s">
        <v>40</v>
      </c>
      <c r="O247">
        <v>41</v>
      </c>
      <c r="Q247">
        <f t="shared" si="8"/>
        <v>1</v>
      </c>
      <c r="R247">
        <v>1</v>
      </c>
      <c r="S247">
        <v>0</v>
      </c>
      <c r="T247">
        <v>0</v>
      </c>
      <c r="U247">
        <v>0</v>
      </c>
      <c r="V247">
        <v>1</v>
      </c>
      <c r="W247">
        <v>0</v>
      </c>
      <c r="X247" s="21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f t="shared" si="7"/>
        <v>64</v>
      </c>
      <c r="AP247" t="s">
        <v>41</v>
      </c>
    </row>
    <row r="248" spans="1:42">
      <c r="A248" s="1">
        <v>43789</v>
      </c>
      <c r="B248">
        <v>3</v>
      </c>
      <c r="C248">
        <v>310</v>
      </c>
      <c r="D248"/>
      <c r="E248" t="s">
        <v>37</v>
      </c>
      <c r="F248" t="s">
        <v>38</v>
      </c>
      <c r="G248">
        <v>1</v>
      </c>
      <c r="H248">
        <v>100</v>
      </c>
      <c r="I248" s="25">
        <v>379</v>
      </c>
      <c r="K248" t="s">
        <v>46</v>
      </c>
      <c r="N248" t="s">
        <v>40</v>
      </c>
      <c r="O248">
        <v>41</v>
      </c>
      <c r="Q248">
        <f t="shared" si="8"/>
        <v>2</v>
      </c>
      <c r="R248">
        <v>1</v>
      </c>
      <c r="S248">
        <v>0</v>
      </c>
      <c r="T248">
        <v>0</v>
      </c>
      <c r="U248">
        <v>0</v>
      </c>
      <c r="V248">
        <v>2</v>
      </c>
      <c r="W248">
        <v>0</v>
      </c>
      <c r="X248" s="21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f t="shared" si="7"/>
        <v>128</v>
      </c>
      <c r="AP248" t="s">
        <v>41</v>
      </c>
    </row>
    <row r="249" spans="1:42">
      <c r="A249" s="1">
        <v>43789</v>
      </c>
      <c r="B249">
        <v>3</v>
      </c>
      <c r="C249">
        <v>310</v>
      </c>
      <c r="D249"/>
      <c r="E249" t="s">
        <v>37</v>
      </c>
      <c r="F249" t="s">
        <v>38</v>
      </c>
      <c r="G249">
        <v>1</v>
      </c>
      <c r="H249">
        <v>101</v>
      </c>
      <c r="I249" s="25">
        <v>310</v>
      </c>
      <c r="K249" t="s">
        <v>39</v>
      </c>
      <c r="N249" t="s">
        <v>40</v>
      </c>
      <c r="O249">
        <v>45</v>
      </c>
      <c r="Q249">
        <f t="shared" si="8"/>
        <v>2</v>
      </c>
      <c r="R249">
        <v>1</v>
      </c>
      <c r="S249">
        <v>0</v>
      </c>
      <c r="T249">
        <v>0</v>
      </c>
      <c r="U249">
        <v>2</v>
      </c>
      <c r="V249">
        <v>0</v>
      </c>
      <c r="W249">
        <v>0</v>
      </c>
      <c r="X249" s="21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f t="shared" si="7"/>
        <v>64</v>
      </c>
      <c r="AP249" t="s">
        <v>41</v>
      </c>
    </row>
    <row r="250" spans="1:42">
      <c r="A250" s="1">
        <v>43789</v>
      </c>
      <c r="B250">
        <v>3</v>
      </c>
      <c r="C250">
        <v>310</v>
      </c>
      <c r="D250"/>
      <c r="E250" t="s">
        <v>37</v>
      </c>
      <c r="F250" t="s">
        <v>38</v>
      </c>
      <c r="G250">
        <v>1</v>
      </c>
      <c r="H250">
        <v>102</v>
      </c>
      <c r="I250" s="25">
        <v>380</v>
      </c>
      <c r="K250" t="s">
        <v>46</v>
      </c>
      <c r="N250" t="s">
        <v>40</v>
      </c>
      <c r="O250">
        <v>45</v>
      </c>
      <c r="Q250">
        <f t="shared" si="8"/>
        <v>1</v>
      </c>
      <c r="R250">
        <v>1</v>
      </c>
      <c r="S250">
        <v>0</v>
      </c>
      <c r="T250">
        <v>0</v>
      </c>
      <c r="U250">
        <v>1</v>
      </c>
      <c r="V250">
        <v>0</v>
      </c>
      <c r="W250">
        <v>0</v>
      </c>
      <c r="X250" s="21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f t="shared" si="7"/>
        <v>32</v>
      </c>
      <c r="AP250" t="s">
        <v>41</v>
      </c>
    </row>
    <row r="251" spans="1:42">
      <c r="A251" s="1">
        <v>43789</v>
      </c>
      <c r="B251">
        <v>3</v>
      </c>
      <c r="C251">
        <v>310</v>
      </c>
      <c r="D251"/>
      <c r="E251" t="s">
        <v>37</v>
      </c>
      <c r="F251" t="s">
        <v>38</v>
      </c>
      <c r="G251">
        <v>1</v>
      </c>
      <c r="H251">
        <v>103</v>
      </c>
      <c r="I251" s="25">
        <v>44</v>
      </c>
      <c r="K251" t="s">
        <v>71</v>
      </c>
      <c r="N251" t="s">
        <v>40</v>
      </c>
      <c r="O251">
        <v>42</v>
      </c>
      <c r="Q251">
        <f t="shared" si="8"/>
        <v>1</v>
      </c>
      <c r="R251">
        <v>1</v>
      </c>
      <c r="S251">
        <v>0</v>
      </c>
      <c r="T251">
        <v>0</v>
      </c>
      <c r="U251">
        <v>0</v>
      </c>
      <c r="V251">
        <v>1</v>
      </c>
      <c r="W251">
        <v>0</v>
      </c>
      <c r="X251" s="2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f t="shared" si="7"/>
        <v>64</v>
      </c>
      <c r="AP251" t="s">
        <v>41</v>
      </c>
    </row>
    <row r="252" spans="1:42">
      <c r="A252" s="1">
        <v>43789</v>
      </c>
      <c r="B252">
        <v>3</v>
      </c>
      <c r="C252">
        <v>310</v>
      </c>
      <c r="D252"/>
      <c r="E252" t="s">
        <v>37</v>
      </c>
      <c r="F252" t="s">
        <v>38</v>
      </c>
      <c r="G252">
        <v>1</v>
      </c>
      <c r="H252">
        <v>104</v>
      </c>
      <c r="I252" s="25">
        <v>554</v>
      </c>
      <c r="K252" t="s">
        <v>73</v>
      </c>
      <c r="N252" t="s">
        <v>40</v>
      </c>
      <c r="O252">
        <v>51</v>
      </c>
      <c r="Q252">
        <f t="shared" si="8"/>
        <v>1</v>
      </c>
      <c r="R252">
        <v>1</v>
      </c>
      <c r="S252">
        <v>0</v>
      </c>
      <c r="T252">
        <v>0</v>
      </c>
      <c r="U252">
        <v>1</v>
      </c>
      <c r="V252">
        <v>0</v>
      </c>
      <c r="W252">
        <v>0</v>
      </c>
      <c r="X252" s="21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f t="shared" si="7"/>
        <v>32</v>
      </c>
      <c r="AP252" t="s">
        <v>41</v>
      </c>
    </row>
    <row r="253" spans="1:42">
      <c r="A253" s="1">
        <v>43789</v>
      </c>
      <c r="B253">
        <v>3</v>
      </c>
      <c r="C253">
        <v>310</v>
      </c>
      <c r="D253"/>
      <c r="E253" t="s">
        <v>37</v>
      </c>
      <c r="F253" t="s">
        <v>38</v>
      </c>
      <c r="G253">
        <v>1</v>
      </c>
      <c r="H253">
        <v>105</v>
      </c>
      <c r="I253" s="25">
        <v>435</v>
      </c>
      <c r="K253" t="s">
        <v>73</v>
      </c>
      <c r="N253" t="s">
        <v>40</v>
      </c>
      <c r="O253">
        <v>61</v>
      </c>
      <c r="Q253">
        <f t="shared" si="8"/>
        <v>2</v>
      </c>
      <c r="R253">
        <v>1</v>
      </c>
      <c r="S253">
        <v>0</v>
      </c>
      <c r="T253">
        <v>0</v>
      </c>
      <c r="U253">
        <v>0</v>
      </c>
      <c r="V253">
        <v>2</v>
      </c>
      <c r="W253">
        <v>0</v>
      </c>
      <c r="X253" s="21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f t="shared" si="7"/>
        <v>128</v>
      </c>
      <c r="AP253" t="s">
        <v>41</v>
      </c>
    </row>
    <row r="254" spans="1:42">
      <c r="A254" s="1">
        <v>43789</v>
      </c>
      <c r="B254">
        <v>3</v>
      </c>
      <c r="C254">
        <v>310</v>
      </c>
      <c r="D254"/>
      <c r="E254" t="s">
        <v>37</v>
      </c>
      <c r="F254" t="s">
        <v>38</v>
      </c>
      <c r="G254">
        <v>1</v>
      </c>
      <c r="H254">
        <v>106</v>
      </c>
      <c r="I254" s="25">
        <v>120</v>
      </c>
      <c r="K254" t="s">
        <v>71</v>
      </c>
      <c r="N254" t="s">
        <v>40</v>
      </c>
      <c r="O254">
        <v>118</v>
      </c>
      <c r="Q254">
        <f t="shared" si="8"/>
        <v>8</v>
      </c>
      <c r="R254">
        <v>1</v>
      </c>
      <c r="S254">
        <v>0</v>
      </c>
      <c r="T254">
        <v>0</v>
      </c>
      <c r="U254">
        <v>0</v>
      </c>
      <c r="V254">
        <v>8</v>
      </c>
      <c r="W254">
        <v>0</v>
      </c>
      <c r="X254" s="21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f t="shared" si="7"/>
        <v>512</v>
      </c>
      <c r="AP254" t="s">
        <v>41</v>
      </c>
    </row>
    <row r="255" spans="1:42">
      <c r="A255" s="1">
        <v>43789</v>
      </c>
      <c r="B255">
        <v>3</v>
      </c>
      <c r="C255">
        <v>310</v>
      </c>
      <c r="D255"/>
      <c r="E255" t="s">
        <v>37</v>
      </c>
      <c r="F255" t="s">
        <v>38</v>
      </c>
      <c r="G255">
        <v>1</v>
      </c>
      <c r="H255">
        <v>107</v>
      </c>
      <c r="I255" s="25">
        <v>44</v>
      </c>
      <c r="K255" t="s">
        <v>71</v>
      </c>
      <c r="N255" t="s">
        <v>40</v>
      </c>
      <c r="O255">
        <v>136</v>
      </c>
      <c r="Q255">
        <f t="shared" si="8"/>
        <v>8</v>
      </c>
      <c r="R255">
        <v>1</v>
      </c>
      <c r="S255">
        <v>0</v>
      </c>
      <c r="T255">
        <v>0</v>
      </c>
      <c r="U255">
        <v>0</v>
      </c>
      <c r="V255">
        <v>8</v>
      </c>
      <c r="W255">
        <v>0</v>
      </c>
      <c r="X255" s="21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f t="shared" si="7"/>
        <v>512</v>
      </c>
      <c r="AP255" t="s">
        <v>41</v>
      </c>
    </row>
    <row r="256" spans="1:42">
      <c r="A256" s="1">
        <v>43789</v>
      </c>
      <c r="B256">
        <v>3</v>
      </c>
      <c r="C256">
        <v>310</v>
      </c>
      <c r="D256"/>
      <c r="E256" t="s">
        <v>37</v>
      </c>
      <c r="F256" t="s">
        <v>38</v>
      </c>
      <c r="G256">
        <v>1</v>
      </c>
      <c r="H256">
        <v>108</v>
      </c>
      <c r="I256" s="25">
        <v>650</v>
      </c>
      <c r="K256" t="s">
        <v>71</v>
      </c>
      <c r="N256" t="s">
        <v>40</v>
      </c>
      <c r="O256">
        <v>51</v>
      </c>
      <c r="Q256">
        <f t="shared" si="8"/>
        <v>2</v>
      </c>
      <c r="R256">
        <v>1</v>
      </c>
      <c r="S256">
        <v>0</v>
      </c>
      <c r="T256">
        <v>0</v>
      </c>
      <c r="U256">
        <v>0</v>
      </c>
      <c r="V256">
        <v>2</v>
      </c>
      <c r="W256">
        <v>0</v>
      </c>
      <c r="X256" s="21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f t="shared" si="7"/>
        <v>128</v>
      </c>
      <c r="AP256" t="s">
        <v>41</v>
      </c>
    </row>
    <row r="257" spans="1:42">
      <c r="A257" s="1">
        <v>43789</v>
      </c>
      <c r="B257">
        <v>3</v>
      </c>
      <c r="C257">
        <v>310</v>
      </c>
      <c r="D257"/>
      <c r="E257" t="s">
        <v>37</v>
      </c>
      <c r="F257" t="s">
        <v>38</v>
      </c>
      <c r="G257">
        <v>1</v>
      </c>
      <c r="H257">
        <v>109</v>
      </c>
      <c r="I257" s="25">
        <v>658</v>
      </c>
      <c r="K257" t="s">
        <v>71</v>
      </c>
      <c r="N257" t="s">
        <v>40</v>
      </c>
      <c r="O257">
        <v>51</v>
      </c>
      <c r="Q257">
        <f t="shared" si="8"/>
        <v>1</v>
      </c>
      <c r="R257">
        <v>1</v>
      </c>
      <c r="S257">
        <v>0</v>
      </c>
      <c r="T257">
        <v>0</v>
      </c>
      <c r="U257">
        <v>0</v>
      </c>
      <c r="V257">
        <v>1</v>
      </c>
      <c r="W257">
        <v>0</v>
      </c>
      <c r="X257" s="21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f t="shared" ref="AH257:AH299" si="9">(S257*16)+(T257*20)+(U257*32)+(V257*64)+(W257*96)</f>
        <v>64</v>
      </c>
      <c r="AP257" t="s">
        <v>41</v>
      </c>
    </row>
    <row r="258" spans="1:42">
      <c r="A258" s="1">
        <v>43789</v>
      </c>
      <c r="B258">
        <v>3</v>
      </c>
      <c r="C258">
        <v>310</v>
      </c>
      <c r="D258"/>
      <c r="E258" t="s">
        <v>37</v>
      </c>
      <c r="F258" t="s">
        <v>38</v>
      </c>
      <c r="G258">
        <v>1</v>
      </c>
      <c r="H258">
        <v>110</v>
      </c>
      <c r="I258" s="25">
        <v>49</v>
      </c>
      <c r="K258" t="s">
        <v>74</v>
      </c>
      <c r="N258" t="s">
        <v>40</v>
      </c>
      <c r="O258">
        <v>37</v>
      </c>
      <c r="Q258">
        <f t="shared" si="8"/>
        <v>1</v>
      </c>
      <c r="R258">
        <v>1</v>
      </c>
      <c r="S258">
        <v>0</v>
      </c>
      <c r="T258">
        <v>0</v>
      </c>
      <c r="U258">
        <v>0</v>
      </c>
      <c r="V258">
        <v>1</v>
      </c>
      <c r="W258">
        <v>0</v>
      </c>
      <c r="X258" s="21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f t="shared" si="9"/>
        <v>64</v>
      </c>
      <c r="AP258" t="s">
        <v>41</v>
      </c>
    </row>
    <row r="259" spans="1:42">
      <c r="A259" s="1">
        <v>43789</v>
      </c>
      <c r="B259">
        <v>3</v>
      </c>
      <c r="C259">
        <v>310</v>
      </c>
      <c r="D259"/>
      <c r="E259" t="s">
        <v>37</v>
      </c>
      <c r="F259" t="s">
        <v>38</v>
      </c>
      <c r="G259">
        <v>1</v>
      </c>
      <c r="H259">
        <v>111</v>
      </c>
      <c r="I259" s="25">
        <v>1</v>
      </c>
      <c r="K259" t="s">
        <v>39</v>
      </c>
      <c r="N259" t="s">
        <v>40</v>
      </c>
      <c r="O259">
        <v>55</v>
      </c>
      <c r="Q259">
        <f t="shared" si="8"/>
        <v>1</v>
      </c>
      <c r="R259">
        <v>1</v>
      </c>
      <c r="S259">
        <v>0</v>
      </c>
      <c r="T259">
        <v>0</v>
      </c>
      <c r="U259">
        <v>0</v>
      </c>
      <c r="V259">
        <v>1</v>
      </c>
      <c r="W259">
        <v>0</v>
      </c>
      <c r="X259" s="21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f t="shared" si="9"/>
        <v>64</v>
      </c>
      <c r="AP259" t="s">
        <v>41</v>
      </c>
    </row>
    <row r="260" spans="1:42">
      <c r="A260" s="1">
        <v>43789</v>
      </c>
      <c r="B260">
        <v>3</v>
      </c>
      <c r="C260">
        <v>310</v>
      </c>
      <c r="D260"/>
      <c r="E260" t="s">
        <v>37</v>
      </c>
      <c r="F260" t="s">
        <v>38</v>
      </c>
      <c r="G260">
        <v>1</v>
      </c>
      <c r="H260">
        <v>112</v>
      </c>
      <c r="I260" s="25">
        <v>23</v>
      </c>
      <c r="K260" t="s">
        <v>74</v>
      </c>
      <c r="N260" t="s">
        <v>40</v>
      </c>
      <c r="O260">
        <v>55</v>
      </c>
      <c r="Q260">
        <f t="shared" si="8"/>
        <v>0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</v>
      </c>
      <c r="X260" s="21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f t="shared" si="9"/>
        <v>0</v>
      </c>
      <c r="AP260" t="s">
        <v>41</v>
      </c>
    </row>
    <row r="261" spans="1:42">
      <c r="A261" s="1">
        <v>43789</v>
      </c>
      <c r="B261">
        <v>3</v>
      </c>
      <c r="C261">
        <v>310</v>
      </c>
      <c r="D261"/>
      <c r="E261" t="s">
        <v>37</v>
      </c>
      <c r="F261" t="s">
        <v>38</v>
      </c>
      <c r="G261">
        <v>1</v>
      </c>
      <c r="H261">
        <v>113</v>
      </c>
      <c r="I261" s="25">
        <v>222</v>
      </c>
      <c r="K261" t="s">
        <v>50</v>
      </c>
      <c r="N261" t="s">
        <v>40</v>
      </c>
      <c r="O261">
        <v>50</v>
      </c>
      <c r="Q261">
        <f t="shared" si="8"/>
        <v>1</v>
      </c>
      <c r="R261">
        <v>1</v>
      </c>
      <c r="S261">
        <v>0</v>
      </c>
      <c r="T261">
        <v>0</v>
      </c>
      <c r="U261">
        <v>1</v>
      </c>
      <c r="V261">
        <v>0</v>
      </c>
      <c r="W261">
        <v>0</v>
      </c>
      <c r="X261" s="2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f t="shared" si="9"/>
        <v>32</v>
      </c>
      <c r="AP261" t="s">
        <v>41</v>
      </c>
    </row>
    <row r="262" spans="1:42">
      <c r="A262" s="1">
        <v>43789</v>
      </c>
      <c r="B262">
        <v>3</v>
      </c>
      <c r="C262">
        <v>310</v>
      </c>
      <c r="D262"/>
      <c r="E262" t="s">
        <v>37</v>
      </c>
      <c r="F262" t="s">
        <v>38</v>
      </c>
      <c r="G262">
        <v>1</v>
      </c>
      <c r="H262">
        <v>114</v>
      </c>
      <c r="I262" s="25">
        <v>120</v>
      </c>
      <c r="K262" t="s">
        <v>78</v>
      </c>
      <c r="N262" t="s">
        <v>40</v>
      </c>
      <c r="O262">
        <v>37</v>
      </c>
      <c r="Q262">
        <f t="shared" si="8"/>
        <v>0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 s="21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f t="shared" si="9"/>
        <v>0</v>
      </c>
      <c r="AP262" t="s">
        <v>41</v>
      </c>
    </row>
    <row r="263" spans="1:42">
      <c r="A263" s="1">
        <v>43789</v>
      </c>
      <c r="B263">
        <v>3</v>
      </c>
      <c r="C263">
        <v>310</v>
      </c>
      <c r="D263"/>
      <c r="E263" t="s">
        <v>37</v>
      </c>
      <c r="F263" t="s">
        <v>38</v>
      </c>
      <c r="G263">
        <v>1</v>
      </c>
      <c r="H263">
        <v>115</v>
      </c>
      <c r="I263" s="25">
        <v>77</v>
      </c>
      <c r="K263" t="s">
        <v>78</v>
      </c>
      <c r="N263" t="s">
        <v>40</v>
      </c>
      <c r="O263">
        <v>37</v>
      </c>
      <c r="Q263">
        <f t="shared" si="8"/>
        <v>1</v>
      </c>
      <c r="R263">
        <v>1</v>
      </c>
      <c r="S263">
        <v>0</v>
      </c>
      <c r="T263">
        <v>0</v>
      </c>
      <c r="U263">
        <v>0</v>
      </c>
      <c r="V263">
        <v>1</v>
      </c>
      <c r="W263">
        <v>0</v>
      </c>
      <c r="X263" s="21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f t="shared" si="9"/>
        <v>64</v>
      </c>
      <c r="AP263" t="s">
        <v>41</v>
      </c>
    </row>
    <row r="264" spans="1:42">
      <c r="A264" s="1">
        <v>43789</v>
      </c>
      <c r="B264">
        <v>3</v>
      </c>
      <c r="C264">
        <v>310</v>
      </c>
      <c r="D264"/>
      <c r="E264" t="s">
        <v>37</v>
      </c>
      <c r="F264" t="s">
        <v>38</v>
      </c>
      <c r="G264">
        <v>1</v>
      </c>
      <c r="H264">
        <v>116</v>
      </c>
      <c r="I264" s="25">
        <v>11</v>
      </c>
      <c r="K264" t="s">
        <v>78</v>
      </c>
      <c r="N264" t="s">
        <v>40</v>
      </c>
      <c r="O264">
        <v>41</v>
      </c>
      <c r="Q264">
        <f t="shared" si="8"/>
        <v>1</v>
      </c>
      <c r="R264">
        <v>1</v>
      </c>
      <c r="S264">
        <v>0</v>
      </c>
      <c r="T264">
        <v>0</v>
      </c>
      <c r="U264">
        <v>1</v>
      </c>
      <c r="V264">
        <v>0</v>
      </c>
      <c r="W264">
        <v>0</v>
      </c>
      <c r="X264" s="21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f t="shared" si="9"/>
        <v>32</v>
      </c>
      <c r="AP264" t="s">
        <v>41</v>
      </c>
    </row>
    <row r="265" spans="1:42">
      <c r="A265" s="1">
        <v>43789</v>
      </c>
      <c r="B265">
        <v>3</v>
      </c>
      <c r="C265">
        <v>310</v>
      </c>
      <c r="D265"/>
      <c r="E265" t="s">
        <v>37</v>
      </c>
      <c r="F265" t="s">
        <v>38</v>
      </c>
      <c r="G265">
        <v>1</v>
      </c>
      <c r="H265">
        <v>117</v>
      </c>
      <c r="I265" s="25">
        <v>27</v>
      </c>
      <c r="K265" t="s">
        <v>78</v>
      </c>
      <c r="N265" t="s">
        <v>40</v>
      </c>
      <c r="O265">
        <v>41</v>
      </c>
      <c r="Q265">
        <f t="shared" si="8"/>
        <v>2</v>
      </c>
      <c r="R265">
        <v>1</v>
      </c>
      <c r="S265">
        <v>0</v>
      </c>
      <c r="T265">
        <v>0</v>
      </c>
      <c r="U265">
        <v>0</v>
      </c>
      <c r="V265">
        <v>2</v>
      </c>
      <c r="W265">
        <v>0</v>
      </c>
      <c r="X265" s="21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f t="shared" si="9"/>
        <v>128</v>
      </c>
      <c r="AP265" t="s">
        <v>41</v>
      </c>
    </row>
    <row r="266" spans="1:42">
      <c r="A266" s="1">
        <v>43789</v>
      </c>
      <c r="B266">
        <v>3</v>
      </c>
      <c r="C266">
        <v>310</v>
      </c>
      <c r="D266"/>
      <c r="E266" t="s">
        <v>37</v>
      </c>
      <c r="F266" t="s">
        <v>38</v>
      </c>
      <c r="G266">
        <v>1</v>
      </c>
      <c r="H266">
        <v>118</v>
      </c>
      <c r="I266" s="25">
        <v>16</v>
      </c>
      <c r="K266" t="s">
        <v>78</v>
      </c>
      <c r="N266" t="s">
        <v>40</v>
      </c>
      <c r="O266">
        <v>41</v>
      </c>
      <c r="Q266">
        <f t="shared" si="8"/>
        <v>1</v>
      </c>
      <c r="R266">
        <v>1</v>
      </c>
      <c r="S266">
        <v>0</v>
      </c>
      <c r="T266">
        <v>0</v>
      </c>
      <c r="U266">
        <v>1</v>
      </c>
      <c r="V266">
        <v>0</v>
      </c>
      <c r="W266">
        <v>0</v>
      </c>
      <c r="X266" s="21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f t="shared" si="9"/>
        <v>32</v>
      </c>
      <c r="AP266" t="s">
        <v>41</v>
      </c>
    </row>
    <row r="267" spans="1:42">
      <c r="A267" s="1">
        <v>43789</v>
      </c>
      <c r="B267">
        <v>3</v>
      </c>
      <c r="C267">
        <v>310</v>
      </c>
      <c r="D267"/>
      <c r="E267" t="s">
        <v>37</v>
      </c>
      <c r="F267" t="s">
        <v>38</v>
      </c>
      <c r="G267">
        <v>1</v>
      </c>
      <c r="H267">
        <v>119</v>
      </c>
      <c r="I267" s="25">
        <v>35</v>
      </c>
      <c r="K267" t="s">
        <v>39</v>
      </c>
      <c r="N267" t="s">
        <v>40</v>
      </c>
      <c r="O267">
        <v>49</v>
      </c>
      <c r="Q267">
        <f t="shared" si="8"/>
        <v>2</v>
      </c>
      <c r="R267">
        <v>1</v>
      </c>
      <c r="S267">
        <v>0</v>
      </c>
      <c r="T267">
        <v>0</v>
      </c>
      <c r="U267">
        <v>0</v>
      </c>
      <c r="V267">
        <v>2</v>
      </c>
      <c r="W267">
        <v>0</v>
      </c>
      <c r="X267" s="21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f t="shared" si="9"/>
        <v>128</v>
      </c>
      <c r="AP267" t="s">
        <v>41</v>
      </c>
    </row>
    <row r="268" spans="1:42">
      <c r="A268" s="1">
        <v>43789</v>
      </c>
      <c r="B268">
        <v>3</v>
      </c>
      <c r="C268">
        <v>310</v>
      </c>
      <c r="D268"/>
      <c r="E268" t="s">
        <v>37</v>
      </c>
      <c r="F268" t="s">
        <v>38</v>
      </c>
      <c r="G268">
        <v>1</v>
      </c>
      <c r="H268">
        <v>120</v>
      </c>
      <c r="I268" s="25">
        <v>126</v>
      </c>
      <c r="K268" t="s">
        <v>53</v>
      </c>
      <c r="N268" t="s">
        <v>44</v>
      </c>
      <c r="O268">
        <v>82</v>
      </c>
      <c r="Q268">
        <f t="shared" ref="Q268:Q299" si="10">SUM(S268:AE268)</f>
        <v>1</v>
      </c>
      <c r="R268">
        <v>1</v>
      </c>
      <c r="S268">
        <v>0</v>
      </c>
      <c r="T268">
        <v>0</v>
      </c>
      <c r="U268">
        <v>0</v>
      </c>
      <c r="V268">
        <v>1</v>
      </c>
      <c r="W268">
        <v>0</v>
      </c>
      <c r="X268" s="21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f t="shared" si="9"/>
        <v>64</v>
      </c>
      <c r="AP268" t="s">
        <v>41</v>
      </c>
    </row>
    <row r="269" spans="1:42">
      <c r="A269" s="1">
        <v>43789</v>
      </c>
      <c r="B269">
        <v>3</v>
      </c>
      <c r="C269">
        <v>310</v>
      </c>
      <c r="D269"/>
      <c r="E269" t="s">
        <v>37</v>
      </c>
      <c r="F269" t="s">
        <v>38</v>
      </c>
      <c r="G269">
        <v>1</v>
      </c>
      <c r="H269">
        <v>121</v>
      </c>
      <c r="I269" s="25">
        <v>250</v>
      </c>
      <c r="K269" t="s">
        <v>48</v>
      </c>
      <c r="N269" t="s">
        <v>44</v>
      </c>
      <c r="O269">
        <v>82</v>
      </c>
      <c r="Q269">
        <f t="shared" si="10"/>
        <v>1</v>
      </c>
      <c r="R269">
        <v>1</v>
      </c>
      <c r="S269">
        <v>0</v>
      </c>
      <c r="T269">
        <v>0</v>
      </c>
      <c r="U269">
        <v>0</v>
      </c>
      <c r="V269">
        <v>1</v>
      </c>
      <c r="W269">
        <v>0</v>
      </c>
      <c r="X269" s="21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f t="shared" si="9"/>
        <v>64</v>
      </c>
      <c r="AP269" t="s">
        <v>41</v>
      </c>
    </row>
    <row r="270" spans="1:42">
      <c r="A270" s="1">
        <v>43789</v>
      </c>
      <c r="B270">
        <v>3</v>
      </c>
      <c r="C270">
        <v>310</v>
      </c>
      <c r="D270"/>
      <c r="E270" t="s">
        <v>37</v>
      </c>
      <c r="F270" t="s">
        <v>38</v>
      </c>
      <c r="G270">
        <v>1</v>
      </c>
      <c r="H270">
        <v>122</v>
      </c>
      <c r="I270" s="25">
        <v>150</v>
      </c>
      <c r="K270" t="s">
        <v>53</v>
      </c>
      <c r="N270" t="s">
        <v>44</v>
      </c>
      <c r="O270">
        <v>82</v>
      </c>
      <c r="Q270">
        <f t="shared" si="10"/>
        <v>1</v>
      </c>
      <c r="R270">
        <v>1</v>
      </c>
      <c r="S270">
        <v>0</v>
      </c>
      <c r="T270">
        <v>0</v>
      </c>
      <c r="U270">
        <v>0</v>
      </c>
      <c r="V270">
        <v>1</v>
      </c>
      <c r="W270">
        <v>0</v>
      </c>
      <c r="X270" s="21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f t="shared" si="9"/>
        <v>64</v>
      </c>
      <c r="AP270" t="s">
        <v>41</v>
      </c>
    </row>
    <row r="271" spans="1:42">
      <c r="A271" s="1">
        <v>43789</v>
      </c>
      <c r="B271">
        <v>3</v>
      </c>
      <c r="C271">
        <v>310</v>
      </c>
      <c r="D271"/>
      <c r="E271" t="s">
        <v>37</v>
      </c>
      <c r="F271" t="s">
        <v>38</v>
      </c>
      <c r="G271">
        <v>1</v>
      </c>
      <c r="H271">
        <v>123</v>
      </c>
      <c r="I271" s="25">
        <v>101</v>
      </c>
      <c r="K271" t="s">
        <v>53</v>
      </c>
      <c r="N271" t="s">
        <v>40</v>
      </c>
      <c r="O271">
        <v>45</v>
      </c>
      <c r="Q271">
        <f t="shared" si="10"/>
        <v>1</v>
      </c>
      <c r="R271">
        <v>1</v>
      </c>
      <c r="S271">
        <v>0</v>
      </c>
      <c r="T271">
        <v>0</v>
      </c>
      <c r="U271">
        <v>0</v>
      </c>
      <c r="V271">
        <v>1</v>
      </c>
      <c r="W271">
        <v>0</v>
      </c>
      <c r="X271" s="2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f t="shared" si="9"/>
        <v>64</v>
      </c>
      <c r="AP271" t="s">
        <v>41</v>
      </c>
    </row>
    <row r="272" spans="1:42">
      <c r="A272" s="1">
        <v>43789</v>
      </c>
      <c r="B272">
        <v>3</v>
      </c>
      <c r="C272">
        <v>310</v>
      </c>
      <c r="D272"/>
      <c r="E272" t="s">
        <v>37</v>
      </c>
      <c r="F272" t="s">
        <v>38</v>
      </c>
      <c r="G272">
        <v>1</v>
      </c>
      <c r="H272">
        <v>124</v>
      </c>
      <c r="I272" s="25">
        <v>211</v>
      </c>
      <c r="K272" t="s">
        <v>39</v>
      </c>
      <c r="N272" t="s">
        <v>40</v>
      </c>
      <c r="O272">
        <v>56</v>
      </c>
      <c r="Q272">
        <f t="shared" si="10"/>
        <v>2</v>
      </c>
      <c r="R272">
        <v>1</v>
      </c>
      <c r="S272">
        <v>0</v>
      </c>
      <c r="T272">
        <v>0</v>
      </c>
      <c r="U272">
        <v>0</v>
      </c>
      <c r="V272">
        <v>2</v>
      </c>
      <c r="W272">
        <v>0</v>
      </c>
      <c r="X272" s="21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f t="shared" si="9"/>
        <v>128</v>
      </c>
      <c r="AP272" t="s">
        <v>41</v>
      </c>
    </row>
    <row r="273" spans="1:42">
      <c r="A273" s="1">
        <v>43789</v>
      </c>
      <c r="B273">
        <v>3</v>
      </c>
      <c r="C273">
        <v>310</v>
      </c>
      <c r="D273"/>
      <c r="E273" t="s">
        <v>37</v>
      </c>
      <c r="F273" t="s">
        <v>38</v>
      </c>
      <c r="G273">
        <v>1</v>
      </c>
      <c r="H273">
        <v>125</v>
      </c>
      <c r="I273" s="25">
        <v>212</v>
      </c>
      <c r="K273" t="s">
        <v>49</v>
      </c>
      <c r="N273" t="s">
        <v>40</v>
      </c>
      <c r="O273">
        <v>32</v>
      </c>
      <c r="Q273">
        <f t="shared" si="10"/>
        <v>1</v>
      </c>
      <c r="R273">
        <v>1</v>
      </c>
      <c r="S273">
        <v>0</v>
      </c>
      <c r="T273">
        <v>0</v>
      </c>
      <c r="U273">
        <v>1</v>
      </c>
      <c r="V273">
        <v>0</v>
      </c>
      <c r="W273">
        <v>0</v>
      </c>
      <c r="X273" s="21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f t="shared" si="9"/>
        <v>32</v>
      </c>
      <c r="AP273" t="s">
        <v>41</v>
      </c>
    </row>
    <row r="274" spans="1:42">
      <c r="A274" s="1">
        <v>43789</v>
      </c>
      <c r="B274">
        <v>3</v>
      </c>
      <c r="C274">
        <v>310</v>
      </c>
      <c r="D274"/>
      <c r="E274" t="s">
        <v>37</v>
      </c>
      <c r="F274" t="s">
        <v>38</v>
      </c>
      <c r="G274">
        <v>1</v>
      </c>
      <c r="H274">
        <v>126</v>
      </c>
      <c r="I274" s="25">
        <v>250</v>
      </c>
      <c r="K274" t="s">
        <v>49</v>
      </c>
      <c r="N274" t="s">
        <v>40</v>
      </c>
      <c r="O274">
        <v>33</v>
      </c>
      <c r="Q274">
        <f t="shared" si="10"/>
        <v>1</v>
      </c>
      <c r="R274">
        <v>1</v>
      </c>
      <c r="S274">
        <v>0</v>
      </c>
      <c r="T274">
        <v>0</v>
      </c>
      <c r="U274">
        <v>1</v>
      </c>
      <c r="V274">
        <v>0</v>
      </c>
      <c r="W274">
        <v>0</v>
      </c>
      <c r="X274" s="21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f t="shared" si="9"/>
        <v>32</v>
      </c>
      <c r="AP274" t="s">
        <v>41</v>
      </c>
    </row>
    <row r="275" spans="1:42">
      <c r="A275" s="1">
        <v>43789</v>
      </c>
      <c r="B275">
        <v>3</v>
      </c>
      <c r="C275">
        <v>310</v>
      </c>
      <c r="D275"/>
      <c r="E275" t="s">
        <v>37</v>
      </c>
      <c r="F275" t="s">
        <v>38</v>
      </c>
      <c r="G275">
        <v>1</v>
      </c>
      <c r="H275">
        <v>127</v>
      </c>
      <c r="I275" s="25">
        <v>1</v>
      </c>
      <c r="K275" t="s">
        <v>80</v>
      </c>
      <c r="N275" t="s">
        <v>40</v>
      </c>
      <c r="O275">
        <v>55</v>
      </c>
      <c r="Q275">
        <f t="shared" si="10"/>
        <v>2</v>
      </c>
      <c r="R275">
        <v>1</v>
      </c>
      <c r="S275">
        <v>0</v>
      </c>
      <c r="T275">
        <v>0</v>
      </c>
      <c r="U275">
        <v>0</v>
      </c>
      <c r="V275">
        <v>2</v>
      </c>
      <c r="W275">
        <v>0</v>
      </c>
      <c r="X275" s="21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f t="shared" si="9"/>
        <v>128</v>
      </c>
      <c r="AP275" t="s">
        <v>41</v>
      </c>
    </row>
    <row r="276" spans="1:42">
      <c r="A276" s="1">
        <v>43789</v>
      </c>
      <c r="B276">
        <v>3</v>
      </c>
      <c r="C276">
        <v>310</v>
      </c>
      <c r="D276"/>
      <c r="E276" t="s">
        <v>37</v>
      </c>
      <c r="F276" t="s">
        <v>38</v>
      </c>
      <c r="G276">
        <v>1</v>
      </c>
      <c r="H276">
        <v>128</v>
      </c>
      <c r="I276" s="25">
        <v>323</v>
      </c>
      <c r="K276" t="s">
        <v>48</v>
      </c>
      <c r="N276" t="s">
        <v>40</v>
      </c>
      <c r="O276">
        <v>38</v>
      </c>
      <c r="Q276">
        <f t="shared" si="10"/>
        <v>1</v>
      </c>
      <c r="R276">
        <v>1</v>
      </c>
      <c r="S276">
        <v>0</v>
      </c>
      <c r="T276">
        <v>0</v>
      </c>
      <c r="U276">
        <v>1</v>
      </c>
      <c r="V276">
        <v>0</v>
      </c>
      <c r="W276">
        <v>0</v>
      </c>
      <c r="X276" s="21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f t="shared" si="9"/>
        <v>32</v>
      </c>
      <c r="AP276" t="s">
        <v>41</v>
      </c>
    </row>
    <row r="277" spans="1:42">
      <c r="A277" s="1">
        <v>43789</v>
      </c>
      <c r="B277">
        <v>3</v>
      </c>
      <c r="C277">
        <v>310</v>
      </c>
      <c r="D277"/>
      <c r="E277" t="s">
        <v>37</v>
      </c>
      <c r="F277" t="s">
        <v>38</v>
      </c>
      <c r="G277">
        <v>1</v>
      </c>
      <c r="H277">
        <v>129</v>
      </c>
      <c r="I277" s="25">
        <v>466</v>
      </c>
      <c r="K277" t="s">
        <v>46</v>
      </c>
      <c r="N277" t="s">
        <v>40</v>
      </c>
      <c r="O277">
        <v>30</v>
      </c>
      <c r="Q277">
        <f t="shared" si="10"/>
        <v>2</v>
      </c>
      <c r="R277">
        <v>1</v>
      </c>
      <c r="S277">
        <v>0</v>
      </c>
      <c r="T277">
        <v>0</v>
      </c>
      <c r="U277">
        <v>0</v>
      </c>
      <c r="V277">
        <v>2</v>
      </c>
      <c r="W277">
        <v>0</v>
      </c>
      <c r="X277" s="21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f t="shared" si="9"/>
        <v>128</v>
      </c>
      <c r="AP277" t="s">
        <v>41</v>
      </c>
    </row>
    <row r="278" spans="1:42">
      <c r="A278" s="1">
        <v>43789</v>
      </c>
      <c r="B278">
        <v>3</v>
      </c>
      <c r="C278">
        <v>310</v>
      </c>
      <c r="D278"/>
      <c r="E278" t="s">
        <v>37</v>
      </c>
      <c r="F278" t="s">
        <v>38</v>
      </c>
      <c r="G278">
        <v>1</v>
      </c>
      <c r="H278">
        <v>130</v>
      </c>
      <c r="I278" s="25">
        <v>460</v>
      </c>
      <c r="K278" t="s">
        <v>46</v>
      </c>
      <c r="N278" t="s">
        <v>40</v>
      </c>
      <c r="O278">
        <v>30</v>
      </c>
      <c r="Q278">
        <f t="shared" si="10"/>
        <v>1</v>
      </c>
      <c r="R278">
        <v>1</v>
      </c>
      <c r="S278">
        <v>0</v>
      </c>
      <c r="T278">
        <v>0</v>
      </c>
      <c r="U278">
        <v>1</v>
      </c>
      <c r="V278">
        <v>0</v>
      </c>
      <c r="W278">
        <v>0</v>
      </c>
      <c r="X278" s="21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f t="shared" si="9"/>
        <v>32</v>
      </c>
      <c r="AP278" t="s">
        <v>41</v>
      </c>
    </row>
    <row r="279" spans="1:42">
      <c r="A279" s="1">
        <v>43789</v>
      </c>
      <c r="B279">
        <v>3</v>
      </c>
      <c r="C279">
        <v>310</v>
      </c>
      <c r="D279"/>
      <c r="E279" t="s">
        <v>37</v>
      </c>
      <c r="F279" t="s">
        <v>38</v>
      </c>
      <c r="G279">
        <v>1</v>
      </c>
      <c r="H279">
        <v>131</v>
      </c>
      <c r="I279" s="25">
        <v>453</v>
      </c>
      <c r="K279" t="s">
        <v>46</v>
      </c>
      <c r="N279" t="s">
        <v>40</v>
      </c>
      <c r="O279">
        <v>60</v>
      </c>
      <c r="Q279">
        <f t="shared" si="10"/>
        <v>1</v>
      </c>
      <c r="R279">
        <v>1</v>
      </c>
      <c r="S279">
        <v>0</v>
      </c>
      <c r="T279">
        <v>0</v>
      </c>
      <c r="U279">
        <v>1</v>
      </c>
      <c r="V279">
        <v>0</v>
      </c>
      <c r="W279">
        <v>0</v>
      </c>
      <c r="X279" s="21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f t="shared" si="9"/>
        <v>32</v>
      </c>
      <c r="AP279" t="s">
        <v>41</v>
      </c>
    </row>
    <row r="280" spans="1:42">
      <c r="A280" s="1">
        <v>43789</v>
      </c>
      <c r="B280">
        <v>3</v>
      </c>
      <c r="C280">
        <v>310</v>
      </c>
      <c r="D280"/>
      <c r="E280" t="s">
        <v>37</v>
      </c>
      <c r="F280" t="s">
        <v>38</v>
      </c>
      <c r="G280">
        <v>1</v>
      </c>
      <c r="H280">
        <v>132</v>
      </c>
      <c r="I280" s="25">
        <v>431</v>
      </c>
      <c r="K280" t="s">
        <v>46</v>
      </c>
      <c r="N280" t="s">
        <v>40</v>
      </c>
      <c r="O280">
        <v>79</v>
      </c>
      <c r="Q280">
        <f t="shared" si="10"/>
        <v>2</v>
      </c>
      <c r="R280">
        <v>1</v>
      </c>
      <c r="S280">
        <v>0</v>
      </c>
      <c r="T280">
        <v>0</v>
      </c>
      <c r="U280">
        <v>0</v>
      </c>
      <c r="V280">
        <v>2</v>
      </c>
      <c r="W280">
        <v>0</v>
      </c>
      <c r="X280" s="21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f t="shared" si="9"/>
        <v>128</v>
      </c>
      <c r="AP280" t="s">
        <v>41</v>
      </c>
    </row>
    <row r="281" spans="1:42">
      <c r="A281" s="1">
        <v>43789</v>
      </c>
      <c r="B281">
        <v>3</v>
      </c>
      <c r="C281">
        <v>310</v>
      </c>
      <c r="D281"/>
      <c r="E281" t="s">
        <v>37</v>
      </c>
      <c r="F281" t="s">
        <v>38</v>
      </c>
      <c r="G281">
        <v>1</v>
      </c>
      <c r="H281">
        <v>133</v>
      </c>
      <c r="I281" s="25">
        <v>27</v>
      </c>
      <c r="K281" t="s">
        <v>81</v>
      </c>
      <c r="N281" t="s">
        <v>40</v>
      </c>
      <c r="O281">
        <v>46</v>
      </c>
      <c r="Q281">
        <f t="shared" si="10"/>
        <v>1</v>
      </c>
      <c r="R281">
        <v>1</v>
      </c>
      <c r="S281">
        <v>0</v>
      </c>
      <c r="T281">
        <v>0</v>
      </c>
      <c r="U281">
        <v>0</v>
      </c>
      <c r="V281">
        <v>1</v>
      </c>
      <c r="W281">
        <v>0</v>
      </c>
      <c r="X281" s="2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f t="shared" si="9"/>
        <v>64</v>
      </c>
      <c r="AP281" t="s">
        <v>41</v>
      </c>
    </row>
    <row r="282" spans="1:42">
      <c r="A282" s="1">
        <v>43789</v>
      </c>
      <c r="B282">
        <v>3</v>
      </c>
      <c r="C282">
        <v>310</v>
      </c>
      <c r="D282"/>
      <c r="E282" t="s">
        <v>37</v>
      </c>
      <c r="F282" t="s">
        <v>38</v>
      </c>
      <c r="G282">
        <v>1</v>
      </c>
      <c r="H282">
        <v>134</v>
      </c>
      <c r="I282" s="25">
        <v>333</v>
      </c>
      <c r="K282" t="s">
        <v>46</v>
      </c>
      <c r="N282" t="s">
        <v>44</v>
      </c>
      <c r="O282">
        <v>266</v>
      </c>
      <c r="Q282">
        <f t="shared" si="10"/>
        <v>14</v>
      </c>
      <c r="R282">
        <v>1</v>
      </c>
      <c r="S282">
        <v>0</v>
      </c>
      <c r="T282">
        <v>0</v>
      </c>
      <c r="U282">
        <v>0</v>
      </c>
      <c r="V282">
        <v>14</v>
      </c>
      <c r="W282">
        <v>0</v>
      </c>
      <c r="X282" s="21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f t="shared" si="9"/>
        <v>896</v>
      </c>
      <c r="AP282" t="s">
        <v>41</v>
      </c>
    </row>
    <row r="283" spans="1:42">
      <c r="A283" s="1">
        <v>43789</v>
      </c>
      <c r="B283">
        <v>3</v>
      </c>
      <c r="C283">
        <v>310</v>
      </c>
      <c r="D283"/>
      <c r="E283" t="s">
        <v>37</v>
      </c>
      <c r="F283" t="s">
        <v>38</v>
      </c>
      <c r="G283">
        <v>1</v>
      </c>
      <c r="H283">
        <v>135</v>
      </c>
      <c r="I283" s="25">
        <v>155</v>
      </c>
      <c r="K283" t="s">
        <v>71</v>
      </c>
      <c r="N283" t="s">
        <v>40</v>
      </c>
      <c r="O283">
        <v>90</v>
      </c>
      <c r="Q283">
        <f t="shared" si="10"/>
        <v>2</v>
      </c>
      <c r="R283">
        <v>1</v>
      </c>
      <c r="S283">
        <v>0</v>
      </c>
      <c r="T283">
        <v>0</v>
      </c>
      <c r="U283">
        <v>0</v>
      </c>
      <c r="V283">
        <v>2</v>
      </c>
      <c r="W283">
        <v>0</v>
      </c>
      <c r="X283" s="21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f t="shared" si="9"/>
        <v>128</v>
      </c>
      <c r="AP283" t="s">
        <v>41</v>
      </c>
    </row>
    <row r="284" spans="1:42">
      <c r="A284" s="1">
        <v>43789</v>
      </c>
      <c r="B284">
        <v>3</v>
      </c>
      <c r="C284">
        <v>310</v>
      </c>
      <c r="D284"/>
      <c r="E284" t="s">
        <v>37</v>
      </c>
      <c r="F284" t="s">
        <v>38</v>
      </c>
      <c r="G284">
        <v>1</v>
      </c>
      <c r="H284">
        <v>136</v>
      </c>
      <c r="I284" s="25">
        <v>101</v>
      </c>
      <c r="K284" t="s">
        <v>71</v>
      </c>
      <c r="N284" t="s">
        <v>40</v>
      </c>
      <c r="O284">
        <v>120</v>
      </c>
      <c r="Q284">
        <f t="shared" si="10"/>
        <v>6</v>
      </c>
      <c r="R284">
        <v>1</v>
      </c>
      <c r="S284">
        <v>0</v>
      </c>
      <c r="T284">
        <v>0</v>
      </c>
      <c r="U284">
        <v>0</v>
      </c>
      <c r="V284">
        <v>6</v>
      </c>
      <c r="W284">
        <v>0</v>
      </c>
      <c r="X284" s="21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f t="shared" si="9"/>
        <v>384</v>
      </c>
      <c r="AP284" t="s">
        <v>41</v>
      </c>
    </row>
    <row r="285" spans="1:42">
      <c r="A285" s="1">
        <v>43789</v>
      </c>
      <c r="B285">
        <v>3</v>
      </c>
      <c r="C285">
        <v>310</v>
      </c>
      <c r="D285"/>
      <c r="E285" t="s">
        <v>37</v>
      </c>
      <c r="F285" t="s">
        <v>38</v>
      </c>
      <c r="G285">
        <v>1</v>
      </c>
      <c r="H285">
        <v>137</v>
      </c>
      <c r="I285" s="25">
        <v>110</v>
      </c>
      <c r="K285" t="s">
        <v>49</v>
      </c>
      <c r="N285" t="s">
        <v>40</v>
      </c>
      <c r="O285">
        <v>61</v>
      </c>
      <c r="Q285">
        <f t="shared" si="10"/>
        <v>1</v>
      </c>
      <c r="R285">
        <v>1</v>
      </c>
      <c r="S285">
        <v>0</v>
      </c>
      <c r="T285">
        <v>0</v>
      </c>
      <c r="U285">
        <v>0</v>
      </c>
      <c r="V285">
        <v>1</v>
      </c>
      <c r="W285">
        <v>0</v>
      </c>
      <c r="X285" s="21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f t="shared" si="9"/>
        <v>64</v>
      </c>
      <c r="AP285" t="s">
        <v>41</v>
      </c>
    </row>
    <row r="286" spans="1:42">
      <c r="A286" s="1">
        <v>43789</v>
      </c>
      <c r="B286">
        <v>3</v>
      </c>
      <c r="C286">
        <v>310</v>
      </c>
      <c r="D286"/>
      <c r="E286" t="s">
        <v>37</v>
      </c>
      <c r="F286" t="s">
        <v>38</v>
      </c>
      <c r="G286">
        <v>1</v>
      </c>
      <c r="H286">
        <v>138</v>
      </c>
      <c r="I286" s="25">
        <v>240</v>
      </c>
      <c r="K286" t="s">
        <v>39</v>
      </c>
      <c r="N286" t="s">
        <v>40</v>
      </c>
      <c r="O286">
        <v>69</v>
      </c>
      <c r="Q286">
        <f t="shared" si="10"/>
        <v>3</v>
      </c>
      <c r="R286">
        <v>1</v>
      </c>
      <c r="S286">
        <v>0</v>
      </c>
      <c r="T286">
        <v>0</v>
      </c>
      <c r="U286">
        <v>0</v>
      </c>
      <c r="V286">
        <v>3</v>
      </c>
      <c r="W286">
        <v>0</v>
      </c>
      <c r="X286" s="21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f t="shared" si="9"/>
        <v>192</v>
      </c>
      <c r="AL286" t="s">
        <v>45</v>
      </c>
      <c r="AP286" t="s">
        <v>41</v>
      </c>
    </row>
    <row r="287" spans="1:42">
      <c r="A287" s="1">
        <v>43789</v>
      </c>
      <c r="B287">
        <v>3</v>
      </c>
      <c r="C287">
        <v>310</v>
      </c>
      <c r="D287"/>
      <c r="E287" t="s">
        <v>37</v>
      </c>
      <c r="F287" t="s">
        <v>38</v>
      </c>
      <c r="G287">
        <v>1</v>
      </c>
      <c r="H287">
        <v>139</v>
      </c>
      <c r="I287" s="25">
        <v>240</v>
      </c>
      <c r="K287" t="s">
        <v>39</v>
      </c>
      <c r="N287" t="s">
        <v>40</v>
      </c>
      <c r="O287">
        <v>69</v>
      </c>
      <c r="Q287">
        <f t="shared" si="10"/>
        <v>2</v>
      </c>
      <c r="R287">
        <v>1</v>
      </c>
      <c r="S287">
        <v>0</v>
      </c>
      <c r="T287">
        <v>0</v>
      </c>
      <c r="U287">
        <v>0</v>
      </c>
      <c r="V287">
        <v>2</v>
      </c>
      <c r="W287">
        <v>0</v>
      </c>
      <c r="X287" s="21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f t="shared" si="9"/>
        <v>128</v>
      </c>
      <c r="AL287" t="s">
        <v>45</v>
      </c>
      <c r="AP287" t="s">
        <v>41</v>
      </c>
    </row>
    <row r="288" spans="1:42">
      <c r="A288" s="1">
        <v>43789</v>
      </c>
      <c r="B288">
        <v>3</v>
      </c>
      <c r="C288">
        <v>310</v>
      </c>
      <c r="D288"/>
      <c r="E288" t="s">
        <v>37</v>
      </c>
      <c r="F288" t="s">
        <v>38</v>
      </c>
      <c r="G288">
        <v>1</v>
      </c>
      <c r="H288">
        <v>140</v>
      </c>
      <c r="I288" s="25">
        <v>264</v>
      </c>
      <c r="K288" t="s">
        <v>39</v>
      </c>
      <c r="N288" t="s">
        <v>40</v>
      </c>
      <c r="O288">
        <v>68</v>
      </c>
      <c r="Q288">
        <f t="shared" si="10"/>
        <v>2</v>
      </c>
      <c r="R288">
        <v>1</v>
      </c>
      <c r="S288">
        <v>0</v>
      </c>
      <c r="T288">
        <v>0</v>
      </c>
      <c r="U288">
        <v>0</v>
      </c>
      <c r="V288">
        <v>2</v>
      </c>
      <c r="W288">
        <v>0</v>
      </c>
      <c r="X288" s="21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f t="shared" si="9"/>
        <v>128</v>
      </c>
      <c r="AP288" t="s">
        <v>41</v>
      </c>
    </row>
    <row r="289" spans="1:42">
      <c r="A289" s="1">
        <v>43789</v>
      </c>
      <c r="B289">
        <v>3</v>
      </c>
      <c r="C289">
        <v>310</v>
      </c>
      <c r="D289"/>
      <c r="E289" t="s">
        <v>37</v>
      </c>
      <c r="F289" t="s">
        <v>38</v>
      </c>
      <c r="G289">
        <v>1</v>
      </c>
      <c r="H289">
        <v>141</v>
      </c>
      <c r="I289" s="25">
        <v>312</v>
      </c>
      <c r="K289" t="s">
        <v>39</v>
      </c>
      <c r="O289">
        <v>65</v>
      </c>
      <c r="Q289">
        <f t="shared" si="10"/>
        <v>1</v>
      </c>
      <c r="R289">
        <v>1</v>
      </c>
      <c r="S289">
        <v>0</v>
      </c>
      <c r="T289">
        <v>0</v>
      </c>
      <c r="U289">
        <v>1</v>
      </c>
      <c r="V289">
        <v>0</v>
      </c>
      <c r="W289">
        <v>0</v>
      </c>
      <c r="X289" s="21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f t="shared" si="9"/>
        <v>32</v>
      </c>
      <c r="AP289" t="s">
        <v>41</v>
      </c>
    </row>
    <row r="290" spans="1:42">
      <c r="A290" s="1">
        <v>43789</v>
      </c>
      <c r="B290">
        <v>3</v>
      </c>
      <c r="C290">
        <v>310</v>
      </c>
      <c r="D290"/>
      <c r="E290" t="s">
        <v>37</v>
      </c>
      <c r="F290" t="s">
        <v>38</v>
      </c>
      <c r="G290">
        <v>1</v>
      </c>
      <c r="H290">
        <v>142</v>
      </c>
      <c r="I290" s="25">
        <v>322</v>
      </c>
      <c r="K290" t="s">
        <v>39</v>
      </c>
      <c r="O290">
        <v>65</v>
      </c>
      <c r="Q290">
        <f t="shared" si="10"/>
        <v>1</v>
      </c>
      <c r="R290">
        <v>1</v>
      </c>
      <c r="S290">
        <v>0</v>
      </c>
      <c r="T290">
        <v>0</v>
      </c>
      <c r="U290">
        <v>0</v>
      </c>
      <c r="V290">
        <v>1</v>
      </c>
      <c r="W290">
        <v>0</v>
      </c>
      <c r="X290" s="21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f t="shared" si="9"/>
        <v>64</v>
      </c>
      <c r="AP290" t="s">
        <v>41</v>
      </c>
    </row>
    <row r="291" spans="1:42">
      <c r="A291" s="1">
        <v>43789</v>
      </c>
      <c r="B291">
        <v>3</v>
      </c>
      <c r="C291">
        <v>310</v>
      </c>
      <c r="D291"/>
      <c r="E291" t="s">
        <v>37</v>
      </c>
      <c r="F291" t="s">
        <v>38</v>
      </c>
      <c r="G291">
        <v>1</v>
      </c>
      <c r="H291">
        <v>143</v>
      </c>
      <c r="I291" s="25">
        <v>336</v>
      </c>
      <c r="K291" t="s">
        <v>39</v>
      </c>
      <c r="O291">
        <v>65</v>
      </c>
      <c r="Q291">
        <f t="shared" si="10"/>
        <v>1</v>
      </c>
      <c r="R291">
        <v>1</v>
      </c>
      <c r="S291">
        <v>0</v>
      </c>
      <c r="T291">
        <v>0</v>
      </c>
      <c r="U291">
        <v>0</v>
      </c>
      <c r="V291">
        <v>1</v>
      </c>
      <c r="W291">
        <v>0</v>
      </c>
      <c r="X291" s="2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f t="shared" si="9"/>
        <v>64</v>
      </c>
      <c r="AP291" t="s">
        <v>41</v>
      </c>
    </row>
    <row r="292" spans="1:42">
      <c r="A292" s="1">
        <v>43789</v>
      </c>
      <c r="B292">
        <v>3</v>
      </c>
      <c r="C292">
        <v>310</v>
      </c>
      <c r="D292"/>
      <c r="E292" t="s">
        <v>37</v>
      </c>
      <c r="F292" t="s">
        <v>38</v>
      </c>
      <c r="G292">
        <v>1</v>
      </c>
      <c r="H292">
        <v>144</v>
      </c>
      <c r="I292" s="25">
        <v>346</v>
      </c>
      <c r="K292" t="s">
        <v>39</v>
      </c>
      <c r="N292" t="s">
        <v>40</v>
      </c>
      <c r="O292">
        <v>43</v>
      </c>
      <c r="Q292">
        <f t="shared" si="10"/>
        <v>4</v>
      </c>
      <c r="R292">
        <v>1</v>
      </c>
      <c r="S292">
        <v>0</v>
      </c>
      <c r="T292">
        <v>0</v>
      </c>
      <c r="U292">
        <v>0</v>
      </c>
      <c r="V292">
        <v>4</v>
      </c>
      <c r="W292">
        <v>0</v>
      </c>
      <c r="X292" s="21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f t="shared" si="9"/>
        <v>256</v>
      </c>
      <c r="AP292" t="s">
        <v>41</v>
      </c>
    </row>
    <row r="293" spans="1:42">
      <c r="A293" s="1">
        <v>43789</v>
      </c>
      <c r="B293">
        <v>3</v>
      </c>
      <c r="C293">
        <v>310</v>
      </c>
      <c r="D293"/>
      <c r="E293" t="s">
        <v>37</v>
      </c>
      <c r="F293" t="s">
        <v>38</v>
      </c>
      <c r="G293">
        <v>1</v>
      </c>
      <c r="H293">
        <v>145</v>
      </c>
      <c r="I293" s="25">
        <v>356</v>
      </c>
      <c r="K293" t="s">
        <v>39</v>
      </c>
      <c r="N293" t="s">
        <v>40</v>
      </c>
      <c r="O293">
        <v>43</v>
      </c>
      <c r="Q293">
        <f t="shared" si="10"/>
        <v>1</v>
      </c>
      <c r="R293">
        <v>1</v>
      </c>
      <c r="S293">
        <v>0</v>
      </c>
      <c r="T293">
        <v>0</v>
      </c>
      <c r="U293">
        <v>1</v>
      </c>
      <c r="V293">
        <v>0</v>
      </c>
      <c r="W293">
        <v>0</v>
      </c>
      <c r="X293" s="21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f t="shared" si="9"/>
        <v>32</v>
      </c>
      <c r="AP293" t="s">
        <v>41</v>
      </c>
    </row>
    <row r="294" spans="1:42">
      <c r="A294" s="1">
        <v>43789</v>
      </c>
      <c r="B294">
        <v>3</v>
      </c>
      <c r="C294">
        <v>310</v>
      </c>
      <c r="D294"/>
      <c r="E294" t="s">
        <v>37</v>
      </c>
      <c r="F294" t="s">
        <v>38</v>
      </c>
      <c r="G294">
        <v>1</v>
      </c>
      <c r="H294">
        <v>146</v>
      </c>
      <c r="I294" s="25">
        <v>415</v>
      </c>
      <c r="K294" t="s">
        <v>39</v>
      </c>
      <c r="N294" t="s">
        <v>40</v>
      </c>
      <c r="O294">
        <v>165</v>
      </c>
      <c r="Q294">
        <f t="shared" si="10"/>
        <v>9</v>
      </c>
      <c r="R294">
        <v>1</v>
      </c>
      <c r="S294">
        <v>0</v>
      </c>
      <c r="T294">
        <v>0</v>
      </c>
      <c r="U294">
        <v>0</v>
      </c>
      <c r="V294">
        <v>9</v>
      </c>
      <c r="W294">
        <v>0</v>
      </c>
      <c r="X294" s="21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f t="shared" si="9"/>
        <v>576</v>
      </c>
      <c r="AP294" t="s">
        <v>41</v>
      </c>
    </row>
    <row r="295" spans="1:42">
      <c r="A295" s="1">
        <v>43789</v>
      </c>
      <c r="B295">
        <v>3</v>
      </c>
      <c r="C295">
        <v>310</v>
      </c>
      <c r="D295"/>
      <c r="E295" t="s">
        <v>37</v>
      </c>
      <c r="F295" t="s">
        <v>38</v>
      </c>
      <c r="G295">
        <v>1</v>
      </c>
      <c r="H295">
        <v>147</v>
      </c>
      <c r="I295" s="25">
        <v>558</v>
      </c>
      <c r="K295" t="s">
        <v>62</v>
      </c>
      <c r="N295" t="s">
        <v>40</v>
      </c>
      <c r="O295">
        <v>100</v>
      </c>
      <c r="Q295">
        <f t="shared" si="10"/>
        <v>5</v>
      </c>
      <c r="R295">
        <v>1</v>
      </c>
      <c r="S295">
        <v>0</v>
      </c>
      <c r="T295">
        <v>0</v>
      </c>
      <c r="U295">
        <v>0</v>
      </c>
      <c r="V295">
        <v>5</v>
      </c>
      <c r="W295">
        <v>0</v>
      </c>
      <c r="X295" s="21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f t="shared" si="9"/>
        <v>320</v>
      </c>
      <c r="AP295" t="s">
        <v>41</v>
      </c>
    </row>
    <row r="296" spans="1:42">
      <c r="A296" s="1">
        <v>43789</v>
      </c>
      <c r="B296">
        <v>3</v>
      </c>
      <c r="C296">
        <v>310</v>
      </c>
      <c r="D296"/>
      <c r="E296" t="s">
        <v>37</v>
      </c>
      <c r="F296" t="s">
        <v>38</v>
      </c>
      <c r="G296">
        <v>1</v>
      </c>
      <c r="H296">
        <v>148</v>
      </c>
      <c r="I296" s="25">
        <v>405</v>
      </c>
      <c r="K296" t="s">
        <v>58</v>
      </c>
      <c r="N296" t="s">
        <v>40</v>
      </c>
      <c r="O296">
        <v>40</v>
      </c>
      <c r="Q296">
        <f t="shared" si="10"/>
        <v>1</v>
      </c>
      <c r="R296">
        <v>1</v>
      </c>
      <c r="S296">
        <v>0</v>
      </c>
      <c r="T296">
        <v>0</v>
      </c>
      <c r="U296">
        <v>1</v>
      </c>
      <c r="V296">
        <v>0</v>
      </c>
      <c r="W296">
        <v>0</v>
      </c>
      <c r="X296" s="21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f t="shared" si="9"/>
        <v>32</v>
      </c>
      <c r="AP296" t="s">
        <v>41</v>
      </c>
    </row>
    <row r="297" spans="1:42">
      <c r="A297" s="1">
        <v>43789</v>
      </c>
      <c r="B297">
        <v>3</v>
      </c>
      <c r="C297">
        <v>310</v>
      </c>
      <c r="D297"/>
      <c r="E297" t="s">
        <v>37</v>
      </c>
      <c r="F297" t="s">
        <v>38</v>
      </c>
      <c r="G297">
        <v>1</v>
      </c>
      <c r="H297">
        <v>149</v>
      </c>
      <c r="I297" s="25">
        <v>201</v>
      </c>
      <c r="K297" t="s">
        <v>58</v>
      </c>
      <c r="N297" t="s">
        <v>40</v>
      </c>
      <c r="O297">
        <v>48</v>
      </c>
      <c r="Q297">
        <f t="shared" si="10"/>
        <v>1</v>
      </c>
      <c r="R297">
        <v>1</v>
      </c>
      <c r="S297">
        <v>0</v>
      </c>
      <c r="T297">
        <v>0</v>
      </c>
      <c r="U297">
        <v>0</v>
      </c>
      <c r="V297">
        <v>1</v>
      </c>
      <c r="W297">
        <v>0</v>
      </c>
      <c r="X297" s="21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f t="shared" si="9"/>
        <v>64</v>
      </c>
      <c r="AP297" t="s">
        <v>41</v>
      </c>
    </row>
    <row r="298" spans="1:42">
      <c r="A298" s="1">
        <v>43789</v>
      </c>
      <c r="B298">
        <v>3</v>
      </c>
      <c r="C298">
        <v>310</v>
      </c>
      <c r="D298"/>
      <c r="E298" t="s">
        <v>37</v>
      </c>
      <c r="F298" t="s">
        <v>38</v>
      </c>
      <c r="G298">
        <v>1</v>
      </c>
      <c r="H298">
        <v>150</v>
      </c>
      <c r="I298" s="25">
        <v>340</v>
      </c>
      <c r="K298" t="s">
        <v>69</v>
      </c>
      <c r="N298" t="s">
        <v>40</v>
      </c>
      <c r="O298">
        <v>43</v>
      </c>
      <c r="Q298">
        <f t="shared" si="10"/>
        <v>1</v>
      </c>
      <c r="R298">
        <v>1</v>
      </c>
      <c r="S298">
        <v>0</v>
      </c>
      <c r="T298">
        <v>0</v>
      </c>
      <c r="U298">
        <v>0</v>
      </c>
      <c r="V298">
        <v>1</v>
      </c>
      <c r="W298">
        <v>0</v>
      </c>
      <c r="X298" s="21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f t="shared" si="9"/>
        <v>64</v>
      </c>
      <c r="AP298" t="s">
        <v>41</v>
      </c>
    </row>
    <row r="299" spans="1:42">
      <c r="A299" s="1">
        <v>43789</v>
      </c>
      <c r="B299">
        <v>3</v>
      </c>
      <c r="C299">
        <v>310</v>
      </c>
      <c r="D299"/>
      <c r="E299" t="s">
        <v>37</v>
      </c>
      <c r="F299" t="s">
        <v>38</v>
      </c>
      <c r="G299">
        <v>1</v>
      </c>
      <c r="H299">
        <v>151</v>
      </c>
      <c r="I299" s="25">
        <v>250</v>
      </c>
      <c r="K299" t="s">
        <v>71</v>
      </c>
      <c r="N299" t="s">
        <v>42</v>
      </c>
      <c r="O299">
        <v>150</v>
      </c>
      <c r="Q299">
        <f t="shared" si="10"/>
        <v>4</v>
      </c>
      <c r="R299">
        <v>1</v>
      </c>
      <c r="S299">
        <v>0</v>
      </c>
      <c r="T299">
        <v>0</v>
      </c>
      <c r="U299">
        <v>0</v>
      </c>
      <c r="V299">
        <v>4</v>
      </c>
      <c r="W299">
        <v>0</v>
      </c>
      <c r="X299" s="21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f t="shared" si="9"/>
        <v>256</v>
      </c>
      <c r="AP299" t="s">
        <v>41</v>
      </c>
    </row>
    <row r="300" spans="1:42">
      <c r="A300" s="1">
        <v>43774</v>
      </c>
      <c r="B300">
        <v>3</v>
      </c>
      <c r="C300">
        <v>239</v>
      </c>
      <c r="D300">
        <v>10240</v>
      </c>
      <c r="E300" t="s">
        <v>37</v>
      </c>
      <c r="F300" t="s">
        <v>90</v>
      </c>
      <c r="G300">
        <v>2</v>
      </c>
      <c r="H300">
        <v>1</v>
      </c>
      <c r="I300" s="25">
        <v>0</v>
      </c>
      <c r="K300" t="s">
        <v>91</v>
      </c>
      <c r="N300" t="s">
        <v>40</v>
      </c>
      <c r="O300">
        <v>103</v>
      </c>
      <c r="Q300">
        <f>SUM(S300:AE300)</f>
        <v>3</v>
      </c>
      <c r="R300">
        <v>1</v>
      </c>
      <c r="S300">
        <v>0</v>
      </c>
      <c r="T300">
        <v>0</v>
      </c>
      <c r="U300">
        <v>0</v>
      </c>
      <c r="V300">
        <v>1</v>
      </c>
      <c r="W300">
        <v>2</v>
      </c>
      <c r="X300" s="21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f t="shared" ref="AH300:AH319" si="11">(S300*16+(T300*32)+(U300*32)+(V300*64)+(W300*96))</f>
        <v>256</v>
      </c>
      <c r="AI300" t="s">
        <v>92</v>
      </c>
      <c r="AJ300" t="s">
        <v>51</v>
      </c>
      <c r="AK300" t="s">
        <v>52</v>
      </c>
      <c r="AP300" t="s">
        <v>93</v>
      </c>
    </row>
    <row r="301" spans="1:42">
      <c r="A301" s="1">
        <v>43774</v>
      </c>
      <c r="B301">
        <v>3</v>
      </c>
      <c r="C301">
        <v>239</v>
      </c>
      <c r="D301">
        <v>10240</v>
      </c>
      <c r="E301" t="s">
        <v>37</v>
      </c>
      <c r="F301" t="s">
        <v>90</v>
      </c>
      <c r="G301">
        <v>2</v>
      </c>
      <c r="H301">
        <v>2</v>
      </c>
      <c r="I301" s="25">
        <v>100</v>
      </c>
      <c r="K301" t="s">
        <v>91</v>
      </c>
      <c r="N301" t="s">
        <v>40</v>
      </c>
      <c r="O301">
        <v>90</v>
      </c>
      <c r="Q301">
        <f t="shared" ref="Q301:Q338" si="12">SUM(S301:AE301)</f>
        <v>3</v>
      </c>
      <c r="R301">
        <v>1</v>
      </c>
      <c r="S301">
        <v>0</v>
      </c>
      <c r="T301">
        <v>0</v>
      </c>
      <c r="U301">
        <v>0</v>
      </c>
      <c r="V301">
        <v>0</v>
      </c>
      <c r="W301">
        <v>3</v>
      </c>
      <c r="X301" s="2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f t="shared" si="11"/>
        <v>288</v>
      </c>
      <c r="AI301" t="s">
        <v>92</v>
      </c>
      <c r="AJ301" t="s">
        <v>51</v>
      </c>
      <c r="AK301" t="s">
        <v>52</v>
      </c>
      <c r="AP301" t="s">
        <v>93</v>
      </c>
    </row>
    <row r="302" spans="1:42">
      <c r="A302" s="1">
        <v>43774</v>
      </c>
      <c r="B302">
        <v>3</v>
      </c>
      <c r="C302">
        <v>239</v>
      </c>
      <c r="D302">
        <v>10240</v>
      </c>
      <c r="E302" t="s">
        <v>37</v>
      </c>
      <c r="F302" t="s">
        <v>90</v>
      </c>
      <c r="G302">
        <v>2</v>
      </c>
      <c r="H302">
        <v>3</v>
      </c>
      <c r="I302" s="25">
        <v>200</v>
      </c>
      <c r="K302" t="s">
        <v>91</v>
      </c>
      <c r="N302" t="s">
        <v>44</v>
      </c>
      <c r="O302">
        <v>310</v>
      </c>
      <c r="Q302">
        <f t="shared" si="12"/>
        <v>0</v>
      </c>
      <c r="R302">
        <v>1</v>
      </c>
      <c r="S302">
        <v>0</v>
      </c>
      <c r="T302">
        <v>0</v>
      </c>
      <c r="U302">
        <v>0</v>
      </c>
      <c r="V302">
        <v>0</v>
      </c>
      <c r="W302">
        <v>0</v>
      </c>
      <c r="X302" s="21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f t="shared" si="11"/>
        <v>0</v>
      </c>
      <c r="AI302" t="s">
        <v>92</v>
      </c>
      <c r="AJ302" t="s">
        <v>51</v>
      </c>
      <c r="AK302" t="s">
        <v>52</v>
      </c>
      <c r="AP302" t="s">
        <v>93</v>
      </c>
    </row>
    <row r="303" spans="1:42">
      <c r="A303" s="1">
        <v>43774</v>
      </c>
      <c r="B303">
        <v>3</v>
      </c>
      <c r="C303">
        <v>239</v>
      </c>
      <c r="D303">
        <v>10240</v>
      </c>
      <c r="E303" t="s">
        <v>37</v>
      </c>
      <c r="F303" t="s">
        <v>90</v>
      </c>
      <c r="G303">
        <v>2</v>
      </c>
      <c r="H303">
        <v>4</v>
      </c>
      <c r="I303" s="25">
        <v>300</v>
      </c>
      <c r="K303" t="s">
        <v>94</v>
      </c>
      <c r="M303" t="s">
        <v>95</v>
      </c>
      <c r="N303" t="s">
        <v>40</v>
      </c>
      <c r="O303">
        <v>270</v>
      </c>
      <c r="Q303">
        <f t="shared" si="12"/>
        <v>9</v>
      </c>
      <c r="R303">
        <v>1</v>
      </c>
      <c r="S303">
        <v>0</v>
      </c>
      <c r="T303">
        <v>0</v>
      </c>
      <c r="U303">
        <v>1</v>
      </c>
      <c r="V303">
        <v>2</v>
      </c>
      <c r="W303">
        <v>6</v>
      </c>
      <c r="X303" s="21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f t="shared" si="11"/>
        <v>736</v>
      </c>
      <c r="AI303" t="s">
        <v>92</v>
      </c>
      <c r="AJ303" t="s">
        <v>51</v>
      </c>
      <c r="AK303" t="s">
        <v>52</v>
      </c>
      <c r="AP303" t="s">
        <v>93</v>
      </c>
    </row>
    <row r="304" spans="1:42">
      <c r="A304" s="1">
        <v>43774</v>
      </c>
      <c r="B304">
        <v>3</v>
      </c>
      <c r="C304">
        <v>239</v>
      </c>
      <c r="D304">
        <v>10240</v>
      </c>
      <c r="E304" t="s">
        <v>37</v>
      </c>
      <c r="F304" t="s">
        <v>90</v>
      </c>
      <c r="G304">
        <v>2</v>
      </c>
      <c r="H304">
        <v>5</v>
      </c>
      <c r="I304" s="25">
        <v>300</v>
      </c>
      <c r="K304" t="s">
        <v>94</v>
      </c>
      <c r="M304" t="s">
        <v>95</v>
      </c>
      <c r="N304" t="s">
        <v>42</v>
      </c>
      <c r="O304">
        <v>206</v>
      </c>
      <c r="Q304">
        <f t="shared" si="12"/>
        <v>7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7</v>
      </c>
      <c r="X304" s="21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f t="shared" si="11"/>
        <v>672</v>
      </c>
      <c r="AI304" t="s">
        <v>92</v>
      </c>
      <c r="AJ304" t="s">
        <v>51</v>
      </c>
      <c r="AK304" t="s">
        <v>52</v>
      </c>
      <c r="AP304" t="s">
        <v>93</v>
      </c>
    </row>
    <row r="305" spans="1:42">
      <c r="A305" s="1">
        <v>43774</v>
      </c>
      <c r="B305">
        <v>3</v>
      </c>
      <c r="C305">
        <v>239</v>
      </c>
      <c r="D305">
        <v>10240</v>
      </c>
      <c r="E305" t="s">
        <v>37</v>
      </c>
      <c r="F305" t="s">
        <v>90</v>
      </c>
      <c r="G305">
        <v>2</v>
      </c>
      <c r="H305">
        <v>6</v>
      </c>
      <c r="I305" s="25">
        <v>300</v>
      </c>
      <c r="K305" t="s">
        <v>94</v>
      </c>
      <c r="M305" t="s">
        <v>52</v>
      </c>
      <c r="N305" t="s">
        <v>40</v>
      </c>
      <c r="O305">
        <v>37</v>
      </c>
      <c r="Q305">
        <f t="shared" si="12"/>
        <v>1</v>
      </c>
      <c r="R305">
        <v>1</v>
      </c>
      <c r="S305">
        <v>0</v>
      </c>
      <c r="T305">
        <v>0</v>
      </c>
      <c r="U305">
        <v>0</v>
      </c>
      <c r="V305">
        <v>0</v>
      </c>
      <c r="W305">
        <v>1</v>
      </c>
      <c r="X305" s="21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f t="shared" si="11"/>
        <v>96</v>
      </c>
      <c r="AI305" t="s">
        <v>92</v>
      </c>
      <c r="AJ305" t="s">
        <v>51</v>
      </c>
      <c r="AK305" t="s">
        <v>52</v>
      </c>
      <c r="AP305" t="s">
        <v>93</v>
      </c>
    </row>
    <row r="306" spans="1:42">
      <c r="A306" s="1">
        <v>43774</v>
      </c>
      <c r="B306">
        <v>3</v>
      </c>
      <c r="C306">
        <v>239</v>
      </c>
      <c r="D306">
        <v>10240</v>
      </c>
      <c r="E306" t="s">
        <v>37</v>
      </c>
      <c r="F306" t="s">
        <v>90</v>
      </c>
      <c r="G306">
        <v>2</v>
      </c>
      <c r="H306">
        <v>7</v>
      </c>
      <c r="I306" s="25">
        <v>200</v>
      </c>
      <c r="K306" t="s">
        <v>96</v>
      </c>
      <c r="N306" t="s">
        <v>42</v>
      </c>
      <c r="O306">
        <v>170</v>
      </c>
      <c r="Q306">
        <f t="shared" si="12"/>
        <v>4</v>
      </c>
      <c r="R306">
        <v>1</v>
      </c>
      <c r="S306">
        <v>0</v>
      </c>
      <c r="T306">
        <v>0</v>
      </c>
      <c r="U306">
        <v>0</v>
      </c>
      <c r="V306">
        <v>0</v>
      </c>
      <c r="W306">
        <v>4</v>
      </c>
      <c r="X306" s="21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f t="shared" si="11"/>
        <v>384</v>
      </c>
      <c r="AI306" t="s">
        <v>92</v>
      </c>
      <c r="AJ306" t="s">
        <v>51</v>
      </c>
      <c r="AK306" t="s">
        <v>52</v>
      </c>
      <c r="AP306" t="s">
        <v>93</v>
      </c>
    </row>
    <row r="307" spans="1:42">
      <c r="A307" s="1">
        <v>43774</v>
      </c>
      <c r="B307">
        <v>3</v>
      </c>
      <c r="C307">
        <v>239</v>
      </c>
      <c r="D307">
        <v>10240</v>
      </c>
      <c r="E307" t="s">
        <v>37</v>
      </c>
      <c r="F307" t="s">
        <v>90</v>
      </c>
      <c r="G307">
        <v>2</v>
      </c>
      <c r="H307">
        <v>8</v>
      </c>
      <c r="I307" s="25">
        <v>200</v>
      </c>
      <c r="K307" t="s">
        <v>96</v>
      </c>
      <c r="N307" t="s">
        <v>42</v>
      </c>
      <c r="O307">
        <v>270</v>
      </c>
      <c r="Q307">
        <f t="shared" si="12"/>
        <v>7</v>
      </c>
      <c r="R307">
        <v>1</v>
      </c>
      <c r="S307">
        <v>0</v>
      </c>
      <c r="T307">
        <v>0</v>
      </c>
      <c r="U307">
        <v>0</v>
      </c>
      <c r="V307">
        <v>1</v>
      </c>
      <c r="W307">
        <v>6</v>
      </c>
      <c r="X307" s="21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f t="shared" si="11"/>
        <v>640</v>
      </c>
      <c r="AI307" t="s">
        <v>92</v>
      </c>
      <c r="AJ307" t="s">
        <v>51</v>
      </c>
      <c r="AK307" t="s">
        <v>52</v>
      </c>
      <c r="AP307" t="s">
        <v>93</v>
      </c>
    </row>
    <row r="308" spans="1:42">
      <c r="A308" s="1">
        <v>43774</v>
      </c>
      <c r="B308">
        <v>3</v>
      </c>
      <c r="C308">
        <v>239</v>
      </c>
      <c r="D308">
        <v>10240</v>
      </c>
      <c r="E308" t="s">
        <v>37</v>
      </c>
      <c r="F308" t="s">
        <v>90</v>
      </c>
      <c r="G308">
        <v>2</v>
      </c>
      <c r="H308">
        <v>9</v>
      </c>
      <c r="I308" s="25">
        <v>200</v>
      </c>
      <c r="K308" t="s">
        <v>96</v>
      </c>
      <c r="N308" t="s">
        <v>42</v>
      </c>
      <c r="O308">
        <v>280</v>
      </c>
      <c r="Q308">
        <f t="shared" si="12"/>
        <v>9</v>
      </c>
      <c r="R308">
        <v>1</v>
      </c>
      <c r="S308">
        <v>0</v>
      </c>
      <c r="T308">
        <v>0</v>
      </c>
      <c r="U308">
        <v>0</v>
      </c>
      <c r="V308">
        <v>0</v>
      </c>
      <c r="W308">
        <v>9</v>
      </c>
      <c r="X308" s="21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f t="shared" si="11"/>
        <v>864</v>
      </c>
      <c r="AI308" t="s">
        <v>92</v>
      </c>
      <c r="AJ308" t="s">
        <v>51</v>
      </c>
      <c r="AK308" t="s">
        <v>52</v>
      </c>
      <c r="AP308" t="s">
        <v>93</v>
      </c>
    </row>
    <row r="309" spans="1:42">
      <c r="A309" s="1">
        <v>43774</v>
      </c>
      <c r="B309">
        <v>3</v>
      </c>
      <c r="C309">
        <v>239</v>
      </c>
      <c r="D309">
        <v>10240</v>
      </c>
      <c r="E309" t="s">
        <v>37</v>
      </c>
      <c r="F309" t="s">
        <v>90</v>
      </c>
      <c r="G309">
        <v>2</v>
      </c>
      <c r="H309">
        <v>10</v>
      </c>
      <c r="I309" s="25">
        <v>200</v>
      </c>
      <c r="K309" t="s">
        <v>91</v>
      </c>
      <c r="N309" t="s">
        <v>40</v>
      </c>
      <c r="O309">
        <v>110</v>
      </c>
      <c r="Q309">
        <f t="shared" si="12"/>
        <v>4</v>
      </c>
      <c r="R309">
        <v>1</v>
      </c>
      <c r="S309">
        <v>0</v>
      </c>
      <c r="T309">
        <v>0</v>
      </c>
      <c r="U309">
        <v>0</v>
      </c>
      <c r="V309">
        <v>0</v>
      </c>
      <c r="W309">
        <v>4</v>
      </c>
      <c r="X309" s="21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f t="shared" si="11"/>
        <v>384</v>
      </c>
      <c r="AI309" t="s">
        <v>92</v>
      </c>
      <c r="AJ309" t="s">
        <v>51</v>
      </c>
      <c r="AK309" t="s">
        <v>52</v>
      </c>
      <c r="AP309" t="s">
        <v>93</v>
      </c>
    </row>
    <row r="310" spans="1:42">
      <c r="A310" s="1">
        <v>43774</v>
      </c>
      <c r="B310">
        <v>3</v>
      </c>
      <c r="C310">
        <v>239</v>
      </c>
      <c r="D310">
        <v>10240</v>
      </c>
      <c r="E310" t="s">
        <v>37</v>
      </c>
      <c r="F310" t="s">
        <v>90</v>
      </c>
      <c r="G310">
        <v>2</v>
      </c>
      <c r="H310">
        <v>11</v>
      </c>
      <c r="I310" s="25">
        <v>300</v>
      </c>
      <c r="K310" t="s">
        <v>91</v>
      </c>
      <c r="N310" t="s">
        <v>42</v>
      </c>
      <c r="O310">
        <v>124</v>
      </c>
      <c r="Q310">
        <f t="shared" si="12"/>
        <v>5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5</v>
      </c>
      <c r="X310" s="21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f t="shared" si="11"/>
        <v>480</v>
      </c>
      <c r="AI310" t="s">
        <v>92</v>
      </c>
      <c r="AJ310" t="s">
        <v>51</v>
      </c>
      <c r="AK310" t="s">
        <v>52</v>
      </c>
      <c r="AP310" t="s">
        <v>93</v>
      </c>
    </row>
    <row r="311" spans="1:42">
      <c r="A311" s="1">
        <v>43774</v>
      </c>
      <c r="B311">
        <v>3</v>
      </c>
      <c r="C311">
        <v>239</v>
      </c>
      <c r="D311">
        <v>10240</v>
      </c>
      <c r="E311" t="s">
        <v>37</v>
      </c>
      <c r="F311" t="s">
        <v>90</v>
      </c>
      <c r="G311">
        <v>2</v>
      </c>
      <c r="H311">
        <v>12</v>
      </c>
      <c r="I311" s="25">
        <v>400</v>
      </c>
      <c r="K311" t="s">
        <v>91</v>
      </c>
      <c r="N311" t="s">
        <v>42</v>
      </c>
      <c r="O311">
        <v>493</v>
      </c>
      <c r="Q311">
        <f t="shared" si="12"/>
        <v>12</v>
      </c>
      <c r="R311">
        <v>4</v>
      </c>
      <c r="S311">
        <v>0</v>
      </c>
      <c r="T311">
        <v>0</v>
      </c>
      <c r="U311">
        <v>1</v>
      </c>
      <c r="V311">
        <v>5</v>
      </c>
      <c r="W311">
        <v>6</v>
      </c>
      <c r="X311" s="2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f t="shared" si="11"/>
        <v>928</v>
      </c>
      <c r="AI311" t="s">
        <v>92</v>
      </c>
      <c r="AJ311" t="s">
        <v>54</v>
      </c>
      <c r="AK311" t="s">
        <v>52</v>
      </c>
      <c r="AP311" t="s">
        <v>93</v>
      </c>
    </row>
    <row r="312" spans="1:42">
      <c r="A312" s="1">
        <v>43774</v>
      </c>
      <c r="B312">
        <v>3</v>
      </c>
      <c r="C312">
        <v>239</v>
      </c>
      <c r="D312">
        <v>10240</v>
      </c>
      <c r="E312" t="s">
        <v>37</v>
      </c>
      <c r="F312" t="s">
        <v>90</v>
      </c>
      <c r="G312">
        <v>2</v>
      </c>
      <c r="H312">
        <v>13</v>
      </c>
      <c r="I312" s="25">
        <v>500</v>
      </c>
      <c r="K312" t="s">
        <v>91</v>
      </c>
      <c r="M312" t="s">
        <v>95</v>
      </c>
      <c r="N312" t="s">
        <v>44</v>
      </c>
      <c r="O312">
        <v>870</v>
      </c>
      <c r="Q312">
        <f t="shared" si="12"/>
        <v>21</v>
      </c>
      <c r="R312">
        <v>2</v>
      </c>
      <c r="S312">
        <v>0</v>
      </c>
      <c r="T312">
        <v>0</v>
      </c>
      <c r="U312">
        <v>0</v>
      </c>
      <c r="V312">
        <v>7</v>
      </c>
      <c r="W312">
        <v>14</v>
      </c>
      <c r="X312" s="21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f t="shared" si="11"/>
        <v>1792</v>
      </c>
      <c r="AI312" t="s">
        <v>92</v>
      </c>
      <c r="AJ312" t="s">
        <v>54</v>
      </c>
      <c r="AK312" t="s">
        <v>52</v>
      </c>
      <c r="AP312" t="s">
        <v>93</v>
      </c>
    </row>
    <row r="313" spans="1:42">
      <c r="A313" s="1">
        <v>43774</v>
      </c>
      <c r="B313">
        <v>3</v>
      </c>
      <c r="C313">
        <v>239</v>
      </c>
      <c r="D313">
        <v>10240</v>
      </c>
      <c r="E313" t="s">
        <v>37</v>
      </c>
      <c r="F313" t="s">
        <v>90</v>
      </c>
      <c r="G313">
        <v>2</v>
      </c>
      <c r="H313">
        <v>14</v>
      </c>
      <c r="I313" s="25">
        <v>600</v>
      </c>
      <c r="K313" t="s">
        <v>91</v>
      </c>
      <c r="M313" t="s">
        <v>95</v>
      </c>
      <c r="N313" t="s">
        <v>42</v>
      </c>
      <c r="O313">
        <v>630</v>
      </c>
      <c r="Q313">
        <f t="shared" si="12"/>
        <v>15</v>
      </c>
      <c r="R313">
        <v>2</v>
      </c>
      <c r="S313">
        <v>0</v>
      </c>
      <c r="T313">
        <v>0</v>
      </c>
      <c r="U313">
        <v>0</v>
      </c>
      <c r="V313">
        <v>4</v>
      </c>
      <c r="W313">
        <v>11</v>
      </c>
      <c r="X313" s="21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f t="shared" si="11"/>
        <v>1312</v>
      </c>
      <c r="AI313" t="s">
        <v>92</v>
      </c>
      <c r="AJ313" t="s">
        <v>54</v>
      </c>
      <c r="AK313" t="s">
        <v>52</v>
      </c>
      <c r="AP313" t="s">
        <v>93</v>
      </c>
    </row>
    <row r="314" spans="1:42">
      <c r="A314" s="1">
        <v>43774</v>
      </c>
      <c r="B314">
        <v>3</v>
      </c>
      <c r="C314">
        <v>239</v>
      </c>
      <c r="D314">
        <v>10240</v>
      </c>
      <c r="E314" t="s">
        <v>37</v>
      </c>
      <c r="F314" t="s">
        <v>90</v>
      </c>
      <c r="G314">
        <v>2</v>
      </c>
      <c r="H314">
        <v>15</v>
      </c>
      <c r="I314" s="25">
        <v>700</v>
      </c>
      <c r="K314" t="s">
        <v>91</v>
      </c>
      <c r="N314" t="s">
        <v>44</v>
      </c>
      <c r="O314">
        <v>897</v>
      </c>
      <c r="Q314">
        <f t="shared" si="12"/>
        <v>19</v>
      </c>
      <c r="R314">
        <v>3</v>
      </c>
      <c r="S314">
        <v>0</v>
      </c>
      <c r="T314">
        <v>0</v>
      </c>
      <c r="U314">
        <v>0</v>
      </c>
      <c r="V314">
        <v>0</v>
      </c>
      <c r="W314">
        <v>19</v>
      </c>
      <c r="X314" s="21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f t="shared" si="11"/>
        <v>1824</v>
      </c>
      <c r="AI314" t="s">
        <v>92</v>
      </c>
      <c r="AJ314" t="s">
        <v>54</v>
      </c>
      <c r="AK314" t="s">
        <v>52</v>
      </c>
      <c r="AP314" t="s">
        <v>93</v>
      </c>
    </row>
    <row r="315" spans="1:42">
      <c r="A315" s="1">
        <v>43774</v>
      </c>
      <c r="B315">
        <v>3</v>
      </c>
      <c r="C315">
        <v>239</v>
      </c>
      <c r="D315">
        <v>10240</v>
      </c>
      <c r="E315" t="s">
        <v>37</v>
      </c>
      <c r="F315" t="s">
        <v>90</v>
      </c>
      <c r="G315">
        <v>2</v>
      </c>
      <c r="H315">
        <v>16</v>
      </c>
      <c r="I315" s="25">
        <v>700</v>
      </c>
      <c r="K315" t="s">
        <v>53</v>
      </c>
      <c r="N315" t="s">
        <v>42</v>
      </c>
      <c r="O315">
        <v>1060</v>
      </c>
      <c r="Q315">
        <f t="shared" si="12"/>
        <v>20</v>
      </c>
      <c r="R315">
        <v>4</v>
      </c>
      <c r="S315">
        <v>0</v>
      </c>
      <c r="T315">
        <v>0</v>
      </c>
      <c r="U315">
        <v>0</v>
      </c>
      <c r="V315">
        <v>3</v>
      </c>
      <c r="W315">
        <v>17</v>
      </c>
      <c r="X315" s="21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f t="shared" si="11"/>
        <v>1824</v>
      </c>
      <c r="AI315" t="s">
        <v>92</v>
      </c>
      <c r="AJ315" t="s">
        <v>51</v>
      </c>
      <c r="AK315" t="s">
        <v>52</v>
      </c>
      <c r="AP315" t="s">
        <v>93</v>
      </c>
    </row>
    <row r="316" spans="1:42">
      <c r="A316" s="1">
        <v>43774</v>
      </c>
      <c r="B316">
        <v>3</v>
      </c>
      <c r="C316">
        <v>239</v>
      </c>
      <c r="D316">
        <v>10240</v>
      </c>
      <c r="E316" t="s">
        <v>37</v>
      </c>
      <c r="F316" t="s">
        <v>90</v>
      </c>
      <c r="G316">
        <v>2</v>
      </c>
      <c r="H316">
        <v>17</v>
      </c>
      <c r="I316" s="25">
        <v>600</v>
      </c>
      <c r="K316" t="s">
        <v>53</v>
      </c>
      <c r="N316" t="s">
        <v>44</v>
      </c>
      <c r="O316">
        <v>113</v>
      </c>
      <c r="Q316">
        <f t="shared" si="12"/>
        <v>2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2</v>
      </c>
      <c r="X316" s="21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f t="shared" si="11"/>
        <v>192</v>
      </c>
      <c r="AI316" t="s">
        <v>92</v>
      </c>
      <c r="AJ316" t="s">
        <v>51</v>
      </c>
      <c r="AK316" t="s">
        <v>52</v>
      </c>
      <c r="AP316" t="s">
        <v>93</v>
      </c>
    </row>
    <row r="317" spans="1:42">
      <c r="A317" s="1">
        <v>43774</v>
      </c>
      <c r="B317">
        <v>3</v>
      </c>
      <c r="C317">
        <v>239</v>
      </c>
      <c r="D317">
        <v>10240</v>
      </c>
      <c r="E317" t="s">
        <v>37</v>
      </c>
      <c r="F317" t="s">
        <v>90</v>
      </c>
      <c r="G317">
        <v>2</v>
      </c>
      <c r="H317">
        <v>18</v>
      </c>
      <c r="I317" s="25">
        <v>0</v>
      </c>
      <c r="K317" t="s">
        <v>97</v>
      </c>
      <c r="N317" t="s">
        <v>40</v>
      </c>
      <c r="O317">
        <v>330</v>
      </c>
      <c r="Q317">
        <f t="shared" si="12"/>
        <v>7</v>
      </c>
      <c r="R317">
        <v>3</v>
      </c>
      <c r="S317">
        <v>0</v>
      </c>
      <c r="T317">
        <v>0</v>
      </c>
      <c r="U317">
        <v>0</v>
      </c>
      <c r="V317">
        <v>0</v>
      </c>
      <c r="W317">
        <v>7</v>
      </c>
      <c r="X317" s="21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f t="shared" si="11"/>
        <v>672</v>
      </c>
      <c r="AI317" t="s">
        <v>92</v>
      </c>
      <c r="AJ317" t="s">
        <v>54</v>
      </c>
      <c r="AK317" t="s">
        <v>52</v>
      </c>
      <c r="AP317" t="s">
        <v>93</v>
      </c>
    </row>
    <row r="318" spans="1:42">
      <c r="A318" s="1">
        <v>43774</v>
      </c>
      <c r="B318">
        <v>3</v>
      </c>
      <c r="C318">
        <v>239</v>
      </c>
      <c r="D318">
        <v>10240</v>
      </c>
      <c r="E318" t="s">
        <v>37</v>
      </c>
      <c r="F318" t="s">
        <v>90</v>
      </c>
      <c r="G318">
        <v>2</v>
      </c>
      <c r="H318">
        <v>19</v>
      </c>
      <c r="I318" s="25">
        <v>100</v>
      </c>
      <c r="K318" t="s">
        <v>97</v>
      </c>
      <c r="N318" t="s">
        <v>44</v>
      </c>
      <c r="O318">
        <v>315</v>
      </c>
      <c r="Q318">
        <f t="shared" si="12"/>
        <v>15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15</v>
      </c>
      <c r="X318" s="21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f t="shared" si="11"/>
        <v>1440</v>
      </c>
      <c r="AI318" t="s">
        <v>92</v>
      </c>
      <c r="AJ318" t="s">
        <v>54</v>
      </c>
      <c r="AK318" t="s">
        <v>52</v>
      </c>
      <c r="AP318" t="s">
        <v>93</v>
      </c>
    </row>
    <row r="319" spans="1:42">
      <c r="A319" s="1">
        <v>43774</v>
      </c>
      <c r="B319">
        <v>3</v>
      </c>
      <c r="C319">
        <v>239</v>
      </c>
      <c r="D319">
        <v>10240</v>
      </c>
      <c r="E319" t="s">
        <v>37</v>
      </c>
      <c r="F319" t="s">
        <v>90</v>
      </c>
      <c r="G319">
        <v>2</v>
      </c>
      <c r="H319">
        <v>20</v>
      </c>
      <c r="I319" s="25">
        <v>500</v>
      </c>
      <c r="K319" t="s">
        <v>98</v>
      </c>
      <c r="N319" t="s">
        <v>42</v>
      </c>
      <c r="O319">
        <v>501</v>
      </c>
      <c r="Q319">
        <f t="shared" si="12"/>
        <v>14</v>
      </c>
      <c r="R319">
        <v>2</v>
      </c>
      <c r="S319">
        <v>0</v>
      </c>
      <c r="T319">
        <v>0</v>
      </c>
      <c r="U319">
        <v>0</v>
      </c>
      <c r="V319">
        <v>6</v>
      </c>
      <c r="W319">
        <v>8</v>
      </c>
      <c r="X319" s="21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f t="shared" si="11"/>
        <v>1152</v>
      </c>
      <c r="AI319" t="s">
        <v>92</v>
      </c>
      <c r="AJ319" t="s">
        <v>51</v>
      </c>
      <c r="AK319" t="s">
        <v>52</v>
      </c>
      <c r="AP319" t="s">
        <v>93</v>
      </c>
    </row>
    <row r="320" spans="1:42">
      <c r="A320" s="1">
        <v>43774</v>
      </c>
      <c r="B320">
        <v>3</v>
      </c>
      <c r="C320">
        <v>239</v>
      </c>
      <c r="D320">
        <v>10240</v>
      </c>
      <c r="E320" t="s">
        <v>37</v>
      </c>
      <c r="F320" t="s">
        <v>90</v>
      </c>
      <c r="G320">
        <v>2</v>
      </c>
      <c r="H320">
        <v>21</v>
      </c>
      <c r="I320" s="25">
        <v>0</v>
      </c>
      <c r="K320" t="s">
        <v>99</v>
      </c>
      <c r="N320" t="s">
        <v>44</v>
      </c>
      <c r="O320">
        <v>300</v>
      </c>
      <c r="Q320">
        <f t="shared" si="12"/>
        <v>10</v>
      </c>
      <c r="R320">
        <v>1</v>
      </c>
      <c r="S320">
        <v>0</v>
      </c>
      <c r="T320">
        <v>0</v>
      </c>
      <c r="U320">
        <v>0</v>
      </c>
      <c r="V320">
        <v>1</v>
      </c>
      <c r="W320">
        <v>9</v>
      </c>
      <c r="X320" s="21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f>(S320*16+(T320*32)+(U320*32)+(V320*64)+(W320*96))</f>
        <v>928</v>
      </c>
      <c r="AI320" t="s">
        <v>92</v>
      </c>
      <c r="AJ320" t="s">
        <v>51</v>
      </c>
      <c r="AK320" t="s">
        <v>52</v>
      </c>
      <c r="AP320" t="s">
        <v>93</v>
      </c>
    </row>
    <row r="321" spans="1:42">
      <c r="A321" s="1">
        <v>43773</v>
      </c>
      <c r="B321">
        <v>2</v>
      </c>
      <c r="C321">
        <v>239</v>
      </c>
      <c r="D321">
        <v>10240</v>
      </c>
      <c r="E321" t="s">
        <v>37</v>
      </c>
      <c r="F321" t="s">
        <v>90</v>
      </c>
      <c r="G321">
        <v>2</v>
      </c>
      <c r="H321">
        <v>1</v>
      </c>
      <c r="I321" s="25">
        <v>200</v>
      </c>
      <c r="K321" t="s">
        <v>96</v>
      </c>
      <c r="P321">
        <v>240</v>
      </c>
      <c r="Q321">
        <f>SUM(S321:AE321)</f>
        <v>0</v>
      </c>
      <c r="R321">
        <v>3</v>
      </c>
      <c r="S321">
        <v>0</v>
      </c>
      <c r="T321">
        <v>0</v>
      </c>
      <c r="U321">
        <v>0</v>
      </c>
      <c r="V321">
        <v>0</v>
      </c>
      <c r="W321">
        <v>0</v>
      </c>
      <c r="X321" s="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f t="shared" ref="AH321:AH338" si="13">(S321*16+(T321*32)+(U321*32)+(V321*64)+(W321*96))</f>
        <v>0</v>
      </c>
      <c r="AI321" t="s">
        <v>92</v>
      </c>
      <c r="AP321" t="s">
        <v>93</v>
      </c>
    </row>
    <row r="322" spans="1:42">
      <c r="A322" s="1">
        <v>43773</v>
      </c>
      <c r="B322">
        <v>2</v>
      </c>
      <c r="C322">
        <v>239</v>
      </c>
      <c r="D322">
        <v>10240</v>
      </c>
      <c r="E322" t="s">
        <v>37</v>
      </c>
      <c r="F322" t="s">
        <v>90</v>
      </c>
      <c r="G322">
        <v>2</v>
      </c>
      <c r="H322">
        <v>2</v>
      </c>
      <c r="I322" s="25">
        <v>300</v>
      </c>
      <c r="K322" t="s">
        <v>91</v>
      </c>
      <c r="P322">
        <v>150</v>
      </c>
      <c r="Q322">
        <f t="shared" si="12"/>
        <v>0</v>
      </c>
      <c r="R322">
        <v>2</v>
      </c>
      <c r="S322">
        <v>0</v>
      </c>
      <c r="T322">
        <v>0</v>
      </c>
      <c r="U322">
        <v>0</v>
      </c>
      <c r="V322">
        <v>0</v>
      </c>
      <c r="W322">
        <v>0</v>
      </c>
      <c r="X322" s="21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f t="shared" si="13"/>
        <v>0</v>
      </c>
      <c r="AI322" t="s">
        <v>92</v>
      </c>
      <c r="AP322" t="s">
        <v>93</v>
      </c>
    </row>
    <row r="323" spans="1:42">
      <c r="A323" s="1">
        <v>43773</v>
      </c>
      <c r="B323">
        <v>2</v>
      </c>
      <c r="C323">
        <v>239</v>
      </c>
      <c r="D323">
        <v>10240</v>
      </c>
      <c r="E323" t="s">
        <v>37</v>
      </c>
      <c r="F323" t="s">
        <v>90</v>
      </c>
      <c r="G323">
        <v>2</v>
      </c>
      <c r="H323">
        <v>3</v>
      </c>
      <c r="I323" s="25">
        <v>400</v>
      </c>
      <c r="K323" t="s">
        <v>91</v>
      </c>
      <c r="P323">
        <v>330</v>
      </c>
      <c r="Q323">
        <f t="shared" si="12"/>
        <v>0</v>
      </c>
      <c r="R323">
        <v>2</v>
      </c>
      <c r="S323">
        <v>0</v>
      </c>
      <c r="T323">
        <v>0</v>
      </c>
      <c r="U323">
        <v>0</v>
      </c>
      <c r="V323">
        <v>0</v>
      </c>
      <c r="W323">
        <v>0</v>
      </c>
      <c r="X323" s="21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f t="shared" si="13"/>
        <v>0</v>
      </c>
      <c r="AI323" t="s">
        <v>92</v>
      </c>
      <c r="AP323" t="s">
        <v>93</v>
      </c>
    </row>
    <row r="324" spans="1:42">
      <c r="A324" s="1">
        <v>43773</v>
      </c>
      <c r="B324">
        <v>2</v>
      </c>
      <c r="C324">
        <v>239</v>
      </c>
      <c r="D324">
        <v>10240</v>
      </c>
      <c r="E324" t="s">
        <v>37</v>
      </c>
      <c r="F324" t="s">
        <v>90</v>
      </c>
      <c r="G324">
        <v>2</v>
      </c>
      <c r="H324">
        <v>4</v>
      </c>
      <c r="I324" s="25">
        <v>500</v>
      </c>
      <c r="K324" t="s">
        <v>98</v>
      </c>
      <c r="P324">
        <v>330</v>
      </c>
      <c r="Q324">
        <f t="shared" si="12"/>
        <v>0</v>
      </c>
      <c r="R324">
        <v>2</v>
      </c>
      <c r="S324">
        <v>0</v>
      </c>
      <c r="T324">
        <v>0</v>
      </c>
      <c r="U324">
        <v>0</v>
      </c>
      <c r="V324">
        <v>0</v>
      </c>
      <c r="W324">
        <v>0</v>
      </c>
      <c r="X324" s="21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f t="shared" si="13"/>
        <v>0</v>
      </c>
      <c r="AI324" t="s">
        <v>92</v>
      </c>
      <c r="AP324" t="s">
        <v>93</v>
      </c>
    </row>
    <row r="325" spans="1:42">
      <c r="A325" s="1">
        <v>43773</v>
      </c>
      <c r="B325">
        <v>2</v>
      </c>
      <c r="C325">
        <v>239</v>
      </c>
      <c r="D325">
        <v>10240</v>
      </c>
      <c r="E325" t="s">
        <v>37</v>
      </c>
      <c r="F325" t="s">
        <v>90</v>
      </c>
      <c r="G325">
        <v>2</v>
      </c>
      <c r="H325">
        <v>5</v>
      </c>
      <c r="I325" s="25">
        <v>400</v>
      </c>
      <c r="K325" t="s">
        <v>100</v>
      </c>
      <c r="P325">
        <v>144</v>
      </c>
      <c r="Q325">
        <f t="shared" si="12"/>
        <v>0</v>
      </c>
      <c r="R325">
        <v>1</v>
      </c>
      <c r="S325">
        <v>0</v>
      </c>
      <c r="T325">
        <v>0</v>
      </c>
      <c r="U325">
        <v>0</v>
      </c>
      <c r="V325">
        <v>0</v>
      </c>
      <c r="W325">
        <v>0</v>
      </c>
      <c r="X325" s="21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f t="shared" si="13"/>
        <v>0</v>
      </c>
      <c r="AI325" t="s">
        <v>92</v>
      </c>
      <c r="AP325" t="s">
        <v>93</v>
      </c>
    </row>
    <row r="326" spans="1:42">
      <c r="A326" s="1">
        <v>43773</v>
      </c>
      <c r="B326">
        <v>2</v>
      </c>
      <c r="C326">
        <v>239</v>
      </c>
      <c r="D326">
        <v>10240</v>
      </c>
      <c r="E326" t="s">
        <v>37</v>
      </c>
      <c r="F326" t="s">
        <v>90</v>
      </c>
      <c r="G326">
        <v>2</v>
      </c>
      <c r="H326">
        <v>6</v>
      </c>
      <c r="I326" s="25">
        <v>500</v>
      </c>
      <c r="K326" t="s">
        <v>91</v>
      </c>
      <c r="P326">
        <v>205</v>
      </c>
      <c r="Q326">
        <f t="shared" si="12"/>
        <v>0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</v>
      </c>
      <c r="X326" s="21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f t="shared" si="13"/>
        <v>0</v>
      </c>
      <c r="AI326" t="s">
        <v>92</v>
      </c>
      <c r="AP326" t="s">
        <v>93</v>
      </c>
    </row>
    <row r="327" spans="1:42">
      <c r="A327" s="1">
        <v>43773</v>
      </c>
      <c r="B327">
        <v>2</v>
      </c>
      <c r="C327">
        <v>239</v>
      </c>
      <c r="D327">
        <v>10240</v>
      </c>
      <c r="E327" t="s">
        <v>37</v>
      </c>
      <c r="F327" t="s">
        <v>90</v>
      </c>
      <c r="G327">
        <v>2</v>
      </c>
      <c r="H327">
        <v>7</v>
      </c>
      <c r="I327" s="25">
        <v>600</v>
      </c>
      <c r="K327" t="s">
        <v>91</v>
      </c>
      <c r="P327">
        <v>874</v>
      </c>
      <c r="Q327">
        <f t="shared" si="12"/>
        <v>0</v>
      </c>
      <c r="R327">
        <v>3</v>
      </c>
      <c r="S327">
        <v>0</v>
      </c>
      <c r="T327">
        <v>0</v>
      </c>
      <c r="U327">
        <v>0</v>
      </c>
      <c r="V327">
        <v>0</v>
      </c>
      <c r="W327">
        <v>0</v>
      </c>
      <c r="X327" s="21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f t="shared" si="13"/>
        <v>0</v>
      </c>
      <c r="AI327" t="s">
        <v>92</v>
      </c>
      <c r="AJ327" t="s">
        <v>54</v>
      </c>
      <c r="AK327" t="s">
        <v>52</v>
      </c>
      <c r="AP327" t="s">
        <v>93</v>
      </c>
    </row>
    <row r="328" spans="1:42">
      <c r="A328" s="1">
        <v>43773</v>
      </c>
      <c r="B328">
        <v>2</v>
      </c>
      <c r="C328">
        <v>239</v>
      </c>
      <c r="D328">
        <v>10240</v>
      </c>
      <c r="E328" t="s">
        <v>37</v>
      </c>
      <c r="F328" t="s">
        <v>90</v>
      </c>
      <c r="G328">
        <v>2</v>
      </c>
      <c r="H328">
        <v>8</v>
      </c>
      <c r="I328" s="25">
        <v>700</v>
      </c>
      <c r="K328" t="s">
        <v>53</v>
      </c>
      <c r="P328">
        <v>399</v>
      </c>
      <c r="Q328">
        <f t="shared" si="12"/>
        <v>0</v>
      </c>
      <c r="R328">
        <v>2</v>
      </c>
      <c r="S328">
        <v>0</v>
      </c>
      <c r="T328">
        <v>0</v>
      </c>
      <c r="U328">
        <v>0</v>
      </c>
      <c r="V328">
        <v>0</v>
      </c>
      <c r="W328">
        <v>0</v>
      </c>
      <c r="X328" s="21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f t="shared" si="13"/>
        <v>0</v>
      </c>
      <c r="AI328" t="s">
        <v>92</v>
      </c>
      <c r="AJ328" t="s">
        <v>51</v>
      </c>
      <c r="AK328" t="s">
        <v>52</v>
      </c>
      <c r="AP328" t="s">
        <v>93</v>
      </c>
    </row>
    <row r="329" spans="1:42">
      <c r="A329" s="1">
        <v>43773</v>
      </c>
      <c r="B329">
        <v>2</v>
      </c>
      <c r="C329">
        <v>239</v>
      </c>
      <c r="D329">
        <v>10240</v>
      </c>
      <c r="E329" t="s">
        <v>37</v>
      </c>
      <c r="F329" t="s">
        <v>90</v>
      </c>
      <c r="G329">
        <v>2</v>
      </c>
      <c r="H329">
        <v>9</v>
      </c>
      <c r="I329" s="25">
        <v>600</v>
      </c>
      <c r="K329" t="s">
        <v>53</v>
      </c>
      <c r="P329">
        <v>197</v>
      </c>
      <c r="Q329">
        <f t="shared" si="12"/>
        <v>0</v>
      </c>
      <c r="R329">
        <v>1</v>
      </c>
      <c r="S329">
        <v>0</v>
      </c>
      <c r="T329">
        <v>0</v>
      </c>
      <c r="U329">
        <v>0</v>
      </c>
      <c r="V329">
        <v>0</v>
      </c>
      <c r="W329">
        <v>0</v>
      </c>
      <c r="X329" s="21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f t="shared" si="13"/>
        <v>0</v>
      </c>
      <c r="AI329" t="s">
        <v>92</v>
      </c>
      <c r="AJ329" t="s">
        <v>51</v>
      </c>
      <c r="AK329" t="s">
        <v>52</v>
      </c>
      <c r="AP329" t="s">
        <v>93</v>
      </c>
    </row>
    <row r="330" spans="1:42">
      <c r="A330" s="1">
        <v>43773</v>
      </c>
      <c r="B330">
        <v>2</v>
      </c>
      <c r="C330">
        <v>239</v>
      </c>
      <c r="D330">
        <v>10240</v>
      </c>
      <c r="E330" t="s">
        <v>37</v>
      </c>
      <c r="F330" t="s">
        <v>90</v>
      </c>
      <c r="G330">
        <v>2</v>
      </c>
      <c r="H330">
        <v>10</v>
      </c>
      <c r="I330" s="25">
        <v>0</v>
      </c>
      <c r="K330" t="s">
        <v>97</v>
      </c>
      <c r="P330">
        <v>286</v>
      </c>
      <c r="Q330">
        <f t="shared" si="12"/>
        <v>0</v>
      </c>
      <c r="R330">
        <v>2</v>
      </c>
      <c r="S330">
        <v>0</v>
      </c>
      <c r="T330">
        <v>0</v>
      </c>
      <c r="U330">
        <v>0</v>
      </c>
      <c r="V330">
        <v>0</v>
      </c>
      <c r="W330">
        <v>0</v>
      </c>
      <c r="X330" s="21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f t="shared" si="13"/>
        <v>0</v>
      </c>
      <c r="AI330" t="s">
        <v>92</v>
      </c>
      <c r="AJ330" t="s">
        <v>51</v>
      </c>
      <c r="AK330" t="s">
        <v>95</v>
      </c>
      <c r="AP330" t="s">
        <v>93</v>
      </c>
    </row>
    <row r="331" spans="1:42">
      <c r="A331" s="1">
        <v>43773</v>
      </c>
      <c r="B331">
        <v>2</v>
      </c>
      <c r="C331">
        <v>239</v>
      </c>
      <c r="D331">
        <v>10240</v>
      </c>
      <c r="E331" t="s">
        <v>37</v>
      </c>
      <c r="F331" t="s">
        <v>90</v>
      </c>
      <c r="G331">
        <v>2</v>
      </c>
      <c r="H331">
        <v>11</v>
      </c>
      <c r="I331" s="25">
        <v>100</v>
      </c>
      <c r="K331" t="s">
        <v>97</v>
      </c>
      <c r="P331">
        <v>134</v>
      </c>
      <c r="Q331">
        <f t="shared" si="12"/>
        <v>0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0</v>
      </c>
      <c r="X331" s="2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f t="shared" si="13"/>
        <v>0</v>
      </c>
      <c r="AI331" t="s">
        <v>92</v>
      </c>
      <c r="AJ331" t="s">
        <v>51</v>
      </c>
      <c r="AK331" t="s">
        <v>95</v>
      </c>
      <c r="AP331" t="s">
        <v>93</v>
      </c>
    </row>
    <row r="332" spans="1:42">
      <c r="A332" s="1">
        <v>43773</v>
      </c>
      <c r="B332">
        <v>2</v>
      </c>
      <c r="C332">
        <v>239</v>
      </c>
      <c r="D332">
        <v>10240</v>
      </c>
      <c r="E332" t="s">
        <v>37</v>
      </c>
      <c r="F332" t="s">
        <v>90</v>
      </c>
      <c r="G332">
        <v>2</v>
      </c>
      <c r="H332">
        <v>12</v>
      </c>
      <c r="I332" s="25">
        <v>400</v>
      </c>
      <c r="K332" t="s">
        <v>98</v>
      </c>
      <c r="P332">
        <v>298</v>
      </c>
      <c r="Q332">
        <f t="shared" si="12"/>
        <v>0</v>
      </c>
      <c r="R332">
        <v>2</v>
      </c>
      <c r="S332">
        <v>0</v>
      </c>
      <c r="T332">
        <v>0</v>
      </c>
      <c r="U332">
        <v>0</v>
      </c>
      <c r="V332">
        <v>0</v>
      </c>
      <c r="W332">
        <v>0</v>
      </c>
      <c r="X332" s="21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f t="shared" si="13"/>
        <v>0</v>
      </c>
      <c r="AI332" t="s">
        <v>92</v>
      </c>
      <c r="AJ332" t="s">
        <v>51</v>
      </c>
      <c r="AK332" t="s">
        <v>52</v>
      </c>
      <c r="AP332" t="s">
        <v>93</v>
      </c>
    </row>
    <row r="333" spans="1:42">
      <c r="A333" s="1">
        <v>43773</v>
      </c>
      <c r="B333">
        <v>2</v>
      </c>
      <c r="C333">
        <v>239</v>
      </c>
      <c r="D333">
        <v>10240</v>
      </c>
      <c r="E333" t="s">
        <v>37</v>
      </c>
      <c r="F333" t="s">
        <v>90</v>
      </c>
      <c r="G333">
        <v>2</v>
      </c>
      <c r="H333">
        <v>13</v>
      </c>
      <c r="I333" s="25">
        <v>500</v>
      </c>
      <c r="K333" t="s">
        <v>101</v>
      </c>
      <c r="P333">
        <v>800</v>
      </c>
      <c r="Q333">
        <f t="shared" si="12"/>
        <v>0</v>
      </c>
      <c r="R333">
        <v>3</v>
      </c>
      <c r="S333">
        <v>0</v>
      </c>
      <c r="T333">
        <v>0</v>
      </c>
      <c r="U333">
        <v>0</v>
      </c>
      <c r="V333">
        <v>0</v>
      </c>
      <c r="W333">
        <v>0</v>
      </c>
      <c r="X333" s="21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f t="shared" si="13"/>
        <v>0</v>
      </c>
      <c r="AI333" t="s">
        <v>92</v>
      </c>
      <c r="AJ333" t="s">
        <v>54</v>
      </c>
      <c r="AK333" t="s">
        <v>52</v>
      </c>
      <c r="AP333" t="s">
        <v>93</v>
      </c>
    </row>
    <row r="334" spans="1:42">
      <c r="A334" s="1">
        <v>43773</v>
      </c>
      <c r="B334">
        <v>2</v>
      </c>
      <c r="C334">
        <v>239</v>
      </c>
      <c r="D334">
        <v>10240</v>
      </c>
      <c r="E334" t="s">
        <v>37</v>
      </c>
      <c r="F334" t="s">
        <v>90</v>
      </c>
      <c r="G334">
        <v>2</v>
      </c>
      <c r="H334">
        <v>14</v>
      </c>
      <c r="I334" s="25">
        <v>500</v>
      </c>
      <c r="K334" t="s">
        <v>102</v>
      </c>
      <c r="P334">
        <v>213</v>
      </c>
      <c r="Q334">
        <f t="shared" si="12"/>
        <v>0</v>
      </c>
      <c r="R334">
        <v>2</v>
      </c>
      <c r="S334">
        <v>0</v>
      </c>
      <c r="T334">
        <v>0</v>
      </c>
      <c r="U334">
        <v>0</v>
      </c>
      <c r="V334">
        <v>0</v>
      </c>
      <c r="W334">
        <v>0</v>
      </c>
      <c r="X334" s="21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f t="shared" si="13"/>
        <v>0</v>
      </c>
      <c r="AI334" t="s">
        <v>92</v>
      </c>
      <c r="AJ334" t="s">
        <v>54</v>
      </c>
      <c r="AK334" t="s">
        <v>52</v>
      </c>
      <c r="AP334" t="s">
        <v>93</v>
      </c>
    </row>
    <row r="335" spans="1:42">
      <c r="A335" s="1">
        <v>43773</v>
      </c>
      <c r="B335">
        <v>2</v>
      </c>
      <c r="C335">
        <v>239</v>
      </c>
      <c r="D335">
        <v>10240</v>
      </c>
      <c r="E335" t="s">
        <v>37</v>
      </c>
      <c r="F335" t="s">
        <v>90</v>
      </c>
      <c r="G335">
        <v>2</v>
      </c>
      <c r="H335">
        <v>15</v>
      </c>
      <c r="I335" s="25">
        <v>400</v>
      </c>
      <c r="K335" t="s">
        <v>74</v>
      </c>
      <c r="P335">
        <v>476</v>
      </c>
      <c r="Q335">
        <f t="shared" si="12"/>
        <v>0</v>
      </c>
      <c r="R335">
        <v>2</v>
      </c>
      <c r="S335">
        <v>0</v>
      </c>
      <c r="T335">
        <v>0</v>
      </c>
      <c r="U335">
        <v>0</v>
      </c>
      <c r="V335">
        <v>0</v>
      </c>
      <c r="W335">
        <v>0</v>
      </c>
      <c r="X335" s="21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f t="shared" si="13"/>
        <v>0</v>
      </c>
      <c r="AI335" t="s">
        <v>92</v>
      </c>
      <c r="AJ335" t="s">
        <v>51</v>
      </c>
      <c r="AK335" t="s">
        <v>52</v>
      </c>
      <c r="AP335" t="s">
        <v>93</v>
      </c>
    </row>
    <row r="336" spans="1:42">
      <c r="A336" s="1">
        <v>43773</v>
      </c>
      <c r="B336">
        <v>2</v>
      </c>
      <c r="C336">
        <v>239</v>
      </c>
      <c r="D336">
        <v>10240</v>
      </c>
      <c r="E336" t="s">
        <v>37</v>
      </c>
      <c r="F336" t="s">
        <v>90</v>
      </c>
      <c r="G336">
        <v>2</v>
      </c>
      <c r="H336">
        <v>16</v>
      </c>
      <c r="I336" s="25">
        <v>500</v>
      </c>
      <c r="K336" t="s">
        <v>74</v>
      </c>
      <c r="P336">
        <v>237</v>
      </c>
      <c r="Q336">
        <f t="shared" si="12"/>
        <v>0</v>
      </c>
      <c r="R336">
        <v>2</v>
      </c>
      <c r="S336">
        <v>0</v>
      </c>
      <c r="T336">
        <v>0</v>
      </c>
      <c r="U336">
        <v>0</v>
      </c>
      <c r="V336">
        <v>0</v>
      </c>
      <c r="W336">
        <v>0</v>
      </c>
      <c r="X336" s="21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f t="shared" si="13"/>
        <v>0</v>
      </c>
      <c r="AI336" t="s">
        <v>92</v>
      </c>
      <c r="AJ336" t="s">
        <v>51</v>
      </c>
      <c r="AK336" t="s">
        <v>52</v>
      </c>
      <c r="AP336" t="s">
        <v>93</v>
      </c>
    </row>
    <row r="337" spans="1:42">
      <c r="A337" s="1">
        <v>43773</v>
      </c>
      <c r="B337">
        <v>2</v>
      </c>
      <c r="C337">
        <v>239</v>
      </c>
      <c r="D337">
        <v>10240</v>
      </c>
      <c r="E337" t="s">
        <v>37</v>
      </c>
      <c r="F337" t="s">
        <v>90</v>
      </c>
      <c r="G337">
        <v>2</v>
      </c>
      <c r="H337">
        <v>17</v>
      </c>
      <c r="I337" s="25">
        <v>620</v>
      </c>
      <c r="K337" t="s">
        <v>103</v>
      </c>
      <c r="P337">
        <v>246</v>
      </c>
      <c r="Q337">
        <f t="shared" si="12"/>
        <v>0</v>
      </c>
      <c r="R337">
        <v>2</v>
      </c>
      <c r="S337">
        <v>0</v>
      </c>
      <c r="T337">
        <v>0</v>
      </c>
      <c r="U337">
        <v>0</v>
      </c>
      <c r="V337">
        <v>0</v>
      </c>
      <c r="W337">
        <v>0</v>
      </c>
      <c r="X337" s="21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f t="shared" si="13"/>
        <v>0</v>
      </c>
      <c r="AI337" t="s">
        <v>92</v>
      </c>
      <c r="AJ337" t="s">
        <v>51</v>
      </c>
      <c r="AK337" t="s">
        <v>52</v>
      </c>
      <c r="AP337" t="s">
        <v>93</v>
      </c>
    </row>
    <row r="338" spans="1:42">
      <c r="A338" s="1">
        <v>43773</v>
      </c>
      <c r="B338">
        <v>2</v>
      </c>
      <c r="C338">
        <v>239</v>
      </c>
      <c r="D338">
        <v>10240</v>
      </c>
      <c r="E338" t="s">
        <v>37</v>
      </c>
      <c r="F338" t="s">
        <v>90</v>
      </c>
      <c r="G338">
        <v>2</v>
      </c>
      <c r="H338">
        <v>18</v>
      </c>
      <c r="I338" s="25">
        <v>500</v>
      </c>
      <c r="K338" t="s">
        <v>103</v>
      </c>
      <c r="P338">
        <v>392</v>
      </c>
      <c r="Q338">
        <f t="shared" si="12"/>
        <v>0</v>
      </c>
      <c r="R338">
        <v>4</v>
      </c>
      <c r="S338">
        <v>0</v>
      </c>
      <c r="T338">
        <v>0</v>
      </c>
      <c r="U338">
        <v>0</v>
      </c>
      <c r="V338">
        <v>0</v>
      </c>
      <c r="W338">
        <v>0</v>
      </c>
      <c r="X338" s="21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f t="shared" si="13"/>
        <v>0</v>
      </c>
      <c r="AI338" t="s">
        <v>92</v>
      </c>
      <c r="AJ338" t="s">
        <v>51</v>
      </c>
      <c r="AK338" t="s">
        <v>52</v>
      </c>
      <c r="AP338" t="s">
        <v>93</v>
      </c>
    </row>
    <row r="339" spans="1:42">
      <c r="A339" s="1">
        <v>43788</v>
      </c>
      <c r="B339">
        <v>2</v>
      </c>
      <c r="C339">
        <v>537</v>
      </c>
      <c r="D339">
        <v>10223</v>
      </c>
      <c r="E339" t="s">
        <v>37</v>
      </c>
      <c r="F339" t="s">
        <v>104</v>
      </c>
      <c r="G339">
        <v>2</v>
      </c>
      <c r="H339">
        <v>1</v>
      </c>
      <c r="I339" s="25"/>
      <c r="K339" t="s">
        <v>105</v>
      </c>
      <c r="N339" t="s">
        <v>44</v>
      </c>
      <c r="O339">
        <v>240</v>
      </c>
      <c r="Q339">
        <f t="shared" ref="Q339:Q359" si="14">SUM(S339:AE339)</f>
        <v>1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 s="21">
        <v>0</v>
      </c>
      <c r="Y339">
        <v>0</v>
      </c>
      <c r="Z339">
        <v>0</v>
      </c>
      <c r="AA339">
        <v>1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f t="shared" ref="AH339:AH359" si="15">(S339*16+(T339*32)+(U339*32)+(V339*64)+(W339*96))</f>
        <v>0</v>
      </c>
      <c r="AJ339" t="s">
        <v>51</v>
      </c>
      <c r="AK339" t="s">
        <v>52</v>
      </c>
      <c r="AP339" t="s">
        <v>93</v>
      </c>
    </row>
    <row r="340" spans="1:42">
      <c r="A340" s="1">
        <v>43788</v>
      </c>
      <c r="B340">
        <v>2</v>
      </c>
      <c r="C340">
        <v>537</v>
      </c>
      <c r="D340">
        <v>10223</v>
      </c>
      <c r="E340" t="s">
        <v>37</v>
      </c>
      <c r="F340" t="s">
        <v>104</v>
      </c>
      <c r="G340">
        <v>2</v>
      </c>
      <c r="H340">
        <v>2</v>
      </c>
      <c r="I340" s="25"/>
      <c r="K340" t="s">
        <v>105</v>
      </c>
      <c r="N340" t="s">
        <v>40</v>
      </c>
      <c r="O340">
        <v>84</v>
      </c>
      <c r="Q340">
        <f t="shared" si="14"/>
        <v>1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</v>
      </c>
      <c r="X340" s="21">
        <v>0</v>
      </c>
      <c r="Y340">
        <v>1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f t="shared" si="15"/>
        <v>0</v>
      </c>
      <c r="AJ340" t="s">
        <v>51</v>
      </c>
      <c r="AK340" t="s">
        <v>52</v>
      </c>
      <c r="AP340" t="s">
        <v>93</v>
      </c>
    </row>
    <row r="341" spans="1:42">
      <c r="A341" s="1">
        <v>43788</v>
      </c>
      <c r="B341">
        <v>2</v>
      </c>
      <c r="C341">
        <v>537</v>
      </c>
      <c r="D341">
        <v>10223</v>
      </c>
      <c r="E341" t="s">
        <v>37</v>
      </c>
      <c r="F341" t="s">
        <v>104</v>
      </c>
      <c r="G341">
        <v>2</v>
      </c>
      <c r="H341">
        <v>3</v>
      </c>
      <c r="I341" s="25">
        <v>799</v>
      </c>
      <c r="K341" t="s">
        <v>106</v>
      </c>
      <c r="N341" t="s">
        <v>40</v>
      </c>
      <c r="O341">
        <v>100</v>
      </c>
      <c r="Q341">
        <f t="shared" si="14"/>
        <v>1</v>
      </c>
      <c r="R341">
        <v>1</v>
      </c>
      <c r="S341">
        <v>0</v>
      </c>
      <c r="T341">
        <v>0</v>
      </c>
      <c r="U341">
        <v>0</v>
      </c>
      <c r="V341">
        <v>0</v>
      </c>
      <c r="W341">
        <v>0</v>
      </c>
      <c r="X341" s="21">
        <v>0</v>
      </c>
      <c r="Y341">
        <v>1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f t="shared" si="15"/>
        <v>0</v>
      </c>
      <c r="AJ341" t="s">
        <v>51</v>
      </c>
      <c r="AK341" t="s">
        <v>52</v>
      </c>
      <c r="AP341" t="s">
        <v>93</v>
      </c>
    </row>
    <row r="342" spans="1:42">
      <c r="A342" s="1">
        <v>43788</v>
      </c>
      <c r="B342">
        <v>2</v>
      </c>
      <c r="C342">
        <v>537</v>
      </c>
      <c r="D342">
        <v>10223</v>
      </c>
      <c r="E342" t="s">
        <v>37</v>
      </c>
      <c r="F342" t="s">
        <v>104</v>
      </c>
      <c r="G342">
        <v>2</v>
      </c>
      <c r="H342">
        <v>4</v>
      </c>
      <c r="I342" s="25">
        <v>718</v>
      </c>
      <c r="K342" t="s">
        <v>106</v>
      </c>
      <c r="N342" t="s">
        <v>40</v>
      </c>
      <c r="O342">
        <v>79</v>
      </c>
      <c r="Q342">
        <f t="shared" si="14"/>
        <v>1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0</v>
      </c>
      <c r="X342" s="21">
        <v>0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f t="shared" si="15"/>
        <v>0</v>
      </c>
      <c r="AJ342" t="s">
        <v>51</v>
      </c>
      <c r="AK342" t="s">
        <v>52</v>
      </c>
      <c r="AP342" t="s">
        <v>93</v>
      </c>
    </row>
    <row r="343" spans="1:42">
      <c r="A343" s="1">
        <v>43788</v>
      </c>
      <c r="B343">
        <v>2</v>
      </c>
      <c r="C343">
        <v>537</v>
      </c>
      <c r="D343">
        <v>10223</v>
      </c>
      <c r="E343" t="s">
        <v>37</v>
      </c>
      <c r="F343" t="s">
        <v>104</v>
      </c>
      <c r="G343">
        <v>2</v>
      </c>
      <c r="H343">
        <v>5</v>
      </c>
      <c r="I343" s="25">
        <v>829</v>
      </c>
      <c r="K343" t="s">
        <v>107</v>
      </c>
      <c r="N343" t="s">
        <v>40</v>
      </c>
      <c r="O343">
        <v>104</v>
      </c>
      <c r="Q343">
        <f t="shared" si="14"/>
        <v>1</v>
      </c>
      <c r="R343">
        <v>1</v>
      </c>
      <c r="S343">
        <v>0</v>
      </c>
      <c r="T343">
        <v>0</v>
      </c>
      <c r="U343">
        <v>0</v>
      </c>
      <c r="V343">
        <v>0</v>
      </c>
      <c r="W343">
        <v>0</v>
      </c>
      <c r="X343" s="21">
        <v>0</v>
      </c>
      <c r="Y343">
        <v>0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f t="shared" si="15"/>
        <v>0</v>
      </c>
      <c r="AJ343" t="s">
        <v>51</v>
      </c>
      <c r="AK343" t="s">
        <v>95</v>
      </c>
      <c r="AP343" t="s">
        <v>93</v>
      </c>
    </row>
    <row r="344" spans="1:42">
      <c r="A344" s="1">
        <v>43788</v>
      </c>
      <c r="B344">
        <v>2</v>
      </c>
      <c r="C344">
        <v>537</v>
      </c>
      <c r="D344">
        <v>10223</v>
      </c>
      <c r="E344" t="s">
        <v>37</v>
      </c>
      <c r="F344" t="s">
        <v>104</v>
      </c>
      <c r="G344">
        <v>2</v>
      </c>
      <c r="H344">
        <v>6</v>
      </c>
      <c r="I344" s="25">
        <v>397</v>
      </c>
      <c r="K344" t="s">
        <v>108</v>
      </c>
      <c r="N344" t="s">
        <v>40</v>
      </c>
      <c r="O344">
        <v>93</v>
      </c>
      <c r="Q344">
        <f t="shared" si="14"/>
        <v>1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 s="21">
        <v>0</v>
      </c>
      <c r="Y344">
        <v>0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f t="shared" si="15"/>
        <v>0</v>
      </c>
      <c r="AJ344" t="s">
        <v>51</v>
      </c>
      <c r="AK344" t="s">
        <v>95</v>
      </c>
      <c r="AP344" t="s">
        <v>93</v>
      </c>
    </row>
    <row r="345" spans="1:42">
      <c r="A345" s="1">
        <v>43788</v>
      </c>
      <c r="B345">
        <v>2</v>
      </c>
      <c r="C345">
        <v>537</v>
      </c>
      <c r="D345">
        <v>10223</v>
      </c>
      <c r="E345" t="s">
        <v>37</v>
      </c>
      <c r="F345" t="s">
        <v>104</v>
      </c>
      <c r="G345">
        <v>2</v>
      </c>
      <c r="H345">
        <v>7</v>
      </c>
      <c r="I345" s="25">
        <v>312</v>
      </c>
      <c r="K345" t="s">
        <v>108</v>
      </c>
      <c r="N345" t="s">
        <v>40</v>
      </c>
      <c r="O345">
        <v>84</v>
      </c>
      <c r="Q345">
        <f t="shared" si="14"/>
        <v>1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0</v>
      </c>
      <c r="X345" s="21">
        <v>0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f t="shared" si="15"/>
        <v>0</v>
      </c>
      <c r="AJ345" t="s">
        <v>51</v>
      </c>
      <c r="AK345" t="s">
        <v>95</v>
      </c>
      <c r="AP345" t="s">
        <v>93</v>
      </c>
    </row>
    <row r="346" spans="1:42">
      <c r="A346" s="1">
        <v>43788</v>
      </c>
      <c r="B346">
        <v>2</v>
      </c>
      <c r="C346">
        <v>537</v>
      </c>
      <c r="D346">
        <v>10223</v>
      </c>
      <c r="E346" t="s">
        <v>37</v>
      </c>
      <c r="F346" t="s">
        <v>104</v>
      </c>
      <c r="G346">
        <v>2</v>
      </c>
      <c r="H346">
        <v>8</v>
      </c>
      <c r="I346" s="25">
        <v>486</v>
      </c>
      <c r="K346" t="s">
        <v>108</v>
      </c>
      <c r="N346" t="s">
        <v>40</v>
      </c>
      <c r="O346">
        <v>110</v>
      </c>
      <c r="Q346">
        <f t="shared" si="14"/>
        <v>1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0</v>
      </c>
      <c r="X346" s="21">
        <v>0</v>
      </c>
      <c r="Y346">
        <v>0</v>
      </c>
      <c r="Z346">
        <v>0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f t="shared" si="15"/>
        <v>0</v>
      </c>
      <c r="AJ346" t="s">
        <v>51</v>
      </c>
      <c r="AK346" t="s">
        <v>95</v>
      </c>
      <c r="AP346" t="s">
        <v>93</v>
      </c>
    </row>
    <row r="347" spans="1:42">
      <c r="A347" s="1">
        <v>43788</v>
      </c>
      <c r="B347">
        <v>2</v>
      </c>
      <c r="C347">
        <v>537</v>
      </c>
      <c r="D347">
        <v>10223</v>
      </c>
      <c r="E347" t="s">
        <v>37</v>
      </c>
      <c r="F347" t="s">
        <v>104</v>
      </c>
      <c r="G347">
        <v>2</v>
      </c>
      <c r="H347">
        <v>9</v>
      </c>
      <c r="I347" s="25">
        <v>500</v>
      </c>
      <c r="K347" t="s">
        <v>108</v>
      </c>
      <c r="N347" t="s">
        <v>40</v>
      </c>
      <c r="O347">
        <v>98</v>
      </c>
      <c r="Q347">
        <f t="shared" si="14"/>
        <v>3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3</v>
      </c>
      <c r="X347" s="21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f t="shared" si="15"/>
        <v>288</v>
      </c>
      <c r="AJ347" t="s">
        <v>51</v>
      </c>
      <c r="AK347" t="s">
        <v>95</v>
      </c>
      <c r="AP347" t="s">
        <v>93</v>
      </c>
    </row>
    <row r="348" spans="1:42">
      <c r="A348" s="1">
        <v>43788</v>
      </c>
      <c r="B348">
        <v>2</v>
      </c>
      <c r="C348">
        <v>537</v>
      </c>
      <c r="D348">
        <v>10223</v>
      </c>
      <c r="E348" t="s">
        <v>37</v>
      </c>
      <c r="F348" t="s">
        <v>104</v>
      </c>
      <c r="G348">
        <v>2</v>
      </c>
      <c r="H348">
        <v>10</v>
      </c>
      <c r="I348" s="25">
        <v>680</v>
      </c>
      <c r="K348" t="s">
        <v>106</v>
      </c>
      <c r="N348" t="s">
        <v>40</v>
      </c>
      <c r="O348">
        <v>100</v>
      </c>
      <c r="Q348">
        <f t="shared" si="14"/>
        <v>6</v>
      </c>
      <c r="R348">
        <v>1</v>
      </c>
      <c r="S348">
        <v>0</v>
      </c>
      <c r="T348">
        <v>0</v>
      </c>
      <c r="U348">
        <v>0</v>
      </c>
      <c r="V348">
        <v>6</v>
      </c>
      <c r="W348">
        <v>0</v>
      </c>
      <c r="X348" s="21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f t="shared" si="15"/>
        <v>384</v>
      </c>
      <c r="AJ348" t="s">
        <v>51</v>
      </c>
      <c r="AK348" t="s">
        <v>95</v>
      </c>
      <c r="AP348" t="s">
        <v>93</v>
      </c>
    </row>
    <row r="349" spans="1:42">
      <c r="A349" s="1">
        <v>43788</v>
      </c>
      <c r="B349">
        <v>2</v>
      </c>
      <c r="C349">
        <v>537</v>
      </c>
      <c r="D349">
        <v>10223</v>
      </c>
      <c r="E349" t="s">
        <v>37</v>
      </c>
      <c r="F349" t="s">
        <v>104</v>
      </c>
      <c r="G349">
        <v>2</v>
      </c>
      <c r="H349">
        <v>11</v>
      </c>
      <c r="I349" s="25">
        <v>930</v>
      </c>
      <c r="K349" t="s">
        <v>106</v>
      </c>
      <c r="N349" t="s">
        <v>40</v>
      </c>
      <c r="O349">
        <v>70</v>
      </c>
      <c r="Q349">
        <f t="shared" si="14"/>
        <v>1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0</v>
      </c>
      <c r="X349" s="21">
        <v>0</v>
      </c>
      <c r="Y349">
        <v>0</v>
      </c>
      <c r="Z349">
        <v>0</v>
      </c>
      <c r="AA349">
        <v>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f t="shared" si="15"/>
        <v>0</v>
      </c>
      <c r="AJ349" t="s">
        <v>51</v>
      </c>
      <c r="AK349" t="s">
        <v>95</v>
      </c>
      <c r="AP349" t="s">
        <v>93</v>
      </c>
    </row>
    <row r="350" spans="1:42">
      <c r="A350" s="1">
        <v>43788</v>
      </c>
      <c r="B350">
        <v>2</v>
      </c>
      <c r="C350">
        <v>537</v>
      </c>
      <c r="D350">
        <v>10223</v>
      </c>
      <c r="E350" t="s">
        <v>37</v>
      </c>
      <c r="F350" t="s">
        <v>104</v>
      </c>
      <c r="G350">
        <v>2</v>
      </c>
      <c r="H350">
        <v>12</v>
      </c>
      <c r="I350" s="25"/>
      <c r="K350" t="s">
        <v>101</v>
      </c>
      <c r="N350" t="s">
        <v>40</v>
      </c>
      <c r="O350">
        <v>109</v>
      </c>
      <c r="Q350">
        <f t="shared" si="14"/>
        <v>4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4</v>
      </c>
      <c r="X350" s="21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f t="shared" si="15"/>
        <v>384</v>
      </c>
      <c r="AJ350" t="s">
        <v>51</v>
      </c>
      <c r="AK350" t="s">
        <v>52</v>
      </c>
      <c r="AP350" t="s">
        <v>93</v>
      </c>
    </row>
    <row r="351" spans="1:42">
      <c r="A351" s="1">
        <v>43788</v>
      </c>
      <c r="B351">
        <v>2</v>
      </c>
      <c r="C351">
        <v>537</v>
      </c>
      <c r="D351">
        <v>10223</v>
      </c>
      <c r="E351" t="s">
        <v>37</v>
      </c>
      <c r="F351" t="s">
        <v>104</v>
      </c>
      <c r="G351">
        <v>2</v>
      </c>
      <c r="H351">
        <v>13</v>
      </c>
      <c r="I351" s="25">
        <v>145</v>
      </c>
      <c r="K351" t="s">
        <v>109</v>
      </c>
      <c r="N351" t="s">
        <v>40</v>
      </c>
      <c r="O351">
        <v>308</v>
      </c>
      <c r="Q351">
        <f t="shared" si="14"/>
        <v>9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9</v>
      </c>
      <c r="X351" s="2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f t="shared" si="15"/>
        <v>864</v>
      </c>
      <c r="AJ351" t="s">
        <v>51</v>
      </c>
      <c r="AK351" t="s">
        <v>52</v>
      </c>
      <c r="AP351" t="s">
        <v>93</v>
      </c>
    </row>
    <row r="352" spans="1:42">
      <c r="A352" s="1">
        <v>43788</v>
      </c>
      <c r="B352">
        <v>2</v>
      </c>
      <c r="C352">
        <v>537</v>
      </c>
      <c r="D352">
        <v>10223</v>
      </c>
      <c r="E352" t="s">
        <v>37</v>
      </c>
      <c r="F352" t="s">
        <v>104</v>
      </c>
      <c r="G352">
        <v>2</v>
      </c>
      <c r="H352">
        <v>14</v>
      </c>
      <c r="I352" s="25">
        <v>222</v>
      </c>
      <c r="K352" t="s">
        <v>101</v>
      </c>
      <c r="N352" t="s">
        <v>40</v>
      </c>
      <c r="O352">
        <v>108</v>
      </c>
      <c r="Q352">
        <f t="shared" si="14"/>
        <v>1</v>
      </c>
      <c r="R352">
        <v>1</v>
      </c>
      <c r="S352">
        <v>0</v>
      </c>
      <c r="T352">
        <v>0</v>
      </c>
      <c r="U352">
        <v>0</v>
      </c>
      <c r="V352">
        <v>0</v>
      </c>
      <c r="W352">
        <v>0</v>
      </c>
      <c r="X352" s="21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f t="shared" si="15"/>
        <v>0</v>
      </c>
      <c r="AJ352" t="s">
        <v>51</v>
      </c>
      <c r="AK352" t="s">
        <v>52</v>
      </c>
      <c r="AP352" t="s">
        <v>93</v>
      </c>
    </row>
    <row r="353" spans="1:42">
      <c r="A353" s="1">
        <v>43788</v>
      </c>
      <c r="B353">
        <v>2</v>
      </c>
      <c r="C353">
        <v>537</v>
      </c>
      <c r="D353">
        <v>10223</v>
      </c>
      <c r="E353" t="s">
        <v>37</v>
      </c>
      <c r="F353" t="s">
        <v>104</v>
      </c>
      <c r="G353">
        <v>2</v>
      </c>
      <c r="H353">
        <v>15</v>
      </c>
      <c r="I353" s="25">
        <v>333</v>
      </c>
      <c r="K353" t="s">
        <v>109</v>
      </c>
      <c r="N353" t="s">
        <v>40</v>
      </c>
      <c r="O353">
        <v>100</v>
      </c>
      <c r="Q353">
        <f t="shared" si="14"/>
        <v>1</v>
      </c>
      <c r="R353">
        <v>1</v>
      </c>
      <c r="S353">
        <v>0</v>
      </c>
      <c r="T353">
        <v>0</v>
      </c>
      <c r="U353">
        <v>0</v>
      </c>
      <c r="V353">
        <v>0</v>
      </c>
      <c r="W353">
        <v>0</v>
      </c>
      <c r="X353" s="21">
        <v>0</v>
      </c>
      <c r="Y353">
        <v>0</v>
      </c>
      <c r="Z353">
        <v>0</v>
      </c>
      <c r="AA353">
        <v>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f t="shared" si="15"/>
        <v>0</v>
      </c>
      <c r="AJ353" t="s">
        <v>51</v>
      </c>
      <c r="AK353" t="s">
        <v>52</v>
      </c>
      <c r="AP353" t="s">
        <v>93</v>
      </c>
    </row>
    <row r="354" spans="1:42">
      <c r="A354" s="1">
        <v>43788</v>
      </c>
      <c r="B354">
        <v>2</v>
      </c>
      <c r="C354">
        <v>537</v>
      </c>
      <c r="D354">
        <v>10223</v>
      </c>
      <c r="E354" t="s">
        <v>37</v>
      </c>
      <c r="F354" t="s">
        <v>104</v>
      </c>
      <c r="G354">
        <v>2</v>
      </c>
      <c r="H354">
        <v>16</v>
      </c>
      <c r="I354" s="25">
        <v>415</v>
      </c>
      <c r="K354" t="s">
        <v>109</v>
      </c>
      <c r="N354" t="s">
        <v>40</v>
      </c>
      <c r="O354">
        <v>85</v>
      </c>
      <c r="Q354">
        <f t="shared" si="14"/>
        <v>1</v>
      </c>
      <c r="R354">
        <v>1</v>
      </c>
      <c r="S354">
        <v>0</v>
      </c>
      <c r="T354">
        <v>0</v>
      </c>
      <c r="U354">
        <v>0</v>
      </c>
      <c r="V354">
        <v>0</v>
      </c>
      <c r="W354">
        <v>0</v>
      </c>
      <c r="X354" s="21">
        <v>0</v>
      </c>
      <c r="Y354">
        <v>1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f t="shared" si="15"/>
        <v>0</v>
      </c>
      <c r="AJ354" t="s">
        <v>51</v>
      </c>
      <c r="AK354" t="s">
        <v>52</v>
      </c>
      <c r="AP354" t="s">
        <v>93</v>
      </c>
    </row>
    <row r="355" spans="1:42">
      <c r="A355" s="1">
        <v>43788</v>
      </c>
      <c r="B355">
        <v>2</v>
      </c>
      <c r="C355">
        <v>537</v>
      </c>
      <c r="D355">
        <v>10223</v>
      </c>
      <c r="E355" t="s">
        <v>37</v>
      </c>
      <c r="F355" t="s">
        <v>104</v>
      </c>
      <c r="G355">
        <v>2</v>
      </c>
      <c r="H355">
        <v>17</v>
      </c>
      <c r="I355" s="25">
        <v>555</v>
      </c>
      <c r="K355" t="s">
        <v>110</v>
      </c>
      <c r="N355" t="s">
        <v>40</v>
      </c>
      <c r="O355">
        <v>72</v>
      </c>
      <c r="Q355">
        <f t="shared" si="14"/>
        <v>2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2</v>
      </c>
      <c r="X355" s="21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f t="shared" si="15"/>
        <v>192</v>
      </c>
      <c r="AJ355" t="s">
        <v>51</v>
      </c>
      <c r="AK355" t="s">
        <v>52</v>
      </c>
      <c r="AP355" t="s">
        <v>93</v>
      </c>
    </row>
    <row r="356" spans="1:42">
      <c r="A356" s="1">
        <v>43788</v>
      </c>
      <c r="B356">
        <v>2</v>
      </c>
      <c r="C356">
        <v>537</v>
      </c>
      <c r="D356">
        <v>10223</v>
      </c>
      <c r="E356" t="s">
        <v>37</v>
      </c>
      <c r="F356" t="s">
        <v>104</v>
      </c>
      <c r="G356">
        <v>2</v>
      </c>
      <c r="H356">
        <v>18</v>
      </c>
      <c r="I356" s="25" t="s">
        <v>111</v>
      </c>
      <c r="K356" t="s">
        <v>110</v>
      </c>
      <c r="N356" t="s">
        <v>40</v>
      </c>
      <c r="O356">
        <v>238</v>
      </c>
      <c r="Q356">
        <f t="shared" si="14"/>
        <v>7</v>
      </c>
      <c r="R356">
        <v>1</v>
      </c>
      <c r="S356">
        <v>0</v>
      </c>
      <c r="T356">
        <v>0</v>
      </c>
      <c r="U356">
        <v>0</v>
      </c>
      <c r="V356">
        <v>0</v>
      </c>
      <c r="W356">
        <v>7</v>
      </c>
      <c r="X356" s="21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f t="shared" si="15"/>
        <v>672</v>
      </c>
      <c r="AJ356" t="s">
        <v>51</v>
      </c>
      <c r="AK356" t="s">
        <v>52</v>
      </c>
      <c r="AP356" t="s">
        <v>93</v>
      </c>
    </row>
    <row r="357" spans="1:42">
      <c r="A357" s="1">
        <v>43788</v>
      </c>
      <c r="B357">
        <v>2</v>
      </c>
      <c r="C357">
        <v>537</v>
      </c>
      <c r="D357">
        <v>10223</v>
      </c>
      <c r="E357" t="s">
        <v>37</v>
      </c>
      <c r="F357" t="s">
        <v>104</v>
      </c>
      <c r="G357">
        <v>2</v>
      </c>
      <c r="H357">
        <v>19</v>
      </c>
      <c r="I357" s="25">
        <v>401</v>
      </c>
      <c r="K357" t="s">
        <v>109</v>
      </c>
      <c r="N357" t="s">
        <v>40</v>
      </c>
      <c r="O357">
        <v>107</v>
      </c>
      <c r="Q357">
        <f t="shared" si="14"/>
        <v>5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5</v>
      </c>
      <c r="X357" s="21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f t="shared" si="15"/>
        <v>480</v>
      </c>
      <c r="AJ357" t="s">
        <v>51</v>
      </c>
      <c r="AK357" t="s">
        <v>52</v>
      </c>
      <c r="AP357" t="s">
        <v>93</v>
      </c>
    </row>
    <row r="358" spans="1:42">
      <c r="A358" s="1">
        <v>43788</v>
      </c>
      <c r="B358">
        <v>2</v>
      </c>
      <c r="C358">
        <v>537</v>
      </c>
      <c r="D358">
        <v>10223</v>
      </c>
      <c r="E358" t="s">
        <v>37</v>
      </c>
      <c r="F358" t="s">
        <v>104</v>
      </c>
      <c r="G358">
        <v>2</v>
      </c>
      <c r="H358">
        <v>20</v>
      </c>
      <c r="I358" s="25">
        <v>420</v>
      </c>
      <c r="K358" t="s">
        <v>109</v>
      </c>
      <c r="N358" t="s">
        <v>40</v>
      </c>
      <c r="O358">
        <v>105</v>
      </c>
      <c r="Q358">
        <f t="shared" si="14"/>
        <v>4</v>
      </c>
      <c r="R358">
        <v>1</v>
      </c>
      <c r="S358">
        <v>0</v>
      </c>
      <c r="T358">
        <v>0</v>
      </c>
      <c r="U358">
        <v>0</v>
      </c>
      <c r="V358">
        <v>0</v>
      </c>
      <c r="W358">
        <v>4</v>
      </c>
      <c r="X358" s="21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f t="shared" si="15"/>
        <v>384</v>
      </c>
      <c r="AJ358" t="s">
        <v>51</v>
      </c>
      <c r="AK358" t="s">
        <v>52</v>
      </c>
      <c r="AP358" t="s">
        <v>93</v>
      </c>
    </row>
    <row r="359" spans="1:42">
      <c r="A359" s="1">
        <v>43788</v>
      </c>
      <c r="B359">
        <v>2</v>
      </c>
      <c r="C359">
        <v>537</v>
      </c>
      <c r="D359">
        <v>10223</v>
      </c>
      <c r="E359" t="s">
        <v>37</v>
      </c>
      <c r="F359" t="s">
        <v>104</v>
      </c>
      <c r="G359">
        <v>2</v>
      </c>
      <c r="H359">
        <v>21</v>
      </c>
      <c r="I359" s="25">
        <v>237</v>
      </c>
      <c r="K359" t="s">
        <v>100</v>
      </c>
      <c r="N359" t="s">
        <v>40</v>
      </c>
      <c r="O359">
        <v>64</v>
      </c>
      <c r="Q359">
        <f t="shared" si="14"/>
        <v>1</v>
      </c>
      <c r="R359">
        <v>1</v>
      </c>
      <c r="S359">
        <v>0</v>
      </c>
      <c r="T359">
        <v>0</v>
      </c>
      <c r="U359">
        <v>1</v>
      </c>
      <c r="V359">
        <v>0</v>
      </c>
      <c r="W359">
        <v>0</v>
      </c>
      <c r="X359" s="21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f t="shared" si="15"/>
        <v>32</v>
      </c>
      <c r="AJ359" t="s">
        <v>51</v>
      </c>
      <c r="AK359" t="s">
        <v>52</v>
      </c>
      <c r="AP359" t="s">
        <v>93</v>
      </c>
    </row>
    <row r="360" spans="1:42">
      <c r="A360" s="11">
        <v>43851</v>
      </c>
      <c r="B360">
        <v>2</v>
      </c>
      <c r="C360">
        <v>212</v>
      </c>
      <c r="D360">
        <v>14473</v>
      </c>
      <c r="E360" t="s">
        <v>112</v>
      </c>
      <c r="F360" t="s">
        <v>104</v>
      </c>
      <c r="G360">
        <v>2</v>
      </c>
      <c r="H360">
        <v>1</v>
      </c>
      <c r="I360" s="25">
        <v>2800</v>
      </c>
      <c r="K360" t="s">
        <v>113</v>
      </c>
      <c r="L360" t="s">
        <v>114</v>
      </c>
      <c r="M360" t="s">
        <v>52</v>
      </c>
      <c r="N360" t="s">
        <v>44</v>
      </c>
      <c r="O360">
        <v>119</v>
      </c>
      <c r="Q360">
        <f t="shared" ref="Q360:Q411" si="16">S360+T360+U360+V360+W360+Y360+Z360+AA360+AB360+AC360+AD360+AE360+AF360</f>
        <v>1</v>
      </c>
      <c r="R360">
        <v>1</v>
      </c>
      <c r="S360">
        <v>0</v>
      </c>
      <c r="T360">
        <v>0</v>
      </c>
      <c r="U360">
        <v>0</v>
      </c>
      <c r="V360">
        <v>0</v>
      </c>
      <c r="W360">
        <v>1</v>
      </c>
      <c r="X360" s="21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f t="shared" ref="AH360:AH378" si="17">(S360*16+(T360*32)+(U360*32)+(V360*64)+(W360*96))</f>
        <v>96</v>
      </c>
      <c r="AJ360" t="s">
        <v>54</v>
      </c>
      <c r="AK360" t="s">
        <v>95</v>
      </c>
      <c r="AL360" t="s">
        <v>115</v>
      </c>
      <c r="AP360" t="s">
        <v>116</v>
      </c>
    </row>
    <row r="361" spans="1:42">
      <c r="A361" s="12">
        <v>43851</v>
      </c>
      <c r="B361">
        <v>2</v>
      </c>
      <c r="C361">
        <v>212</v>
      </c>
      <c r="D361">
        <v>14473</v>
      </c>
      <c r="E361" t="s">
        <v>112</v>
      </c>
      <c r="F361" t="s">
        <v>104</v>
      </c>
      <c r="G361">
        <v>2</v>
      </c>
      <c r="H361">
        <v>2</v>
      </c>
      <c r="I361" s="25">
        <v>2848</v>
      </c>
      <c r="K361" t="s">
        <v>113</v>
      </c>
      <c r="L361" t="s">
        <v>114</v>
      </c>
      <c r="M361" t="s">
        <v>52</v>
      </c>
      <c r="N361" t="s">
        <v>40</v>
      </c>
      <c r="O361">
        <v>42</v>
      </c>
      <c r="Q361">
        <f t="shared" si="16"/>
        <v>2</v>
      </c>
      <c r="R361">
        <v>1</v>
      </c>
      <c r="S361">
        <v>0</v>
      </c>
      <c r="T361">
        <v>0</v>
      </c>
      <c r="U361">
        <v>0</v>
      </c>
      <c r="V361">
        <v>2</v>
      </c>
      <c r="W361">
        <v>0</v>
      </c>
      <c r="X361" s="2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f t="shared" si="17"/>
        <v>128</v>
      </c>
      <c r="AJ361" t="s">
        <v>54</v>
      </c>
      <c r="AK361" t="s">
        <v>52</v>
      </c>
      <c r="AP361" t="s">
        <v>116</v>
      </c>
    </row>
    <row r="362" spans="1:42">
      <c r="A362" s="12">
        <v>43851</v>
      </c>
      <c r="B362">
        <v>2</v>
      </c>
      <c r="C362">
        <v>212</v>
      </c>
      <c r="D362">
        <v>14473</v>
      </c>
      <c r="E362" t="s">
        <v>112</v>
      </c>
      <c r="F362" t="s">
        <v>104</v>
      </c>
      <c r="G362">
        <v>2</v>
      </c>
      <c r="H362">
        <v>3</v>
      </c>
      <c r="I362" s="25">
        <v>2850</v>
      </c>
      <c r="K362" t="s">
        <v>113</v>
      </c>
      <c r="L362" t="s">
        <v>114</v>
      </c>
      <c r="M362" t="s">
        <v>52</v>
      </c>
      <c r="N362" t="s">
        <v>40</v>
      </c>
      <c r="O362">
        <v>99</v>
      </c>
      <c r="Q362">
        <f t="shared" si="16"/>
        <v>2</v>
      </c>
      <c r="R362">
        <v>1</v>
      </c>
      <c r="S362">
        <v>1</v>
      </c>
      <c r="T362">
        <v>0</v>
      </c>
      <c r="U362">
        <v>1</v>
      </c>
      <c r="V362">
        <v>0</v>
      </c>
      <c r="W362">
        <v>0</v>
      </c>
      <c r="X362" s="21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f t="shared" si="17"/>
        <v>48</v>
      </c>
      <c r="AJ362" t="s">
        <v>54</v>
      </c>
      <c r="AK362" t="s">
        <v>52</v>
      </c>
      <c r="AL362" t="s">
        <v>117</v>
      </c>
      <c r="AP362" t="s">
        <v>116</v>
      </c>
    </row>
    <row r="363" spans="1:42">
      <c r="A363" s="12">
        <v>43851</v>
      </c>
      <c r="B363">
        <v>2</v>
      </c>
      <c r="C363">
        <v>212</v>
      </c>
      <c r="D363">
        <v>14473</v>
      </c>
      <c r="E363" t="s">
        <v>112</v>
      </c>
      <c r="F363" t="s">
        <v>104</v>
      </c>
      <c r="G363">
        <v>2</v>
      </c>
      <c r="H363">
        <v>4</v>
      </c>
      <c r="I363" s="25" t="s">
        <v>118</v>
      </c>
      <c r="K363" t="s">
        <v>113</v>
      </c>
      <c r="L363" t="s">
        <v>114</v>
      </c>
      <c r="M363" t="s">
        <v>52</v>
      </c>
      <c r="N363" t="s">
        <v>40</v>
      </c>
      <c r="O363">
        <v>43</v>
      </c>
      <c r="Q363">
        <f t="shared" si="16"/>
        <v>2</v>
      </c>
      <c r="R363">
        <v>1</v>
      </c>
      <c r="S363">
        <v>0</v>
      </c>
      <c r="T363">
        <v>0</v>
      </c>
      <c r="U363">
        <v>2</v>
      </c>
      <c r="V363">
        <v>0</v>
      </c>
      <c r="W363">
        <v>0</v>
      </c>
      <c r="X363" s="21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f t="shared" si="17"/>
        <v>64</v>
      </c>
      <c r="AJ363" t="s">
        <v>54</v>
      </c>
      <c r="AK363" t="s">
        <v>52</v>
      </c>
      <c r="AP363" t="s">
        <v>116</v>
      </c>
    </row>
    <row r="364" spans="1:42">
      <c r="A364" s="12">
        <v>43851</v>
      </c>
      <c r="B364">
        <v>2</v>
      </c>
      <c r="C364">
        <v>212</v>
      </c>
      <c r="D364">
        <v>14473</v>
      </c>
      <c r="E364" t="s">
        <v>112</v>
      </c>
      <c r="F364" t="s">
        <v>104</v>
      </c>
      <c r="G364">
        <v>2</v>
      </c>
      <c r="H364">
        <v>5</v>
      </c>
      <c r="I364" s="25">
        <v>2858</v>
      </c>
      <c r="K364" t="s">
        <v>113</v>
      </c>
      <c r="L364" t="s">
        <v>114</v>
      </c>
      <c r="M364" t="s">
        <v>52</v>
      </c>
      <c r="N364" t="s">
        <v>40</v>
      </c>
      <c r="O364">
        <v>48</v>
      </c>
      <c r="Q364">
        <f t="shared" si="16"/>
        <v>2</v>
      </c>
      <c r="R364">
        <v>1</v>
      </c>
      <c r="S364">
        <v>1</v>
      </c>
      <c r="T364">
        <v>0</v>
      </c>
      <c r="U364">
        <v>1</v>
      </c>
      <c r="V364">
        <v>0</v>
      </c>
      <c r="W364">
        <v>0</v>
      </c>
      <c r="X364" s="21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f t="shared" si="17"/>
        <v>48</v>
      </c>
      <c r="AJ364" t="s">
        <v>54</v>
      </c>
      <c r="AK364" t="s">
        <v>52</v>
      </c>
      <c r="AP364" t="s">
        <v>116</v>
      </c>
    </row>
    <row r="365" spans="1:42">
      <c r="A365" s="12">
        <v>43851</v>
      </c>
      <c r="B365">
        <v>2</v>
      </c>
      <c r="C365">
        <v>212</v>
      </c>
      <c r="D365">
        <v>14473</v>
      </c>
      <c r="E365" t="s">
        <v>112</v>
      </c>
      <c r="F365" t="s">
        <v>104</v>
      </c>
      <c r="G365">
        <v>2</v>
      </c>
      <c r="H365">
        <v>6</v>
      </c>
      <c r="I365" s="25">
        <v>2298</v>
      </c>
      <c r="K365" t="s">
        <v>119</v>
      </c>
      <c r="L365" t="s">
        <v>114</v>
      </c>
      <c r="M365" t="s">
        <v>52</v>
      </c>
      <c r="N365" t="s">
        <v>44</v>
      </c>
      <c r="O365">
        <v>205</v>
      </c>
      <c r="Q365">
        <f t="shared" si="16"/>
        <v>3</v>
      </c>
      <c r="R365">
        <v>1</v>
      </c>
      <c r="S365">
        <v>0</v>
      </c>
      <c r="T365">
        <v>0</v>
      </c>
      <c r="U365">
        <v>0</v>
      </c>
      <c r="V365">
        <v>1</v>
      </c>
      <c r="W365">
        <v>2</v>
      </c>
      <c r="X365" s="21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f t="shared" si="17"/>
        <v>256</v>
      </c>
      <c r="AJ365" t="s">
        <v>54</v>
      </c>
      <c r="AK365" t="s">
        <v>52</v>
      </c>
      <c r="AL365" t="s">
        <v>120</v>
      </c>
      <c r="AP365" t="s">
        <v>116</v>
      </c>
    </row>
    <row r="366" spans="1:42">
      <c r="A366" s="12">
        <v>43851</v>
      </c>
      <c r="B366">
        <v>2</v>
      </c>
      <c r="C366">
        <v>212</v>
      </c>
      <c r="D366">
        <v>14473</v>
      </c>
      <c r="E366" t="s">
        <v>112</v>
      </c>
      <c r="F366" t="s">
        <v>104</v>
      </c>
      <c r="G366">
        <v>2</v>
      </c>
      <c r="H366">
        <v>7</v>
      </c>
      <c r="I366" s="25">
        <v>2912</v>
      </c>
      <c r="K366" t="s">
        <v>113</v>
      </c>
      <c r="L366" t="s">
        <v>114</v>
      </c>
      <c r="M366" t="s">
        <v>52</v>
      </c>
      <c r="N366" t="s">
        <v>44</v>
      </c>
      <c r="O366">
        <v>100</v>
      </c>
      <c r="Q366">
        <f t="shared" si="16"/>
        <v>1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1</v>
      </c>
      <c r="X366" s="21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f t="shared" si="17"/>
        <v>96</v>
      </c>
      <c r="AJ366" t="s">
        <v>54</v>
      </c>
      <c r="AK366" t="s">
        <v>52</v>
      </c>
      <c r="AL366" t="s">
        <v>121</v>
      </c>
      <c r="AP366" t="s">
        <v>116</v>
      </c>
    </row>
    <row r="367" spans="1:42">
      <c r="A367" s="12">
        <v>43851</v>
      </c>
      <c r="B367">
        <v>2</v>
      </c>
      <c r="C367">
        <v>212</v>
      </c>
      <c r="D367">
        <v>14473</v>
      </c>
      <c r="E367" t="s">
        <v>112</v>
      </c>
      <c r="F367" t="s">
        <v>104</v>
      </c>
      <c r="G367">
        <v>2</v>
      </c>
      <c r="H367">
        <v>8</v>
      </c>
      <c r="I367" s="25">
        <v>2924</v>
      </c>
      <c r="K367" t="s">
        <v>113</v>
      </c>
      <c r="L367" t="s">
        <v>114</v>
      </c>
      <c r="M367" t="s">
        <v>52</v>
      </c>
      <c r="N367" t="s">
        <v>40</v>
      </c>
      <c r="O367">
        <v>31</v>
      </c>
      <c r="Q367">
        <f t="shared" si="16"/>
        <v>2</v>
      </c>
      <c r="R367">
        <v>1</v>
      </c>
      <c r="S367">
        <v>1</v>
      </c>
      <c r="T367">
        <v>0</v>
      </c>
      <c r="U367">
        <v>1</v>
      </c>
      <c r="V367">
        <v>0</v>
      </c>
      <c r="W367">
        <v>0</v>
      </c>
      <c r="X367" s="21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f t="shared" si="17"/>
        <v>48</v>
      </c>
      <c r="AJ367" t="s">
        <v>54</v>
      </c>
      <c r="AK367" t="s">
        <v>52</v>
      </c>
      <c r="AP367" t="s">
        <v>116</v>
      </c>
    </row>
    <row r="368" spans="1:42">
      <c r="A368" s="12">
        <v>43851</v>
      </c>
      <c r="B368">
        <v>2</v>
      </c>
      <c r="C368">
        <v>212</v>
      </c>
      <c r="D368">
        <v>14473</v>
      </c>
      <c r="E368" t="s">
        <v>112</v>
      </c>
      <c r="F368" t="s">
        <v>104</v>
      </c>
      <c r="G368">
        <v>2</v>
      </c>
      <c r="H368">
        <v>9</v>
      </c>
      <c r="I368" s="25">
        <v>2928</v>
      </c>
      <c r="K368" t="s">
        <v>113</v>
      </c>
      <c r="L368" t="s">
        <v>114</v>
      </c>
      <c r="M368" t="s">
        <v>52</v>
      </c>
      <c r="N368" t="s">
        <v>40</v>
      </c>
      <c r="O368">
        <v>47</v>
      </c>
      <c r="Q368">
        <f t="shared" si="16"/>
        <v>1</v>
      </c>
      <c r="R368">
        <v>1</v>
      </c>
      <c r="S368">
        <v>0</v>
      </c>
      <c r="T368">
        <v>0</v>
      </c>
      <c r="U368">
        <v>0</v>
      </c>
      <c r="V368">
        <v>1</v>
      </c>
      <c r="W368">
        <v>0</v>
      </c>
      <c r="X368" s="21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f t="shared" si="17"/>
        <v>64</v>
      </c>
      <c r="AJ368" t="s">
        <v>54</v>
      </c>
      <c r="AK368" t="s">
        <v>52</v>
      </c>
      <c r="AP368" t="s">
        <v>116</v>
      </c>
    </row>
    <row r="369" spans="1:42">
      <c r="A369" s="12">
        <v>43851</v>
      </c>
      <c r="B369">
        <v>2</v>
      </c>
      <c r="C369">
        <v>212</v>
      </c>
      <c r="D369">
        <v>14473</v>
      </c>
      <c r="E369" t="s">
        <v>112</v>
      </c>
      <c r="F369" t="s">
        <v>104</v>
      </c>
      <c r="G369">
        <v>2</v>
      </c>
      <c r="H369">
        <v>10</v>
      </c>
      <c r="I369" s="25">
        <v>2944</v>
      </c>
      <c r="K369" t="s">
        <v>113</v>
      </c>
      <c r="L369" t="s">
        <v>114</v>
      </c>
      <c r="M369" t="s">
        <v>52</v>
      </c>
      <c r="N369" t="s">
        <v>44</v>
      </c>
      <c r="O369">
        <v>118</v>
      </c>
      <c r="Q369">
        <f t="shared" si="16"/>
        <v>1</v>
      </c>
      <c r="R369">
        <v>1</v>
      </c>
      <c r="S369">
        <v>0</v>
      </c>
      <c r="T369">
        <v>0</v>
      </c>
      <c r="U369">
        <v>0</v>
      </c>
      <c r="V369">
        <v>1</v>
      </c>
      <c r="W369">
        <v>0</v>
      </c>
      <c r="X369" s="21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f t="shared" si="17"/>
        <v>64</v>
      </c>
      <c r="AJ369" t="s">
        <v>54</v>
      </c>
      <c r="AK369" t="s">
        <v>52</v>
      </c>
      <c r="AL369" t="s">
        <v>122</v>
      </c>
      <c r="AP369" t="s">
        <v>116</v>
      </c>
    </row>
    <row r="370" spans="1:42">
      <c r="A370" s="12">
        <v>43851</v>
      </c>
      <c r="B370">
        <v>2</v>
      </c>
      <c r="C370">
        <v>212</v>
      </c>
      <c r="D370">
        <v>14473</v>
      </c>
      <c r="E370" t="s">
        <v>112</v>
      </c>
      <c r="F370" t="s">
        <v>104</v>
      </c>
      <c r="G370">
        <v>2</v>
      </c>
      <c r="H370">
        <v>11</v>
      </c>
      <c r="I370" s="25" t="s">
        <v>123</v>
      </c>
      <c r="K370" t="s">
        <v>113</v>
      </c>
      <c r="L370" t="s">
        <v>114</v>
      </c>
      <c r="M370" t="s">
        <v>52</v>
      </c>
      <c r="N370" t="s">
        <v>40</v>
      </c>
      <c r="O370">
        <v>65</v>
      </c>
      <c r="Q370">
        <f t="shared" si="16"/>
        <v>3</v>
      </c>
      <c r="R370">
        <v>1</v>
      </c>
      <c r="S370">
        <v>1</v>
      </c>
      <c r="T370">
        <v>1</v>
      </c>
      <c r="U370">
        <v>1</v>
      </c>
      <c r="V370">
        <v>0</v>
      </c>
      <c r="W370">
        <v>0</v>
      </c>
      <c r="X370" s="21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f t="shared" si="17"/>
        <v>80</v>
      </c>
      <c r="AJ370" t="s">
        <v>54</v>
      </c>
      <c r="AK370" t="s">
        <v>52</v>
      </c>
      <c r="AP370" t="s">
        <v>116</v>
      </c>
    </row>
    <row r="371" spans="1:42">
      <c r="A371" s="12">
        <v>43851</v>
      </c>
      <c r="B371">
        <v>2</v>
      </c>
      <c r="C371">
        <v>212</v>
      </c>
      <c r="D371">
        <v>14473</v>
      </c>
      <c r="E371" t="s">
        <v>112</v>
      </c>
      <c r="F371" t="s">
        <v>104</v>
      </c>
      <c r="G371">
        <v>2</v>
      </c>
      <c r="H371">
        <v>12</v>
      </c>
      <c r="I371" s="25">
        <v>2960</v>
      </c>
      <c r="K371" t="s">
        <v>113</v>
      </c>
      <c r="L371" t="s">
        <v>114</v>
      </c>
      <c r="M371" t="s">
        <v>52</v>
      </c>
      <c r="N371" t="s">
        <v>40</v>
      </c>
      <c r="O371">
        <v>72</v>
      </c>
      <c r="Q371">
        <f t="shared" si="16"/>
        <v>3</v>
      </c>
      <c r="R371">
        <v>1</v>
      </c>
      <c r="S371">
        <v>0</v>
      </c>
      <c r="T371">
        <v>0</v>
      </c>
      <c r="U371">
        <v>2</v>
      </c>
      <c r="V371">
        <v>0</v>
      </c>
      <c r="W371">
        <v>1</v>
      </c>
      <c r="X371" s="2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f t="shared" si="17"/>
        <v>160</v>
      </c>
      <c r="AJ371" t="s">
        <v>54</v>
      </c>
      <c r="AK371" t="s">
        <v>52</v>
      </c>
      <c r="AP371" t="s">
        <v>116</v>
      </c>
    </row>
    <row r="372" spans="1:42">
      <c r="A372" s="12">
        <v>43851</v>
      </c>
      <c r="B372">
        <v>2</v>
      </c>
      <c r="C372">
        <v>212</v>
      </c>
      <c r="D372">
        <v>14473</v>
      </c>
      <c r="E372" t="s">
        <v>112</v>
      </c>
      <c r="F372" t="s">
        <v>104</v>
      </c>
      <c r="G372">
        <v>2</v>
      </c>
      <c r="H372">
        <v>13</v>
      </c>
      <c r="I372" s="25"/>
      <c r="K372" t="s">
        <v>124</v>
      </c>
      <c r="L372" t="s">
        <v>114</v>
      </c>
      <c r="M372" t="s">
        <v>52</v>
      </c>
      <c r="N372" t="s">
        <v>40</v>
      </c>
      <c r="O372">
        <v>34</v>
      </c>
      <c r="Q372">
        <f t="shared" si="16"/>
        <v>2</v>
      </c>
      <c r="R372">
        <v>1</v>
      </c>
      <c r="S372">
        <v>0</v>
      </c>
      <c r="T372">
        <v>0</v>
      </c>
      <c r="U372">
        <v>2</v>
      </c>
      <c r="V372">
        <v>0</v>
      </c>
      <c r="W372">
        <v>0</v>
      </c>
      <c r="X372" s="21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f t="shared" si="17"/>
        <v>64</v>
      </c>
      <c r="AJ372" t="s">
        <v>51</v>
      </c>
      <c r="AK372" t="s">
        <v>52</v>
      </c>
      <c r="AL372" t="s">
        <v>125</v>
      </c>
      <c r="AP372" t="s">
        <v>116</v>
      </c>
    </row>
    <row r="373" spans="1:42">
      <c r="A373" s="12">
        <v>43851</v>
      </c>
      <c r="B373">
        <v>2</v>
      </c>
      <c r="C373">
        <v>212</v>
      </c>
      <c r="D373">
        <v>14473</v>
      </c>
      <c r="E373" t="s">
        <v>112</v>
      </c>
      <c r="F373" t="s">
        <v>104</v>
      </c>
      <c r="G373">
        <v>2</v>
      </c>
      <c r="H373">
        <v>14</v>
      </c>
      <c r="I373" s="25" t="s">
        <v>126</v>
      </c>
      <c r="K373" t="s">
        <v>127</v>
      </c>
      <c r="L373" t="s">
        <v>114</v>
      </c>
      <c r="M373" t="s">
        <v>52</v>
      </c>
      <c r="N373" t="s">
        <v>40</v>
      </c>
      <c r="O373">
        <v>126</v>
      </c>
      <c r="Q373">
        <f t="shared" si="16"/>
        <v>5</v>
      </c>
      <c r="R373">
        <v>1</v>
      </c>
      <c r="S373">
        <v>1</v>
      </c>
      <c r="T373">
        <v>0</v>
      </c>
      <c r="U373">
        <v>1</v>
      </c>
      <c r="V373">
        <v>3</v>
      </c>
      <c r="W373">
        <v>0</v>
      </c>
      <c r="X373" s="21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f t="shared" si="17"/>
        <v>240</v>
      </c>
      <c r="AJ373" t="s">
        <v>51</v>
      </c>
      <c r="AK373" t="s">
        <v>52</v>
      </c>
      <c r="AP373" t="s">
        <v>116</v>
      </c>
    </row>
    <row r="374" spans="1:42">
      <c r="A374" s="12">
        <v>43851</v>
      </c>
      <c r="B374">
        <v>2</v>
      </c>
      <c r="C374">
        <v>212</v>
      </c>
      <c r="D374">
        <v>14473</v>
      </c>
      <c r="E374" t="s">
        <v>112</v>
      </c>
      <c r="F374" t="s">
        <v>104</v>
      </c>
      <c r="G374">
        <v>2</v>
      </c>
      <c r="H374">
        <v>15</v>
      </c>
      <c r="I374" s="25" t="s">
        <v>128</v>
      </c>
      <c r="K374" t="s">
        <v>113</v>
      </c>
      <c r="L374" t="s">
        <v>114</v>
      </c>
      <c r="M374" t="s">
        <v>52</v>
      </c>
      <c r="N374" t="s">
        <v>44</v>
      </c>
      <c r="O374">
        <v>65</v>
      </c>
      <c r="Q374">
        <f t="shared" si="16"/>
        <v>1</v>
      </c>
      <c r="R374">
        <v>1</v>
      </c>
      <c r="S374">
        <v>0</v>
      </c>
      <c r="T374">
        <v>0</v>
      </c>
      <c r="U374">
        <v>0</v>
      </c>
      <c r="V374">
        <v>1</v>
      </c>
      <c r="W374">
        <v>0</v>
      </c>
      <c r="X374" s="21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f t="shared" si="17"/>
        <v>64</v>
      </c>
      <c r="AJ374" t="s">
        <v>51</v>
      </c>
      <c r="AK374" t="s">
        <v>52</v>
      </c>
      <c r="AL374" t="s">
        <v>129</v>
      </c>
      <c r="AP374" t="s">
        <v>116</v>
      </c>
    </row>
    <row r="375" spans="1:42">
      <c r="A375" s="12">
        <v>43851</v>
      </c>
      <c r="B375">
        <v>2</v>
      </c>
      <c r="C375">
        <v>212</v>
      </c>
      <c r="D375">
        <v>14473</v>
      </c>
      <c r="E375" t="s">
        <v>112</v>
      </c>
      <c r="F375" t="s">
        <v>104</v>
      </c>
      <c r="G375">
        <v>2</v>
      </c>
      <c r="H375">
        <v>16</v>
      </c>
      <c r="I375" s="25" t="s">
        <v>130</v>
      </c>
      <c r="K375" t="s">
        <v>113</v>
      </c>
      <c r="L375" t="s">
        <v>114</v>
      </c>
      <c r="M375" t="s">
        <v>52</v>
      </c>
      <c r="N375" t="s">
        <v>40</v>
      </c>
      <c r="O375">
        <v>46</v>
      </c>
      <c r="Q375">
        <f t="shared" si="16"/>
        <v>2</v>
      </c>
      <c r="R375">
        <v>1</v>
      </c>
      <c r="S375">
        <v>0</v>
      </c>
      <c r="T375">
        <v>0</v>
      </c>
      <c r="U375">
        <v>1</v>
      </c>
      <c r="V375">
        <v>1</v>
      </c>
      <c r="W375">
        <v>0</v>
      </c>
      <c r="X375" s="21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f t="shared" si="17"/>
        <v>96</v>
      </c>
      <c r="AJ375" t="s">
        <v>51</v>
      </c>
      <c r="AK375" t="s">
        <v>52</v>
      </c>
      <c r="AP375" t="s">
        <v>116</v>
      </c>
    </row>
    <row r="376" spans="1:42">
      <c r="A376" s="12">
        <v>43851</v>
      </c>
      <c r="B376">
        <v>2</v>
      </c>
      <c r="C376">
        <v>212</v>
      </c>
      <c r="D376">
        <v>14473</v>
      </c>
      <c r="E376" t="s">
        <v>112</v>
      </c>
      <c r="F376" t="s">
        <v>104</v>
      </c>
      <c r="G376">
        <v>2</v>
      </c>
      <c r="H376">
        <v>17</v>
      </c>
      <c r="I376" s="25" t="s">
        <v>131</v>
      </c>
      <c r="K376" t="s">
        <v>113</v>
      </c>
      <c r="L376" t="s">
        <v>114</v>
      </c>
      <c r="M376" t="s">
        <v>52</v>
      </c>
      <c r="N376" t="s">
        <v>40</v>
      </c>
      <c r="O376">
        <v>86</v>
      </c>
      <c r="Q376">
        <f t="shared" si="16"/>
        <v>4</v>
      </c>
      <c r="R376">
        <v>1</v>
      </c>
      <c r="S376">
        <v>0</v>
      </c>
      <c r="T376">
        <v>1</v>
      </c>
      <c r="U376">
        <v>3</v>
      </c>
      <c r="V376">
        <v>0</v>
      </c>
      <c r="W376">
        <v>0</v>
      </c>
      <c r="X376" s="21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f t="shared" si="17"/>
        <v>128</v>
      </c>
      <c r="AJ376" t="s">
        <v>51</v>
      </c>
      <c r="AK376" t="s">
        <v>52</v>
      </c>
      <c r="AP376" t="s">
        <v>116</v>
      </c>
    </row>
    <row r="377" spans="1:42">
      <c r="A377" s="12">
        <v>43851</v>
      </c>
      <c r="B377">
        <v>2</v>
      </c>
      <c r="C377">
        <v>212</v>
      </c>
      <c r="D377">
        <v>14473</v>
      </c>
      <c r="E377" t="s">
        <v>112</v>
      </c>
      <c r="F377" t="s">
        <v>104</v>
      </c>
      <c r="G377">
        <v>2</v>
      </c>
      <c r="H377">
        <v>18</v>
      </c>
      <c r="I377" s="25">
        <v>3040</v>
      </c>
      <c r="K377" t="s">
        <v>113</v>
      </c>
      <c r="L377" t="s">
        <v>114</v>
      </c>
      <c r="M377" t="s">
        <v>52</v>
      </c>
      <c r="N377" t="s">
        <v>40</v>
      </c>
      <c r="O377">
        <v>51</v>
      </c>
      <c r="Q377">
        <f t="shared" si="16"/>
        <v>2</v>
      </c>
      <c r="R377">
        <v>1</v>
      </c>
      <c r="S377">
        <v>0</v>
      </c>
      <c r="T377">
        <v>0</v>
      </c>
      <c r="U377">
        <v>1</v>
      </c>
      <c r="V377">
        <v>1</v>
      </c>
      <c r="W377">
        <v>0</v>
      </c>
      <c r="X377" s="21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f t="shared" si="17"/>
        <v>96</v>
      </c>
      <c r="AJ377" t="s">
        <v>51</v>
      </c>
      <c r="AK377" t="s">
        <v>52</v>
      </c>
      <c r="AP377" t="s">
        <v>116</v>
      </c>
    </row>
    <row r="378" spans="1:42">
      <c r="A378" s="12">
        <v>43851</v>
      </c>
      <c r="B378">
        <v>2</v>
      </c>
      <c r="C378">
        <v>212</v>
      </c>
      <c r="D378">
        <v>14473</v>
      </c>
      <c r="E378" t="s">
        <v>112</v>
      </c>
      <c r="F378" t="s">
        <v>104</v>
      </c>
      <c r="G378">
        <v>2</v>
      </c>
      <c r="H378">
        <v>19</v>
      </c>
      <c r="I378" s="25" t="s">
        <v>132</v>
      </c>
      <c r="K378" t="s">
        <v>113</v>
      </c>
      <c r="L378" t="s">
        <v>114</v>
      </c>
      <c r="M378" t="s">
        <v>52</v>
      </c>
      <c r="N378" t="s">
        <v>44</v>
      </c>
      <c r="O378">
        <v>210</v>
      </c>
      <c r="Q378">
        <f t="shared" si="16"/>
        <v>2</v>
      </c>
      <c r="R378">
        <v>1</v>
      </c>
      <c r="S378">
        <v>0</v>
      </c>
      <c r="T378">
        <v>0</v>
      </c>
      <c r="U378">
        <v>2</v>
      </c>
      <c r="V378">
        <v>0</v>
      </c>
      <c r="W378">
        <v>0</v>
      </c>
      <c r="X378" s="21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f t="shared" si="17"/>
        <v>64</v>
      </c>
      <c r="AJ378" t="s">
        <v>51</v>
      </c>
      <c r="AK378" t="s">
        <v>52</v>
      </c>
      <c r="AL378" t="s">
        <v>133</v>
      </c>
      <c r="AP378" t="s">
        <v>116</v>
      </c>
    </row>
    <row r="379" spans="1:42">
      <c r="A379" s="12">
        <v>43851</v>
      </c>
      <c r="B379">
        <v>2</v>
      </c>
      <c r="C379">
        <v>212</v>
      </c>
      <c r="D379">
        <v>14473</v>
      </c>
      <c r="E379" t="s">
        <v>112</v>
      </c>
      <c r="F379" t="s">
        <v>104</v>
      </c>
      <c r="G379">
        <v>2</v>
      </c>
      <c r="H379">
        <v>20</v>
      </c>
      <c r="I379" s="25">
        <v>3100</v>
      </c>
      <c r="K379" t="s">
        <v>113</v>
      </c>
      <c r="L379" t="s">
        <v>114</v>
      </c>
      <c r="M379" t="s">
        <v>52</v>
      </c>
      <c r="N379" t="s">
        <v>40</v>
      </c>
      <c r="O379">
        <v>42</v>
      </c>
      <c r="Q379">
        <f t="shared" si="16"/>
        <v>1</v>
      </c>
      <c r="R379">
        <v>1</v>
      </c>
      <c r="S379">
        <v>0</v>
      </c>
      <c r="T379">
        <v>0</v>
      </c>
      <c r="U379">
        <v>0</v>
      </c>
      <c r="V379">
        <v>0</v>
      </c>
      <c r="W379">
        <v>1</v>
      </c>
      <c r="X379" s="21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f t="shared" ref="AH379:AH442" si="18">(S379*16+(T379*32)+(U379*32)+(V379*64)+(W379*96))</f>
        <v>96</v>
      </c>
      <c r="AJ379" t="s">
        <v>51</v>
      </c>
      <c r="AK379" t="s">
        <v>52</v>
      </c>
      <c r="AP379" t="s">
        <v>116</v>
      </c>
    </row>
    <row r="380" spans="1:42">
      <c r="A380" s="12">
        <v>43851</v>
      </c>
      <c r="B380">
        <v>2</v>
      </c>
      <c r="C380">
        <v>212</v>
      </c>
      <c r="D380">
        <v>14473</v>
      </c>
      <c r="E380" t="s">
        <v>112</v>
      </c>
      <c r="F380" t="s">
        <v>104</v>
      </c>
      <c r="G380">
        <v>2</v>
      </c>
      <c r="H380">
        <v>21</v>
      </c>
      <c r="I380" s="25" t="s">
        <v>134</v>
      </c>
      <c r="K380" t="s">
        <v>113</v>
      </c>
      <c r="L380" t="s">
        <v>114</v>
      </c>
      <c r="M380" t="s">
        <v>52</v>
      </c>
      <c r="N380" t="s">
        <v>40</v>
      </c>
      <c r="O380">
        <v>59</v>
      </c>
      <c r="Q380">
        <f t="shared" si="16"/>
        <v>4</v>
      </c>
      <c r="R380">
        <v>1</v>
      </c>
      <c r="S380">
        <v>2</v>
      </c>
      <c r="T380">
        <v>1</v>
      </c>
      <c r="U380">
        <v>1</v>
      </c>
      <c r="V380">
        <v>0</v>
      </c>
      <c r="W380">
        <v>0</v>
      </c>
      <c r="X380" s="21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f t="shared" si="18"/>
        <v>96</v>
      </c>
      <c r="AJ380" t="s">
        <v>51</v>
      </c>
      <c r="AK380" t="s">
        <v>52</v>
      </c>
      <c r="AP380" t="s">
        <v>116</v>
      </c>
    </row>
    <row r="381" spans="1:42">
      <c r="A381" s="12">
        <v>43851</v>
      </c>
      <c r="B381">
        <v>2</v>
      </c>
      <c r="C381">
        <v>212</v>
      </c>
      <c r="D381">
        <v>14473</v>
      </c>
      <c r="E381" t="s">
        <v>112</v>
      </c>
      <c r="F381" t="s">
        <v>104</v>
      </c>
      <c r="G381">
        <v>2</v>
      </c>
      <c r="H381">
        <v>22</v>
      </c>
      <c r="I381" s="25" t="s">
        <v>135</v>
      </c>
      <c r="K381" t="s">
        <v>113</v>
      </c>
      <c r="L381" t="s">
        <v>114</v>
      </c>
      <c r="M381" t="s">
        <v>52</v>
      </c>
      <c r="N381" t="s">
        <v>40</v>
      </c>
      <c r="O381">
        <v>195</v>
      </c>
      <c r="Q381">
        <f t="shared" si="16"/>
        <v>6</v>
      </c>
      <c r="R381">
        <v>1</v>
      </c>
      <c r="S381">
        <v>4</v>
      </c>
      <c r="T381">
        <v>1</v>
      </c>
      <c r="U381">
        <v>0</v>
      </c>
      <c r="V381">
        <v>1</v>
      </c>
      <c r="W381">
        <v>0</v>
      </c>
      <c r="X381" s="2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f t="shared" si="18"/>
        <v>160</v>
      </c>
      <c r="AJ381" t="s">
        <v>51</v>
      </c>
      <c r="AK381" t="s">
        <v>52</v>
      </c>
      <c r="AP381" t="s">
        <v>116</v>
      </c>
    </row>
    <row r="382" spans="1:42">
      <c r="A382" s="12">
        <v>43851</v>
      </c>
      <c r="B382">
        <v>2</v>
      </c>
      <c r="C382">
        <v>212</v>
      </c>
      <c r="D382">
        <v>14473</v>
      </c>
      <c r="E382" t="s">
        <v>112</v>
      </c>
      <c r="F382" t="s">
        <v>104</v>
      </c>
      <c r="G382">
        <v>2</v>
      </c>
      <c r="H382">
        <v>23</v>
      </c>
      <c r="I382" s="25" t="s">
        <v>136</v>
      </c>
      <c r="K382" t="s">
        <v>113</v>
      </c>
      <c r="L382" t="s">
        <v>114</v>
      </c>
      <c r="M382" t="s">
        <v>52</v>
      </c>
      <c r="N382" t="s">
        <v>40</v>
      </c>
      <c r="O382">
        <v>25</v>
      </c>
      <c r="Q382">
        <f t="shared" si="16"/>
        <v>2</v>
      </c>
      <c r="R382">
        <v>1</v>
      </c>
      <c r="S382">
        <v>0</v>
      </c>
      <c r="T382">
        <v>1</v>
      </c>
      <c r="U382">
        <v>1</v>
      </c>
      <c r="V382">
        <v>0</v>
      </c>
      <c r="W382">
        <v>0</v>
      </c>
      <c r="X382" s="21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f t="shared" si="18"/>
        <v>64</v>
      </c>
      <c r="AJ382" t="s">
        <v>51</v>
      </c>
      <c r="AK382" t="s">
        <v>52</v>
      </c>
      <c r="AP382" t="s">
        <v>116</v>
      </c>
    </row>
    <row r="383" spans="1:42">
      <c r="A383" s="12">
        <v>43851</v>
      </c>
      <c r="B383">
        <v>2</v>
      </c>
      <c r="C383">
        <v>212</v>
      </c>
      <c r="D383">
        <v>14473</v>
      </c>
      <c r="E383" t="s">
        <v>112</v>
      </c>
      <c r="F383" t="s">
        <v>104</v>
      </c>
      <c r="G383">
        <v>2</v>
      </c>
      <c r="H383">
        <v>24</v>
      </c>
      <c r="I383" s="25" t="s">
        <v>137</v>
      </c>
      <c r="K383" t="s">
        <v>113</v>
      </c>
      <c r="L383" t="s">
        <v>114</v>
      </c>
      <c r="M383" t="s">
        <v>52</v>
      </c>
      <c r="N383" t="s">
        <v>44</v>
      </c>
      <c r="O383">
        <v>89</v>
      </c>
      <c r="Q383">
        <f t="shared" si="16"/>
        <v>2</v>
      </c>
      <c r="R383">
        <v>1</v>
      </c>
      <c r="S383">
        <v>0</v>
      </c>
      <c r="T383">
        <v>0</v>
      </c>
      <c r="U383">
        <v>0</v>
      </c>
      <c r="V383">
        <v>1</v>
      </c>
      <c r="W383">
        <v>1</v>
      </c>
      <c r="X383" s="21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f t="shared" si="18"/>
        <v>160</v>
      </c>
      <c r="AJ383" t="s">
        <v>51</v>
      </c>
      <c r="AK383" t="s">
        <v>52</v>
      </c>
      <c r="AL383" t="s">
        <v>138</v>
      </c>
      <c r="AP383" t="s">
        <v>116</v>
      </c>
    </row>
    <row r="384" spans="1:42">
      <c r="A384" s="12">
        <v>43851</v>
      </c>
      <c r="B384">
        <v>2</v>
      </c>
      <c r="C384">
        <v>212</v>
      </c>
      <c r="D384">
        <v>14473</v>
      </c>
      <c r="E384" t="s">
        <v>112</v>
      </c>
      <c r="F384" t="s">
        <v>104</v>
      </c>
      <c r="G384">
        <v>2</v>
      </c>
      <c r="H384">
        <v>25</v>
      </c>
      <c r="I384" s="25">
        <v>3288</v>
      </c>
      <c r="K384" t="s">
        <v>113</v>
      </c>
      <c r="L384" t="s">
        <v>114</v>
      </c>
      <c r="M384" t="s">
        <v>52</v>
      </c>
      <c r="N384" t="s">
        <v>44</v>
      </c>
      <c r="O384">
        <v>162</v>
      </c>
      <c r="Q384">
        <f t="shared" si="16"/>
        <v>3</v>
      </c>
      <c r="R384">
        <v>1</v>
      </c>
      <c r="S384">
        <v>0</v>
      </c>
      <c r="T384">
        <v>0</v>
      </c>
      <c r="U384">
        <v>2</v>
      </c>
      <c r="V384">
        <v>0</v>
      </c>
      <c r="W384">
        <v>1</v>
      </c>
      <c r="X384" s="21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f t="shared" si="18"/>
        <v>160</v>
      </c>
      <c r="AJ384" t="s">
        <v>51</v>
      </c>
      <c r="AK384" t="s">
        <v>52</v>
      </c>
      <c r="AL384" t="s">
        <v>139</v>
      </c>
      <c r="AP384" t="s">
        <v>116</v>
      </c>
    </row>
    <row r="385" spans="1:42">
      <c r="A385" s="12">
        <v>43851</v>
      </c>
      <c r="B385">
        <v>2</v>
      </c>
      <c r="C385">
        <v>212</v>
      </c>
      <c r="D385">
        <v>14473</v>
      </c>
      <c r="E385" t="s">
        <v>112</v>
      </c>
      <c r="F385" t="s">
        <v>104</v>
      </c>
      <c r="G385">
        <v>2</v>
      </c>
      <c r="H385">
        <v>26</v>
      </c>
      <c r="I385" s="25" t="s">
        <v>140</v>
      </c>
      <c r="K385" t="s">
        <v>113</v>
      </c>
      <c r="L385" t="s">
        <v>141</v>
      </c>
      <c r="M385" t="s">
        <v>52</v>
      </c>
      <c r="N385" t="s">
        <v>40</v>
      </c>
      <c r="O385">
        <v>85</v>
      </c>
      <c r="Q385">
        <f t="shared" si="16"/>
        <v>4</v>
      </c>
      <c r="R385">
        <v>1</v>
      </c>
      <c r="S385">
        <v>0</v>
      </c>
      <c r="T385">
        <v>0</v>
      </c>
      <c r="U385">
        <v>4</v>
      </c>
      <c r="V385">
        <v>0</v>
      </c>
      <c r="W385">
        <v>0</v>
      </c>
      <c r="X385" s="21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f t="shared" si="18"/>
        <v>128</v>
      </c>
      <c r="AJ385" t="s">
        <v>51</v>
      </c>
      <c r="AK385" t="s">
        <v>52</v>
      </c>
      <c r="AP385" t="s">
        <v>116</v>
      </c>
    </row>
    <row r="386" spans="1:42">
      <c r="A386" s="12">
        <v>43851</v>
      </c>
      <c r="B386">
        <v>2</v>
      </c>
      <c r="C386">
        <v>212</v>
      </c>
      <c r="D386">
        <v>14473</v>
      </c>
      <c r="E386" t="s">
        <v>112</v>
      </c>
      <c r="F386" t="s">
        <v>104</v>
      </c>
      <c r="G386">
        <v>2</v>
      </c>
      <c r="H386">
        <v>27</v>
      </c>
      <c r="I386" s="25" t="s">
        <v>142</v>
      </c>
      <c r="K386" t="s">
        <v>113</v>
      </c>
      <c r="L386" t="s">
        <v>141</v>
      </c>
      <c r="M386" t="s">
        <v>52</v>
      </c>
      <c r="N386" t="s">
        <v>40</v>
      </c>
      <c r="O386">
        <v>48</v>
      </c>
      <c r="Q386">
        <f t="shared" si="16"/>
        <v>3</v>
      </c>
      <c r="R386">
        <v>1</v>
      </c>
      <c r="S386">
        <v>0</v>
      </c>
      <c r="T386">
        <v>0</v>
      </c>
      <c r="U386">
        <v>2</v>
      </c>
      <c r="V386">
        <v>1</v>
      </c>
      <c r="W386">
        <v>0</v>
      </c>
      <c r="X386" s="21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f t="shared" si="18"/>
        <v>128</v>
      </c>
      <c r="AJ386" t="s">
        <v>51</v>
      </c>
      <c r="AK386" t="s">
        <v>52</v>
      </c>
      <c r="AP386" t="s">
        <v>116</v>
      </c>
    </row>
    <row r="387" spans="1:42">
      <c r="A387" s="12">
        <v>43851</v>
      </c>
      <c r="B387">
        <v>2</v>
      </c>
      <c r="C387">
        <v>212</v>
      </c>
      <c r="D387">
        <v>14473</v>
      </c>
      <c r="E387" t="s">
        <v>112</v>
      </c>
      <c r="F387" t="s">
        <v>104</v>
      </c>
      <c r="G387">
        <v>2</v>
      </c>
      <c r="H387">
        <v>28</v>
      </c>
      <c r="I387" s="25" t="s">
        <v>143</v>
      </c>
      <c r="K387" t="s">
        <v>113</v>
      </c>
      <c r="L387" t="s">
        <v>141</v>
      </c>
      <c r="M387" t="s">
        <v>52</v>
      </c>
      <c r="N387" t="s">
        <v>40</v>
      </c>
      <c r="O387">
        <v>133</v>
      </c>
      <c r="Q387">
        <f t="shared" si="16"/>
        <v>3</v>
      </c>
      <c r="R387">
        <v>1</v>
      </c>
      <c r="S387">
        <v>1</v>
      </c>
      <c r="T387">
        <v>1</v>
      </c>
      <c r="U387">
        <v>0</v>
      </c>
      <c r="V387">
        <v>1</v>
      </c>
      <c r="W387">
        <v>0</v>
      </c>
      <c r="X387" s="21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f t="shared" si="18"/>
        <v>112</v>
      </c>
      <c r="AJ387" t="s">
        <v>51</v>
      </c>
      <c r="AK387" t="s">
        <v>52</v>
      </c>
      <c r="AP387" t="s">
        <v>116</v>
      </c>
    </row>
    <row r="388" spans="1:42">
      <c r="A388" s="12">
        <v>43851</v>
      </c>
      <c r="B388">
        <v>2</v>
      </c>
      <c r="C388">
        <v>212</v>
      </c>
      <c r="D388">
        <v>14473</v>
      </c>
      <c r="E388" t="s">
        <v>112</v>
      </c>
      <c r="F388" t="s">
        <v>104</v>
      </c>
      <c r="G388">
        <v>2</v>
      </c>
      <c r="H388">
        <v>29</v>
      </c>
      <c r="I388" s="25" t="s">
        <v>144</v>
      </c>
      <c r="K388" t="s">
        <v>113</v>
      </c>
      <c r="L388" t="s">
        <v>141</v>
      </c>
      <c r="M388" t="s">
        <v>52</v>
      </c>
      <c r="N388" t="s">
        <v>40</v>
      </c>
      <c r="O388">
        <v>118</v>
      </c>
      <c r="Q388">
        <f t="shared" si="16"/>
        <v>6</v>
      </c>
      <c r="R388">
        <v>1</v>
      </c>
      <c r="S388">
        <v>0</v>
      </c>
      <c r="T388">
        <v>0</v>
      </c>
      <c r="U388">
        <v>4</v>
      </c>
      <c r="V388">
        <v>2</v>
      </c>
      <c r="W388">
        <v>0</v>
      </c>
      <c r="X388" s="21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f t="shared" si="18"/>
        <v>256</v>
      </c>
      <c r="AJ388" t="s">
        <v>51</v>
      </c>
      <c r="AK388" t="s">
        <v>52</v>
      </c>
      <c r="AP388" t="s">
        <v>116</v>
      </c>
    </row>
    <row r="389" spans="1:42">
      <c r="A389" s="12">
        <v>43851</v>
      </c>
      <c r="B389">
        <v>2</v>
      </c>
      <c r="C389">
        <v>212</v>
      </c>
      <c r="D389">
        <v>14473</v>
      </c>
      <c r="E389" t="s">
        <v>112</v>
      </c>
      <c r="F389" t="s">
        <v>104</v>
      </c>
      <c r="G389">
        <v>2</v>
      </c>
      <c r="H389">
        <v>30</v>
      </c>
      <c r="I389" s="25" t="s">
        <v>145</v>
      </c>
      <c r="K389" t="s">
        <v>146</v>
      </c>
      <c r="L389" t="s">
        <v>141</v>
      </c>
      <c r="M389" t="s">
        <v>52</v>
      </c>
      <c r="N389" t="s">
        <v>44</v>
      </c>
      <c r="O389">
        <v>238</v>
      </c>
      <c r="Q389">
        <f t="shared" si="16"/>
        <v>4</v>
      </c>
      <c r="R389">
        <v>1</v>
      </c>
      <c r="S389">
        <v>0</v>
      </c>
      <c r="T389">
        <v>0</v>
      </c>
      <c r="U389">
        <v>0</v>
      </c>
      <c r="V389">
        <v>1</v>
      </c>
      <c r="W389">
        <v>3</v>
      </c>
      <c r="X389" s="21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f t="shared" si="18"/>
        <v>352</v>
      </c>
      <c r="AJ389" t="s">
        <v>51</v>
      </c>
      <c r="AK389" t="s">
        <v>52</v>
      </c>
      <c r="AL389" t="s">
        <v>147</v>
      </c>
      <c r="AP389" t="s">
        <v>116</v>
      </c>
    </row>
    <row r="390" spans="1:42">
      <c r="A390" s="12">
        <v>43851</v>
      </c>
      <c r="B390">
        <v>2</v>
      </c>
      <c r="C390">
        <v>212</v>
      </c>
      <c r="D390">
        <v>14473</v>
      </c>
      <c r="E390" t="s">
        <v>112</v>
      </c>
      <c r="F390" t="s">
        <v>104</v>
      </c>
      <c r="G390">
        <v>2</v>
      </c>
      <c r="H390">
        <v>31</v>
      </c>
      <c r="I390" s="25">
        <v>2300</v>
      </c>
      <c r="K390" t="s">
        <v>148</v>
      </c>
      <c r="L390" t="s">
        <v>141</v>
      </c>
      <c r="M390" t="s">
        <v>52</v>
      </c>
      <c r="N390" t="s">
        <v>44</v>
      </c>
      <c r="O390">
        <v>60</v>
      </c>
      <c r="Q390">
        <f t="shared" si="16"/>
        <v>1</v>
      </c>
      <c r="R390">
        <v>1</v>
      </c>
      <c r="S390">
        <v>0</v>
      </c>
      <c r="T390">
        <v>0</v>
      </c>
      <c r="U390">
        <v>0</v>
      </c>
      <c r="V390">
        <v>1</v>
      </c>
      <c r="W390">
        <v>0</v>
      </c>
      <c r="X390" s="21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f t="shared" si="18"/>
        <v>64</v>
      </c>
      <c r="AJ390" t="s">
        <v>51</v>
      </c>
      <c r="AK390" t="s">
        <v>95</v>
      </c>
      <c r="AL390" t="s">
        <v>149</v>
      </c>
      <c r="AP390" t="s">
        <v>116</v>
      </c>
    </row>
    <row r="391" spans="1:42">
      <c r="A391" s="12">
        <v>43851</v>
      </c>
      <c r="B391">
        <v>2</v>
      </c>
      <c r="C391">
        <v>212</v>
      </c>
      <c r="D391">
        <v>14473</v>
      </c>
      <c r="E391" t="s">
        <v>112</v>
      </c>
      <c r="F391" t="s">
        <v>104</v>
      </c>
      <c r="G391">
        <v>2</v>
      </c>
      <c r="H391">
        <v>32</v>
      </c>
      <c r="I391" s="25"/>
      <c r="K391" t="s">
        <v>150</v>
      </c>
      <c r="L391" t="s">
        <v>141</v>
      </c>
      <c r="M391" t="s">
        <v>52</v>
      </c>
      <c r="N391" t="s">
        <v>40</v>
      </c>
      <c r="O391">
        <v>53</v>
      </c>
      <c r="Q391">
        <f t="shared" si="16"/>
        <v>0</v>
      </c>
      <c r="R391">
        <v>1</v>
      </c>
      <c r="S391">
        <v>0</v>
      </c>
      <c r="T391">
        <v>0</v>
      </c>
      <c r="U391">
        <v>0</v>
      </c>
      <c r="V391">
        <v>0</v>
      </c>
      <c r="W391">
        <v>0</v>
      </c>
      <c r="X391" s="2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f t="shared" si="18"/>
        <v>0</v>
      </c>
      <c r="AJ391" t="s">
        <v>51</v>
      </c>
      <c r="AK391" t="s">
        <v>52</v>
      </c>
      <c r="AL391" t="s">
        <v>151</v>
      </c>
      <c r="AP391" t="s">
        <v>116</v>
      </c>
    </row>
    <row r="392" spans="1:42">
      <c r="A392" s="12">
        <v>43851</v>
      </c>
      <c r="B392">
        <v>2</v>
      </c>
      <c r="C392">
        <v>212</v>
      </c>
      <c r="D392">
        <v>14473</v>
      </c>
      <c r="E392" t="s">
        <v>112</v>
      </c>
      <c r="F392" t="s">
        <v>104</v>
      </c>
      <c r="G392">
        <v>2</v>
      </c>
      <c r="H392">
        <v>33</v>
      </c>
      <c r="I392" s="25" t="s">
        <v>152</v>
      </c>
      <c r="K392" t="s">
        <v>113</v>
      </c>
      <c r="L392" t="s">
        <v>141</v>
      </c>
      <c r="M392" t="s">
        <v>52</v>
      </c>
      <c r="N392" t="s">
        <v>40</v>
      </c>
      <c r="O392">
        <v>38</v>
      </c>
      <c r="Q392">
        <f t="shared" si="16"/>
        <v>2</v>
      </c>
      <c r="R392">
        <v>1</v>
      </c>
      <c r="S392">
        <v>0</v>
      </c>
      <c r="T392">
        <v>0</v>
      </c>
      <c r="U392">
        <v>2</v>
      </c>
      <c r="V392">
        <v>0</v>
      </c>
      <c r="W392">
        <v>0</v>
      </c>
      <c r="X392" s="21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f t="shared" si="18"/>
        <v>64</v>
      </c>
      <c r="AJ392" t="s">
        <v>51</v>
      </c>
      <c r="AK392" t="s">
        <v>52</v>
      </c>
      <c r="AP392" t="s">
        <v>116</v>
      </c>
    </row>
    <row r="393" spans="1:42">
      <c r="A393" s="12">
        <v>43851</v>
      </c>
      <c r="B393">
        <v>2</v>
      </c>
      <c r="C393">
        <v>212</v>
      </c>
      <c r="D393">
        <v>14473</v>
      </c>
      <c r="E393" t="s">
        <v>112</v>
      </c>
      <c r="F393" t="s">
        <v>104</v>
      </c>
      <c r="G393">
        <v>2</v>
      </c>
      <c r="H393">
        <v>34</v>
      </c>
      <c r="I393" s="25" t="s">
        <v>153</v>
      </c>
      <c r="K393" t="s">
        <v>113</v>
      </c>
      <c r="L393" t="s">
        <v>141</v>
      </c>
      <c r="M393" t="s">
        <v>52</v>
      </c>
      <c r="N393" t="s">
        <v>44</v>
      </c>
      <c r="O393">
        <v>181</v>
      </c>
      <c r="Q393">
        <f t="shared" si="16"/>
        <v>2</v>
      </c>
      <c r="R393">
        <v>1</v>
      </c>
      <c r="S393">
        <v>0</v>
      </c>
      <c r="T393">
        <v>0</v>
      </c>
      <c r="U393">
        <v>0</v>
      </c>
      <c r="V393">
        <v>1</v>
      </c>
      <c r="W393">
        <v>1</v>
      </c>
      <c r="X393" s="21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f t="shared" si="18"/>
        <v>160</v>
      </c>
      <c r="AJ393" t="s">
        <v>51</v>
      </c>
      <c r="AK393" t="s">
        <v>52</v>
      </c>
      <c r="AL393" t="s">
        <v>154</v>
      </c>
      <c r="AP393" t="s">
        <v>116</v>
      </c>
    </row>
    <row r="394" spans="1:42">
      <c r="A394" s="12">
        <v>43851</v>
      </c>
      <c r="B394">
        <v>2</v>
      </c>
      <c r="C394">
        <v>212</v>
      </c>
      <c r="D394">
        <v>14473</v>
      </c>
      <c r="E394" t="s">
        <v>112</v>
      </c>
      <c r="F394" t="s">
        <v>104</v>
      </c>
      <c r="G394">
        <v>2</v>
      </c>
      <c r="H394">
        <v>35</v>
      </c>
      <c r="I394" s="25">
        <v>3021</v>
      </c>
      <c r="K394" t="s">
        <v>113</v>
      </c>
      <c r="L394" t="s">
        <v>141</v>
      </c>
      <c r="M394" t="s">
        <v>52</v>
      </c>
      <c r="N394" t="s">
        <v>40</v>
      </c>
      <c r="O394">
        <v>23</v>
      </c>
      <c r="Q394">
        <f t="shared" si="16"/>
        <v>1</v>
      </c>
      <c r="R394">
        <v>1</v>
      </c>
      <c r="S394">
        <v>0</v>
      </c>
      <c r="T394">
        <v>0</v>
      </c>
      <c r="U394">
        <v>1</v>
      </c>
      <c r="V394">
        <v>0</v>
      </c>
      <c r="W394">
        <v>0</v>
      </c>
      <c r="X394" s="21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f t="shared" si="18"/>
        <v>32</v>
      </c>
      <c r="AJ394" t="s">
        <v>51</v>
      </c>
      <c r="AK394" t="s">
        <v>95</v>
      </c>
      <c r="AP394" t="s">
        <v>116</v>
      </c>
    </row>
    <row r="395" spans="1:42">
      <c r="A395" s="12">
        <v>43851</v>
      </c>
      <c r="B395">
        <v>2</v>
      </c>
      <c r="C395">
        <v>212</v>
      </c>
      <c r="D395">
        <v>14473</v>
      </c>
      <c r="E395" t="s">
        <v>112</v>
      </c>
      <c r="F395" t="s">
        <v>104</v>
      </c>
      <c r="G395">
        <v>2</v>
      </c>
      <c r="H395">
        <v>36</v>
      </c>
      <c r="I395" s="25">
        <v>3011</v>
      </c>
      <c r="K395" t="s">
        <v>113</v>
      </c>
      <c r="L395" t="s">
        <v>141</v>
      </c>
      <c r="M395" t="s">
        <v>52</v>
      </c>
      <c r="N395" t="s">
        <v>40</v>
      </c>
      <c r="O395">
        <v>34</v>
      </c>
      <c r="Q395">
        <f t="shared" si="16"/>
        <v>1</v>
      </c>
      <c r="R395">
        <v>1</v>
      </c>
      <c r="S395">
        <v>0</v>
      </c>
      <c r="T395">
        <v>0</v>
      </c>
      <c r="U395">
        <v>0</v>
      </c>
      <c r="V395">
        <v>1</v>
      </c>
      <c r="W395">
        <v>0</v>
      </c>
      <c r="X395" s="21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f t="shared" si="18"/>
        <v>64</v>
      </c>
      <c r="AJ395" t="s">
        <v>51</v>
      </c>
      <c r="AK395" t="s">
        <v>52</v>
      </c>
      <c r="AP395" t="s">
        <v>116</v>
      </c>
    </row>
    <row r="396" spans="1:42">
      <c r="A396" s="12">
        <v>43851</v>
      </c>
      <c r="B396">
        <v>2</v>
      </c>
      <c r="C396">
        <v>212</v>
      </c>
      <c r="D396">
        <v>14473</v>
      </c>
      <c r="E396" t="s">
        <v>112</v>
      </c>
      <c r="F396" t="s">
        <v>104</v>
      </c>
      <c r="G396">
        <v>2</v>
      </c>
      <c r="H396">
        <v>37</v>
      </c>
      <c r="I396" s="25">
        <v>3001</v>
      </c>
      <c r="K396" t="s">
        <v>113</v>
      </c>
      <c r="L396" t="s">
        <v>141</v>
      </c>
      <c r="M396" t="s">
        <v>52</v>
      </c>
      <c r="N396" t="s">
        <v>44</v>
      </c>
      <c r="O396">
        <v>91</v>
      </c>
      <c r="Q396">
        <f t="shared" si="16"/>
        <v>1</v>
      </c>
      <c r="R396">
        <v>1</v>
      </c>
      <c r="S396">
        <v>0</v>
      </c>
      <c r="T396">
        <v>0</v>
      </c>
      <c r="U396">
        <v>0</v>
      </c>
      <c r="V396">
        <v>1</v>
      </c>
      <c r="W396">
        <v>0</v>
      </c>
      <c r="X396" s="21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f t="shared" si="18"/>
        <v>64</v>
      </c>
      <c r="AJ396" t="s">
        <v>51</v>
      </c>
      <c r="AK396" t="s">
        <v>52</v>
      </c>
      <c r="AL396" t="s">
        <v>155</v>
      </c>
      <c r="AP396" t="s">
        <v>116</v>
      </c>
    </row>
    <row r="397" spans="1:42">
      <c r="A397" s="12">
        <v>43851</v>
      </c>
      <c r="B397">
        <v>2</v>
      </c>
      <c r="C397">
        <v>212</v>
      </c>
      <c r="D397">
        <v>14473</v>
      </c>
      <c r="E397" t="s">
        <v>112</v>
      </c>
      <c r="F397" t="s">
        <v>104</v>
      </c>
      <c r="G397">
        <v>2</v>
      </c>
      <c r="H397">
        <v>38</v>
      </c>
      <c r="I397" s="25"/>
      <c r="K397" t="s">
        <v>124</v>
      </c>
      <c r="L397" t="s">
        <v>141</v>
      </c>
      <c r="M397" t="s">
        <v>52</v>
      </c>
      <c r="N397" t="s">
        <v>40</v>
      </c>
      <c r="O397">
        <v>35</v>
      </c>
      <c r="Q397">
        <f t="shared" si="16"/>
        <v>1</v>
      </c>
      <c r="R397">
        <v>1</v>
      </c>
      <c r="S397">
        <v>0</v>
      </c>
      <c r="T397">
        <v>0</v>
      </c>
      <c r="U397">
        <v>1</v>
      </c>
      <c r="V397">
        <v>0</v>
      </c>
      <c r="W397">
        <v>0</v>
      </c>
      <c r="X397" s="21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f t="shared" si="18"/>
        <v>32</v>
      </c>
      <c r="AJ397" t="s">
        <v>51</v>
      </c>
      <c r="AK397" t="s">
        <v>52</v>
      </c>
      <c r="AL397" t="s">
        <v>125</v>
      </c>
      <c r="AP397" t="s">
        <v>116</v>
      </c>
    </row>
    <row r="398" spans="1:42">
      <c r="A398" s="12">
        <v>43851</v>
      </c>
      <c r="B398">
        <v>2</v>
      </c>
      <c r="C398">
        <v>212</v>
      </c>
      <c r="D398">
        <v>14473</v>
      </c>
      <c r="E398" t="s">
        <v>112</v>
      </c>
      <c r="F398" t="s">
        <v>104</v>
      </c>
      <c r="G398">
        <v>2</v>
      </c>
      <c r="H398">
        <v>39</v>
      </c>
      <c r="I398" s="25">
        <v>2350</v>
      </c>
      <c r="K398" t="s">
        <v>156</v>
      </c>
      <c r="L398" t="s">
        <v>114</v>
      </c>
      <c r="M398" t="s">
        <v>52</v>
      </c>
      <c r="N398" t="s">
        <v>44</v>
      </c>
      <c r="O398">
        <v>147</v>
      </c>
      <c r="Q398">
        <f t="shared" si="16"/>
        <v>3</v>
      </c>
      <c r="R398">
        <v>1</v>
      </c>
      <c r="S398">
        <v>0</v>
      </c>
      <c r="T398">
        <v>0</v>
      </c>
      <c r="U398">
        <v>0</v>
      </c>
      <c r="V398">
        <v>1</v>
      </c>
      <c r="W398">
        <v>2</v>
      </c>
      <c r="X398" s="21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f t="shared" si="18"/>
        <v>256</v>
      </c>
      <c r="AJ398" t="s">
        <v>51</v>
      </c>
      <c r="AK398" t="s">
        <v>95</v>
      </c>
      <c r="AL398" t="s">
        <v>157</v>
      </c>
      <c r="AP398" t="s">
        <v>116</v>
      </c>
    </row>
    <row r="399" spans="1:42">
      <c r="A399" s="12">
        <v>43851</v>
      </c>
      <c r="B399">
        <v>2</v>
      </c>
      <c r="C399">
        <v>212</v>
      </c>
      <c r="D399">
        <v>14473</v>
      </c>
      <c r="E399" t="s">
        <v>112</v>
      </c>
      <c r="F399" t="s">
        <v>104</v>
      </c>
      <c r="G399">
        <v>2</v>
      </c>
      <c r="H399">
        <v>40</v>
      </c>
      <c r="I399" s="25">
        <v>2360</v>
      </c>
      <c r="K399" t="s">
        <v>156</v>
      </c>
      <c r="L399" t="s">
        <v>114</v>
      </c>
      <c r="M399" t="s">
        <v>52</v>
      </c>
      <c r="N399" t="s">
        <v>44</v>
      </c>
      <c r="O399">
        <v>151</v>
      </c>
      <c r="Q399">
        <f t="shared" si="16"/>
        <v>2</v>
      </c>
      <c r="R399">
        <v>1</v>
      </c>
      <c r="S399">
        <v>0</v>
      </c>
      <c r="T399">
        <v>0</v>
      </c>
      <c r="U399">
        <v>0</v>
      </c>
      <c r="V399">
        <v>1</v>
      </c>
      <c r="W399">
        <v>1</v>
      </c>
      <c r="X399" s="21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f t="shared" si="18"/>
        <v>160</v>
      </c>
      <c r="AJ399" t="s">
        <v>51</v>
      </c>
      <c r="AK399" t="s">
        <v>95</v>
      </c>
      <c r="AL399" t="s">
        <v>158</v>
      </c>
      <c r="AP399" t="s">
        <v>116</v>
      </c>
    </row>
    <row r="400" spans="1:42">
      <c r="A400" s="12">
        <v>43851</v>
      </c>
      <c r="B400">
        <v>2</v>
      </c>
      <c r="C400">
        <v>212</v>
      </c>
      <c r="D400">
        <v>14473</v>
      </c>
      <c r="E400" t="s">
        <v>112</v>
      </c>
      <c r="F400" t="s">
        <v>104</v>
      </c>
      <c r="G400">
        <v>2</v>
      </c>
      <c r="H400">
        <v>41</v>
      </c>
      <c r="I400" s="25" t="s">
        <v>159</v>
      </c>
      <c r="K400" t="s">
        <v>156</v>
      </c>
      <c r="L400" t="s">
        <v>114</v>
      </c>
      <c r="M400" t="s">
        <v>52</v>
      </c>
      <c r="N400" t="s">
        <v>44</v>
      </c>
      <c r="O400">
        <v>94</v>
      </c>
      <c r="Q400">
        <f t="shared" si="16"/>
        <v>3</v>
      </c>
      <c r="R400">
        <v>1</v>
      </c>
      <c r="S400">
        <v>0</v>
      </c>
      <c r="T400">
        <v>0</v>
      </c>
      <c r="U400">
        <v>0</v>
      </c>
      <c r="V400">
        <v>3</v>
      </c>
      <c r="W400">
        <v>0</v>
      </c>
      <c r="X400" s="21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f t="shared" si="18"/>
        <v>192</v>
      </c>
      <c r="AJ400" t="s">
        <v>51</v>
      </c>
      <c r="AK400" t="s">
        <v>95</v>
      </c>
      <c r="AL400" t="s">
        <v>160</v>
      </c>
      <c r="AP400" t="s">
        <v>116</v>
      </c>
    </row>
    <row r="401" spans="1:42">
      <c r="A401" s="12">
        <v>43851</v>
      </c>
      <c r="B401">
        <v>2</v>
      </c>
      <c r="C401">
        <v>212</v>
      </c>
      <c r="D401">
        <v>14473</v>
      </c>
      <c r="E401" t="s">
        <v>112</v>
      </c>
      <c r="F401" t="s">
        <v>104</v>
      </c>
      <c r="G401">
        <v>2</v>
      </c>
      <c r="H401">
        <v>42</v>
      </c>
      <c r="I401" s="25">
        <v>2434</v>
      </c>
      <c r="K401" t="s">
        <v>156</v>
      </c>
      <c r="L401" t="s">
        <v>114</v>
      </c>
      <c r="M401" t="s">
        <v>52</v>
      </c>
      <c r="N401" t="s">
        <v>40</v>
      </c>
      <c r="O401">
        <v>30</v>
      </c>
      <c r="Q401">
        <f t="shared" si="16"/>
        <v>1</v>
      </c>
      <c r="R401">
        <v>1</v>
      </c>
      <c r="S401">
        <v>0</v>
      </c>
      <c r="T401">
        <v>0</v>
      </c>
      <c r="U401">
        <v>0</v>
      </c>
      <c r="V401">
        <v>1</v>
      </c>
      <c r="W401">
        <v>0</v>
      </c>
      <c r="X401" s="2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f t="shared" si="18"/>
        <v>64</v>
      </c>
      <c r="AJ401" t="s">
        <v>54</v>
      </c>
      <c r="AK401" t="s">
        <v>52</v>
      </c>
      <c r="AP401" t="s">
        <v>116</v>
      </c>
    </row>
    <row r="402" spans="1:42">
      <c r="A402" s="12">
        <v>43851</v>
      </c>
      <c r="B402">
        <v>2</v>
      </c>
      <c r="C402">
        <v>212</v>
      </c>
      <c r="D402">
        <v>14473</v>
      </c>
      <c r="E402" t="s">
        <v>112</v>
      </c>
      <c r="F402" t="s">
        <v>104</v>
      </c>
      <c r="G402">
        <v>2</v>
      </c>
      <c r="H402">
        <v>43</v>
      </c>
      <c r="I402" s="25">
        <v>2506</v>
      </c>
      <c r="K402" t="s">
        <v>119</v>
      </c>
      <c r="L402" t="s">
        <v>114</v>
      </c>
      <c r="M402" t="s">
        <v>52</v>
      </c>
      <c r="N402" t="s">
        <v>44</v>
      </c>
      <c r="O402">
        <v>205</v>
      </c>
      <c r="Q402">
        <f t="shared" si="16"/>
        <v>1</v>
      </c>
      <c r="R402">
        <v>1</v>
      </c>
      <c r="S402">
        <v>0</v>
      </c>
      <c r="T402">
        <v>0</v>
      </c>
      <c r="U402">
        <v>0</v>
      </c>
      <c r="V402">
        <v>1</v>
      </c>
      <c r="W402">
        <v>0</v>
      </c>
      <c r="X402" s="21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f t="shared" si="18"/>
        <v>64</v>
      </c>
      <c r="AJ402" t="s">
        <v>51</v>
      </c>
      <c r="AK402" t="s">
        <v>95</v>
      </c>
      <c r="AL402" t="s">
        <v>161</v>
      </c>
      <c r="AP402" t="s">
        <v>116</v>
      </c>
    </row>
    <row r="403" spans="1:42">
      <c r="A403" s="12">
        <v>43851</v>
      </c>
      <c r="B403">
        <v>2</v>
      </c>
      <c r="C403">
        <v>212</v>
      </c>
      <c r="D403">
        <v>14473</v>
      </c>
      <c r="E403" t="s">
        <v>112</v>
      </c>
      <c r="F403" t="s">
        <v>104</v>
      </c>
      <c r="G403">
        <v>2</v>
      </c>
      <c r="H403">
        <v>44</v>
      </c>
      <c r="I403" s="25">
        <v>2514</v>
      </c>
      <c r="K403" t="s">
        <v>162</v>
      </c>
      <c r="L403" t="s">
        <v>114</v>
      </c>
      <c r="M403" t="s">
        <v>52</v>
      </c>
      <c r="N403" t="s">
        <v>40</v>
      </c>
      <c r="O403">
        <v>41</v>
      </c>
      <c r="Q403">
        <f t="shared" si="16"/>
        <v>2</v>
      </c>
      <c r="R403">
        <v>1</v>
      </c>
      <c r="S403">
        <v>1</v>
      </c>
      <c r="T403">
        <v>0</v>
      </c>
      <c r="U403">
        <v>1</v>
      </c>
      <c r="V403">
        <v>0</v>
      </c>
      <c r="W403">
        <v>0</v>
      </c>
      <c r="X403" s="21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f t="shared" si="18"/>
        <v>48</v>
      </c>
      <c r="AJ403" t="s">
        <v>51</v>
      </c>
      <c r="AK403" t="s">
        <v>95</v>
      </c>
      <c r="AP403" t="s">
        <v>116</v>
      </c>
    </row>
    <row r="404" spans="1:42">
      <c r="A404" s="12">
        <v>43851</v>
      </c>
      <c r="B404">
        <v>2</v>
      </c>
      <c r="C404">
        <v>212</v>
      </c>
      <c r="D404">
        <v>14473</v>
      </c>
      <c r="E404" t="s">
        <v>112</v>
      </c>
      <c r="F404" t="s">
        <v>104</v>
      </c>
      <c r="G404">
        <v>2</v>
      </c>
      <c r="H404">
        <v>45</v>
      </c>
      <c r="I404" s="25">
        <v>2540</v>
      </c>
      <c r="K404" t="s">
        <v>162</v>
      </c>
      <c r="L404" t="s">
        <v>114</v>
      </c>
      <c r="M404" t="s">
        <v>52</v>
      </c>
      <c r="N404" t="s">
        <v>44</v>
      </c>
      <c r="O404">
        <v>133</v>
      </c>
      <c r="Q404">
        <f t="shared" si="16"/>
        <v>2</v>
      </c>
      <c r="R404">
        <v>1</v>
      </c>
      <c r="S404">
        <v>1</v>
      </c>
      <c r="T404">
        <v>0</v>
      </c>
      <c r="U404">
        <v>1</v>
      </c>
      <c r="V404">
        <v>0</v>
      </c>
      <c r="W404">
        <v>0</v>
      </c>
      <c r="X404" s="21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f t="shared" si="18"/>
        <v>48</v>
      </c>
      <c r="AJ404" t="s">
        <v>51</v>
      </c>
      <c r="AK404" t="s">
        <v>95</v>
      </c>
      <c r="AL404" t="s">
        <v>163</v>
      </c>
      <c r="AP404" t="s">
        <v>116</v>
      </c>
    </row>
    <row r="405" spans="1:42">
      <c r="A405" s="12">
        <v>43851</v>
      </c>
      <c r="B405">
        <v>2</v>
      </c>
      <c r="C405">
        <v>212</v>
      </c>
      <c r="D405">
        <v>14473</v>
      </c>
      <c r="E405" t="s">
        <v>112</v>
      </c>
      <c r="F405" t="s">
        <v>104</v>
      </c>
      <c r="G405">
        <v>2</v>
      </c>
      <c r="H405">
        <v>46</v>
      </c>
      <c r="I405" s="25" t="s">
        <v>164</v>
      </c>
      <c r="K405" t="s">
        <v>162</v>
      </c>
      <c r="L405" t="s">
        <v>114</v>
      </c>
      <c r="M405" t="s">
        <v>52</v>
      </c>
      <c r="N405" t="s">
        <v>40</v>
      </c>
      <c r="O405">
        <v>79</v>
      </c>
      <c r="Q405">
        <f t="shared" si="16"/>
        <v>3</v>
      </c>
      <c r="R405">
        <v>1</v>
      </c>
      <c r="S405">
        <v>0</v>
      </c>
      <c r="T405">
        <v>0</v>
      </c>
      <c r="U405">
        <v>2</v>
      </c>
      <c r="V405">
        <v>1</v>
      </c>
      <c r="W405">
        <v>0</v>
      </c>
      <c r="X405" s="21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f t="shared" si="18"/>
        <v>128</v>
      </c>
      <c r="AJ405" t="s">
        <v>51</v>
      </c>
      <c r="AK405" t="s">
        <v>95</v>
      </c>
      <c r="AP405" t="s">
        <v>116</v>
      </c>
    </row>
    <row r="406" spans="1:42">
      <c r="A406" s="12">
        <v>43851</v>
      </c>
      <c r="B406">
        <v>2</v>
      </c>
      <c r="C406">
        <v>212</v>
      </c>
      <c r="D406">
        <v>14473</v>
      </c>
      <c r="E406" t="s">
        <v>112</v>
      </c>
      <c r="F406" t="s">
        <v>104</v>
      </c>
      <c r="G406">
        <v>2</v>
      </c>
      <c r="H406">
        <v>47</v>
      </c>
      <c r="I406" s="25" t="s">
        <v>165</v>
      </c>
      <c r="K406" t="s">
        <v>162</v>
      </c>
      <c r="L406" t="s">
        <v>114</v>
      </c>
      <c r="M406" t="s">
        <v>52</v>
      </c>
      <c r="N406" t="s">
        <v>40</v>
      </c>
      <c r="O406">
        <v>37</v>
      </c>
      <c r="Q406">
        <f t="shared" si="16"/>
        <v>1</v>
      </c>
      <c r="R406">
        <v>1</v>
      </c>
      <c r="S406">
        <v>0</v>
      </c>
      <c r="T406">
        <v>0</v>
      </c>
      <c r="U406">
        <v>0</v>
      </c>
      <c r="V406">
        <v>1</v>
      </c>
      <c r="W406">
        <v>0</v>
      </c>
      <c r="X406" s="21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f t="shared" si="18"/>
        <v>64</v>
      </c>
      <c r="AJ406" t="s">
        <v>51</v>
      </c>
      <c r="AK406" t="s">
        <v>52</v>
      </c>
      <c r="AP406" t="s">
        <v>116</v>
      </c>
    </row>
    <row r="407" spans="1:42">
      <c r="A407" s="12">
        <v>43851</v>
      </c>
      <c r="B407">
        <v>2</v>
      </c>
      <c r="C407">
        <v>212</v>
      </c>
      <c r="D407">
        <v>14473</v>
      </c>
      <c r="E407" t="s">
        <v>112</v>
      </c>
      <c r="F407" t="s">
        <v>104</v>
      </c>
      <c r="G407">
        <v>2</v>
      </c>
      <c r="H407">
        <v>48</v>
      </c>
      <c r="I407" s="25">
        <v>2576</v>
      </c>
      <c r="K407" t="s">
        <v>162</v>
      </c>
      <c r="L407" t="s">
        <v>114</v>
      </c>
      <c r="M407" t="s">
        <v>52</v>
      </c>
      <c r="N407" t="s">
        <v>40</v>
      </c>
      <c r="O407">
        <v>47</v>
      </c>
      <c r="Q407">
        <f t="shared" si="16"/>
        <v>2</v>
      </c>
      <c r="R407">
        <v>1</v>
      </c>
      <c r="S407">
        <v>0</v>
      </c>
      <c r="T407">
        <v>0</v>
      </c>
      <c r="U407">
        <v>1</v>
      </c>
      <c r="V407">
        <v>1</v>
      </c>
      <c r="W407">
        <v>0</v>
      </c>
      <c r="X407" s="21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f t="shared" si="18"/>
        <v>96</v>
      </c>
      <c r="AJ407" t="s">
        <v>51</v>
      </c>
      <c r="AK407" t="s">
        <v>52</v>
      </c>
      <c r="AP407" t="s">
        <v>116</v>
      </c>
    </row>
    <row r="408" spans="1:42">
      <c r="A408" s="12">
        <v>43851</v>
      </c>
      <c r="B408">
        <v>2</v>
      </c>
      <c r="C408">
        <v>212</v>
      </c>
      <c r="D408">
        <v>14473</v>
      </c>
      <c r="E408" t="s">
        <v>112</v>
      </c>
      <c r="F408" t="s">
        <v>104</v>
      </c>
      <c r="G408">
        <v>2</v>
      </c>
      <c r="H408">
        <v>49</v>
      </c>
      <c r="I408" s="25">
        <v>2590</v>
      </c>
      <c r="K408" t="s">
        <v>162</v>
      </c>
      <c r="L408" t="s">
        <v>114</v>
      </c>
      <c r="M408" t="s">
        <v>52</v>
      </c>
      <c r="N408" t="s">
        <v>44</v>
      </c>
      <c r="O408">
        <v>68</v>
      </c>
      <c r="Q408">
        <f t="shared" si="16"/>
        <v>1</v>
      </c>
      <c r="R408">
        <v>1</v>
      </c>
      <c r="S408">
        <v>0</v>
      </c>
      <c r="T408">
        <v>0</v>
      </c>
      <c r="U408">
        <v>0</v>
      </c>
      <c r="V408">
        <v>0</v>
      </c>
      <c r="W408">
        <v>1</v>
      </c>
      <c r="X408" s="21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f t="shared" si="18"/>
        <v>96</v>
      </c>
      <c r="AJ408" t="s">
        <v>51</v>
      </c>
      <c r="AK408" t="s">
        <v>52</v>
      </c>
      <c r="AL408" t="s">
        <v>129</v>
      </c>
      <c r="AP408" t="s">
        <v>116</v>
      </c>
    </row>
    <row r="409" spans="1:42">
      <c r="A409" s="12">
        <v>43851</v>
      </c>
      <c r="B409">
        <v>2</v>
      </c>
      <c r="C409">
        <v>212</v>
      </c>
      <c r="D409">
        <v>14473</v>
      </c>
      <c r="E409" t="s">
        <v>112</v>
      </c>
      <c r="F409" t="s">
        <v>104</v>
      </c>
      <c r="G409">
        <v>2</v>
      </c>
      <c r="H409">
        <v>50</v>
      </c>
      <c r="I409" s="25">
        <v>2624</v>
      </c>
      <c r="K409" t="s">
        <v>162</v>
      </c>
      <c r="L409" t="s">
        <v>114</v>
      </c>
      <c r="M409" t="s">
        <v>52</v>
      </c>
      <c r="N409" t="s">
        <v>40</v>
      </c>
      <c r="O409">
        <v>29</v>
      </c>
      <c r="Q409">
        <f t="shared" si="16"/>
        <v>2</v>
      </c>
      <c r="R409">
        <v>1</v>
      </c>
      <c r="S409">
        <v>0</v>
      </c>
      <c r="T409">
        <v>0</v>
      </c>
      <c r="U409">
        <v>0</v>
      </c>
      <c r="V409">
        <v>2</v>
      </c>
      <c r="W409">
        <v>0</v>
      </c>
      <c r="X409" s="21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f t="shared" si="18"/>
        <v>128</v>
      </c>
      <c r="AJ409" t="s">
        <v>54</v>
      </c>
      <c r="AK409" t="s">
        <v>52</v>
      </c>
      <c r="AP409" t="s">
        <v>116</v>
      </c>
    </row>
    <row r="410" spans="1:42">
      <c r="A410" s="12">
        <v>43851</v>
      </c>
      <c r="B410">
        <v>2</v>
      </c>
      <c r="C410">
        <v>212</v>
      </c>
      <c r="D410">
        <v>14473</v>
      </c>
      <c r="E410" t="s">
        <v>112</v>
      </c>
      <c r="F410" t="s">
        <v>104</v>
      </c>
      <c r="G410">
        <v>2</v>
      </c>
      <c r="H410">
        <v>51</v>
      </c>
      <c r="I410" s="25" t="s">
        <v>166</v>
      </c>
      <c r="K410" t="s">
        <v>162</v>
      </c>
      <c r="L410" t="s">
        <v>114</v>
      </c>
      <c r="M410" t="s">
        <v>52</v>
      </c>
      <c r="N410" t="s">
        <v>40</v>
      </c>
      <c r="O410">
        <v>82</v>
      </c>
      <c r="Q410">
        <f t="shared" si="16"/>
        <v>4</v>
      </c>
      <c r="R410">
        <v>1</v>
      </c>
      <c r="S410">
        <v>0</v>
      </c>
      <c r="T410">
        <v>0</v>
      </c>
      <c r="U410">
        <v>4</v>
      </c>
      <c r="V410">
        <v>0</v>
      </c>
      <c r="W410">
        <v>0</v>
      </c>
      <c r="X410" s="21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f t="shared" si="18"/>
        <v>128</v>
      </c>
      <c r="AJ410" t="s">
        <v>54</v>
      </c>
      <c r="AK410" t="s">
        <v>52</v>
      </c>
      <c r="AP410" t="s">
        <v>116</v>
      </c>
    </row>
    <row r="411" spans="1:42">
      <c r="A411" s="12">
        <v>43851</v>
      </c>
      <c r="B411">
        <v>2</v>
      </c>
      <c r="C411">
        <v>212</v>
      </c>
      <c r="D411">
        <v>14473</v>
      </c>
      <c r="E411" t="s">
        <v>112</v>
      </c>
      <c r="F411" t="s">
        <v>104</v>
      </c>
      <c r="G411">
        <v>2</v>
      </c>
      <c r="H411">
        <v>52</v>
      </c>
      <c r="I411" s="25">
        <v>2650</v>
      </c>
      <c r="K411" t="s">
        <v>162</v>
      </c>
      <c r="L411" t="s">
        <v>114</v>
      </c>
      <c r="M411" t="s">
        <v>52</v>
      </c>
      <c r="N411" t="s">
        <v>40</v>
      </c>
      <c r="O411">
        <v>29</v>
      </c>
      <c r="Q411">
        <f t="shared" si="16"/>
        <v>1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1</v>
      </c>
      <c r="X411" s="2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f t="shared" si="18"/>
        <v>96</v>
      </c>
      <c r="AJ411" t="s">
        <v>54</v>
      </c>
      <c r="AK411" t="s">
        <v>52</v>
      </c>
      <c r="AP411" t="s">
        <v>116</v>
      </c>
    </row>
    <row r="412" spans="1:42">
      <c r="A412" s="12">
        <v>43851</v>
      </c>
      <c r="B412">
        <v>2</v>
      </c>
      <c r="C412">
        <v>212</v>
      </c>
      <c r="D412">
        <v>14473</v>
      </c>
      <c r="E412" t="s">
        <v>112</v>
      </c>
      <c r="F412" t="s">
        <v>104</v>
      </c>
      <c r="G412">
        <v>2</v>
      </c>
      <c r="H412">
        <v>53</v>
      </c>
      <c r="I412" s="25" t="s">
        <v>167</v>
      </c>
      <c r="K412" t="s">
        <v>162</v>
      </c>
      <c r="L412" t="s">
        <v>114</v>
      </c>
      <c r="M412" t="s">
        <v>52</v>
      </c>
      <c r="N412" t="s">
        <v>40</v>
      </c>
      <c r="O412">
        <v>79</v>
      </c>
      <c r="Q412">
        <f t="shared" ref="Q412:Q475" si="19">S412+T412+U412+V412+W412+Y412+Z412+AA412+AB412+AC412+AD412+AE412+AF412</f>
        <v>3</v>
      </c>
      <c r="R412">
        <v>1</v>
      </c>
      <c r="S412">
        <v>0</v>
      </c>
      <c r="T412">
        <v>0</v>
      </c>
      <c r="U412">
        <v>2</v>
      </c>
      <c r="V412">
        <v>1</v>
      </c>
      <c r="W412">
        <v>0</v>
      </c>
      <c r="X412" s="21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f t="shared" si="18"/>
        <v>128</v>
      </c>
      <c r="AJ412" t="s">
        <v>54</v>
      </c>
      <c r="AK412" t="s">
        <v>52</v>
      </c>
      <c r="AP412" t="s">
        <v>116</v>
      </c>
    </row>
    <row r="413" spans="1:42">
      <c r="A413" s="12">
        <v>43851</v>
      </c>
      <c r="B413">
        <v>2</v>
      </c>
      <c r="C413">
        <v>212</v>
      </c>
      <c r="D413">
        <v>14473</v>
      </c>
      <c r="E413" t="s">
        <v>112</v>
      </c>
      <c r="F413" t="s">
        <v>104</v>
      </c>
      <c r="G413">
        <v>2</v>
      </c>
      <c r="H413">
        <v>54</v>
      </c>
      <c r="I413" s="25" t="s">
        <v>168</v>
      </c>
      <c r="K413" t="s">
        <v>162</v>
      </c>
      <c r="L413" t="s">
        <v>114</v>
      </c>
      <c r="M413" t="s">
        <v>52</v>
      </c>
      <c r="N413" t="s">
        <v>40</v>
      </c>
      <c r="O413">
        <v>173</v>
      </c>
      <c r="Q413">
        <f t="shared" si="19"/>
        <v>6</v>
      </c>
      <c r="R413">
        <v>1</v>
      </c>
      <c r="S413">
        <v>1</v>
      </c>
      <c r="T413">
        <v>0</v>
      </c>
      <c r="U413">
        <v>4</v>
      </c>
      <c r="V413">
        <v>1</v>
      </c>
      <c r="W413">
        <v>0</v>
      </c>
      <c r="X413" s="21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f t="shared" si="18"/>
        <v>208</v>
      </c>
      <c r="AJ413" t="s">
        <v>54</v>
      </c>
      <c r="AK413" t="s">
        <v>52</v>
      </c>
      <c r="AP413" t="s">
        <v>116</v>
      </c>
    </row>
    <row r="414" spans="1:42">
      <c r="A414" s="12">
        <v>43851</v>
      </c>
      <c r="B414">
        <v>2</v>
      </c>
      <c r="C414">
        <v>212</v>
      </c>
      <c r="D414">
        <v>14473</v>
      </c>
      <c r="E414" t="s">
        <v>112</v>
      </c>
      <c r="F414" t="s">
        <v>104</v>
      </c>
      <c r="G414">
        <v>2</v>
      </c>
      <c r="H414">
        <v>55</v>
      </c>
      <c r="I414" s="25">
        <v>2691</v>
      </c>
      <c r="K414" t="s">
        <v>162</v>
      </c>
      <c r="L414" t="s">
        <v>141</v>
      </c>
      <c r="M414" t="s">
        <v>52</v>
      </c>
      <c r="N414" t="s">
        <v>40</v>
      </c>
      <c r="O414">
        <v>61</v>
      </c>
      <c r="Q414">
        <f t="shared" si="19"/>
        <v>2</v>
      </c>
      <c r="R414">
        <v>1</v>
      </c>
      <c r="S414">
        <v>1</v>
      </c>
      <c r="T414">
        <v>0</v>
      </c>
      <c r="U414">
        <v>1</v>
      </c>
      <c r="V414">
        <v>0</v>
      </c>
      <c r="W414">
        <v>0</v>
      </c>
      <c r="X414" s="21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f t="shared" si="18"/>
        <v>48</v>
      </c>
      <c r="AJ414" t="s">
        <v>54</v>
      </c>
      <c r="AK414" t="s">
        <v>52</v>
      </c>
      <c r="AP414" t="s">
        <v>116</v>
      </c>
    </row>
    <row r="415" spans="1:42">
      <c r="A415" s="12">
        <v>43851</v>
      </c>
      <c r="B415">
        <v>2</v>
      </c>
      <c r="C415">
        <v>212</v>
      </c>
      <c r="D415">
        <v>14473</v>
      </c>
      <c r="E415" t="s">
        <v>112</v>
      </c>
      <c r="F415" t="s">
        <v>104</v>
      </c>
      <c r="G415">
        <v>2</v>
      </c>
      <c r="H415">
        <v>56</v>
      </c>
      <c r="I415" s="25">
        <v>2683</v>
      </c>
      <c r="K415" t="s">
        <v>162</v>
      </c>
      <c r="L415" t="s">
        <v>141</v>
      </c>
      <c r="M415" t="s">
        <v>52</v>
      </c>
      <c r="N415" t="s">
        <v>44</v>
      </c>
      <c r="O415">
        <v>35</v>
      </c>
      <c r="Q415">
        <f t="shared" si="19"/>
        <v>1</v>
      </c>
      <c r="R415">
        <v>1</v>
      </c>
      <c r="S415">
        <v>0</v>
      </c>
      <c r="T415">
        <v>0</v>
      </c>
      <c r="U415">
        <v>1</v>
      </c>
      <c r="V415">
        <v>0</v>
      </c>
      <c r="W415">
        <v>0</v>
      </c>
      <c r="X415" s="21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f t="shared" si="18"/>
        <v>32</v>
      </c>
      <c r="AJ415" t="s">
        <v>54</v>
      </c>
      <c r="AK415" t="s">
        <v>52</v>
      </c>
      <c r="AL415" t="s">
        <v>149</v>
      </c>
      <c r="AP415" t="s">
        <v>116</v>
      </c>
    </row>
    <row r="416" spans="1:42">
      <c r="A416" s="12">
        <v>43851</v>
      </c>
      <c r="B416">
        <v>2</v>
      </c>
      <c r="C416">
        <v>212</v>
      </c>
      <c r="D416">
        <v>14473</v>
      </c>
      <c r="E416" t="s">
        <v>112</v>
      </c>
      <c r="F416" t="s">
        <v>104</v>
      </c>
      <c r="G416">
        <v>2</v>
      </c>
      <c r="H416">
        <v>57</v>
      </c>
      <c r="I416" s="25" t="s">
        <v>169</v>
      </c>
      <c r="K416" t="s">
        <v>170</v>
      </c>
      <c r="L416" t="s">
        <v>141</v>
      </c>
      <c r="M416" t="s">
        <v>52</v>
      </c>
      <c r="N416" t="s">
        <v>40</v>
      </c>
      <c r="O416">
        <v>447</v>
      </c>
      <c r="Q416">
        <f t="shared" si="19"/>
        <v>11</v>
      </c>
      <c r="R416">
        <v>1</v>
      </c>
      <c r="S416">
        <v>2</v>
      </c>
      <c r="T416">
        <v>1</v>
      </c>
      <c r="U416">
        <v>6</v>
      </c>
      <c r="V416">
        <v>2</v>
      </c>
      <c r="W416">
        <v>0</v>
      </c>
      <c r="X416" s="21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f t="shared" si="18"/>
        <v>384</v>
      </c>
      <c r="AJ416" t="s">
        <v>54</v>
      </c>
      <c r="AK416" t="s">
        <v>52</v>
      </c>
      <c r="AL416" t="s">
        <v>171</v>
      </c>
      <c r="AP416" t="s">
        <v>116</v>
      </c>
    </row>
    <row r="417" spans="1:42">
      <c r="A417" s="12">
        <v>43851</v>
      </c>
      <c r="B417">
        <v>2</v>
      </c>
      <c r="C417">
        <v>212</v>
      </c>
      <c r="D417">
        <v>14473</v>
      </c>
      <c r="E417" t="s">
        <v>112</v>
      </c>
      <c r="F417" t="s">
        <v>104</v>
      </c>
      <c r="G417">
        <v>2</v>
      </c>
      <c r="H417">
        <v>58</v>
      </c>
      <c r="I417" s="25" t="s">
        <v>172</v>
      </c>
      <c r="K417" t="s">
        <v>173</v>
      </c>
      <c r="L417" t="s">
        <v>141</v>
      </c>
      <c r="M417" t="s">
        <v>52</v>
      </c>
      <c r="N417" t="s">
        <v>40</v>
      </c>
      <c r="P417">
        <v>215</v>
      </c>
      <c r="Q417">
        <f t="shared" si="19"/>
        <v>8</v>
      </c>
      <c r="R417">
        <v>1</v>
      </c>
      <c r="S417">
        <v>1</v>
      </c>
      <c r="T417">
        <v>0</v>
      </c>
      <c r="U417">
        <v>4</v>
      </c>
      <c r="V417">
        <v>2</v>
      </c>
      <c r="W417">
        <v>1</v>
      </c>
      <c r="X417" s="21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f t="shared" si="18"/>
        <v>368</v>
      </c>
      <c r="AJ417" t="s">
        <v>51</v>
      </c>
      <c r="AK417" t="s">
        <v>52</v>
      </c>
      <c r="AL417" t="s">
        <v>174</v>
      </c>
      <c r="AP417" t="s">
        <v>116</v>
      </c>
    </row>
    <row r="418" spans="1:42">
      <c r="A418" s="12">
        <v>43851</v>
      </c>
      <c r="B418">
        <v>2</v>
      </c>
      <c r="C418">
        <v>212</v>
      </c>
      <c r="D418">
        <v>14473</v>
      </c>
      <c r="E418" t="s">
        <v>112</v>
      </c>
      <c r="F418" t="s">
        <v>104</v>
      </c>
      <c r="G418">
        <v>2</v>
      </c>
      <c r="H418">
        <v>59</v>
      </c>
      <c r="I418" s="25">
        <v>2930</v>
      </c>
      <c r="K418" t="s">
        <v>175</v>
      </c>
      <c r="L418" t="s">
        <v>141</v>
      </c>
      <c r="M418" t="s">
        <v>52</v>
      </c>
      <c r="N418" t="s">
        <v>40</v>
      </c>
      <c r="O418">
        <v>25</v>
      </c>
      <c r="Q418">
        <f t="shared" si="19"/>
        <v>1</v>
      </c>
      <c r="R418">
        <v>1</v>
      </c>
      <c r="S418">
        <v>0</v>
      </c>
      <c r="T418">
        <v>0</v>
      </c>
      <c r="U418">
        <v>1</v>
      </c>
      <c r="V418">
        <v>0</v>
      </c>
      <c r="W418">
        <v>0</v>
      </c>
      <c r="X418" s="21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f t="shared" si="18"/>
        <v>32</v>
      </c>
      <c r="AJ418" t="s">
        <v>54</v>
      </c>
      <c r="AK418" t="s">
        <v>52</v>
      </c>
      <c r="AL418" t="s">
        <v>176</v>
      </c>
      <c r="AP418" t="s">
        <v>116</v>
      </c>
    </row>
    <row r="419" spans="1:42">
      <c r="A419" s="12">
        <v>43851</v>
      </c>
      <c r="B419">
        <v>2</v>
      </c>
      <c r="C419">
        <v>212</v>
      </c>
      <c r="D419">
        <v>14473</v>
      </c>
      <c r="E419" t="s">
        <v>112</v>
      </c>
      <c r="F419" t="s">
        <v>104</v>
      </c>
      <c r="G419">
        <v>2</v>
      </c>
      <c r="H419">
        <v>60</v>
      </c>
      <c r="I419" s="25">
        <v>2465</v>
      </c>
      <c r="K419" t="s">
        <v>148</v>
      </c>
      <c r="L419" t="s">
        <v>141</v>
      </c>
      <c r="M419" t="s">
        <v>52</v>
      </c>
      <c r="N419" t="s">
        <v>40</v>
      </c>
      <c r="O419">
        <v>88</v>
      </c>
      <c r="Q419">
        <f t="shared" si="19"/>
        <v>1</v>
      </c>
      <c r="R419">
        <v>1</v>
      </c>
      <c r="S419">
        <v>0</v>
      </c>
      <c r="T419">
        <v>0</v>
      </c>
      <c r="U419">
        <v>0</v>
      </c>
      <c r="V419">
        <v>0</v>
      </c>
      <c r="W419">
        <v>1</v>
      </c>
      <c r="X419" s="21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f t="shared" si="18"/>
        <v>96</v>
      </c>
      <c r="AJ419" t="s">
        <v>51</v>
      </c>
      <c r="AK419" t="s">
        <v>52</v>
      </c>
      <c r="AP419" t="s">
        <v>116</v>
      </c>
    </row>
    <row r="420" spans="1:42">
      <c r="A420" s="12">
        <v>43851</v>
      </c>
      <c r="B420">
        <v>2</v>
      </c>
      <c r="C420">
        <v>212</v>
      </c>
      <c r="D420">
        <v>14473</v>
      </c>
      <c r="E420" t="s">
        <v>112</v>
      </c>
      <c r="F420" t="s">
        <v>104</v>
      </c>
      <c r="G420">
        <v>2</v>
      </c>
      <c r="H420">
        <v>61</v>
      </c>
      <c r="I420" s="25">
        <v>2383</v>
      </c>
      <c r="K420" t="s">
        <v>156</v>
      </c>
      <c r="L420" t="s">
        <v>141</v>
      </c>
      <c r="M420" t="s">
        <v>52</v>
      </c>
      <c r="N420" t="s">
        <v>44</v>
      </c>
      <c r="O420">
        <v>71</v>
      </c>
      <c r="Q420">
        <f t="shared" si="19"/>
        <v>1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1</v>
      </c>
      <c r="X420" s="21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f t="shared" si="18"/>
        <v>96</v>
      </c>
      <c r="AJ420" t="s">
        <v>51</v>
      </c>
      <c r="AK420" t="s">
        <v>95</v>
      </c>
      <c r="AL420" t="s">
        <v>149</v>
      </c>
      <c r="AP420" t="s">
        <v>116</v>
      </c>
    </row>
    <row r="421" spans="1:42">
      <c r="A421" s="12">
        <v>43851</v>
      </c>
      <c r="B421">
        <v>2</v>
      </c>
      <c r="C421">
        <v>212</v>
      </c>
      <c r="D421">
        <v>14473</v>
      </c>
      <c r="E421" t="s">
        <v>112</v>
      </c>
      <c r="F421" t="s">
        <v>104</v>
      </c>
      <c r="G421">
        <v>2</v>
      </c>
      <c r="H421">
        <v>62</v>
      </c>
      <c r="I421" s="25" t="s">
        <v>177</v>
      </c>
      <c r="K421" t="s">
        <v>156</v>
      </c>
      <c r="L421" t="s">
        <v>141</v>
      </c>
      <c r="M421" t="s">
        <v>52</v>
      </c>
      <c r="N421" t="s">
        <v>44</v>
      </c>
      <c r="O421">
        <v>200</v>
      </c>
      <c r="Q421">
        <f t="shared" si="19"/>
        <v>2</v>
      </c>
      <c r="R421">
        <v>1</v>
      </c>
      <c r="S421">
        <v>0</v>
      </c>
      <c r="T421">
        <v>0</v>
      </c>
      <c r="U421">
        <v>0</v>
      </c>
      <c r="V421">
        <v>0</v>
      </c>
      <c r="W421">
        <v>2</v>
      </c>
      <c r="X421" s="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f t="shared" si="18"/>
        <v>192</v>
      </c>
      <c r="AJ421" t="s">
        <v>51</v>
      </c>
      <c r="AK421" t="s">
        <v>52</v>
      </c>
      <c r="AL421" t="s">
        <v>178</v>
      </c>
      <c r="AP421" t="s">
        <v>116</v>
      </c>
    </row>
    <row r="422" spans="1:42">
      <c r="A422" s="12">
        <v>43851</v>
      </c>
      <c r="B422">
        <v>2</v>
      </c>
      <c r="C422">
        <v>212</v>
      </c>
      <c r="D422">
        <v>14473</v>
      </c>
      <c r="E422" t="s">
        <v>112</v>
      </c>
      <c r="F422" t="s">
        <v>104</v>
      </c>
      <c r="G422">
        <v>2</v>
      </c>
      <c r="H422">
        <v>63</v>
      </c>
      <c r="I422" s="25" t="s">
        <v>179</v>
      </c>
      <c r="K422" t="s">
        <v>156</v>
      </c>
      <c r="L422" t="s">
        <v>141</v>
      </c>
      <c r="M422" t="s">
        <v>52</v>
      </c>
      <c r="N422" t="s">
        <v>44</v>
      </c>
      <c r="O422">
        <v>207</v>
      </c>
      <c r="Q422">
        <f t="shared" si="19"/>
        <v>4</v>
      </c>
      <c r="R422">
        <v>1</v>
      </c>
      <c r="S422">
        <v>0</v>
      </c>
      <c r="T422">
        <v>0</v>
      </c>
      <c r="U422">
        <v>1</v>
      </c>
      <c r="V422">
        <v>1</v>
      </c>
      <c r="W422">
        <v>2</v>
      </c>
      <c r="X422" s="21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f t="shared" si="18"/>
        <v>288</v>
      </c>
      <c r="AJ422" t="s">
        <v>51</v>
      </c>
      <c r="AK422" t="s">
        <v>52</v>
      </c>
      <c r="AL422" t="s">
        <v>163</v>
      </c>
      <c r="AP422" t="s">
        <v>116</v>
      </c>
    </row>
    <row r="423" spans="1:42">
      <c r="A423" s="12">
        <v>43851</v>
      </c>
      <c r="B423">
        <v>2</v>
      </c>
      <c r="C423">
        <v>212</v>
      </c>
      <c r="D423">
        <v>14473</v>
      </c>
      <c r="E423" t="s">
        <v>112</v>
      </c>
      <c r="F423" t="s">
        <v>104</v>
      </c>
      <c r="G423">
        <v>2</v>
      </c>
      <c r="H423">
        <v>64</v>
      </c>
      <c r="I423" s="25"/>
      <c r="K423" t="s">
        <v>180</v>
      </c>
      <c r="L423" t="s">
        <v>141</v>
      </c>
      <c r="M423" t="s">
        <v>52</v>
      </c>
      <c r="N423" t="s">
        <v>40</v>
      </c>
      <c r="O423">
        <v>25</v>
      </c>
      <c r="Q423">
        <f t="shared" si="19"/>
        <v>0</v>
      </c>
      <c r="R423">
        <v>1</v>
      </c>
      <c r="S423">
        <v>0</v>
      </c>
      <c r="T423">
        <v>0</v>
      </c>
      <c r="U423">
        <v>0</v>
      </c>
      <c r="V423">
        <v>0</v>
      </c>
      <c r="W423">
        <v>0</v>
      </c>
      <c r="X423" s="21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f t="shared" si="18"/>
        <v>0</v>
      </c>
      <c r="AJ423" t="s">
        <v>54</v>
      </c>
      <c r="AK423" t="s">
        <v>95</v>
      </c>
      <c r="AL423" t="s">
        <v>125</v>
      </c>
      <c r="AP423" t="s">
        <v>116</v>
      </c>
    </row>
    <row r="424" spans="1:42">
      <c r="A424" s="12">
        <v>43851</v>
      </c>
      <c r="B424">
        <v>2</v>
      </c>
      <c r="C424">
        <v>212</v>
      </c>
      <c r="D424">
        <v>14473</v>
      </c>
      <c r="E424" t="s">
        <v>112</v>
      </c>
      <c r="F424" t="s">
        <v>104</v>
      </c>
      <c r="G424">
        <v>2</v>
      </c>
      <c r="H424">
        <v>65</v>
      </c>
      <c r="I424" s="25">
        <v>2943</v>
      </c>
      <c r="K424" t="s">
        <v>113</v>
      </c>
      <c r="L424" t="s">
        <v>141</v>
      </c>
      <c r="M424" t="s">
        <v>52</v>
      </c>
      <c r="N424" t="s">
        <v>40</v>
      </c>
      <c r="O424">
        <v>48</v>
      </c>
      <c r="Q424">
        <f t="shared" si="19"/>
        <v>2</v>
      </c>
      <c r="R424">
        <v>1</v>
      </c>
      <c r="S424">
        <v>0</v>
      </c>
      <c r="T424">
        <v>0</v>
      </c>
      <c r="U424">
        <v>2</v>
      </c>
      <c r="V424">
        <v>0</v>
      </c>
      <c r="W424">
        <v>0</v>
      </c>
      <c r="X424" s="21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f t="shared" si="18"/>
        <v>64</v>
      </c>
      <c r="AJ424" t="s">
        <v>54</v>
      </c>
      <c r="AK424" t="s">
        <v>52</v>
      </c>
      <c r="AP424" t="s">
        <v>116</v>
      </c>
    </row>
    <row r="425" spans="1:42">
      <c r="A425" s="12">
        <v>43851</v>
      </c>
      <c r="B425">
        <v>2</v>
      </c>
      <c r="C425">
        <v>212</v>
      </c>
      <c r="D425">
        <v>14473</v>
      </c>
      <c r="E425" t="s">
        <v>112</v>
      </c>
      <c r="F425" t="s">
        <v>104</v>
      </c>
      <c r="G425">
        <v>2</v>
      </c>
      <c r="H425">
        <v>66</v>
      </c>
      <c r="I425" s="25" t="s">
        <v>181</v>
      </c>
      <c r="K425" t="s">
        <v>113</v>
      </c>
      <c r="L425" t="s">
        <v>141</v>
      </c>
      <c r="M425" t="s">
        <v>52</v>
      </c>
      <c r="N425" t="s">
        <v>40</v>
      </c>
      <c r="P425">
        <v>323</v>
      </c>
      <c r="Q425">
        <f t="shared" si="19"/>
        <v>10</v>
      </c>
      <c r="R425">
        <v>1</v>
      </c>
      <c r="S425">
        <v>3</v>
      </c>
      <c r="T425">
        <v>0</v>
      </c>
      <c r="U425">
        <v>5</v>
      </c>
      <c r="V425">
        <v>1</v>
      </c>
      <c r="W425">
        <v>1</v>
      </c>
      <c r="X425" s="21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f t="shared" si="18"/>
        <v>368</v>
      </c>
      <c r="AJ425" t="s">
        <v>54</v>
      </c>
      <c r="AK425" t="s">
        <v>52</v>
      </c>
      <c r="AP425" t="s">
        <v>116</v>
      </c>
    </row>
    <row r="426" spans="1:42">
      <c r="A426" s="12">
        <v>43851</v>
      </c>
      <c r="B426">
        <v>2</v>
      </c>
      <c r="C426">
        <v>212</v>
      </c>
      <c r="D426">
        <v>14473</v>
      </c>
      <c r="E426" t="s">
        <v>112</v>
      </c>
      <c r="F426" t="s">
        <v>104</v>
      </c>
      <c r="G426">
        <v>2</v>
      </c>
      <c r="H426">
        <v>67</v>
      </c>
      <c r="I426" s="25">
        <v>2835</v>
      </c>
      <c r="K426" t="s">
        <v>113</v>
      </c>
      <c r="L426" t="s">
        <v>141</v>
      </c>
      <c r="M426" t="s">
        <v>52</v>
      </c>
      <c r="N426" t="s">
        <v>44</v>
      </c>
      <c r="O426">
        <v>112</v>
      </c>
      <c r="Q426">
        <f t="shared" si="19"/>
        <v>2</v>
      </c>
      <c r="R426">
        <v>1</v>
      </c>
      <c r="S426">
        <v>0</v>
      </c>
      <c r="T426">
        <v>0</v>
      </c>
      <c r="U426">
        <v>1</v>
      </c>
      <c r="V426">
        <v>0</v>
      </c>
      <c r="W426">
        <v>1</v>
      </c>
      <c r="X426" s="21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f t="shared" si="18"/>
        <v>128</v>
      </c>
      <c r="AJ426" t="s">
        <v>54</v>
      </c>
      <c r="AK426" t="s">
        <v>52</v>
      </c>
      <c r="AL426" t="s">
        <v>182</v>
      </c>
      <c r="AP426" t="s">
        <v>116</v>
      </c>
    </row>
    <row r="427" spans="1:42">
      <c r="A427" s="12">
        <v>43851</v>
      </c>
      <c r="B427">
        <v>2</v>
      </c>
      <c r="C427">
        <v>212</v>
      </c>
      <c r="D427">
        <v>14473</v>
      </c>
      <c r="E427" t="s">
        <v>112</v>
      </c>
      <c r="F427" t="s">
        <v>104</v>
      </c>
      <c r="G427">
        <v>2</v>
      </c>
      <c r="H427">
        <v>68</v>
      </c>
      <c r="I427" s="25">
        <v>2807</v>
      </c>
      <c r="K427" t="s">
        <v>113</v>
      </c>
      <c r="L427" t="s">
        <v>141</v>
      </c>
      <c r="M427" t="s">
        <v>52</v>
      </c>
      <c r="N427" t="s">
        <v>44</v>
      </c>
      <c r="O427">
        <v>152</v>
      </c>
      <c r="Q427">
        <f t="shared" si="19"/>
        <v>2</v>
      </c>
      <c r="R427">
        <v>1</v>
      </c>
      <c r="S427">
        <v>0</v>
      </c>
      <c r="T427">
        <v>0</v>
      </c>
      <c r="U427">
        <v>1</v>
      </c>
      <c r="V427">
        <v>0</v>
      </c>
      <c r="W427">
        <v>1</v>
      </c>
      <c r="X427" s="21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f t="shared" si="18"/>
        <v>128</v>
      </c>
      <c r="AJ427" t="s">
        <v>54</v>
      </c>
      <c r="AK427" t="s">
        <v>52</v>
      </c>
      <c r="AL427" t="s">
        <v>183</v>
      </c>
      <c r="AP427" t="s">
        <v>116</v>
      </c>
    </row>
    <row r="428" spans="1:42">
      <c r="A428" s="12">
        <v>43851</v>
      </c>
      <c r="B428">
        <v>2</v>
      </c>
      <c r="C428">
        <v>212</v>
      </c>
      <c r="D428">
        <v>14473</v>
      </c>
      <c r="E428" t="s">
        <v>112</v>
      </c>
      <c r="F428" t="s">
        <v>104</v>
      </c>
      <c r="G428">
        <v>2</v>
      </c>
      <c r="H428">
        <v>69</v>
      </c>
      <c r="I428" s="25" t="s">
        <v>184</v>
      </c>
      <c r="K428" t="s">
        <v>113</v>
      </c>
      <c r="L428" t="s">
        <v>114</v>
      </c>
      <c r="M428" t="s">
        <v>52</v>
      </c>
      <c r="N428" t="s">
        <v>40</v>
      </c>
      <c r="P428">
        <v>213</v>
      </c>
      <c r="Q428">
        <f t="shared" si="19"/>
        <v>7</v>
      </c>
      <c r="R428">
        <v>1</v>
      </c>
      <c r="S428">
        <v>2</v>
      </c>
      <c r="T428">
        <v>0</v>
      </c>
      <c r="U428">
        <v>4</v>
      </c>
      <c r="V428">
        <v>1</v>
      </c>
      <c r="W428">
        <v>0</v>
      </c>
      <c r="X428" s="21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f t="shared" si="18"/>
        <v>224</v>
      </c>
      <c r="AJ428" t="s">
        <v>54</v>
      </c>
      <c r="AK428" t="s">
        <v>52</v>
      </c>
      <c r="AP428" t="s">
        <v>116</v>
      </c>
    </row>
    <row r="429" spans="1:42">
      <c r="A429" s="12">
        <v>43851</v>
      </c>
      <c r="B429">
        <v>2</v>
      </c>
      <c r="C429">
        <v>212</v>
      </c>
      <c r="D429">
        <v>14473</v>
      </c>
      <c r="E429" t="s">
        <v>112</v>
      </c>
      <c r="F429" t="s">
        <v>104</v>
      </c>
      <c r="G429">
        <v>2</v>
      </c>
      <c r="H429">
        <v>70</v>
      </c>
      <c r="I429" s="25">
        <v>2400</v>
      </c>
      <c r="K429" t="s">
        <v>185</v>
      </c>
      <c r="L429" t="s">
        <v>114</v>
      </c>
      <c r="M429" t="s">
        <v>52</v>
      </c>
      <c r="N429" t="s">
        <v>44</v>
      </c>
      <c r="O429">
        <v>64</v>
      </c>
      <c r="Q429">
        <f t="shared" si="19"/>
        <v>1</v>
      </c>
      <c r="R429">
        <v>1</v>
      </c>
      <c r="S429">
        <v>0</v>
      </c>
      <c r="T429">
        <v>0</v>
      </c>
      <c r="U429">
        <v>1</v>
      </c>
      <c r="V429">
        <v>0</v>
      </c>
      <c r="W429">
        <v>0</v>
      </c>
      <c r="X429" s="21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f t="shared" si="18"/>
        <v>32</v>
      </c>
      <c r="AJ429" t="s">
        <v>54</v>
      </c>
      <c r="AK429" t="s">
        <v>52</v>
      </c>
      <c r="AL429" t="s">
        <v>186</v>
      </c>
      <c r="AP429" t="s">
        <v>116</v>
      </c>
    </row>
    <row r="430" spans="1:42">
      <c r="A430" s="12">
        <v>43851</v>
      </c>
      <c r="B430">
        <v>2</v>
      </c>
      <c r="C430">
        <v>212</v>
      </c>
      <c r="D430">
        <v>14473</v>
      </c>
      <c r="E430" t="s">
        <v>112</v>
      </c>
      <c r="F430" t="s">
        <v>104</v>
      </c>
      <c r="G430">
        <v>2</v>
      </c>
      <c r="H430">
        <v>71</v>
      </c>
      <c r="I430" s="25">
        <v>2772</v>
      </c>
      <c r="K430" t="s">
        <v>175</v>
      </c>
      <c r="L430" t="s">
        <v>114</v>
      </c>
      <c r="M430" t="s">
        <v>52</v>
      </c>
      <c r="N430" t="s">
        <v>44</v>
      </c>
      <c r="O430">
        <v>190</v>
      </c>
      <c r="Q430">
        <f t="shared" si="19"/>
        <v>2</v>
      </c>
      <c r="R430">
        <v>1</v>
      </c>
      <c r="S430">
        <v>0</v>
      </c>
      <c r="T430">
        <v>0</v>
      </c>
      <c r="U430">
        <v>0</v>
      </c>
      <c r="V430">
        <v>2</v>
      </c>
      <c r="W430">
        <v>0</v>
      </c>
      <c r="X430" s="21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f t="shared" si="18"/>
        <v>128</v>
      </c>
      <c r="AJ430" t="s">
        <v>54</v>
      </c>
      <c r="AK430" t="s">
        <v>52</v>
      </c>
      <c r="AL430" t="s">
        <v>187</v>
      </c>
      <c r="AP430" t="s">
        <v>116</v>
      </c>
    </row>
    <row r="431" spans="1:42">
      <c r="A431" s="12">
        <v>43851</v>
      </c>
      <c r="B431">
        <v>2</v>
      </c>
      <c r="C431">
        <v>212</v>
      </c>
      <c r="D431">
        <v>14473</v>
      </c>
      <c r="E431" t="s">
        <v>112</v>
      </c>
      <c r="F431" t="s">
        <v>104</v>
      </c>
      <c r="G431">
        <v>2</v>
      </c>
      <c r="H431">
        <v>72</v>
      </c>
      <c r="I431" s="25" t="s">
        <v>188</v>
      </c>
      <c r="K431" t="s">
        <v>119</v>
      </c>
      <c r="L431" t="s">
        <v>141</v>
      </c>
      <c r="M431" t="s">
        <v>52</v>
      </c>
      <c r="N431" t="s">
        <v>40</v>
      </c>
      <c r="P431">
        <v>424</v>
      </c>
      <c r="Q431">
        <f t="shared" si="19"/>
        <v>9</v>
      </c>
      <c r="R431">
        <v>1</v>
      </c>
      <c r="S431">
        <v>2</v>
      </c>
      <c r="T431">
        <v>1</v>
      </c>
      <c r="U431">
        <v>5</v>
      </c>
      <c r="V431">
        <v>1</v>
      </c>
      <c r="W431">
        <v>0</v>
      </c>
      <c r="X431" s="2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f t="shared" si="18"/>
        <v>288</v>
      </c>
      <c r="AJ431" t="s">
        <v>54</v>
      </c>
      <c r="AK431" t="s">
        <v>52</v>
      </c>
      <c r="AL431" t="s">
        <v>189</v>
      </c>
      <c r="AP431" t="s">
        <v>116</v>
      </c>
    </row>
    <row r="432" spans="1:42">
      <c r="A432" s="12">
        <v>43851</v>
      </c>
      <c r="B432">
        <v>2</v>
      </c>
      <c r="C432">
        <v>212</v>
      </c>
      <c r="D432">
        <v>14473</v>
      </c>
      <c r="E432" t="s">
        <v>112</v>
      </c>
      <c r="F432" t="s">
        <v>104</v>
      </c>
      <c r="G432">
        <v>2</v>
      </c>
      <c r="H432">
        <v>73</v>
      </c>
      <c r="I432" s="25" t="s">
        <v>190</v>
      </c>
      <c r="K432" t="s">
        <v>119</v>
      </c>
      <c r="L432" t="s">
        <v>141</v>
      </c>
      <c r="M432" t="s">
        <v>52</v>
      </c>
      <c r="N432" t="s">
        <v>44</v>
      </c>
      <c r="O432">
        <v>127</v>
      </c>
      <c r="Q432">
        <f t="shared" si="19"/>
        <v>2</v>
      </c>
      <c r="R432">
        <v>1</v>
      </c>
      <c r="S432">
        <v>0</v>
      </c>
      <c r="T432">
        <v>0</v>
      </c>
      <c r="U432">
        <v>1</v>
      </c>
      <c r="V432">
        <v>0</v>
      </c>
      <c r="W432">
        <v>1</v>
      </c>
      <c r="X432" s="21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f t="shared" si="18"/>
        <v>128</v>
      </c>
      <c r="AJ432" t="s">
        <v>54</v>
      </c>
      <c r="AK432" t="s">
        <v>52</v>
      </c>
      <c r="AL432" t="s">
        <v>191</v>
      </c>
      <c r="AP432" t="s">
        <v>116</v>
      </c>
    </row>
    <row r="433" spans="1:42">
      <c r="A433" s="12">
        <v>43851</v>
      </c>
      <c r="B433">
        <v>2</v>
      </c>
      <c r="C433">
        <v>212</v>
      </c>
      <c r="D433">
        <v>14473</v>
      </c>
      <c r="E433" t="s">
        <v>112</v>
      </c>
      <c r="F433" t="s">
        <v>104</v>
      </c>
      <c r="G433">
        <v>2</v>
      </c>
      <c r="H433">
        <v>74</v>
      </c>
      <c r="I433" s="25">
        <v>2754</v>
      </c>
      <c r="K433" t="s">
        <v>192</v>
      </c>
      <c r="L433" t="s">
        <v>141</v>
      </c>
      <c r="M433" t="s">
        <v>52</v>
      </c>
      <c r="N433" t="s">
        <v>44</v>
      </c>
      <c r="O433">
        <v>160</v>
      </c>
      <c r="Q433">
        <f t="shared" si="19"/>
        <v>3</v>
      </c>
      <c r="R433">
        <v>1</v>
      </c>
      <c r="S433">
        <v>0</v>
      </c>
      <c r="T433">
        <v>0</v>
      </c>
      <c r="U433">
        <v>0</v>
      </c>
      <c r="V433">
        <v>1</v>
      </c>
      <c r="W433">
        <v>2</v>
      </c>
      <c r="X433" s="21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f t="shared" si="18"/>
        <v>256</v>
      </c>
      <c r="AJ433" t="s">
        <v>51</v>
      </c>
      <c r="AK433" t="s">
        <v>52</v>
      </c>
      <c r="AL433" t="s">
        <v>193</v>
      </c>
      <c r="AP433" t="s">
        <v>116</v>
      </c>
    </row>
    <row r="434" spans="1:42">
      <c r="A434" s="12">
        <v>43851</v>
      </c>
      <c r="B434">
        <v>2</v>
      </c>
      <c r="C434">
        <v>212</v>
      </c>
      <c r="D434">
        <v>14473</v>
      </c>
      <c r="E434" t="s">
        <v>112</v>
      </c>
      <c r="F434" t="s">
        <v>104</v>
      </c>
      <c r="G434">
        <v>2</v>
      </c>
      <c r="H434">
        <v>75</v>
      </c>
      <c r="I434" s="25" t="s">
        <v>194</v>
      </c>
      <c r="K434" t="s">
        <v>119</v>
      </c>
      <c r="L434" t="s">
        <v>141</v>
      </c>
      <c r="M434" t="s">
        <v>52</v>
      </c>
      <c r="N434" t="s">
        <v>40</v>
      </c>
      <c r="P434">
        <v>401</v>
      </c>
      <c r="Q434">
        <f t="shared" si="19"/>
        <v>13</v>
      </c>
      <c r="R434">
        <v>1</v>
      </c>
      <c r="S434">
        <v>2</v>
      </c>
      <c r="T434">
        <v>0</v>
      </c>
      <c r="U434">
        <v>6</v>
      </c>
      <c r="V434">
        <v>3</v>
      </c>
      <c r="W434">
        <v>2</v>
      </c>
      <c r="X434" s="21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f t="shared" si="18"/>
        <v>608</v>
      </c>
      <c r="AJ434" t="s">
        <v>51</v>
      </c>
      <c r="AK434" t="s">
        <v>95</v>
      </c>
      <c r="AL434" t="s">
        <v>195</v>
      </c>
      <c r="AP434" t="s">
        <v>116</v>
      </c>
    </row>
    <row r="435" spans="1:42">
      <c r="A435" s="12">
        <v>43851</v>
      </c>
      <c r="B435">
        <v>2</v>
      </c>
      <c r="C435">
        <v>212</v>
      </c>
      <c r="D435">
        <v>14473</v>
      </c>
      <c r="E435" t="s">
        <v>112</v>
      </c>
      <c r="F435" t="s">
        <v>104</v>
      </c>
      <c r="G435">
        <v>2</v>
      </c>
      <c r="H435">
        <v>76</v>
      </c>
      <c r="I435" s="25">
        <v>2369</v>
      </c>
      <c r="K435" t="s">
        <v>119</v>
      </c>
      <c r="L435" t="s">
        <v>141</v>
      </c>
      <c r="M435" t="s">
        <v>52</v>
      </c>
      <c r="N435" t="s">
        <v>44</v>
      </c>
      <c r="O435">
        <v>98</v>
      </c>
      <c r="Q435">
        <f t="shared" si="19"/>
        <v>1</v>
      </c>
      <c r="R435">
        <v>1</v>
      </c>
      <c r="S435">
        <v>0</v>
      </c>
      <c r="T435">
        <v>0</v>
      </c>
      <c r="U435">
        <v>0</v>
      </c>
      <c r="V435">
        <v>0</v>
      </c>
      <c r="W435">
        <v>1</v>
      </c>
      <c r="X435" s="21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f t="shared" si="18"/>
        <v>96</v>
      </c>
      <c r="AJ435" t="s">
        <v>51</v>
      </c>
      <c r="AK435" t="s">
        <v>95</v>
      </c>
      <c r="AL435" t="s">
        <v>163</v>
      </c>
      <c r="AP435" t="s">
        <v>116</v>
      </c>
    </row>
    <row r="436" spans="1:42">
      <c r="A436" s="12">
        <v>43851</v>
      </c>
      <c r="B436">
        <v>2</v>
      </c>
      <c r="C436">
        <v>212</v>
      </c>
      <c r="D436">
        <v>14473</v>
      </c>
      <c r="E436" t="s">
        <v>112</v>
      </c>
      <c r="F436" t="s">
        <v>104</v>
      </c>
      <c r="G436">
        <v>2</v>
      </c>
      <c r="H436">
        <v>77</v>
      </c>
      <c r="I436" s="25" t="s">
        <v>196</v>
      </c>
      <c r="K436" t="s">
        <v>119</v>
      </c>
      <c r="L436" t="s">
        <v>141</v>
      </c>
      <c r="M436" t="s">
        <v>52</v>
      </c>
      <c r="N436" t="s">
        <v>44</v>
      </c>
      <c r="O436">
        <v>165</v>
      </c>
      <c r="Q436">
        <f t="shared" si="19"/>
        <v>2</v>
      </c>
      <c r="R436">
        <v>1</v>
      </c>
      <c r="S436">
        <v>0</v>
      </c>
      <c r="T436">
        <v>0</v>
      </c>
      <c r="U436">
        <v>0</v>
      </c>
      <c r="V436">
        <v>0</v>
      </c>
      <c r="W436">
        <v>2</v>
      </c>
      <c r="X436" s="21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f t="shared" si="18"/>
        <v>192</v>
      </c>
      <c r="AJ436" t="s">
        <v>51</v>
      </c>
      <c r="AK436" t="s">
        <v>52</v>
      </c>
      <c r="AL436" t="s">
        <v>197</v>
      </c>
      <c r="AP436" t="s">
        <v>116</v>
      </c>
    </row>
    <row r="437" spans="1:42">
      <c r="A437" s="12">
        <v>43851</v>
      </c>
      <c r="B437">
        <v>2</v>
      </c>
      <c r="C437">
        <v>212</v>
      </c>
      <c r="D437">
        <v>14473</v>
      </c>
      <c r="E437" t="s">
        <v>112</v>
      </c>
      <c r="F437" t="s">
        <v>104</v>
      </c>
      <c r="G437">
        <v>2</v>
      </c>
      <c r="H437">
        <v>78</v>
      </c>
      <c r="I437" s="25">
        <v>2900</v>
      </c>
      <c r="K437" t="s">
        <v>192</v>
      </c>
      <c r="L437" t="s">
        <v>141</v>
      </c>
      <c r="M437" t="s">
        <v>52</v>
      </c>
      <c r="N437" t="s">
        <v>44</v>
      </c>
      <c r="O437">
        <v>202</v>
      </c>
      <c r="Q437">
        <f t="shared" si="19"/>
        <v>2</v>
      </c>
      <c r="R437">
        <v>1</v>
      </c>
      <c r="S437">
        <v>0</v>
      </c>
      <c r="T437">
        <v>0</v>
      </c>
      <c r="U437">
        <v>0</v>
      </c>
      <c r="V437">
        <v>1</v>
      </c>
      <c r="W437">
        <v>1</v>
      </c>
      <c r="X437" s="21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f t="shared" si="18"/>
        <v>160</v>
      </c>
      <c r="AJ437" t="s">
        <v>51</v>
      </c>
      <c r="AK437" t="s">
        <v>52</v>
      </c>
      <c r="AL437" t="s">
        <v>198</v>
      </c>
      <c r="AP437" t="s">
        <v>116</v>
      </c>
    </row>
    <row r="438" spans="1:42">
      <c r="A438" s="12">
        <v>43851</v>
      </c>
      <c r="B438">
        <v>2</v>
      </c>
      <c r="C438">
        <v>212</v>
      </c>
      <c r="D438">
        <v>14473</v>
      </c>
      <c r="E438" t="s">
        <v>112</v>
      </c>
      <c r="F438" t="s">
        <v>104</v>
      </c>
      <c r="G438">
        <v>2</v>
      </c>
      <c r="H438">
        <v>79</v>
      </c>
      <c r="I438" s="25">
        <v>2935</v>
      </c>
      <c r="K438" t="s">
        <v>175</v>
      </c>
      <c r="L438" t="s">
        <v>141</v>
      </c>
      <c r="M438" t="s">
        <v>52</v>
      </c>
      <c r="N438" t="s">
        <v>44</v>
      </c>
      <c r="O438">
        <v>98</v>
      </c>
      <c r="Q438">
        <f t="shared" si="19"/>
        <v>2</v>
      </c>
      <c r="R438">
        <v>1</v>
      </c>
      <c r="S438">
        <v>0</v>
      </c>
      <c r="T438">
        <v>0</v>
      </c>
      <c r="U438">
        <v>1</v>
      </c>
      <c r="V438">
        <v>1</v>
      </c>
      <c r="W438">
        <v>0</v>
      </c>
      <c r="X438" s="21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f t="shared" si="18"/>
        <v>96</v>
      </c>
      <c r="AJ438" t="s">
        <v>54</v>
      </c>
      <c r="AK438" t="s">
        <v>95</v>
      </c>
      <c r="AL438" t="s">
        <v>199</v>
      </c>
      <c r="AP438" t="s">
        <v>116</v>
      </c>
    </row>
    <row r="439" spans="1:42">
      <c r="A439" s="12">
        <v>43851</v>
      </c>
      <c r="B439">
        <v>2</v>
      </c>
      <c r="C439">
        <v>212</v>
      </c>
      <c r="D439">
        <v>14473</v>
      </c>
      <c r="E439" t="s">
        <v>112</v>
      </c>
      <c r="F439" t="s">
        <v>104</v>
      </c>
      <c r="G439">
        <v>2</v>
      </c>
      <c r="H439">
        <v>80</v>
      </c>
      <c r="I439" s="25" t="s">
        <v>200</v>
      </c>
      <c r="K439" t="s">
        <v>175</v>
      </c>
      <c r="L439" t="s">
        <v>141</v>
      </c>
      <c r="M439" t="s">
        <v>52</v>
      </c>
      <c r="N439" t="s">
        <v>44</v>
      </c>
      <c r="O439">
        <v>30</v>
      </c>
      <c r="Q439">
        <f t="shared" si="19"/>
        <v>0</v>
      </c>
      <c r="R439">
        <v>1</v>
      </c>
      <c r="S439">
        <v>0</v>
      </c>
      <c r="T439">
        <v>0</v>
      </c>
      <c r="U439">
        <v>0</v>
      </c>
      <c r="V439">
        <v>0</v>
      </c>
      <c r="W439">
        <v>0</v>
      </c>
      <c r="X439" s="21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f t="shared" si="18"/>
        <v>0</v>
      </c>
      <c r="AJ439" t="s">
        <v>54</v>
      </c>
      <c r="AK439" t="s">
        <v>52</v>
      </c>
      <c r="AL439" t="s">
        <v>201</v>
      </c>
      <c r="AP439" t="s">
        <v>116</v>
      </c>
    </row>
    <row r="440" spans="1:42">
      <c r="A440" s="12">
        <v>43851</v>
      </c>
      <c r="B440">
        <v>2</v>
      </c>
      <c r="C440">
        <v>212</v>
      </c>
      <c r="D440">
        <v>14473</v>
      </c>
      <c r="E440" t="s">
        <v>112</v>
      </c>
      <c r="F440" t="s">
        <v>104</v>
      </c>
      <c r="G440">
        <v>2</v>
      </c>
      <c r="H440">
        <v>81</v>
      </c>
      <c r="I440" s="25">
        <v>2485</v>
      </c>
      <c r="K440" t="s">
        <v>156</v>
      </c>
      <c r="L440" t="s">
        <v>141</v>
      </c>
      <c r="M440" t="s">
        <v>52</v>
      </c>
      <c r="N440" t="s">
        <v>44</v>
      </c>
      <c r="O440">
        <v>60</v>
      </c>
      <c r="Q440">
        <f t="shared" si="19"/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1</v>
      </c>
      <c r="X440" s="21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f t="shared" si="18"/>
        <v>96</v>
      </c>
      <c r="AJ440" t="s">
        <v>51</v>
      </c>
      <c r="AK440" t="s">
        <v>95</v>
      </c>
      <c r="AP440" t="s">
        <v>116</v>
      </c>
    </row>
    <row r="441" spans="1:42">
      <c r="A441" s="12">
        <v>43851</v>
      </c>
      <c r="B441">
        <v>2</v>
      </c>
      <c r="C441">
        <v>212</v>
      </c>
      <c r="D441">
        <v>14473</v>
      </c>
      <c r="E441" t="s">
        <v>112</v>
      </c>
      <c r="F441" t="s">
        <v>104</v>
      </c>
      <c r="G441">
        <v>2</v>
      </c>
      <c r="H441">
        <v>82</v>
      </c>
      <c r="I441" s="25" t="s">
        <v>202</v>
      </c>
      <c r="K441" t="s">
        <v>192</v>
      </c>
      <c r="L441" t="s">
        <v>141</v>
      </c>
      <c r="M441" t="s">
        <v>52</v>
      </c>
      <c r="N441" t="s">
        <v>44</v>
      </c>
      <c r="O441">
        <v>398</v>
      </c>
      <c r="Q441">
        <f t="shared" si="19"/>
        <v>3</v>
      </c>
      <c r="R441">
        <v>1</v>
      </c>
      <c r="S441">
        <v>0</v>
      </c>
      <c r="T441">
        <v>0</v>
      </c>
      <c r="U441">
        <v>0</v>
      </c>
      <c r="V441">
        <v>0</v>
      </c>
      <c r="W441">
        <v>3</v>
      </c>
      <c r="X441" s="2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f t="shared" si="18"/>
        <v>288</v>
      </c>
      <c r="AJ441" t="s">
        <v>51</v>
      </c>
      <c r="AK441" t="s">
        <v>52</v>
      </c>
      <c r="AL441" t="s">
        <v>203</v>
      </c>
      <c r="AP441" t="s">
        <v>116</v>
      </c>
    </row>
    <row r="442" spans="1:42">
      <c r="A442" s="12">
        <v>43851</v>
      </c>
      <c r="B442">
        <v>2</v>
      </c>
      <c r="C442">
        <v>212</v>
      </c>
      <c r="D442">
        <v>14473</v>
      </c>
      <c r="E442" t="s">
        <v>112</v>
      </c>
      <c r="F442" t="s">
        <v>104</v>
      </c>
      <c r="G442">
        <v>2</v>
      </c>
      <c r="H442">
        <v>83</v>
      </c>
      <c r="I442" s="25" t="s">
        <v>204</v>
      </c>
      <c r="K442" t="s">
        <v>119</v>
      </c>
      <c r="L442" t="s">
        <v>114</v>
      </c>
      <c r="M442" t="s">
        <v>52</v>
      </c>
      <c r="N442" t="s">
        <v>40</v>
      </c>
      <c r="P442">
        <v>320</v>
      </c>
      <c r="Q442">
        <f t="shared" si="19"/>
        <v>7</v>
      </c>
      <c r="R442">
        <v>1</v>
      </c>
      <c r="S442">
        <v>2</v>
      </c>
      <c r="T442">
        <v>0</v>
      </c>
      <c r="U442">
        <v>3</v>
      </c>
      <c r="V442">
        <v>1</v>
      </c>
      <c r="W442">
        <v>0</v>
      </c>
      <c r="X442" s="21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1</v>
      </c>
      <c r="AG442">
        <v>0</v>
      </c>
      <c r="AH442">
        <f t="shared" si="18"/>
        <v>192</v>
      </c>
      <c r="AJ442" t="s">
        <v>51</v>
      </c>
      <c r="AK442" t="s">
        <v>95</v>
      </c>
      <c r="AL442" t="s">
        <v>205</v>
      </c>
      <c r="AP442" t="s">
        <v>116</v>
      </c>
    </row>
    <row r="443" spans="1:42">
      <c r="A443" s="12">
        <v>43851</v>
      </c>
      <c r="B443">
        <v>2</v>
      </c>
      <c r="C443">
        <v>212</v>
      </c>
      <c r="D443">
        <v>14473</v>
      </c>
      <c r="E443" t="s">
        <v>112</v>
      </c>
      <c r="F443" t="s">
        <v>104</v>
      </c>
      <c r="G443">
        <v>2</v>
      </c>
      <c r="H443">
        <v>84</v>
      </c>
      <c r="I443" s="25">
        <v>3060</v>
      </c>
      <c r="K443" t="s">
        <v>175</v>
      </c>
      <c r="L443" t="s">
        <v>114</v>
      </c>
      <c r="M443" t="s">
        <v>52</v>
      </c>
      <c r="N443" t="s">
        <v>44</v>
      </c>
      <c r="O443">
        <v>80</v>
      </c>
      <c r="Q443">
        <f t="shared" si="19"/>
        <v>1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1</v>
      </c>
      <c r="X443" s="21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f t="shared" ref="AH443:AH506" si="20">(S443*16+(T443*32)+(U443*32)+(V443*64)+(W443*96))</f>
        <v>96</v>
      </c>
      <c r="AJ443" t="s">
        <v>54</v>
      </c>
      <c r="AK443" t="s">
        <v>52</v>
      </c>
      <c r="AL443" t="s">
        <v>206</v>
      </c>
      <c r="AP443" t="s">
        <v>116</v>
      </c>
    </row>
    <row r="444" spans="1:42">
      <c r="A444" s="12">
        <v>43851</v>
      </c>
      <c r="B444">
        <v>2</v>
      </c>
      <c r="C444">
        <v>212</v>
      </c>
      <c r="D444">
        <v>14473</v>
      </c>
      <c r="E444" t="s">
        <v>112</v>
      </c>
      <c r="F444" t="s">
        <v>104</v>
      </c>
      <c r="G444">
        <v>2</v>
      </c>
      <c r="H444">
        <v>85</v>
      </c>
      <c r="I444" s="25">
        <v>3118</v>
      </c>
      <c r="K444" t="s">
        <v>175</v>
      </c>
      <c r="L444" t="s">
        <v>114</v>
      </c>
      <c r="M444" t="s">
        <v>52</v>
      </c>
      <c r="N444" t="s">
        <v>40</v>
      </c>
      <c r="O444">
        <v>25</v>
      </c>
      <c r="Q444">
        <f t="shared" si="19"/>
        <v>2</v>
      </c>
      <c r="R444">
        <v>1</v>
      </c>
      <c r="S444">
        <v>1</v>
      </c>
      <c r="T444">
        <v>0</v>
      </c>
      <c r="U444">
        <v>1</v>
      </c>
      <c r="V444">
        <v>0</v>
      </c>
      <c r="W444">
        <v>0</v>
      </c>
      <c r="X444" s="21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f t="shared" si="20"/>
        <v>48</v>
      </c>
      <c r="AJ444" t="s">
        <v>51</v>
      </c>
      <c r="AK444" t="s">
        <v>95</v>
      </c>
      <c r="AP444" t="s">
        <v>116</v>
      </c>
    </row>
    <row r="445" spans="1:42">
      <c r="A445" s="12">
        <v>43851</v>
      </c>
      <c r="B445">
        <v>2</v>
      </c>
      <c r="C445">
        <v>212</v>
      </c>
      <c r="D445">
        <v>14473</v>
      </c>
      <c r="E445" t="s">
        <v>112</v>
      </c>
      <c r="F445" t="s">
        <v>104</v>
      </c>
      <c r="G445">
        <v>2</v>
      </c>
      <c r="H445">
        <v>86</v>
      </c>
      <c r="I445" s="25">
        <v>3126</v>
      </c>
      <c r="K445" t="s">
        <v>175</v>
      </c>
      <c r="L445" t="s">
        <v>114</v>
      </c>
      <c r="M445" t="s">
        <v>52</v>
      </c>
      <c r="N445" t="s">
        <v>44</v>
      </c>
      <c r="O445">
        <v>116</v>
      </c>
      <c r="Q445">
        <f t="shared" si="19"/>
        <v>1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1</v>
      </c>
      <c r="X445" s="21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f t="shared" si="20"/>
        <v>96</v>
      </c>
      <c r="AJ445" t="s">
        <v>51</v>
      </c>
      <c r="AK445" t="s">
        <v>95</v>
      </c>
      <c r="AL445" t="s">
        <v>207</v>
      </c>
      <c r="AP445" t="s">
        <v>116</v>
      </c>
    </row>
    <row r="446" spans="1:42">
      <c r="A446" s="12">
        <v>43851</v>
      </c>
      <c r="B446">
        <v>2</v>
      </c>
      <c r="C446">
        <v>212</v>
      </c>
      <c r="D446">
        <v>14473</v>
      </c>
      <c r="E446" t="s">
        <v>112</v>
      </c>
      <c r="F446" t="s">
        <v>104</v>
      </c>
      <c r="G446">
        <v>2</v>
      </c>
      <c r="H446">
        <v>87</v>
      </c>
      <c r="I446" s="25" t="s">
        <v>208</v>
      </c>
      <c r="K446" t="s">
        <v>175</v>
      </c>
      <c r="L446" t="s">
        <v>114</v>
      </c>
      <c r="M446" t="s">
        <v>52</v>
      </c>
      <c r="N446" t="s">
        <v>44</v>
      </c>
      <c r="O446">
        <v>316</v>
      </c>
      <c r="Q446">
        <f t="shared" si="19"/>
        <v>5</v>
      </c>
      <c r="R446">
        <v>1</v>
      </c>
      <c r="S446">
        <v>0</v>
      </c>
      <c r="T446">
        <v>0</v>
      </c>
      <c r="U446">
        <v>1</v>
      </c>
      <c r="V446">
        <v>0</v>
      </c>
      <c r="W446">
        <v>4</v>
      </c>
      <c r="X446" s="21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f t="shared" si="20"/>
        <v>416</v>
      </c>
      <c r="AJ446" t="s">
        <v>51</v>
      </c>
      <c r="AK446" t="s">
        <v>95</v>
      </c>
      <c r="AL446" t="s">
        <v>209</v>
      </c>
      <c r="AP446" t="s">
        <v>116</v>
      </c>
    </row>
    <row r="447" spans="1:42">
      <c r="A447" s="12">
        <v>43851</v>
      </c>
      <c r="B447">
        <v>2</v>
      </c>
      <c r="C447">
        <v>212</v>
      </c>
      <c r="D447">
        <v>14473</v>
      </c>
      <c r="E447" t="s">
        <v>112</v>
      </c>
      <c r="F447" t="s">
        <v>104</v>
      </c>
      <c r="G447">
        <v>2</v>
      </c>
      <c r="H447">
        <v>88</v>
      </c>
      <c r="I447" s="25">
        <v>2349</v>
      </c>
      <c r="K447" t="s">
        <v>210</v>
      </c>
      <c r="L447" t="s">
        <v>114</v>
      </c>
      <c r="M447" t="s">
        <v>52</v>
      </c>
      <c r="N447" t="s">
        <v>40</v>
      </c>
      <c r="O447">
        <v>37</v>
      </c>
      <c r="Q447">
        <f t="shared" si="19"/>
        <v>1</v>
      </c>
      <c r="R447">
        <v>1</v>
      </c>
      <c r="S447">
        <v>0</v>
      </c>
      <c r="T447">
        <v>0</v>
      </c>
      <c r="U447">
        <v>1</v>
      </c>
      <c r="V447">
        <v>0</v>
      </c>
      <c r="W447">
        <v>0</v>
      </c>
      <c r="X447" s="21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f t="shared" si="20"/>
        <v>32</v>
      </c>
      <c r="AJ447" t="s">
        <v>51</v>
      </c>
      <c r="AK447" t="s">
        <v>95</v>
      </c>
      <c r="AP447" t="s">
        <v>116</v>
      </c>
    </row>
    <row r="448" spans="1:42">
      <c r="A448" s="12">
        <v>43851</v>
      </c>
      <c r="B448">
        <v>2</v>
      </c>
      <c r="C448">
        <v>212</v>
      </c>
      <c r="D448">
        <v>14473</v>
      </c>
      <c r="E448" t="s">
        <v>112</v>
      </c>
      <c r="F448" t="s">
        <v>104</v>
      </c>
      <c r="G448">
        <v>2</v>
      </c>
      <c r="H448">
        <v>89</v>
      </c>
      <c r="I448" s="25">
        <v>2347</v>
      </c>
      <c r="K448" t="s">
        <v>210</v>
      </c>
      <c r="L448" t="s">
        <v>114</v>
      </c>
      <c r="M448" t="s">
        <v>52</v>
      </c>
      <c r="N448" t="s">
        <v>44</v>
      </c>
      <c r="O448">
        <v>320</v>
      </c>
      <c r="Q448">
        <f t="shared" si="19"/>
        <v>4</v>
      </c>
      <c r="R448">
        <v>1</v>
      </c>
      <c r="S448">
        <v>0</v>
      </c>
      <c r="T448">
        <v>0</v>
      </c>
      <c r="U448">
        <v>0</v>
      </c>
      <c r="V448">
        <v>2</v>
      </c>
      <c r="W448">
        <v>2</v>
      </c>
      <c r="X448" s="21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f t="shared" si="20"/>
        <v>320</v>
      </c>
      <c r="AJ448" t="s">
        <v>51</v>
      </c>
      <c r="AK448" t="s">
        <v>95</v>
      </c>
      <c r="AL448" t="s">
        <v>211</v>
      </c>
      <c r="AP448" t="s">
        <v>116</v>
      </c>
    </row>
    <row r="449" spans="1:42">
      <c r="A449" s="12">
        <v>43851</v>
      </c>
      <c r="B449">
        <v>2</v>
      </c>
      <c r="C449">
        <v>212</v>
      </c>
      <c r="D449">
        <v>14473</v>
      </c>
      <c r="E449" t="s">
        <v>112</v>
      </c>
      <c r="F449" t="s">
        <v>104</v>
      </c>
      <c r="G449">
        <v>2</v>
      </c>
      <c r="H449">
        <v>90</v>
      </c>
      <c r="I449" s="25" t="s">
        <v>212</v>
      </c>
      <c r="K449" t="s">
        <v>213</v>
      </c>
      <c r="L449" t="s">
        <v>114</v>
      </c>
      <c r="M449" t="s">
        <v>52</v>
      </c>
      <c r="N449" t="s">
        <v>40</v>
      </c>
      <c r="P449">
        <v>412</v>
      </c>
      <c r="Q449">
        <f t="shared" si="19"/>
        <v>18</v>
      </c>
      <c r="R449">
        <v>1</v>
      </c>
      <c r="S449">
        <v>2</v>
      </c>
      <c r="T449">
        <v>1</v>
      </c>
      <c r="U449">
        <v>9</v>
      </c>
      <c r="V449">
        <v>4</v>
      </c>
      <c r="W449">
        <v>2</v>
      </c>
      <c r="X449" s="21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f t="shared" si="20"/>
        <v>800</v>
      </c>
      <c r="AJ449" t="s">
        <v>51</v>
      </c>
      <c r="AK449" t="s">
        <v>52</v>
      </c>
      <c r="AP449" t="s">
        <v>116</v>
      </c>
    </row>
    <row r="450" spans="1:42">
      <c r="A450" s="12">
        <v>43851</v>
      </c>
      <c r="B450">
        <v>2</v>
      </c>
      <c r="C450">
        <v>212</v>
      </c>
      <c r="D450">
        <v>14473</v>
      </c>
      <c r="E450" t="s">
        <v>112</v>
      </c>
      <c r="F450" t="s">
        <v>104</v>
      </c>
      <c r="G450">
        <v>2</v>
      </c>
      <c r="H450">
        <v>91</v>
      </c>
      <c r="I450" s="25" t="s">
        <v>214</v>
      </c>
      <c r="K450" t="s">
        <v>213</v>
      </c>
      <c r="L450" t="s">
        <v>114</v>
      </c>
      <c r="M450" t="s">
        <v>52</v>
      </c>
      <c r="N450" t="s">
        <v>44</v>
      </c>
      <c r="O450">
        <v>131</v>
      </c>
      <c r="Q450">
        <f t="shared" si="19"/>
        <v>1</v>
      </c>
      <c r="R450">
        <v>1</v>
      </c>
      <c r="S450">
        <v>0</v>
      </c>
      <c r="T450">
        <v>0</v>
      </c>
      <c r="U450">
        <v>0</v>
      </c>
      <c r="V450">
        <v>1</v>
      </c>
      <c r="W450">
        <v>0</v>
      </c>
      <c r="X450" s="21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f t="shared" si="20"/>
        <v>64</v>
      </c>
      <c r="AJ450" t="s">
        <v>51</v>
      </c>
      <c r="AK450" t="s">
        <v>52</v>
      </c>
      <c r="AL450" t="s">
        <v>215</v>
      </c>
      <c r="AP450" t="s">
        <v>116</v>
      </c>
    </row>
    <row r="451" spans="1:42">
      <c r="A451" s="12">
        <v>43851</v>
      </c>
      <c r="B451">
        <v>2</v>
      </c>
      <c r="C451">
        <v>212</v>
      </c>
      <c r="D451">
        <v>14473</v>
      </c>
      <c r="E451" t="s">
        <v>112</v>
      </c>
      <c r="F451" t="s">
        <v>104</v>
      </c>
      <c r="G451">
        <v>2</v>
      </c>
      <c r="H451">
        <v>92</v>
      </c>
      <c r="I451" s="25">
        <v>2554</v>
      </c>
      <c r="K451" t="s">
        <v>213</v>
      </c>
      <c r="L451" t="s">
        <v>114</v>
      </c>
      <c r="M451" t="s">
        <v>52</v>
      </c>
      <c r="N451" t="s">
        <v>44</v>
      </c>
      <c r="O451">
        <v>74</v>
      </c>
      <c r="Q451">
        <f t="shared" si="19"/>
        <v>1</v>
      </c>
      <c r="R451">
        <v>1</v>
      </c>
      <c r="S451">
        <v>0</v>
      </c>
      <c r="T451">
        <v>0</v>
      </c>
      <c r="U451">
        <v>0</v>
      </c>
      <c r="V451">
        <v>0</v>
      </c>
      <c r="W451">
        <v>1</v>
      </c>
      <c r="X451" s="2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f t="shared" si="20"/>
        <v>96</v>
      </c>
      <c r="AJ451" t="s">
        <v>51</v>
      </c>
      <c r="AK451" t="s">
        <v>95</v>
      </c>
      <c r="AL451" t="s">
        <v>216</v>
      </c>
      <c r="AP451" t="s">
        <v>116</v>
      </c>
    </row>
    <row r="452" spans="1:42">
      <c r="A452" s="12">
        <v>43851</v>
      </c>
      <c r="B452">
        <v>2</v>
      </c>
      <c r="C452">
        <v>212</v>
      </c>
      <c r="D452">
        <v>14473</v>
      </c>
      <c r="E452" t="s">
        <v>112</v>
      </c>
      <c r="F452" t="s">
        <v>104</v>
      </c>
      <c r="G452">
        <v>2</v>
      </c>
      <c r="H452">
        <v>93</v>
      </c>
      <c r="I452" s="25" t="s">
        <v>217</v>
      </c>
      <c r="K452" t="s">
        <v>213</v>
      </c>
      <c r="L452" t="s">
        <v>114</v>
      </c>
      <c r="M452" t="s">
        <v>52</v>
      </c>
      <c r="N452" t="s">
        <v>40</v>
      </c>
      <c r="P452">
        <v>392</v>
      </c>
      <c r="Q452">
        <f t="shared" si="19"/>
        <v>17</v>
      </c>
      <c r="R452">
        <v>1</v>
      </c>
      <c r="S452">
        <v>2</v>
      </c>
      <c r="T452">
        <v>1</v>
      </c>
      <c r="U452">
        <v>9</v>
      </c>
      <c r="V452">
        <v>2</v>
      </c>
      <c r="W452">
        <v>3</v>
      </c>
      <c r="X452" s="21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f t="shared" si="20"/>
        <v>768</v>
      </c>
      <c r="AJ452" t="s">
        <v>51</v>
      </c>
      <c r="AK452" t="s">
        <v>52</v>
      </c>
      <c r="AP452" t="s">
        <v>116</v>
      </c>
    </row>
    <row r="453" spans="1:42">
      <c r="A453" s="12">
        <v>43851</v>
      </c>
      <c r="B453">
        <v>2</v>
      </c>
      <c r="C453">
        <v>212</v>
      </c>
      <c r="D453">
        <v>14473</v>
      </c>
      <c r="E453" t="s">
        <v>112</v>
      </c>
      <c r="F453" t="s">
        <v>104</v>
      </c>
      <c r="G453">
        <v>2</v>
      </c>
      <c r="H453">
        <v>94</v>
      </c>
      <c r="I453" s="25">
        <v>2618</v>
      </c>
      <c r="K453" t="s">
        <v>213</v>
      </c>
      <c r="L453" t="s">
        <v>114</v>
      </c>
      <c r="M453" t="s">
        <v>52</v>
      </c>
      <c r="N453" t="s">
        <v>44</v>
      </c>
      <c r="O453">
        <v>132</v>
      </c>
      <c r="Q453">
        <f t="shared" si="19"/>
        <v>2</v>
      </c>
      <c r="R453">
        <v>1</v>
      </c>
      <c r="S453">
        <v>0</v>
      </c>
      <c r="T453">
        <v>0</v>
      </c>
      <c r="U453">
        <v>0</v>
      </c>
      <c r="V453">
        <v>1</v>
      </c>
      <c r="W453">
        <v>1</v>
      </c>
      <c r="X453" s="21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f t="shared" si="20"/>
        <v>160</v>
      </c>
      <c r="AJ453" t="s">
        <v>51</v>
      </c>
      <c r="AK453" t="s">
        <v>52</v>
      </c>
      <c r="AL453" t="s">
        <v>218</v>
      </c>
      <c r="AP453" t="s">
        <v>116</v>
      </c>
    </row>
    <row r="454" spans="1:42">
      <c r="A454" s="12">
        <v>43851</v>
      </c>
      <c r="B454">
        <v>2</v>
      </c>
      <c r="C454">
        <v>212</v>
      </c>
      <c r="D454">
        <v>14473</v>
      </c>
      <c r="E454" t="s">
        <v>112</v>
      </c>
      <c r="F454" t="s">
        <v>104</v>
      </c>
      <c r="G454">
        <v>2</v>
      </c>
      <c r="H454">
        <v>95</v>
      </c>
      <c r="I454" s="25" t="s">
        <v>219</v>
      </c>
      <c r="K454" t="s">
        <v>213</v>
      </c>
      <c r="L454" t="s">
        <v>114</v>
      </c>
      <c r="M454" t="s">
        <v>52</v>
      </c>
      <c r="N454" t="s">
        <v>40</v>
      </c>
      <c r="P454">
        <v>437</v>
      </c>
      <c r="Q454">
        <f t="shared" si="19"/>
        <v>19</v>
      </c>
      <c r="R454">
        <v>1</v>
      </c>
      <c r="S454">
        <v>4</v>
      </c>
      <c r="T454">
        <v>1</v>
      </c>
      <c r="U454">
        <v>12</v>
      </c>
      <c r="V454">
        <v>2</v>
      </c>
      <c r="W454">
        <v>0</v>
      </c>
      <c r="X454" s="21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f t="shared" si="20"/>
        <v>608</v>
      </c>
      <c r="AJ454" t="s">
        <v>51</v>
      </c>
      <c r="AK454" t="s">
        <v>52</v>
      </c>
      <c r="AP454" t="s">
        <v>116</v>
      </c>
    </row>
    <row r="455" spans="1:42">
      <c r="A455" s="12">
        <v>43851</v>
      </c>
      <c r="B455">
        <v>2</v>
      </c>
      <c r="C455">
        <v>212</v>
      </c>
      <c r="D455">
        <v>14473</v>
      </c>
      <c r="E455" t="s">
        <v>112</v>
      </c>
      <c r="F455" t="s">
        <v>104</v>
      </c>
      <c r="G455">
        <v>2</v>
      </c>
      <c r="H455">
        <v>96</v>
      </c>
      <c r="I455" s="25">
        <v>3001</v>
      </c>
      <c r="K455" t="s">
        <v>220</v>
      </c>
      <c r="L455" t="s">
        <v>114</v>
      </c>
      <c r="M455" t="s">
        <v>52</v>
      </c>
      <c r="N455" t="s">
        <v>44</v>
      </c>
      <c r="O455">
        <v>87</v>
      </c>
      <c r="Q455">
        <f t="shared" si="19"/>
        <v>2</v>
      </c>
      <c r="R455">
        <v>1</v>
      </c>
      <c r="S455">
        <v>0</v>
      </c>
      <c r="T455">
        <v>0</v>
      </c>
      <c r="U455">
        <v>0</v>
      </c>
      <c r="V455">
        <v>1</v>
      </c>
      <c r="W455">
        <v>1</v>
      </c>
      <c r="X455" s="21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f t="shared" si="20"/>
        <v>160</v>
      </c>
      <c r="AJ455" t="s">
        <v>51</v>
      </c>
      <c r="AK455" t="s">
        <v>52</v>
      </c>
      <c r="AL455" t="s">
        <v>221</v>
      </c>
      <c r="AP455" t="s">
        <v>116</v>
      </c>
    </row>
    <row r="456" spans="1:42">
      <c r="A456" s="12">
        <v>43851</v>
      </c>
      <c r="B456">
        <v>2</v>
      </c>
      <c r="C456">
        <v>212</v>
      </c>
      <c r="D456">
        <v>14473</v>
      </c>
      <c r="E456" t="s">
        <v>112</v>
      </c>
      <c r="F456" t="s">
        <v>104</v>
      </c>
      <c r="G456">
        <v>2</v>
      </c>
      <c r="H456">
        <v>97</v>
      </c>
      <c r="I456" s="25" t="s">
        <v>222</v>
      </c>
      <c r="K456" t="s">
        <v>213</v>
      </c>
      <c r="L456" t="s">
        <v>114</v>
      </c>
      <c r="M456" t="s">
        <v>52</v>
      </c>
      <c r="N456" t="s">
        <v>40</v>
      </c>
      <c r="P456">
        <v>638</v>
      </c>
      <c r="Q456">
        <f t="shared" si="19"/>
        <v>10</v>
      </c>
      <c r="R456">
        <v>1</v>
      </c>
      <c r="S456">
        <v>1</v>
      </c>
      <c r="T456">
        <v>0</v>
      </c>
      <c r="U456">
        <v>6</v>
      </c>
      <c r="V456">
        <v>3</v>
      </c>
      <c r="W456">
        <v>0</v>
      </c>
      <c r="X456" s="21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f t="shared" si="20"/>
        <v>400</v>
      </c>
      <c r="AJ456" t="s">
        <v>51</v>
      </c>
      <c r="AK456" t="s">
        <v>52</v>
      </c>
      <c r="AP456" t="s">
        <v>116</v>
      </c>
    </row>
    <row r="457" spans="1:42">
      <c r="A457" s="12">
        <v>43851</v>
      </c>
      <c r="B457">
        <v>2</v>
      </c>
      <c r="C457">
        <v>212</v>
      </c>
      <c r="D457">
        <v>14473</v>
      </c>
      <c r="E457" t="s">
        <v>112</v>
      </c>
      <c r="F457" t="s">
        <v>104</v>
      </c>
      <c r="G457">
        <v>2</v>
      </c>
      <c r="H457">
        <v>98</v>
      </c>
      <c r="I457" s="25">
        <v>2812</v>
      </c>
      <c r="K457" t="s">
        <v>213</v>
      </c>
      <c r="L457" t="s">
        <v>114</v>
      </c>
      <c r="M457" t="s">
        <v>52</v>
      </c>
      <c r="N457" t="s">
        <v>44</v>
      </c>
      <c r="O457">
        <v>85</v>
      </c>
      <c r="Q457">
        <f t="shared" si="19"/>
        <v>1</v>
      </c>
      <c r="R457">
        <v>1</v>
      </c>
      <c r="S457">
        <v>0</v>
      </c>
      <c r="T457">
        <v>0</v>
      </c>
      <c r="U457">
        <v>0</v>
      </c>
      <c r="V457">
        <v>0</v>
      </c>
      <c r="W457">
        <v>1</v>
      </c>
      <c r="X457" s="21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f t="shared" si="20"/>
        <v>96</v>
      </c>
      <c r="AJ457" t="s">
        <v>51</v>
      </c>
      <c r="AK457" t="s">
        <v>52</v>
      </c>
      <c r="AL457" t="s">
        <v>223</v>
      </c>
      <c r="AP457" t="s">
        <v>116</v>
      </c>
    </row>
    <row r="458" spans="1:42">
      <c r="A458" s="12">
        <v>43851</v>
      </c>
      <c r="B458">
        <v>2</v>
      </c>
      <c r="C458">
        <v>212</v>
      </c>
      <c r="D458">
        <v>14473</v>
      </c>
      <c r="E458" t="s">
        <v>112</v>
      </c>
      <c r="F458" t="s">
        <v>104</v>
      </c>
      <c r="G458">
        <v>2</v>
      </c>
      <c r="H458">
        <v>99</v>
      </c>
      <c r="I458" s="25">
        <v>2820</v>
      </c>
      <c r="K458" t="s">
        <v>213</v>
      </c>
      <c r="L458" t="s">
        <v>114</v>
      </c>
      <c r="M458" t="s">
        <v>52</v>
      </c>
      <c r="N458" t="s">
        <v>44</v>
      </c>
      <c r="O458">
        <v>87</v>
      </c>
      <c r="Q458">
        <f t="shared" si="19"/>
        <v>1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1</v>
      </c>
      <c r="X458" s="21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f t="shared" si="20"/>
        <v>96</v>
      </c>
      <c r="AJ458" t="s">
        <v>51</v>
      </c>
      <c r="AK458" t="s">
        <v>52</v>
      </c>
      <c r="AL458" t="s">
        <v>206</v>
      </c>
      <c r="AP458" t="s">
        <v>116</v>
      </c>
    </row>
    <row r="459" spans="1:42">
      <c r="A459" s="12">
        <v>43851</v>
      </c>
      <c r="B459">
        <v>2</v>
      </c>
      <c r="C459">
        <v>212</v>
      </c>
      <c r="D459">
        <v>14473</v>
      </c>
      <c r="E459" t="s">
        <v>112</v>
      </c>
      <c r="F459" t="s">
        <v>104</v>
      </c>
      <c r="G459">
        <v>2</v>
      </c>
      <c r="H459">
        <v>100</v>
      </c>
      <c r="I459" s="25">
        <v>2828</v>
      </c>
      <c r="K459" t="s">
        <v>213</v>
      </c>
      <c r="L459" t="s">
        <v>114</v>
      </c>
      <c r="M459" t="s">
        <v>52</v>
      </c>
      <c r="N459" t="s">
        <v>44</v>
      </c>
      <c r="O459">
        <v>67</v>
      </c>
      <c r="Q459">
        <f t="shared" si="19"/>
        <v>3</v>
      </c>
      <c r="R459">
        <v>1</v>
      </c>
      <c r="S459">
        <v>0</v>
      </c>
      <c r="T459">
        <v>0</v>
      </c>
      <c r="U459">
        <v>0</v>
      </c>
      <c r="V459">
        <v>1</v>
      </c>
      <c r="W459">
        <v>2</v>
      </c>
      <c r="X459" s="21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f t="shared" si="20"/>
        <v>256</v>
      </c>
      <c r="AJ459" t="s">
        <v>51</v>
      </c>
      <c r="AK459" t="s">
        <v>52</v>
      </c>
      <c r="AL459" t="s">
        <v>224</v>
      </c>
      <c r="AP459" t="s">
        <v>116</v>
      </c>
    </row>
    <row r="460" spans="1:42">
      <c r="A460" s="12">
        <v>43851</v>
      </c>
      <c r="B460">
        <v>2</v>
      </c>
      <c r="C460">
        <v>212</v>
      </c>
      <c r="D460">
        <v>14473</v>
      </c>
      <c r="E460" t="s">
        <v>112</v>
      </c>
      <c r="F460" t="s">
        <v>104</v>
      </c>
      <c r="G460">
        <v>2</v>
      </c>
      <c r="H460">
        <v>101</v>
      </c>
      <c r="I460" s="25">
        <v>2832</v>
      </c>
      <c r="K460" t="s">
        <v>213</v>
      </c>
      <c r="L460" t="s">
        <v>114</v>
      </c>
      <c r="M460" t="s">
        <v>52</v>
      </c>
      <c r="N460" t="s">
        <v>44</v>
      </c>
      <c r="O460">
        <v>61</v>
      </c>
      <c r="Q460">
        <f t="shared" si="19"/>
        <v>2</v>
      </c>
      <c r="R460">
        <v>1</v>
      </c>
      <c r="S460">
        <v>0</v>
      </c>
      <c r="T460">
        <v>0</v>
      </c>
      <c r="U460">
        <v>0</v>
      </c>
      <c r="V460">
        <v>2</v>
      </c>
      <c r="W460">
        <v>0</v>
      </c>
      <c r="X460" s="21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f t="shared" si="20"/>
        <v>128</v>
      </c>
      <c r="AJ460" t="s">
        <v>51</v>
      </c>
      <c r="AK460" t="s">
        <v>52</v>
      </c>
      <c r="AL460" t="s">
        <v>149</v>
      </c>
      <c r="AP460" t="s">
        <v>116</v>
      </c>
    </row>
    <row r="461" spans="1:42">
      <c r="A461" s="12">
        <v>43851</v>
      </c>
      <c r="B461">
        <v>2</v>
      </c>
      <c r="C461">
        <v>212</v>
      </c>
      <c r="D461">
        <v>14473</v>
      </c>
      <c r="E461" t="s">
        <v>112</v>
      </c>
      <c r="F461" t="s">
        <v>104</v>
      </c>
      <c r="G461">
        <v>2</v>
      </c>
      <c r="H461">
        <v>102</v>
      </c>
      <c r="I461" s="25">
        <v>2701</v>
      </c>
      <c r="K461" t="s">
        <v>210</v>
      </c>
      <c r="L461" t="s">
        <v>114</v>
      </c>
      <c r="M461" t="s">
        <v>52</v>
      </c>
      <c r="N461" t="s">
        <v>40</v>
      </c>
      <c r="O461">
        <v>27</v>
      </c>
      <c r="Q461">
        <f t="shared" si="19"/>
        <v>1</v>
      </c>
      <c r="R461">
        <v>1</v>
      </c>
      <c r="S461">
        <v>0</v>
      </c>
      <c r="T461">
        <v>0</v>
      </c>
      <c r="U461">
        <v>0</v>
      </c>
      <c r="V461">
        <v>1</v>
      </c>
      <c r="W461">
        <v>0</v>
      </c>
      <c r="X461" s="2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f t="shared" si="20"/>
        <v>64</v>
      </c>
      <c r="AJ461" t="s">
        <v>51</v>
      </c>
      <c r="AK461" t="s">
        <v>52</v>
      </c>
      <c r="AP461" t="s">
        <v>116</v>
      </c>
    </row>
    <row r="462" spans="1:42">
      <c r="A462" s="12">
        <v>43851</v>
      </c>
      <c r="B462">
        <v>2</v>
      </c>
      <c r="C462">
        <v>212</v>
      </c>
      <c r="D462">
        <v>14473</v>
      </c>
      <c r="E462" t="s">
        <v>112</v>
      </c>
      <c r="F462" t="s">
        <v>104</v>
      </c>
      <c r="G462">
        <v>2</v>
      </c>
      <c r="H462">
        <v>103</v>
      </c>
      <c r="I462" s="25" t="s">
        <v>225</v>
      </c>
      <c r="K462" t="s">
        <v>148</v>
      </c>
      <c r="L462" t="s">
        <v>114</v>
      </c>
      <c r="M462" t="s">
        <v>52</v>
      </c>
      <c r="N462" t="s">
        <v>40</v>
      </c>
      <c r="P462">
        <v>294</v>
      </c>
      <c r="Q462">
        <f t="shared" si="19"/>
        <v>14</v>
      </c>
      <c r="R462">
        <v>1</v>
      </c>
      <c r="S462">
        <v>1</v>
      </c>
      <c r="T462">
        <v>2</v>
      </c>
      <c r="U462">
        <v>10</v>
      </c>
      <c r="V462">
        <v>1</v>
      </c>
      <c r="W462">
        <v>0</v>
      </c>
      <c r="X462" s="21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f t="shared" si="20"/>
        <v>464</v>
      </c>
      <c r="AJ462" t="s">
        <v>51</v>
      </c>
      <c r="AK462" t="s">
        <v>52</v>
      </c>
      <c r="AP462" t="s">
        <v>116</v>
      </c>
    </row>
    <row r="463" spans="1:42">
      <c r="A463" s="12">
        <v>43851</v>
      </c>
      <c r="B463">
        <v>2</v>
      </c>
      <c r="C463">
        <v>212</v>
      </c>
      <c r="D463">
        <v>14473</v>
      </c>
      <c r="E463" t="s">
        <v>112</v>
      </c>
      <c r="F463" t="s">
        <v>104</v>
      </c>
      <c r="G463">
        <v>2</v>
      </c>
      <c r="H463">
        <v>104</v>
      </c>
      <c r="I463" s="25" t="s">
        <v>226</v>
      </c>
      <c r="K463" t="s">
        <v>213</v>
      </c>
      <c r="L463" t="s">
        <v>141</v>
      </c>
      <c r="M463" t="s">
        <v>52</v>
      </c>
      <c r="N463" t="s">
        <v>40</v>
      </c>
      <c r="P463">
        <v>245</v>
      </c>
      <c r="Q463">
        <f t="shared" si="19"/>
        <v>8</v>
      </c>
      <c r="R463">
        <v>1</v>
      </c>
      <c r="S463">
        <v>0</v>
      </c>
      <c r="T463">
        <v>0</v>
      </c>
      <c r="U463">
        <v>6</v>
      </c>
      <c r="V463">
        <v>2</v>
      </c>
      <c r="W463">
        <v>0</v>
      </c>
      <c r="X463" s="21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f t="shared" si="20"/>
        <v>320</v>
      </c>
      <c r="AJ463" t="s">
        <v>51</v>
      </c>
      <c r="AK463" t="s">
        <v>52</v>
      </c>
      <c r="AL463" t="s">
        <v>227</v>
      </c>
      <c r="AP463" t="s">
        <v>116</v>
      </c>
    </row>
    <row r="464" spans="1:42">
      <c r="A464" s="12">
        <v>43851</v>
      </c>
      <c r="B464">
        <v>2</v>
      </c>
      <c r="C464">
        <v>212</v>
      </c>
      <c r="D464">
        <v>14473</v>
      </c>
      <c r="E464" t="s">
        <v>112</v>
      </c>
      <c r="F464" t="s">
        <v>104</v>
      </c>
      <c r="G464">
        <v>2</v>
      </c>
      <c r="H464">
        <v>105</v>
      </c>
      <c r="I464" s="25">
        <v>2791</v>
      </c>
      <c r="K464" t="s">
        <v>213</v>
      </c>
      <c r="L464" t="s">
        <v>141</v>
      </c>
      <c r="M464" t="s">
        <v>52</v>
      </c>
      <c r="N464" t="s">
        <v>44</v>
      </c>
      <c r="O464">
        <v>53</v>
      </c>
      <c r="Q464">
        <f t="shared" si="19"/>
        <v>1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1</v>
      </c>
      <c r="X464" s="21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f t="shared" si="20"/>
        <v>96</v>
      </c>
      <c r="AJ464" t="s">
        <v>51</v>
      </c>
      <c r="AK464" t="s">
        <v>52</v>
      </c>
      <c r="AL464" t="s">
        <v>228</v>
      </c>
      <c r="AP464" t="s">
        <v>116</v>
      </c>
    </row>
    <row r="465" spans="1:42">
      <c r="A465" s="12">
        <v>43851</v>
      </c>
      <c r="B465">
        <v>2</v>
      </c>
      <c r="C465">
        <v>212</v>
      </c>
      <c r="D465">
        <v>14473</v>
      </c>
      <c r="E465" t="s">
        <v>112</v>
      </c>
      <c r="F465" t="s">
        <v>104</v>
      </c>
      <c r="G465">
        <v>2</v>
      </c>
      <c r="H465">
        <v>106</v>
      </c>
      <c r="I465" s="25" t="s">
        <v>229</v>
      </c>
      <c r="K465" t="s">
        <v>213</v>
      </c>
      <c r="L465" t="s">
        <v>141</v>
      </c>
      <c r="M465" t="s">
        <v>52</v>
      </c>
      <c r="N465" t="s">
        <v>40</v>
      </c>
      <c r="P465">
        <v>350</v>
      </c>
      <c r="Q465">
        <f t="shared" si="19"/>
        <v>14</v>
      </c>
      <c r="R465">
        <v>1</v>
      </c>
      <c r="S465">
        <v>3</v>
      </c>
      <c r="T465">
        <v>0</v>
      </c>
      <c r="U465">
        <v>7</v>
      </c>
      <c r="V465">
        <v>4</v>
      </c>
      <c r="W465">
        <v>0</v>
      </c>
      <c r="X465" s="21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f t="shared" si="20"/>
        <v>528</v>
      </c>
      <c r="AJ465" t="s">
        <v>51</v>
      </c>
      <c r="AK465" t="s">
        <v>52</v>
      </c>
      <c r="AP465" t="s">
        <v>116</v>
      </c>
    </row>
    <row r="466" spans="1:42">
      <c r="A466" s="12">
        <v>43851</v>
      </c>
      <c r="B466">
        <v>2</v>
      </c>
      <c r="C466">
        <v>212</v>
      </c>
      <c r="D466">
        <v>14473</v>
      </c>
      <c r="E466" t="s">
        <v>112</v>
      </c>
      <c r="F466" t="s">
        <v>104</v>
      </c>
      <c r="G466">
        <v>2</v>
      </c>
      <c r="H466">
        <v>107</v>
      </c>
      <c r="I466" s="25" t="s">
        <v>230</v>
      </c>
      <c r="K466" t="s">
        <v>213</v>
      </c>
      <c r="L466" t="s">
        <v>141</v>
      </c>
      <c r="M466" t="s">
        <v>52</v>
      </c>
      <c r="N466" t="s">
        <v>40</v>
      </c>
      <c r="P466">
        <v>520</v>
      </c>
      <c r="Q466">
        <f t="shared" si="19"/>
        <v>16</v>
      </c>
      <c r="R466">
        <v>1</v>
      </c>
      <c r="S466">
        <v>3</v>
      </c>
      <c r="T466">
        <v>1</v>
      </c>
      <c r="U466">
        <v>7</v>
      </c>
      <c r="V466">
        <v>5</v>
      </c>
      <c r="W466">
        <v>0</v>
      </c>
      <c r="X466" s="21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f t="shared" si="20"/>
        <v>624</v>
      </c>
      <c r="AJ466" t="s">
        <v>51</v>
      </c>
      <c r="AK466" t="s">
        <v>52</v>
      </c>
      <c r="AL466" t="s">
        <v>231</v>
      </c>
      <c r="AP466" t="s">
        <v>116</v>
      </c>
    </row>
    <row r="467" spans="1:42">
      <c r="A467" s="12">
        <v>43851</v>
      </c>
      <c r="B467">
        <v>2</v>
      </c>
      <c r="C467">
        <v>212</v>
      </c>
      <c r="D467">
        <v>14473</v>
      </c>
      <c r="E467" t="s">
        <v>112</v>
      </c>
      <c r="F467" t="s">
        <v>104</v>
      </c>
      <c r="G467">
        <v>2</v>
      </c>
      <c r="H467">
        <v>108</v>
      </c>
      <c r="I467" s="25" t="s">
        <v>232</v>
      </c>
      <c r="K467" t="s">
        <v>213</v>
      </c>
      <c r="L467" t="s">
        <v>141</v>
      </c>
      <c r="M467" t="s">
        <v>52</v>
      </c>
      <c r="N467" t="s">
        <v>40</v>
      </c>
      <c r="P467">
        <v>407</v>
      </c>
      <c r="Q467">
        <f t="shared" si="19"/>
        <v>15</v>
      </c>
      <c r="R467">
        <v>1</v>
      </c>
      <c r="S467">
        <v>1</v>
      </c>
      <c r="T467">
        <v>2</v>
      </c>
      <c r="U467">
        <v>10</v>
      </c>
      <c r="V467">
        <v>2</v>
      </c>
      <c r="W467">
        <v>0</v>
      </c>
      <c r="X467" s="21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f t="shared" si="20"/>
        <v>528</v>
      </c>
      <c r="AJ467" t="s">
        <v>51</v>
      </c>
      <c r="AK467" t="s">
        <v>52</v>
      </c>
      <c r="AP467" t="s">
        <v>116</v>
      </c>
    </row>
    <row r="468" spans="1:42">
      <c r="A468" s="12">
        <v>43851</v>
      </c>
      <c r="B468">
        <v>2</v>
      </c>
      <c r="C468">
        <v>212</v>
      </c>
      <c r="D468">
        <v>14473</v>
      </c>
      <c r="E468" t="s">
        <v>112</v>
      </c>
      <c r="F468" t="s">
        <v>104</v>
      </c>
      <c r="G468">
        <v>2</v>
      </c>
      <c r="H468">
        <v>109</v>
      </c>
      <c r="I468" s="25">
        <v>3055</v>
      </c>
      <c r="K468" t="s">
        <v>175</v>
      </c>
      <c r="L468" t="s">
        <v>141</v>
      </c>
      <c r="M468" t="s">
        <v>52</v>
      </c>
      <c r="N468" t="s">
        <v>44</v>
      </c>
      <c r="O468">
        <v>79</v>
      </c>
      <c r="Q468">
        <f t="shared" si="19"/>
        <v>1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1</v>
      </c>
      <c r="X468" s="21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f t="shared" si="20"/>
        <v>96</v>
      </c>
      <c r="AJ468" t="s">
        <v>51</v>
      </c>
      <c r="AK468" t="s">
        <v>52</v>
      </c>
      <c r="AL468" t="s">
        <v>233</v>
      </c>
      <c r="AP468" t="s">
        <v>116</v>
      </c>
    </row>
    <row r="469" spans="1:42">
      <c r="A469" s="12">
        <v>43851</v>
      </c>
      <c r="B469">
        <v>2</v>
      </c>
      <c r="C469">
        <v>212</v>
      </c>
      <c r="D469">
        <v>14473</v>
      </c>
      <c r="E469" t="s">
        <v>112</v>
      </c>
      <c r="F469" t="s">
        <v>104</v>
      </c>
      <c r="G469">
        <v>2</v>
      </c>
      <c r="H469">
        <v>110</v>
      </c>
      <c r="I469" s="25">
        <v>2400</v>
      </c>
      <c r="K469" t="s">
        <v>210</v>
      </c>
      <c r="L469" t="s">
        <v>141</v>
      </c>
      <c r="M469" t="s">
        <v>52</v>
      </c>
      <c r="N469" t="s">
        <v>40</v>
      </c>
      <c r="O469">
        <v>40</v>
      </c>
      <c r="Q469">
        <f t="shared" si="19"/>
        <v>1</v>
      </c>
      <c r="R469">
        <v>1</v>
      </c>
      <c r="S469">
        <v>0</v>
      </c>
      <c r="T469">
        <v>0</v>
      </c>
      <c r="U469">
        <v>1</v>
      </c>
      <c r="V469">
        <v>0</v>
      </c>
      <c r="W469">
        <v>0</v>
      </c>
      <c r="X469" s="21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f t="shared" si="20"/>
        <v>32</v>
      </c>
      <c r="AJ469" t="s">
        <v>51</v>
      </c>
      <c r="AK469" t="s">
        <v>52</v>
      </c>
      <c r="AL469" t="s">
        <v>125</v>
      </c>
      <c r="AP469" t="s">
        <v>116</v>
      </c>
    </row>
    <row r="470" spans="1:42">
      <c r="A470" s="12">
        <v>43851</v>
      </c>
      <c r="B470">
        <v>2</v>
      </c>
      <c r="C470">
        <v>212</v>
      </c>
      <c r="D470">
        <v>14473</v>
      </c>
      <c r="E470" t="s">
        <v>112</v>
      </c>
      <c r="F470" t="s">
        <v>104</v>
      </c>
      <c r="G470">
        <v>2</v>
      </c>
      <c r="H470">
        <v>111</v>
      </c>
      <c r="I470" s="25">
        <v>2461</v>
      </c>
      <c r="K470" t="s">
        <v>234</v>
      </c>
      <c r="L470" t="s">
        <v>141</v>
      </c>
      <c r="M470" t="s">
        <v>52</v>
      </c>
      <c r="N470" t="s">
        <v>40</v>
      </c>
      <c r="O470">
        <v>28</v>
      </c>
      <c r="Q470">
        <f t="shared" si="19"/>
        <v>0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 s="21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f t="shared" si="20"/>
        <v>0</v>
      </c>
      <c r="AJ470" t="s">
        <v>51</v>
      </c>
      <c r="AK470" t="s">
        <v>52</v>
      </c>
      <c r="AL470" t="s">
        <v>235</v>
      </c>
      <c r="AP470" t="s">
        <v>116</v>
      </c>
    </row>
    <row r="471" spans="1:42">
      <c r="A471" s="12">
        <v>43851</v>
      </c>
      <c r="B471">
        <v>2</v>
      </c>
      <c r="C471">
        <v>212</v>
      </c>
      <c r="D471">
        <v>14473</v>
      </c>
      <c r="E471" t="s">
        <v>112</v>
      </c>
      <c r="F471" t="s">
        <v>104</v>
      </c>
      <c r="G471">
        <v>2</v>
      </c>
      <c r="H471">
        <v>112</v>
      </c>
      <c r="I471" s="25">
        <v>3131</v>
      </c>
      <c r="K471" t="s">
        <v>175</v>
      </c>
      <c r="L471" t="s">
        <v>141</v>
      </c>
      <c r="M471" t="s">
        <v>52</v>
      </c>
      <c r="N471" t="s">
        <v>44</v>
      </c>
      <c r="O471">
        <v>54</v>
      </c>
      <c r="Q471">
        <f t="shared" si="19"/>
        <v>1</v>
      </c>
      <c r="R471">
        <v>1</v>
      </c>
      <c r="S471">
        <v>0</v>
      </c>
      <c r="T471">
        <v>0</v>
      </c>
      <c r="U471">
        <v>0</v>
      </c>
      <c r="V471">
        <v>0</v>
      </c>
      <c r="W471">
        <v>1</v>
      </c>
      <c r="X471" s="2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f t="shared" si="20"/>
        <v>96</v>
      </c>
      <c r="AJ471" t="s">
        <v>51</v>
      </c>
      <c r="AK471" t="s">
        <v>52</v>
      </c>
      <c r="AL471" t="s">
        <v>149</v>
      </c>
      <c r="AP471" t="s">
        <v>116</v>
      </c>
    </row>
    <row r="472" spans="1:42">
      <c r="A472" s="12">
        <v>43851</v>
      </c>
      <c r="B472">
        <v>2</v>
      </c>
      <c r="C472">
        <v>212</v>
      </c>
      <c r="D472">
        <v>14473</v>
      </c>
      <c r="E472" t="s">
        <v>112</v>
      </c>
      <c r="F472" t="s">
        <v>104</v>
      </c>
      <c r="G472">
        <v>2</v>
      </c>
      <c r="H472">
        <v>113</v>
      </c>
      <c r="I472" s="25">
        <v>3127</v>
      </c>
      <c r="K472" t="s">
        <v>175</v>
      </c>
      <c r="L472" t="s">
        <v>141</v>
      </c>
      <c r="M472" t="s">
        <v>52</v>
      </c>
      <c r="N472" t="s">
        <v>40</v>
      </c>
      <c r="O472">
        <v>22</v>
      </c>
      <c r="Q472">
        <f t="shared" si="19"/>
        <v>1</v>
      </c>
      <c r="R472">
        <v>1</v>
      </c>
      <c r="S472">
        <v>0</v>
      </c>
      <c r="T472">
        <v>0</v>
      </c>
      <c r="U472">
        <v>0</v>
      </c>
      <c r="V472">
        <v>1</v>
      </c>
      <c r="W472">
        <v>0</v>
      </c>
      <c r="X472" s="21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f t="shared" si="20"/>
        <v>64</v>
      </c>
      <c r="AJ472" t="s">
        <v>51</v>
      </c>
      <c r="AK472" t="s">
        <v>52</v>
      </c>
      <c r="AP472" t="s">
        <v>116</v>
      </c>
    </row>
    <row r="473" spans="1:42">
      <c r="A473" s="12">
        <v>43851</v>
      </c>
      <c r="B473">
        <v>2</v>
      </c>
      <c r="C473">
        <v>212</v>
      </c>
      <c r="D473">
        <v>14473</v>
      </c>
      <c r="E473" t="s">
        <v>112</v>
      </c>
      <c r="F473" t="s">
        <v>104</v>
      </c>
      <c r="G473">
        <v>2</v>
      </c>
      <c r="H473">
        <v>114</v>
      </c>
      <c r="I473" s="25" t="s">
        <v>217</v>
      </c>
      <c r="K473" t="s">
        <v>148</v>
      </c>
      <c r="L473" t="s">
        <v>114</v>
      </c>
      <c r="M473" t="s">
        <v>52</v>
      </c>
      <c r="N473" t="s">
        <v>40</v>
      </c>
      <c r="P473">
        <v>510</v>
      </c>
      <c r="Q473">
        <f t="shared" si="19"/>
        <v>23</v>
      </c>
      <c r="R473">
        <v>1</v>
      </c>
      <c r="S473">
        <v>4</v>
      </c>
      <c r="T473">
        <v>0</v>
      </c>
      <c r="U473">
        <v>6</v>
      </c>
      <c r="V473">
        <v>13</v>
      </c>
      <c r="W473">
        <v>0</v>
      </c>
      <c r="X473" s="21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f t="shared" si="20"/>
        <v>1088</v>
      </c>
      <c r="AJ473" t="s">
        <v>51</v>
      </c>
      <c r="AK473" t="s">
        <v>52</v>
      </c>
      <c r="AL473" t="s">
        <v>236</v>
      </c>
      <c r="AP473" t="s">
        <v>116</v>
      </c>
    </row>
    <row r="474" spans="1:42">
      <c r="A474" s="12">
        <v>43851</v>
      </c>
      <c r="B474">
        <v>2</v>
      </c>
      <c r="C474">
        <v>212</v>
      </c>
      <c r="D474">
        <v>14473</v>
      </c>
      <c r="E474" t="s">
        <v>112</v>
      </c>
      <c r="F474" t="s">
        <v>104</v>
      </c>
      <c r="G474">
        <v>2</v>
      </c>
      <c r="H474">
        <v>115</v>
      </c>
      <c r="I474" s="25">
        <v>2600</v>
      </c>
      <c r="K474" t="s">
        <v>148</v>
      </c>
      <c r="L474" t="s">
        <v>114</v>
      </c>
      <c r="M474" t="s">
        <v>52</v>
      </c>
      <c r="N474" t="s">
        <v>44</v>
      </c>
      <c r="O474">
        <v>52</v>
      </c>
      <c r="Q474">
        <f t="shared" si="19"/>
        <v>1</v>
      </c>
      <c r="R474">
        <v>1</v>
      </c>
      <c r="S474">
        <v>0</v>
      </c>
      <c r="T474">
        <v>0</v>
      </c>
      <c r="U474">
        <v>0</v>
      </c>
      <c r="V474">
        <v>1</v>
      </c>
      <c r="W474">
        <v>0</v>
      </c>
      <c r="X474" s="21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f t="shared" si="20"/>
        <v>64</v>
      </c>
      <c r="AJ474" t="s">
        <v>51</v>
      </c>
      <c r="AK474" t="s">
        <v>52</v>
      </c>
      <c r="AL474" t="s">
        <v>237</v>
      </c>
      <c r="AP474" t="s">
        <v>116</v>
      </c>
    </row>
    <row r="475" spans="1:42">
      <c r="A475" s="12">
        <v>43851</v>
      </c>
      <c r="B475">
        <v>2</v>
      </c>
      <c r="C475">
        <v>212</v>
      </c>
      <c r="D475">
        <v>14473</v>
      </c>
      <c r="E475" t="s">
        <v>112</v>
      </c>
      <c r="F475" t="s">
        <v>104</v>
      </c>
      <c r="G475">
        <v>2</v>
      </c>
      <c r="H475">
        <v>116</v>
      </c>
      <c r="I475" s="25" t="s">
        <v>238</v>
      </c>
      <c r="K475" t="s">
        <v>148</v>
      </c>
      <c r="L475" t="s">
        <v>114</v>
      </c>
      <c r="M475" t="s">
        <v>52</v>
      </c>
      <c r="N475" t="s">
        <v>40</v>
      </c>
      <c r="P475">
        <v>476</v>
      </c>
      <c r="Q475">
        <f t="shared" si="19"/>
        <v>21</v>
      </c>
      <c r="R475">
        <v>1</v>
      </c>
      <c r="S475">
        <v>3</v>
      </c>
      <c r="T475">
        <v>0</v>
      </c>
      <c r="U475">
        <v>13</v>
      </c>
      <c r="V475">
        <v>5</v>
      </c>
      <c r="W475">
        <v>0</v>
      </c>
      <c r="X475" s="21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f t="shared" si="20"/>
        <v>784</v>
      </c>
      <c r="AJ475" t="s">
        <v>51</v>
      </c>
      <c r="AK475" t="s">
        <v>52</v>
      </c>
      <c r="AL475" t="s">
        <v>239</v>
      </c>
      <c r="AP475" t="s">
        <v>116</v>
      </c>
    </row>
    <row r="476" spans="1:42">
      <c r="A476" s="12">
        <v>43851</v>
      </c>
      <c r="B476">
        <v>2</v>
      </c>
      <c r="C476">
        <v>212</v>
      </c>
      <c r="D476">
        <v>14473</v>
      </c>
      <c r="E476" t="s">
        <v>112</v>
      </c>
      <c r="F476" t="s">
        <v>104</v>
      </c>
      <c r="G476">
        <v>2</v>
      </c>
      <c r="H476">
        <v>117</v>
      </c>
      <c r="I476" s="25" t="s">
        <v>240</v>
      </c>
      <c r="K476" t="s">
        <v>148</v>
      </c>
      <c r="L476" t="s">
        <v>114</v>
      </c>
      <c r="M476" t="s">
        <v>52</v>
      </c>
      <c r="N476" t="s">
        <v>44</v>
      </c>
      <c r="O476">
        <v>158</v>
      </c>
      <c r="Q476">
        <f t="shared" ref="Q476:Q539" si="21">S476+T476+U476+V476+W476+Y476+Z476+AA476+AB476+AC476+AD476+AE476+AF476</f>
        <v>2</v>
      </c>
      <c r="R476">
        <v>1</v>
      </c>
      <c r="S476">
        <v>0</v>
      </c>
      <c r="T476">
        <v>0</v>
      </c>
      <c r="U476">
        <v>2</v>
      </c>
      <c r="V476">
        <v>0</v>
      </c>
      <c r="W476">
        <v>0</v>
      </c>
      <c r="X476" s="21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f t="shared" si="20"/>
        <v>64</v>
      </c>
      <c r="AJ476" t="s">
        <v>51</v>
      </c>
      <c r="AK476" t="s">
        <v>52</v>
      </c>
      <c r="AL476" t="s">
        <v>241</v>
      </c>
      <c r="AP476" t="s">
        <v>116</v>
      </c>
    </row>
    <row r="477" spans="1:42">
      <c r="A477" s="12">
        <v>43851</v>
      </c>
      <c r="B477">
        <v>2</v>
      </c>
      <c r="C477">
        <v>212</v>
      </c>
      <c r="D477">
        <v>14473</v>
      </c>
      <c r="E477" t="s">
        <v>112</v>
      </c>
      <c r="F477" t="s">
        <v>104</v>
      </c>
      <c r="G477">
        <v>2</v>
      </c>
      <c r="H477">
        <v>118</v>
      </c>
      <c r="I477" s="25">
        <v>2806</v>
      </c>
      <c r="K477" t="s">
        <v>156</v>
      </c>
      <c r="L477" t="s">
        <v>114</v>
      </c>
      <c r="M477" t="s">
        <v>52</v>
      </c>
      <c r="N477" t="s">
        <v>44</v>
      </c>
      <c r="O477">
        <v>135</v>
      </c>
      <c r="Q477">
        <f t="shared" si="21"/>
        <v>1</v>
      </c>
      <c r="R477">
        <v>1</v>
      </c>
      <c r="S477">
        <v>0</v>
      </c>
      <c r="T477">
        <v>0</v>
      </c>
      <c r="U477">
        <v>0</v>
      </c>
      <c r="V477">
        <v>1</v>
      </c>
      <c r="W477">
        <v>0</v>
      </c>
      <c r="X477" s="21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f t="shared" si="20"/>
        <v>64</v>
      </c>
      <c r="AJ477" t="s">
        <v>51</v>
      </c>
      <c r="AK477" t="s">
        <v>52</v>
      </c>
      <c r="AL477" t="s">
        <v>242</v>
      </c>
      <c r="AP477" t="s">
        <v>116</v>
      </c>
    </row>
    <row r="478" spans="1:42">
      <c r="A478" s="12">
        <v>43851</v>
      </c>
      <c r="B478">
        <v>2</v>
      </c>
      <c r="C478">
        <v>212</v>
      </c>
      <c r="D478">
        <v>14473</v>
      </c>
      <c r="E478" t="s">
        <v>112</v>
      </c>
      <c r="F478" t="s">
        <v>104</v>
      </c>
      <c r="G478">
        <v>2</v>
      </c>
      <c r="H478">
        <v>119</v>
      </c>
      <c r="I478" s="25" t="s">
        <v>243</v>
      </c>
      <c r="K478" t="s">
        <v>148</v>
      </c>
      <c r="L478" t="s">
        <v>141</v>
      </c>
      <c r="M478" t="s">
        <v>52</v>
      </c>
      <c r="N478" t="s">
        <v>40</v>
      </c>
      <c r="P478">
        <v>183</v>
      </c>
      <c r="Q478">
        <f t="shared" si="21"/>
        <v>7</v>
      </c>
      <c r="R478">
        <v>1</v>
      </c>
      <c r="S478">
        <v>0</v>
      </c>
      <c r="T478">
        <v>0</v>
      </c>
      <c r="U478">
        <v>5</v>
      </c>
      <c r="V478">
        <v>2</v>
      </c>
      <c r="W478">
        <v>0</v>
      </c>
      <c r="X478" s="21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f t="shared" si="20"/>
        <v>288</v>
      </c>
      <c r="AJ478" t="s">
        <v>51</v>
      </c>
      <c r="AK478" t="s">
        <v>52</v>
      </c>
      <c r="AP478" t="s">
        <v>116</v>
      </c>
    </row>
    <row r="479" spans="1:42">
      <c r="A479" s="12">
        <v>43851</v>
      </c>
      <c r="B479">
        <v>2</v>
      </c>
      <c r="C479">
        <v>212</v>
      </c>
      <c r="D479">
        <v>14473</v>
      </c>
      <c r="E479" t="s">
        <v>112</v>
      </c>
      <c r="F479" t="s">
        <v>104</v>
      </c>
      <c r="G479">
        <v>2</v>
      </c>
      <c r="H479">
        <v>120</v>
      </c>
      <c r="I479" s="25" t="s">
        <v>244</v>
      </c>
      <c r="K479" t="s">
        <v>245</v>
      </c>
      <c r="L479" t="s">
        <v>141</v>
      </c>
      <c r="M479" t="s">
        <v>52</v>
      </c>
      <c r="N479" t="s">
        <v>40</v>
      </c>
      <c r="P479">
        <v>416</v>
      </c>
      <c r="Q479">
        <f t="shared" si="21"/>
        <v>17</v>
      </c>
      <c r="R479">
        <v>1</v>
      </c>
      <c r="S479">
        <v>2</v>
      </c>
      <c r="T479">
        <v>1</v>
      </c>
      <c r="U479">
        <v>11</v>
      </c>
      <c r="V479">
        <v>3</v>
      </c>
      <c r="W479">
        <v>0</v>
      </c>
      <c r="X479" s="21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f t="shared" si="20"/>
        <v>608</v>
      </c>
      <c r="AJ479" t="s">
        <v>51</v>
      </c>
      <c r="AK479" t="s">
        <v>52</v>
      </c>
      <c r="AP479" t="s">
        <v>116</v>
      </c>
    </row>
    <row r="480" spans="1:42">
      <c r="A480" s="12">
        <v>43851</v>
      </c>
      <c r="B480">
        <v>2</v>
      </c>
      <c r="C480">
        <v>212</v>
      </c>
      <c r="D480">
        <v>14473</v>
      </c>
      <c r="E480" t="s">
        <v>112</v>
      </c>
      <c r="F480" t="s">
        <v>104</v>
      </c>
      <c r="G480">
        <v>2</v>
      </c>
      <c r="H480">
        <v>121</v>
      </c>
      <c r="I480" s="25">
        <v>2727</v>
      </c>
      <c r="K480" t="s">
        <v>148</v>
      </c>
      <c r="L480" t="s">
        <v>141</v>
      </c>
      <c r="M480" t="s">
        <v>52</v>
      </c>
      <c r="N480" t="s">
        <v>44</v>
      </c>
      <c r="O480">
        <v>35</v>
      </c>
      <c r="Q480">
        <f t="shared" si="21"/>
        <v>1</v>
      </c>
      <c r="R480">
        <v>1</v>
      </c>
      <c r="S480">
        <v>0</v>
      </c>
      <c r="T480">
        <v>0</v>
      </c>
      <c r="U480">
        <v>1</v>
      </c>
      <c r="V480">
        <v>0</v>
      </c>
      <c r="W480">
        <v>0</v>
      </c>
      <c r="X480" s="21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f t="shared" si="20"/>
        <v>32</v>
      </c>
      <c r="AJ480" t="s">
        <v>51</v>
      </c>
      <c r="AK480" t="s">
        <v>52</v>
      </c>
      <c r="AL480" t="s">
        <v>246</v>
      </c>
      <c r="AP480" t="s">
        <v>116</v>
      </c>
    </row>
    <row r="481" spans="1:42">
      <c r="A481" s="12">
        <v>43851</v>
      </c>
      <c r="B481">
        <v>2</v>
      </c>
      <c r="C481">
        <v>212</v>
      </c>
      <c r="D481">
        <v>14473</v>
      </c>
      <c r="E481" t="s">
        <v>112</v>
      </c>
      <c r="F481" t="s">
        <v>104</v>
      </c>
      <c r="G481">
        <v>2</v>
      </c>
      <c r="H481">
        <v>122</v>
      </c>
      <c r="I481" s="25" t="s">
        <v>247</v>
      </c>
      <c r="K481" t="s">
        <v>148</v>
      </c>
      <c r="L481" t="s">
        <v>141</v>
      </c>
      <c r="M481" t="s">
        <v>52</v>
      </c>
      <c r="N481" t="s">
        <v>40</v>
      </c>
      <c r="P481">
        <v>350</v>
      </c>
      <c r="Q481">
        <f t="shared" si="21"/>
        <v>11</v>
      </c>
      <c r="R481">
        <v>1</v>
      </c>
      <c r="S481">
        <v>1</v>
      </c>
      <c r="T481">
        <v>2</v>
      </c>
      <c r="U481">
        <v>6</v>
      </c>
      <c r="V481">
        <v>2</v>
      </c>
      <c r="W481">
        <v>0</v>
      </c>
      <c r="X481" s="2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f t="shared" si="20"/>
        <v>400</v>
      </c>
      <c r="AJ481" t="s">
        <v>51</v>
      </c>
      <c r="AK481" t="s">
        <v>52</v>
      </c>
      <c r="AP481" t="s">
        <v>116</v>
      </c>
    </row>
    <row r="482" spans="1:42">
      <c r="A482" s="12">
        <v>43851</v>
      </c>
      <c r="B482">
        <v>2</v>
      </c>
      <c r="C482">
        <v>212</v>
      </c>
      <c r="D482">
        <v>14473</v>
      </c>
      <c r="E482" t="s">
        <v>112</v>
      </c>
      <c r="F482" t="s">
        <v>104</v>
      </c>
      <c r="G482">
        <v>2</v>
      </c>
      <c r="H482">
        <v>123</v>
      </c>
      <c r="I482" s="25">
        <v>2699</v>
      </c>
      <c r="K482" t="s">
        <v>148</v>
      </c>
      <c r="L482" t="s">
        <v>141</v>
      </c>
      <c r="M482" t="s">
        <v>52</v>
      </c>
      <c r="N482" t="s">
        <v>44</v>
      </c>
      <c r="O482">
        <v>63</v>
      </c>
      <c r="Q482">
        <f t="shared" si="21"/>
        <v>1</v>
      </c>
      <c r="R482">
        <v>1</v>
      </c>
      <c r="S482">
        <v>0</v>
      </c>
      <c r="T482">
        <v>0</v>
      </c>
      <c r="U482">
        <v>0</v>
      </c>
      <c r="V482">
        <v>1</v>
      </c>
      <c r="W482">
        <v>0</v>
      </c>
      <c r="X482" s="21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f t="shared" si="20"/>
        <v>64</v>
      </c>
      <c r="AJ482" t="s">
        <v>51</v>
      </c>
      <c r="AK482" t="s">
        <v>52</v>
      </c>
      <c r="AP482" t="s">
        <v>116</v>
      </c>
    </row>
    <row r="483" spans="1:42">
      <c r="A483" s="12">
        <v>43851</v>
      </c>
      <c r="B483">
        <v>2</v>
      </c>
      <c r="C483">
        <v>212</v>
      </c>
      <c r="D483">
        <v>14473</v>
      </c>
      <c r="E483" t="s">
        <v>112</v>
      </c>
      <c r="F483" t="s">
        <v>104</v>
      </c>
      <c r="G483">
        <v>2</v>
      </c>
      <c r="H483">
        <v>124</v>
      </c>
      <c r="I483" s="25">
        <v>2830</v>
      </c>
      <c r="K483" t="s">
        <v>220</v>
      </c>
      <c r="L483" t="s">
        <v>114</v>
      </c>
      <c r="M483" t="s">
        <v>52</v>
      </c>
      <c r="N483" t="s">
        <v>40</v>
      </c>
      <c r="O483">
        <v>49</v>
      </c>
      <c r="Q483">
        <f t="shared" si="21"/>
        <v>1</v>
      </c>
      <c r="R483">
        <v>1</v>
      </c>
      <c r="S483">
        <v>0</v>
      </c>
      <c r="T483">
        <v>0</v>
      </c>
      <c r="U483">
        <v>1</v>
      </c>
      <c r="V483">
        <v>0</v>
      </c>
      <c r="W483">
        <v>0</v>
      </c>
      <c r="X483" s="21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f t="shared" si="20"/>
        <v>32</v>
      </c>
      <c r="AJ483" t="s">
        <v>51</v>
      </c>
      <c r="AK483" t="s">
        <v>52</v>
      </c>
      <c r="AP483" t="s">
        <v>116</v>
      </c>
    </row>
    <row r="484" spans="1:42">
      <c r="A484" s="11">
        <v>43852</v>
      </c>
      <c r="B484">
        <v>2</v>
      </c>
      <c r="C484">
        <v>212</v>
      </c>
      <c r="D484">
        <v>14473</v>
      </c>
      <c r="E484" t="s">
        <v>112</v>
      </c>
      <c r="F484" t="s">
        <v>104</v>
      </c>
      <c r="G484">
        <v>2</v>
      </c>
      <c r="H484">
        <v>1</v>
      </c>
      <c r="I484" s="25">
        <v>2401</v>
      </c>
      <c r="K484" t="s">
        <v>213</v>
      </c>
      <c r="L484" t="s">
        <v>141</v>
      </c>
      <c r="M484" t="s">
        <v>52</v>
      </c>
      <c r="N484" t="s">
        <v>40</v>
      </c>
      <c r="O484">
        <v>32</v>
      </c>
      <c r="Q484">
        <f t="shared" si="21"/>
        <v>2</v>
      </c>
      <c r="R484">
        <v>1</v>
      </c>
      <c r="S484">
        <v>0</v>
      </c>
      <c r="T484">
        <v>0</v>
      </c>
      <c r="U484">
        <v>2</v>
      </c>
      <c r="V484">
        <v>0</v>
      </c>
      <c r="W484">
        <v>0</v>
      </c>
      <c r="X484" s="21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f t="shared" si="20"/>
        <v>64</v>
      </c>
      <c r="AJ484" t="s">
        <v>51</v>
      </c>
      <c r="AK484" t="s">
        <v>52</v>
      </c>
      <c r="AP484" t="s">
        <v>116</v>
      </c>
    </row>
    <row r="485" spans="1:42">
      <c r="A485" s="12">
        <v>43852</v>
      </c>
      <c r="B485">
        <v>2</v>
      </c>
      <c r="C485">
        <v>212</v>
      </c>
      <c r="D485">
        <v>14473</v>
      </c>
      <c r="E485" t="s">
        <v>112</v>
      </c>
      <c r="F485" t="s">
        <v>104</v>
      </c>
      <c r="G485">
        <v>2</v>
      </c>
      <c r="H485">
        <v>2</v>
      </c>
      <c r="I485" s="25">
        <v>3037</v>
      </c>
      <c r="K485" t="s">
        <v>192</v>
      </c>
      <c r="L485" t="s">
        <v>141</v>
      </c>
      <c r="M485" t="s">
        <v>52</v>
      </c>
      <c r="N485" t="s">
        <v>44</v>
      </c>
      <c r="O485">
        <v>84</v>
      </c>
      <c r="Q485">
        <f t="shared" si="21"/>
        <v>1</v>
      </c>
      <c r="R485">
        <v>1</v>
      </c>
      <c r="S485">
        <v>0</v>
      </c>
      <c r="T485">
        <v>0</v>
      </c>
      <c r="U485">
        <v>1</v>
      </c>
      <c r="V485">
        <v>0</v>
      </c>
      <c r="W485">
        <v>0</v>
      </c>
      <c r="X485" s="21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f t="shared" si="20"/>
        <v>32</v>
      </c>
      <c r="AJ485" t="s">
        <v>51</v>
      </c>
      <c r="AK485" t="s">
        <v>52</v>
      </c>
      <c r="AL485" t="s">
        <v>248</v>
      </c>
      <c r="AP485" t="s">
        <v>116</v>
      </c>
    </row>
    <row r="486" spans="1:42">
      <c r="A486" s="12">
        <v>43852</v>
      </c>
      <c r="B486">
        <v>2</v>
      </c>
      <c r="C486">
        <v>212</v>
      </c>
      <c r="D486">
        <v>14473</v>
      </c>
      <c r="E486" t="s">
        <v>112</v>
      </c>
      <c r="F486" t="s">
        <v>104</v>
      </c>
      <c r="G486">
        <v>2</v>
      </c>
      <c r="H486">
        <v>3</v>
      </c>
      <c r="I486" s="25">
        <v>3035</v>
      </c>
      <c r="K486" t="s">
        <v>192</v>
      </c>
      <c r="L486" t="s">
        <v>141</v>
      </c>
      <c r="M486" t="s">
        <v>52</v>
      </c>
      <c r="N486" t="s">
        <v>40</v>
      </c>
      <c r="O486">
        <v>26</v>
      </c>
      <c r="Q486">
        <f t="shared" si="21"/>
        <v>1</v>
      </c>
      <c r="R486">
        <v>1</v>
      </c>
      <c r="S486">
        <v>0</v>
      </c>
      <c r="T486">
        <v>0</v>
      </c>
      <c r="U486">
        <v>0</v>
      </c>
      <c r="V486">
        <v>1</v>
      </c>
      <c r="W486">
        <v>0</v>
      </c>
      <c r="X486" s="21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f t="shared" si="20"/>
        <v>64</v>
      </c>
      <c r="AJ486" t="s">
        <v>54</v>
      </c>
      <c r="AK486" t="s">
        <v>52</v>
      </c>
      <c r="AP486" t="s">
        <v>116</v>
      </c>
    </row>
    <row r="487" spans="1:42">
      <c r="A487" s="12">
        <v>43852</v>
      </c>
      <c r="B487">
        <v>2</v>
      </c>
      <c r="C487">
        <v>212</v>
      </c>
      <c r="D487">
        <v>14473</v>
      </c>
      <c r="E487" t="s">
        <v>112</v>
      </c>
      <c r="F487" t="s">
        <v>104</v>
      </c>
      <c r="G487">
        <v>2</v>
      </c>
      <c r="H487">
        <v>4</v>
      </c>
      <c r="I487" s="25">
        <v>2400</v>
      </c>
      <c r="K487" t="s">
        <v>148</v>
      </c>
      <c r="L487" t="s">
        <v>114</v>
      </c>
      <c r="M487" t="s">
        <v>52</v>
      </c>
      <c r="N487" t="s">
        <v>40</v>
      </c>
      <c r="O487">
        <v>29</v>
      </c>
      <c r="Q487">
        <f t="shared" si="21"/>
        <v>1</v>
      </c>
      <c r="R487">
        <v>1</v>
      </c>
      <c r="S487">
        <v>0</v>
      </c>
      <c r="T487">
        <v>0</v>
      </c>
      <c r="U487">
        <v>1</v>
      </c>
      <c r="V487">
        <v>0</v>
      </c>
      <c r="W487">
        <v>0</v>
      </c>
      <c r="X487" s="21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f t="shared" si="20"/>
        <v>32</v>
      </c>
      <c r="AJ487" t="s">
        <v>54</v>
      </c>
      <c r="AK487" t="s">
        <v>52</v>
      </c>
      <c r="AP487" t="s">
        <v>116</v>
      </c>
    </row>
    <row r="488" spans="1:42">
      <c r="A488" s="12">
        <v>43852</v>
      </c>
      <c r="B488">
        <v>2</v>
      </c>
      <c r="C488">
        <v>212</v>
      </c>
      <c r="D488">
        <v>14473</v>
      </c>
      <c r="E488" t="s">
        <v>112</v>
      </c>
      <c r="F488" t="s">
        <v>104</v>
      </c>
      <c r="G488">
        <v>2</v>
      </c>
      <c r="H488">
        <v>5</v>
      </c>
      <c r="I488" s="25">
        <v>2960</v>
      </c>
      <c r="K488" t="s">
        <v>175</v>
      </c>
      <c r="L488" t="s">
        <v>114</v>
      </c>
      <c r="M488" t="s">
        <v>95</v>
      </c>
      <c r="N488" t="s">
        <v>44</v>
      </c>
      <c r="O488">
        <v>67</v>
      </c>
      <c r="Q488">
        <f t="shared" si="21"/>
        <v>1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1</v>
      </c>
      <c r="X488" s="21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f t="shared" si="20"/>
        <v>96</v>
      </c>
      <c r="AJ488" t="s">
        <v>54</v>
      </c>
      <c r="AK488" t="s">
        <v>52</v>
      </c>
      <c r="AL488" t="s">
        <v>249</v>
      </c>
      <c r="AP488" t="s">
        <v>116</v>
      </c>
    </row>
    <row r="489" spans="1:42">
      <c r="A489" s="12">
        <v>43852</v>
      </c>
      <c r="B489">
        <v>2</v>
      </c>
      <c r="C489">
        <v>212</v>
      </c>
      <c r="D489">
        <v>14473</v>
      </c>
      <c r="E489" t="s">
        <v>112</v>
      </c>
      <c r="F489" t="s">
        <v>104</v>
      </c>
      <c r="G489">
        <v>2</v>
      </c>
      <c r="H489">
        <v>6</v>
      </c>
      <c r="I489" s="25">
        <v>3060</v>
      </c>
      <c r="K489" t="s">
        <v>175</v>
      </c>
      <c r="L489" t="s">
        <v>114</v>
      </c>
      <c r="M489" t="s">
        <v>52</v>
      </c>
      <c r="N489" t="s">
        <v>44</v>
      </c>
      <c r="O489">
        <v>84</v>
      </c>
      <c r="Q489">
        <f t="shared" si="21"/>
        <v>1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1</v>
      </c>
      <c r="X489" s="21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f t="shared" si="20"/>
        <v>96</v>
      </c>
      <c r="AJ489" t="s">
        <v>51</v>
      </c>
      <c r="AK489" t="s">
        <v>52</v>
      </c>
      <c r="AL489" t="s">
        <v>250</v>
      </c>
      <c r="AP489" t="s">
        <v>116</v>
      </c>
    </row>
    <row r="490" spans="1:42">
      <c r="A490" s="12">
        <v>43852</v>
      </c>
      <c r="B490">
        <v>2</v>
      </c>
      <c r="C490">
        <v>212</v>
      </c>
      <c r="D490">
        <v>14473</v>
      </c>
      <c r="E490" t="s">
        <v>112</v>
      </c>
      <c r="F490" t="s">
        <v>104</v>
      </c>
      <c r="G490">
        <v>2</v>
      </c>
      <c r="H490">
        <v>7</v>
      </c>
      <c r="I490" s="25">
        <v>3101</v>
      </c>
      <c r="K490" t="s">
        <v>175</v>
      </c>
      <c r="L490" t="s">
        <v>141</v>
      </c>
      <c r="M490" t="s">
        <v>52</v>
      </c>
      <c r="N490" t="s">
        <v>44</v>
      </c>
      <c r="O490">
        <v>91</v>
      </c>
      <c r="Q490">
        <f t="shared" si="21"/>
        <v>2</v>
      </c>
      <c r="R490">
        <v>1</v>
      </c>
      <c r="S490">
        <v>0</v>
      </c>
      <c r="T490">
        <v>0</v>
      </c>
      <c r="U490">
        <v>1</v>
      </c>
      <c r="V490">
        <v>0</v>
      </c>
      <c r="W490">
        <v>1</v>
      </c>
      <c r="X490" s="21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f t="shared" si="20"/>
        <v>128</v>
      </c>
      <c r="AJ490" t="s">
        <v>51</v>
      </c>
      <c r="AK490" t="s">
        <v>52</v>
      </c>
      <c r="AL490" t="s">
        <v>251</v>
      </c>
      <c r="AP490" t="s">
        <v>116</v>
      </c>
    </row>
    <row r="491" spans="1:42">
      <c r="A491" s="12">
        <v>43852</v>
      </c>
      <c r="B491">
        <v>2</v>
      </c>
      <c r="C491">
        <v>212</v>
      </c>
      <c r="D491">
        <v>14473</v>
      </c>
      <c r="E491" t="s">
        <v>112</v>
      </c>
      <c r="F491" t="s">
        <v>104</v>
      </c>
      <c r="G491">
        <v>2</v>
      </c>
      <c r="H491">
        <v>8</v>
      </c>
      <c r="I491" s="25">
        <v>3055</v>
      </c>
      <c r="K491" t="s">
        <v>175</v>
      </c>
      <c r="L491" t="s">
        <v>141</v>
      </c>
      <c r="M491" t="s">
        <v>95</v>
      </c>
      <c r="N491" t="s">
        <v>44</v>
      </c>
      <c r="O491">
        <v>108</v>
      </c>
      <c r="Q491">
        <f t="shared" si="21"/>
        <v>2</v>
      </c>
      <c r="R491">
        <v>1</v>
      </c>
      <c r="S491">
        <v>0</v>
      </c>
      <c r="T491">
        <v>0</v>
      </c>
      <c r="U491">
        <v>1</v>
      </c>
      <c r="V491">
        <v>0</v>
      </c>
      <c r="W491">
        <v>1</v>
      </c>
      <c r="X491" s="2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f t="shared" si="20"/>
        <v>128</v>
      </c>
      <c r="AJ491" t="s">
        <v>51</v>
      </c>
      <c r="AK491" t="s">
        <v>52</v>
      </c>
      <c r="AL491" t="s">
        <v>252</v>
      </c>
      <c r="AP491" t="s">
        <v>116</v>
      </c>
    </row>
    <row r="492" spans="1:42">
      <c r="A492" s="12">
        <v>43852</v>
      </c>
      <c r="B492">
        <v>2</v>
      </c>
      <c r="C492">
        <v>212</v>
      </c>
      <c r="D492">
        <v>14473</v>
      </c>
      <c r="E492" t="s">
        <v>112</v>
      </c>
      <c r="F492" t="s">
        <v>104</v>
      </c>
      <c r="G492">
        <v>2</v>
      </c>
      <c r="H492">
        <v>9</v>
      </c>
      <c r="I492" s="25">
        <v>2580</v>
      </c>
      <c r="K492" t="s">
        <v>213</v>
      </c>
      <c r="L492" t="s">
        <v>114</v>
      </c>
      <c r="M492" t="s">
        <v>52</v>
      </c>
      <c r="N492" t="s">
        <v>40</v>
      </c>
      <c r="O492">
        <v>95</v>
      </c>
      <c r="Q492">
        <f t="shared" si="21"/>
        <v>4</v>
      </c>
      <c r="R492">
        <v>1</v>
      </c>
      <c r="S492">
        <v>0</v>
      </c>
      <c r="T492">
        <v>0</v>
      </c>
      <c r="U492">
        <v>0</v>
      </c>
      <c r="V492">
        <v>0</v>
      </c>
      <c r="W492">
        <v>1</v>
      </c>
      <c r="X492" s="21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3</v>
      </c>
      <c r="AG492">
        <v>0</v>
      </c>
      <c r="AH492">
        <f t="shared" si="20"/>
        <v>96</v>
      </c>
      <c r="AJ492" t="s">
        <v>51</v>
      </c>
      <c r="AK492" t="s">
        <v>52</v>
      </c>
      <c r="AL492" t="s">
        <v>253</v>
      </c>
      <c r="AP492" t="s">
        <v>116</v>
      </c>
    </row>
    <row r="493" spans="1:42">
      <c r="A493" s="12">
        <v>43852</v>
      </c>
      <c r="B493">
        <v>2</v>
      </c>
      <c r="C493">
        <v>212</v>
      </c>
      <c r="D493">
        <v>14473</v>
      </c>
      <c r="E493" t="s">
        <v>112</v>
      </c>
      <c r="F493" t="s">
        <v>104</v>
      </c>
      <c r="G493">
        <v>2</v>
      </c>
      <c r="H493">
        <v>10</v>
      </c>
      <c r="I493" s="25">
        <v>2600</v>
      </c>
      <c r="K493" t="s">
        <v>156</v>
      </c>
      <c r="L493" t="s">
        <v>114</v>
      </c>
      <c r="M493" t="s">
        <v>52</v>
      </c>
      <c r="N493" t="s">
        <v>44</v>
      </c>
      <c r="O493">
        <v>87</v>
      </c>
      <c r="Q493">
        <f t="shared" si="21"/>
        <v>1</v>
      </c>
      <c r="R493">
        <v>1</v>
      </c>
      <c r="S493">
        <v>0</v>
      </c>
      <c r="T493">
        <v>0</v>
      </c>
      <c r="U493">
        <v>0</v>
      </c>
      <c r="V493">
        <v>0</v>
      </c>
      <c r="W493">
        <v>1</v>
      </c>
      <c r="X493" s="21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f t="shared" si="20"/>
        <v>96</v>
      </c>
      <c r="AJ493" t="s">
        <v>54</v>
      </c>
      <c r="AK493" t="s">
        <v>52</v>
      </c>
      <c r="AL493" t="s">
        <v>254</v>
      </c>
      <c r="AP493" t="s">
        <v>116</v>
      </c>
    </row>
    <row r="494" spans="1:42">
      <c r="A494" s="12">
        <v>43852</v>
      </c>
      <c r="B494">
        <v>2</v>
      </c>
      <c r="C494">
        <v>212</v>
      </c>
      <c r="D494">
        <v>14473</v>
      </c>
      <c r="E494" t="s">
        <v>112</v>
      </c>
      <c r="F494" t="s">
        <v>104</v>
      </c>
      <c r="G494">
        <v>2</v>
      </c>
      <c r="H494">
        <v>11</v>
      </c>
      <c r="I494" s="25">
        <v>2676</v>
      </c>
      <c r="K494" t="s">
        <v>156</v>
      </c>
      <c r="L494" t="s">
        <v>114</v>
      </c>
      <c r="M494" t="s">
        <v>52</v>
      </c>
      <c r="N494" t="s">
        <v>44</v>
      </c>
      <c r="O494">
        <v>81</v>
      </c>
      <c r="Q494">
        <f t="shared" si="21"/>
        <v>1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1</v>
      </c>
      <c r="X494" s="21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f t="shared" si="20"/>
        <v>96</v>
      </c>
      <c r="AJ494" t="s">
        <v>54</v>
      </c>
      <c r="AK494" t="s">
        <v>52</v>
      </c>
      <c r="AL494" t="s">
        <v>255</v>
      </c>
      <c r="AP494" t="s">
        <v>116</v>
      </c>
    </row>
    <row r="495" spans="1:42">
      <c r="A495" s="12">
        <v>43852</v>
      </c>
      <c r="B495">
        <v>2</v>
      </c>
      <c r="C495">
        <v>212</v>
      </c>
      <c r="D495">
        <v>14473</v>
      </c>
      <c r="E495" t="s">
        <v>112</v>
      </c>
      <c r="F495" t="s">
        <v>104</v>
      </c>
      <c r="G495">
        <v>2</v>
      </c>
      <c r="H495">
        <v>12</v>
      </c>
      <c r="I495" s="25">
        <v>2960</v>
      </c>
      <c r="K495" t="s">
        <v>256</v>
      </c>
      <c r="L495" t="s">
        <v>114</v>
      </c>
      <c r="M495" t="s">
        <v>52</v>
      </c>
      <c r="N495" t="s">
        <v>44</v>
      </c>
      <c r="O495">
        <v>74</v>
      </c>
      <c r="Q495">
        <f t="shared" si="21"/>
        <v>1</v>
      </c>
      <c r="R495">
        <v>1</v>
      </c>
      <c r="S495">
        <v>0</v>
      </c>
      <c r="T495">
        <v>0</v>
      </c>
      <c r="U495">
        <v>0</v>
      </c>
      <c r="V495">
        <v>0</v>
      </c>
      <c r="W495">
        <v>1</v>
      </c>
      <c r="X495" s="21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f t="shared" si="20"/>
        <v>96</v>
      </c>
      <c r="AJ495" t="s">
        <v>54</v>
      </c>
      <c r="AK495" t="s">
        <v>52</v>
      </c>
      <c r="AL495" t="s">
        <v>257</v>
      </c>
      <c r="AP495" t="s">
        <v>116</v>
      </c>
    </row>
    <row r="496" spans="1:42">
      <c r="A496" s="12">
        <v>43852</v>
      </c>
      <c r="B496">
        <v>2</v>
      </c>
      <c r="C496">
        <v>212</v>
      </c>
      <c r="D496">
        <v>14473</v>
      </c>
      <c r="E496" t="s">
        <v>112</v>
      </c>
      <c r="F496" t="s">
        <v>104</v>
      </c>
      <c r="G496">
        <v>2</v>
      </c>
      <c r="H496">
        <v>13</v>
      </c>
      <c r="I496" s="25">
        <v>2901</v>
      </c>
      <c r="K496" t="s">
        <v>175</v>
      </c>
      <c r="L496" t="s">
        <v>141</v>
      </c>
      <c r="M496" t="s">
        <v>52</v>
      </c>
      <c r="N496" t="s">
        <v>44</v>
      </c>
      <c r="O496">
        <v>154</v>
      </c>
      <c r="Q496">
        <f t="shared" si="21"/>
        <v>1</v>
      </c>
      <c r="R496">
        <v>1</v>
      </c>
      <c r="S496">
        <v>0</v>
      </c>
      <c r="T496">
        <v>0</v>
      </c>
      <c r="U496">
        <v>0</v>
      </c>
      <c r="V496">
        <v>1</v>
      </c>
      <c r="W496">
        <v>0</v>
      </c>
      <c r="X496" s="21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f t="shared" si="20"/>
        <v>64</v>
      </c>
      <c r="AJ496" t="s">
        <v>54</v>
      </c>
      <c r="AK496" t="s">
        <v>52</v>
      </c>
      <c r="AL496" t="s">
        <v>258</v>
      </c>
      <c r="AP496" t="s">
        <v>116</v>
      </c>
    </row>
    <row r="497" spans="1:42">
      <c r="A497" s="12">
        <v>43852</v>
      </c>
      <c r="B497">
        <v>2</v>
      </c>
      <c r="C497">
        <v>212</v>
      </c>
      <c r="D497">
        <v>14473</v>
      </c>
      <c r="E497" t="s">
        <v>112</v>
      </c>
      <c r="F497" t="s">
        <v>104</v>
      </c>
      <c r="G497">
        <v>2</v>
      </c>
      <c r="H497">
        <v>14</v>
      </c>
      <c r="I497" s="25">
        <v>2512</v>
      </c>
      <c r="K497" t="s">
        <v>156</v>
      </c>
      <c r="M497" t="s">
        <v>52</v>
      </c>
      <c r="N497" t="s">
        <v>40</v>
      </c>
      <c r="O497">
        <v>40</v>
      </c>
      <c r="Q497">
        <f t="shared" si="21"/>
        <v>2</v>
      </c>
      <c r="R497">
        <v>1</v>
      </c>
      <c r="S497">
        <v>1</v>
      </c>
      <c r="T497">
        <v>0</v>
      </c>
      <c r="U497">
        <v>1</v>
      </c>
      <c r="V497">
        <v>0</v>
      </c>
      <c r="W497">
        <v>0</v>
      </c>
      <c r="X497" s="21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f t="shared" si="20"/>
        <v>48</v>
      </c>
      <c r="AJ497" t="s">
        <v>54</v>
      </c>
      <c r="AK497" t="s">
        <v>52</v>
      </c>
      <c r="AP497" t="s">
        <v>116</v>
      </c>
    </row>
    <row r="498" spans="1:42">
      <c r="A498" s="12">
        <v>43852</v>
      </c>
      <c r="B498">
        <v>2</v>
      </c>
      <c r="C498">
        <v>212</v>
      </c>
      <c r="D498">
        <v>14473</v>
      </c>
      <c r="E498" t="s">
        <v>112</v>
      </c>
      <c r="F498" t="s">
        <v>104</v>
      </c>
      <c r="G498">
        <v>2</v>
      </c>
      <c r="H498">
        <v>15</v>
      </c>
      <c r="I498" s="25">
        <v>2601</v>
      </c>
      <c r="K498" t="s">
        <v>213</v>
      </c>
      <c r="L498" t="s">
        <v>141</v>
      </c>
      <c r="M498" t="s">
        <v>95</v>
      </c>
      <c r="N498" t="s">
        <v>44</v>
      </c>
      <c r="O498">
        <v>118</v>
      </c>
      <c r="Q498">
        <f t="shared" si="21"/>
        <v>1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1</v>
      </c>
      <c r="X498" s="21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f t="shared" si="20"/>
        <v>96</v>
      </c>
      <c r="AJ498" t="s">
        <v>51</v>
      </c>
      <c r="AK498" t="s">
        <v>52</v>
      </c>
      <c r="AL498" t="s">
        <v>259</v>
      </c>
      <c r="AP498" t="s">
        <v>116</v>
      </c>
    </row>
    <row r="499" spans="1:42">
      <c r="A499" s="12">
        <v>43852</v>
      </c>
      <c r="B499">
        <v>2</v>
      </c>
      <c r="C499">
        <v>212</v>
      </c>
      <c r="D499">
        <v>14473</v>
      </c>
      <c r="E499" t="s">
        <v>112</v>
      </c>
      <c r="F499" t="s">
        <v>104</v>
      </c>
      <c r="G499">
        <v>2</v>
      </c>
      <c r="H499">
        <v>16</v>
      </c>
      <c r="I499" s="25">
        <v>2640</v>
      </c>
      <c r="K499" t="s">
        <v>213</v>
      </c>
      <c r="L499" t="s">
        <v>114</v>
      </c>
      <c r="M499" t="s">
        <v>52</v>
      </c>
      <c r="N499" t="s">
        <v>44</v>
      </c>
      <c r="O499">
        <v>154</v>
      </c>
      <c r="Q499">
        <f t="shared" si="21"/>
        <v>2</v>
      </c>
      <c r="R499">
        <v>1</v>
      </c>
      <c r="S499">
        <v>0</v>
      </c>
      <c r="T499">
        <v>0</v>
      </c>
      <c r="U499">
        <v>0</v>
      </c>
      <c r="V499">
        <v>1</v>
      </c>
      <c r="W499">
        <v>1</v>
      </c>
      <c r="X499" s="21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f t="shared" si="20"/>
        <v>160</v>
      </c>
      <c r="AJ499" t="s">
        <v>51</v>
      </c>
      <c r="AK499" t="s">
        <v>95</v>
      </c>
      <c r="AL499" t="s">
        <v>260</v>
      </c>
      <c r="AP499" t="s">
        <v>116</v>
      </c>
    </row>
    <row r="500" spans="1:42">
      <c r="A500" s="12">
        <v>43852</v>
      </c>
      <c r="B500">
        <v>2</v>
      </c>
      <c r="C500">
        <v>212</v>
      </c>
      <c r="D500">
        <v>14473</v>
      </c>
      <c r="E500" t="s">
        <v>112</v>
      </c>
      <c r="F500" t="s">
        <v>104</v>
      </c>
      <c r="G500">
        <v>2</v>
      </c>
      <c r="H500">
        <v>17</v>
      </c>
      <c r="I500" s="25">
        <v>2633</v>
      </c>
      <c r="K500" t="s">
        <v>213</v>
      </c>
      <c r="L500" t="s">
        <v>141</v>
      </c>
      <c r="M500" t="s">
        <v>52</v>
      </c>
      <c r="N500" t="s">
        <v>44</v>
      </c>
      <c r="O500">
        <v>90</v>
      </c>
      <c r="Q500">
        <f t="shared" si="21"/>
        <v>1</v>
      </c>
      <c r="R500">
        <v>1</v>
      </c>
      <c r="S500">
        <v>0</v>
      </c>
      <c r="T500">
        <v>0</v>
      </c>
      <c r="U500">
        <v>0</v>
      </c>
      <c r="V500">
        <v>0</v>
      </c>
      <c r="W500">
        <v>1</v>
      </c>
      <c r="X500" s="21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f t="shared" si="20"/>
        <v>96</v>
      </c>
      <c r="AJ500" t="s">
        <v>51</v>
      </c>
      <c r="AK500" t="s">
        <v>95</v>
      </c>
      <c r="AL500" t="s">
        <v>261</v>
      </c>
      <c r="AP500" t="s">
        <v>116</v>
      </c>
    </row>
    <row r="501" spans="1:42">
      <c r="A501" s="12">
        <v>43852</v>
      </c>
      <c r="B501">
        <v>2</v>
      </c>
      <c r="C501">
        <v>212</v>
      </c>
      <c r="D501">
        <v>14473</v>
      </c>
      <c r="E501" t="s">
        <v>112</v>
      </c>
      <c r="F501" t="s">
        <v>104</v>
      </c>
      <c r="G501">
        <v>2</v>
      </c>
      <c r="H501">
        <v>18</v>
      </c>
      <c r="I501" s="25">
        <v>2695</v>
      </c>
      <c r="K501" t="s">
        <v>213</v>
      </c>
      <c r="L501" t="s">
        <v>141</v>
      </c>
      <c r="M501" t="s">
        <v>95</v>
      </c>
      <c r="N501" t="s">
        <v>44</v>
      </c>
      <c r="O501">
        <v>164</v>
      </c>
      <c r="Q501">
        <f t="shared" si="21"/>
        <v>2</v>
      </c>
      <c r="R501">
        <v>1</v>
      </c>
      <c r="S501">
        <v>0</v>
      </c>
      <c r="T501">
        <v>0</v>
      </c>
      <c r="U501">
        <v>0</v>
      </c>
      <c r="V501">
        <v>1</v>
      </c>
      <c r="W501">
        <v>1</v>
      </c>
      <c r="X501" s="2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f t="shared" si="20"/>
        <v>160</v>
      </c>
      <c r="AJ501" t="s">
        <v>51</v>
      </c>
      <c r="AK501" t="s">
        <v>52</v>
      </c>
      <c r="AL501" t="s">
        <v>262</v>
      </c>
      <c r="AP501" t="s">
        <v>116</v>
      </c>
    </row>
    <row r="502" spans="1:42">
      <c r="A502" s="12">
        <v>43852</v>
      </c>
      <c r="B502">
        <v>2</v>
      </c>
      <c r="C502">
        <v>212</v>
      </c>
      <c r="D502">
        <v>14473</v>
      </c>
      <c r="E502" t="s">
        <v>112</v>
      </c>
      <c r="F502" t="s">
        <v>104</v>
      </c>
      <c r="G502">
        <v>2</v>
      </c>
      <c r="H502">
        <v>19</v>
      </c>
      <c r="I502" s="25">
        <v>3030</v>
      </c>
      <c r="K502" t="s">
        <v>220</v>
      </c>
      <c r="L502" t="s">
        <v>141</v>
      </c>
      <c r="M502" t="s">
        <v>95</v>
      </c>
      <c r="N502" t="s">
        <v>44</v>
      </c>
      <c r="O502">
        <v>84</v>
      </c>
      <c r="Q502">
        <f t="shared" si="21"/>
        <v>2</v>
      </c>
      <c r="R502">
        <v>1</v>
      </c>
      <c r="S502">
        <v>0</v>
      </c>
      <c r="T502">
        <v>0</v>
      </c>
      <c r="U502">
        <v>1</v>
      </c>
      <c r="V502">
        <v>0</v>
      </c>
      <c r="W502">
        <v>1</v>
      </c>
      <c r="X502" s="21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f t="shared" si="20"/>
        <v>128</v>
      </c>
      <c r="AJ502" t="s">
        <v>54</v>
      </c>
      <c r="AK502" t="s">
        <v>95</v>
      </c>
      <c r="AL502" t="s">
        <v>263</v>
      </c>
      <c r="AP502" t="s">
        <v>116</v>
      </c>
    </row>
    <row r="503" spans="1:42">
      <c r="A503" s="12">
        <v>43852</v>
      </c>
      <c r="B503">
        <v>2</v>
      </c>
      <c r="C503">
        <v>212</v>
      </c>
      <c r="D503">
        <v>14473</v>
      </c>
      <c r="E503" t="s">
        <v>112</v>
      </c>
      <c r="F503" t="s">
        <v>104</v>
      </c>
      <c r="G503">
        <v>2</v>
      </c>
      <c r="H503">
        <v>20</v>
      </c>
      <c r="I503" s="25">
        <v>2599</v>
      </c>
      <c r="K503" t="s">
        <v>210</v>
      </c>
      <c r="L503" t="s">
        <v>141</v>
      </c>
      <c r="M503" t="s">
        <v>52</v>
      </c>
      <c r="N503" t="s">
        <v>40</v>
      </c>
      <c r="O503">
        <v>79</v>
      </c>
      <c r="Q503">
        <f t="shared" si="21"/>
        <v>3</v>
      </c>
      <c r="R503">
        <v>1</v>
      </c>
      <c r="S503">
        <v>0</v>
      </c>
      <c r="T503">
        <v>0</v>
      </c>
      <c r="U503">
        <v>0</v>
      </c>
      <c r="V503">
        <v>3</v>
      </c>
      <c r="W503">
        <v>0</v>
      </c>
      <c r="X503" s="21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f t="shared" si="20"/>
        <v>192</v>
      </c>
      <c r="AJ503" t="s">
        <v>51</v>
      </c>
      <c r="AK503" t="s">
        <v>52</v>
      </c>
      <c r="AL503" t="s">
        <v>264</v>
      </c>
      <c r="AP503" t="s">
        <v>116</v>
      </c>
    </row>
    <row r="504" spans="1:42">
      <c r="A504" s="12">
        <v>43852</v>
      </c>
      <c r="B504">
        <v>2</v>
      </c>
      <c r="C504">
        <v>212</v>
      </c>
      <c r="D504">
        <v>14473</v>
      </c>
      <c r="E504" t="s">
        <v>112</v>
      </c>
      <c r="F504" t="s">
        <v>104</v>
      </c>
      <c r="G504">
        <v>2</v>
      </c>
      <c r="H504">
        <v>21</v>
      </c>
      <c r="I504" s="25">
        <v>2539</v>
      </c>
      <c r="K504" t="s">
        <v>210</v>
      </c>
      <c r="L504" t="s">
        <v>141</v>
      </c>
      <c r="M504" t="s">
        <v>52</v>
      </c>
      <c r="N504" t="s">
        <v>40</v>
      </c>
      <c r="O504">
        <v>24</v>
      </c>
      <c r="Q504">
        <f t="shared" si="21"/>
        <v>1</v>
      </c>
      <c r="R504">
        <v>1</v>
      </c>
      <c r="S504">
        <v>0</v>
      </c>
      <c r="T504">
        <v>0</v>
      </c>
      <c r="U504">
        <v>0</v>
      </c>
      <c r="V504">
        <v>1</v>
      </c>
      <c r="W504">
        <v>0</v>
      </c>
      <c r="X504" s="21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f t="shared" si="20"/>
        <v>64</v>
      </c>
      <c r="AJ504" t="s">
        <v>51</v>
      </c>
      <c r="AK504" t="s">
        <v>52</v>
      </c>
      <c r="AP504" t="s">
        <v>116</v>
      </c>
    </row>
    <row r="505" spans="1:42">
      <c r="A505" s="12">
        <v>43852</v>
      </c>
      <c r="B505">
        <v>2</v>
      </c>
      <c r="C505">
        <v>212</v>
      </c>
      <c r="D505">
        <v>14473</v>
      </c>
      <c r="E505" t="s">
        <v>112</v>
      </c>
      <c r="F505" t="s">
        <v>104</v>
      </c>
      <c r="G505">
        <v>2</v>
      </c>
      <c r="H505">
        <v>22</v>
      </c>
      <c r="I505" s="25">
        <v>2505</v>
      </c>
      <c r="K505" t="s">
        <v>210</v>
      </c>
      <c r="L505" t="s">
        <v>141</v>
      </c>
      <c r="M505" t="s">
        <v>52</v>
      </c>
      <c r="N505" t="s">
        <v>40</v>
      </c>
      <c r="O505">
        <v>22</v>
      </c>
      <c r="Q505">
        <f t="shared" si="21"/>
        <v>1</v>
      </c>
      <c r="R505">
        <v>1</v>
      </c>
      <c r="S505">
        <v>0</v>
      </c>
      <c r="T505">
        <v>0</v>
      </c>
      <c r="U505">
        <v>0</v>
      </c>
      <c r="V505">
        <v>0</v>
      </c>
      <c r="W505">
        <v>1</v>
      </c>
      <c r="X505" s="21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f t="shared" si="20"/>
        <v>96</v>
      </c>
      <c r="AJ505" t="s">
        <v>51</v>
      </c>
      <c r="AK505" t="s">
        <v>95</v>
      </c>
      <c r="AP505" t="s">
        <v>116</v>
      </c>
    </row>
    <row r="506" spans="1:42">
      <c r="A506" s="12">
        <v>43852</v>
      </c>
      <c r="B506">
        <v>2</v>
      </c>
      <c r="C506">
        <v>212</v>
      </c>
      <c r="D506">
        <v>14473</v>
      </c>
      <c r="E506" t="s">
        <v>112</v>
      </c>
      <c r="F506" t="s">
        <v>104</v>
      </c>
      <c r="G506">
        <v>2</v>
      </c>
      <c r="H506">
        <v>23</v>
      </c>
      <c r="I506" s="25"/>
      <c r="K506" t="s">
        <v>234</v>
      </c>
      <c r="L506" t="s">
        <v>141</v>
      </c>
      <c r="M506" t="s">
        <v>52</v>
      </c>
      <c r="N506" t="s">
        <v>40</v>
      </c>
      <c r="O506">
        <v>149</v>
      </c>
      <c r="Q506">
        <f t="shared" si="21"/>
        <v>1</v>
      </c>
      <c r="R506">
        <v>1</v>
      </c>
      <c r="S506">
        <v>0</v>
      </c>
      <c r="T506">
        <v>0</v>
      </c>
      <c r="U506">
        <v>1</v>
      </c>
      <c r="V506">
        <v>0</v>
      </c>
      <c r="W506">
        <v>0</v>
      </c>
      <c r="X506" s="21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f t="shared" si="20"/>
        <v>32</v>
      </c>
      <c r="AJ506" t="s">
        <v>51</v>
      </c>
      <c r="AK506" t="s">
        <v>52</v>
      </c>
      <c r="AL506" t="s">
        <v>125</v>
      </c>
      <c r="AP506" t="s">
        <v>116</v>
      </c>
    </row>
    <row r="507" spans="1:42">
      <c r="A507" s="12">
        <v>43852</v>
      </c>
      <c r="B507">
        <v>2</v>
      </c>
      <c r="C507">
        <v>212</v>
      </c>
      <c r="D507">
        <v>14473</v>
      </c>
      <c r="E507" t="s">
        <v>112</v>
      </c>
      <c r="F507" t="s">
        <v>104</v>
      </c>
      <c r="G507">
        <v>2</v>
      </c>
      <c r="H507">
        <v>24</v>
      </c>
      <c r="I507" s="25">
        <v>2453</v>
      </c>
      <c r="K507" t="s">
        <v>210</v>
      </c>
      <c r="L507" t="s">
        <v>141</v>
      </c>
      <c r="M507" t="s">
        <v>52</v>
      </c>
      <c r="N507" t="s">
        <v>40</v>
      </c>
      <c r="O507">
        <v>50</v>
      </c>
      <c r="Q507">
        <f t="shared" si="21"/>
        <v>1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1</v>
      </c>
      <c r="X507" s="21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f t="shared" ref="AH507:AH570" si="22">(S507*16+(T507*32)+(U507*32)+(V507*64)+(W507*96))</f>
        <v>96</v>
      </c>
      <c r="AJ507" t="s">
        <v>51</v>
      </c>
      <c r="AK507" t="s">
        <v>95</v>
      </c>
      <c r="AL507" t="s">
        <v>45</v>
      </c>
      <c r="AP507" t="s">
        <v>116</v>
      </c>
    </row>
    <row r="508" spans="1:42">
      <c r="A508" s="12">
        <v>43852</v>
      </c>
      <c r="B508">
        <v>2</v>
      </c>
      <c r="C508">
        <v>212</v>
      </c>
      <c r="D508">
        <v>14473</v>
      </c>
      <c r="E508" t="s">
        <v>112</v>
      </c>
      <c r="F508" t="s">
        <v>104</v>
      </c>
      <c r="G508">
        <v>2</v>
      </c>
      <c r="H508">
        <v>25</v>
      </c>
      <c r="I508" s="25">
        <v>2475</v>
      </c>
      <c r="K508" t="s">
        <v>213</v>
      </c>
      <c r="L508" t="s">
        <v>141</v>
      </c>
      <c r="M508" t="s">
        <v>52</v>
      </c>
      <c r="N508" t="s">
        <v>44</v>
      </c>
      <c r="O508">
        <v>165</v>
      </c>
      <c r="Q508">
        <f t="shared" si="21"/>
        <v>2</v>
      </c>
      <c r="R508">
        <v>1</v>
      </c>
      <c r="S508">
        <v>0</v>
      </c>
      <c r="T508">
        <v>0</v>
      </c>
      <c r="U508">
        <v>2</v>
      </c>
      <c r="V508">
        <v>0</v>
      </c>
      <c r="W508">
        <v>0</v>
      </c>
      <c r="X508" s="21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f t="shared" si="22"/>
        <v>64</v>
      </c>
      <c r="AJ508" t="s">
        <v>51</v>
      </c>
      <c r="AK508" t="s">
        <v>52</v>
      </c>
      <c r="AL508" t="s">
        <v>265</v>
      </c>
      <c r="AP508" t="s">
        <v>116</v>
      </c>
    </row>
    <row r="509" spans="1:42">
      <c r="A509" s="12">
        <v>43852</v>
      </c>
      <c r="B509">
        <v>2</v>
      </c>
      <c r="C509">
        <v>212</v>
      </c>
      <c r="D509">
        <v>14473</v>
      </c>
      <c r="E509" t="s">
        <v>112</v>
      </c>
      <c r="F509" t="s">
        <v>104</v>
      </c>
      <c r="G509">
        <v>2</v>
      </c>
      <c r="H509">
        <v>26</v>
      </c>
      <c r="I509" s="25">
        <v>2451</v>
      </c>
      <c r="K509" t="s">
        <v>213</v>
      </c>
      <c r="L509" t="s">
        <v>141</v>
      </c>
      <c r="M509" t="s">
        <v>52</v>
      </c>
      <c r="N509" t="s">
        <v>44</v>
      </c>
      <c r="O509">
        <v>161</v>
      </c>
      <c r="Q509">
        <f t="shared" si="21"/>
        <v>2</v>
      </c>
      <c r="R509">
        <v>1</v>
      </c>
      <c r="S509">
        <v>0</v>
      </c>
      <c r="T509">
        <v>0</v>
      </c>
      <c r="U509">
        <v>1</v>
      </c>
      <c r="V509">
        <v>0</v>
      </c>
      <c r="W509">
        <v>1</v>
      </c>
      <c r="X509" s="21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f t="shared" si="22"/>
        <v>128</v>
      </c>
      <c r="AJ509" t="s">
        <v>51</v>
      </c>
      <c r="AK509" t="s">
        <v>95</v>
      </c>
      <c r="AL509" t="s">
        <v>266</v>
      </c>
      <c r="AP509" t="s">
        <v>116</v>
      </c>
    </row>
    <row r="510" spans="1:42">
      <c r="A510" s="12">
        <v>43852</v>
      </c>
      <c r="B510">
        <v>2</v>
      </c>
      <c r="C510">
        <v>212</v>
      </c>
      <c r="D510">
        <v>14473</v>
      </c>
      <c r="E510" t="s">
        <v>112</v>
      </c>
      <c r="F510" t="s">
        <v>104</v>
      </c>
      <c r="G510">
        <v>2</v>
      </c>
      <c r="H510">
        <v>27</v>
      </c>
      <c r="I510" s="25" t="s">
        <v>267</v>
      </c>
      <c r="K510" t="s">
        <v>213</v>
      </c>
      <c r="L510" t="s">
        <v>141</v>
      </c>
      <c r="M510" t="s">
        <v>52</v>
      </c>
      <c r="N510" t="s">
        <v>44</v>
      </c>
      <c r="O510">
        <v>205</v>
      </c>
      <c r="Q510">
        <f t="shared" si="21"/>
        <v>2</v>
      </c>
      <c r="R510">
        <v>1</v>
      </c>
      <c r="S510">
        <v>0</v>
      </c>
      <c r="T510">
        <v>0</v>
      </c>
      <c r="U510">
        <v>0</v>
      </c>
      <c r="V510">
        <v>1</v>
      </c>
      <c r="W510">
        <v>1</v>
      </c>
      <c r="X510" s="21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f t="shared" si="22"/>
        <v>160</v>
      </c>
      <c r="AJ510" t="s">
        <v>51</v>
      </c>
      <c r="AK510" t="s">
        <v>52</v>
      </c>
      <c r="AL510" t="s">
        <v>268</v>
      </c>
      <c r="AP510" t="s">
        <v>116</v>
      </c>
    </row>
    <row r="511" spans="1:42">
      <c r="A511" s="12">
        <v>43852</v>
      </c>
      <c r="B511">
        <v>2</v>
      </c>
      <c r="C511">
        <v>212</v>
      </c>
      <c r="D511">
        <v>14473</v>
      </c>
      <c r="E511" t="s">
        <v>112</v>
      </c>
      <c r="F511" t="s">
        <v>104</v>
      </c>
      <c r="G511">
        <v>2</v>
      </c>
      <c r="H511">
        <v>28</v>
      </c>
      <c r="I511" s="25">
        <v>2425</v>
      </c>
      <c r="K511" t="s">
        <v>213</v>
      </c>
      <c r="L511" t="s">
        <v>141</v>
      </c>
      <c r="M511" t="s">
        <v>52</v>
      </c>
      <c r="N511" t="s">
        <v>44</v>
      </c>
      <c r="O511">
        <v>50</v>
      </c>
      <c r="Q511">
        <f t="shared" si="21"/>
        <v>1</v>
      </c>
      <c r="R511">
        <v>1</v>
      </c>
      <c r="S511">
        <v>0</v>
      </c>
      <c r="T511">
        <v>0</v>
      </c>
      <c r="U511">
        <v>0</v>
      </c>
      <c r="V511">
        <v>1</v>
      </c>
      <c r="W511">
        <v>0</v>
      </c>
      <c r="X511" s="2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f t="shared" si="22"/>
        <v>64</v>
      </c>
      <c r="AJ511" t="s">
        <v>51</v>
      </c>
      <c r="AK511" t="s">
        <v>52</v>
      </c>
      <c r="AL511" t="s">
        <v>269</v>
      </c>
      <c r="AP511" t="s">
        <v>116</v>
      </c>
    </row>
    <row r="512" spans="1:42">
      <c r="A512" s="12">
        <v>43852</v>
      </c>
      <c r="B512">
        <v>2</v>
      </c>
      <c r="C512">
        <v>212</v>
      </c>
      <c r="D512">
        <v>14473</v>
      </c>
      <c r="E512" t="s">
        <v>112</v>
      </c>
      <c r="F512" t="s">
        <v>104</v>
      </c>
      <c r="G512">
        <v>2</v>
      </c>
      <c r="H512">
        <v>29</v>
      </c>
      <c r="I512" s="25" t="s">
        <v>270</v>
      </c>
      <c r="K512" t="s">
        <v>213</v>
      </c>
      <c r="L512" t="s">
        <v>141</v>
      </c>
      <c r="M512" t="s">
        <v>52</v>
      </c>
      <c r="N512" t="s">
        <v>40</v>
      </c>
      <c r="O512">
        <v>49</v>
      </c>
      <c r="Q512">
        <f t="shared" si="21"/>
        <v>3</v>
      </c>
      <c r="R512">
        <v>1</v>
      </c>
      <c r="S512">
        <v>1</v>
      </c>
      <c r="T512">
        <v>0</v>
      </c>
      <c r="U512">
        <v>2</v>
      </c>
      <c r="V512">
        <v>0</v>
      </c>
      <c r="W512">
        <v>0</v>
      </c>
      <c r="X512" s="21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f t="shared" si="22"/>
        <v>80</v>
      </c>
      <c r="AJ512" t="s">
        <v>51</v>
      </c>
      <c r="AK512" t="s">
        <v>95</v>
      </c>
      <c r="AP512" t="s">
        <v>116</v>
      </c>
    </row>
    <row r="513" spans="1:42">
      <c r="A513" s="12">
        <v>43852</v>
      </c>
      <c r="B513">
        <v>2</v>
      </c>
      <c r="C513">
        <v>212</v>
      </c>
      <c r="D513">
        <v>14473</v>
      </c>
      <c r="E513" t="s">
        <v>112</v>
      </c>
      <c r="F513" t="s">
        <v>104</v>
      </c>
      <c r="G513">
        <v>2</v>
      </c>
      <c r="H513">
        <v>30</v>
      </c>
      <c r="I513" s="25" t="s">
        <v>271</v>
      </c>
      <c r="K513" t="s">
        <v>213</v>
      </c>
      <c r="L513" t="s">
        <v>141</v>
      </c>
      <c r="M513" t="s">
        <v>52</v>
      </c>
      <c r="N513" t="s">
        <v>40</v>
      </c>
      <c r="O513">
        <v>55</v>
      </c>
      <c r="Q513">
        <f t="shared" si="21"/>
        <v>3</v>
      </c>
      <c r="R513">
        <v>1</v>
      </c>
      <c r="S513">
        <v>0</v>
      </c>
      <c r="T513">
        <v>0</v>
      </c>
      <c r="U513">
        <v>3</v>
      </c>
      <c r="V513">
        <v>0</v>
      </c>
      <c r="W513">
        <v>0</v>
      </c>
      <c r="X513" s="21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f t="shared" si="22"/>
        <v>96</v>
      </c>
      <c r="AJ513" t="s">
        <v>51</v>
      </c>
      <c r="AK513" t="s">
        <v>52</v>
      </c>
      <c r="AP513" t="s">
        <v>116</v>
      </c>
    </row>
    <row r="514" spans="1:42">
      <c r="A514" s="12">
        <v>43852</v>
      </c>
      <c r="B514">
        <v>2</v>
      </c>
      <c r="C514">
        <v>212</v>
      </c>
      <c r="D514">
        <v>14473</v>
      </c>
      <c r="E514" t="s">
        <v>112</v>
      </c>
      <c r="F514" t="s">
        <v>104</v>
      </c>
      <c r="G514">
        <v>2</v>
      </c>
      <c r="H514">
        <v>31</v>
      </c>
      <c r="I514" s="25">
        <v>2351</v>
      </c>
      <c r="K514" t="s">
        <v>148</v>
      </c>
      <c r="L514" t="s">
        <v>141</v>
      </c>
      <c r="M514" t="s">
        <v>52</v>
      </c>
      <c r="N514" t="s">
        <v>44</v>
      </c>
      <c r="O514">
        <v>85</v>
      </c>
      <c r="Q514">
        <f t="shared" si="21"/>
        <v>1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1</v>
      </c>
      <c r="X514" s="21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f t="shared" si="22"/>
        <v>96</v>
      </c>
      <c r="AJ514" t="s">
        <v>51</v>
      </c>
      <c r="AK514" t="s">
        <v>95</v>
      </c>
      <c r="AL514" t="s">
        <v>272</v>
      </c>
      <c r="AP514" t="s">
        <v>116</v>
      </c>
    </row>
    <row r="515" spans="1:42">
      <c r="A515" s="12">
        <v>43852</v>
      </c>
      <c r="B515">
        <v>2</v>
      </c>
      <c r="C515">
        <v>212</v>
      </c>
      <c r="D515">
        <v>14473</v>
      </c>
      <c r="E515" t="s">
        <v>112</v>
      </c>
      <c r="F515" t="s">
        <v>104</v>
      </c>
      <c r="G515">
        <v>2</v>
      </c>
      <c r="H515">
        <v>32</v>
      </c>
      <c r="I515" s="25">
        <v>2345</v>
      </c>
      <c r="K515" t="s">
        <v>148</v>
      </c>
      <c r="L515" t="s">
        <v>114</v>
      </c>
      <c r="M515" t="s">
        <v>52</v>
      </c>
      <c r="N515" t="s">
        <v>44</v>
      </c>
      <c r="O515">
        <v>197</v>
      </c>
      <c r="Q515">
        <f t="shared" si="21"/>
        <v>1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1</v>
      </c>
      <c r="X515" s="21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f t="shared" si="22"/>
        <v>96</v>
      </c>
      <c r="AJ515" t="s">
        <v>51</v>
      </c>
      <c r="AK515" t="s">
        <v>95</v>
      </c>
      <c r="AL515" t="s">
        <v>273</v>
      </c>
      <c r="AP515" t="s">
        <v>116</v>
      </c>
    </row>
    <row r="516" spans="1:42">
      <c r="A516" s="12">
        <v>43852</v>
      </c>
      <c r="B516">
        <v>2</v>
      </c>
      <c r="C516">
        <v>212</v>
      </c>
      <c r="D516">
        <v>14473</v>
      </c>
      <c r="E516" t="s">
        <v>112</v>
      </c>
      <c r="F516" t="s">
        <v>104</v>
      </c>
      <c r="G516">
        <v>2</v>
      </c>
      <c r="H516">
        <v>33</v>
      </c>
      <c r="I516" s="25" t="s">
        <v>274</v>
      </c>
      <c r="K516" t="s">
        <v>156</v>
      </c>
      <c r="L516" t="s">
        <v>141</v>
      </c>
      <c r="M516" t="s">
        <v>52</v>
      </c>
      <c r="N516" t="s">
        <v>40</v>
      </c>
      <c r="O516">
        <v>124</v>
      </c>
      <c r="Q516">
        <f t="shared" si="21"/>
        <v>5</v>
      </c>
      <c r="R516">
        <v>1</v>
      </c>
      <c r="S516">
        <v>1</v>
      </c>
      <c r="T516">
        <v>0</v>
      </c>
      <c r="U516">
        <v>3</v>
      </c>
      <c r="V516">
        <v>1</v>
      </c>
      <c r="W516">
        <v>0</v>
      </c>
      <c r="X516" s="21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f t="shared" si="22"/>
        <v>176</v>
      </c>
      <c r="AJ516" t="s">
        <v>51</v>
      </c>
      <c r="AK516" t="s">
        <v>52</v>
      </c>
      <c r="AP516" t="s">
        <v>116</v>
      </c>
    </row>
    <row r="517" spans="1:42">
      <c r="A517" s="12">
        <v>43852</v>
      </c>
      <c r="B517">
        <v>2</v>
      </c>
      <c r="C517">
        <v>212</v>
      </c>
      <c r="D517">
        <v>14473</v>
      </c>
      <c r="E517" t="s">
        <v>112</v>
      </c>
      <c r="F517" t="s">
        <v>104</v>
      </c>
      <c r="G517">
        <v>2</v>
      </c>
      <c r="H517">
        <v>34</v>
      </c>
      <c r="I517" s="25">
        <v>2325</v>
      </c>
      <c r="K517" t="s">
        <v>156</v>
      </c>
      <c r="L517" t="s">
        <v>114</v>
      </c>
      <c r="M517" t="s">
        <v>95</v>
      </c>
      <c r="N517" t="s">
        <v>40</v>
      </c>
      <c r="O517">
        <v>78</v>
      </c>
      <c r="Q517">
        <f t="shared" si="21"/>
        <v>3</v>
      </c>
      <c r="R517">
        <v>1</v>
      </c>
      <c r="S517">
        <v>0</v>
      </c>
      <c r="T517">
        <v>0</v>
      </c>
      <c r="U517">
        <v>1</v>
      </c>
      <c r="V517">
        <v>1</v>
      </c>
      <c r="W517">
        <v>1</v>
      </c>
      <c r="X517" s="21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f t="shared" si="22"/>
        <v>192</v>
      </c>
      <c r="AJ517" t="s">
        <v>51</v>
      </c>
      <c r="AK517" t="s">
        <v>95</v>
      </c>
      <c r="AP517" t="s">
        <v>116</v>
      </c>
    </row>
    <row r="518" spans="1:42">
      <c r="A518" s="12">
        <v>43852</v>
      </c>
      <c r="B518">
        <v>2</v>
      </c>
      <c r="C518">
        <v>212</v>
      </c>
      <c r="D518">
        <v>14473</v>
      </c>
      <c r="E518" t="s">
        <v>112</v>
      </c>
      <c r="F518" t="s">
        <v>104</v>
      </c>
      <c r="G518">
        <v>2</v>
      </c>
      <c r="H518">
        <v>35</v>
      </c>
      <c r="I518" s="25">
        <v>2340</v>
      </c>
      <c r="K518" t="s">
        <v>156</v>
      </c>
      <c r="L518" t="s">
        <v>114</v>
      </c>
      <c r="M518" t="s">
        <v>52</v>
      </c>
      <c r="N518" t="s">
        <v>44</v>
      </c>
      <c r="O518">
        <v>66</v>
      </c>
      <c r="Q518">
        <f t="shared" si="21"/>
        <v>1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1</v>
      </c>
      <c r="X518" s="21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f t="shared" si="22"/>
        <v>96</v>
      </c>
      <c r="AJ518" t="s">
        <v>51</v>
      </c>
      <c r="AK518" t="s">
        <v>95</v>
      </c>
      <c r="AL518" t="s">
        <v>275</v>
      </c>
      <c r="AP518" t="s">
        <v>116</v>
      </c>
    </row>
    <row r="519" spans="1:42">
      <c r="A519" s="12">
        <v>43852</v>
      </c>
      <c r="B519">
        <v>2</v>
      </c>
      <c r="C519">
        <v>212</v>
      </c>
      <c r="D519">
        <v>14473</v>
      </c>
      <c r="E519" t="s">
        <v>112</v>
      </c>
      <c r="F519" t="s">
        <v>104</v>
      </c>
      <c r="G519">
        <v>2</v>
      </c>
      <c r="H519">
        <v>36</v>
      </c>
      <c r="I519" s="25">
        <v>2353</v>
      </c>
      <c r="K519" t="s">
        <v>156</v>
      </c>
      <c r="L519" t="s">
        <v>141</v>
      </c>
      <c r="M519" t="s">
        <v>95</v>
      </c>
      <c r="N519" t="s">
        <v>40</v>
      </c>
      <c r="O519">
        <v>60</v>
      </c>
      <c r="Q519">
        <f t="shared" si="21"/>
        <v>2</v>
      </c>
      <c r="R519">
        <v>1</v>
      </c>
      <c r="S519">
        <v>0</v>
      </c>
      <c r="T519">
        <v>0</v>
      </c>
      <c r="U519">
        <v>1</v>
      </c>
      <c r="V519">
        <v>0</v>
      </c>
      <c r="W519">
        <v>1</v>
      </c>
      <c r="X519" s="21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f t="shared" si="22"/>
        <v>128</v>
      </c>
      <c r="AJ519" t="s">
        <v>51</v>
      </c>
      <c r="AK519" t="s">
        <v>95</v>
      </c>
      <c r="AP519" t="s">
        <v>116</v>
      </c>
    </row>
    <row r="520" spans="1:42">
      <c r="A520" s="12">
        <v>43852</v>
      </c>
      <c r="B520">
        <v>2</v>
      </c>
      <c r="C520">
        <v>212</v>
      </c>
      <c r="D520">
        <v>14473</v>
      </c>
      <c r="E520" t="s">
        <v>112</v>
      </c>
      <c r="F520" t="s">
        <v>104</v>
      </c>
      <c r="G520">
        <v>2</v>
      </c>
      <c r="H520">
        <v>37</v>
      </c>
      <c r="I520" s="25" t="s">
        <v>276</v>
      </c>
      <c r="K520" t="s">
        <v>156</v>
      </c>
      <c r="L520" t="s">
        <v>114</v>
      </c>
      <c r="M520" t="s">
        <v>52</v>
      </c>
      <c r="N520" t="s">
        <v>44</v>
      </c>
      <c r="O520">
        <v>253</v>
      </c>
      <c r="Q520">
        <f t="shared" si="21"/>
        <v>4</v>
      </c>
      <c r="R520">
        <v>1</v>
      </c>
      <c r="S520">
        <v>0</v>
      </c>
      <c r="T520">
        <v>0</v>
      </c>
      <c r="U520">
        <v>2</v>
      </c>
      <c r="V520">
        <v>0</v>
      </c>
      <c r="W520">
        <v>2</v>
      </c>
      <c r="X520" s="21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f t="shared" si="22"/>
        <v>256</v>
      </c>
      <c r="AJ520" t="s">
        <v>51</v>
      </c>
      <c r="AK520" t="s">
        <v>95</v>
      </c>
      <c r="AL520" t="s">
        <v>277</v>
      </c>
      <c r="AP520" t="s">
        <v>116</v>
      </c>
    </row>
    <row r="521" spans="1:42">
      <c r="A521" s="12">
        <v>43852</v>
      </c>
      <c r="B521">
        <v>2</v>
      </c>
      <c r="C521">
        <v>212</v>
      </c>
      <c r="D521">
        <v>14473</v>
      </c>
      <c r="E521" t="s">
        <v>112</v>
      </c>
      <c r="F521" t="s">
        <v>104</v>
      </c>
      <c r="G521">
        <v>2</v>
      </c>
      <c r="H521">
        <v>38</v>
      </c>
      <c r="I521" s="25">
        <v>2388</v>
      </c>
      <c r="K521" t="s">
        <v>156</v>
      </c>
      <c r="L521" t="s">
        <v>114</v>
      </c>
      <c r="M521" t="s">
        <v>52</v>
      </c>
      <c r="N521" t="s">
        <v>44</v>
      </c>
      <c r="O521">
        <v>166</v>
      </c>
      <c r="Q521">
        <f t="shared" si="21"/>
        <v>1</v>
      </c>
      <c r="R521">
        <v>1</v>
      </c>
      <c r="S521">
        <v>0</v>
      </c>
      <c r="T521">
        <v>0</v>
      </c>
      <c r="U521">
        <v>0</v>
      </c>
      <c r="V521">
        <v>0</v>
      </c>
      <c r="W521">
        <v>1</v>
      </c>
      <c r="X521" s="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f t="shared" si="22"/>
        <v>96</v>
      </c>
      <c r="AJ521" t="s">
        <v>51</v>
      </c>
      <c r="AK521" t="s">
        <v>95</v>
      </c>
      <c r="AL521" t="s">
        <v>278</v>
      </c>
      <c r="AP521" t="s">
        <v>116</v>
      </c>
    </row>
    <row r="522" spans="1:42">
      <c r="A522" s="12">
        <v>43852</v>
      </c>
      <c r="B522">
        <v>2</v>
      </c>
      <c r="C522">
        <v>212</v>
      </c>
      <c r="D522">
        <v>14473</v>
      </c>
      <c r="E522" t="s">
        <v>112</v>
      </c>
      <c r="F522" t="s">
        <v>104</v>
      </c>
      <c r="G522">
        <v>2</v>
      </c>
      <c r="H522">
        <v>39</v>
      </c>
      <c r="I522" s="25" t="s">
        <v>279</v>
      </c>
      <c r="K522" t="s">
        <v>192</v>
      </c>
      <c r="L522" t="s">
        <v>141</v>
      </c>
      <c r="M522" t="s">
        <v>52</v>
      </c>
      <c r="N522" t="s">
        <v>40</v>
      </c>
      <c r="O522">
        <v>40</v>
      </c>
      <c r="Q522">
        <f t="shared" si="21"/>
        <v>3</v>
      </c>
      <c r="R522">
        <v>1</v>
      </c>
      <c r="S522">
        <v>0</v>
      </c>
      <c r="T522">
        <v>0</v>
      </c>
      <c r="U522">
        <v>2</v>
      </c>
      <c r="V522">
        <v>1</v>
      </c>
      <c r="W522">
        <v>0</v>
      </c>
      <c r="X522" s="21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f t="shared" si="22"/>
        <v>128</v>
      </c>
      <c r="AJ522" t="s">
        <v>51</v>
      </c>
      <c r="AK522" t="s">
        <v>52</v>
      </c>
      <c r="AP522" t="s">
        <v>116</v>
      </c>
    </row>
    <row r="523" spans="1:42">
      <c r="A523" s="12">
        <v>43852</v>
      </c>
      <c r="B523">
        <v>2</v>
      </c>
      <c r="C523">
        <v>212</v>
      </c>
      <c r="D523">
        <v>14473</v>
      </c>
      <c r="E523" t="s">
        <v>112</v>
      </c>
      <c r="F523" t="s">
        <v>104</v>
      </c>
      <c r="G523">
        <v>2</v>
      </c>
      <c r="H523">
        <v>40</v>
      </c>
      <c r="I523" s="25" t="s">
        <v>280</v>
      </c>
      <c r="K523" t="s">
        <v>192</v>
      </c>
      <c r="L523" t="s">
        <v>141</v>
      </c>
      <c r="M523" t="s">
        <v>52</v>
      </c>
      <c r="N523" t="s">
        <v>40</v>
      </c>
      <c r="O523">
        <v>158</v>
      </c>
      <c r="Q523">
        <f t="shared" si="21"/>
        <v>7</v>
      </c>
      <c r="R523">
        <v>1</v>
      </c>
      <c r="S523">
        <v>0</v>
      </c>
      <c r="T523">
        <v>0</v>
      </c>
      <c r="U523">
        <v>6</v>
      </c>
      <c r="V523">
        <v>1</v>
      </c>
      <c r="W523">
        <v>0</v>
      </c>
      <c r="X523" s="21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f t="shared" si="22"/>
        <v>256</v>
      </c>
      <c r="AJ523" t="s">
        <v>51</v>
      </c>
      <c r="AK523" t="s">
        <v>52</v>
      </c>
      <c r="AP523" t="s">
        <v>116</v>
      </c>
    </row>
    <row r="524" spans="1:42">
      <c r="A524" s="12">
        <v>43852</v>
      </c>
      <c r="B524">
        <v>2</v>
      </c>
      <c r="C524">
        <v>212</v>
      </c>
      <c r="D524">
        <v>14473</v>
      </c>
      <c r="E524" t="s">
        <v>112</v>
      </c>
      <c r="F524" t="s">
        <v>104</v>
      </c>
      <c r="G524">
        <v>2</v>
      </c>
      <c r="H524">
        <v>41</v>
      </c>
      <c r="I524" s="25">
        <v>2749</v>
      </c>
      <c r="K524" t="s">
        <v>192</v>
      </c>
      <c r="L524" t="s">
        <v>141</v>
      </c>
      <c r="M524" t="s">
        <v>52</v>
      </c>
      <c r="N524" t="s">
        <v>40</v>
      </c>
      <c r="O524">
        <v>29</v>
      </c>
      <c r="Q524">
        <f t="shared" si="21"/>
        <v>2</v>
      </c>
      <c r="R524">
        <v>1</v>
      </c>
      <c r="S524">
        <v>0</v>
      </c>
      <c r="T524">
        <v>0</v>
      </c>
      <c r="U524">
        <v>2</v>
      </c>
      <c r="V524">
        <v>0</v>
      </c>
      <c r="W524">
        <v>0</v>
      </c>
      <c r="X524" s="21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f t="shared" si="22"/>
        <v>64</v>
      </c>
      <c r="AJ524" t="s">
        <v>54</v>
      </c>
      <c r="AK524" t="s">
        <v>52</v>
      </c>
      <c r="AP524" t="s">
        <v>116</v>
      </c>
    </row>
    <row r="525" spans="1:42">
      <c r="A525" s="12">
        <v>43852</v>
      </c>
      <c r="B525">
        <v>2</v>
      </c>
      <c r="C525">
        <v>212</v>
      </c>
      <c r="D525">
        <v>14473</v>
      </c>
      <c r="E525" t="s">
        <v>112</v>
      </c>
      <c r="F525" t="s">
        <v>104</v>
      </c>
      <c r="G525">
        <v>2</v>
      </c>
      <c r="H525">
        <v>42</v>
      </c>
      <c r="I525" s="25">
        <v>2733</v>
      </c>
      <c r="K525" t="s">
        <v>192</v>
      </c>
      <c r="L525" t="s">
        <v>141</v>
      </c>
      <c r="M525" t="s">
        <v>52</v>
      </c>
      <c r="N525" t="s">
        <v>40</v>
      </c>
      <c r="O525">
        <v>47</v>
      </c>
      <c r="Q525">
        <f t="shared" si="21"/>
        <v>2</v>
      </c>
      <c r="R525">
        <v>1</v>
      </c>
      <c r="S525">
        <v>1</v>
      </c>
      <c r="T525">
        <v>0</v>
      </c>
      <c r="U525">
        <v>1</v>
      </c>
      <c r="V525">
        <v>0</v>
      </c>
      <c r="W525">
        <v>0</v>
      </c>
      <c r="X525" s="21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f t="shared" si="22"/>
        <v>48</v>
      </c>
      <c r="AJ525" t="s">
        <v>54</v>
      </c>
      <c r="AK525" t="s">
        <v>52</v>
      </c>
      <c r="AP525" t="s">
        <v>116</v>
      </c>
    </row>
    <row r="526" spans="1:42">
      <c r="A526" s="12">
        <v>43852</v>
      </c>
      <c r="B526">
        <v>2</v>
      </c>
      <c r="C526">
        <v>212</v>
      </c>
      <c r="D526">
        <v>14473</v>
      </c>
      <c r="E526" t="s">
        <v>112</v>
      </c>
      <c r="F526" t="s">
        <v>104</v>
      </c>
      <c r="G526">
        <v>2</v>
      </c>
      <c r="H526">
        <v>43</v>
      </c>
      <c r="I526" s="25">
        <v>2727</v>
      </c>
      <c r="K526" t="s">
        <v>192</v>
      </c>
      <c r="L526" t="s">
        <v>141</v>
      </c>
      <c r="M526" t="s">
        <v>52</v>
      </c>
      <c r="N526" t="s">
        <v>40</v>
      </c>
      <c r="O526">
        <v>25</v>
      </c>
      <c r="Q526">
        <f t="shared" si="21"/>
        <v>1</v>
      </c>
      <c r="R526">
        <v>1</v>
      </c>
      <c r="S526">
        <v>0</v>
      </c>
      <c r="T526">
        <v>0</v>
      </c>
      <c r="U526">
        <v>0</v>
      </c>
      <c r="V526">
        <v>1</v>
      </c>
      <c r="W526">
        <v>0</v>
      </c>
      <c r="X526" s="21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f t="shared" si="22"/>
        <v>64</v>
      </c>
      <c r="AJ526" t="s">
        <v>54</v>
      </c>
      <c r="AK526" t="s">
        <v>52</v>
      </c>
      <c r="AP526" t="s">
        <v>116</v>
      </c>
    </row>
    <row r="527" spans="1:42">
      <c r="A527" s="12">
        <v>43852</v>
      </c>
      <c r="B527">
        <v>2</v>
      </c>
      <c r="C527">
        <v>212</v>
      </c>
      <c r="D527">
        <v>14473</v>
      </c>
      <c r="E527" t="s">
        <v>112</v>
      </c>
      <c r="F527" t="s">
        <v>104</v>
      </c>
      <c r="G527">
        <v>2</v>
      </c>
      <c r="H527">
        <v>44</v>
      </c>
      <c r="I527" s="25">
        <v>2721</v>
      </c>
      <c r="K527" t="s">
        <v>192</v>
      </c>
      <c r="L527" t="s">
        <v>141</v>
      </c>
      <c r="M527" t="s">
        <v>52</v>
      </c>
      <c r="N527" t="s">
        <v>40</v>
      </c>
      <c r="O527">
        <v>47</v>
      </c>
      <c r="Q527">
        <f t="shared" si="21"/>
        <v>2</v>
      </c>
      <c r="R527">
        <v>1</v>
      </c>
      <c r="S527">
        <v>0</v>
      </c>
      <c r="T527">
        <v>1</v>
      </c>
      <c r="U527">
        <v>0</v>
      </c>
      <c r="V527">
        <v>1</v>
      </c>
      <c r="W527">
        <v>0</v>
      </c>
      <c r="X527" s="21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f t="shared" si="22"/>
        <v>96</v>
      </c>
      <c r="AJ527" t="s">
        <v>54</v>
      </c>
      <c r="AK527" t="s">
        <v>52</v>
      </c>
      <c r="AP527" t="s">
        <v>116</v>
      </c>
    </row>
    <row r="528" spans="1:42">
      <c r="A528" s="12">
        <v>43852</v>
      </c>
      <c r="B528">
        <v>2</v>
      </c>
      <c r="C528">
        <v>212</v>
      </c>
      <c r="D528">
        <v>14473</v>
      </c>
      <c r="E528" t="s">
        <v>112</v>
      </c>
      <c r="F528" t="s">
        <v>104</v>
      </c>
      <c r="G528">
        <v>2</v>
      </c>
      <c r="H528">
        <v>45</v>
      </c>
      <c r="I528" s="25">
        <v>2730</v>
      </c>
      <c r="K528" t="s">
        <v>192</v>
      </c>
      <c r="L528" t="s">
        <v>114</v>
      </c>
      <c r="M528" t="s">
        <v>52</v>
      </c>
      <c r="N528" t="s">
        <v>40</v>
      </c>
      <c r="O528">
        <v>68</v>
      </c>
      <c r="Q528">
        <f t="shared" si="21"/>
        <v>2</v>
      </c>
      <c r="R528">
        <v>1</v>
      </c>
      <c r="S528">
        <v>0</v>
      </c>
      <c r="T528">
        <v>1</v>
      </c>
      <c r="U528">
        <v>1</v>
      </c>
      <c r="V528">
        <v>0</v>
      </c>
      <c r="W528">
        <v>0</v>
      </c>
      <c r="X528" s="21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f t="shared" si="22"/>
        <v>64</v>
      </c>
      <c r="AJ528" t="s">
        <v>54</v>
      </c>
      <c r="AK528" t="s">
        <v>52</v>
      </c>
      <c r="AP528" t="s">
        <v>116</v>
      </c>
    </row>
    <row r="529" spans="1:42">
      <c r="A529" s="12">
        <v>43852</v>
      </c>
      <c r="B529">
        <v>2</v>
      </c>
      <c r="C529">
        <v>212</v>
      </c>
      <c r="D529">
        <v>14473</v>
      </c>
      <c r="E529" t="s">
        <v>112</v>
      </c>
      <c r="F529" t="s">
        <v>104</v>
      </c>
      <c r="G529">
        <v>2</v>
      </c>
      <c r="H529">
        <v>46</v>
      </c>
      <c r="I529" s="25">
        <v>2736</v>
      </c>
      <c r="K529" t="s">
        <v>192</v>
      </c>
      <c r="L529" t="s">
        <v>114</v>
      </c>
      <c r="M529" t="s">
        <v>52</v>
      </c>
      <c r="N529" t="s">
        <v>44</v>
      </c>
      <c r="O529">
        <v>59</v>
      </c>
      <c r="Q529">
        <f t="shared" si="21"/>
        <v>2</v>
      </c>
      <c r="R529">
        <v>1</v>
      </c>
      <c r="S529">
        <v>0</v>
      </c>
      <c r="T529">
        <v>0</v>
      </c>
      <c r="U529">
        <v>1</v>
      </c>
      <c r="V529">
        <v>1</v>
      </c>
      <c r="W529">
        <v>0</v>
      </c>
      <c r="X529" s="21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f t="shared" si="22"/>
        <v>96</v>
      </c>
      <c r="AJ529" t="s">
        <v>54</v>
      </c>
      <c r="AK529" t="s">
        <v>52</v>
      </c>
      <c r="AL529" t="s">
        <v>281</v>
      </c>
      <c r="AP529" t="s">
        <v>116</v>
      </c>
    </row>
    <row r="530" spans="1:42">
      <c r="A530" s="12">
        <v>43852</v>
      </c>
      <c r="B530">
        <v>2</v>
      </c>
      <c r="C530">
        <v>212</v>
      </c>
      <c r="D530">
        <v>14473</v>
      </c>
      <c r="E530" t="s">
        <v>112</v>
      </c>
      <c r="F530" t="s">
        <v>104</v>
      </c>
      <c r="G530">
        <v>2</v>
      </c>
      <c r="H530">
        <v>47</v>
      </c>
      <c r="I530" s="25">
        <v>2740</v>
      </c>
      <c r="K530" t="s">
        <v>192</v>
      </c>
      <c r="L530" t="s">
        <v>114</v>
      </c>
      <c r="M530" t="s">
        <v>52</v>
      </c>
      <c r="N530" t="s">
        <v>40</v>
      </c>
      <c r="O530">
        <v>52</v>
      </c>
      <c r="Q530">
        <f t="shared" si="21"/>
        <v>2</v>
      </c>
      <c r="R530">
        <v>1</v>
      </c>
      <c r="S530">
        <v>0</v>
      </c>
      <c r="T530">
        <v>0</v>
      </c>
      <c r="U530">
        <v>2</v>
      </c>
      <c r="V530">
        <v>0</v>
      </c>
      <c r="W530">
        <v>0</v>
      </c>
      <c r="X530" s="21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f t="shared" si="22"/>
        <v>64</v>
      </c>
      <c r="AJ530" t="s">
        <v>54</v>
      </c>
      <c r="AK530" t="s">
        <v>52</v>
      </c>
      <c r="AP530" t="s">
        <v>116</v>
      </c>
    </row>
    <row r="531" spans="1:42">
      <c r="A531" s="12">
        <v>43852</v>
      </c>
      <c r="B531">
        <v>2</v>
      </c>
      <c r="C531">
        <v>212</v>
      </c>
      <c r="D531">
        <v>14473</v>
      </c>
      <c r="E531" t="s">
        <v>112</v>
      </c>
      <c r="F531" t="s">
        <v>104</v>
      </c>
      <c r="G531">
        <v>2</v>
      </c>
      <c r="H531">
        <v>48</v>
      </c>
      <c r="I531" s="25" t="s">
        <v>282</v>
      </c>
      <c r="K531" t="s">
        <v>192</v>
      </c>
      <c r="L531" t="s">
        <v>114</v>
      </c>
      <c r="M531" t="s">
        <v>52</v>
      </c>
      <c r="N531" t="s">
        <v>40</v>
      </c>
      <c r="O531">
        <v>61</v>
      </c>
      <c r="Q531">
        <f t="shared" si="21"/>
        <v>3</v>
      </c>
      <c r="R531">
        <v>1</v>
      </c>
      <c r="S531">
        <v>0</v>
      </c>
      <c r="T531">
        <v>0</v>
      </c>
      <c r="U531">
        <v>1</v>
      </c>
      <c r="V531">
        <v>0</v>
      </c>
      <c r="W531">
        <v>2</v>
      </c>
      <c r="X531" s="2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f t="shared" si="22"/>
        <v>224</v>
      </c>
      <c r="AJ531" t="s">
        <v>51</v>
      </c>
      <c r="AK531" t="s">
        <v>52</v>
      </c>
      <c r="AP531" t="s">
        <v>116</v>
      </c>
    </row>
    <row r="532" spans="1:42">
      <c r="A532" s="12">
        <v>43852</v>
      </c>
      <c r="B532">
        <v>2</v>
      </c>
      <c r="C532">
        <v>212</v>
      </c>
      <c r="D532">
        <v>14473</v>
      </c>
      <c r="E532" t="s">
        <v>112</v>
      </c>
      <c r="F532" t="s">
        <v>104</v>
      </c>
      <c r="G532">
        <v>2</v>
      </c>
      <c r="H532">
        <v>49</v>
      </c>
      <c r="I532" s="25" t="s">
        <v>283</v>
      </c>
      <c r="K532" t="s">
        <v>192</v>
      </c>
      <c r="L532" t="s">
        <v>114</v>
      </c>
      <c r="M532" t="s">
        <v>52</v>
      </c>
      <c r="N532" t="s">
        <v>40</v>
      </c>
      <c r="O532">
        <v>141</v>
      </c>
      <c r="Q532">
        <f t="shared" si="21"/>
        <v>5</v>
      </c>
      <c r="R532">
        <v>1</v>
      </c>
      <c r="S532">
        <v>2</v>
      </c>
      <c r="T532">
        <v>0</v>
      </c>
      <c r="U532">
        <v>3</v>
      </c>
      <c r="V532">
        <v>0</v>
      </c>
      <c r="W532">
        <v>0</v>
      </c>
      <c r="X532" s="21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f t="shared" si="22"/>
        <v>128</v>
      </c>
      <c r="AJ532" t="s">
        <v>51</v>
      </c>
      <c r="AK532" t="s">
        <v>52</v>
      </c>
      <c r="AL532" t="s">
        <v>284</v>
      </c>
      <c r="AP532" t="s">
        <v>116</v>
      </c>
    </row>
    <row r="533" spans="1:42">
      <c r="A533" s="12">
        <v>43852</v>
      </c>
      <c r="B533">
        <v>2</v>
      </c>
      <c r="C533">
        <v>212</v>
      </c>
      <c r="D533">
        <v>14473</v>
      </c>
      <c r="E533" t="s">
        <v>112</v>
      </c>
      <c r="F533" t="s">
        <v>104</v>
      </c>
      <c r="G533">
        <v>2</v>
      </c>
      <c r="H533">
        <v>50</v>
      </c>
      <c r="I533" s="25">
        <v>2860</v>
      </c>
      <c r="K533" t="s">
        <v>192</v>
      </c>
      <c r="L533" t="s">
        <v>114</v>
      </c>
      <c r="M533" t="s">
        <v>52</v>
      </c>
      <c r="N533" t="s">
        <v>44</v>
      </c>
      <c r="O533">
        <v>87</v>
      </c>
      <c r="Q533">
        <f t="shared" si="21"/>
        <v>3</v>
      </c>
      <c r="R533">
        <v>1</v>
      </c>
      <c r="S533">
        <v>0</v>
      </c>
      <c r="T533">
        <v>0</v>
      </c>
      <c r="U533">
        <v>0</v>
      </c>
      <c r="V533">
        <v>1</v>
      </c>
      <c r="W533">
        <v>2</v>
      </c>
      <c r="X533" s="21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f t="shared" si="22"/>
        <v>256</v>
      </c>
      <c r="AJ533" t="s">
        <v>51</v>
      </c>
      <c r="AK533" t="s">
        <v>52</v>
      </c>
      <c r="AL533" t="s">
        <v>285</v>
      </c>
      <c r="AP533" t="s">
        <v>116</v>
      </c>
    </row>
    <row r="534" spans="1:42">
      <c r="A534" s="12">
        <v>43852</v>
      </c>
      <c r="B534">
        <v>2</v>
      </c>
      <c r="C534">
        <v>212</v>
      </c>
      <c r="D534">
        <v>14473</v>
      </c>
      <c r="E534" t="s">
        <v>112</v>
      </c>
      <c r="F534" t="s">
        <v>104</v>
      </c>
      <c r="G534">
        <v>2</v>
      </c>
      <c r="H534">
        <v>51</v>
      </c>
      <c r="I534" s="25">
        <v>2924</v>
      </c>
      <c r="K534" t="s">
        <v>192</v>
      </c>
      <c r="L534" t="s">
        <v>114</v>
      </c>
      <c r="M534" t="s">
        <v>52</v>
      </c>
      <c r="N534" t="s">
        <v>40</v>
      </c>
      <c r="O534">
        <v>42</v>
      </c>
      <c r="Q534">
        <f t="shared" si="21"/>
        <v>2</v>
      </c>
      <c r="R534">
        <v>1</v>
      </c>
      <c r="S534">
        <v>0</v>
      </c>
      <c r="T534">
        <v>0</v>
      </c>
      <c r="U534">
        <v>1</v>
      </c>
      <c r="V534">
        <v>1</v>
      </c>
      <c r="W534">
        <v>0</v>
      </c>
      <c r="X534" s="21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f t="shared" si="22"/>
        <v>96</v>
      </c>
      <c r="AJ534" t="s">
        <v>51</v>
      </c>
      <c r="AK534" t="s">
        <v>95</v>
      </c>
      <c r="AP534" t="s">
        <v>116</v>
      </c>
    </row>
    <row r="535" spans="1:42">
      <c r="A535" s="12">
        <v>43852</v>
      </c>
      <c r="B535">
        <v>2</v>
      </c>
      <c r="C535">
        <v>212</v>
      </c>
      <c r="D535">
        <v>14473</v>
      </c>
      <c r="E535" t="s">
        <v>112</v>
      </c>
      <c r="F535" t="s">
        <v>104</v>
      </c>
      <c r="G535">
        <v>2</v>
      </c>
      <c r="H535">
        <v>52</v>
      </c>
      <c r="I535" s="25" t="s">
        <v>286</v>
      </c>
      <c r="K535" t="s">
        <v>192</v>
      </c>
      <c r="L535" t="s">
        <v>114</v>
      </c>
      <c r="M535" t="s">
        <v>52</v>
      </c>
      <c r="N535" t="s">
        <v>40</v>
      </c>
      <c r="O535">
        <v>147</v>
      </c>
      <c r="Q535">
        <f t="shared" si="21"/>
        <v>8</v>
      </c>
      <c r="R535">
        <v>1</v>
      </c>
      <c r="S535">
        <v>2</v>
      </c>
      <c r="T535">
        <v>0</v>
      </c>
      <c r="U535">
        <v>5</v>
      </c>
      <c r="V535">
        <v>1</v>
      </c>
      <c r="W535">
        <v>0</v>
      </c>
      <c r="X535" s="21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f t="shared" si="22"/>
        <v>256</v>
      </c>
      <c r="AJ535" t="s">
        <v>51</v>
      </c>
      <c r="AK535" t="s">
        <v>52</v>
      </c>
      <c r="AP535" t="s">
        <v>116</v>
      </c>
    </row>
    <row r="536" spans="1:42">
      <c r="A536" s="12">
        <v>43852</v>
      </c>
      <c r="B536">
        <v>2</v>
      </c>
      <c r="C536">
        <v>212</v>
      </c>
      <c r="D536">
        <v>14473</v>
      </c>
      <c r="E536" t="s">
        <v>112</v>
      </c>
      <c r="F536" t="s">
        <v>104</v>
      </c>
      <c r="G536">
        <v>2</v>
      </c>
      <c r="H536">
        <v>53</v>
      </c>
      <c r="I536" s="25">
        <v>2952</v>
      </c>
      <c r="K536" t="s">
        <v>192</v>
      </c>
      <c r="L536" t="s">
        <v>114</v>
      </c>
      <c r="M536" t="s">
        <v>52</v>
      </c>
      <c r="N536" t="s">
        <v>40</v>
      </c>
      <c r="O536">
        <v>47</v>
      </c>
      <c r="Q536">
        <f t="shared" si="21"/>
        <v>2</v>
      </c>
      <c r="R536">
        <v>1</v>
      </c>
      <c r="S536">
        <v>1</v>
      </c>
      <c r="T536">
        <v>0</v>
      </c>
      <c r="U536">
        <v>1</v>
      </c>
      <c r="V536">
        <v>0</v>
      </c>
      <c r="W536">
        <v>0</v>
      </c>
      <c r="X536" s="21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f t="shared" si="22"/>
        <v>48</v>
      </c>
      <c r="AJ536" t="s">
        <v>51</v>
      </c>
      <c r="AK536" t="s">
        <v>52</v>
      </c>
      <c r="AP536" t="s">
        <v>116</v>
      </c>
    </row>
    <row r="537" spans="1:42">
      <c r="A537" s="12">
        <v>43852</v>
      </c>
      <c r="B537">
        <v>2</v>
      </c>
      <c r="C537">
        <v>212</v>
      </c>
      <c r="D537">
        <v>14473</v>
      </c>
      <c r="E537" t="s">
        <v>112</v>
      </c>
      <c r="F537" t="s">
        <v>104</v>
      </c>
      <c r="G537">
        <v>2</v>
      </c>
      <c r="H537">
        <v>54</v>
      </c>
      <c r="I537" s="25" t="s">
        <v>287</v>
      </c>
      <c r="K537" t="s">
        <v>192</v>
      </c>
      <c r="L537" t="s">
        <v>114</v>
      </c>
      <c r="M537" t="s">
        <v>52</v>
      </c>
      <c r="N537" t="s">
        <v>42</v>
      </c>
      <c r="O537">
        <v>159</v>
      </c>
      <c r="Q537">
        <f t="shared" si="21"/>
        <v>2</v>
      </c>
      <c r="R537">
        <v>1</v>
      </c>
      <c r="S537">
        <v>1</v>
      </c>
      <c r="T537">
        <v>0</v>
      </c>
      <c r="U537">
        <v>1</v>
      </c>
      <c r="V537">
        <v>0</v>
      </c>
      <c r="W537">
        <v>0</v>
      </c>
      <c r="X537" s="21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f t="shared" si="22"/>
        <v>48</v>
      </c>
      <c r="AJ537" t="s">
        <v>51</v>
      </c>
      <c r="AK537" t="s">
        <v>52</v>
      </c>
      <c r="AL537" t="s">
        <v>288</v>
      </c>
      <c r="AP537" t="s">
        <v>116</v>
      </c>
    </row>
    <row r="538" spans="1:42">
      <c r="A538" s="12">
        <v>43852</v>
      </c>
      <c r="B538">
        <v>2</v>
      </c>
      <c r="C538">
        <v>212</v>
      </c>
      <c r="D538">
        <v>14473</v>
      </c>
      <c r="E538" t="s">
        <v>112</v>
      </c>
      <c r="F538" t="s">
        <v>104</v>
      </c>
      <c r="G538">
        <v>2</v>
      </c>
      <c r="H538">
        <v>55</v>
      </c>
      <c r="I538" s="25" t="s">
        <v>289</v>
      </c>
      <c r="K538" t="s">
        <v>192</v>
      </c>
      <c r="L538" t="s">
        <v>114</v>
      </c>
      <c r="M538" t="s">
        <v>52</v>
      </c>
      <c r="N538" t="s">
        <v>40</v>
      </c>
      <c r="O538">
        <v>49</v>
      </c>
      <c r="Q538">
        <f t="shared" si="21"/>
        <v>2</v>
      </c>
      <c r="R538">
        <v>1</v>
      </c>
      <c r="S538">
        <v>0</v>
      </c>
      <c r="T538">
        <v>0</v>
      </c>
      <c r="U538">
        <v>2</v>
      </c>
      <c r="V538">
        <v>0</v>
      </c>
      <c r="W538">
        <v>0</v>
      </c>
      <c r="X538" s="21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f t="shared" si="22"/>
        <v>64</v>
      </c>
      <c r="AJ538" t="s">
        <v>51</v>
      </c>
      <c r="AK538" t="s">
        <v>52</v>
      </c>
      <c r="AP538" t="s">
        <v>116</v>
      </c>
    </row>
    <row r="539" spans="1:42">
      <c r="A539" s="12">
        <v>43852</v>
      </c>
      <c r="B539">
        <v>2</v>
      </c>
      <c r="C539">
        <v>212</v>
      </c>
      <c r="D539">
        <v>14473</v>
      </c>
      <c r="E539" t="s">
        <v>112</v>
      </c>
      <c r="F539" t="s">
        <v>104</v>
      </c>
      <c r="G539">
        <v>2</v>
      </c>
      <c r="H539">
        <v>56</v>
      </c>
      <c r="I539" s="25">
        <v>3030</v>
      </c>
      <c r="K539" t="s">
        <v>192</v>
      </c>
      <c r="L539" t="s">
        <v>114</v>
      </c>
      <c r="M539" t="s">
        <v>52</v>
      </c>
      <c r="N539" t="s">
        <v>40</v>
      </c>
      <c r="O539">
        <v>25</v>
      </c>
      <c r="Q539">
        <f t="shared" si="21"/>
        <v>1</v>
      </c>
      <c r="R539">
        <v>1</v>
      </c>
      <c r="S539">
        <v>0</v>
      </c>
      <c r="T539">
        <v>0</v>
      </c>
      <c r="U539">
        <v>1</v>
      </c>
      <c r="V539">
        <v>0</v>
      </c>
      <c r="W539">
        <v>0</v>
      </c>
      <c r="X539" s="21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f t="shared" si="22"/>
        <v>32</v>
      </c>
      <c r="AJ539" t="s">
        <v>51</v>
      </c>
      <c r="AK539" t="s">
        <v>52</v>
      </c>
      <c r="AP539" t="s">
        <v>116</v>
      </c>
    </row>
    <row r="540" spans="1:42">
      <c r="A540" s="12">
        <v>43852</v>
      </c>
      <c r="B540">
        <v>2</v>
      </c>
      <c r="C540">
        <v>212</v>
      </c>
      <c r="D540">
        <v>14473</v>
      </c>
      <c r="E540" t="s">
        <v>112</v>
      </c>
      <c r="F540" t="s">
        <v>104</v>
      </c>
      <c r="G540">
        <v>2</v>
      </c>
      <c r="H540">
        <v>57</v>
      </c>
      <c r="I540" s="25" t="s">
        <v>290</v>
      </c>
      <c r="K540" t="s">
        <v>192</v>
      </c>
      <c r="L540" t="s">
        <v>114</v>
      </c>
      <c r="M540" t="s">
        <v>52</v>
      </c>
      <c r="N540" t="s">
        <v>40</v>
      </c>
      <c r="O540">
        <v>42</v>
      </c>
      <c r="Q540">
        <f t="shared" ref="Q540:Q603" si="23">S540+T540+U540+V540+W540+Y540+Z540+AA540+AB540+AC540+AD540+AE540+AF540</f>
        <v>2</v>
      </c>
      <c r="R540">
        <v>1</v>
      </c>
      <c r="S540">
        <v>0</v>
      </c>
      <c r="T540">
        <v>0</v>
      </c>
      <c r="U540">
        <v>2</v>
      </c>
      <c r="V540">
        <v>0</v>
      </c>
      <c r="W540">
        <v>0</v>
      </c>
      <c r="X540" s="21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f t="shared" si="22"/>
        <v>64</v>
      </c>
      <c r="AJ540" t="s">
        <v>51</v>
      </c>
      <c r="AK540" t="s">
        <v>52</v>
      </c>
      <c r="AP540" t="s">
        <v>116</v>
      </c>
    </row>
    <row r="541" spans="1:42">
      <c r="A541" s="12">
        <v>43852</v>
      </c>
      <c r="B541">
        <v>2</v>
      </c>
      <c r="C541">
        <v>212</v>
      </c>
      <c r="D541">
        <v>14473</v>
      </c>
      <c r="E541" t="s">
        <v>112</v>
      </c>
      <c r="F541" t="s">
        <v>104</v>
      </c>
      <c r="G541">
        <v>2</v>
      </c>
      <c r="H541">
        <v>58</v>
      </c>
      <c r="I541" s="25" t="s">
        <v>291</v>
      </c>
      <c r="K541" t="s">
        <v>192</v>
      </c>
      <c r="L541" t="s">
        <v>114</v>
      </c>
      <c r="M541" t="s">
        <v>52</v>
      </c>
      <c r="N541" t="s">
        <v>40</v>
      </c>
      <c r="O541">
        <v>199</v>
      </c>
      <c r="Q541">
        <f t="shared" si="23"/>
        <v>8</v>
      </c>
      <c r="R541">
        <v>1</v>
      </c>
      <c r="S541">
        <v>3</v>
      </c>
      <c r="T541">
        <v>0</v>
      </c>
      <c r="U541">
        <v>4</v>
      </c>
      <c r="V541">
        <v>1</v>
      </c>
      <c r="W541">
        <v>0</v>
      </c>
      <c r="X541" s="2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f t="shared" si="22"/>
        <v>240</v>
      </c>
      <c r="AJ541" t="s">
        <v>51</v>
      </c>
      <c r="AK541" t="s">
        <v>52</v>
      </c>
      <c r="AP541" t="s">
        <v>116</v>
      </c>
    </row>
    <row r="542" spans="1:42">
      <c r="A542" s="12">
        <v>43852</v>
      </c>
      <c r="B542">
        <v>2</v>
      </c>
      <c r="C542">
        <v>212</v>
      </c>
      <c r="D542">
        <v>14473</v>
      </c>
      <c r="E542" t="s">
        <v>112</v>
      </c>
      <c r="F542" t="s">
        <v>104</v>
      </c>
      <c r="G542">
        <v>2</v>
      </c>
      <c r="H542">
        <v>59</v>
      </c>
      <c r="I542" s="25">
        <v>3058</v>
      </c>
      <c r="K542" t="s">
        <v>192</v>
      </c>
      <c r="L542" t="s">
        <v>114</v>
      </c>
      <c r="M542" t="s">
        <v>52</v>
      </c>
      <c r="N542" t="s">
        <v>44</v>
      </c>
      <c r="O542">
        <v>89</v>
      </c>
      <c r="Q542">
        <f t="shared" si="23"/>
        <v>2</v>
      </c>
      <c r="R542">
        <v>1</v>
      </c>
      <c r="S542">
        <v>0</v>
      </c>
      <c r="T542">
        <v>0</v>
      </c>
      <c r="U542">
        <v>1</v>
      </c>
      <c r="V542">
        <v>1</v>
      </c>
      <c r="W542">
        <v>0</v>
      </c>
      <c r="X542" s="21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f t="shared" si="22"/>
        <v>96</v>
      </c>
      <c r="AJ542" t="s">
        <v>51</v>
      </c>
      <c r="AK542" t="s">
        <v>52</v>
      </c>
      <c r="AL542" t="s">
        <v>292</v>
      </c>
      <c r="AP542" t="s">
        <v>116</v>
      </c>
    </row>
    <row r="543" spans="1:42">
      <c r="A543" s="12">
        <v>43852</v>
      </c>
      <c r="B543">
        <v>2</v>
      </c>
      <c r="C543">
        <v>212</v>
      </c>
      <c r="D543">
        <v>14473</v>
      </c>
      <c r="E543" t="s">
        <v>112</v>
      </c>
      <c r="F543" t="s">
        <v>104</v>
      </c>
      <c r="G543">
        <v>2</v>
      </c>
      <c r="H543">
        <v>60</v>
      </c>
      <c r="I543" s="25">
        <v>2340</v>
      </c>
      <c r="K543" t="s">
        <v>148</v>
      </c>
      <c r="L543" t="s">
        <v>114</v>
      </c>
      <c r="M543" t="s">
        <v>52</v>
      </c>
      <c r="N543" t="s">
        <v>44</v>
      </c>
      <c r="O543">
        <v>84</v>
      </c>
      <c r="Q543">
        <f t="shared" si="23"/>
        <v>1</v>
      </c>
      <c r="R543">
        <v>1</v>
      </c>
      <c r="S543">
        <v>0</v>
      </c>
      <c r="T543">
        <v>0</v>
      </c>
      <c r="U543">
        <v>0</v>
      </c>
      <c r="V543">
        <v>0</v>
      </c>
      <c r="W543">
        <v>1</v>
      </c>
      <c r="X543" s="21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f t="shared" si="22"/>
        <v>96</v>
      </c>
      <c r="AJ543" t="s">
        <v>51</v>
      </c>
      <c r="AK543" t="s">
        <v>52</v>
      </c>
      <c r="AL543" t="s">
        <v>293</v>
      </c>
      <c r="AP543" t="s">
        <v>116</v>
      </c>
    </row>
    <row r="544" spans="1:42">
      <c r="A544" s="12">
        <v>43852</v>
      </c>
      <c r="B544">
        <v>2</v>
      </c>
      <c r="C544">
        <v>212</v>
      </c>
      <c r="D544">
        <v>14473</v>
      </c>
      <c r="E544" t="s">
        <v>112</v>
      </c>
      <c r="F544" t="s">
        <v>104</v>
      </c>
      <c r="G544">
        <v>2</v>
      </c>
      <c r="H544">
        <v>61</v>
      </c>
      <c r="I544" s="25">
        <v>2350</v>
      </c>
      <c r="K544" t="s">
        <v>148</v>
      </c>
      <c r="L544" t="s">
        <v>114</v>
      </c>
      <c r="M544" t="s">
        <v>52</v>
      </c>
      <c r="N544" t="s">
        <v>44</v>
      </c>
      <c r="O544">
        <v>103</v>
      </c>
      <c r="Q544">
        <f t="shared" si="23"/>
        <v>1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1</v>
      </c>
      <c r="X544" s="21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f t="shared" si="22"/>
        <v>96</v>
      </c>
      <c r="AJ544" t="s">
        <v>51</v>
      </c>
      <c r="AK544" t="s">
        <v>52</v>
      </c>
      <c r="AL544" t="s">
        <v>294</v>
      </c>
      <c r="AP544" t="s">
        <v>116</v>
      </c>
    </row>
    <row r="545" spans="1:42">
      <c r="A545" s="12">
        <v>43852</v>
      </c>
      <c r="B545">
        <v>2</v>
      </c>
      <c r="C545">
        <v>212</v>
      </c>
      <c r="D545">
        <v>14473</v>
      </c>
      <c r="E545" t="s">
        <v>112</v>
      </c>
      <c r="F545" t="s">
        <v>104</v>
      </c>
      <c r="G545">
        <v>2</v>
      </c>
      <c r="H545">
        <v>62</v>
      </c>
      <c r="I545" s="25">
        <v>2360</v>
      </c>
      <c r="K545" t="s">
        <v>148</v>
      </c>
      <c r="L545" t="s">
        <v>114</v>
      </c>
      <c r="M545" t="s">
        <v>52</v>
      </c>
      <c r="N545" t="s">
        <v>44</v>
      </c>
      <c r="O545">
        <v>104</v>
      </c>
      <c r="Q545">
        <f t="shared" si="23"/>
        <v>1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1</v>
      </c>
      <c r="X545" s="21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f t="shared" si="22"/>
        <v>96</v>
      </c>
      <c r="AJ545" t="s">
        <v>51</v>
      </c>
      <c r="AK545" t="s">
        <v>52</v>
      </c>
      <c r="AL545" t="s">
        <v>295</v>
      </c>
      <c r="AP545" t="s">
        <v>116</v>
      </c>
    </row>
    <row r="546" spans="1:42">
      <c r="A546" s="12">
        <v>43852</v>
      </c>
      <c r="B546">
        <v>2</v>
      </c>
      <c r="C546">
        <v>212</v>
      </c>
      <c r="D546">
        <v>14473</v>
      </c>
      <c r="E546" t="s">
        <v>112</v>
      </c>
      <c r="F546" t="s">
        <v>104</v>
      </c>
      <c r="G546">
        <v>2</v>
      </c>
      <c r="H546">
        <v>63</v>
      </c>
      <c r="I546" s="25" t="s">
        <v>296</v>
      </c>
      <c r="K546" t="s">
        <v>297</v>
      </c>
      <c r="L546" t="s">
        <v>114</v>
      </c>
      <c r="M546" t="s">
        <v>52</v>
      </c>
      <c r="N546" t="s">
        <v>44</v>
      </c>
      <c r="O546">
        <v>201</v>
      </c>
      <c r="Q546">
        <f t="shared" si="23"/>
        <v>1</v>
      </c>
      <c r="R546">
        <v>1</v>
      </c>
      <c r="S546">
        <v>0</v>
      </c>
      <c r="T546">
        <v>0</v>
      </c>
      <c r="U546">
        <v>1</v>
      </c>
      <c r="V546">
        <v>0</v>
      </c>
      <c r="W546">
        <v>0</v>
      </c>
      <c r="X546" s="21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f t="shared" si="22"/>
        <v>32</v>
      </c>
      <c r="AJ546" t="s">
        <v>51</v>
      </c>
      <c r="AK546" t="s">
        <v>52</v>
      </c>
      <c r="AL546" t="s">
        <v>298</v>
      </c>
      <c r="AP546" t="s">
        <v>116</v>
      </c>
    </row>
    <row r="547" spans="1:42">
      <c r="A547" s="12">
        <v>43852</v>
      </c>
      <c r="B547">
        <v>2</v>
      </c>
      <c r="C547">
        <v>212</v>
      </c>
      <c r="D547">
        <v>14473</v>
      </c>
      <c r="E547" t="s">
        <v>112</v>
      </c>
      <c r="F547" t="s">
        <v>104</v>
      </c>
      <c r="G547">
        <v>2</v>
      </c>
      <c r="H547">
        <v>64</v>
      </c>
      <c r="I547" s="25" t="s">
        <v>299</v>
      </c>
      <c r="K547" t="s">
        <v>192</v>
      </c>
      <c r="L547" t="s">
        <v>141</v>
      </c>
      <c r="M547" t="s">
        <v>52</v>
      </c>
      <c r="N547" t="s">
        <v>40</v>
      </c>
      <c r="O547">
        <v>54</v>
      </c>
      <c r="Q547">
        <f t="shared" si="23"/>
        <v>3</v>
      </c>
      <c r="R547">
        <v>1</v>
      </c>
      <c r="S547">
        <v>1</v>
      </c>
      <c r="T547">
        <v>0</v>
      </c>
      <c r="U547">
        <v>2</v>
      </c>
      <c r="V547">
        <v>0</v>
      </c>
      <c r="W547">
        <v>0</v>
      </c>
      <c r="X547" s="21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f t="shared" si="22"/>
        <v>80</v>
      </c>
      <c r="AJ547" t="s">
        <v>51</v>
      </c>
      <c r="AK547" t="s">
        <v>52</v>
      </c>
      <c r="AP547" t="s">
        <v>116</v>
      </c>
    </row>
    <row r="548" spans="1:42">
      <c r="A548" s="12">
        <v>43852</v>
      </c>
      <c r="B548">
        <v>2</v>
      </c>
      <c r="C548">
        <v>212</v>
      </c>
      <c r="D548">
        <v>14473</v>
      </c>
      <c r="E548" t="s">
        <v>112</v>
      </c>
      <c r="F548" t="s">
        <v>104</v>
      </c>
      <c r="G548">
        <v>2</v>
      </c>
      <c r="H548">
        <v>65</v>
      </c>
      <c r="I548" s="25" t="s">
        <v>300</v>
      </c>
      <c r="K548" t="s">
        <v>192</v>
      </c>
      <c r="L548" t="s">
        <v>141</v>
      </c>
      <c r="M548" t="s">
        <v>52</v>
      </c>
      <c r="N548" t="s">
        <v>40</v>
      </c>
      <c r="O548">
        <v>48</v>
      </c>
      <c r="Q548">
        <f t="shared" si="23"/>
        <v>3</v>
      </c>
      <c r="R548">
        <v>1</v>
      </c>
      <c r="S548">
        <v>0</v>
      </c>
      <c r="T548">
        <v>0</v>
      </c>
      <c r="U548">
        <v>1</v>
      </c>
      <c r="V548">
        <v>2</v>
      </c>
      <c r="W548">
        <v>0</v>
      </c>
      <c r="X548" s="21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f t="shared" si="22"/>
        <v>160</v>
      </c>
      <c r="AJ548" t="s">
        <v>51</v>
      </c>
      <c r="AK548" t="s">
        <v>52</v>
      </c>
      <c r="AP548" t="s">
        <v>116</v>
      </c>
    </row>
    <row r="549" spans="1:42">
      <c r="A549" s="12">
        <v>43852</v>
      </c>
      <c r="B549">
        <v>2</v>
      </c>
      <c r="C549">
        <v>212</v>
      </c>
      <c r="D549">
        <v>14473</v>
      </c>
      <c r="E549" t="s">
        <v>112</v>
      </c>
      <c r="F549" t="s">
        <v>104</v>
      </c>
      <c r="G549">
        <v>2</v>
      </c>
      <c r="H549">
        <v>66</v>
      </c>
      <c r="I549" s="25" t="s">
        <v>301</v>
      </c>
      <c r="K549" t="s">
        <v>192</v>
      </c>
      <c r="L549" t="s">
        <v>141</v>
      </c>
      <c r="M549" t="s">
        <v>52</v>
      </c>
      <c r="N549" t="s">
        <v>40</v>
      </c>
      <c r="O549">
        <v>29</v>
      </c>
      <c r="Q549">
        <f t="shared" si="23"/>
        <v>2</v>
      </c>
      <c r="R549">
        <v>1</v>
      </c>
      <c r="S549">
        <v>0</v>
      </c>
      <c r="T549">
        <v>0</v>
      </c>
      <c r="U549">
        <v>2</v>
      </c>
      <c r="V549">
        <v>0</v>
      </c>
      <c r="W549">
        <v>0</v>
      </c>
      <c r="X549" s="21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f t="shared" si="22"/>
        <v>64</v>
      </c>
      <c r="AJ549" t="s">
        <v>51</v>
      </c>
      <c r="AK549" t="s">
        <v>95</v>
      </c>
      <c r="AP549" t="s">
        <v>116</v>
      </c>
    </row>
    <row r="550" spans="1:42">
      <c r="A550" s="12">
        <v>43852</v>
      </c>
      <c r="B550">
        <v>2</v>
      </c>
      <c r="C550">
        <v>212</v>
      </c>
      <c r="D550">
        <v>14473</v>
      </c>
      <c r="E550" t="s">
        <v>112</v>
      </c>
      <c r="F550" t="s">
        <v>104</v>
      </c>
      <c r="G550">
        <v>2</v>
      </c>
      <c r="H550">
        <v>67</v>
      </c>
      <c r="I550" s="25">
        <v>2925</v>
      </c>
      <c r="K550" t="s">
        <v>192</v>
      </c>
      <c r="L550" t="s">
        <v>141</v>
      </c>
      <c r="M550" t="s">
        <v>52</v>
      </c>
      <c r="N550" t="s">
        <v>40</v>
      </c>
      <c r="O550">
        <v>34</v>
      </c>
      <c r="Q550">
        <f t="shared" si="23"/>
        <v>2</v>
      </c>
      <c r="R550">
        <v>1</v>
      </c>
      <c r="S550">
        <v>0</v>
      </c>
      <c r="T550">
        <v>1</v>
      </c>
      <c r="U550">
        <v>1</v>
      </c>
      <c r="V550">
        <v>0</v>
      </c>
      <c r="W550">
        <v>0</v>
      </c>
      <c r="X550" s="21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f t="shared" si="22"/>
        <v>64</v>
      </c>
      <c r="AJ550" t="s">
        <v>51</v>
      </c>
      <c r="AK550" t="s">
        <v>52</v>
      </c>
      <c r="AP550" t="s">
        <v>116</v>
      </c>
    </row>
    <row r="551" spans="1:42">
      <c r="A551" s="12">
        <v>43852</v>
      </c>
      <c r="B551">
        <v>2</v>
      </c>
      <c r="C551">
        <v>212</v>
      </c>
      <c r="D551">
        <v>14473</v>
      </c>
      <c r="E551" t="s">
        <v>112</v>
      </c>
      <c r="F551" t="s">
        <v>104</v>
      </c>
      <c r="G551">
        <v>2</v>
      </c>
      <c r="H551">
        <v>68</v>
      </c>
      <c r="I551" s="25">
        <v>2901</v>
      </c>
      <c r="K551" t="s">
        <v>192</v>
      </c>
      <c r="L551" t="s">
        <v>141</v>
      </c>
      <c r="M551" t="s">
        <v>52</v>
      </c>
      <c r="N551" t="s">
        <v>40</v>
      </c>
      <c r="O551">
        <v>41</v>
      </c>
      <c r="Q551">
        <f t="shared" si="23"/>
        <v>2</v>
      </c>
      <c r="R551">
        <v>1</v>
      </c>
      <c r="S551">
        <v>0</v>
      </c>
      <c r="T551">
        <v>0</v>
      </c>
      <c r="U551">
        <v>0</v>
      </c>
      <c r="V551">
        <v>2</v>
      </c>
      <c r="W551">
        <v>0</v>
      </c>
      <c r="X551" s="2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f t="shared" si="22"/>
        <v>128</v>
      </c>
      <c r="AJ551" t="s">
        <v>51</v>
      </c>
      <c r="AK551" t="s">
        <v>52</v>
      </c>
      <c r="AP551" t="s">
        <v>116</v>
      </c>
    </row>
    <row r="552" spans="1:42">
      <c r="A552" s="12">
        <v>43852</v>
      </c>
      <c r="B552">
        <v>2</v>
      </c>
      <c r="C552">
        <v>212</v>
      </c>
      <c r="D552">
        <v>14473</v>
      </c>
      <c r="E552" t="s">
        <v>112</v>
      </c>
      <c r="F552" t="s">
        <v>104</v>
      </c>
      <c r="G552">
        <v>2</v>
      </c>
      <c r="H552">
        <v>69</v>
      </c>
      <c r="I552" s="25" t="s">
        <v>302</v>
      </c>
      <c r="K552" t="s">
        <v>156</v>
      </c>
      <c r="L552" t="s">
        <v>114</v>
      </c>
      <c r="M552" t="s">
        <v>52</v>
      </c>
      <c r="N552" t="s">
        <v>40</v>
      </c>
      <c r="O552">
        <v>135</v>
      </c>
      <c r="Q552">
        <f t="shared" si="23"/>
        <v>6</v>
      </c>
      <c r="R552">
        <v>1</v>
      </c>
      <c r="S552">
        <v>2</v>
      </c>
      <c r="T552">
        <v>0</v>
      </c>
      <c r="U552">
        <v>4</v>
      </c>
      <c r="V552">
        <v>0</v>
      </c>
      <c r="W552">
        <v>0</v>
      </c>
      <c r="X552" s="21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f t="shared" si="22"/>
        <v>160</v>
      </c>
      <c r="AJ552" t="s">
        <v>54</v>
      </c>
      <c r="AK552" t="s">
        <v>52</v>
      </c>
      <c r="AP552" t="s">
        <v>116</v>
      </c>
    </row>
    <row r="553" spans="1:42">
      <c r="A553" s="12">
        <v>43852</v>
      </c>
      <c r="B553">
        <v>2</v>
      </c>
      <c r="C553">
        <v>212</v>
      </c>
      <c r="D553">
        <v>14473</v>
      </c>
      <c r="E553" t="s">
        <v>112</v>
      </c>
      <c r="F553" t="s">
        <v>104</v>
      </c>
      <c r="G553">
        <v>2</v>
      </c>
      <c r="H553">
        <v>70</v>
      </c>
      <c r="I553" s="25">
        <v>2428</v>
      </c>
      <c r="K553" t="s">
        <v>156</v>
      </c>
      <c r="L553" t="s">
        <v>114</v>
      </c>
      <c r="M553" t="s">
        <v>52</v>
      </c>
      <c r="N553" t="s">
        <v>44</v>
      </c>
      <c r="O553">
        <v>116</v>
      </c>
      <c r="Q553">
        <f t="shared" si="23"/>
        <v>1</v>
      </c>
      <c r="R553">
        <v>1</v>
      </c>
      <c r="S553">
        <v>0</v>
      </c>
      <c r="T553">
        <v>1</v>
      </c>
      <c r="U553">
        <v>0</v>
      </c>
      <c r="V553">
        <v>0</v>
      </c>
      <c r="W553">
        <v>0</v>
      </c>
      <c r="X553" s="21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f t="shared" si="22"/>
        <v>32</v>
      </c>
      <c r="AJ553" t="s">
        <v>54</v>
      </c>
      <c r="AK553" t="s">
        <v>52</v>
      </c>
      <c r="AL553" t="s">
        <v>303</v>
      </c>
      <c r="AP553" t="s">
        <v>116</v>
      </c>
    </row>
    <row r="554" spans="1:42">
      <c r="A554" s="12">
        <v>43852</v>
      </c>
      <c r="B554">
        <v>2</v>
      </c>
      <c r="C554">
        <v>212</v>
      </c>
      <c r="D554">
        <v>14473</v>
      </c>
      <c r="E554" t="s">
        <v>112</v>
      </c>
      <c r="F554" t="s">
        <v>104</v>
      </c>
      <c r="G554">
        <v>2</v>
      </c>
      <c r="H554">
        <v>71</v>
      </c>
      <c r="I554" s="25">
        <v>2434</v>
      </c>
      <c r="K554" t="s">
        <v>156</v>
      </c>
      <c r="L554" t="s">
        <v>114</v>
      </c>
      <c r="M554" t="s">
        <v>52</v>
      </c>
      <c r="N554" t="s">
        <v>40</v>
      </c>
      <c r="O554">
        <v>28</v>
      </c>
      <c r="Q554">
        <f t="shared" si="23"/>
        <v>1</v>
      </c>
      <c r="R554">
        <v>1</v>
      </c>
      <c r="S554">
        <v>0</v>
      </c>
      <c r="T554">
        <v>0</v>
      </c>
      <c r="U554">
        <v>1</v>
      </c>
      <c r="V554">
        <v>0</v>
      </c>
      <c r="W554">
        <v>0</v>
      </c>
      <c r="X554" s="21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f t="shared" si="22"/>
        <v>32</v>
      </c>
      <c r="AJ554" t="s">
        <v>54</v>
      </c>
      <c r="AK554" t="s">
        <v>52</v>
      </c>
      <c r="AP554" t="s">
        <v>116</v>
      </c>
    </row>
    <row r="555" spans="1:42">
      <c r="A555" s="12">
        <v>43852</v>
      </c>
      <c r="B555">
        <v>2</v>
      </c>
      <c r="C555">
        <v>212</v>
      </c>
      <c r="D555">
        <v>14473</v>
      </c>
      <c r="E555" t="s">
        <v>112</v>
      </c>
      <c r="F555" t="s">
        <v>104</v>
      </c>
      <c r="G555">
        <v>2</v>
      </c>
      <c r="H555">
        <v>72</v>
      </c>
      <c r="I555" s="25">
        <v>2440</v>
      </c>
      <c r="K555" t="s">
        <v>156</v>
      </c>
      <c r="L555" t="s">
        <v>114</v>
      </c>
      <c r="M555" t="s">
        <v>52</v>
      </c>
      <c r="N555" t="s">
        <v>40</v>
      </c>
      <c r="O555">
        <v>33</v>
      </c>
      <c r="Q555">
        <f t="shared" si="23"/>
        <v>2</v>
      </c>
      <c r="R555">
        <v>1</v>
      </c>
      <c r="S555">
        <v>1</v>
      </c>
      <c r="T555">
        <v>0</v>
      </c>
      <c r="U555">
        <v>1</v>
      </c>
      <c r="V555">
        <v>0</v>
      </c>
      <c r="W555">
        <v>0</v>
      </c>
      <c r="X555" s="21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f t="shared" si="22"/>
        <v>48</v>
      </c>
      <c r="AJ555" t="s">
        <v>54</v>
      </c>
      <c r="AK555" t="s">
        <v>52</v>
      </c>
      <c r="AL555" t="s">
        <v>304</v>
      </c>
      <c r="AP555" t="s">
        <v>116</v>
      </c>
    </row>
    <row r="556" spans="1:42">
      <c r="A556" s="12">
        <v>43852</v>
      </c>
      <c r="B556">
        <v>2</v>
      </c>
      <c r="C556">
        <v>212</v>
      </c>
      <c r="D556">
        <v>14473</v>
      </c>
      <c r="E556" t="s">
        <v>112</v>
      </c>
      <c r="F556" t="s">
        <v>104</v>
      </c>
      <c r="G556">
        <v>2</v>
      </c>
      <c r="H556">
        <v>73</v>
      </c>
      <c r="I556" s="25">
        <v>2445</v>
      </c>
      <c r="K556" t="s">
        <v>156</v>
      </c>
      <c r="L556" t="s">
        <v>141</v>
      </c>
      <c r="M556" t="s">
        <v>95</v>
      </c>
      <c r="N556" t="s">
        <v>44</v>
      </c>
      <c r="O556">
        <v>156</v>
      </c>
      <c r="Q556">
        <f t="shared" si="23"/>
        <v>3</v>
      </c>
      <c r="R556">
        <v>1</v>
      </c>
      <c r="S556">
        <v>0</v>
      </c>
      <c r="T556">
        <v>0</v>
      </c>
      <c r="U556">
        <v>1</v>
      </c>
      <c r="V556">
        <v>2</v>
      </c>
      <c r="W556">
        <v>0</v>
      </c>
      <c r="X556" s="21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f t="shared" si="22"/>
        <v>160</v>
      </c>
      <c r="AJ556" t="s">
        <v>54</v>
      </c>
      <c r="AK556" t="s">
        <v>52</v>
      </c>
      <c r="AL556" t="s">
        <v>305</v>
      </c>
      <c r="AP556" t="s">
        <v>116</v>
      </c>
    </row>
    <row r="557" spans="1:42">
      <c r="A557" s="12">
        <v>43852</v>
      </c>
      <c r="B557">
        <v>2</v>
      </c>
      <c r="C557">
        <v>212</v>
      </c>
      <c r="D557">
        <v>14473</v>
      </c>
      <c r="E557" t="s">
        <v>112</v>
      </c>
      <c r="F557" t="s">
        <v>104</v>
      </c>
      <c r="G557">
        <v>2</v>
      </c>
      <c r="H557">
        <v>74</v>
      </c>
      <c r="I557" s="25">
        <v>2450</v>
      </c>
      <c r="K557" t="s">
        <v>156</v>
      </c>
      <c r="L557" t="s">
        <v>114</v>
      </c>
      <c r="M557" t="s">
        <v>52</v>
      </c>
      <c r="N557" t="s">
        <v>44</v>
      </c>
      <c r="O557">
        <v>81</v>
      </c>
      <c r="Q557">
        <f t="shared" si="23"/>
        <v>1</v>
      </c>
      <c r="R557">
        <v>1</v>
      </c>
      <c r="S557">
        <v>0</v>
      </c>
      <c r="T557">
        <v>0</v>
      </c>
      <c r="U557">
        <v>0</v>
      </c>
      <c r="V557">
        <v>0</v>
      </c>
      <c r="W557">
        <v>1</v>
      </c>
      <c r="X557" s="21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f t="shared" si="22"/>
        <v>96</v>
      </c>
      <c r="AJ557" t="s">
        <v>54</v>
      </c>
      <c r="AK557" t="s">
        <v>52</v>
      </c>
      <c r="AL557" t="s">
        <v>306</v>
      </c>
      <c r="AP557" t="s">
        <v>116</v>
      </c>
    </row>
    <row r="558" spans="1:42">
      <c r="A558" s="12">
        <v>43852</v>
      </c>
      <c r="B558">
        <v>2</v>
      </c>
      <c r="C558">
        <v>212</v>
      </c>
      <c r="D558">
        <v>14473</v>
      </c>
      <c r="E558" t="s">
        <v>112</v>
      </c>
      <c r="F558" t="s">
        <v>104</v>
      </c>
      <c r="G558">
        <v>2</v>
      </c>
      <c r="H558">
        <v>75</v>
      </c>
      <c r="I558" s="25">
        <v>2465</v>
      </c>
      <c r="K558" t="s">
        <v>156</v>
      </c>
      <c r="L558" t="s">
        <v>141</v>
      </c>
      <c r="M558" t="s">
        <v>95</v>
      </c>
      <c r="N558" t="s">
        <v>44</v>
      </c>
      <c r="O558">
        <v>126</v>
      </c>
      <c r="Q558">
        <f t="shared" si="23"/>
        <v>2</v>
      </c>
      <c r="R558">
        <v>1</v>
      </c>
      <c r="S558">
        <v>0</v>
      </c>
      <c r="T558">
        <v>0</v>
      </c>
      <c r="U558">
        <v>1</v>
      </c>
      <c r="V558">
        <v>1</v>
      </c>
      <c r="W558">
        <v>0</v>
      </c>
      <c r="X558" s="21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f t="shared" si="22"/>
        <v>96</v>
      </c>
      <c r="AJ558" t="s">
        <v>54</v>
      </c>
      <c r="AK558" t="s">
        <v>52</v>
      </c>
      <c r="AL558" t="s">
        <v>307</v>
      </c>
      <c r="AP558" t="s">
        <v>116</v>
      </c>
    </row>
    <row r="559" spans="1:42">
      <c r="A559" s="12">
        <v>43852</v>
      </c>
      <c r="B559">
        <v>2</v>
      </c>
      <c r="C559">
        <v>212</v>
      </c>
      <c r="D559">
        <v>14473</v>
      </c>
      <c r="E559" t="s">
        <v>112</v>
      </c>
      <c r="F559" t="s">
        <v>104</v>
      </c>
      <c r="G559">
        <v>2</v>
      </c>
      <c r="H559">
        <v>76</v>
      </c>
      <c r="I559" s="25">
        <v>2460</v>
      </c>
      <c r="K559" t="s">
        <v>156</v>
      </c>
      <c r="L559" t="s">
        <v>114</v>
      </c>
      <c r="M559" t="s">
        <v>52</v>
      </c>
      <c r="N559" t="s">
        <v>40</v>
      </c>
      <c r="O559">
        <v>36</v>
      </c>
      <c r="Q559">
        <f t="shared" si="23"/>
        <v>2</v>
      </c>
      <c r="R559">
        <v>1</v>
      </c>
      <c r="S559">
        <v>0</v>
      </c>
      <c r="T559">
        <v>0</v>
      </c>
      <c r="U559">
        <v>1</v>
      </c>
      <c r="V559">
        <v>1</v>
      </c>
      <c r="W559">
        <v>0</v>
      </c>
      <c r="X559" s="21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f t="shared" si="22"/>
        <v>96</v>
      </c>
      <c r="AJ559" t="s">
        <v>54</v>
      </c>
      <c r="AK559" t="s">
        <v>52</v>
      </c>
      <c r="AP559" t="s">
        <v>116</v>
      </c>
    </row>
    <row r="560" spans="1:42">
      <c r="A560" s="12">
        <v>43852</v>
      </c>
      <c r="B560">
        <v>2</v>
      </c>
      <c r="C560">
        <v>212</v>
      </c>
      <c r="D560">
        <v>14473</v>
      </c>
      <c r="E560" t="s">
        <v>112</v>
      </c>
      <c r="F560" t="s">
        <v>104</v>
      </c>
      <c r="G560">
        <v>2</v>
      </c>
      <c r="H560">
        <v>77</v>
      </c>
      <c r="I560" s="25">
        <v>2466</v>
      </c>
      <c r="K560" t="s">
        <v>156</v>
      </c>
      <c r="L560" t="s">
        <v>114</v>
      </c>
      <c r="M560" t="s">
        <v>52</v>
      </c>
      <c r="N560" t="s">
        <v>40</v>
      </c>
      <c r="O560">
        <v>87</v>
      </c>
      <c r="Q560">
        <f t="shared" si="23"/>
        <v>4</v>
      </c>
      <c r="R560">
        <v>1</v>
      </c>
      <c r="S560">
        <v>1</v>
      </c>
      <c r="T560">
        <v>0</v>
      </c>
      <c r="U560">
        <v>3</v>
      </c>
      <c r="V560">
        <v>0</v>
      </c>
      <c r="W560">
        <v>0</v>
      </c>
      <c r="X560" s="21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f t="shared" si="22"/>
        <v>112</v>
      </c>
      <c r="AJ560" t="s">
        <v>54</v>
      </c>
      <c r="AK560" t="s">
        <v>52</v>
      </c>
      <c r="AP560" t="s">
        <v>116</v>
      </c>
    </row>
    <row r="561" spans="1:42">
      <c r="A561" s="12">
        <v>43852</v>
      </c>
      <c r="B561">
        <v>2</v>
      </c>
      <c r="C561">
        <v>212</v>
      </c>
      <c r="D561">
        <v>14473</v>
      </c>
      <c r="E561" t="s">
        <v>112</v>
      </c>
      <c r="F561" t="s">
        <v>104</v>
      </c>
      <c r="G561">
        <v>2</v>
      </c>
      <c r="H561">
        <v>78</v>
      </c>
      <c r="I561" s="25" t="s">
        <v>308</v>
      </c>
      <c r="K561" t="s">
        <v>156</v>
      </c>
      <c r="L561" t="s">
        <v>114</v>
      </c>
      <c r="M561" t="s">
        <v>52</v>
      </c>
      <c r="N561" t="s">
        <v>42</v>
      </c>
      <c r="O561">
        <v>141</v>
      </c>
      <c r="Q561">
        <f t="shared" si="23"/>
        <v>3</v>
      </c>
      <c r="R561">
        <v>1</v>
      </c>
      <c r="S561">
        <v>0</v>
      </c>
      <c r="T561">
        <v>1</v>
      </c>
      <c r="U561">
        <v>2</v>
      </c>
      <c r="V561">
        <v>0</v>
      </c>
      <c r="W561">
        <v>0</v>
      </c>
      <c r="X561" s="2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f t="shared" si="22"/>
        <v>96</v>
      </c>
      <c r="AJ561" t="s">
        <v>54</v>
      </c>
      <c r="AK561" t="s">
        <v>52</v>
      </c>
      <c r="AL561" t="s">
        <v>309</v>
      </c>
      <c r="AP561" t="s">
        <v>116</v>
      </c>
    </row>
    <row r="562" spans="1:42">
      <c r="A562" s="12">
        <v>43852</v>
      </c>
      <c r="B562">
        <v>2</v>
      </c>
      <c r="C562">
        <v>212</v>
      </c>
      <c r="D562">
        <v>14473</v>
      </c>
      <c r="E562" t="s">
        <v>112</v>
      </c>
      <c r="F562" t="s">
        <v>104</v>
      </c>
      <c r="G562">
        <v>2</v>
      </c>
      <c r="H562">
        <v>79</v>
      </c>
      <c r="I562" s="25">
        <v>2524</v>
      </c>
      <c r="K562" t="s">
        <v>156</v>
      </c>
      <c r="L562" t="s">
        <v>114</v>
      </c>
      <c r="M562" t="s">
        <v>52</v>
      </c>
      <c r="N562" t="s">
        <v>40</v>
      </c>
      <c r="O562">
        <v>43</v>
      </c>
      <c r="Q562">
        <f t="shared" si="23"/>
        <v>1</v>
      </c>
      <c r="R562">
        <v>1</v>
      </c>
      <c r="S562">
        <v>0</v>
      </c>
      <c r="T562">
        <v>0</v>
      </c>
      <c r="U562">
        <v>1</v>
      </c>
      <c r="V562">
        <v>0</v>
      </c>
      <c r="W562">
        <v>0</v>
      </c>
      <c r="X562" s="21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f t="shared" si="22"/>
        <v>32</v>
      </c>
      <c r="AJ562" t="s">
        <v>51</v>
      </c>
      <c r="AK562" t="s">
        <v>52</v>
      </c>
      <c r="AP562" t="s">
        <v>116</v>
      </c>
    </row>
    <row r="563" spans="1:42">
      <c r="A563" s="12">
        <v>43852</v>
      </c>
      <c r="B563">
        <v>2</v>
      </c>
      <c r="C563">
        <v>212</v>
      </c>
      <c r="D563">
        <v>14473</v>
      </c>
      <c r="E563" t="s">
        <v>112</v>
      </c>
      <c r="F563" t="s">
        <v>104</v>
      </c>
      <c r="G563">
        <v>2</v>
      </c>
      <c r="H563">
        <v>80</v>
      </c>
      <c r="I563" s="25">
        <v>2816</v>
      </c>
      <c r="K563" t="s">
        <v>220</v>
      </c>
      <c r="L563" t="s">
        <v>114</v>
      </c>
      <c r="M563" t="s">
        <v>52</v>
      </c>
      <c r="N563" t="s">
        <v>40</v>
      </c>
      <c r="O563">
        <v>64</v>
      </c>
      <c r="Q563">
        <f t="shared" si="23"/>
        <v>2</v>
      </c>
      <c r="R563">
        <v>1</v>
      </c>
      <c r="S563">
        <v>0</v>
      </c>
      <c r="T563">
        <v>0</v>
      </c>
      <c r="U563">
        <v>2</v>
      </c>
      <c r="V563">
        <v>0</v>
      </c>
      <c r="W563">
        <v>0</v>
      </c>
      <c r="X563" s="21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f t="shared" si="22"/>
        <v>64</v>
      </c>
      <c r="AJ563" t="s">
        <v>54</v>
      </c>
      <c r="AK563" t="s">
        <v>52</v>
      </c>
      <c r="AP563" t="s">
        <v>116</v>
      </c>
    </row>
    <row r="564" spans="1:42">
      <c r="A564" s="12">
        <v>43852</v>
      </c>
      <c r="B564">
        <v>2</v>
      </c>
      <c r="C564">
        <v>212</v>
      </c>
      <c r="D564">
        <v>14473</v>
      </c>
      <c r="E564" t="s">
        <v>112</v>
      </c>
      <c r="F564" t="s">
        <v>104</v>
      </c>
      <c r="G564">
        <v>2</v>
      </c>
      <c r="H564">
        <v>81</v>
      </c>
      <c r="I564" s="25">
        <v>2750</v>
      </c>
      <c r="K564" t="s">
        <v>213</v>
      </c>
      <c r="L564" t="s">
        <v>114</v>
      </c>
      <c r="M564" t="s">
        <v>52</v>
      </c>
      <c r="N564" t="s">
        <v>44</v>
      </c>
      <c r="O564">
        <v>145</v>
      </c>
      <c r="Q564">
        <f t="shared" si="23"/>
        <v>1</v>
      </c>
      <c r="R564">
        <v>1</v>
      </c>
      <c r="S564">
        <v>0</v>
      </c>
      <c r="T564">
        <v>0</v>
      </c>
      <c r="U564">
        <v>0</v>
      </c>
      <c r="V564">
        <v>0</v>
      </c>
      <c r="W564">
        <v>1</v>
      </c>
      <c r="X564" s="21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f t="shared" si="22"/>
        <v>96</v>
      </c>
      <c r="AJ564" t="s">
        <v>51</v>
      </c>
      <c r="AK564" t="s">
        <v>52</v>
      </c>
      <c r="AL564" t="s">
        <v>310</v>
      </c>
      <c r="AP564" t="s">
        <v>116</v>
      </c>
    </row>
    <row r="565" spans="1:42">
      <c r="A565" s="12">
        <v>43852</v>
      </c>
      <c r="B565">
        <v>2</v>
      </c>
      <c r="C565">
        <v>212</v>
      </c>
      <c r="D565">
        <v>14473</v>
      </c>
      <c r="E565" t="s">
        <v>112</v>
      </c>
      <c r="F565" t="s">
        <v>104</v>
      </c>
      <c r="G565">
        <v>2</v>
      </c>
      <c r="H565">
        <v>82</v>
      </c>
      <c r="I565" s="25">
        <v>2701</v>
      </c>
      <c r="K565" t="s">
        <v>210</v>
      </c>
      <c r="L565" t="s">
        <v>141</v>
      </c>
      <c r="M565" t="s">
        <v>95</v>
      </c>
      <c r="N565" t="s">
        <v>40</v>
      </c>
      <c r="O565">
        <v>45</v>
      </c>
      <c r="Q565">
        <f t="shared" si="23"/>
        <v>1</v>
      </c>
      <c r="R565">
        <v>1</v>
      </c>
      <c r="S565">
        <v>0</v>
      </c>
      <c r="T565">
        <v>0</v>
      </c>
      <c r="U565">
        <v>0</v>
      </c>
      <c r="V565">
        <v>1</v>
      </c>
      <c r="W565">
        <v>0</v>
      </c>
      <c r="X565" s="21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f t="shared" si="22"/>
        <v>64</v>
      </c>
      <c r="AJ565" t="s">
        <v>51</v>
      </c>
      <c r="AK565" t="s">
        <v>52</v>
      </c>
      <c r="AP565" t="s">
        <v>116</v>
      </c>
    </row>
    <row r="566" spans="1:42">
      <c r="A566" s="12">
        <v>43852</v>
      </c>
      <c r="B566">
        <v>2</v>
      </c>
      <c r="C566">
        <v>212</v>
      </c>
      <c r="D566">
        <v>14473</v>
      </c>
      <c r="E566" t="s">
        <v>112</v>
      </c>
      <c r="F566" t="s">
        <v>104</v>
      </c>
      <c r="G566">
        <v>2</v>
      </c>
      <c r="H566">
        <v>83</v>
      </c>
      <c r="I566" s="25">
        <v>2677</v>
      </c>
      <c r="K566" t="s">
        <v>210</v>
      </c>
      <c r="L566" t="s">
        <v>141</v>
      </c>
      <c r="M566" t="s">
        <v>52</v>
      </c>
      <c r="N566" t="s">
        <v>40</v>
      </c>
      <c r="O566">
        <v>74</v>
      </c>
      <c r="Q566">
        <f t="shared" si="23"/>
        <v>4</v>
      </c>
      <c r="R566">
        <v>1</v>
      </c>
      <c r="S566">
        <v>1</v>
      </c>
      <c r="T566">
        <v>0</v>
      </c>
      <c r="U566">
        <v>3</v>
      </c>
      <c r="V566">
        <v>0</v>
      </c>
      <c r="W566">
        <v>0</v>
      </c>
      <c r="X566" s="21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f t="shared" si="22"/>
        <v>112</v>
      </c>
      <c r="AJ566" t="s">
        <v>51</v>
      </c>
      <c r="AK566" t="s">
        <v>52</v>
      </c>
      <c r="AP566" t="s">
        <v>116</v>
      </c>
    </row>
    <row r="567" spans="1:42">
      <c r="A567" s="12">
        <v>43852</v>
      </c>
      <c r="B567">
        <v>2</v>
      </c>
      <c r="C567">
        <v>212</v>
      </c>
      <c r="D567">
        <v>14473</v>
      </c>
      <c r="E567" t="s">
        <v>112</v>
      </c>
      <c r="F567" t="s">
        <v>104</v>
      </c>
      <c r="G567">
        <v>2</v>
      </c>
      <c r="H567">
        <v>84</v>
      </c>
      <c r="I567" s="25">
        <v>2674</v>
      </c>
      <c r="K567" t="s">
        <v>210</v>
      </c>
      <c r="L567" t="s">
        <v>141</v>
      </c>
      <c r="M567" t="s">
        <v>95</v>
      </c>
      <c r="N567" t="s">
        <v>40</v>
      </c>
      <c r="O567">
        <v>60</v>
      </c>
      <c r="Q567">
        <f t="shared" si="23"/>
        <v>2</v>
      </c>
      <c r="R567">
        <v>1</v>
      </c>
      <c r="S567">
        <v>0</v>
      </c>
      <c r="T567">
        <v>0</v>
      </c>
      <c r="U567">
        <v>1</v>
      </c>
      <c r="V567">
        <v>1</v>
      </c>
      <c r="W567">
        <v>0</v>
      </c>
      <c r="X567" s="21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f t="shared" si="22"/>
        <v>96</v>
      </c>
      <c r="AJ567" t="s">
        <v>51</v>
      </c>
      <c r="AK567" t="s">
        <v>52</v>
      </c>
      <c r="AP567" t="s">
        <v>116</v>
      </c>
    </row>
    <row r="568" spans="1:42">
      <c r="A568" s="12">
        <v>43852</v>
      </c>
      <c r="B568">
        <v>2</v>
      </c>
      <c r="C568">
        <v>212</v>
      </c>
      <c r="D568">
        <v>14473</v>
      </c>
      <c r="E568" t="s">
        <v>112</v>
      </c>
      <c r="F568" t="s">
        <v>104</v>
      </c>
      <c r="G568">
        <v>2</v>
      </c>
      <c r="H568">
        <v>85</v>
      </c>
      <c r="I568" s="25" t="s">
        <v>311</v>
      </c>
      <c r="K568" t="s">
        <v>210</v>
      </c>
      <c r="L568" t="s">
        <v>141</v>
      </c>
      <c r="M568" t="s">
        <v>52</v>
      </c>
      <c r="N568" t="s">
        <v>44</v>
      </c>
      <c r="O568">
        <v>311</v>
      </c>
      <c r="Q568">
        <f t="shared" si="23"/>
        <v>4</v>
      </c>
      <c r="R568">
        <v>1</v>
      </c>
      <c r="S568">
        <v>0</v>
      </c>
      <c r="T568">
        <v>0</v>
      </c>
      <c r="U568">
        <v>1</v>
      </c>
      <c r="V568">
        <v>2</v>
      </c>
      <c r="W568">
        <v>1</v>
      </c>
      <c r="X568" s="21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f t="shared" si="22"/>
        <v>256</v>
      </c>
      <c r="AJ568" t="s">
        <v>51</v>
      </c>
      <c r="AK568" t="s">
        <v>52</v>
      </c>
      <c r="AL568" t="s">
        <v>312</v>
      </c>
      <c r="AP568" t="s">
        <v>116</v>
      </c>
    </row>
    <row r="569" spans="1:42">
      <c r="A569" s="12">
        <v>43852</v>
      </c>
      <c r="B569">
        <v>2</v>
      </c>
      <c r="C569">
        <v>212</v>
      </c>
      <c r="D569">
        <v>14473</v>
      </c>
      <c r="E569" t="s">
        <v>112</v>
      </c>
      <c r="F569" t="s">
        <v>104</v>
      </c>
      <c r="G569">
        <v>2</v>
      </c>
      <c r="H569">
        <v>86</v>
      </c>
      <c r="I569" s="25">
        <v>2659</v>
      </c>
      <c r="K569" t="s">
        <v>210</v>
      </c>
      <c r="L569" t="s">
        <v>141</v>
      </c>
      <c r="M569" t="s">
        <v>52</v>
      </c>
      <c r="N569" t="s">
        <v>44</v>
      </c>
      <c r="O569">
        <v>75</v>
      </c>
      <c r="Q569">
        <f t="shared" si="23"/>
        <v>1</v>
      </c>
      <c r="R569">
        <v>1</v>
      </c>
      <c r="S569">
        <v>0</v>
      </c>
      <c r="T569">
        <v>0</v>
      </c>
      <c r="U569">
        <v>0</v>
      </c>
      <c r="V569">
        <v>0</v>
      </c>
      <c r="W569">
        <v>1</v>
      </c>
      <c r="X569" s="21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f t="shared" si="22"/>
        <v>96</v>
      </c>
      <c r="AJ569" t="s">
        <v>51</v>
      </c>
      <c r="AK569" t="s">
        <v>95</v>
      </c>
      <c r="AL569" t="s">
        <v>313</v>
      </c>
      <c r="AP569" t="s">
        <v>116</v>
      </c>
    </row>
    <row r="570" spans="1:42">
      <c r="A570" s="12">
        <v>43852</v>
      </c>
      <c r="B570">
        <v>2</v>
      </c>
      <c r="C570">
        <v>212</v>
      </c>
      <c r="D570">
        <v>14473</v>
      </c>
      <c r="E570" t="s">
        <v>112</v>
      </c>
      <c r="F570" t="s">
        <v>104</v>
      </c>
      <c r="G570">
        <v>2</v>
      </c>
      <c r="H570">
        <v>87</v>
      </c>
      <c r="I570" s="25" t="s">
        <v>314</v>
      </c>
      <c r="K570" t="s">
        <v>210</v>
      </c>
      <c r="L570" t="s">
        <v>141</v>
      </c>
      <c r="M570" t="s">
        <v>52</v>
      </c>
      <c r="N570" t="s">
        <v>40</v>
      </c>
      <c r="O570">
        <v>56</v>
      </c>
      <c r="Q570">
        <f t="shared" si="23"/>
        <v>2</v>
      </c>
      <c r="R570">
        <v>1</v>
      </c>
      <c r="S570">
        <v>0</v>
      </c>
      <c r="T570">
        <v>0</v>
      </c>
      <c r="U570">
        <v>1</v>
      </c>
      <c r="V570">
        <v>1</v>
      </c>
      <c r="W570">
        <v>0</v>
      </c>
      <c r="X570" s="21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f t="shared" si="22"/>
        <v>96</v>
      </c>
      <c r="AJ570" t="s">
        <v>51</v>
      </c>
      <c r="AK570" t="s">
        <v>95</v>
      </c>
      <c r="AP570" t="s">
        <v>116</v>
      </c>
    </row>
    <row r="571" spans="1:42">
      <c r="A571" s="12">
        <v>43852</v>
      </c>
      <c r="B571">
        <v>2</v>
      </c>
      <c r="C571">
        <v>212</v>
      </c>
      <c r="D571">
        <v>14473</v>
      </c>
      <c r="E571" t="s">
        <v>112</v>
      </c>
      <c r="F571" t="s">
        <v>104</v>
      </c>
      <c r="G571">
        <v>2</v>
      </c>
      <c r="H571">
        <v>88</v>
      </c>
      <c r="I571" s="25" t="s">
        <v>315</v>
      </c>
      <c r="K571" t="s">
        <v>210</v>
      </c>
      <c r="L571" t="s">
        <v>141</v>
      </c>
      <c r="M571" t="s">
        <v>52</v>
      </c>
      <c r="N571" t="s">
        <v>40</v>
      </c>
      <c r="O571">
        <v>70</v>
      </c>
      <c r="Q571">
        <f t="shared" si="23"/>
        <v>2</v>
      </c>
      <c r="R571">
        <v>1</v>
      </c>
      <c r="S571">
        <v>1</v>
      </c>
      <c r="T571">
        <v>0</v>
      </c>
      <c r="U571">
        <v>1</v>
      </c>
      <c r="V571">
        <v>0</v>
      </c>
      <c r="W571">
        <v>0</v>
      </c>
      <c r="X571" s="2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f t="shared" ref="AH571:AH634" si="24">(S571*16+(T571*32)+(U571*32)+(V571*64)+(W571*96))</f>
        <v>48</v>
      </c>
      <c r="AJ571" t="s">
        <v>51</v>
      </c>
      <c r="AK571" t="s">
        <v>95</v>
      </c>
      <c r="AP571" t="s">
        <v>116</v>
      </c>
    </row>
    <row r="572" spans="1:42">
      <c r="A572" s="12">
        <v>43852</v>
      </c>
      <c r="B572">
        <v>2</v>
      </c>
      <c r="C572">
        <v>212</v>
      </c>
      <c r="D572">
        <v>14473</v>
      </c>
      <c r="E572" t="s">
        <v>112</v>
      </c>
      <c r="F572" t="s">
        <v>104</v>
      </c>
      <c r="G572">
        <v>2</v>
      </c>
      <c r="H572">
        <v>89</v>
      </c>
      <c r="I572" s="25">
        <v>2601</v>
      </c>
      <c r="K572" t="s">
        <v>210</v>
      </c>
      <c r="L572" t="s">
        <v>141</v>
      </c>
      <c r="M572" t="s">
        <v>52</v>
      </c>
      <c r="N572" t="s">
        <v>44</v>
      </c>
      <c r="O572">
        <v>58</v>
      </c>
      <c r="Q572">
        <f t="shared" si="23"/>
        <v>1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1</v>
      </c>
      <c r="X572" s="21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f t="shared" si="24"/>
        <v>96</v>
      </c>
      <c r="AJ572" t="s">
        <v>51</v>
      </c>
      <c r="AK572" t="s">
        <v>95</v>
      </c>
      <c r="AL572" t="s">
        <v>316</v>
      </c>
      <c r="AP572" t="s">
        <v>116</v>
      </c>
    </row>
    <row r="573" spans="1:42">
      <c r="A573" s="12">
        <v>43852</v>
      </c>
      <c r="B573">
        <v>2</v>
      </c>
      <c r="C573">
        <v>212</v>
      </c>
      <c r="D573">
        <v>14473</v>
      </c>
      <c r="E573" t="s">
        <v>112</v>
      </c>
      <c r="F573" t="s">
        <v>104</v>
      </c>
      <c r="G573">
        <v>2</v>
      </c>
      <c r="H573">
        <v>90</v>
      </c>
      <c r="I573" s="25">
        <v>3079</v>
      </c>
      <c r="K573" t="s">
        <v>220</v>
      </c>
      <c r="L573" t="s">
        <v>141</v>
      </c>
      <c r="M573" t="s">
        <v>52</v>
      </c>
      <c r="N573" t="s">
        <v>44</v>
      </c>
      <c r="O573">
        <v>72</v>
      </c>
      <c r="Q573">
        <f t="shared" si="23"/>
        <v>1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1</v>
      </c>
      <c r="X573" s="21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f t="shared" si="24"/>
        <v>96</v>
      </c>
      <c r="AJ573" t="s">
        <v>54</v>
      </c>
      <c r="AK573" t="s">
        <v>95</v>
      </c>
      <c r="AL573" t="s">
        <v>317</v>
      </c>
      <c r="AP573" t="s">
        <v>116</v>
      </c>
    </row>
    <row r="574" spans="1:42">
      <c r="A574" s="12">
        <v>43852</v>
      </c>
      <c r="B574">
        <v>2</v>
      </c>
      <c r="C574">
        <v>212</v>
      </c>
      <c r="D574">
        <v>14473</v>
      </c>
      <c r="E574" t="s">
        <v>112</v>
      </c>
      <c r="F574" t="s">
        <v>104</v>
      </c>
      <c r="G574">
        <v>2</v>
      </c>
      <c r="H574">
        <v>91</v>
      </c>
      <c r="I574" s="25">
        <v>2875</v>
      </c>
      <c r="K574" t="s">
        <v>213</v>
      </c>
      <c r="L574" t="s">
        <v>141</v>
      </c>
      <c r="M574" t="s">
        <v>52</v>
      </c>
      <c r="N574" t="s">
        <v>44</v>
      </c>
      <c r="O574">
        <v>98</v>
      </c>
      <c r="Q574">
        <f t="shared" si="23"/>
        <v>1</v>
      </c>
      <c r="R574">
        <v>1</v>
      </c>
      <c r="S574">
        <v>0</v>
      </c>
      <c r="T574">
        <v>0</v>
      </c>
      <c r="U574">
        <v>0</v>
      </c>
      <c r="V574">
        <v>0</v>
      </c>
      <c r="W574">
        <v>1</v>
      </c>
      <c r="X574" s="21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f t="shared" si="24"/>
        <v>96</v>
      </c>
      <c r="AJ574" t="s">
        <v>51</v>
      </c>
      <c r="AK574" t="s">
        <v>95</v>
      </c>
      <c r="AL574" t="s">
        <v>318</v>
      </c>
      <c r="AP574" t="s">
        <v>116</v>
      </c>
    </row>
    <row r="575" spans="1:42">
      <c r="A575" s="12">
        <v>43852</v>
      </c>
      <c r="B575">
        <v>2</v>
      </c>
      <c r="C575">
        <v>212</v>
      </c>
      <c r="D575">
        <v>14473</v>
      </c>
      <c r="E575" t="s">
        <v>112</v>
      </c>
      <c r="F575" t="s">
        <v>104</v>
      </c>
      <c r="G575">
        <v>2</v>
      </c>
      <c r="H575">
        <v>92</v>
      </c>
      <c r="I575" s="25">
        <v>2930</v>
      </c>
      <c r="K575" t="s">
        <v>319</v>
      </c>
      <c r="L575" t="s">
        <v>114</v>
      </c>
      <c r="M575" t="s">
        <v>52</v>
      </c>
      <c r="N575" t="s">
        <v>44</v>
      </c>
      <c r="O575">
        <v>67</v>
      </c>
      <c r="Q575">
        <f t="shared" si="23"/>
        <v>2</v>
      </c>
      <c r="R575">
        <v>1</v>
      </c>
      <c r="S575">
        <v>0</v>
      </c>
      <c r="T575">
        <v>0</v>
      </c>
      <c r="U575">
        <v>0</v>
      </c>
      <c r="V575">
        <v>0</v>
      </c>
      <c r="W575">
        <v>2</v>
      </c>
      <c r="X575" s="21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f t="shared" si="24"/>
        <v>192</v>
      </c>
      <c r="AJ575" t="s">
        <v>51</v>
      </c>
      <c r="AK575" t="s">
        <v>52</v>
      </c>
      <c r="AL575" t="s">
        <v>320</v>
      </c>
      <c r="AP575" t="s">
        <v>116</v>
      </c>
    </row>
    <row r="576" spans="1:42">
      <c r="A576" s="12">
        <v>43852</v>
      </c>
      <c r="B576">
        <v>2</v>
      </c>
      <c r="C576">
        <v>212</v>
      </c>
      <c r="D576">
        <v>14473</v>
      </c>
      <c r="E576" t="s">
        <v>112</v>
      </c>
      <c r="F576" t="s">
        <v>104</v>
      </c>
      <c r="G576">
        <v>2</v>
      </c>
      <c r="H576">
        <v>93</v>
      </c>
      <c r="I576" s="25" t="s">
        <v>321</v>
      </c>
      <c r="K576" t="s">
        <v>319</v>
      </c>
      <c r="L576" t="s">
        <v>114</v>
      </c>
      <c r="M576" t="s">
        <v>52</v>
      </c>
      <c r="N576" t="s">
        <v>40</v>
      </c>
      <c r="O576">
        <v>74</v>
      </c>
      <c r="Q576">
        <f t="shared" si="23"/>
        <v>4</v>
      </c>
      <c r="R576">
        <v>1</v>
      </c>
      <c r="S576">
        <v>1</v>
      </c>
      <c r="T576">
        <v>0</v>
      </c>
      <c r="U576">
        <v>3</v>
      </c>
      <c r="V576">
        <v>0</v>
      </c>
      <c r="W576">
        <v>0</v>
      </c>
      <c r="X576" s="21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f t="shared" si="24"/>
        <v>112</v>
      </c>
      <c r="AJ576" t="s">
        <v>51</v>
      </c>
      <c r="AK576" t="s">
        <v>52</v>
      </c>
      <c r="AP576" t="s">
        <v>116</v>
      </c>
    </row>
    <row r="577" spans="1:42">
      <c r="A577" s="12">
        <v>43852</v>
      </c>
      <c r="B577">
        <v>2</v>
      </c>
      <c r="C577">
        <v>212</v>
      </c>
      <c r="D577">
        <v>14473</v>
      </c>
      <c r="E577" t="s">
        <v>112</v>
      </c>
      <c r="F577" t="s">
        <v>104</v>
      </c>
      <c r="G577">
        <v>2</v>
      </c>
      <c r="H577">
        <v>94</v>
      </c>
      <c r="I577" s="25">
        <v>2770</v>
      </c>
      <c r="K577" t="s">
        <v>210</v>
      </c>
      <c r="L577" t="s">
        <v>114</v>
      </c>
      <c r="M577" t="s">
        <v>52</v>
      </c>
      <c r="N577" t="s">
        <v>40</v>
      </c>
      <c r="O577">
        <v>218</v>
      </c>
      <c r="Q577">
        <f t="shared" si="23"/>
        <v>6</v>
      </c>
      <c r="R577">
        <v>1</v>
      </c>
      <c r="S577">
        <v>0</v>
      </c>
      <c r="T577">
        <v>0</v>
      </c>
      <c r="U577">
        <v>0</v>
      </c>
      <c r="V577">
        <v>4</v>
      </c>
      <c r="W577">
        <v>2</v>
      </c>
      <c r="X577" s="21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f t="shared" si="24"/>
        <v>448</v>
      </c>
      <c r="AJ577" t="s">
        <v>51</v>
      </c>
      <c r="AK577" t="s">
        <v>52</v>
      </c>
      <c r="AL577" t="s">
        <v>322</v>
      </c>
      <c r="AP577" t="s">
        <v>116</v>
      </c>
    </row>
    <row r="578" spans="1:42">
      <c r="A578" s="12">
        <v>43852</v>
      </c>
      <c r="B578">
        <v>2</v>
      </c>
      <c r="C578">
        <v>212</v>
      </c>
      <c r="D578">
        <v>14473</v>
      </c>
      <c r="E578" t="s">
        <v>112</v>
      </c>
      <c r="F578" t="s">
        <v>104</v>
      </c>
      <c r="G578">
        <v>2</v>
      </c>
      <c r="H578">
        <v>95</v>
      </c>
      <c r="I578" s="25" t="s">
        <v>323</v>
      </c>
      <c r="K578" t="s">
        <v>319</v>
      </c>
      <c r="L578" t="s">
        <v>114</v>
      </c>
      <c r="M578" t="s">
        <v>52</v>
      </c>
      <c r="N578" t="s">
        <v>40</v>
      </c>
      <c r="O578">
        <v>122</v>
      </c>
      <c r="Q578">
        <f t="shared" si="23"/>
        <v>6</v>
      </c>
      <c r="R578">
        <v>1</v>
      </c>
      <c r="S578">
        <v>2</v>
      </c>
      <c r="T578">
        <v>0</v>
      </c>
      <c r="U578">
        <v>4</v>
      </c>
      <c r="V578">
        <v>0</v>
      </c>
      <c r="W578">
        <v>0</v>
      </c>
      <c r="X578" s="21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f t="shared" si="24"/>
        <v>160</v>
      </c>
      <c r="AJ578" t="s">
        <v>51</v>
      </c>
      <c r="AK578" t="s">
        <v>52</v>
      </c>
      <c r="AP578" t="s">
        <v>116</v>
      </c>
    </row>
    <row r="579" spans="1:42">
      <c r="A579" s="12">
        <v>43852</v>
      </c>
      <c r="B579">
        <v>2</v>
      </c>
      <c r="C579">
        <v>212</v>
      </c>
      <c r="D579">
        <v>14473</v>
      </c>
      <c r="E579" t="s">
        <v>112</v>
      </c>
      <c r="F579" t="s">
        <v>104</v>
      </c>
      <c r="G579">
        <v>2</v>
      </c>
      <c r="H579">
        <v>96</v>
      </c>
      <c r="I579" s="25">
        <v>2665</v>
      </c>
      <c r="K579" t="s">
        <v>324</v>
      </c>
      <c r="L579" t="s">
        <v>141</v>
      </c>
      <c r="M579" t="s">
        <v>52</v>
      </c>
      <c r="N579" t="s">
        <v>44</v>
      </c>
      <c r="O579">
        <v>76</v>
      </c>
      <c r="Q579">
        <f t="shared" si="23"/>
        <v>1</v>
      </c>
      <c r="R579">
        <v>1</v>
      </c>
      <c r="S579">
        <v>0</v>
      </c>
      <c r="T579">
        <v>0</v>
      </c>
      <c r="U579">
        <v>0</v>
      </c>
      <c r="V579">
        <v>0</v>
      </c>
      <c r="W579">
        <v>1</v>
      </c>
      <c r="X579" s="21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f t="shared" si="24"/>
        <v>96</v>
      </c>
      <c r="AJ579" t="s">
        <v>51</v>
      </c>
      <c r="AK579" t="s">
        <v>52</v>
      </c>
      <c r="AL579" t="s">
        <v>325</v>
      </c>
      <c r="AP579" t="s">
        <v>116</v>
      </c>
    </row>
    <row r="580" spans="1:42">
      <c r="A580" s="12">
        <v>43852</v>
      </c>
      <c r="B580">
        <v>2</v>
      </c>
      <c r="C580">
        <v>212</v>
      </c>
      <c r="D580">
        <v>14473</v>
      </c>
      <c r="E580" t="s">
        <v>112</v>
      </c>
      <c r="F580" t="s">
        <v>104</v>
      </c>
      <c r="G580">
        <v>2</v>
      </c>
      <c r="H580">
        <v>97</v>
      </c>
      <c r="I580" s="25" t="s">
        <v>326</v>
      </c>
      <c r="K580" t="s">
        <v>324</v>
      </c>
      <c r="L580" t="s">
        <v>141</v>
      </c>
      <c r="M580" t="s">
        <v>52</v>
      </c>
      <c r="N580" t="s">
        <v>40</v>
      </c>
      <c r="O580">
        <v>80</v>
      </c>
      <c r="Q580">
        <f t="shared" si="23"/>
        <v>5</v>
      </c>
      <c r="R580">
        <v>1</v>
      </c>
      <c r="S580">
        <v>0</v>
      </c>
      <c r="T580">
        <v>1</v>
      </c>
      <c r="U580">
        <v>2</v>
      </c>
      <c r="V580">
        <v>2</v>
      </c>
      <c r="W580">
        <v>0</v>
      </c>
      <c r="X580" s="21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f t="shared" si="24"/>
        <v>224</v>
      </c>
      <c r="AJ580" t="s">
        <v>51</v>
      </c>
      <c r="AK580" t="s">
        <v>95</v>
      </c>
      <c r="AP580" t="s">
        <v>116</v>
      </c>
    </row>
    <row r="581" spans="1:42">
      <c r="A581" s="12">
        <v>43852</v>
      </c>
      <c r="B581">
        <v>2</v>
      </c>
      <c r="C581">
        <v>212</v>
      </c>
      <c r="D581">
        <v>14473</v>
      </c>
      <c r="E581" t="s">
        <v>112</v>
      </c>
      <c r="F581" t="s">
        <v>104</v>
      </c>
      <c r="G581">
        <v>2</v>
      </c>
      <c r="H581">
        <v>98</v>
      </c>
      <c r="I581" s="25" t="s">
        <v>327</v>
      </c>
      <c r="K581" t="s">
        <v>324</v>
      </c>
      <c r="L581" t="s">
        <v>141</v>
      </c>
      <c r="M581" t="s">
        <v>52</v>
      </c>
      <c r="N581" t="s">
        <v>40</v>
      </c>
      <c r="O581">
        <v>66</v>
      </c>
      <c r="Q581">
        <f t="shared" si="23"/>
        <v>3</v>
      </c>
      <c r="R581">
        <v>1</v>
      </c>
      <c r="S581">
        <v>0</v>
      </c>
      <c r="T581">
        <v>0</v>
      </c>
      <c r="U581">
        <v>3</v>
      </c>
      <c r="V581">
        <v>0</v>
      </c>
      <c r="W581">
        <v>0</v>
      </c>
      <c r="X581" s="2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f t="shared" si="24"/>
        <v>96</v>
      </c>
      <c r="AJ581" t="s">
        <v>51</v>
      </c>
      <c r="AK581" t="s">
        <v>52</v>
      </c>
      <c r="AP581" t="s">
        <v>116</v>
      </c>
    </row>
    <row r="582" spans="1:42">
      <c r="A582" s="12">
        <v>43852</v>
      </c>
      <c r="B582">
        <v>2</v>
      </c>
      <c r="C582">
        <v>212</v>
      </c>
      <c r="D582">
        <v>14473</v>
      </c>
      <c r="E582" t="s">
        <v>112</v>
      </c>
      <c r="F582" t="s">
        <v>104</v>
      </c>
      <c r="G582">
        <v>2</v>
      </c>
      <c r="H582">
        <v>99</v>
      </c>
      <c r="I582" s="25" t="s">
        <v>328</v>
      </c>
      <c r="K582" s="21" t="s">
        <v>329</v>
      </c>
      <c r="L582" t="s">
        <v>141</v>
      </c>
      <c r="M582" t="s">
        <v>52</v>
      </c>
      <c r="N582" t="s">
        <v>44</v>
      </c>
      <c r="O582">
        <v>191</v>
      </c>
      <c r="Q582">
        <f t="shared" si="23"/>
        <v>2</v>
      </c>
      <c r="R582">
        <v>1</v>
      </c>
      <c r="S582">
        <v>0</v>
      </c>
      <c r="T582">
        <v>0</v>
      </c>
      <c r="U582">
        <v>1</v>
      </c>
      <c r="V582">
        <v>1</v>
      </c>
      <c r="W582">
        <v>0</v>
      </c>
      <c r="X582" s="21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f t="shared" si="24"/>
        <v>96</v>
      </c>
      <c r="AJ582" t="s">
        <v>51</v>
      </c>
      <c r="AK582" t="s">
        <v>52</v>
      </c>
      <c r="AL582" t="s">
        <v>330</v>
      </c>
      <c r="AP582" t="s">
        <v>116</v>
      </c>
    </row>
    <row r="583" spans="1:42">
      <c r="A583" s="12">
        <v>43852</v>
      </c>
      <c r="B583">
        <v>2</v>
      </c>
      <c r="C583">
        <v>212</v>
      </c>
      <c r="D583">
        <v>14473</v>
      </c>
      <c r="E583" t="s">
        <v>112</v>
      </c>
      <c r="F583" t="s">
        <v>104</v>
      </c>
      <c r="G583">
        <v>2</v>
      </c>
      <c r="H583">
        <v>100</v>
      </c>
      <c r="I583" s="25">
        <v>3130</v>
      </c>
      <c r="K583" t="s">
        <v>319</v>
      </c>
      <c r="L583" t="s">
        <v>114</v>
      </c>
      <c r="M583" t="s">
        <v>52</v>
      </c>
      <c r="N583" t="s">
        <v>40</v>
      </c>
      <c r="O583">
        <v>36</v>
      </c>
      <c r="Q583">
        <f t="shared" si="23"/>
        <v>2</v>
      </c>
      <c r="R583">
        <v>1</v>
      </c>
      <c r="S583">
        <v>0</v>
      </c>
      <c r="T583">
        <v>0</v>
      </c>
      <c r="U583">
        <v>1</v>
      </c>
      <c r="V583">
        <v>1</v>
      </c>
      <c r="W583">
        <v>0</v>
      </c>
      <c r="X583" s="21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f t="shared" si="24"/>
        <v>96</v>
      </c>
      <c r="AJ583" t="s">
        <v>51</v>
      </c>
      <c r="AK583" t="s">
        <v>52</v>
      </c>
      <c r="AP583" t="s">
        <v>116</v>
      </c>
    </row>
    <row r="584" spans="1:42">
      <c r="A584" s="12">
        <v>43852</v>
      </c>
      <c r="B584">
        <v>2</v>
      </c>
      <c r="C584">
        <v>212</v>
      </c>
      <c r="D584">
        <v>14473</v>
      </c>
      <c r="E584" t="s">
        <v>112</v>
      </c>
      <c r="F584" t="s">
        <v>104</v>
      </c>
      <c r="G584">
        <v>2</v>
      </c>
      <c r="H584">
        <v>101</v>
      </c>
      <c r="I584" s="25">
        <v>3140</v>
      </c>
      <c r="K584" t="s">
        <v>319</v>
      </c>
      <c r="L584" t="s">
        <v>114</v>
      </c>
      <c r="M584" t="s">
        <v>52</v>
      </c>
      <c r="N584" t="s">
        <v>40</v>
      </c>
      <c r="O584">
        <v>125</v>
      </c>
      <c r="Q584">
        <f t="shared" si="23"/>
        <v>3</v>
      </c>
      <c r="R584">
        <v>1</v>
      </c>
      <c r="S584">
        <v>1</v>
      </c>
      <c r="T584">
        <v>0</v>
      </c>
      <c r="U584">
        <v>2</v>
      </c>
      <c r="V584">
        <v>0</v>
      </c>
      <c r="W584">
        <v>0</v>
      </c>
      <c r="X584" s="21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f t="shared" si="24"/>
        <v>80</v>
      </c>
      <c r="AJ584" t="s">
        <v>51</v>
      </c>
      <c r="AK584" t="s">
        <v>52</v>
      </c>
      <c r="AP584" t="s">
        <v>116</v>
      </c>
    </row>
    <row r="585" spans="1:42">
      <c r="A585" s="12">
        <v>43852</v>
      </c>
      <c r="B585">
        <v>2</v>
      </c>
      <c r="C585">
        <v>212</v>
      </c>
      <c r="D585">
        <v>14473</v>
      </c>
      <c r="E585" t="s">
        <v>112</v>
      </c>
      <c r="F585" t="s">
        <v>104</v>
      </c>
      <c r="G585">
        <v>2</v>
      </c>
      <c r="H585">
        <v>102</v>
      </c>
      <c r="I585" s="25">
        <v>3152</v>
      </c>
      <c r="K585" t="s">
        <v>319</v>
      </c>
      <c r="L585" t="s">
        <v>114</v>
      </c>
      <c r="M585" t="s">
        <v>52</v>
      </c>
      <c r="N585" t="s">
        <v>40</v>
      </c>
      <c r="O585">
        <v>75</v>
      </c>
      <c r="Q585">
        <f t="shared" si="23"/>
        <v>2</v>
      </c>
      <c r="R585">
        <v>1</v>
      </c>
      <c r="S585">
        <v>0</v>
      </c>
      <c r="T585">
        <v>1</v>
      </c>
      <c r="U585">
        <v>1</v>
      </c>
      <c r="V585">
        <v>0</v>
      </c>
      <c r="W585">
        <v>0</v>
      </c>
      <c r="X585" s="21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f t="shared" si="24"/>
        <v>64</v>
      </c>
      <c r="AJ585" t="s">
        <v>51</v>
      </c>
      <c r="AK585" t="s">
        <v>52</v>
      </c>
      <c r="AP585" t="s">
        <v>116</v>
      </c>
    </row>
    <row r="586" spans="1:42">
      <c r="A586" s="12">
        <v>43852</v>
      </c>
      <c r="B586">
        <v>2</v>
      </c>
      <c r="C586">
        <v>212</v>
      </c>
      <c r="D586">
        <v>14473</v>
      </c>
      <c r="E586" t="s">
        <v>112</v>
      </c>
      <c r="F586" t="s">
        <v>104</v>
      </c>
      <c r="G586">
        <v>2</v>
      </c>
      <c r="H586">
        <v>103</v>
      </c>
      <c r="I586" s="25" t="s">
        <v>331</v>
      </c>
      <c r="K586" t="s">
        <v>332</v>
      </c>
      <c r="L586" t="s">
        <v>141</v>
      </c>
      <c r="M586" t="s">
        <v>52</v>
      </c>
      <c r="N586" t="s">
        <v>40</v>
      </c>
      <c r="O586">
        <v>107</v>
      </c>
      <c r="Q586">
        <f t="shared" si="23"/>
        <v>4</v>
      </c>
      <c r="R586">
        <v>1</v>
      </c>
      <c r="S586">
        <v>2</v>
      </c>
      <c r="T586">
        <v>0</v>
      </c>
      <c r="U586">
        <v>1</v>
      </c>
      <c r="V586">
        <v>1</v>
      </c>
      <c r="W586">
        <v>0</v>
      </c>
      <c r="X586" s="21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f t="shared" si="24"/>
        <v>128</v>
      </c>
      <c r="AJ586" t="s">
        <v>51</v>
      </c>
      <c r="AK586" t="s">
        <v>95</v>
      </c>
      <c r="AP586" t="s">
        <v>116</v>
      </c>
    </row>
    <row r="587" spans="1:42">
      <c r="A587" s="12">
        <v>43852</v>
      </c>
      <c r="B587">
        <v>2</v>
      </c>
      <c r="C587">
        <v>212</v>
      </c>
      <c r="D587">
        <v>14473</v>
      </c>
      <c r="E587" t="s">
        <v>112</v>
      </c>
      <c r="F587" t="s">
        <v>104</v>
      </c>
      <c r="G587">
        <v>2</v>
      </c>
      <c r="H587">
        <v>104</v>
      </c>
      <c r="I587" s="25">
        <v>133</v>
      </c>
      <c r="K587" t="s">
        <v>332</v>
      </c>
      <c r="L587" t="s">
        <v>114</v>
      </c>
      <c r="M587" t="s">
        <v>52</v>
      </c>
      <c r="N587" t="s">
        <v>40</v>
      </c>
      <c r="O587">
        <v>29</v>
      </c>
      <c r="Q587">
        <f t="shared" si="23"/>
        <v>2</v>
      </c>
      <c r="R587">
        <v>1</v>
      </c>
      <c r="S587">
        <v>0</v>
      </c>
      <c r="T587">
        <v>0</v>
      </c>
      <c r="U587">
        <v>2</v>
      </c>
      <c r="V587">
        <v>0</v>
      </c>
      <c r="W587">
        <v>0</v>
      </c>
      <c r="X587" s="21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f t="shared" si="24"/>
        <v>64</v>
      </c>
      <c r="AJ587" t="s">
        <v>51</v>
      </c>
      <c r="AK587" t="s">
        <v>95</v>
      </c>
      <c r="AP587" t="s">
        <v>116</v>
      </c>
    </row>
    <row r="588" spans="1:42">
      <c r="A588" s="12">
        <v>43852</v>
      </c>
      <c r="B588">
        <v>2</v>
      </c>
      <c r="C588">
        <v>212</v>
      </c>
      <c r="D588">
        <v>14473</v>
      </c>
      <c r="E588" t="s">
        <v>112</v>
      </c>
      <c r="F588" t="s">
        <v>104</v>
      </c>
      <c r="G588">
        <v>2</v>
      </c>
      <c r="H588">
        <v>105</v>
      </c>
      <c r="I588" s="25" t="s">
        <v>333</v>
      </c>
      <c r="K588" t="s">
        <v>324</v>
      </c>
      <c r="L588" t="s">
        <v>114</v>
      </c>
      <c r="M588" t="s">
        <v>52</v>
      </c>
      <c r="N588" t="s">
        <v>40</v>
      </c>
      <c r="O588">
        <v>44</v>
      </c>
      <c r="Q588">
        <f t="shared" si="23"/>
        <v>3</v>
      </c>
      <c r="R588">
        <v>1</v>
      </c>
      <c r="S588">
        <v>0</v>
      </c>
      <c r="T588">
        <v>0</v>
      </c>
      <c r="U588">
        <v>2</v>
      </c>
      <c r="V588">
        <v>1</v>
      </c>
      <c r="W588">
        <v>0</v>
      </c>
      <c r="X588" s="21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f t="shared" si="24"/>
        <v>128</v>
      </c>
      <c r="AJ588" t="s">
        <v>51</v>
      </c>
      <c r="AK588" t="s">
        <v>52</v>
      </c>
      <c r="AP588" t="s">
        <v>116</v>
      </c>
    </row>
    <row r="589" spans="1:42">
      <c r="A589" s="12">
        <v>43852</v>
      </c>
      <c r="B589">
        <v>2</v>
      </c>
      <c r="C589">
        <v>212</v>
      </c>
      <c r="D589">
        <v>14473</v>
      </c>
      <c r="E589" t="s">
        <v>112</v>
      </c>
      <c r="F589" t="s">
        <v>104</v>
      </c>
      <c r="G589">
        <v>2</v>
      </c>
      <c r="H589">
        <v>106</v>
      </c>
      <c r="I589" s="25">
        <v>2630</v>
      </c>
      <c r="K589" t="s">
        <v>324</v>
      </c>
      <c r="L589" t="s">
        <v>114</v>
      </c>
      <c r="M589" t="s">
        <v>52</v>
      </c>
      <c r="N589" t="s">
        <v>40</v>
      </c>
      <c r="O589">
        <v>30</v>
      </c>
      <c r="Q589">
        <f t="shared" si="23"/>
        <v>1</v>
      </c>
      <c r="R589">
        <v>1</v>
      </c>
      <c r="S589">
        <v>0</v>
      </c>
      <c r="T589">
        <v>0</v>
      </c>
      <c r="U589">
        <v>1</v>
      </c>
      <c r="V589">
        <v>0</v>
      </c>
      <c r="W589">
        <v>0</v>
      </c>
      <c r="X589" s="21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f t="shared" si="24"/>
        <v>32</v>
      </c>
      <c r="AJ589" t="s">
        <v>51</v>
      </c>
      <c r="AK589" t="s">
        <v>52</v>
      </c>
      <c r="AP589" t="s">
        <v>116</v>
      </c>
    </row>
    <row r="590" spans="1:42">
      <c r="A590" s="12">
        <v>43852</v>
      </c>
      <c r="B590">
        <v>2</v>
      </c>
      <c r="C590">
        <v>212</v>
      </c>
      <c r="D590">
        <v>14473</v>
      </c>
      <c r="E590" t="s">
        <v>112</v>
      </c>
      <c r="F590" t="s">
        <v>104</v>
      </c>
      <c r="G590">
        <v>2</v>
      </c>
      <c r="H590">
        <v>107</v>
      </c>
      <c r="I590" s="25">
        <v>2646</v>
      </c>
      <c r="K590" t="s">
        <v>324</v>
      </c>
      <c r="L590" t="s">
        <v>114</v>
      </c>
      <c r="M590" t="s">
        <v>52</v>
      </c>
      <c r="N590" t="s">
        <v>40</v>
      </c>
      <c r="O590">
        <v>27</v>
      </c>
      <c r="Q590">
        <f t="shared" si="23"/>
        <v>1</v>
      </c>
      <c r="R590">
        <v>1</v>
      </c>
      <c r="S590">
        <v>0</v>
      </c>
      <c r="T590">
        <v>0</v>
      </c>
      <c r="U590">
        <v>1</v>
      </c>
      <c r="V590">
        <v>0</v>
      </c>
      <c r="W590">
        <v>0</v>
      </c>
      <c r="X590" s="21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f t="shared" si="24"/>
        <v>32</v>
      </c>
      <c r="AJ590" t="s">
        <v>51</v>
      </c>
      <c r="AK590" t="s">
        <v>52</v>
      </c>
      <c r="AP590" t="s">
        <v>116</v>
      </c>
    </row>
    <row r="591" spans="1:42">
      <c r="A591" s="12">
        <v>43852</v>
      </c>
      <c r="B591">
        <v>2</v>
      </c>
      <c r="C591">
        <v>212</v>
      </c>
      <c r="D591">
        <v>14473</v>
      </c>
      <c r="E591" t="s">
        <v>112</v>
      </c>
      <c r="F591" t="s">
        <v>104</v>
      </c>
      <c r="G591">
        <v>2</v>
      </c>
      <c r="H591">
        <v>108</v>
      </c>
      <c r="I591" s="25">
        <v>2652</v>
      </c>
      <c r="K591" t="s">
        <v>324</v>
      </c>
      <c r="L591" t="s">
        <v>114</v>
      </c>
      <c r="M591" t="s">
        <v>52</v>
      </c>
      <c r="N591" t="s">
        <v>40</v>
      </c>
      <c r="O591">
        <v>30</v>
      </c>
      <c r="Q591">
        <f t="shared" si="23"/>
        <v>1</v>
      </c>
      <c r="R591">
        <v>1</v>
      </c>
      <c r="S591">
        <v>0</v>
      </c>
      <c r="T591">
        <v>0</v>
      </c>
      <c r="U591">
        <v>0</v>
      </c>
      <c r="V591">
        <v>1</v>
      </c>
      <c r="W591">
        <v>0</v>
      </c>
      <c r="X591" s="2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f t="shared" si="24"/>
        <v>64</v>
      </c>
      <c r="AJ591" t="s">
        <v>51</v>
      </c>
      <c r="AK591" t="s">
        <v>52</v>
      </c>
      <c r="AP591" t="s">
        <v>116</v>
      </c>
    </row>
    <row r="592" spans="1:42">
      <c r="A592" s="12">
        <v>43852</v>
      </c>
      <c r="B592">
        <v>2</v>
      </c>
      <c r="C592">
        <v>212</v>
      </c>
      <c r="D592">
        <v>14473</v>
      </c>
      <c r="E592" t="s">
        <v>112</v>
      </c>
      <c r="F592" t="s">
        <v>104</v>
      </c>
      <c r="G592">
        <v>2</v>
      </c>
      <c r="H592">
        <v>109</v>
      </c>
      <c r="I592" s="25">
        <v>2769</v>
      </c>
      <c r="K592" t="s">
        <v>210</v>
      </c>
      <c r="L592" t="s">
        <v>114</v>
      </c>
      <c r="M592" t="s">
        <v>52</v>
      </c>
      <c r="N592" t="s">
        <v>40</v>
      </c>
      <c r="O592">
        <v>34</v>
      </c>
      <c r="Q592">
        <f t="shared" si="23"/>
        <v>1</v>
      </c>
      <c r="R592">
        <v>1</v>
      </c>
      <c r="S592">
        <v>0</v>
      </c>
      <c r="T592">
        <v>0</v>
      </c>
      <c r="U592">
        <v>1</v>
      </c>
      <c r="V592">
        <v>0</v>
      </c>
      <c r="W592">
        <v>0</v>
      </c>
      <c r="X592" s="21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f t="shared" si="24"/>
        <v>32</v>
      </c>
      <c r="AJ592" t="s">
        <v>51</v>
      </c>
      <c r="AK592" t="s">
        <v>52</v>
      </c>
      <c r="AP592" t="s">
        <v>116</v>
      </c>
    </row>
    <row r="593" spans="1:42">
      <c r="A593" s="12">
        <v>43852</v>
      </c>
      <c r="B593">
        <v>2</v>
      </c>
      <c r="C593">
        <v>212</v>
      </c>
      <c r="D593">
        <v>14473</v>
      </c>
      <c r="E593" t="s">
        <v>112</v>
      </c>
      <c r="F593" t="s">
        <v>104</v>
      </c>
      <c r="G593">
        <v>2</v>
      </c>
      <c r="H593">
        <v>110</v>
      </c>
      <c r="I593" s="25">
        <v>2755</v>
      </c>
      <c r="K593" t="s">
        <v>210</v>
      </c>
      <c r="L593" t="s">
        <v>114</v>
      </c>
      <c r="M593" t="s">
        <v>52</v>
      </c>
      <c r="N593" t="s">
        <v>44</v>
      </c>
      <c r="O593">
        <v>166</v>
      </c>
      <c r="Q593">
        <f t="shared" si="23"/>
        <v>3</v>
      </c>
      <c r="R593">
        <v>1</v>
      </c>
      <c r="S593">
        <v>0</v>
      </c>
      <c r="T593">
        <v>0</v>
      </c>
      <c r="U593">
        <v>1</v>
      </c>
      <c r="V593">
        <v>0</v>
      </c>
      <c r="W593">
        <v>2</v>
      </c>
      <c r="X593" s="21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f t="shared" si="24"/>
        <v>224</v>
      </c>
      <c r="AJ593" t="s">
        <v>51</v>
      </c>
      <c r="AK593" t="s">
        <v>52</v>
      </c>
      <c r="AL593" t="s">
        <v>334</v>
      </c>
      <c r="AP593" t="s">
        <v>116</v>
      </c>
    </row>
    <row r="594" spans="1:42">
      <c r="A594" s="12">
        <v>43852</v>
      </c>
      <c r="B594">
        <v>2</v>
      </c>
      <c r="C594">
        <v>212</v>
      </c>
      <c r="D594">
        <v>14473</v>
      </c>
      <c r="E594" t="s">
        <v>112</v>
      </c>
      <c r="F594" t="s">
        <v>104</v>
      </c>
      <c r="G594">
        <v>2</v>
      </c>
      <c r="H594">
        <v>111</v>
      </c>
      <c r="I594" s="25">
        <v>2733</v>
      </c>
      <c r="K594" t="s">
        <v>210</v>
      </c>
      <c r="L594" t="s">
        <v>114</v>
      </c>
      <c r="M594" t="s">
        <v>52</v>
      </c>
      <c r="N594" t="s">
        <v>40</v>
      </c>
      <c r="O594">
        <v>56</v>
      </c>
      <c r="Q594">
        <f t="shared" si="23"/>
        <v>3</v>
      </c>
      <c r="R594">
        <v>1</v>
      </c>
      <c r="S594">
        <v>0</v>
      </c>
      <c r="T594">
        <v>0</v>
      </c>
      <c r="U594">
        <v>1</v>
      </c>
      <c r="V594">
        <v>1</v>
      </c>
      <c r="W594">
        <v>1</v>
      </c>
      <c r="X594" s="21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f t="shared" si="24"/>
        <v>192</v>
      </c>
      <c r="AJ594" t="s">
        <v>51</v>
      </c>
      <c r="AK594" t="s">
        <v>52</v>
      </c>
      <c r="AP594" t="s">
        <v>116</v>
      </c>
    </row>
    <row r="595" spans="1:42">
      <c r="A595" s="12">
        <v>43852</v>
      </c>
      <c r="B595">
        <v>2</v>
      </c>
      <c r="C595">
        <v>212</v>
      </c>
      <c r="D595">
        <v>14473</v>
      </c>
      <c r="E595" t="s">
        <v>112</v>
      </c>
      <c r="F595" t="s">
        <v>104</v>
      </c>
      <c r="G595">
        <v>2</v>
      </c>
      <c r="H595">
        <v>112</v>
      </c>
      <c r="I595" s="25">
        <v>2729</v>
      </c>
      <c r="K595" t="s">
        <v>210</v>
      </c>
      <c r="L595" t="s">
        <v>114</v>
      </c>
      <c r="M595" t="s">
        <v>52</v>
      </c>
      <c r="N595" t="s">
        <v>44</v>
      </c>
      <c r="O595">
        <v>119</v>
      </c>
      <c r="Q595">
        <f t="shared" si="23"/>
        <v>1</v>
      </c>
      <c r="R595">
        <v>1</v>
      </c>
      <c r="S595">
        <v>0</v>
      </c>
      <c r="T595">
        <v>0</v>
      </c>
      <c r="U595">
        <v>0</v>
      </c>
      <c r="V595">
        <v>0</v>
      </c>
      <c r="W595">
        <v>1</v>
      </c>
      <c r="X595" s="21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f t="shared" si="24"/>
        <v>96</v>
      </c>
      <c r="AJ595" t="s">
        <v>51</v>
      </c>
      <c r="AK595" t="s">
        <v>52</v>
      </c>
      <c r="AL595" t="s">
        <v>335</v>
      </c>
      <c r="AP595" t="s">
        <v>116</v>
      </c>
    </row>
    <row r="596" spans="1:42">
      <c r="A596" s="12">
        <v>43852</v>
      </c>
      <c r="B596">
        <v>2</v>
      </c>
      <c r="C596">
        <v>212</v>
      </c>
      <c r="D596">
        <v>14473</v>
      </c>
      <c r="E596" t="s">
        <v>112</v>
      </c>
      <c r="F596" t="s">
        <v>104</v>
      </c>
      <c r="G596">
        <v>2</v>
      </c>
      <c r="H596">
        <v>113</v>
      </c>
      <c r="I596" s="25">
        <v>2707</v>
      </c>
      <c r="K596" t="s">
        <v>210</v>
      </c>
      <c r="L596" t="s">
        <v>114</v>
      </c>
      <c r="M596" t="s">
        <v>52</v>
      </c>
      <c r="N596" t="s">
        <v>40</v>
      </c>
      <c r="O596">
        <v>33</v>
      </c>
      <c r="Q596">
        <f t="shared" si="23"/>
        <v>1</v>
      </c>
      <c r="R596">
        <v>1</v>
      </c>
      <c r="S596">
        <v>0</v>
      </c>
      <c r="T596">
        <v>0</v>
      </c>
      <c r="U596">
        <v>0</v>
      </c>
      <c r="V596">
        <v>0</v>
      </c>
      <c r="W596">
        <v>1</v>
      </c>
      <c r="X596" s="21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f t="shared" si="24"/>
        <v>96</v>
      </c>
      <c r="AJ596" t="s">
        <v>51</v>
      </c>
      <c r="AK596" t="s">
        <v>52</v>
      </c>
      <c r="AP596" t="s">
        <v>116</v>
      </c>
    </row>
    <row r="597" spans="1:42">
      <c r="A597" s="12">
        <v>43852</v>
      </c>
      <c r="B597">
        <v>2</v>
      </c>
      <c r="C597">
        <v>212</v>
      </c>
      <c r="D597">
        <v>14473</v>
      </c>
      <c r="E597" t="s">
        <v>112</v>
      </c>
      <c r="F597" t="s">
        <v>104</v>
      </c>
      <c r="G597">
        <v>2</v>
      </c>
      <c r="H597">
        <v>114</v>
      </c>
      <c r="I597" s="25">
        <v>2800</v>
      </c>
      <c r="K597" t="s">
        <v>148</v>
      </c>
      <c r="L597" t="s">
        <v>114</v>
      </c>
      <c r="M597" t="s">
        <v>52</v>
      </c>
      <c r="N597" t="s">
        <v>44</v>
      </c>
      <c r="O597">
        <v>148</v>
      </c>
      <c r="Q597">
        <f t="shared" si="23"/>
        <v>3</v>
      </c>
      <c r="R597">
        <v>1</v>
      </c>
      <c r="S597">
        <v>0</v>
      </c>
      <c r="T597">
        <v>0</v>
      </c>
      <c r="U597">
        <v>1</v>
      </c>
      <c r="V597">
        <v>0</v>
      </c>
      <c r="W597">
        <v>2</v>
      </c>
      <c r="X597" s="21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f t="shared" si="24"/>
        <v>224</v>
      </c>
      <c r="AJ597" t="s">
        <v>54</v>
      </c>
      <c r="AK597" t="s">
        <v>52</v>
      </c>
      <c r="AL597" t="s">
        <v>336</v>
      </c>
      <c r="AP597" t="s">
        <v>116</v>
      </c>
    </row>
    <row r="598" spans="1:42">
      <c r="A598" s="12">
        <v>43852</v>
      </c>
      <c r="B598">
        <v>2</v>
      </c>
      <c r="C598">
        <v>212</v>
      </c>
      <c r="D598">
        <v>14473</v>
      </c>
      <c r="E598" t="s">
        <v>112</v>
      </c>
      <c r="F598" t="s">
        <v>104</v>
      </c>
      <c r="G598">
        <v>2</v>
      </c>
      <c r="H598">
        <v>115</v>
      </c>
      <c r="I598" s="25">
        <v>2870</v>
      </c>
      <c r="K598" t="s">
        <v>148</v>
      </c>
      <c r="L598" t="s">
        <v>114</v>
      </c>
      <c r="M598" t="s">
        <v>52</v>
      </c>
      <c r="N598" t="s">
        <v>44</v>
      </c>
      <c r="O598">
        <v>62</v>
      </c>
      <c r="Q598">
        <f t="shared" si="23"/>
        <v>0</v>
      </c>
      <c r="R598">
        <v>1</v>
      </c>
      <c r="S598">
        <v>0</v>
      </c>
      <c r="T598">
        <v>0</v>
      </c>
      <c r="U598">
        <v>0</v>
      </c>
      <c r="V598">
        <v>0</v>
      </c>
      <c r="W598">
        <v>0</v>
      </c>
      <c r="X598" s="21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f t="shared" si="24"/>
        <v>0</v>
      </c>
      <c r="AJ598" t="s">
        <v>54</v>
      </c>
      <c r="AK598" t="s">
        <v>52</v>
      </c>
      <c r="AL598" t="s">
        <v>337</v>
      </c>
      <c r="AP598" t="s">
        <v>116</v>
      </c>
    </row>
    <row r="599" spans="1:42">
      <c r="A599" s="12">
        <v>43852</v>
      </c>
      <c r="B599">
        <v>2</v>
      </c>
      <c r="C599">
        <v>212</v>
      </c>
      <c r="D599">
        <v>14473</v>
      </c>
      <c r="E599" t="s">
        <v>112</v>
      </c>
      <c r="F599" t="s">
        <v>104</v>
      </c>
      <c r="G599">
        <v>2</v>
      </c>
      <c r="H599">
        <v>116</v>
      </c>
      <c r="I599" s="25" t="s">
        <v>338</v>
      </c>
      <c r="K599" t="s">
        <v>319</v>
      </c>
      <c r="L599" t="s">
        <v>114</v>
      </c>
      <c r="M599" t="s">
        <v>52</v>
      </c>
      <c r="N599" t="s">
        <v>40</v>
      </c>
      <c r="O599">
        <v>70</v>
      </c>
      <c r="Q599">
        <f t="shared" si="23"/>
        <v>6</v>
      </c>
      <c r="R599">
        <v>1</v>
      </c>
      <c r="S599">
        <v>2</v>
      </c>
      <c r="T599">
        <v>0</v>
      </c>
      <c r="U599">
        <v>2</v>
      </c>
      <c r="V599">
        <v>1</v>
      </c>
      <c r="W599">
        <v>1</v>
      </c>
      <c r="X599" s="21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f t="shared" si="24"/>
        <v>256</v>
      </c>
      <c r="AJ599" t="s">
        <v>54</v>
      </c>
      <c r="AK599" t="s">
        <v>52</v>
      </c>
      <c r="AP599" t="s">
        <v>116</v>
      </c>
    </row>
    <row r="600" spans="1:42">
      <c r="A600" s="12">
        <v>43852</v>
      </c>
      <c r="B600">
        <v>2</v>
      </c>
      <c r="C600">
        <v>212</v>
      </c>
      <c r="D600">
        <v>14473</v>
      </c>
      <c r="E600" t="s">
        <v>112</v>
      </c>
      <c r="F600" t="s">
        <v>104</v>
      </c>
      <c r="G600">
        <v>2</v>
      </c>
      <c r="H600">
        <v>117</v>
      </c>
      <c r="I600" s="25">
        <v>2826</v>
      </c>
      <c r="K600" t="s">
        <v>319</v>
      </c>
      <c r="L600" t="s">
        <v>114</v>
      </c>
      <c r="M600" t="s">
        <v>52</v>
      </c>
      <c r="N600" t="s">
        <v>44</v>
      </c>
      <c r="O600">
        <v>71</v>
      </c>
      <c r="Q600">
        <f t="shared" si="23"/>
        <v>2</v>
      </c>
      <c r="R600">
        <v>1</v>
      </c>
      <c r="S600">
        <v>0</v>
      </c>
      <c r="T600">
        <v>0</v>
      </c>
      <c r="U600">
        <v>2</v>
      </c>
      <c r="V600">
        <v>0</v>
      </c>
      <c r="W600">
        <v>0</v>
      </c>
      <c r="X600" s="21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f t="shared" si="24"/>
        <v>64</v>
      </c>
      <c r="AJ600" t="s">
        <v>54</v>
      </c>
      <c r="AK600" t="s">
        <v>52</v>
      </c>
      <c r="AL600" t="s">
        <v>149</v>
      </c>
      <c r="AP600" t="s">
        <v>116</v>
      </c>
    </row>
    <row r="601" spans="1:42">
      <c r="A601" s="12">
        <v>43852</v>
      </c>
      <c r="B601">
        <v>2</v>
      </c>
      <c r="C601">
        <v>212</v>
      </c>
      <c r="D601">
        <v>14473</v>
      </c>
      <c r="E601" t="s">
        <v>112</v>
      </c>
      <c r="F601" t="s">
        <v>104</v>
      </c>
      <c r="G601">
        <v>2</v>
      </c>
      <c r="H601">
        <v>118</v>
      </c>
      <c r="I601" s="25" t="s">
        <v>339</v>
      </c>
      <c r="K601" t="s">
        <v>319</v>
      </c>
      <c r="L601" t="s">
        <v>114</v>
      </c>
      <c r="M601" t="s">
        <v>52</v>
      </c>
      <c r="N601" t="s">
        <v>40</v>
      </c>
      <c r="O601">
        <v>119</v>
      </c>
      <c r="Q601">
        <f t="shared" si="23"/>
        <v>2</v>
      </c>
      <c r="R601">
        <v>1</v>
      </c>
      <c r="S601">
        <v>0</v>
      </c>
      <c r="T601">
        <v>0</v>
      </c>
      <c r="U601">
        <v>0</v>
      </c>
      <c r="V601">
        <v>2</v>
      </c>
      <c r="W601">
        <v>0</v>
      </c>
      <c r="X601" s="2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f t="shared" si="24"/>
        <v>128</v>
      </c>
      <c r="AJ601" t="s">
        <v>54</v>
      </c>
      <c r="AK601" t="s">
        <v>95</v>
      </c>
      <c r="AP601" t="s">
        <v>116</v>
      </c>
    </row>
    <row r="602" spans="1:42">
      <c r="A602" s="12">
        <v>43852</v>
      </c>
      <c r="B602">
        <v>2</v>
      </c>
      <c r="C602">
        <v>212</v>
      </c>
      <c r="D602">
        <v>14473</v>
      </c>
      <c r="E602" t="s">
        <v>112</v>
      </c>
      <c r="F602" t="s">
        <v>104</v>
      </c>
      <c r="G602">
        <v>2</v>
      </c>
      <c r="H602">
        <v>119</v>
      </c>
      <c r="I602" s="25" t="s">
        <v>340</v>
      </c>
      <c r="K602" s="21" t="s">
        <v>329</v>
      </c>
      <c r="L602" t="s">
        <v>141</v>
      </c>
      <c r="M602" t="s">
        <v>52</v>
      </c>
      <c r="N602" t="s">
        <v>40</v>
      </c>
      <c r="O602">
        <v>158</v>
      </c>
      <c r="Q602">
        <f t="shared" si="23"/>
        <v>7</v>
      </c>
      <c r="R602">
        <v>1</v>
      </c>
      <c r="S602">
        <v>1</v>
      </c>
      <c r="T602">
        <v>1</v>
      </c>
      <c r="U602">
        <v>4</v>
      </c>
      <c r="V602">
        <v>1</v>
      </c>
      <c r="W602">
        <v>0</v>
      </c>
      <c r="X602" s="21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f t="shared" si="24"/>
        <v>240</v>
      </c>
      <c r="AJ602" t="s">
        <v>54</v>
      </c>
      <c r="AK602" t="s">
        <v>52</v>
      </c>
      <c r="AP602" t="s">
        <v>116</v>
      </c>
    </row>
    <row r="603" spans="1:42">
      <c r="A603" s="12">
        <v>43852</v>
      </c>
      <c r="B603">
        <v>2</v>
      </c>
      <c r="C603">
        <v>212</v>
      </c>
      <c r="D603">
        <v>14473</v>
      </c>
      <c r="E603" t="s">
        <v>112</v>
      </c>
      <c r="F603" t="s">
        <v>104</v>
      </c>
      <c r="G603">
        <v>2</v>
      </c>
      <c r="H603">
        <v>120</v>
      </c>
      <c r="I603" s="25">
        <v>2735</v>
      </c>
      <c r="K603" s="21" t="s">
        <v>329</v>
      </c>
      <c r="L603" t="s">
        <v>141</v>
      </c>
      <c r="M603" t="s">
        <v>52</v>
      </c>
      <c r="N603" t="s">
        <v>40</v>
      </c>
      <c r="O603">
        <v>25</v>
      </c>
      <c r="Q603">
        <f t="shared" si="23"/>
        <v>2</v>
      </c>
      <c r="R603">
        <v>1</v>
      </c>
      <c r="S603">
        <v>0</v>
      </c>
      <c r="T603">
        <v>0</v>
      </c>
      <c r="U603">
        <v>2</v>
      </c>
      <c r="V603">
        <v>0</v>
      </c>
      <c r="W603">
        <v>0</v>
      </c>
      <c r="X603" s="21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f t="shared" si="24"/>
        <v>64</v>
      </c>
      <c r="AJ603" t="s">
        <v>54</v>
      </c>
      <c r="AK603" t="s">
        <v>95</v>
      </c>
      <c r="AP603" t="s">
        <v>116</v>
      </c>
    </row>
    <row r="604" spans="1:42">
      <c r="A604" s="12">
        <v>43852</v>
      </c>
      <c r="B604">
        <v>2</v>
      </c>
      <c r="C604">
        <v>212</v>
      </c>
      <c r="D604">
        <v>14473</v>
      </c>
      <c r="E604" t="s">
        <v>112</v>
      </c>
      <c r="F604" t="s">
        <v>104</v>
      </c>
      <c r="G604">
        <v>2</v>
      </c>
      <c r="H604">
        <v>121</v>
      </c>
      <c r="I604" s="25">
        <v>2727</v>
      </c>
      <c r="K604" s="21" t="s">
        <v>329</v>
      </c>
      <c r="L604" t="s">
        <v>141</v>
      </c>
      <c r="M604" t="s">
        <v>52</v>
      </c>
      <c r="N604" t="s">
        <v>40</v>
      </c>
      <c r="O604">
        <v>60</v>
      </c>
      <c r="Q604">
        <f t="shared" ref="Q604:Q663" si="25">S604+T604+U604+V604+W604+Y604+Z604+AA604+AB604+AC604+AD604+AE604+AF604</f>
        <v>2</v>
      </c>
      <c r="R604">
        <v>1</v>
      </c>
      <c r="S604">
        <v>0</v>
      </c>
      <c r="T604">
        <v>1</v>
      </c>
      <c r="U604">
        <v>1</v>
      </c>
      <c r="V604">
        <v>0</v>
      </c>
      <c r="W604">
        <v>0</v>
      </c>
      <c r="X604" s="21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f t="shared" si="24"/>
        <v>64</v>
      </c>
      <c r="AJ604" t="s">
        <v>54</v>
      </c>
      <c r="AK604" t="s">
        <v>52</v>
      </c>
      <c r="AP604" t="s">
        <v>116</v>
      </c>
    </row>
    <row r="605" spans="1:42">
      <c r="A605" s="12">
        <v>43852</v>
      </c>
      <c r="B605">
        <v>2</v>
      </c>
      <c r="C605">
        <v>212</v>
      </c>
      <c r="D605">
        <v>14473</v>
      </c>
      <c r="E605" t="s">
        <v>112</v>
      </c>
      <c r="F605" t="s">
        <v>104</v>
      </c>
      <c r="G605">
        <v>2</v>
      </c>
      <c r="H605">
        <v>122</v>
      </c>
      <c r="I605" s="25">
        <v>2717</v>
      </c>
      <c r="K605" s="21" t="s">
        <v>329</v>
      </c>
      <c r="L605" t="s">
        <v>141</v>
      </c>
      <c r="M605" t="s">
        <v>52</v>
      </c>
      <c r="N605" t="s">
        <v>40</v>
      </c>
      <c r="O605">
        <v>44</v>
      </c>
      <c r="Q605">
        <f t="shared" si="25"/>
        <v>2</v>
      </c>
      <c r="R605">
        <v>1</v>
      </c>
      <c r="S605">
        <v>0</v>
      </c>
      <c r="T605">
        <v>0</v>
      </c>
      <c r="U605">
        <v>1</v>
      </c>
      <c r="V605">
        <v>1</v>
      </c>
      <c r="W605">
        <v>0</v>
      </c>
      <c r="X605" s="21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f t="shared" si="24"/>
        <v>96</v>
      </c>
      <c r="AJ605" t="s">
        <v>54</v>
      </c>
      <c r="AK605" t="s">
        <v>52</v>
      </c>
      <c r="AP605" t="s">
        <v>116</v>
      </c>
    </row>
    <row r="606" spans="1:42">
      <c r="A606" s="12">
        <v>43852</v>
      </c>
      <c r="B606">
        <v>2</v>
      </c>
      <c r="C606">
        <v>212</v>
      </c>
      <c r="D606">
        <v>14473</v>
      </c>
      <c r="E606" t="s">
        <v>112</v>
      </c>
      <c r="F606" t="s">
        <v>104</v>
      </c>
      <c r="G606">
        <v>2</v>
      </c>
      <c r="H606">
        <v>123</v>
      </c>
      <c r="I606" s="25">
        <v>2709</v>
      </c>
      <c r="K606" s="21" t="s">
        <v>329</v>
      </c>
      <c r="L606" t="s">
        <v>141</v>
      </c>
      <c r="M606" t="s">
        <v>52</v>
      </c>
      <c r="N606" t="s">
        <v>40</v>
      </c>
      <c r="O606">
        <v>24</v>
      </c>
      <c r="Q606">
        <f t="shared" si="25"/>
        <v>1</v>
      </c>
      <c r="R606">
        <v>1</v>
      </c>
      <c r="S606">
        <v>0</v>
      </c>
      <c r="T606">
        <v>0</v>
      </c>
      <c r="U606">
        <v>1</v>
      </c>
      <c r="V606">
        <v>0</v>
      </c>
      <c r="W606">
        <v>0</v>
      </c>
      <c r="X606" s="21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f t="shared" si="24"/>
        <v>32</v>
      </c>
      <c r="AJ606" t="s">
        <v>54</v>
      </c>
      <c r="AK606" t="s">
        <v>52</v>
      </c>
      <c r="AP606" t="s">
        <v>116</v>
      </c>
    </row>
    <row r="607" spans="1:42">
      <c r="A607" s="12">
        <v>43852</v>
      </c>
      <c r="B607">
        <v>2</v>
      </c>
      <c r="C607">
        <v>212</v>
      </c>
      <c r="D607">
        <v>14473</v>
      </c>
      <c r="E607" t="s">
        <v>112</v>
      </c>
      <c r="F607" t="s">
        <v>104</v>
      </c>
      <c r="G607">
        <v>2</v>
      </c>
      <c r="H607">
        <v>124</v>
      </c>
      <c r="I607" s="25" t="s">
        <v>341</v>
      </c>
      <c r="K607" t="s">
        <v>342</v>
      </c>
      <c r="L607" t="s">
        <v>141</v>
      </c>
      <c r="M607" t="s">
        <v>52</v>
      </c>
      <c r="N607" t="s">
        <v>40</v>
      </c>
      <c r="O607">
        <v>84</v>
      </c>
      <c r="Q607">
        <f t="shared" si="25"/>
        <v>4</v>
      </c>
      <c r="R607">
        <v>1</v>
      </c>
      <c r="S607">
        <v>0</v>
      </c>
      <c r="T607">
        <v>1</v>
      </c>
      <c r="U607">
        <v>3</v>
      </c>
      <c r="V607">
        <v>0</v>
      </c>
      <c r="W607">
        <v>0</v>
      </c>
      <c r="X607" s="21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f t="shared" si="24"/>
        <v>128</v>
      </c>
      <c r="AJ607" t="s">
        <v>54</v>
      </c>
      <c r="AK607" t="s">
        <v>52</v>
      </c>
      <c r="AL607" t="s">
        <v>343</v>
      </c>
      <c r="AP607" t="s">
        <v>116</v>
      </c>
    </row>
    <row r="608" spans="1:42">
      <c r="A608" s="12">
        <v>43852</v>
      </c>
      <c r="B608">
        <v>2</v>
      </c>
      <c r="C608">
        <v>212</v>
      </c>
      <c r="D608">
        <v>14473</v>
      </c>
      <c r="E608" t="s">
        <v>112</v>
      </c>
      <c r="F608" t="s">
        <v>104</v>
      </c>
      <c r="G608">
        <v>2</v>
      </c>
      <c r="H608">
        <v>125</v>
      </c>
      <c r="I608" s="25" t="s">
        <v>344</v>
      </c>
      <c r="K608" s="21" t="s">
        <v>329</v>
      </c>
      <c r="L608" t="s">
        <v>141</v>
      </c>
      <c r="M608" t="s">
        <v>52</v>
      </c>
      <c r="N608" t="s">
        <v>40</v>
      </c>
      <c r="O608">
        <v>76</v>
      </c>
      <c r="Q608">
        <f t="shared" si="25"/>
        <v>3</v>
      </c>
      <c r="R608">
        <v>1</v>
      </c>
      <c r="S608">
        <v>0</v>
      </c>
      <c r="T608">
        <v>0</v>
      </c>
      <c r="U608">
        <v>1</v>
      </c>
      <c r="V608">
        <v>2</v>
      </c>
      <c r="W608">
        <v>0</v>
      </c>
      <c r="X608" s="21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f t="shared" si="24"/>
        <v>160</v>
      </c>
      <c r="AJ608" t="s">
        <v>54</v>
      </c>
      <c r="AK608" t="s">
        <v>95</v>
      </c>
      <c r="AL608" t="s">
        <v>345</v>
      </c>
      <c r="AP608" t="s">
        <v>116</v>
      </c>
    </row>
    <row r="609" spans="1:42">
      <c r="A609" s="12">
        <v>43852</v>
      </c>
      <c r="B609">
        <v>2</v>
      </c>
      <c r="C609">
        <v>212</v>
      </c>
      <c r="D609">
        <v>14473</v>
      </c>
      <c r="E609" t="s">
        <v>112</v>
      </c>
      <c r="F609" t="s">
        <v>104</v>
      </c>
      <c r="G609">
        <v>2</v>
      </c>
      <c r="H609">
        <v>126</v>
      </c>
      <c r="I609" s="25">
        <v>2643</v>
      </c>
      <c r="K609" s="21" t="s">
        <v>329</v>
      </c>
      <c r="L609" t="s">
        <v>141</v>
      </c>
      <c r="M609" t="s">
        <v>52</v>
      </c>
      <c r="N609" t="s">
        <v>40</v>
      </c>
      <c r="O609">
        <v>36</v>
      </c>
      <c r="Q609">
        <f t="shared" si="25"/>
        <v>2</v>
      </c>
      <c r="R609">
        <v>1</v>
      </c>
      <c r="S609">
        <v>0</v>
      </c>
      <c r="T609">
        <v>0</v>
      </c>
      <c r="U609">
        <v>2</v>
      </c>
      <c r="V609">
        <v>0</v>
      </c>
      <c r="W609">
        <v>0</v>
      </c>
      <c r="X609" s="21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f t="shared" si="24"/>
        <v>64</v>
      </c>
      <c r="AJ609" t="s">
        <v>54</v>
      </c>
      <c r="AK609" t="s">
        <v>95</v>
      </c>
      <c r="AL609" t="s">
        <v>345</v>
      </c>
      <c r="AP609" t="s">
        <v>116</v>
      </c>
    </row>
    <row r="610" spans="1:42">
      <c r="A610" s="12">
        <v>43852</v>
      </c>
      <c r="B610">
        <v>2</v>
      </c>
      <c r="C610">
        <v>212</v>
      </c>
      <c r="D610">
        <v>14473</v>
      </c>
      <c r="E610" t="s">
        <v>112</v>
      </c>
      <c r="F610" t="s">
        <v>104</v>
      </c>
      <c r="G610">
        <v>2</v>
      </c>
      <c r="H610">
        <v>127</v>
      </c>
      <c r="I610" s="25">
        <v>2625</v>
      </c>
      <c r="K610" s="21" t="s">
        <v>329</v>
      </c>
      <c r="L610" t="s">
        <v>141</v>
      </c>
      <c r="M610" t="s">
        <v>52</v>
      </c>
      <c r="N610" t="s">
        <v>40</v>
      </c>
      <c r="O610">
        <v>26</v>
      </c>
      <c r="Q610">
        <f t="shared" si="25"/>
        <v>1</v>
      </c>
      <c r="R610">
        <v>1</v>
      </c>
      <c r="S610">
        <v>0</v>
      </c>
      <c r="T610">
        <v>0</v>
      </c>
      <c r="U610">
        <v>0</v>
      </c>
      <c r="V610">
        <v>1</v>
      </c>
      <c r="W610">
        <v>0</v>
      </c>
      <c r="X610" s="21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f t="shared" si="24"/>
        <v>64</v>
      </c>
      <c r="AJ610" t="s">
        <v>54</v>
      </c>
      <c r="AK610" t="s">
        <v>52</v>
      </c>
      <c r="AL610" t="s">
        <v>345</v>
      </c>
      <c r="AP610" t="s">
        <v>116</v>
      </c>
    </row>
    <row r="611" spans="1:42">
      <c r="A611" s="12">
        <v>43852</v>
      </c>
      <c r="B611">
        <v>2</v>
      </c>
      <c r="C611">
        <v>212</v>
      </c>
      <c r="D611">
        <v>14473</v>
      </c>
      <c r="E611" t="s">
        <v>112</v>
      </c>
      <c r="F611" t="s">
        <v>104</v>
      </c>
      <c r="G611">
        <v>2</v>
      </c>
      <c r="H611">
        <v>128</v>
      </c>
      <c r="I611" s="25">
        <v>2619</v>
      </c>
      <c r="K611" s="21" t="s">
        <v>329</v>
      </c>
      <c r="L611" t="s">
        <v>141</v>
      </c>
      <c r="M611" t="s">
        <v>52</v>
      </c>
      <c r="N611" t="s">
        <v>40</v>
      </c>
      <c r="O611">
        <v>26</v>
      </c>
      <c r="Q611">
        <f t="shared" si="25"/>
        <v>1</v>
      </c>
      <c r="R611">
        <v>1</v>
      </c>
      <c r="S611">
        <v>0</v>
      </c>
      <c r="T611">
        <v>0</v>
      </c>
      <c r="U611">
        <v>0</v>
      </c>
      <c r="V611">
        <v>1</v>
      </c>
      <c r="W611">
        <v>0</v>
      </c>
      <c r="X611" s="2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f t="shared" si="24"/>
        <v>64</v>
      </c>
      <c r="AJ611" t="s">
        <v>54</v>
      </c>
      <c r="AK611" t="s">
        <v>52</v>
      </c>
      <c r="AL611" t="s">
        <v>345</v>
      </c>
      <c r="AP611" t="s">
        <v>116</v>
      </c>
    </row>
    <row r="612" spans="1:42">
      <c r="A612" s="12">
        <v>43852</v>
      </c>
      <c r="B612">
        <v>2</v>
      </c>
      <c r="C612">
        <v>212</v>
      </c>
      <c r="D612">
        <v>14473</v>
      </c>
      <c r="E612" t="s">
        <v>112</v>
      </c>
      <c r="F612" t="s">
        <v>104</v>
      </c>
      <c r="G612">
        <v>2</v>
      </c>
      <c r="H612">
        <v>129</v>
      </c>
      <c r="I612" s="25">
        <v>2801</v>
      </c>
      <c r="K612" t="s">
        <v>119</v>
      </c>
      <c r="L612" t="s">
        <v>141</v>
      </c>
      <c r="M612" t="s">
        <v>52</v>
      </c>
      <c r="N612" t="s">
        <v>44</v>
      </c>
      <c r="O612">
        <v>121</v>
      </c>
      <c r="Q612">
        <f t="shared" si="25"/>
        <v>1</v>
      </c>
      <c r="R612">
        <v>1</v>
      </c>
      <c r="S612">
        <v>0</v>
      </c>
      <c r="T612">
        <v>0</v>
      </c>
      <c r="U612">
        <v>1</v>
      </c>
      <c r="V612">
        <v>0</v>
      </c>
      <c r="W612">
        <v>0</v>
      </c>
      <c r="X612" s="21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f t="shared" si="24"/>
        <v>32</v>
      </c>
      <c r="AJ612" t="s">
        <v>54</v>
      </c>
      <c r="AK612" t="s">
        <v>95</v>
      </c>
      <c r="AL612" t="s">
        <v>346</v>
      </c>
      <c r="AP612" t="s">
        <v>116</v>
      </c>
    </row>
    <row r="613" spans="1:42">
      <c r="A613" s="12">
        <v>43852</v>
      </c>
      <c r="B613">
        <v>2</v>
      </c>
      <c r="C613">
        <v>212</v>
      </c>
      <c r="D613">
        <v>14473</v>
      </c>
      <c r="E613" t="s">
        <v>112</v>
      </c>
      <c r="F613" t="s">
        <v>104</v>
      </c>
      <c r="G613">
        <v>2</v>
      </c>
      <c r="H613">
        <v>130</v>
      </c>
      <c r="I613" s="25">
        <v>2551</v>
      </c>
      <c r="K613" s="21" t="s">
        <v>329</v>
      </c>
      <c r="L613" t="s">
        <v>141</v>
      </c>
      <c r="M613" t="s">
        <v>52</v>
      </c>
      <c r="N613" t="s">
        <v>40</v>
      </c>
      <c r="O613">
        <v>25</v>
      </c>
      <c r="Q613">
        <f t="shared" si="25"/>
        <v>1</v>
      </c>
      <c r="R613">
        <v>1</v>
      </c>
      <c r="S613">
        <v>0</v>
      </c>
      <c r="T613">
        <v>0</v>
      </c>
      <c r="U613">
        <v>0</v>
      </c>
      <c r="V613">
        <v>1</v>
      </c>
      <c r="W613">
        <v>0</v>
      </c>
      <c r="X613" s="21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f t="shared" si="24"/>
        <v>64</v>
      </c>
      <c r="AJ613" t="s">
        <v>54</v>
      </c>
      <c r="AK613" t="s">
        <v>95</v>
      </c>
      <c r="AL613" t="s">
        <v>345</v>
      </c>
      <c r="AP613" t="s">
        <v>116</v>
      </c>
    </row>
    <row r="614" spans="1:42">
      <c r="A614" s="12">
        <v>43852</v>
      </c>
      <c r="B614">
        <v>2</v>
      </c>
      <c r="C614">
        <v>212</v>
      </c>
      <c r="D614">
        <v>14473</v>
      </c>
      <c r="E614" t="s">
        <v>112</v>
      </c>
      <c r="F614" t="s">
        <v>104</v>
      </c>
      <c r="G614">
        <v>2</v>
      </c>
      <c r="H614">
        <v>131</v>
      </c>
      <c r="I614" s="25">
        <v>2545</v>
      </c>
      <c r="K614" s="21" t="s">
        <v>329</v>
      </c>
      <c r="L614" t="s">
        <v>141</v>
      </c>
      <c r="M614" t="s">
        <v>52</v>
      </c>
      <c r="N614" t="s">
        <v>40</v>
      </c>
      <c r="O614">
        <v>43</v>
      </c>
      <c r="Q614">
        <f t="shared" si="25"/>
        <v>2</v>
      </c>
      <c r="R614">
        <v>1</v>
      </c>
      <c r="S614">
        <v>0</v>
      </c>
      <c r="T614">
        <v>0</v>
      </c>
      <c r="U614">
        <v>2</v>
      </c>
      <c r="V614">
        <v>0</v>
      </c>
      <c r="W614">
        <v>0</v>
      </c>
      <c r="X614" s="21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f t="shared" si="24"/>
        <v>64</v>
      </c>
      <c r="AJ614" t="s">
        <v>54</v>
      </c>
      <c r="AK614" t="s">
        <v>95</v>
      </c>
      <c r="AL614" t="s">
        <v>345</v>
      </c>
      <c r="AP614" t="s">
        <v>116</v>
      </c>
    </row>
    <row r="615" spans="1:42">
      <c r="A615" s="12">
        <v>43852</v>
      </c>
      <c r="B615">
        <v>2</v>
      </c>
      <c r="C615">
        <v>212</v>
      </c>
      <c r="D615">
        <v>14473</v>
      </c>
      <c r="E615" t="s">
        <v>112</v>
      </c>
      <c r="F615" t="s">
        <v>104</v>
      </c>
      <c r="G615">
        <v>2</v>
      </c>
      <c r="H615">
        <v>132</v>
      </c>
      <c r="I615" s="25">
        <v>2511</v>
      </c>
      <c r="K615" s="21" t="s">
        <v>329</v>
      </c>
      <c r="L615" t="s">
        <v>141</v>
      </c>
      <c r="M615" t="s">
        <v>52</v>
      </c>
      <c r="N615" t="s">
        <v>40</v>
      </c>
      <c r="O615">
        <v>105</v>
      </c>
      <c r="Q615">
        <f t="shared" si="25"/>
        <v>2</v>
      </c>
      <c r="R615">
        <v>1</v>
      </c>
      <c r="S615">
        <v>1</v>
      </c>
      <c r="T615">
        <v>0</v>
      </c>
      <c r="U615">
        <v>1</v>
      </c>
      <c r="V615">
        <v>0</v>
      </c>
      <c r="W615">
        <v>0</v>
      </c>
      <c r="X615" s="21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f t="shared" si="24"/>
        <v>48</v>
      </c>
      <c r="AJ615" t="s">
        <v>54</v>
      </c>
      <c r="AK615" t="s">
        <v>95</v>
      </c>
      <c r="AL615" t="s">
        <v>347</v>
      </c>
      <c r="AP615" t="s">
        <v>116</v>
      </c>
    </row>
    <row r="616" spans="1:42">
      <c r="A616" s="12">
        <v>43852</v>
      </c>
      <c r="B616">
        <v>2</v>
      </c>
      <c r="C616">
        <v>212</v>
      </c>
      <c r="D616">
        <v>14473</v>
      </c>
      <c r="E616" t="s">
        <v>112</v>
      </c>
      <c r="F616" t="s">
        <v>104</v>
      </c>
      <c r="G616">
        <v>2</v>
      </c>
      <c r="H616">
        <v>133</v>
      </c>
      <c r="I616" s="25">
        <v>2536</v>
      </c>
      <c r="K616" s="21" t="s">
        <v>329</v>
      </c>
      <c r="L616" t="s">
        <v>114</v>
      </c>
      <c r="M616" t="s">
        <v>52</v>
      </c>
      <c r="N616" t="s">
        <v>40</v>
      </c>
      <c r="O616">
        <v>69</v>
      </c>
      <c r="Q616">
        <f t="shared" si="25"/>
        <v>1</v>
      </c>
      <c r="R616">
        <v>1</v>
      </c>
      <c r="S616">
        <v>0</v>
      </c>
      <c r="T616">
        <v>0</v>
      </c>
      <c r="U616">
        <v>1</v>
      </c>
      <c r="V616">
        <v>0</v>
      </c>
      <c r="W616">
        <v>0</v>
      </c>
      <c r="X616" s="21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f t="shared" si="24"/>
        <v>32</v>
      </c>
      <c r="AJ616" t="s">
        <v>54</v>
      </c>
      <c r="AK616" t="s">
        <v>52</v>
      </c>
      <c r="AL616" t="s">
        <v>345</v>
      </c>
      <c r="AP616" t="s">
        <v>116</v>
      </c>
    </row>
    <row r="617" spans="1:42">
      <c r="A617" s="12">
        <v>43852</v>
      </c>
      <c r="B617">
        <v>2</v>
      </c>
      <c r="C617">
        <v>212</v>
      </c>
      <c r="D617">
        <v>14473</v>
      </c>
      <c r="E617" t="s">
        <v>112</v>
      </c>
      <c r="F617" t="s">
        <v>104</v>
      </c>
      <c r="G617">
        <v>2</v>
      </c>
      <c r="H617">
        <v>134</v>
      </c>
      <c r="I617" s="25">
        <v>2546</v>
      </c>
      <c r="K617" s="21" t="s">
        <v>329</v>
      </c>
      <c r="L617" t="s">
        <v>114</v>
      </c>
      <c r="M617" t="s">
        <v>52</v>
      </c>
      <c r="N617" t="s">
        <v>44</v>
      </c>
      <c r="O617">
        <v>68</v>
      </c>
      <c r="Q617">
        <f t="shared" si="25"/>
        <v>1</v>
      </c>
      <c r="R617">
        <v>1</v>
      </c>
      <c r="S617">
        <v>0</v>
      </c>
      <c r="T617">
        <v>0</v>
      </c>
      <c r="U617">
        <v>0</v>
      </c>
      <c r="V617">
        <v>1</v>
      </c>
      <c r="W617">
        <v>0</v>
      </c>
      <c r="X617" s="21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f t="shared" si="24"/>
        <v>64</v>
      </c>
      <c r="AJ617" t="s">
        <v>54</v>
      </c>
      <c r="AK617" t="s">
        <v>52</v>
      </c>
      <c r="AL617" t="s">
        <v>348</v>
      </c>
      <c r="AP617" t="s">
        <v>116</v>
      </c>
    </row>
    <row r="618" spans="1:42">
      <c r="A618" s="12">
        <v>43852</v>
      </c>
      <c r="B618">
        <v>2</v>
      </c>
      <c r="C618">
        <v>212</v>
      </c>
      <c r="D618">
        <v>14473</v>
      </c>
      <c r="E618" t="s">
        <v>112</v>
      </c>
      <c r="F618" t="s">
        <v>104</v>
      </c>
      <c r="G618">
        <v>2</v>
      </c>
      <c r="H618">
        <v>135</v>
      </c>
      <c r="I618" s="25">
        <v>2552</v>
      </c>
      <c r="K618" s="21" t="s">
        <v>329</v>
      </c>
      <c r="L618" t="s">
        <v>114</v>
      </c>
      <c r="M618" t="s">
        <v>52</v>
      </c>
      <c r="N618" t="s">
        <v>40</v>
      </c>
      <c r="O618">
        <v>53</v>
      </c>
      <c r="Q618">
        <f t="shared" si="25"/>
        <v>2</v>
      </c>
      <c r="R618">
        <v>1</v>
      </c>
      <c r="S618">
        <v>1</v>
      </c>
      <c r="T618">
        <v>0</v>
      </c>
      <c r="U618">
        <v>1</v>
      </c>
      <c r="V618">
        <v>0</v>
      </c>
      <c r="W618">
        <v>0</v>
      </c>
      <c r="X618" s="21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f t="shared" si="24"/>
        <v>48</v>
      </c>
      <c r="AJ618" t="s">
        <v>54</v>
      </c>
      <c r="AK618" t="s">
        <v>52</v>
      </c>
      <c r="AL618" t="s">
        <v>345</v>
      </c>
      <c r="AP618" t="s">
        <v>116</v>
      </c>
    </row>
    <row r="619" spans="1:42">
      <c r="A619" s="12">
        <v>43852</v>
      </c>
      <c r="B619">
        <v>2</v>
      </c>
      <c r="C619">
        <v>212</v>
      </c>
      <c r="D619">
        <v>14473</v>
      </c>
      <c r="E619" t="s">
        <v>112</v>
      </c>
      <c r="F619" t="s">
        <v>104</v>
      </c>
      <c r="G619">
        <v>2</v>
      </c>
      <c r="H619">
        <v>136</v>
      </c>
      <c r="I619" s="25">
        <v>2630</v>
      </c>
      <c r="K619" s="21" t="s">
        <v>329</v>
      </c>
      <c r="L619" t="s">
        <v>114</v>
      </c>
      <c r="M619" t="s">
        <v>52</v>
      </c>
      <c r="N619" t="s">
        <v>40</v>
      </c>
      <c r="O619">
        <v>44</v>
      </c>
      <c r="Q619">
        <f t="shared" si="25"/>
        <v>2</v>
      </c>
      <c r="R619">
        <v>1</v>
      </c>
      <c r="S619">
        <v>0</v>
      </c>
      <c r="T619">
        <v>0</v>
      </c>
      <c r="U619">
        <v>1</v>
      </c>
      <c r="V619">
        <v>1</v>
      </c>
      <c r="W619">
        <v>0</v>
      </c>
      <c r="X619" s="21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f t="shared" si="24"/>
        <v>96</v>
      </c>
      <c r="AJ619" t="s">
        <v>54</v>
      </c>
      <c r="AK619" t="s">
        <v>52</v>
      </c>
      <c r="AL619" t="s">
        <v>345</v>
      </c>
      <c r="AP619" t="s">
        <v>116</v>
      </c>
    </row>
    <row r="620" spans="1:42">
      <c r="A620" s="12">
        <v>43852</v>
      </c>
      <c r="B620">
        <v>2</v>
      </c>
      <c r="C620">
        <v>212</v>
      </c>
      <c r="D620">
        <v>14473</v>
      </c>
      <c r="E620" t="s">
        <v>112</v>
      </c>
      <c r="F620" t="s">
        <v>104</v>
      </c>
      <c r="G620">
        <v>2</v>
      </c>
      <c r="H620">
        <v>137</v>
      </c>
      <c r="I620" s="25">
        <v>2638</v>
      </c>
      <c r="K620" s="21" t="s">
        <v>329</v>
      </c>
      <c r="L620" t="s">
        <v>114</v>
      </c>
      <c r="M620" t="s">
        <v>52</v>
      </c>
      <c r="N620" t="s">
        <v>40</v>
      </c>
      <c r="O620">
        <v>90</v>
      </c>
      <c r="Q620">
        <f t="shared" si="25"/>
        <v>2</v>
      </c>
      <c r="R620">
        <v>1</v>
      </c>
      <c r="S620">
        <v>0</v>
      </c>
      <c r="T620">
        <v>0</v>
      </c>
      <c r="U620">
        <v>0</v>
      </c>
      <c r="V620">
        <v>2</v>
      </c>
      <c r="W620">
        <v>0</v>
      </c>
      <c r="X620" s="21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f t="shared" si="24"/>
        <v>128</v>
      </c>
      <c r="AJ620" t="s">
        <v>54</v>
      </c>
      <c r="AK620" t="s">
        <v>52</v>
      </c>
      <c r="AL620" t="s">
        <v>349</v>
      </c>
      <c r="AP620" t="s">
        <v>116</v>
      </c>
    </row>
    <row r="621" spans="1:42">
      <c r="A621" s="12">
        <v>43852</v>
      </c>
      <c r="B621">
        <v>2</v>
      </c>
      <c r="C621">
        <v>212</v>
      </c>
      <c r="D621">
        <v>14473</v>
      </c>
      <c r="E621" t="s">
        <v>112</v>
      </c>
      <c r="F621" t="s">
        <v>104</v>
      </c>
      <c r="G621">
        <v>2</v>
      </c>
      <c r="H621">
        <v>138</v>
      </c>
      <c r="I621" s="25">
        <v>2640</v>
      </c>
      <c r="K621" s="21" t="s">
        <v>329</v>
      </c>
      <c r="L621" t="s">
        <v>114</v>
      </c>
      <c r="M621" t="s">
        <v>52</v>
      </c>
      <c r="N621" t="s">
        <v>40</v>
      </c>
      <c r="O621">
        <v>53</v>
      </c>
      <c r="Q621">
        <f t="shared" si="25"/>
        <v>2</v>
      </c>
      <c r="R621">
        <v>1</v>
      </c>
      <c r="S621">
        <v>0</v>
      </c>
      <c r="T621">
        <v>0</v>
      </c>
      <c r="U621">
        <v>0</v>
      </c>
      <c r="V621">
        <v>2</v>
      </c>
      <c r="W621">
        <v>0</v>
      </c>
      <c r="X621" s="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f t="shared" si="24"/>
        <v>128</v>
      </c>
      <c r="AJ621" t="s">
        <v>54</v>
      </c>
      <c r="AK621" t="s">
        <v>52</v>
      </c>
      <c r="AL621" t="s">
        <v>345</v>
      </c>
      <c r="AP621" t="s">
        <v>116</v>
      </c>
    </row>
    <row r="622" spans="1:42">
      <c r="A622" s="12">
        <v>43852</v>
      </c>
      <c r="B622">
        <v>2</v>
      </c>
      <c r="C622">
        <v>212</v>
      </c>
      <c r="D622">
        <v>14473</v>
      </c>
      <c r="E622" t="s">
        <v>112</v>
      </c>
      <c r="F622" t="s">
        <v>104</v>
      </c>
      <c r="G622">
        <v>2</v>
      </c>
      <c r="H622">
        <v>139</v>
      </c>
      <c r="I622" s="25">
        <v>2650</v>
      </c>
      <c r="K622" s="21" t="s">
        <v>329</v>
      </c>
      <c r="L622" t="s">
        <v>114</v>
      </c>
      <c r="M622" t="s">
        <v>52</v>
      </c>
      <c r="N622" t="s">
        <v>44</v>
      </c>
      <c r="O622">
        <v>77</v>
      </c>
      <c r="Q622">
        <f t="shared" si="25"/>
        <v>2</v>
      </c>
      <c r="R622">
        <v>1</v>
      </c>
      <c r="S622">
        <v>0</v>
      </c>
      <c r="T622">
        <v>0</v>
      </c>
      <c r="U622">
        <v>1</v>
      </c>
      <c r="V622">
        <v>1</v>
      </c>
      <c r="W622">
        <v>0</v>
      </c>
      <c r="X622" s="21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f t="shared" si="24"/>
        <v>96</v>
      </c>
      <c r="AJ622" t="s">
        <v>54</v>
      </c>
      <c r="AK622" t="s">
        <v>52</v>
      </c>
      <c r="AL622" t="s">
        <v>350</v>
      </c>
      <c r="AP622" t="s">
        <v>116</v>
      </c>
    </row>
    <row r="623" spans="1:42">
      <c r="A623" s="12">
        <v>43852</v>
      </c>
      <c r="B623">
        <v>2</v>
      </c>
      <c r="C623">
        <v>212</v>
      </c>
      <c r="D623">
        <v>14473</v>
      </c>
      <c r="E623" t="s">
        <v>112</v>
      </c>
      <c r="F623" t="s">
        <v>104</v>
      </c>
      <c r="G623">
        <v>2</v>
      </c>
      <c r="H623">
        <v>140</v>
      </c>
      <c r="I623" s="25" t="s">
        <v>351</v>
      </c>
      <c r="K623" s="21" t="s">
        <v>329</v>
      </c>
      <c r="L623" t="s">
        <v>114</v>
      </c>
      <c r="M623" t="s">
        <v>52</v>
      </c>
      <c r="N623" t="s">
        <v>44</v>
      </c>
      <c r="O623">
        <v>97</v>
      </c>
      <c r="Q623">
        <f t="shared" si="25"/>
        <v>1</v>
      </c>
      <c r="R623">
        <v>1</v>
      </c>
      <c r="S623">
        <v>0</v>
      </c>
      <c r="T623">
        <v>0</v>
      </c>
      <c r="U623">
        <v>0</v>
      </c>
      <c r="V623">
        <v>1</v>
      </c>
      <c r="W623">
        <v>0</v>
      </c>
      <c r="X623" s="21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f t="shared" si="24"/>
        <v>64</v>
      </c>
      <c r="AJ623" t="s">
        <v>54</v>
      </c>
      <c r="AK623" t="s">
        <v>52</v>
      </c>
      <c r="AL623" t="s">
        <v>352</v>
      </c>
      <c r="AP623" t="s">
        <v>116</v>
      </c>
    </row>
    <row r="624" spans="1:42">
      <c r="A624" s="12">
        <v>43852</v>
      </c>
      <c r="B624">
        <v>2</v>
      </c>
      <c r="C624">
        <v>212</v>
      </c>
      <c r="D624">
        <v>14473</v>
      </c>
      <c r="E624" t="s">
        <v>112</v>
      </c>
      <c r="F624" t="s">
        <v>104</v>
      </c>
      <c r="G624">
        <v>2</v>
      </c>
      <c r="H624">
        <v>141</v>
      </c>
      <c r="I624" s="25" t="s">
        <v>353</v>
      </c>
      <c r="K624" s="21" t="s">
        <v>329</v>
      </c>
      <c r="L624" t="s">
        <v>114</v>
      </c>
      <c r="M624" t="s">
        <v>52</v>
      </c>
      <c r="N624" t="s">
        <v>40</v>
      </c>
      <c r="O624">
        <v>84</v>
      </c>
      <c r="Q624">
        <f t="shared" si="25"/>
        <v>5</v>
      </c>
      <c r="R624">
        <v>1</v>
      </c>
      <c r="S624">
        <v>1</v>
      </c>
      <c r="T624">
        <v>0</v>
      </c>
      <c r="U624">
        <v>3</v>
      </c>
      <c r="V624">
        <v>1</v>
      </c>
      <c r="W624">
        <v>0</v>
      </c>
      <c r="X624" s="21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f t="shared" si="24"/>
        <v>176</v>
      </c>
      <c r="AJ624" t="s">
        <v>54</v>
      </c>
      <c r="AK624" t="s">
        <v>52</v>
      </c>
      <c r="AL624" t="s">
        <v>354</v>
      </c>
      <c r="AP624" t="s">
        <v>116</v>
      </c>
    </row>
    <row r="625" spans="1:42">
      <c r="A625" s="12">
        <v>43852</v>
      </c>
      <c r="B625">
        <v>2</v>
      </c>
      <c r="C625">
        <v>212</v>
      </c>
      <c r="D625">
        <v>14473</v>
      </c>
      <c r="E625" t="s">
        <v>112</v>
      </c>
      <c r="F625" t="s">
        <v>104</v>
      </c>
      <c r="G625">
        <v>2</v>
      </c>
      <c r="H625">
        <v>142</v>
      </c>
      <c r="I625" s="25">
        <v>2752</v>
      </c>
      <c r="K625" s="21" t="s">
        <v>329</v>
      </c>
      <c r="L625" t="s">
        <v>114</v>
      </c>
      <c r="M625" t="s">
        <v>52</v>
      </c>
      <c r="N625" t="s">
        <v>40</v>
      </c>
      <c r="O625">
        <v>37</v>
      </c>
      <c r="Q625">
        <f t="shared" si="25"/>
        <v>2</v>
      </c>
      <c r="R625">
        <v>1</v>
      </c>
      <c r="S625">
        <v>0</v>
      </c>
      <c r="T625">
        <v>0</v>
      </c>
      <c r="U625">
        <v>2</v>
      </c>
      <c r="V625">
        <v>0</v>
      </c>
      <c r="W625">
        <v>0</v>
      </c>
      <c r="X625" s="21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f t="shared" si="24"/>
        <v>64</v>
      </c>
      <c r="AJ625" t="s">
        <v>54</v>
      </c>
      <c r="AK625" t="s">
        <v>52</v>
      </c>
      <c r="AP625" t="s">
        <v>116</v>
      </c>
    </row>
    <row r="626" spans="1:42">
      <c r="A626" s="12">
        <v>43852</v>
      </c>
      <c r="B626">
        <v>2</v>
      </c>
      <c r="C626">
        <v>212</v>
      </c>
      <c r="D626">
        <v>14473</v>
      </c>
      <c r="E626" t="s">
        <v>112</v>
      </c>
      <c r="F626" t="s">
        <v>104</v>
      </c>
      <c r="G626">
        <v>2</v>
      </c>
      <c r="H626">
        <v>143</v>
      </c>
      <c r="I626" s="25" t="s">
        <v>355</v>
      </c>
      <c r="K626" s="21" t="s">
        <v>329</v>
      </c>
      <c r="L626" t="s">
        <v>114</v>
      </c>
      <c r="M626" t="s">
        <v>52</v>
      </c>
      <c r="N626" t="s">
        <v>40</v>
      </c>
      <c r="O626">
        <v>33</v>
      </c>
      <c r="Q626">
        <f t="shared" si="25"/>
        <v>2</v>
      </c>
      <c r="R626">
        <v>1</v>
      </c>
      <c r="S626">
        <v>0</v>
      </c>
      <c r="T626">
        <v>0</v>
      </c>
      <c r="U626">
        <v>2</v>
      </c>
      <c r="V626">
        <v>0</v>
      </c>
      <c r="W626">
        <v>0</v>
      </c>
      <c r="X626" s="21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f t="shared" si="24"/>
        <v>64</v>
      </c>
      <c r="AJ626" t="s">
        <v>54</v>
      </c>
      <c r="AK626" t="s">
        <v>52</v>
      </c>
      <c r="AP626" t="s">
        <v>116</v>
      </c>
    </row>
    <row r="627" spans="1:42">
      <c r="A627" s="12">
        <v>43852</v>
      </c>
      <c r="B627">
        <v>2</v>
      </c>
      <c r="C627">
        <v>212</v>
      </c>
      <c r="D627">
        <v>14473</v>
      </c>
      <c r="E627" t="s">
        <v>112</v>
      </c>
      <c r="F627" t="s">
        <v>104</v>
      </c>
      <c r="G627">
        <v>2</v>
      </c>
      <c r="H627">
        <v>144</v>
      </c>
      <c r="I627" s="25">
        <v>2722</v>
      </c>
      <c r="K627" t="s">
        <v>119</v>
      </c>
      <c r="L627" t="s">
        <v>114</v>
      </c>
      <c r="M627" t="s">
        <v>52</v>
      </c>
      <c r="N627" t="s">
        <v>40</v>
      </c>
      <c r="O627">
        <v>41</v>
      </c>
      <c r="Q627">
        <f t="shared" si="25"/>
        <v>2</v>
      </c>
      <c r="R627">
        <v>1</v>
      </c>
      <c r="S627">
        <v>1</v>
      </c>
      <c r="T627">
        <v>0</v>
      </c>
      <c r="U627">
        <v>1</v>
      </c>
      <c r="V627">
        <v>0</v>
      </c>
      <c r="W627">
        <v>0</v>
      </c>
      <c r="X627" s="21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f t="shared" si="24"/>
        <v>48</v>
      </c>
      <c r="AJ627" t="s">
        <v>51</v>
      </c>
      <c r="AK627" t="s">
        <v>52</v>
      </c>
      <c r="AP627" t="s">
        <v>116</v>
      </c>
    </row>
    <row r="628" spans="1:42">
      <c r="A628" s="12">
        <v>43852</v>
      </c>
      <c r="B628">
        <v>2</v>
      </c>
      <c r="C628">
        <v>212</v>
      </c>
      <c r="D628">
        <v>14473</v>
      </c>
      <c r="E628" t="s">
        <v>112</v>
      </c>
      <c r="F628" t="s">
        <v>104</v>
      </c>
      <c r="G628">
        <v>2</v>
      </c>
      <c r="H628">
        <v>145</v>
      </c>
      <c r="I628" s="25">
        <v>2728</v>
      </c>
      <c r="K628" t="s">
        <v>119</v>
      </c>
      <c r="L628" t="s">
        <v>114</v>
      </c>
      <c r="M628" t="s">
        <v>52</v>
      </c>
      <c r="N628" t="s">
        <v>40</v>
      </c>
      <c r="O628">
        <v>55</v>
      </c>
      <c r="Q628">
        <f t="shared" si="25"/>
        <v>2</v>
      </c>
      <c r="R628">
        <v>1</v>
      </c>
      <c r="S628">
        <v>1</v>
      </c>
      <c r="T628">
        <v>0</v>
      </c>
      <c r="U628">
        <v>1</v>
      </c>
      <c r="V628">
        <v>0</v>
      </c>
      <c r="W628">
        <v>0</v>
      </c>
      <c r="X628" s="21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f t="shared" si="24"/>
        <v>48</v>
      </c>
      <c r="AJ628" t="s">
        <v>51</v>
      </c>
      <c r="AK628" t="s">
        <v>52</v>
      </c>
      <c r="AP628" t="s">
        <v>116</v>
      </c>
    </row>
    <row r="629" spans="1:42">
      <c r="A629" s="12">
        <v>43852</v>
      </c>
      <c r="B629">
        <v>2</v>
      </c>
      <c r="C629">
        <v>212</v>
      </c>
      <c r="D629">
        <v>14473</v>
      </c>
      <c r="E629" t="s">
        <v>112</v>
      </c>
      <c r="F629" t="s">
        <v>104</v>
      </c>
      <c r="G629">
        <v>2</v>
      </c>
      <c r="H629">
        <v>146</v>
      </c>
      <c r="I629" s="25" t="s">
        <v>356</v>
      </c>
      <c r="K629" t="s">
        <v>119</v>
      </c>
      <c r="L629" t="s">
        <v>114</v>
      </c>
      <c r="M629" t="s">
        <v>52</v>
      </c>
      <c r="N629" t="s">
        <v>40</v>
      </c>
      <c r="O629">
        <v>34</v>
      </c>
      <c r="Q629">
        <f t="shared" si="25"/>
        <v>2</v>
      </c>
      <c r="R629">
        <v>1</v>
      </c>
      <c r="S629">
        <v>0</v>
      </c>
      <c r="T629">
        <v>0</v>
      </c>
      <c r="U629">
        <v>0</v>
      </c>
      <c r="V629">
        <v>2</v>
      </c>
      <c r="W629">
        <v>0</v>
      </c>
      <c r="X629" s="21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f t="shared" si="24"/>
        <v>128</v>
      </c>
      <c r="AJ629" t="s">
        <v>51</v>
      </c>
      <c r="AK629" t="s">
        <v>52</v>
      </c>
      <c r="AP629" t="s">
        <v>116</v>
      </c>
    </row>
    <row r="630" spans="1:42">
      <c r="A630" s="12">
        <v>43852</v>
      </c>
      <c r="B630">
        <v>2</v>
      </c>
      <c r="C630">
        <v>212</v>
      </c>
      <c r="D630">
        <v>14473</v>
      </c>
      <c r="E630" t="s">
        <v>112</v>
      </c>
      <c r="F630" t="s">
        <v>104</v>
      </c>
      <c r="G630">
        <v>2</v>
      </c>
      <c r="H630">
        <v>147</v>
      </c>
      <c r="I630" s="25" t="s">
        <v>357</v>
      </c>
      <c r="K630" t="s">
        <v>119</v>
      </c>
      <c r="L630" t="s">
        <v>114</v>
      </c>
      <c r="M630" t="s">
        <v>52</v>
      </c>
      <c r="N630" t="s">
        <v>40</v>
      </c>
      <c r="O630">
        <v>55</v>
      </c>
      <c r="Q630">
        <f t="shared" si="25"/>
        <v>3</v>
      </c>
      <c r="R630">
        <v>1</v>
      </c>
      <c r="S630">
        <v>0</v>
      </c>
      <c r="T630">
        <v>0</v>
      </c>
      <c r="U630">
        <v>3</v>
      </c>
      <c r="V630">
        <v>0</v>
      </c>
      <c r="W630">
        <v>0</v>
      </c>
      <c r="X630" s="21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f t="shared" si="24"/>
        <v>96</v>
      </c>
      <c r="AJ630" t="s">
        <v>51</v>
      </c>
      <c r="AK630" t="s">
        <v>52</v>
      </c>
      <c r="AP630" t="s">
        <v>116</v>
      </c>
    </row>
    <row r="631" spans="1:42">
      <c r="A631" s="12">
        <v>43852</v>
      </c>
      <c r="B631">
        <v>2</v>
      </c>
      <c r="C631">
        <v>212</v>
      </c>
      <c r="D631">
        <v>14473</v>
      </c>
      <c r="E631" t="s">
        <v>112</v>
      </c>
      <c r="F631" t="s">
        <v>104</v>
      </c>
      <c r="G631">
        <v>2</v>
      </c>
      <c r="H631">
        <v>148</v>
      </c>
      <c r="I631" s="25" t="s">
        <v>358</v>
      </c>
      <c r="K631" t="s">
        <v>119</v>
      </c>
      <c r="L631" t="s">
        <v>114</v>
      </c>
      <c r="M631" t="s">
        <v>52</v>
      </c>
      <c r="N631" t="s">
        <v>44</v>
      </c>
      <c r="O631">
        <v>198</v>
      </c>
      <c r="Q631">
        <f t="shared" si="25"/>
        <v>2</v>
      </c>
      <c r="R631">
        <v>1</v>
      </c>
      <c r="S631">
        <v>0</v>
      </c>
      <c r="T631">
        <v>0</v>
      </c>
      <c r="U631">
        <v>0</v>
      </c>
      <c r="V631">
        <v>1</v>
      </c>
      <c r="W631">
        <v>1</v>
      </c>
      <c r="X631" s="2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f t="shared" si="24"/>
        <v>160</v>
      </c>
      <c r="AJ631" t="s">
        <v>51</v>
      </c>
      <c r="AK631" t="s">
        <v>52</v>
      </c>
      <c r="AL631" t="s">
        <v>359</v>
      </c>
      <c r="AP631" t="s">
        <v>116</v>
      </c>
    </row>
    <row r="632" spans="1:42">
      <c r="A632" s="12">
        <v>43852</v>
      </c>
      <c r="B632">
        <v>2</v>
      </c>
      <c r="C632">
        <v>212</v>
      </c>
      <c r="D632">
        <v>14473</v>
      </c>
      <c r="E632" t="s">
        <v>112</v>
      </c>
      <c r="F632" t="s">
        <v>104</v>
      </c>
      <c r="G632">
        <v>2</v>
      </c>
      <c r="H632">
        <v>149</v>
      </c>
      <c r="I632" s="25" t="s">
        <v>360</v>
      </c>
      <c r="K632" t="s">
        <v>119</v>
      </c>
      <c r="L632" t="s">
        <v>114</v>
      </c>
      <c r="M632" t="s">
        <v>52</v>
      </c>
      <c r="N632" t="s">
        <v>40</v>
      </c>
      <c r="O632">
        <v>115</v>
      </c>
      <c r="Q632">
        <f t="shared" si="25"/>
        <v>6</v>
      </c>
      <c r="R632">
        <v>1</v>
      </c>
      <c r="S632">
        <v>1</v>
      </c>
      <c r="T632">
        <v>0</v>
      </c>
      <c r="U632">
        <v>3</v>
      </c>
      <c r="V632">
        <v>0</v>
      </c>
      <c r="W632">
        <v>2</v>
      </c>
      <c r="X632" s="21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f t="shared" si="24"/>
        <v>304</v>
      </c>
      <c r="AJ632" t="s">
        <v>51</v>
      </c>
      <c r="AK632" t="s">
        <v>52</v>
      </c>
      <c r="AP632" t="s">
        <v>116</v>
      </c>
    </row>
    <row r="633" spans="1:42">
      <c r="A633" s="12">
        <v>43852</v>
      </c>
      <c r="B633">
        <v>2</v>
      </c>
      <c r="C633">
        <v>212</v>
      </c>
      <c r="D633">
        <v>14473</v>
      </c>
      <c r="E633" t="s">
        <v>112</v>
      </c>
      <c r="F633" t="s">
        <v>104</v>
      </c>
      <c r="G633">
        <v>2</v>
      </c>
      <c r="H633">
        <v>150</v>
      </c>
      <c r="I633" s="25" t="s">
        <v>361</v>
      </c>
      <c r="K633" t="s">
        <v>119</v>
      </c>
      <c r="L633" t="s">
        <v>114</v>
      </c>
      <c r="M633" t="s">
        <v>52</v>
      </c>
      <c r="N633" t="s">
        <v>40</v>
      </c>
      <c r="O633">
        <v>66</v>
      </c>
      <c r="Q633">
        <f t="shared" si="25"/>
        <v>4</v>
      </c>
      <c r="R633">
        <v>1</v>
      </c>
      <c r="S633">
        <v>1</v>
      </c>
      <c r="T633">
        <v>0</v>
      </c>
      <c r="U633">
        <v>2</v>
      </c>
      <c r="V633">
        <v>1</v>
      </c>
      <c r="W633">
        <v>0</v>
      </c>
      <c r="X633" s="21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f t="shared" si="24"/>
        <v>144</v>
      </c>
      <c r="AJ633" t="s">
        <v>51</v>
      </c>
      <c r="AK633" t="s">
        <v>52</v>
      </c>
      <c r="AP633" t="s">
        <v>116</v>
      </c>
    </row>
    <row r="634" spans="1:42">
      <c r="A634" s="12">
        <v>43852</v>
      </c>
      <c r="B634">
        <v>2</v>
      </c>
      <c r="C634">
        <v>212</v>
      </c>
      <c r="D634">
        <v>14473</v>
      </c>
      <c r="E634" t="s">
        <v>112</v>
      </c>
      <c r="F634" t="s">
        <v>104</v>
      </c>
      <c r="G634">
        <v>2</v>
      </c>
      <c r="H634">
        <v>151</v>
      </c>
      <c r="I634" s="25" t="s">
        <v>362</v>
      </c>
      <c r="K634" t="s">
        <v>119</v>
      </c>
      <c r="L634" t="s">
        <v>114</v>
      </c>
      <c r="M634" t="s">
        <v>52</v>
      </c>
      <c r="N634" t="s">
        <v>40</v>
      </c>
      <c r="O634">
        <v>72</v>
      </c>
      <c r="Q634">
        <f t="shared" si="25"/>
        <v>3</v>
      </c>
      <c r="R634">
        <v>1</v>
      </c>
      <c r="S634">
        <v>1</v>
      </c>
      <c r="T634">
        <v>0</v>
      </c>
      <c r="U634">
        <v>1</v>
      </c>
      <c r="V634">
        <v>1</v>
      </c>
      <c r="W634">
        <v>0</v>
      </c>
      <c r="X634" s="21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f t="shared" si="24"/>
        <v>112</v>
      </c>
      <c r="AJ634" t="s">
        <v>51</v>
      </c>
      <c r="AK634" t="s">
        <v>52</v>
      </c>
      <c r="AP634" t="s">
        <v>116</v>
      </c>
    </row>
    <row r="635" spans="1:42">
      <c r="A635" s="12">
        <v>43852</v>
      </c>
      <c r="B635">
        <v>2</v>
      </c>
      <c r="C635">
        <v>212</v>
      </c>
      <c r="D635">
        <v>14473</v>
      </c>
      <c r="E635" t="s">
        <v>112</v>
      </c>
      <c r="F635" t="s">
        <v>104</v>
      </c>
      <c r="G635">
        <v>2</v>
      </c>
      <c r="H635">
        <v>152</v>
      </c>
      <c r="I635" s="25">
        <v>2846</v>
      </c>
      <c r="K635" t="s">
        <v>119</v>
      </c>
      <c r="L635" t="s">
        <v>114</v>
      </c>
      <c r="M635" t="s">
        <v>52</v>
      </c>
      <c r="N635" t="s">
        <v>40</v>
      </c>
      <c r="O635">
        <v>38</v>
      </c>
      <c r="Q635">
        <f t="shared" si="25"/>
        <v>2</v>
      </c>
      <c r="R635">
        <v>1</v>
      </c>
      <c r="S635">
        <v>0</v>
      </c>
      <c r="T635">
        <v>0</v>
      </c>
      <c r="U635">
        <v>0</v>
      </c>
      <c r="V635">
        <v>2</v>
      </c>
      <c r="W635">
        <v>0</v>
      </c>
      <c r="X635" s="21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f t="shared" ref="AH635:AH663" si="26">(S635*16+(T635*32)+(U635*32)+(V635*64)+(W635*96))</f>
        <v>128</v>
      </c>
      <c r="AJ635" t="s">
        <v>51</v>
      </c>
      <c r="AK635" t="s">
        <v>52</v>
      </c>
      <c r="AP635" t="s">
        <v>116</v>
      </c>
    </row>
    <row r="636" spans="1:42">
      <c r="A636" s="12">
        <v>43852</v>
      </c>
      <c r="B636">
        <v>2</v>
      </c>
      <c r="C636">
        <v>212</v>
      </c>
      <c r="D636">
        <v>14473</v>
      </c>
      <c r="E636" t="s">
        <v>112</v>
      </c>
      <c r="F636" t="s">
        <v>104</v>
      </c>
      <c r="G636">
        <v>2</v>
      </c>
      <c r="H636">
        <v>153</v>
      </c>
      <c r="I636" s="25">
        <v>2854</v>
      </c>
      <c r="K636" t="s">
        <v>119</v>
      </c>
      <c r="L636" t="s">
        <v>114</v>
      </c>
      <c r="M636" t="s">
        <v>52</v>
      </c>
      <c r="N636" t="s">
        <v>40</v>
      </c>
      <c r="O636">
        <v>38</v>
      </c>
      <c r="Q636">
        <f t="shared" si="25"/>
        <v>2</v>
      </c>
      <c r="R636">
        <v>1</v>
      </c>
      <c r="S636">
        <v>1</v>
      </c>
      <c r="T636">
        <v>0</v>
      </c>
      <c r="U636">
        <v>1</v>
      </c>
      <c r="V636">
        <v>0</v>
      </c>
      <c r="W636">
        <v>0</v>
      </c>
      <c r="X636" s="21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f t="shared" si="26"/>
        <v>48</v>
      </c>
      <c r="AJ636" t="s">
        <v>51</v>
      </c>
      <c r="AK636" t="s">
        <v>52</v>
      </c>
      <c r="AP636" t="s">
        <v>116</v>
      </c>
    </row>
    <row r="637" spans="1:42">
      <c r="A637" s="12">
        <v>43852</v>
      </c>
      <c r="B637">
        <v>2</v>
      </c>
      <c r="C637">
        <v>212</v>
      </c>
      <c r="D637">
        <v>14473</v>
      </c>
      <c r="E637" t="s">
        <v>112</v>
      </c>
      <c r="F637" t="s">
        <v>104</v>
      </c>
      <c r="G637">
        <v>2</v>
      </c>
      <c r="H637">
        <v>154</v>
      </c>
      <c r="I637" s="25">
        <v>2860</v>
      </c>
      <c r="K637" t="s">
        <v>119</v>
      </c>
      <c r="L637" t="s">
        <v>114</v>
      </c>
      <c r="M637" t="s">
        <v>52</v>
      </c>
      <c r="N637" t="s">
        <v>40</v>
      </c>
      <c r="O637">
        <v>42</v>
      </c>
      <c r="Q637">
        <f t="shared" si="25"/>
        <v>1</v>
      </c>
      <c r="R637">
        <v>1</v>
      </c>
      <c r="S637">
        <v>0</v>
      </c>
      <c r="T637">
        <v>0</v>
      </c>
      <c r="U637">
        <v>1</v>
      </c>
      <c r="V637">
        <v>0</v>
      </c>
      <c r="W637">
        <v>0</v>
      </c>
      <c r="X637" s="21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f t="shared" si="26"/>
        <v>32</v>
      </c>
      <c r="AJ637" t="s">
        <v>51</v>
      </c>
      <c r="AK637" t="s">
        <v>52</v>
      </c>
      <c r="AP637" t="s">
        <v>116</v>
      </c>
    </row>
    <row r="638" spans="1:42">
      <c r="A638" s="12">
        <v>43852</v>
      </c>
      <c r="B638">
        <v>2</v>
      </c>
      <c r="C638">
        <v>212</v>
      </c>
      <c r="D638">
        <v>14473</v>
      </c>
      <c r="E638" t="s">
        <v>112</v>
      </c>
      <c r="F638" t="s">
        <v>104</v>
      </c>
      <c r="G638">
        <v>2</v>
      </c>
      <c r="H638">
        <v>155</v>
      </c>
      <c r="I638" s="25">
        <v>2872</v>
      </c>
      <c r="K638" t="s">
        <v>119</v>
      </c>
      <c r="L638" t="s">
        <v>114</v>
      </c>
      <c r="M638" t="s">
        <v>52</v>
      </c>
      <c r="N638" t="s">
        <v>40</v>
      </c>
      <c r="O638">
        <v>34</v>
      </c>
      <c r="Q638">
        <f t="shared" si="25"/>
        <v>2</v>
      </c>
      <c r="R638">
        <v>1</v>
      </c>
      <c r="S638">
        <v>0</v>
      </c>
      <c r="T638">
        <v>0</v>
      </c>
      <c r="U638">
        <v>0</v>
      </c>
      <c r="V638">
        <v>2</v>
      </c>
      <c r="W638">
        <v>0</v>
      </c>
      <c r="X638" s="21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f t="shared" si="26"/>
        <v>128</v>
      </c>
      <c r="AJ638" t="s">
        <v>51</v>
      </c>
      <c r="AK638" t="s">
        <v>52</v>
      </c>
      <c r="AP638" t="s">
        <v>116</v>
      </c>
    </row>
    <row r="639" spans="1:42">
      <c r="A639" s="12">
        <v>43852</v>
      </c>
      <c r="B639">
        <v>2</v>
      </c>
      <c r="C639">
        <v>212</v>
      </c>
      <c r="D639">
        <v>14473</v>
      </c>
      <c r="E639" t="s">
        <v>112</v>
      </c>
      <c r="F639" t="s">
        <v>104</v>
      </c>
      <c r="G639">
        <v>2</v>
      </c>
      <c r="H639">
        <v>156</v>
      </c>
      <c r="I639" s="25" t="s">
        <v>363</v>
      </c>
      <c r="K639" t="s">
        <v>364</v>
      </c>
      <c r="L639" t="s">
        <v>114</v>
      </c>
      <c r="M639" t="s">
        <v>52</v>
      </c>
      <c r="N639" t="s">
        <v>40</v>
      </c>
      <c r="O639">
        <v>42</v>
      </c>
      <c r="Q639">
        <f t="shared" si="25"/>
        <v>2</v>
      </c>
      <c r="R639">
        <v>1</v>
      </c>
      <c r="S639">
        <v>0</v>
      </c>
      <c r="T639">
        <v>0</v>
      </c>
      <c r="U639">
        <v>1</v>
      </c>
      <c r="V639">
        <v>1</v>
      </c>
      <c r="W639">
        <v>0</v>
      </c>
      <c r="X639" s="21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f t="shared" si="26"/>
        <v>96</v>
      </c>
      <c r="AJ639" t="s">
        <v>51</v>
      </c>
      <c r="AK639" t="s">
        <v>52</v>
      </c>
      <c r="AL639" t="s">
        <v>365</v>
      </c>
      <c r="AP639" t="s">
        <v>116</v>
      </c>
    </row>
    <row r="640" spans="1:42">
      <c r="A640" s="12">
        <v>43852</v>
      </c>
      <c r="B640">
        <v>2</v>
      </c>
      <c r="C640">
        <v>212</v>
      </c>
      <c r="D640">
        <v>14473</v>
      </c>
      <c r="E640" t="s">
        <v>112</v>
      </c>
      <c r="F640" t="s">
        <v>104</v>
      </c>
      <c r="G640">
        <v>2</v>
      </c>
      <c r="H640">
        <v>157</v>
      </c>
      <c r="I640" s="25">
        <v>2626</v>
      </c>
      <c r="K640" t="s">
        <v>319</v>
      </c>
      <c r="L640" t="s">
        <v>114</v>
      </c>
      <c r="M640" t="s">
        <v>52</v>
      </c>
      <c r="N640" t="s">
        <v>40</v>
      </c>
      <c r="O640">
        <v>38</v>
      </c>
      <c r="Q640">
        <f t="shared" si="25"/>
        <v>1</v>
      </c>
      <c r="R640">
        <v>1</v>
      </c>
      <c r="S640">
        <v>0</v>
      </c>
      <c r="T640">
        <v>0</v>
      </c>
      <c r="U640">
        <v>1</v>
      </c>
      <c r="V640">
        <v>0</v>
      </c>
      <c r="W640">
        <v>0</v>
      </c>
      <c r="X640" s="21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f t="shared" si="26"/>
        <v>32</v>
      </c>
      <c r="AJ640" t="s">
        <v>51</v>
      </c>
      <c r="AK640" t="s">
        <v>52</v>
      </c>
      <c r="AP640" t="s">
        <v>116</v>
      </c>
    </row>
    <row r="641" spans="1:42">
      <c r="A641" s="12">
        <v>43852</v>
      </c>
      <c r="B641">
        <v>2</v>
      </c>
      <c r="C641">
        <v>212</v>
      </c>
      <c r="D641">
        <v>14473</v>
      </c>
      <c r="E641" t="s">
        <v>112</v>
      </c>
      <c r="F641" t="s">
        <v>104</v>
      </c>
      <c r="G641">
        <v>2</v>
      </c>
      <c r="H641">
        <v>158</v>
      </c>
      <c r="I641" s="25">
        <v>2640</v>
      </c>
      <c r="K641" t="s">
        <v>319</v>
      </c>
      <c r="L641" t="s">
        <v>114</v>
      </c>
      <c r="M641" t="s">
        <v>52</v>
      </c>
      <c r="N641" t="s">
        <v>40</v>
      </c>
      <c r="O641">
        <v>39</v>
      </c>
      <c r="Q641">
        <f t="shared" si="25"/>
        <v>2</v>
      </c>
      <c r="R641">
        <v>1</v>
      </c>
      <c r="S641">
        <v>1</v>
      </c>
      <c r="T641">
        <v>0</v>
      </c>
      <c r="U641">
        <v>1</v>
      </c>
      <c r="V641">
        <v>0</v>
      </c>
      <c r="W641">
        <v>0</v>
      </c>
      <c r="X641" s="2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f t="shared" si="26"/>
        <v>48</v>
      </c>
      <c r="AJ641" t="s">
        <v>51</v>
      </c>
      <c r="AK641" t="s">
        <v>52</v>
      </c>
      <c r="AP641" t="s">
        <v>116</v>
      </c>
    </row>
    <row r="642" spans="1:42">
      <c r="A642" s="12">
        <v>43852</v>
      </c>
      <c r="B642">
        <v>2</v>
      </c>
      <c r="C642">
        <v>212</v>
      </c>
      <c r="D642">
        <v>14473</v>
      </c>
      <c r="E642" t="s">
        <v>112</v>
      </c>
      <c r="F642" t="s">
        <v>104</v>
      </c>
      <c r="G642">
        <v>2</v>
      </c>
      <c r="H642">
        <v>159</v>
      </c>
      <c r="I642" s="25">
        <v>2656</v>
      </c>
      <c r="K642" t="s">
        <v>319</v>
      </c>
      <c r="L642" t="s">
        <v>114</v>
      </c>
      <c r="M642" t="s">
        <v>52</v>
      </c>
      <c r="N642" t="s">
        <v>40</v>
      </c>
      <c r="O642">
        <v>42</v>
      </c>
      <c r="Q642">
        <f t="shared" si="25"/>
        <v>2</v>
      </c>
      <c r="R642">
        <v>1</v>
      </c>
      <c r="S642">
        <v>0</v>
      </c>
      <c r="T642">
        <v>1</v>
      </c>
      <c r="U642">
        <v>1</v>
      </c>
      <c r="V642">
        <v>0</v>
      </c>
      <c r="W642">
        <v>0</v>
      </c>
      <c r="X642" s="21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f t="shared" si="26"/>
        <v>64</v>
      </c>
      <c r="AJ642" t="s">
        <v>51</v>
      </c>
      <c r="AK642" t="s">
        <v>52</v>
      </c>
      <c r="AP642" t="s">
        <v>116</v>
      </c>
    </row>
    <row r="643" spans="1:42">
      <c r="A643" s="12">
        <v>43852</v>
      </c>
      <c r="B643">
        <v>2</v>
      </c>
      <c r="C643">
        <v>212</v>
      </c>
      <c r="D643">
        <v>14473</v>
      </c>
      <c r="E643" t="s">
        <v>112</v>
      </c>
      <c r="F643" t="s">
        <v>104</v>
      </c>
      <c r="G643">
        <v>2</v>
      </c>
      <c r="H643">
        <v>160</v>
      </c>
      <c r="I643" s="25">
        <v>2700</v>
      </c>
      <c r="K643" t="s">
        <v>319</v>
      </c>
      <c r="L643" t="s">
        <v>114</v>
      </c>
      <c r="M643" t="s">
        <v>52</v>
      </c>
      <c r="N643" t="s">
        <v>40</v>
      </c>
      <c r="O643">
        <v>36</v>
      </c>
      <c r="Q643">
        <f t="shared" si="25"/>
        <v>2</v>
      </c>
      <c r="R643">
        <v>1</v>
      </c>
      <c r="S643">
        <v>0</v>
      </c>
      <c r="T643">
        <v>0</v>
      </c>
      <c r="U643">
        <v>1</v>
      </c>
      <c r="V643">
        <v>1</v>
      </c>
      <c r="W643">
        <v>0</v>
      </c>
      <c r="X643" s="21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f t="shared" si="26"/>
        <v>96</v>
      </c>
      <c r="AJ643" t="s">
        <v>54</v>
      </c>
      <c r="AK643" t="s">
        <v>52</v>
      </c>
      <c r="AP643" t="s">
        <v>116</v>
      </c>
    </row>
    <row r="644" spans="1:42">
      <c r="A644" s="12">
        <v>43852</v>
      </c>
      <c r="B644">
        <v>2</v>
      </c>
      <c r="C644">
        <v>212</v>
      </c>
      <c r="D644">
        <v>14473</v>
      </c>
      <c r="E644" t="s">
        <v>112</v>
      </c>
      <c r="F644" t="s">
        <v>104</v>
      </c>
      <c r="G644">
        <v>2</v>
      </c>
      <c r="H644">
        <v>161</v>
      </c>
      <c r="I644" s="25">
        <v>2724</v>
      </c>
      <c r="K644" t="s">
        <v>319</v>
      </c>
      <c r="L644" t="s">
        <v>114</v>
      </c>
      <c r="M644" t="s">
        <v>52</v>
      </c>
      <c r="N644" t="s">
        <v>40</v>
      </c>
      <c r="O644">
        <v>48</v>
      </c>
      <c r="Q644">
        <f t="shared" si="25"/>
        <v>3</v>
      </c>
      <c r="R644">
        <v>1</v>
      </c>
      <c r="S644">
        <v>0</v>
      </c>
      <c r="T644">
        <v>0</v>
      </c>
      <c r="U644">
        <v>3</v>
      </c>
      <c r="V644">
        <v>0</v>
      </c>
      <c r="W644">
        <v>0</v>
      </c>
      <c r="X644" s="21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f t="shared" si="26"/>
        <v>96</v>
      </c>
      <c r="AJ644" t="s">
        <v>51</v>
      </c>
      <c r="AK644" t="s">
        <v>52</v>
      </c>
      <c r="AL644" t="s">
        <v>366</v>
      </c>
      <c r="AP644" t="s">
        <v>116</v>
      </c>
    </row>
    <row r="645" spans="1:42">
      <c r="A645" s="12">
        <v>43852</v>
      </c>
      <c r="B645">
        <v>2</v>
      </c>
      <c r="C645">
        <v>212</v>
      </c>
      <c r="D645">
        <v>14473</v>
      </c>
      <c r="E645" t="s">
        <v>112</v>
      </c>
      <c r="F645" t="s">
        <v>104</v>
      </c>
      <c r="G645">
        <v>2</v>
      </c>
      <c r="H645">
        <v>162</v>
      </c>
      <c r="I645" s="25">
        <v>2730</v>
      </c>
      <c r="K645" t="s">
        <v>319</v>
      </c>
      <c r="L645" t="s">
        <v>114</v>
      </c>
      <c r="M645" t="s">
        <v>52</v>
      </c>
      <c r="N645" t="s">
        <v>40</v>
      </c>
      <c r="O645">
        <v>37</v>
      </c>
      <c r="Q645">
        <f t="shared" si="25"/>
        <v>2</v>
      </c>
      <c r="R645">
        <v>1</v>
      </c>
      <c r="S645">
        <v>0</v>
      </c>
      <c r="T645">
        <v>0</v>
      </c>
      <c r="U645">
        <v>2</v>
      </c>
      <c r="V645">
        <v>0</v>
      </c>
      <c r="W645">
        <v>0</v>
      </c>
      <c r="X645" s="21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f t="shared" si="26"/>
        <v>64</v>
      </c>
      <c r="AJ645" t="s">
        <v>51</v>
      </c>
      <c r="AK645" t="s">
        <v>52</v>
      </c>
      <c r="AP645" t="s">
        <v>116</v>
      </c>
    </row>
    <row r="646" spans="1:42">
      <c r="A646" s="12">
        <v>43852</v>
      </c>
      <c r="B646">
        <v>2</v>
      </c>
      <c r="C646">
        <v>212</v>
      </c>
      <c r="D646">
        <v>14473</v>
      </c>
      <c r="E646" t="s">
        <v>112</v>
      </c>
      <c r="F646" t="s">
        <v>104</v>
      </c>
      <c r="G646">
        <v>2</v>
      </c>
      <c r="H646">
        <v>163</v>
      </c>
      <c r="I646" s="25">
        <v>2740</v>
      </c>
      <c r="K646" t="s">
        <v>319</v>
      </c>
      <c r="L646" t="s">
        <v>114</v>
      </c>
      <c r="M646" t="s">
        <v>52</v>
      </c>
      <c r="N646" t="s">
        <v>40</v>
      </c>
      <c r="O646">
        <v>40</v>
      </c>
      <c r="Q646">
        <f t="shared" si="25"/>
        <v>2</v>
      </c>
      <c r="R646">
        <v>1</v>
      </c>
      <c r="S646">
        <v>1</v>
      </c>
      <c r="T646">
        <v>0</v>
      </c>
      <c r="U646">
        <v>1</v>
      </c>
      <c r="V646">
        <v>0</v>
      </c>
      <c r="W646">
        <v>0</v>
      </c>
      <c r="X646" s="21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f t="shared" si="26"/>
        <v>48</v>
      </c>
      <c r="AJ646" t="s">
        <v>51</v>
      </c>
      <c r="AK646" t="s">
        <v>52</v>
      </c>
      <c r="AP646" t="s">
        <v>116</v>
      </c>
    </row>
    <row r="647" spans="1:42">
      <c r="A647" s="12">
        <v>43852</v>
      </c>
      <c r="B647">
        <v>2</v>
      </c>
      <c r="C647">
        <v>212</v>
      </c>
      <c r="D647">
        <v>14473</v>
      </c>
      <c r="E647" t="s">
        <v>112</v>
      </c>
      <c r="F647" t="s">
        <v>104</v>
      </c>
      <c r="G647">
        <v>2</v>
      </c>
      <c r="H647">
        <v>164</v>
      </c>
      <c r="I647" s="25">
        <v>2750</v>
      </c>
      <c r="K647" t="s">
        <v>319</v>
      </c>
      <c r="L647" t="s">
        <v>114</v>
      </c>
      <c r="M647" t="s">
        <v>52</v>
      </c>
      <c r="N647" t="s">
        <v>40</v>
      </c>
      <c r="O647">
        <v>34</v>
      </c>
      <c r="Q647">
        <f t="shared" si="25"/>
        <v>2</v>
      </c>
      <c r="R647">
        <v>1</v>
      </c>
      <c r="S647">
        <v>0</v>
      </c>
      <c r="T647">
        <v>0</v>
      </c>
      <c r="U647">
        <v>1</v>
      </c>
      <c r="V647">
        <v>1</v>
      </c>
      <c r="W647">
        <v>0</v>
      </c>
      <c r="X647" s="21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f t="shared" si="26"/>
        <v>96</v>
      </c>
      <c r="AJ647" t="s">
        <v>51</v>
      </c>
      <c r="AK647" t="s">
        <v>52</v>
      </c>
      <c r="AP647" t="s">
        <v>116</v>
      </c>
    </row>
    <row r="648" spans="1:42">
      <c r="A648" s="12">
        <v>43852</v>
      </c>
      <c r="B648">
        <v>2</v>
      </c>
      <c r="C648">
        <v>212</v>
      </c>
      <c r="D648">
        <v>14473</v>
      </c>
      <c r="E648" t="s">
        <v>112</v>
      </c>
      <c r="F648" t="s">
        <v>104</v>
      </c>
      <c r="G648">
        <v>2</v>
      </c>
      <c r="H648">
        <v>165</v>
      </c>
      <c r="I648" s="25">
        <v>2770</v>
      </c>
      <c r="K648" t="s">
        <v>319</v>
      </c>
      <c r="L648" t="s">
        <v>114</v>
      </c>
      <c r="M648" t="s">
        <v>52</v>
      </c>
      <c r="N648" t="s">
        <v>40</v>
      </c>
      <c r="O648">
        <v>45</v>
      </c>
      <c r="Q648">
        <f t="shared" si="25"/>
        <v>2</v>
      </c>
      <c r="R648">
        <v>1</v>
      </c>
      <c r="S648">
        <v>1</v>
      </c>
      <c r="T648">
        <v>0</v>
      </c>
      <c r="U648">
        <v>1</v>
      </c>
      <c r="V648">
        <v>0</v>
      </c>
      <c r="W648">
        <v>0</v>
      </c>
      <c r="X648" s="21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f t="shared" si="26"/>
        <v>48</v>
      </c>
      <c r="AJ648" t="s">
        <v>51</v>
      </c>
      <c r="AK648" t="s">
        <v>52</v>
      </c>
      <c r="AP648" t="s">
        <v>116</v>
      </c>
    </row>
    <row r="649" spans="1:42">
      <c r="A649" s="12">
        <v>43852</v>
      </c>
      <c r="B649">
        <v>2</v>
      </c>
      <c r="C649">
        <v>212</v>
      </c>
      <c r="D649">
        <v>14473</v>
      </c>
      <c r="E649" t="s">
        <v>112</v>
      </c>
      <c r="F649" t="s">
        <v>104</v>
      </c>
      <c r="G649">
        <v>2</v>
      </c>
      <c r="H649">
        <v>166</v>
      </c>
      <c r="I649" s="25" t="s">
        <v>367</v>
      </c>
      <c r="K649" t="s">
        <v>319</v>
      </c>
      <c r="L649" t="s">
        <v>141</v>
      </c>
      <c r="M649" t="s">
        <v>52</v>
      </c>
      <c r="N649" t="s">
        <v>42</v>
      </c>
      <c r="O649">
        <v>241</v>
      </c>
      <c r="Q649">
        <f t="shared" si="25"/>
        <v>6</v>
      </c>
      <c r="R649">
        <v>1</v>
      </c>
      <c r="S649">
        <v>0</v>
      </c>
      <c r="T649">
        <v>0</v>
      </c>
      <c r="U649">
        <v>2</v>
      </c>
      <c r="V649">
        <v>3</v>
      </c>
      <c r="W649">
        <v>1</v>
      </c>
      <c r="X649" s="21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f t="shared" si="26"/>
        <v>352</v>
      </c>
      <c r="AJ649" t="s">
        <v>51</v>
      </c>
      <c r="AK649" t="s">
        <v>52</v>
      </c>
      <c r="AL649" t="s">
        <v>368</v>
      </c>
      <c r="AP649" t="s">
        <v>116</v>
      </c>
    </row>
    <row r="650" spans="1:42">
      <c r="A650" s="12">
        <v>43852</v>
      </c>
      <c r="B650">
        <v>2</v>
      </c>
      <c r="C650">
        <v>212</v>
      </c>
      <c r="D650">
        <v>14473</v>
      </c>
      <c r="E650" t="s">
        <v>112</v>
      </c>
      <c r="F650" t="s">
        <v>104</v>
      </c>
      <c r="G650">
        <v>2</v>
      </c>
      <c r="H650">
        <v>167</v>
      </c>
      <c r="I650" s="25" t="s">
        <v>369</v>
      </c>
      <c r="K650" t="s">
        <v>319</v>
      </c>
      <c r="L650" t="s">
        <v>141</v>
      </c>
      <c r="M650" t="s">
        <v>52</v>
      </c>
      <c r="N650" t="s">
        <v>40</v>
      </c>
      <c r="O650">
        <v>327</v>
      </c>
      <c r="Q650">
        <f t="shared" si="25"/>
        <v>5</v>
      </c>
      <c r="R650">
        <v>1</v>
      </c>
      <c r="S650">
        <v>0</v>
      </c>
      <c r="T650">
        <v>0</v>
      </c>
      <c r="U650">
        <v>4</v>
      </c>
      <c r="V650">
        <v>1</v>
      </c>
      <c r="W650">
        <v>0</v>
      </c>
      <c r="X650" s="21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f t="shared" si="26"/>
        <v>192</v>
      </c>
      <c r="AJ650" t="s">
        <v>54</v>
      </c>
      <c r="AK650" t="s">
        <v>52</v>
      </c>
      <c r="AL650" t="s">
        <v>370</v>
      </c>
      <c r="AP650" t="s">
        <v>116</v>
      </c>
    </row>
    <row r="651" spans="1:42">
      <c r="A651" s="12">
        <v>43852</v>
      </c>
      <c r="B651">
        <v>2</v>
      </c>
      <c r="C651">
        <v>212</v>
      </c>
      <c r="D651">
        <v>14473</v>
      </c>
      <c r="E651" t="s">
        <v>112</v>
      </c>
      <c r="F651" t="s">
        <v>104</v>
      </c>
      <c r="G651">
        <v>2</v>
      </c>
      <c r="H651">
        <v>168</v>
      </c>
      <c r="I651" s="25" t="s">
        <v>371</v>
      </c>
      <c r="K651" t="s">
        <v>119</v>
      </c>
      <c r="L651" t="s">
        <v>141</v>
      </c>
      <c r="M651" t="s">
        <v>52</v>
      </c>
      <c r="N651" t="s">
        <v>40</v>
      </c>
      <c r="O651">
        <v>70</v>
      </c>
      <c r="Q651">
        <f t="shared" si="25"/>
        <v>4</v>
      </c>
      <c r="R651">
        <v>1</v>
      </c>
      <c r="S651">
        <v>0</v>
      </c>
      <c r="T651">
        <v>0</v>
      </c>
      <c r="U651">
        <v>2</v>
      </c>
      <c r="V651">
        <v>2</v>
      </c>
      <c r="W651">
        <v>0</v>
      </c>
      <c r="X651" s="2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f t="shared" si="26"/>
        <v>192</v>
      </c>
      <c r="AJ651" t="s">
        <v>51</v>
      </c>
      <c r="AK651" t="s">
        <v>52</v>
      </c>
      <c r="AP651" t="s">
        <v>116</v>
      </c>
    </row>
    <row r="652" spans="1:42">
      <c r="A652" s="12">
        <v>43852</v>
      </c>
      <c r="B652">
        <v>2</v>
      </c>
      <c r="C652">
        <v>212</v>
      </c>
      <c r="D652">
        <v>14473</v>
      </c>
      <c r="E652" t="s">
        <v>112</v>
      </c>
      <c r="F652" t="s">
        <v>104</v>
      </c>
      <c r="G652">
        <v>2</v>
      </c>
      <c r="H652">
        <v>169</v>
      </c>
      <c r="I652" s="25" t="s">
        <v>372</v>
      </c>
      <c r="K652" t="s">
        <v>119</v>
      </c>
      <c r="L652" t="s">
        <v>141</v>
      </c>
      <c r="M652" t="s">
        <v>52</v>
      </c>
      <c r="N652" t="s">
        <v>40</v>
      </c>
      <c r="O652">
        <v>31</v>
      </c>
      <c r="Q652">
        <f t="shared" si="25"/>
        <v>2</v>
      </c>
      <c r="R652">
        <v>1</v>
      </c>
      <c r="S652">
        <v>0</v>
      </c>
      <c r="T652">
        <v>0</v>
      </c>
      <c r="U652">
        <v>2</v>
      </c>
      <c r="V652">
        <v>0</v>
      </c>
      <c r="W652">
        <v>0</v>
      </c>
      <c r="X652" s="21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f t="shared" si="26"/>
        <v>64</v>
      </c>
      <c r="AJ652" t="s">
        <v>51</v>
      </c>
      <c r="AK652" t="s">
        <v>52</v>
      </c>
      <c r="AP652" t="s">
        <v>116</v>
      </c>
    </row>
    <row r="653" spans="1:42">
      <c r="A653" s="12">
        <v>43852</v>
      </c>
      <c r="B653">
        <v>2</v>
      </c>
      <c r="C653">
        <v>212</v>
      </c>
      <c r="D653">
        <v>14473</v>
      </c>
      <c r="E653" t="s">
        <v>112</v>
      </c>
      <c r="F653" t="s">
        <v>104</v>
      </c>
      <c r="G653">
        <v>2</v>
      </c>
      <c r="H653">
        <v>170</v>
      </c>
      <c r="I653" s="25">
        <v>2863</v>
      </c>
      <c r="K653" t="s">
        <v>119</v>
      </c>
      <c r="L653" t="s">
        <v>141</v>
      </c>
      <c r="M653" t="s">
        <v>52</v>
      </c>
      <c r="N653" t="s">
        <v>40</v>
      </c>
      <c r="O653">
        <v>30</v>
      </c>
      <c r="Q653">
        <f t="shared" si="25"/>
        <v>2</v>
      </c>
      <c r="R653">
        <v>1</v>
      </c>
      <c r="S653">
        <v>1</v>
      </c>
      <c r="T653">
        <v>0</v>
      </c>
      <c r="U653">
        <v>1</v>
      </c>
      <c r="V653">
        <v>0</v>
      </c>
      <c r="W653">
        <v>0</v>
      </c>
      <c r="X653" s="21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f t="shared" si="26"/>
        <v>48</v>
      </c>
      <c r="AJ653" t="s">
        <v>51</v>
      </c>
      <c r="AK653" t="s">
        <v>52</v>
      </c>
      <c r="AP653" t="s">
        <v>116</v>
      </c>
    </row>
    <row r="654" spans="1:42">
      <c r="A654" s="12">
        <v>43852</v>
      </c>
      <c r="B654">
        <v>2</v>
      </c>
      <c r="C654">
        <v>212</v>
      </c>
      <c r="D654">
        <v>14473</v>
      </c>
      <c r="E654" t="s">
        <v>112</v>
      </c>
      <c r="F654" t="s">
        <v>104</v>
      </c>
      <c r="G654">
        <v>2</v>
      </c>
      <c r="H654">
        <v>171</v>
      </c>
      <c r="I654" s="25">
        <v>2853</v>
      </c>
      <c r="K654" t="s">
        <v>119</v>
      </c>
      <c r="L654" t="s">
        <v>141</v>
      </c>
      <c r="M654" t="s">
        <v>52</v>
      </c>
      <c r="N654" t="s">
        <v>40</v>
      </c>
      <c r="O654">
        <v>32</v>
      </c>
      <c r="Q654">
        <f t="shared" si="25"/>
        <v>1</v>
      </c>
      <c r="R654">
        <v>1</v>
      </c>
      <c r="S654">
        <v>0</v>
      </c>
      <c r="T654">
        <v>0</v>
      </c>
      <c r="U654">
        <v>0</v>
      </c>
      <c r="V654">
        <v>1</v>
      </c>
      <c r="W654">
        <v>0</v>
      </c>
      <c r="X654" s="21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f t="shared" si="26"/>
        <v>64</v>
      </c>
      <c r="AJ654" t="s">
        <v>51</v>
      </c>
      <c r="AK654" t="s">
        <v>52</v>
      </c>
      <c r="AP654" t="s">
        <v>116</v>
      </c>
    </row>
    <row r="655" spans="1:42">
      <c r="A655" s="12">
        <v>43852</v>
      </c>
      <c r="B655">
        <v>2</v>
      </c>
      <c r="C655">
        <v>212</v>
      </c>
      <c r="D655">
        <v>14473</v>
      </c>
      <c r="E655" t="s">
        <v>112</v>
      </c>
      <c r="F655" t="s">
        <v>104</v>
      </c>
      <c r="G655">
        <v>2</v>
      </c>
      <c r="H655">
        <v>172</v>
      </c>
      <c r="I655" s="25" t="s">
        <v>373</v>
      </c>
      <c r="K655" t="s">
        <v>119</v>
      </c>
      <c r="L655" t="s">
        <v>141</v>
      </c>
      <c r="M655" t="s">
        <v>52</v>
      </c>
      <c r="N655" t="s">
        <v>40</v>
      </c>
      <c r="O655">
        <v>62</v>
      </c>
      <c r="Q655">
        <f t="shared" si="25"/>
        <v>4</v>
      </c>
      <c r="R655">
        <v>1</v>
      </c>
      <c r="S655">
        <v>2</v>
      </c>
      <c r="T655">
        <v>0</v>
      </c>
      <c r="U655">
        <v>2</v>
      </c>
      <c r="V655">
        <v>0</v>
      </c>
      <c r="W655">
        <v>0</v>
      </c>
      <c r="X655" s="21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f t="shared" si="26"/>
        <v>96</v>
      </c>
      <c r="AJ655" t="s">
        <v>51</v>
      </c>
      <c r="AK655" t="s">
        <v>52</v>
      </c>
      <c r="AP655" t="s">
        <v>116</v>
      </c>
    </row>
    <row r="656" spans="1:42">
      <c r="A656" s="12">
        <v>43852</v>
      </c>
      <c r="B656">
        <v>2</v>
      </c>
      <c r="C656">
        <v>212</v>
      </c>
      <c r="D656">
        <v>14473</v>
      </c>
      <c r="E656" t="s">
        <v>112</v>
      </c>
      <c r="F656" t="s">
        <v>104</v>
      </c>
      <c r="G656">
        <v>2</v>
      </c>
      <c r="H656">
        <v>173</v>
      </c>
      <c r="I656" s="25" t="s">
        <v>374</v>
      </c>
      <c r="K656" t="s">
        <v>119</v>
      </c>
      <c r="L656" t="s">
        <v>141</v>
      </c>
      <c r="M656" t="s">
        <v>52</v>
      </c>
      <c r="N656" t="s">
        <v>40</v>
      </c>
      <c r="O656">
        <v>41</v>
      </c>
      <c r="Q656">
        <f t="shared" si="25"/>
        <v>2</v>
      </c>
      <c r="R656">
        <v>1</v>
      </c>
      <c r="S656">
        <v>0</v>
      </c>
      <c r="T656">
        <v>0</v>
      </c>
      <c r="U656">
        <v>2</v>
      </c>
      <c r="V656">
        <v>0</v>
      </c>
      <c r="W656">
        <v>0</v>
      </c>
      <c r="X656" s="21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f t="shared" si="26"/>
        <v>64</v>
      </c>
      <c r="AJ656" t="s">
        <v>51</v>
      </c>
      <c r="AK656" t="s">
        <v>52</v>
      </c>
      <c r="AP656" t="s">
        <v>116</v>
      </c>
    </row>
    <row r="657" spans="1:42">
      <c r="A657" s="12">
        <v>43852</v>
      </c>
      <c r="B657">
        <v>2</v>
      </c>
      <c r="C657">
        <v>212</v>
      </c>
      <c r="D657">
        <v>14473</v>
      </c>
      <c r="E657" t="s">
        <v>112</v>
      </c>
      <c r="F657" t="s">
        <v>104</v>
      </c>
      <c r="G657">
        <v>2</v>
      </c>
      <c r="H657">
        <v>174</v>
      </c>
      <c r="I657" s="25">
        <v>2785</v>
      </c>
      <c r="K657" t="s">
        <v>119</v>
      </c>
      <c r="L657" t="s">
        <v>141</v>
      </c>
      <c r="M657" t="s">
        <v>52</v>
      </c>
      <c r="N657" t="s">
        <v>44</v>
      </c>
      <c r="O657">
        <v>113</v>
      </c>
      <c r="Q657">
        <f t="shared" si="25"/>
        <v>3</v>
      </c>
      <c r="R657">
        <v>1</v>
      </c>
      <c r="S657">
        <v>0</v>
      </c>
      <c r="T657">
        <v>0</v>
      </c>
      <c r="U657">
        <v>1</v>
      </c>
      <c r="V657">
        <v>0</v>
      </c>
      <c r="W657">
        <v>2</v>
      </c>
      <c r="X657" s="21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f t="shared" si="26"/>
        <v>224</v>
      </c>
      <c r="AJ657" t="s">
        <v>51</v>
      </c>
      <c r="AK657" t="s">
        <v>95</v>
      </c>
      <c r="AL657" t="s">
        <v>375</v>
      </c>
      <c r="AP657" t="s">
        <v>116</v>
      </c>
    </row>
    <row r="658" spans="1:42">
      <c r="A658" s="12">
        <v>43852</v>
      </c>
      <c r="B658">
        <v>2</v>
      </c>
      <c r="C658">
        <v>212</v>
      </c>
      <c r="D658">
        <v>14473</v>
      </c>
      <c r="E658" t="s">
        <v>112</v>
      </c>
      <c r="F658" t="s">
        <v>104</v>
      </c>
      <c r="G658">
        <v>2</v>
      </c>
      <c r="H658">
        <v>175</v>
      </c>
      <c r="I658" s="25">
        <v>2775</v>
      </c>
      <c r="K658" t="s">
        <v>119</v>
      </c>
      <c r="L658" t="s">
        <v>141</v>
      </c>
      <c r="M658" t="s">
        <v>52</v>
      </c>
      <c r="N658" t="s">
        <v>40</v>
      </c>
      <c r="O658">
        <v>33</v>
      </c>
      <c r="Q658">
        <f t="shared" si="25"/>
        <v>2</v>
      </c>
      <c r="R658">
        <v>1</v>
      </c>
      <c r="S658">
        <v>0</v>
      </c>
      <c r="T658">
        <v>0</v>
      </c>
      <c r="U658">
        <v>2</v>
      </c>
      <c r="V658">
        <v>0</v>
      </c>
      <c r="W658">
        <v>0</v>
      </c>
      <c r="X658" s="21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f t="shared" si="26"/>
        <v>64</v>
      </c>
      <c r="AJ658" t="s">
        <v>51</v>
      </c>
      <c r="AK658" t="s">
        <v>52</v>
      </c>
      <c r="AP658" t="s">
        <v>116</v>
      </c>
    </row>
    <row r="659" spans="1:42">
      <c r="A659" s="12">
        <v>43852</v>
      </c>
      <c r="B659">
        <v>2</v>
      </c>
      <c r="C659">
        <v>212</v>
      </c>
      <c r="D659">
        <v>14473</v>
      </c>
      <c r="E659" t="s">
        <v>112</v>
      </c>
      <c r="F659" t="s">
        <v>104</v>
      </c>
      <c r="G659">
        <v>2</v>
      </c>
      <c r="H659">
        <v>176</v>
      </c>
      <c r="I659" s="25">
        <v>2763</v>
      </c>
      <c r="K659" t="s">
        <v>119</v>
      </c>
      <c r="L659" t="s">
        <v>141</v>
      </c>
      <c r="M659" t="s">
        <v>52</v>
      </c>
      <c r="N659" t="s">
        <v>40</v>
      </c>
      <c r="O659">
        <v>43</v>
      </c>
      <c r="Q659">
        <f t="shared" si="25"/>
        <v>2</v>
      </c>
      <c r="R659">
        <v>1</v>
      </c>
      <c r="S659">
        <v>0</v>
      </c>
      <c r="T659">
        <v>0</v>
      </c>
      <c r="U659">
        <v>0</v>
      </c>
      <c r="V659">
        <v>2</v>
      </c>
      <c r="W659">
        <v>0</v>
      </c>
      <c r="X659" s="21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f t="shared" si="26"/>
        <v>128</v>
      </c>
      <c r="AJ659" t="s">
        <v>51</v>
      </c>
      <c r="AK659" t="s">
        <v>52</v>
      </c>
      <c r="AP659" t="s">
        <v>116</v>
      </c>
    </row>
    <row r="660" spans="1:42">
      <c r="A660" s="12">
        <v>43852</v>
      </c>
      <c r="B660">
        <v>2</v>
      </c>
      <c r="C660">
        <v>212</v>
      </c>
      <c r="D660">
        <v>14473</v>
      </c>
      <c r="E660" t="s">
        <v>112</v>
      </c>
      <c r="F660" t="s">
        <v>104</v>
      </c>
      <c r="G660">
        <v>2</v>
      </c>
      <c r="H660">
        <v>177</v>
      </c>
      <c r="I660" s="25">
        <v>2757</v>
      </c>
      <c r="K660" t="s">
        <v>119</v>
      </c>
      <c r="L660" t="s">
        <v>141</v>
      </c>
      <c r="M660" t="s">
        <v>52</v>
      </c>
      <c r="N660" t="s">
        <v>40</v>
      </c>
      <c r="O660">
        <v>35</v>
      </c>
      <c r="Q660">
        <f t="shared" si="25"/>
        <v>2</v>
      </c>
      <c r="R660">
        <v>1</v>
      </c>
      <c r="S660">
        <v>0</v>
      </c>
      <c r="T660">
        <v>0</v>
      </c>
      <c r="U660">
        <v>0</v>
      </c>
      <c r="V660">
        <v>2</v>
      </c>
      <c r="W660">
        <v>0</v>
      </c>
      <c r="X660" s="21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f t="shared" si="26"/>
        <v>128</v>
      </c>
      <c r="AJ660" t="s">
        <v>51</v>
      </c>
      <c r="AK660" t="s">
        <v>52</v>
      </c>
      <c r="AP660" t="s">
        <v>116</v>
      </c>
    </row>
    <row r="661" spans="1:42">
      <c r="A661" s="12">
        <v>43852</v>
      </c>
      <c r="B661">
        <v>2</v>
      </c>
      <c r="C661">
        <v>212</v>
      </c>
      <c r="D661">
        <v>14473</v>
      </c>
      <c r="E661" t="s">
        <v>112</v>
      </c>
      <c r="F661" t="s">
        <v>104</v>
      </c>
      <c r="G661">
        <v>2</v>
      </c>
      <c r="H661">
        <v>178</v>
      </c>
      <c r="I661" s="25">
        <v>2743</v>
      </c>
      <c r="K661" t="s">
        <v>119</v>
      </c>
      <c r="L661" t="s">
        <v>141</v>
      </c>
      <c r="M661" t="s">
        <v>52</v>
      </c>
      <c r="N661" t="s">
        <v>40</v>
      </c>
      <c r="O661">
        <v>28</v>
      </c>
      <c r="Q661">
        <f t="shared" si="25"/>
        <v>1</v>
      </c>
      <c r="R661">
        <v>1</v>
      </c>
      <c r="S661">
        <v>0</v>
      </c>
      <c r="T661">
        <v>0</v>
      </c>
      <c r="U661">
        <v>0</v>
      </c>
      <c r="V661">
        <v>1</v>
      </c>
      <c r="W661">
        <v>0</v>
      </c>
      <c r="X661" s="2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f t="shared" si="26"/>
        <v>64</v>
      </c>
      <c r="AJ661" t="s">
        <v>51</v>
      </c>
      <c r="AK661" t="s">
        <v>52</v>
      </c>
      <c r="AP661" t="s">
        <v>116</v>
      </c>
    </row>
    <row r="662" spans="1:42">
      <c r="A662" s="12">
        <v>43852</v>
      </c>
      <c r="B662">
        <v>2</v>
      </c>
      <c r="C662">
        <v>212</v>
      </c>
      <c r="D662">
        <v>14473</v>
      </c>
      <c r="E662" t="s">
        <v>112</v>
      </c>
      <c r="F662" t="s">
        <v>104</v>
      </c>
      <c r="G662">
        <v>2</v>
      </c>
      <c r="H662">
        <v>179</v>
      </c>
      <c r="I662" s="25">
        <v>2735</v>
      </c>
      <c r="K662" t="s">
        <v>119</v>
      </c>
      <c r="L662" t="s">
        <v>141</v>
      </c>
      <c r="M662" t="s">
        <v>52</v>
      </c>
      <c r="N662" t="s">
        <v>40</v>
      </c>
      <c r="O662">
        <v>42</v>
      </c>
      <c r="Q662">
        <f t="shared" si="25"/>
        <v>2</v>
      </c>
      <c r="R662">
        <v>1</v>
      </c>
      <c r="S662">
        <v>0</v>
      </c>
      <c r="T662">
        <v>0</v>
      </c>
      <c r="U662">
        <v>2</v>
      </c>
      <c r="V662">
        <v>0</v>
      </c>
      <c r="W662">
        <v>0</v>
      </c>
      <c r="X662" s="21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f t="shared" si="26"/>
        <v>64</v>
      </c>
      <c r="AJ662" t="s">
        <v>51</v>
      </c>
      <c r="AK662" t="s">
        <v>52</v>
      </c>
      <c r="AP662" t="s">
        <v>116</v>
      </c>
    </row>
    <row r="663" spans="1:42">
      <c r="A663" s="12">
        <v>43852</v>
      </c>
      <c r="B663">
        <v>2</v>
      </c>
      <c r="C663">
        <v>212</v>
      </c>
      <c r="D663">
        <v>14473</v>
      </c>
      <c r="E663" t="s">
        <v>112</v>
      </c>
      <c r="F663" t="s">
        <v>104</v>
      </c>
      <c r="G663">
        <v>2</v>
      </c>
      <c r="H663">
        <v>180</v>
      </c>
      <c r="I663" s="25">
        <v>2731</v>
      </c>
      <c r="K663" t="s">
        <v>119</v>
      </c>
      <c r="L663" t="s">
        <v>141</v>
      </c>
      <c r="M663" t="s">
        <v>52</v>
      </c>
      <c r="N663" t="s">
        <v>44</v>
      </c>
      <c r="O663">
        <v>79</v>
      </c>
      <c r="Q663">
        <f t="shared" si="25"/>
        <v>2</v>
      </c>
      <c r="R663">
        <v>1</v>
      </c>
      <c r="S663">
        <v>0</v>
      </c>
      <c r="T663">
        <v>0</v>
      </c>
      <c r="U663">
        <v>2</v>
      </c>
      <c r="V663">
        <v>0</v>
      </c>
      <c r="W663">
        <v>0</v>
      </c>
      <c r="X663" s="21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f t="shared" si="26"/>
        <v>64</v>
      </c>
      <c r="AJ663" t="s">
        <v>51</v>
      </c>
      <c r="AK663" t="s">
        <v>52</v>
      </c>
      <c r="AL663" t="s">
        <v>376</v>
      </c>
      <c r="AP663" t="s">
        <v>116</v>
      </c>
    </row>
    <row r="664" spans="1:42">
      <c r="A664" s="1">
        <v>43788</v>
      </c>
      <c r="B664">
        <v>2</v>
      </c>
      <c r="C664">
        <v>506</v>
      </c>
      <c r="D664">
        <v>4241</v>
      </c>
      <c r="E664" t="s">
        <v>377</v>
      </c>
      <c r="F664" t="s">
        <v>38</v>
      </c>
      <c r="G664">
        <v>1</v>
      </c>
      <c r="H664">
        <v>1</v>
      </c>
      <c r="I664" s="25">
        <v>475</v>
      </c>
      <c r="K664" t="s">
        <v>378</v>
      </c>
      <c r="N664" t="s">
        <v>42</v>
      </c>
      <c r="O664">
        <v>150</v>
      </c>
      <c r="Q664">
        <f>SUM(S664:AC664)</f>
        <v>1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1</v>
      </c>
      <c r="X664" s="21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f>(S664*16)+(T664*20)+(U664*32)+(V664*64)+(W664*96)</f>
        <v>96</v>
      </c>
      <c r="AL664" t="s">
        <v>379</v>
      </c>
      <c r="AP664" t="s">
        <v>41</v>
      </c>
    </row>
    <row r="665" spans="1:42">
      <c r="A665" s="1">
        <v>43788</v>
      </c>
      <c r="B665">
        <v>2</v>
      </c>
      <c r="C665">
        <v>506</v>
      </c>
      <c r="D665">
        <v>4241</v>
      </c>
      <c r="E665" t="s">
        <v>377</v>
      </c>
      <c r="F665" t="s">
        <v>38</v>
      </c>
      <c r="H665">
        <v>2</v>
      </c>
      <c r="I665" s="25">
        <v>563</v>
      </c>
      <c r="K665" t="s">
        <v>380</v>
      </c>
      <c r="N665" t="s">
        <v>42</v>
      </c>
      <c r="O665">
        <v>127</v>
      </c>
      <c r="Q665">
        <f t="shared" ref="Q665:Q728" si="27">SUM(S665:AC665)</f>
        <v>0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0</v>
      </c>
      <c r="X665" s="21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f t="shared" ref="AH665:AH728" si="28">(S665*16)+(T665*20)+(U665*32)+(V665*64)+(W665*96)</f>
        <v>0</v>
      </c>
      <c r="AL665" t="s">
        <v>379</v>
      </c>
      <c r="AP665" t="s">
        <v>41</v>
      </c>
    </row>
    <row r="666" spans="1:42">
      <c r="A666" s="1">
        <v>43788</v>
      </c>
      <c r="B666">
        <v>2</v>
      </c>
      <c r="C666">
        <v>506</v>
      </c>
      <c r="D666">
        <v>4241</v>
      </c>
      <c r="E666" t="s">
        <v>377</v>
      </c>
      <c r="F666" t="s">
        <v>38</v>
      </c>
      <c r="H666">
        <v>3</v>
      </c>
      <c r="I666" s="25">
        <v>1201</v>
      </c>
      <c r="K666" t="s">
        <v>380</v>
      </c>
      <c r="N666" t="s">
        <v>42</v>
      </c>
      <c r="O666">
        <v>242</v>
      </c>
      <c r="Q666">
        <f t="shared" si="27"/>
        <v>0</v>
      </c>
      <c r="R666">
        <v>1</v>
      </c>
      <c r="S666">
        <v>0</v>
      </c>
      <c r="T666">
        <v>0</v>
      </c>
      <c r="U666">
        <v>0</v>
      </c>
      <c r="V666">
        <v>0</v>
      </c>
      <c r="W666">
        <v>0</v>
      </c>
      <c r="X666" s="21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f t="shared" si="28"/>
        <v>0</v>
      </c>
      <c r="AL666" t="s">
        <v>379</v>
      </c>
      <c r="AP666" t="s">
        <v>41</v>
      </c>
    </row>
    <row r="667" spans="1:42">
      <c r="A667" s="1">
        <v>43788</v>
      </c>
      <c r="B667">
        <v>2</v>
      </c>
      <c r="C667">
        <v>506</v>
      </c>
      <c r="D667">
        <v>4241</v>
      </c>
      <c r="E667" t="s">
        <v>377</v>
      </c>
      <c r="F667" t="s">
        <v>38</v>
      </c>
      <c r="H667">
        <v>4</v>
      </c>
      <c r="I667" s="25">
        <v>153</v>
      </c>
      <c r="K667" t="s">
        <v>381</v>
      </c>
      <c r="N667" t="s">
        <v>40</v>
      </c>
      <c r="O667">
        <v>76</v>
      </c>
      <c r="Q667">
        <f t="shared" si="27"/>
        <v>0</v>
      </c>
      <c r="R667">
        <v>1</v>
      </c>
      <c r="S667">
        <v>0</v>
      </c>
      <c r="T667">
        <v>0</v>
      </c>
      <c r="U667">
        <v>0</v>
      </c>
      <c r="V667">
        <v>0</v>
      </c>
      <c r="W667">
        <v>0</v>
      </c>
      <c r="X667" s="21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f t="shared" si="28"/>
        <v>0</v>
      </c>
      <c r="AL667" t="s">
        <v>382</v>
      </c>
      <c r="AP667" t="s">
        <v>41</v>
      </c>
    </row>
    <row r="668" spans="1:42">
      <c r="A668" s="1">
        <v>43788</v>
      </c>
      <c r="B668">
        <v>2</v>
      </c>
      <c r="C668">
        <v>506</v>
      </c>
      <c r="D668">
        <v>4241</v>
      </c>
      <c r="E668" t="s">
        <v>377</v>
      </c>
      <c r="F668" t="s">
        <v>38</v>
      </c>
      <c r="H668">
        <v>5</v>
      </c>
      <c r="I668" s="25">
        <v>680</v>
      </c>
      <c r="K668" t="s">
        <v>380</v>
      </c>
      <c r="N668" t="s">
        <v>40</v>
      </c>
      <c r="O668">
        <v>96</v>
      </c>
      <c r="Q668">
        <f t="shared" si="27"/>
        <v>0</v>
      </c>
      <c r="R668">
        <v>1</v>
      </c>
      <c r="S668">
        <v>0</v>
      </c>
      <c r="T668">
        <v>0</v>
      </c>
      <c r="U668">
        <v>0</v>
      </c>
      <c r="V668">
        <v>0</v>
      </c>
      <c r="W668">
        <v>0</v>
      </c>
      <c r="X668" s="21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f t="shared" si="28"/>
        <v>0</v>
      </c>
      <c r="AL668" t="s">
        <v>379</v>
      </c>
      <c r="AP668" t="s">
        <v>41</v>
      </c>
    </row>
    <row r="669" spans="1:42">
      <c r="A669" s="1">
        <v>43788</v>
      </c>
      <c r="B669">
        <v>2</v>
      </c>
      <c r="C669">
        <v>506</v>
      </c>
      <c r="D669">
        <v>4241</v>
      </c>
      <c r="E669" t="s">
        <v>377</v>
      </c>
      <c r="F669" t="s">
        <v>38</v>
      </c>
      <c r="H669">
        <v>6</v>
      </c>
      <c r="I669" s="25">
        <v>301</v>
      </c>
      <c r="K669" t="s">
        <v>378</v>
      </c>
      <c r="N669" t="s">
        <v>42</v>
      </c>
      <c r="O669">
        <v>110</v>
      </c>
      <c r="Q669">
        <f t="shared" si="27"/>
        <v>0</v>
      </c>
      <c r="R669">
        <v>1</v>
      </c>
      <c r="S669">
        <v>0</v>
      </c>
      <c r="T669">
        <v>0</v>
      </c>
      <c r="U669">
        <v>0</v>
      </c>
      <c r="V669">
        <v>0</v>
      </c>
      <c r="W669">
        <v>0</v>
      </c>
      <c r="X669" s="21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f t="shared" si="28"/>
        <v>0</v>
      </c>
      <c r="AP669" t="s">
        <v>41</v>
      </c>
    </row>
    <row r="670" spans="1:42">
      <c r="A670" s="1">
        <v>43788</v>
      </c>
      <c r="B670">
        <v>2</v>
      </c>
      <c r="C670">
        <v>506</v>
      </c>
      <c r="D670">
        <v>4241</v>
      </c>
      <c r="E670" t="s">
        <v>377</v>
      </c>
      <c r="F670" t="s">
        <v>38</v>
      </c>
      <c r="H670">
        <v>7</v>
      </c>
      <c r="I670" s="25">
        <v>625</v>
      </c>
      <c r="K670" t="s">
        <v>380</v>
      </c>
      <c r="N670" t="s">
        <v>40</v>
      </c>
      <c r="O670">
        <v>45</v>
      </c>
      <c r="Q670">
        <f t="shared" si="27"/>
        <v>0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0</v>
      </c>
      <c r="X670" s="21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f t="shared" si="28"/>
        <v>0</v>
      </c>
      <c r="AP670" t="s">
        <v>41</v>
      </c>
    </row>
    <row r="671" spans="1:42">
      <c r="A671" s="1">
        <v>43788</v>
      </c>
      <c r="B671">
        <v>2</v>
      </c>
      <c r="C671">
        <v>506</v>
      </c>
      <c r="D671">
        <v>4241</v>
      </c>
      <c r="E671" t="s">
        <v>377</v>
      </c>
      <c r="F671" t="s">
        <v>38</v>
      </c>
      <c r="H671">
        <v>8</v>
      </c>
      <c r="I671" s="25"/>
      <c r="Q671">
        <f t="shared" si="27"/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 s="2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f t="shared" si="28"/>
        <v>0</v>
      </c>
      <c r="AP671" t="s">
        <v>41</v>
      </c>
    </row>
    <row r="672" spans="1:42">
      <c r="A672" s="1">
        <v>43788</v>
      </c>
      <c r="B672">
        <v>2</v>
      </c>
      <c r="C672">
        <v>506</v>
      </c>
      <c r="D672">
        <v>4241</v>
      </c>
      <c r="E672" t="s">
        <v>377</v>
      </c>
      <c r="F672" t="s">
        <v>38</v>
      </c>
      <c r="H672">
        <v>9</v>
      </c>
      <c r="I672" s="25"/>
      <c r="Q672">
        <f t="shared" si="27"/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 s="21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f t="shared" si="28"/>
        <v>0</v>
      </c>
      <c r="AP672" t="s">
        <v>41</v>
      </c>
    </row>
    <row r="673" spans="1:42">
      <c r="A673" s="1">
        <v>43788</v>
      </c>
      <c r="B673">
        <v>2</v>
      </c>
      <c r="C673">
        <v>506</v>
      </c>
      <c r="D673">
        <v>4241</v>
      </c>
      <c r="E673" t="s">
        <v>377</v>
      </c>
      <c r="F673" t="s">
        <v>38</v>
      </c>
      <c r="H673">
        <v>10</v>
      </c>
      <c r="I673" s="25"/>
      <c r="Q673">
        <f t="shared" si="27"/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 s="21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f t="shared" si="28"/>
        <v>0</v>
      </c>
      <c r="AP673" t="s">
        <v>41</v>
      </c>
    </row>
    <row r="674" spans="1:42">
      <c r="A674" s="1">
        <v>43788</v>
      </c>
      <c r="B674">
        <v>2</v>
      </c>
      <c r="C674">
        <v>506</v>
      </c>
      <c r="D674">
        <v>4241</v>
      </c>
      <c r="E674" t="s">
        <v>377</v>
      </c>
      <c r="F674" t="s">
        <v>38</v>
      </c>
      <c r="H674">
        <v>11</v>
      </c>
      <c r="I674" s="25">
        <v>401</v>
      </c>
      <c r="K674" t="s">
        <v>383</v>
      </c>
      <c r="N674" t="s">
        <v>44</v>
      </c>
      <c r="O674">
        <v>153</v>
      </c>
      <c r="Q674">
        <f t="shared" si="27"/>
        <v>0</v>
      </c>
      <c r="R674">
        <v>2</v>
      </c>
      <c r="S674">
        <v>0</v>
      </c>
      <c r="T674">
        <v>0</v>
      </c>
      <c r="U674">
        <v>0</v>
      </c>
      <c r="V674">
        <v>0</v>
      </c>
      <c r="W674">
        <v>0</v>
      </c>
      <c r="X674" s="21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f t="shared" si="28"/>
        <v>0</v>
      </c>
      <c r="AP674" t="s">
        <v>41</v>
      </c>
    </row>
    <row r="675" spans="1:42">
      <c r="A675" s="1">
        <v>43788</v>
      </c>
      <c r="B675">
        <v>2</v>
      </c>
      <c r="C675">
        <v>506</v>
      </c>
      <c r="D675">
        <v>4241</v>
      </c>
      <c r="E675" t="s">
        <v>377</v>
      </c>
      <c r="F675" t="s">
        <v>38</v>
      </c>
      <c r="H675">
        <v>12</v>
      </c>
      <c r="I675" s="25">
        <v>345</v>
      </c>
      <c r="K675" t="s">
        <v>384</v>
      </c>
      <c r="N675" t="s">
        <v>44</v>
      </c>
      <c r="O675">
        <v>259</v>
      </c>
      <c r="Q675">
        <f t="shared" si="27"/>
        <v>0</v>
      </c>
      <c r="R675">
        <v>1</v>
      </c>
      <c r="S675">
        <v>0</v>
      </c>
      <c r="T675">
        <v>0</v>
      </c>
      <c r="U675">
        <v>0</v>
      </c>
      <c r="V675">
        <v>0</v>
      </c>
      <c r="W675">
        <v>0</v>
      </c>
      <c r="X675" s="21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f t="shared" si="28"/>
        <v>0</v>
      </c>
      <c r="AP675" t="s">
        <v>41</v>
      </c>
    </row>
    <row r="676" spans="1:42">
      <c r="A676" s="1">
        <v>43788</v>
      </c>
      <c r="B676">
        <v>2</v>
      </c>
      <c r="C676">
        <v>506</v>
      </c>
      <c r="D676">
        <v>4241</v>
      </c>
      <c r="E676" t="s">
        <v>377</v>
      </c>
      <c r="F676" t="s">
        <v>38</v>
      </c>
      <c r="H676">
        <v>13</v>
      </c>
      <c r="I676" s="25">
        <v>160</v>
      </c>
      <c r="K676" t="s">
        <v>384</v>
      </c>
      <c r="N676" t="s">
        <v>42</v>
      </c>
      <c r="O676">
        <v>332</v>
      </c>
      <c r="Q676">
        <f t="shared" si="27"/>
        <v>0</v>
      </c>
      <c r="R676">
        <v>1</v>
      </c>
      <c r="S676">
        <v>0</v>
      </c>
      <c r="T676">
        <v>0</v>
      </c>
      <c r="U676">
        <v>0</v>
      </c>
      <c r="V676">
        <v>0</v>
      </c>
      <c r="W676">
        <v>0</v>
      </c>
      <c r="X676" s="21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f t="shared" si="28"/>
        <v>0</v>
      </c>
      <c r="AP676" t="s">
        <v>41</v>
      </c>
    </row>
    <row r="677" spans="1:42">
      <c r="A677" s="1">
        <v>43788</v>
      </c>
      <c r="B677">
        <v>2</v>
      </c>
      <c r="C677">
        <v>506</v>
      </c>
      <c r="D677">
        <v>4241</v>
      </c>
      <c r="E677" t="s">
        <v>377</v>
      </c>
      <c r="F677" t="s">
        <v>38</v>
      </c>
      <c r="H677">
        <v>14</v>
      </c>
      <c r="I677" s="25">
        <v>370</v>
      </c>
      <c r="K677" t="s">
        <v>88</v>
      </c>
      <c r="N677" t="s">
        <v>44</v>
      </c>
      <c r="O677">
        <v>165</v>
      </c>
      <c r="Q677">
        <f t="shared" si="27"/>
        <v>0</v>
      </c>
      <c r="R677">
        <v>1</v>
      </c>
      <c r="S677">
        <v>0</v>
      </c>
      <c r="T677">
        <v>0</v>
      </c>
      <c r="U677">
        <v>0</v>
      </c>
      <c r="V677">
        <v>0</v>
      </c>
      <c r="W677">
        <v>0</v>
      </c>
      <c r="X677" s="21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f t="shared" si="28"/>
        <v>0</v>
      </c>
      <c r="AP677" t="s">
        <v>41</v>
      </c>
    </row>
    <row r="678" spans="1:42">
      <c r="A678" s="1">
        <v>43788</v>
      </c>
      <c r="B678">
        <v>2</v>
      </c>
      <c r="C678">
        <v>506</v>
      </c>
      <c r="D678">
        <v>4241</v>
      </c>
      <c r="E678" t="s">
        <v>377</v>
      </c>
      <c r="F678" t="s">
        <v>38</v>
      </c>
      <c r="H678">
        <v>15</v>
      </c>
      <c r="I678" s="25">
        <v>0</v>
      </c>
      <c r="K678" t="s">
        <v>88</v>
      </c>
      <c r="N678" t="s">
        <v>40</v>
      </c>
      <c r="O678">
        <v>120</v>
      </c>
      <c r="Q678">
        <f t="shared" si="27"/>
        <v>0</v>
      </c>
      <c r="R678">
        <v>1</v>
      </c>
      <c r="S678">
        <v>0</v>
      </c>
      <c r="T678">
        <v>0</v>
      </c>
      <c r="U678">
        <v>0</v>
      </c>
      <c r="V678">
        <v>0</v>
      </c>
      <c r="W678">
        <v>0</v>
      </c>
      <c r="X678" s="21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f t="shared" si="28"/>
        <v>0</v>
      </c>
      <c r="AP678" t="s">
        <v>41</v>
      </c>
    </row>
    <row r="679" spans="1:42">
      <c r="A679" s="1">
        <v>43788</v>
      </c>
      <c r="B679">
        <v>2</v>
      </c>
      <c r="C679">
        <v>506</v>
      </c>
      <c r="D679">
        <v>4241</v>
      </c>
      <c r="E679" t="s">
        <v>377</v>
      </c>
      <c r="F679" t="s">
        <v>38</v>
      </c>
      <c r="H679">
        <v>16</v>
      </c>
      <c r="I679" s="25">
        <v>1</v>
      </c>
      <c r="K679" t="s">
        <v>385</v>
      </c>
      <c r="N679" t="s">
        <v>40</v>
      </c>
      <c r="O679">
        <v>37</v>
      </c>
      <c r="Q679">
        <f t="shared" si="27"/>
        <v>0</v>
      </c>
      <c r="R679">
        <v>1</v>
      </c>
      <c r="S679">
        <v>0</v>
      </c>
      <c r="T679">
        <v>0</v>
      </c>
      <c r="U679">
        <v>0</v>
      </c>
      <c r="V679">
        <v>0</v>
      </c>
      <c r="W679">
        <v>0</v>
      </c>
      <c r="X679" s="21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f t="shared" si="28"/>
        <v>0</v>
      </c>
      <c r="AP679" t="s">
        <v>41</v>
      </c>
    </row>
    <row r="680" spans="1:42">
      <c r="A680" s="1">
        <v>43788</v>
      </c>
      <c r="B680">
        <v>2</v>
      </c>
      <c r="C680">
        <v>506</v>
      </c>
      <c r="D680">
        <v>4241</v>
      </c>
      <c r="E680" t="s">
        <v>377</v>
      </c>
      <c r="F680" t="s">
        <v>38</v>
      </c>
      <c r="H680">
        <v>17</v>
      </c>
      <c r="I680" s="25">
        <v>2</v>
      </c>
      <c r="K680" t="s">
        <v>386</v>
      </c>
      <c r="N680" t="s">
        <v>40</v>
      </c>
      <c r="O680">
        <v>60</v>
      </c>
      <c r="Q680">
        <f t="shared" si="27"/>
        <v>0</v>
      </c>
      <c r="R680">
        <v>1</v>
      </c>
      <c r="S680">
        <v>0</v>
      </c>
      <c r="T680">
        <v>0</v>
      </c>
      <c r="U680">
        <v>0</v>
      </c>
      <c r="V680">
        <v>0</v>
      </c>
      <c r="W680">
        <v>0</v>
      </c>
      <c r="X680" s="21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f t="shared" si="28"/>
        <v>0</v>
      </c>
      <c r="AP680" t="s">
        <v>41</v>
      </c>
    </row>
    <row r="681" spans="1:42">
      <c r="A681" s="1">
        <v>43788</v>
      </c>
      <c r="B681">
        <v>2</v>
      </c>
      <c r="C681">
        <v>506</v>
      </c>
      <c r="D681">
        <v>4241</v>
      </c>
      <c r="E681" t="s">
        <v>377</v>
      </c>
      <c r="F681" t="s">
        <v>38</v>
      </c>
      <c r="H681">
        <v>18</v>
      </c>
      <c r="I681" s="25">
        <v>1</v>
      </c>
      <c r="K681" t="s">
        <v>386</v>
      </c>
      <c r="N681" t="s">
        <v>40</v>
      </c>
      <c r="O681">
        <v>174</v>
      </c>
      <c r="Q681">
        <f t="shared" si="27"/>
        <v>0</v>
      </c>
      <c r="R681">
        <v>1</v>
      </c>
      <c r="S681">
        <v>0</v>
      </c>
      <c r="T681">
        <v>0</v>
      </c>
      <c r="U681">
        <v>0</v>
      </c>
      <c r="V681">
        <v>0</v>
      </c>
      <c r="W681">
        <v>0</v>
      </c>
      <c r="X681" s="2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f t="shared" si="28"/>
        <v>0</v>
      </c>
      <c r="AP681" t="s">
        <v>41</v>
      </c>
    </row>
    <row r="682" spans="1:42">
      <c r="A682" s="1">
        <v>43788</v>
      </c>
      <c r="B682">
        <v>2</v>
      </c>
      <c r="C682">
        <v>506</v>
      </c>
      <c r="D682">
        <v>4241</v>
      </c>
      <c r="E682" t="s">
        <v>377</v>
      </c>
      <c r="F682" t="s">
        <v>38</v>
      </c>
      <c r="H682">
        <v>19</v>
      </c>
      <c r="I682" s="25">
        <v>199</v>
      </c>
      <c r="K682" t="s">
        <v>387</v>
      </c>
      <c r="N682" t="s">
        <v>44</v>
      </c>
      <c r="O682">
        <v>93</v>
      </c>
      <c r="Q682">
        <f t="shared" si="27"/>
        <v>0</v>
      </c>
      <c r="R682">
        <v>1</v>
      </c>
      <c r="S682">
        <v>0</v>
      </c>
      <c r="T682">
        <v>0</v>
      </c>
      <c r="U682">
        <v>0</v>
      </c>
      <c r="V682">
        <v>0</v>
      </c>
      <c r="W682">
        <v>0</v>
      </c>
      <c r="X682" s="21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f t="shared" si="28"/>
        <v>0</v>
      </c>
      <c r="AP682" t="s">
        <v>41</v>
      </c>
    </row>
    <row r="683" spans="1:42">
      <c r="A683" s="1">
        <v>43788</v>
      </c>
      <c r="B683">
        <v>2</v>
      </c>
      <c r="C683">
        <v>506</v>
      </c>
      <c r="D683">
        <v>4241</v>
      </c>
      <c r="E683" t="s">
        <v>377</v>
      </c>
      <c r="F683" t="s">
        <v>38</v>
      </c>
      <c r="H683">
        <v>20</v>
      </c>
      <c r="I683" s="25">
        <v>235</v>
      </c>
      <c r="K683" t="s">
        <v>380</v>
      </c>
      <c r="N683" t="s">
        <v>44</v>
      </c>
      <c r="O683">
        <v>148</v>
      </c>
      <c r="Q683">
        <f t="shared" si="27"/>
        <v>0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0</v>
      </c>
      <c r="X683" s="21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f t="shared" si="28"/>
        <v>0</v>
      </c>
      <c r="AP683" t="s">
        <v>41</v>
      </c>
    </row>
    <row r="684" spans="1:42">
      <c r="A684" s="1">
        <v>43788</v>
      </c>
      <c r="B684">
        <v>2</v>
      </c>
      <c r="C684">
        <v>506</v>
      </c>
      <c r="D684">
        <v>4241</v>
      </c>
      <c r="E684" t="s">
        <v>377</v>
      </c>
      <c r="F684" t="s">
        <v>38</v>
      </c>
      <c r="H684">
        <v>21</v>
      </c>
      <c r="I684" s="25">
        <v>400</v>
      </c>
      <c r="K684" t="s">
        <v>380</v>
      </c>
      <c r="N684" t="s">
        <v>42</v>
      </c>
      <c r="O684">
        <v>55</v>
      </c>
      <c r="Q684">
        <f t="shared" si="27"/>
        <v>0</v>
      </c>
      <c r="R684">
        <v>1</v>
      </c>
      <c r="S684">
        <v>0</v>
      </c>
      <c r="T684">
        <v>0</v>
      </c>
      <c r="U684">
        <v>0</v>
      </c>
      <c r="V684">
        <v>0</v>
      </c>
      <c r="W684">
        <v>0</v>
      </c>
      <c r="X684" s="21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f t="shared" si="28"/>
        <v>0</v>
      </c>
      <c r="AL684" t="s">
        <v>379</v>
      </c>
      <c r="AP684" t="s">
        <v>41</v>
      </c>
    </row>
    <row r="685" spans="1:42">
      <c r="A685" s="1">
        <v>43788</v>
      </c>
      <c r="B685">
        <v>2</v>
      </c>
      <c r="C685">
        <v>506</v>
      </c>
      <c r="D685">
        <v>4241</v>
      </c>
      <c r="E685" t="s">
        <v>377</v>
      </c>
      <c r="F685" t="s">
        <v>38</v>
      </c>
      <c r="H685">
        <v>22</v>
      </c>
      <c r="I685" s="25">
        <v>1</v>
      </c>
      <c r="K685" t="s">
        <v>388</v>
      </c>
      <c r="N685" t="s">
        <v>42</v>
      </c>
      <c r="O685">
        <v>185</v>
      </c>
      <c r="Q685">
        <f t="shared" si="27"/>
        <v>0</v>
      </c>
      <c r="R685">
        <v>1</v>
      </c>
      <c r="S685">
        <v>0</v>
      </c>
      <c r="T685">
        <v>0</v>
      </c>
      <c r="U685">
        <v>0</v>
      </c>
      <c r="V685">
        <v>0</v>
      </c>
      <c r="W685">
        <v>0</v>
      </c>
      <c r="X685" s="21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f t="shared" si="28"/>
        <v>0</v>
      </c>
      <c r="AP685" t="s">
        <v>41</v>
      </c>
    </row>
    <row r="686" spans="1:42">
      <c r="A686" s="1">
        <v>43788</v>
      </c>
      <c r="B686">
        <v>2</v>
      </c>
      <c r="C686">
        <v>506</v>
      </c>
      <c r="D686">
        <v>4241</v>
      </c>
      <c r="E686" t="s">
        <v>377</v>
      </c>
      <c r="F686" t="s">
        <v>38</v>
      </c>
      <c r="H686">
        <v>23</v>
      </c>
      <c r="I686" s="25">
        <v>360</v>
      </c>
      <c r="K686" t="s">
        <v>389</v>
      </c>
      <c r="N686" t="s">
        <v>40</v>
      </c>
      <c r="O686">
        <v>52</v>
      </c>
      <c r="Q686">
        <f t="shared" si="27"/>
        <v>0</v>
      </c>
      <c r="R686">
        <v>1</v>
      </c>
      <c r="S686">
        <v>0</v>
      </c>
      <c r="T686">
        <v>0</v>
      </c>
      <c r="U686">
        <v>0</v>
      </c>
      <c r="V686">
        <v>0</v>
      </c>
      <c r="W686">
        <v>0</v>
      </c>
      <c r="X686" s="21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f t="shared" si="28"/>
        <v>0</v>
      </c>
      <c r="AP686" t="s">
        <v>41</v>
      </c>
    </row>
    <row r="687" spans="1:42">
      <c r="A687" s="1">
        <v>43788</v>
      </c>
      <c r="B687">
        <v>2</v>
      </c>
      <c r="C687">
        <v>506</v>
      </c>
      <c r="D687">
        <v>4241</v>
      </c>
      <c r="E687" t="s">
        <v>377</v>
      </c>
      <c r="F687" t="s">
        <v>38</v>
      </c>
      <c r="H687">
        <v>24</v>
      </c>
      <c r="I687" s="25">
        <v>735</v>
      </c>
      <c r="K687" t="s">
        <v>107</v>
      </c>
      <c r="N687" t="s">
        <v>40</v>
      </c>
      <c r="O687">
        <v>99</v>
      </c>
      <c r="Q687">
        <f t="shared" si="27"/>
        <v>0</v>
      </c>
      <c r="R687">
        <v>1</v>
      </c>
      <c r="S687">
        <v>0</v>
      </c>
      <c r="T687">
        <v>0</v>
      </c>
      <c r="U687">
        <v>0</v>
      </c>
      <c r="V687">
        <v>0</v>
      </c>
      <c r="W687">
        <v>0</v>
      </c>
      <c r="X687" s="21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f t="shared" si="28"/>
        <v>0</v>
      </c>
      <c r="AP687" t="s">
        <v>41</v>
      </c>
    </row>
    <row r="688" spans="1:42">
      <c r="A688" s="1">
        <v>43788</v>
      </c>
      <c r="B688">
        <v>2</v>
      </c>
      <c r="C688">
        <v>506</v>
      </c>
      <c r="D688">
        <v>4241</v>
      </c>
      <c r="E688" t="s">
        <v>377</v>
      </c>
      <c r="F688" t="s">
        <v>38</v>
      </c>
      <c r="H688">
        <v>25</v>
      </c>
      <c r="I688" s="25">
        <v>451</v>
      </c>
      <c r="K688" t="s">
        <v>390</v>
      </c>
      <c r="N688" t="s">
        <v>40</v>
      </c>
      <c r="O688">
        <v>75</v>
      </c>
      <c r="Q688">
        <f t="shared" si="27"/>
        <v>0</v>
      </c>
      <c r="R688">
        <v>1</v>
      </c>
      <c r="S688">
        <v>0</v>
      </c>
      <c r="T688">
        <v>0</v>
      </c>
      <c r="U688">
        <v>0</v>
      </c>
      <c r="V688">
        <v>0</v>
      </c>
      <c r="W688">
        <v>0</v>
      </c>
      <c r="X688" s="21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f t="shared" si="28"/>
        <v>0</v>
      </c>
      <c r="AP688" t="s">
        <v>41</v>
      </c>
    </row>
    <row r="689" spans="1:42">
      <c r="A689" s="1">
        <v>43788</v>
      </c>
      <c r="B689">
        <v>2</v>
      </c>
      <c r="C689">
        <v>506</v>
      </c>
      <c r="D689">
        <v>4241</v>
      </c>
      <c r="E689" t="s">
        <v>377</v>
      </c>
      <c r="F689" t="s">
        <v>38</v>
      </c>
      <c r="H689">
        <v>26</v>
      </c>
      <c r="I689" s="25">
        <v>461</v>
      </c>
      <c r="K689" t="s">
        <v>390</v>
      </c>
      <c r="N689" t="s">
        <v>40</v>
      </c>
      <c r="O689">
        <v>75</v>
      </c>
      <c r="Q689">
        <f t="shared" si="27"/>
        <v>0</v>
      </c>
      <c r="R689">
        <v>1</v>
      </c>
      <c r="S689">
        <v>0</v>
      </c>
      <c r="T689">
        <v>0</v>
      </c>
      <c r="U689">
        <v>0</v>
      </c>
      <c r="V689">
        <v>0</v>
      </c>
      <c r="W689">
        <v>0</v>
      </c>
      <c r="X689" s="21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f t="shared" si="28"/>
        <v>0</v>
      </c>
      <c r="AP689" t="s">
        <v>41</v>
      </c>
    </row>
    <row r="690" spans="1:42">
      <c r="A690" s="1">
        <v>43788</v>
      </c>
      <c r="B690">
        <v>2</v>
      </c>
      <c r="C690">
        <v>506</v>
      </c>
      <c r="D690">
        <v>4241</v>
      </c>
      <c r="E690" t="s">
        <v>377</v>
      </c>
      <c r="F690" t="s">
        <v>38</v>
      </c>
      <c r="H690">
        <v>27</v>
      </c>
      <c r="I690" s="25"/>
      <c r="Q690">
        <f t="shared" si="27"/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 s="21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f t="shared" si="28"/>
        <v>0</v>
      </c>
      <c r="AP690" t="s">
        <v>41</v>
      </c>
    </row>
    <row r="691" spans="1:42">
      <c r="A691" s="1">
        <v>43788</v>
      </c>
      <c r="B691">
        <v>2</v>
      </c>
      <c r="C691">
        <v>506</v>
      </c>
      <c r="D691">
        <v>4241</v>
      </c>
      <c r="E691" t="s">
        <v>377</v>
      </c>
      <c r="F691" t="s">
        <v>38</v>
      </c>
      <c r="H691">
        <v>28</v>
      </c>
      <c r="I691" s="25">
        <v>888</v>
      </c>
      <c r="K691" t="s">
        <v>391</v>
      </c>
      <c r="N691" t="s">
        <v>42</v>
      </c>
      <c r="O691">
        <v>60</v>
      </c>
      <c r="Q691">
        <f t="shared" si="27"/>
        <v>0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0</v>
      </c>
      <c r="X691" s="2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f t="shared" si="28"/>
        <v>0</v>
      </c>
      <c r="AP691" t="s">
        <v>41</v>
      </c>
    </row>
    <row r="692" spans="1:42">
      <c r="A692" s="1">
        <v>43788</v>
      </c>
      <c r="B692">
        <v>2</v>
      </c>
      <c r="C692">
        <v>506</v>
      </c>
      <c r="D692">
        <v>4241</v>
      </c>
      <c r="E692" t="s">
        <v>377</v>
      </c>
      <c r="F692" t="s">
        <v>38</v>
      </c>
      <c r="H692">
        <v>29</v>
      </c>
      <c r="I692" s="25">
        <v>1155</v>
      </c>
      <c r="K692" t="s">
        <v>73</v>
      </c>
      <c r="N692" t="s">
        <v>42</v>
      </c>
      <c r="O692">
        <v>135</v>
      </c>
      <c r="Q692">
        <f t="shared" si="27"/>
        <v>0</v>
      </c>
      <c r="R692">
        <v>1</v>
      </c>
      <c r="S692">
        <v>0</v>
      </c>
      <c r="T692">
        <v>0</v>
      </c>
      <c r="U692">
        <v>0</v>
      </c>
      <c r="V692">
        <v>0</v>
      </c>
      <c r="W692">
        <v>0</v>
      </c>
      <c r="X692" s="21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f t="shared" si="28"/>
        <v>0</v>
      </c>
      <c r="AP692" t="s">
        <v>41</v>
      </c>
    </row>
    <row r="693" spans="1:42">
      <c r="A693" s="1">
        <v>43788</v>
      </c>
      <c r="B693">
        <v>2</v>
      </c>
      <c r="C693">
        <v>506</v>
      </c>
      <c r="D693">
        <v>4241</v>
      </c>
      <c r="E693" t="s">
        <v>377</v>
      </c>
      <c r="F693" t="s">
        <v>38</v>
      </c>
      <c r="H693">
        <v>30</v>
      </c>
      <c r="I693" s="25"/>
      <c r="Q693">
        <f t="shared" si="27"/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 s="21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f t="shared" si="28"/>
        <v>0</v>
      </c>
      <c r="AP693" t="s">
        <v>41</v>
      </c>
    </row>
    <row r="694" spans="1:42">
      <c r="A694" s="1">
        <v>43788</v>
      </c>
      <c r="B694">
        <v>2</v>
      </c>
      <c r="C694">
        <v>506</v>
      </c>
      <c r="D694">
        <v>4241</v>
      </c>
      <c r="E694" t="s">
        <v>377</v>
      </c>
      <c r="F694" t="s">
        <v>38</v>
      </c>
      <c r="H694">
        <v>31</v>
      </c>
      <c r="I694" s="25">
        <v>934</v>
      </c>
      <c r="K694" t="s">
        <v>378</v>
      </c>
      <c r="N694" t="s">
        <v>40</v>
      </c>
      <c r="O694">
        <v>42</v>
      </c>
      <c r="Q694">
        <f t="shared" si="27"/>
        <v>0</v>
      </c>
      <c r="R694">
        <v>1</v>
      </c>
      <c r="S694">
        <v>0</v>
      </c>
      <c r="T694">
        <v>0</v>
      </c>
      <c r="U694">
        <v>0</v>
      </c>
      <c r="V694">
        <v>0</v>
      </c>
      <c r="W694">
        <v>0</v>
      </c>
      <c r="X694" s="21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f t="shared" si="28"/>
        <v>0</v>
      </c>
      <c r="AP694" t="s">
        <v>41</v>
      </c>
    </row>
    <row r="695" spans="1:42">
      <c r="A695" s="1">
        <v>43788</v>
      </c>
      <c r="B695">
        <v>2</v>
      </c>
      <c r="C695">
        <v>506</v>
      </c>
      <c r="D695">
        <v>4241</v>
      </c>
      <c r="E695" t="s">
        <v>377</v>
      </c>
      <c r="F695" t="s">
        <v>38</v>
      </c>
      <c r="H695">
        <v>32</v>
      </c>
      <c r="I695" s="25">
        <v>888</v>
      </c>
      <c r="K695" t="s">
        <v>378</v>
      </c>
      <c r="N695" t="s">
        <v>392</v>
      </c>
      <c r="O695">
        <v>180</v>
      </c>
      <c r="Q695">
        <f t="shared" si="27"/>
        <v>0</v>
      </c>
      <c r="R695">
        <v>1</v>
      </c>
      <c r="S695">
        <v>0</v>
      </c>
      <c r="T695">
        <v>0</v>
      </c>
      <c r="U695">
        <v>0</v>
      </c>
      <c r="V695">
        <v>0</v>
      </c>
      <c r="W695">
        <v>0</v>
      </c>
      <c r="X695" s="21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f t="shared" si="28"/>
        <v>0</v>
      </c>
      <c r="AP695" t="s">
        <v>41</v>
      </c>
    </row>
    <row r="696" spans="1:42">
      <c r="A696" s="1">
        <v>43788</v>
      </c>
      <c r="B696">
        <v>2</v>
      </c>
      <c r="C696">
        <v>506</v>
      </c>
      <c r="D696">
        <v>4241</v>
      </c>
      <c r="E696" t="s">
        <v>377</v>
      </c>
      <c r="F696" t="s">
        <v>38</v>
      </c>
      <c r="H696">
        <v>33</v>
      </c>
      <c r="I696" s="25">
        <v>303</v>
      </c>
      <c r="K696" t="s">
        <v>380</v>
      </c>
      <c r="N696" t="s">
        <v>40</v>
      </c>
      <c r="O696">
        <v>66</v>
      </c>
      <c r="Q696">
        <f t="shared" si="27"/>
        <v>0</v>
      </c>
      <c r="R696">
        <v>1</v>
      </c>
      <c r="S696">
        <v>0</v>
      </c>
      <c r="T696">
        <v>0</v>
      </c>
      <c r="U696">
        <v>0</v>
      </c>
      <c r="V696">
        <v>0</v>
      </c>
      <c r="W696">
        <v>0</v>
      </c>
      <c r="X696" s="21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f t="shared" si="28"/>
        <v>0</v>
      </c>
      <c r="AP696" t="s">
        <v>41</v>
      </c>
    </row>
    <row r="697" spans="1:42">
      <c r="A697" s="1">
        <v>43788</v>
      </c>
      <c r="B697">
        <v>2</v>
      </c>
      <c r="C697">
        <v>506</v>
      </c>
      <c r="D697">
        <v>4241</v>
      </c>
      <c r="E697" t="s">
        <v>377</v>
      </c>
      <c r="F697" t="s">
        <v>38</v>
      </c>
      <c r="H697">
        <v>34</v>
      </c>
      <c r="I697" s="25">
        <v>215</v>
      </c>
      <c r="K697" t="s">
        <v>387</v>
      </c>
      <c r="N697" t="s">
        <v>44</v>
      </c>
      <c r="O697">
        <v>301</v>
      </c>
      <c r="Q697">
        <f t="shared" si="27"/>
        <v>0</v>
      </c>
      <c r="R697">
        <v>2</v>
      </c>
      <c r="S697">
        <v>0</v>
      </c>
      <c r="T697">
        <v>0</v>
      </c>
      <c r="U697">
        <v>0</v>
      </c>
      <c r="V697">
        <v>0</v>
      </c>
      <c r="W697">
        <v>0</v>
      </c>
      <c r="X697" s="21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f t="shared" si="28"/>
        <v>0</v>
      </c>
      <c r="AP697" t="s">
        <v>41</v>
      </c>
    </row>
    <row r="698" spans="1:42">
      <c r="A698" s="1">
        <v>43788</v>
      </c>
      <c r="B698">
        <v>2</v>
      </c>
      <c r="C698">
        <v>506</v>
      </c>
      <c r="D698">
        <v>4241</v>
      </c>
      <c r="E698" t="s">
        <v>377</v>
      </c>
      <c r="F698" t="s">
        <v>38</v>
      </c>
      <c r="H698">
        <v>35</v>
      </c>
      <c r="I698" s="25">
        <v>181</v>
      </c>
      <c r="K698" t="s">
        <v>387</v>
      </c>
      <c r="N698" t="s">
        <v>44</v>
      </c>
      <c r="O698">
        <v>228</v>
      </c>
      <c r="Q698">
        <f t="shared" si="27"/>
        <v>0</v>
      </c>
      <c r="R698">
        <v>1</v>
      </c>
      <c r="S698">
        <v>0</v>
      </c>
      <c r="T698">
        <v>0</v>
      </c>
      <c r="U698">
        <v>0</v>
      </c>
      <c r="V698">
        <v>0</v>
      </c>
      <c r="W698">
        <v>0</v>
      </c>
      <c r="X698" s="21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f t="shared" si="28"/>
        <v>0</v>
      </c>
      <c r="AP698" t="s">
        <v>41</v>
      </c>
    </row>
    <row r="699" spans="1:42">
      <c r="A699" s="1">
        <v>43788</v>
      </c>
      <c r="B699">
        <v>2</v>
      </c>
      <c r="C699">
        <v>506</v>
      </c>
      <c r="D699">
        <v>4241</v>
      </c>
      <c r="E699" t="s">
        <v>377</v>
      </c>
      <c r="F699" t="s">
        <v>38</v>
      </c>
      <c r="H699">
        <v>36</v>
      </c>
      <c r="I699" s="25">
        <v>250</v>
      </c>
      <c r="K699" t="s">
        <v>391</v>
      </c>
      <c r="N699" t="s">
        <v>42</v>
      </c>
      <c r="O699">
        <v>151</v>
      </c>
      <c r="Q699">
        <f t="shared" si="27"/>
        <v>0</v>
      </c>
      <c r="R699">
        <v>1</v>
      </c>
      <c r="S699">
        <v>0</v>
      </c>
      <c r="T699">
        <v>0</v>
      </c>
      <c r="U699">
        <v>0</v>
      </c>
      <c r="V699">
        <v>0</v>
      </c>
      <c r="W699">
        <v>0</v>
      </c>
      <c r="X699" s="21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f t="shared" si="28"/>
        <v>0</v>
      </c>
      <c r="AL699" t="s">
        <v>45</v>
      </c>
      <c r="AP699" t="s">
        <v>41</v>
      </c>
    </row>
    <row r="700" spans="1:42">
      <c r="A700" s="1">
        <v>43788</v>
      </c>
      <c r="B700">
        <v>2</v>
      </c>
      <c r="C700">
        <v>506</v>
      </c>
      <c r="D700">
        <v>4241</v>
      </c>
      <c r="E700" t="s">
        <v>377</v>
      </c>
      <c r="F700" t="s">
        <v>38</v>
      </c>
      <c r="H700">
        <v>37</v>
      </c>
      <c r="I700" s="25">
        <v>301</v>
      </c>
      <c r="K700" t="s">
        <v>391</v>
      </c>
      <c r="N700" t="s">
        <v>40</v>
      </c>
      <c r="O700">
        <v>46</v>
      </c>
      <c r="Q700">
        <f t="shared" si="27"/>
        <v>0</v>
      </c>
      <c r="R700">
        <v>1</v>
      </c>
      <c r="S700">
        <v>0</v>
      </c>
      <c r="T700">
        <v>0</v>
      </c>
      <c r="U700">
        <v>0</v>
      </c>
      <c r="V700">
        <v>0</v>
      </c>
      <c r="W700">
        <v>0</v>
      </c>
      <c r="X700" s="21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f t="shared" si="28"/>
        <v>0</v>
      </c>
      <c r="AP700" t="s">
        <v>41</v>
      </c>
    </row>
    <row r="701" spans="1:42">
      <c r="A701" s="1">
        <v>43788</v>
      </c>
      <c r="B701">
        <v>2</v>
      </c>
      <c r="C701">
        <v>506</v>
      </c>
      <c r="D701">
        <v>4241</v>
      </c>
      <c r="E701" t="s">
        <v>377</v>
      </c>
      <c r="F701" t="s">
        <v>38</v>
      </c>
      <c r="H701">
        <v>38</v>
      </c>
      <c r="I701" s="25">
        <v>150</v>
      </c>
      <c r="K701" t="s">
        <v>384</v>
      </c>
      <c r="N701" t="s">
        <v>40</v>
      </c>
      <c r="O701">
        <v>39</v>
      </c>
      <c r="Q701">
        <f t="shared" si="27"/>
        <v>0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0</v>
      </c>
      <c r="X701" s="2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f t="shared" si="28"/>
        <v>0</v>
      </c>
      <c r="AP701" t="s">
        <v>41</v>
      </c>
    </row>
    <row r="702" spans="1:42">
      <c r="A702" s="1">
        <v>43788</v>
      </c>
      <c r="B702">
        <v>2</v>
      </c>
      <c r="C702">
        <v>506</v>
      </c>
      <c r="D702">
        <v>4241</v>
      </c>
      <c r="E702" t="s">
        <v>377</v>
      </c>
      <c r="F702" t="s">
        <v>38</v>
      </c>
      <c r="H702">
        <v>39</v>
      </c>
      <c r="I702" s="25">
        <v>168</v>
      </c>
      <c r="K702" t="s">
        <v>384</v>
      </c>
      <c r="N702" t="s">
        <v>40</v>
      </c>
      <c r="O702">
        <v>55</v>
      </c>
      <c r="Q702">
        <f t="shared" si="27"/>
        <v>0</v>
      </c>
      <c r="R702">
        <v>1</v>
      </c>
      <c r="S702">
        <v>0</v>
      </c>
      <c r="T702">
        <v>0</v>
      </c>
      <c r="U702">
        <v>0</v>
      </c>
      <c r="V702">
        <v>0</v>
      </c>
      <c r="W702">
        <v>0</v>
      </c>
      <c r="X702" s="21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f t="shared" si="28"/>
        <v>0</v>
      </c>
      <c r="AP702" t="s">
        <v>41</v>
      </c>
    </row>
    <row r="703" spans="1:42">
      <c r="A703" s="1">
        <v>43788</v>
      </c>
      <c r="B703">
        <v>2</v>
      </c>
      <c r="C703">
        <v>506</v>
      </c>
      <c r="D703">
        <v>4241</v>
      </c>
      <c r="E703" t="s">
        <v>377</v>
      </c>
      <c r="F703" t="s">
        <v>38</v>
      </c>
      <c r="H703">
        <v>40</v>
      </c>
      <c r="I703" s="25">
        <v>201</v>
      </c>
      <c r="K703" t="s">
        <v>384</v>
      </c>
      <c r="N703" t="s">
        <v>44</v>
      </c>
      <c r="O703">
        <v>111</v>
      </c>
      <c r="Q703">
        <f t="shared" si="27"/>
        <v>0</v>
      </c>
      <c r="R703">
        <v>1</v>
      </c>
      <c r="S703">
        <v>0</v>
      </c>
      <c r="T703">
        <v>0</v>
      </c>
      <c r="U703">
        <v>0</v>
      </c>
      <c r="V703">
        <v>0</v>
      </c>
      <c r="W703">
        <v>0</v>
      </c>
      <c r="X703" s="21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f t="shared" si="28"/>
        <v>0</v>
      </c>
      <c r="AP703" t="s">
        <v>41</v>
      </c>
    </row>
    <row r="704" spans="1:42">
      <c r="A704" s="1">
        <v>43788</v>
      </c>
      <c r="B704">
        <v>2</v>
      </c>
      <c r="C704">
        <v>506</v>
      </c>
      <c r="D704">
        <v>4241</v>
      </c>
      <c r="E704" t="s">
        <v>377</v>
      </c>
      <c r="F704" t="s">
        <v>38</v>
      </c>
      <c r="H704">
        <v>41</v>
      </c>
      <c r="I704" s="25">
        <v>225</v>
      </c>
      <c r="K704" t="s">
        <v>393</v>
      </c>
      <c r="N704" t="s">
        <v>44</v>
      </c>
      <c r="O704">
        <v>75</v>
      </c>
      <c r="Q704">
        <f t="shared" si="27"/>
        <v>0</v>
      </c>
      <c r="R704">
        <v>1</v>
      </c>
      <c r="S704">
        <v>0</v>
      </c>
      <c r="T704">
        <v>0</v>
      </c>
      <c r="U704">
        <v>0</v>
      </c>
      <c r="V704">
        <v>0</v>
      </c>
      <c r="W704">
        <v>0</v>
      </c>
      <c r="X704" s="21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f t="shared" si="28"/>
        <v>0</v>
      </c>
      <c r="AP704" t="s">
        <v>41</v>
      </c>
    </row>
    <row r="705" spans="1:42">
      <c r="A705" s="1">
        <v>43788</v>
      </c>
      <c r="B705">
        <v>2</v>
      </c>
      <c r="C705">
        <v>506</v>
      </c>
      <c r="D705">
        <v>4241</v>
      </c>
      <c r="E705" t="s">
        <v>377</v>
      </c>
      <c r="F705" t="s">
        <v>38</v>
      </c>
      <c r="H705">
        <v>42</v>
      </c>
      <c r="I705" s="25">
        <v>201</v>
      </c>
      <c r="K705" t="s">
        <v>394</v>
      </c>
      <c r="N705" t="s">
        <v>44</v>
      </c>
      <c r="O705">
        <v>270</v>
      </c>
      <c r="Q705">
        <f t="shared" si="27"/>
        <v>0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0</v>
      </c>
      <c r="X705" s="21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f t="shared" si="28"/>
        <v>0</v>
      </c>
      <c r="AP705" t="s">
        <v>41</v>
      </c>
    </row>
    <row r="706" spans="1:42">
      <c r="A706" s="1">
        <v>43788</v>
      </c>
      <c r="B706">
        <v>2</v>
      </c>
      <c r="C706">
        <v>506</v>
      </c>
      <c r="D706">
        <v>4241</v>
      </c>
      <c r="E706" t="s">
        <v>377</v>
      </c>
      <c r="F706" t="s">
        <v>38</v>
      </c>
      <c r="H706">
        <v>43</v>
      </c>
      <c r="I706" s="25">
        <v>405</v>
      </c>
      <c r="K706" t="s">
        <v>391</v>
      </c>
      <c r="N706" t="s">
        <v>44</v>
      </c>
      <c r="O706">
        <v>201</v>
      </c>
      <c r="Q706">
        <f t="shared" si="27"/>
        <v>0</v>
      </c>
      <c r="R706">
        <v>1</v>
      </c>
      <c r="S706">
        <v>0</v>
      </c>
      <c r="T706">
        <v>0</v>
      </c>
      <c r="U706">
        <v>0</v>
      </c>
      <c r="V706">
        <v>0</v>
      </c>
      <c r="W706">
        <v>0</v>
      </c>
      <c r="X706" s="21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f t="shared" si="28"/>
        <v>0</v>
      </c>
      <c r="AP706" t="s">
        <v>41</v>
      </c>
    </row>
    <row r="707" spans="1:42">
      <c r="A707" s="1">
        <v>43788</v>
      </c>
      <c r="B707">
        <v>2</v>
      </c>
      <c r="C707">
        <v>506</v>
      </c>
      <c r="D707">
        <v>4241</v>
      </c>
      <c r="E707" t="s">
        <v>377</v>
      </c>
      <c r="F707" t="s">
        <v>38</v>
      </c>
      <c r="H707">
        <v>44</v>
      </c>
      <c r="I707" s="25">
        <v>368</v>
      </c>
      <c r="K707" t="s">
        <v>395</v>
      </c>
      <c r="N707" t="s">
        <v>40</v>
      </c>
      <c r="O707">
        <v>323</v>
      </c>
      <c r="Q707">
        <f t="shared" si="27"/>
        <v>0</v>
      </c>
      <c r="R707">
        <v>1</v>
      </c>
      <c r="S707">
        <v>0</v>
      </c>
      <c r="T707">
        <v>0</v>
      </c>
      <c r="U707">
        <v>0</v>
      </c>
      <c r="V707">
        <v>0</v>
      </c>
      <c r="W707">
        <v>0</v>
      </c>
      <c r="X707" s="21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f t="shared" si="28"/>
        <v>0</v>
      </c>
      <c r="AL707" t="s">
        <v>396</v>
      </c>
      <c r="AP707" t="s">
        <v>41</v>
      </c>
    </row>
    <row r="708" spans="1:42">
      <c r="A708" s="1">
        <v>43788</v>
      </c>
      <c r="B708">
        <v>2</v>
      </c>
      <c r="C708">
        <v>506</v>
      </c>
      <c r="D708">
        <v>4241</v>
      </c>
      <c r="E708" t="s">
        <v>377</v>
      </c>
      <c r="F708" t="s">
        <v>38</v>
      </c>
      <c r="H708">
        <v>45</v>
      </c>
      <c r="I708" s="25"/>
      <c r="Q708">
        <f t="shared" si="27"/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 s="21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f t="shared" si="28"/>
        <v>0</v>
      </c>
      <c r="AP708" t="s">
        <v>41</v>
      </c>
    </row>
    <row r="709" spans="1:42">
      <c r="A709" s="1">
        <v>43788</v>
      </c>
      <c r="B709">
        <v>2</v>
      </c>
      <c r="C709">
        <v>506</v>
      </c>
      <c r="D709">
        <v>4241</v>
      </c>
      <c r="E709" t="s">
        <v>377</v>
      </c>
      <c r="F709" t="s">
        <v>38</v>
      </c>
      <c r="H709">
        <v>46</v>
      </c>
      <c r="I709" s="25">
        <v>44</v>
      </c>
      <c r="K709" t="s">
        <v>397</v>
      </c>
      <c r="N709" t="s">
        <v>40</v>
      </c>
      <c r="O709">
        <v>112</v>
      </c>
      <c r="Q709">
        <f t="shared" si="27"/>
        <v>0</v>
      </c>
      <c r="R709">
        <v>1</v>
      </c>
      <c r="S709">
        <v>0</v>
      </c>
      <c r="T709">
        <v>0</v>
      </c>
      <c r="U709">
        <v>0</v>
      </c>
      <c r="V709">
        <v>0</v>
      </c>
      <c r="W709">
        <v>0</v>
      </c>
      <c r="X709" s="21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f t="shared" si="28"/>
        <v>0</v>
      </c>
      <c r="AP709" t="s">
        <v>41</v>
      </c>
    </row>
    <row r="710" spans="1:42">
      <c r="A710" s="1">
        <v>43788</v>
      </c>
      <c r="B710">
        <v>2</v>
      </c>
      <c r="C710">
        <v>506</v>
      </c>
      <c r="D710">
        <v>4241</v>
      </c>
      <c r="E710" t="s">
        <v>377</v>
      </c>
      <c r="F710" t="s">
        <v>38</v>
      </c>
      <c r="H710">
        <v>47</v>
      </c>
      <c r="I710" s="25">
        <v>55</v>
      </c>
      <c r="K710" t="s">
        <v>398</v>
      </c>
      <c r="N710" t="s">
        <v>42</v>
      </c>
      <c r="O710">
        <v>135</v>
      </c>
      <c r="Q710">
        <f t="shared" si="27"/>
        <v>0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 s="21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f t="shared" si="28"/>
        <v>0</v>
      </c>
      <c r="AP710" t="s">
        <v>41</v>
      </c>
    </row>
    <row r="711" spans="1:42">
      <c r="A711" s="1">
        <v>43788</v>
      </c>
      <c r="B711">
        <v>2</v>
      </c>
      <c r="C711">
        <v>506</v>
      </c>
      <c r="D711">
        <v>4241</v>
      </c>
      <c r="E711" t="s">
        <v>377</v>
      </c>
      <c r="F711" t="s">
        <v>38</v>
      </c>
      <c r="H711">
        <v>48</v>
      </c>
      <c r="I711" s="25">
        <v>140</v>
      </c>
      <c r="K711" t="s">
        <v>399</v>
      </c>
      <c r="N711" t="s">
        <v>42</v>
      </c>
      <c r="O711">
        <v>300</v>
      </c>
      <c r="Q711">
        <f t="shared" si="27"/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 s="2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f t="shared" si="28"/>
        <v>0</v>
      </c>
      <c r="AP711" t="s">
        <v>41</v>
      </c>
    </row>
    <row r="712" spans="1:42">
      <c r="A712" s="1">
        <v>43788</v>
      </c>
      <c r="B712">
        <v>2</v>
      </c>
      <c r="C712">
        <v>506</v>
      </c>
      <c r="D712">
        <v>4241</v>
      </c>
      <c r="E712" t="s">
        <v>377</v>
      </c>
      <c r="F712" t="s">
        <v>38</v>
      </c>
      <c r="H712">
        <v>49</v>
      </c>
      <c r="I712" s="25">
        <v>181</v>
      </c>
      <c r="K712" t="s">
        <v>389</v>
      </c>
      <c r="N712" t="s">
        <v>42</v>
      </c>
      <c r="O712">
        <v>300</v>
      </c>
      <c r="Q712">
        <f t="shared" si="27"/>
        <v>0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0</v>
      </c>
      <c r="X712" s="21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f t="shared" si="28"/>
        <v>0</v>
      </c>
      <c r="AP712" t="s">
        <v>41</v>
      </c>
    </row>
    <row r="713" spans="1:42">
      <c r="A713" s="1">
        <v>43788</v>
      </c>
      <c r="B713">
        <v>2</v>
      </c>
      <c r="C713">
        <v>506</v>
      </c>
      <c r="D713">
        <v>4241</v>
      </c>
      <c r="E713" t="s">
        <v>377</v>
      </c>
      <c r="F713" t="s">
        <v>38</v>
      </c>
      <c r="H713">
        <v>50</v>
      </c>
      <c r="I713" s="25">
        <v>151</v>
      </c>
      <c r="K713" t="s">
        <v>389</v>
      </c>
      <c r="N713" t="s">
        <v>42</v>
      </c>
      <c r="O713">
        <v>300</v>
      </c>
      <c r="Q713">
        <f t="shared" si="27"/>
        <v>0</v>
      </c>
      <c r="R713">
        <v>1</v>
      </c>
      <c r="S713">
        <v>0</v>
      </c>
      <c r="T713">
        <v>0</v>
      </c>
      <c r="U713">
        <v>0</v>
      </c>
      <c r="V713">
        <v>0</v>
      </c>
      <c r="W713">
        <v>0</v>
      </c>
      <c r="X713" s="21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f t="shared" si="28"/>
        <v>0</v>
      </c>
      <c r="AP713" t="s">
        <v>41</v>
      </c>
    </row>
    <row r="714" spans="1:42">
      <c r="A714" s="1">
        <v>43788</v>
      </c>
      <c r="B714">
        <v>2</v>
      </c>
      <c r="C714">
        <v>506</v>
      </c>
      <c r="D714">
        <v>4241</v>
      </c>
      <c r="E714" t="s">
        <v>377</v>
      </c>
      <c r="F714" t="s">
        <v>38</v>
      </c>
      <c r="H714">
        <v>51</v>
      </c>
      <c r="I714" s="25">
        <v>303</v>
      </c>
      <c r="K714" t="s">
        <v>389</v>
      </c>
      <c r="N714" t="s">
        <v>40</v>
      </c>
      <c r="O714">
        <v>86</v>
      </c>
      <c r="Q714">
        <f t="shared" si="27"/>
        <v>0</v>
      </c>
      <c r="R714">
        <v>1</v>
      </c>
      <c r="S714">
        <v>0</v>
      </c>
      <c r="T714">
        <v>0</v>
      </c>
      <c r="U714">
        <v>0</v>
      </c>
      <c r="V714">
        <v>0</v>
      </c>
      <c r="W714">
        <v>0</v>
      </c>
      <c r="X714" s="21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f t="shared" si="28"/>
        <v>0</v>
      </c>
      <c r="AP714" t="s">
        <v>41</v>
      </c>
    </row>
    <row r="715" spans="1:42">
      <c r="A715" s="1">
        <v>43788</v>
      </c>
      <c r="B715">
        <v>2</v>
      </c>
      <c r="C715">
        <v>506</v>
      </c>
      <c r="D715">
        <v>4241</v>
      </c>
      <c r="E715" t="s">
        <v>377</v>
      </c>
      <c r="F715" t="s">
        <v>38</v>
      </c>
      <c r="H715">
        <v>52</v>
      </c>
      <c r="I715" s="25">
        <v>215</v>
      </c>
      <c r="K715" t="s">
        <v>387</v>
      </c>
      <c r="N715" t="s">
        <v>42</v>
      </c>
      <c r="O715">
        <v>301</v>
      </c>
      <c r="Q715">
        <f t="shared" si="27"/>
        <v>0</v>
      </c>
      <c r="R715">
        <v>1</v>
      </c>
      <c r="S715">
        <v>0</v>
      </c>
      <c r="T715">
        <v>0</v>
      </c>
      <c r="U715">
        <v>0</v>
      </c>
      <c r="V715">
        <v>0</v>
      </c>
      <c r="W715">
        <v>0</v>
      </c>
      <c r="X715" s="21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f t="shared" si="28"/>
        <v>0</v>
      </c>
      <c r="AP715" t="s">
        <v>41</v>
      </c>
    </row>
    <row r="716" spans="1:42">
      <c r="A716" s="1">
        <v>43788</v>
      </c>
      <c r="B716">
        <v>2</v>
      </c>
      <c r="C716">
        <v>506</v>
      </c>
      <c r="D716">
        <v>4241</v>
      </c>
      <c r="E716" t="s">
        <v>377</v>
      </c>
      <c r="F716" t="s">
        <v>38</v>
      </c>
      <c r="H716">
        <v>53</v>
      </c>
      <c r="I716" s="25">
        <v>181</v>
      </c>
      <c r="K716" t="s">
        <v>387</v>
      </c>
      <c r="N716" t="s">
        <v>42</v>
      </c>
      <c r="O716">
        <v>228</v>
      </c>
      <c r="Q716">
        <f t="shared" si="27"/>
        <v>0</v>
      </c>
      <c r="R716">
        <v>1</v>
      </c>
      <c r="S716">
        <v>0</v>
      </c>
      <c r="T716">
        <v>0</v>
      </c>
      <c r="U716">
        <v>0</v>
      </c>
      <c r="V716">
        <v>0</v>
      </c>
      <c r="W716">
        <v>0</v>
      </c>
      <c r="X716" s="21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f t="shared" si="28"/>
        <v>0</v>
      </c>
      <c r="AP716" t="s">
        <v>41</v>
      </c>
    </row>
    <row r="717" spans="1:42">
      <c r="A717" s="1">
        <v>43788</v>
      </c>
      <c r="B717">
        <v>2</v>
      </c>
      <c r="C717">
        <v>506</v>
      </c>
      <c r="D717">
        <v>4241</v>
      </c>
      <c r="E717" t="s">
        <v>377</v>
      </c>
      <c r="F717" t="s">
        <v>38</v>
      </c>
      <c r="H717">
        <v>54</v>
      </c>
      <c r="I717" s="25">
        <v>250</v>
      </c>
      <c r="K717" t="s">
        <v>391</v>
      </c>
      <c r="N717" t="s">
        <v>400</v>
      </c>
      <c r="O717">
        <v>151</v>
      </c>
      <c r="Q717">
        <f t="shared" si="27"/>
        <v>0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0</v>
      </c>
      <c r="X717" s="21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f t="shared" si="28"/>
        <v>0</v>
      </c>
      <c r="AL717" t="s">
        <v>401</v>
      </c>
      <c r="AP717" t="s">
        <v>41</v>
      </c>
    </row>
    <row r="718" spans="1:42">
      <c r="A718" s="1">
        <v>43788</v>
      </c>
      <c r="B718">
        <v>2</v>
      </c>
      <c r="C718">
        <v>506</v>
      </c>
      <c r="D718">
        <v>4241</v>
      </c>
      <c r="E718" t="s">
        <v>377</v>
      </c>
      <c r="F718" t="s">
        <v>38</v>
      </c>
      <c r="H718">
        <v>55</v>
      </c>
      <c r="I718" s="25">
        <v>301</v>
      </c>
      <c r="K718" t="s">
        <v>391</v>
      </c>
      <c r="N718" t="s">
        <v>40</v>
      </c>
      <c r="O718">
        <v>46</v>
      </c>
      <c r="Q718">
        <f t="shared" si="27"/>
        <v>0</v>
      </c>
      <c r="R718">
        <v>1</v>
      </c>
      <c r="S718">
        <v>0</v>
      </c>
      <c r="T718">
        <v>0</v>
      </c>
      <c r="U718">
        <v>0</v>
      </c>
      <c r="V718">
        <v>0</v>
      </c>
      <c r="W718">
        <v>0</v>
      </c>
      <c r="X718" s="21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f t="shared" si="28"/>
        <v>0</v>
      </c>
      <c r="AP718" t="s">
        <v>41</v>
      </c>
    </row>
    <row r="719" spans="1:42">
      <c r="A719" s="1">
        <v>43788</v>
      </c>
      <c r="B719">
        <v>2</v>
      </c>
      <c r="C719">
        <v>506</v>
      </c>
      <c r="D719">
        <v>4241</v>
      </c>
      <c r="E719" t="s">
        <v>377</v>
      </c>
      <c r="F719" t="s">
        <v>38</v>
      </c>
      <c r="H719">
        <v>56</v>
      </c>
      <c r="I719" s="25"/>
      <c r="Q719">
        <f t="shared" si="27"/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 s="21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f t="shared" si="28"/>
        <v>0</v>
      </c>
      <c r="AP719" t="s">
        <v>41</v>
      </c>
    </row>
    <row r="720" spans="1:42">
      <c r="A720" s="1">
        <v>43788</v>
      </c>
      <c r="B720">
        <v>2</v>
      </c>
      <c r="C720">
        <v>506</v>
      </c>
      <c r="D720">
        <v>4241</v>
      </c>
      <c r="E720" t="s">
        <v>377</v>
      </c>
      <c r="F720" t="s">
        <v>38</v>
      </c>
      <c r="H720">
        <v>57</v>
      </c>
      <c r="I720" s="25">
        <v>150</v>
      </c>
      <c r="K720" t="s">
        <v>384</v>
      </c>
      <c r="N720" t="s">
        <v>40</v>
      </c>
      <c r="O720">
        <v>39</v>
      </c>
      <c r="Q720">
        <f t="shared" si="27"/>
        <v>0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0</v>
      </c>
      <c r="X720" s="21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f t="shared" si="28"/>
        <v>0</v>
      </c>
      <c r="AP720" t="s">
        <v>41</v>
      </c>
    </row>
    <row r="721" spans="1:42">
      <c r="A721" s="1">
        <v>43788</v>
      </c>
      <c r="B721">
        <v>2</v>
      </c>
      <c r="C721">
        <v>506</v>
      </c>
      <c r="D721">
        <v>4241</v>
      </c>
      <c r="E721" t="s">
        <v>377</v>
      </c>
      <c r="F721" t="s">
        <v>38</v>
      </c>
      <c r="H721">
        <v>58</v>
      </c>
      <c r="I721" s="25">
        <v>168</v>
      </c>
      <c r="K721" t="s">
        <v>384</v>
      </c>
      <c r="N721" t="s">
        <v>40</v>
      </c>
      <c r="O721">
        <v>55</v>
      </c>
      <c r="Q721">
        <f t="shared" si="27"/>
        <v>0</v>
      </c>
      <c r="R721">
        <v>1</v>
      </c>
      <c r="S721">
        <v>0</v>
      </c>
      <c r="T721">
        <v>0</v>
      </c>
      <c r="U721">
        <v>0</v>
      </c>
      <c r="V721">
        <v>0</v>
      </c>
      <c r="W721">
        <v>0</v>
      </c>
      <c r="X721" s="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f t="shared" si="28"/>
        <v>0</v>
      </c>
      <c r="AP721" t="s">
        <v>41</v>
      </c>
    </row>
    <row r="722" spans="1:42">
      <c r="A722" s="1">
        <v>43788</v>
      </c>
      <c r="B722">
        <v>2</v>
      </c>
      <c r="C722">
        <v>506</v>
      </c>
      <c r="D722">
        <v>4241</v>
      </c>
      <c r="E722" t="s">
        <v>377</v>
      </c>
      <c r="F722" t="s">
        <v>38</v>
      </c>
      <c r="H722">
        <v>59</v>
      </c>
      <c r="I722" s="25">
        <v>201</v>
      </c>
      <c r="K722" t="s">
        <v>384</v>
      </c>
      <c r="N722" t="s">
        <v>44</v>
      </c>
      <c r="O722">
        <v>111</v>
      </c>
      <c r="Q722">
        <f t="shared" si="27"/>
        <v>0</v>
      </c>
      <c r="R722">
        <v>1</v>
      </c>
      <c r="S722">
        <v>0</v>
      </c>
      <c r="T722">
        <v>0</v>
      </c>
      <c r="U722">
        <v>0</v>
      </c>
      <c r="V722">
        <v>0</v>
      </c>
      <c r="W722">
        <v>0</v>
      </c>
      <c r="X722" s="21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f t="shared" si="28"/>
        <v>0</v>
      </c>
      <c r="AP722" t="s">
        <v>41</v>
      </c>
    </row>
    <row r="723" spans="1:42">
      <c r="A723" s="1">
        <v>43788</v>
      </c>
      <c r="B723">
        <v>2</v>
      </c>
      <c r="C723">
        <v>506</v>
      </c>
      <c r="D723">
        <v>4241</v>
      </c>
      <c r="E723" t="s">
        <v>377</v>
      </c>
      <c r="F723" t="s">
        <v>38</v>
      </c>
      <c r="H723">
        <v>60</v>
      </c>
      <c r="I723" s="25">
        <v>221</v>
      </c>
      <c r="K723" t="s">
        <v>393</v>
      </c>
      <c r="N723" t="s">
        <v>44</v>
      </c>
      <c r="O723">
        <v>75</v>
      </c>
      <c r="Q723">
        <f t="shared" si="27"/>
        <v>0</v>
      </c>
      <c r="R723">
        <v>1</v>
      </c>
      <c r="S723">
        <v>0</v>
      </c>
      <c r="T723">
        <v>0</v>
      </c>
      <c r="U723">
        <v>0</v>
      </c>
      <c r="V723">
        <v>0</v>
      </c>
      <c r="W723">
        <v>0</v>
      </c>
      <c r="X723" s="21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f t="shared" si="28"/>
        <v>0</v>
      </c>
      <c r="AL723" t="s">
        <v>402</v>
      </c>
      <c r="AP723" t="s">
        <v>41</v>
      </c>
    </row>
    <row r="724" spans="1:42">
      <c r="A724" s="1">
        <v>43788</v>
      </c>
      <c r="B724">
        <v>2</v>
      </c>
      <c r="C724">
        <v>506</v>
      </c>
      <c r="D724">
        <v>4241</v>
      </c>
      <c r="E724" t="s">
        <v>377</v>
      </c>
      <c r="F724" t="s">
        <v>38</v>
      </c>
      <c r="H724">
        <v>61</v>
      </c>
      <c r="I724" s="25">
        <v>201</v>
      </c>
      <c r="K724" t="s">
        <v>394</v>
      </c>
      <c r="N724" t="s">
        <v>44</v>
      </c>
      <c r="O724">
        <v>270</v>
      </c>
      <c r="Q724">
        <f t="shared" si="27"/>
        <v>0</v>
      </c>
      <c r="R724">
        <v>1</v>
      </c>
      <c r="S724">
        <v>0</v>
      </c>
      <c r="T724">
        <v>0</v>
      </c>
      <c r="U724">
        <v>0</v>
      </c>
      <c r="V724">
        <v>0</v>
      </c>
      <c r="W724">
        <v>0</v>
      </c>
      <c r="X724" s="21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f t="shared" si="28"/>
        <v>0</v>
      </c>
      <c r="AP724" t="s">
        <v>41</v>
      </c>
    </row>
    <row r="725" spans="1:42">
      <c r="A725" s="1">
        <v>43788</v>
      </c>
      <c r="B725">
        <v>2</v>
      </c>
      <c r="C725">
        <v>506</v>
      </c>
      <c r="D725">
        <v>4241</v>
      </c>
      <c r="E725" t="s">
        <v>377</v>
      </c>
      <c r="F725" t="s">
        <v>38</v>
      </c>
      <c r="H725">
        <v>62</v>
      </c>
      <c r="I725" s="25">
        <v>405</v>
      </c>
      <c r="K725" t="s">
        <v>391</v>
      </c>
      <c r="N725" t="s">
        <v>44</v>
      </c>
      <c r="O725">
        <v>201</v>
      </c>
      <c r="Q725">
        <f t="shared" si="27"/>
        <v>0</v>
      </c>
      <c r="R725">
        <v>1</v>
      </c>
      <c r="S725">
        <v>0</v>
      </c>
      <c r="T725">
        <v>0</v>
      </c>
      <c r="U725">
        <v>0</v>
      </c>
      <c r="V725">
        <v>0</v>
      </c>
      <c r="W725">
        <v>0</v>
      </c>
      <c r="X725" s="21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f t="shared" si="28"/>
        <v>0</v>
      </c>
      <c r="AP725" t="s">
        <v>41</v>
      </c>
    </row>
    <row r="726" spans="1:42">
      <c r="A726" s="1">
        <v>43788</v>
      </c>
      <c r="B726">
        <v>2</v>
      </c>
      <c r="C726">
        <v>506</v>
      </c>
      <c r="D726">
        <v>4241</v>
      </c>
      <c r="E726" t="s">
        <v>377</v>
      </c>
      <c r="F726" t="s">
        <v>38</v>
      </c>
      <c r="H726">
        <v>63</v>
      </c>
      <c r="I726" s="25"/>
      <c r="Q726">
        <f t="shared" si="27"/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 s="21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f t="shared" si="28"/>
        <v>0</v>
      </c>
      <c r="AP726" t="s">
        <v>41</v>
      </c>
    </row>
    <row r="727" spans="1:42">
      <c r="A727" s="1">
        <v>43788</v>
      </c>
      <c r="B727">
        <v>2</v>
      </c>
      <c r="C727">
        <v>506</v>
      </c>
      <c r="D727">
        <v>4241</v>
      </c>
      <c r="E727" t="s">
        <v>377</v>
      </c>
      <c r="F727" t="s">
        <v>38</v>
      </c>
      <c r="H727">
        <v>64</v>
      </c>
      <c r="I727" s="25"/>
      <c r="Q727">
        <f t="shared" si="27"/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 s="21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f t="shared" si="28"/>
        <v>0</v>
      </c>
      <c r="AP727" t="s">
        <v>41</v>
      </c>
    </row>
    <row r="728" spans="1:42">
      <c r="A728" s="1">
        <v>43788</v>
      </c>
      <c r="B728">
        <v>2</v>
      </c>
      <c r="C728">
        <v>506</v>
      </c>
      <c r="D728">
        <v>4241</v>
      </c>
      <c r="E728" t="s">
        <v>377</v>
      </c>
      <c r="F728" t="s">
        <v>38</v>
      </c>
      <c r="H728">
        <v>65</v>
      </c>
      <c r="I728" s="25">
        <v>44</v>
      </c>
      <c r="K728" t="s">
        <v>397</v>
      </c>
      <c r="N728" t="s">
        <v>40</v>
      </c>
      <c r="O728">
        <v>112</v>
      </c>
      <c r="Q728">
        <f t="shared" si="27"/>
        <v>0</v>
      </c>
      <c r="R728">
        <v>1</v>
      </c>
      <c r="S728">
        <v>0</v>
      </c>
      <c r="T728">
        <v>0</v>
      </c>
      <c r="U728">
        <v>0</v>
      </c>
      <c r="V728">
        <v>0</v>
      </c>
      <c r="W728">
        <v>0</v>
      </c>
      <c r="X728" s="21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f t="shared" si="28"/>
        <v>0</v>
      </c>
      <c r="AP728" t="s">
        <v>41</v>
      </c>
    </row>
    <row r="729" spans="1:42">
      <c r="A729" s="1">
        <v>43788</v>
      </c>
      <c r="B729">
        <v>2</v>
      </c>
      <c r="C729">
        <v>506</v>
      </c>
      <c r="D729">
        <v>4241</v>
      </c>
      <c r="E729" t="s">
        <v>377</v>
      </c>
      <c r="F729" t="s">
        <v>38</v>
      </c>
      <c r="H729">
        <v>66</v>
      </c>
      <c r="I729" s="25">
        <v>55</v>
      </c>
      <c r="K729" t="s">
        <v>398</v>
      </c>
      <c r="N729" t="s">
        <v>42</v>
      </c>
      <c r="O729">
        <v>135</v>
      </c>
      <c r="Q729">
        <f t="shared" ref="Q729:Q792" si="29">SUM(S729:AC729)</f>
        <v>0</v>
      </c>
      <c r="R729">
        <v>1</v>
      </c>
      <c r="S729">
        <v>0</v>
      </c>
      <c r="T729">
        <v>0</v>
      </c>
      <c r="U729">
        <v>0</v>
      </c>
      <c r="V729">
        <v>0</v>
      </c>
      <c r="W729">
        <v>0</v>
      </c>
      <c r="X729" s="21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f t="shared" ref="AH729:AH792" si="30">(S729*16)+(T729*20)+(U729*32)+(V729*64)+(W729*96)</f>
        <v>0</v>
      </c>
      <c r="AP729" t="s">
        <v>41</v>
      </c>
    </row>
    <row r="730" spans="1:42">
      <c r="A730" s="1">
        <v>43788</v>
      </c>
      <c r="B730">
        <v>2</v>
      </c>
      <c r="C730">
        <v>506</v>
      </c>
      <c r="D730">
        <v>4241</v>
      </c>
      <c r="E730" t="s">
        <v>377</v>
      </c>
      <c r="F730" t="s">
        <v>38</v>
      </c>
      <c r="H730">
        <v>67</v>
      </c>
      <c r="I730" s="25">
        <v>140</v>
      </c>
      <c r="K730" t="s">
        <v>399</v>
      </c>
      <c r="N730" t="s">
        <v>42</v>
      </c>
      <c r="O730">
        <v>300</v>
      </c>
      <c r="Q730">
        <f t="shared" si="29"/>
        <v>0</v>
      </c>
      <c r="R730">
        <v>1</v>
      </c>
      <c r="S730">
        <v>0</v>
      </c>
      <c r="T730">
        <v>0</v>
      </c>
      <c r="U730">
        <v>0</v>
      </c>
      <c r="V730">
        <v>0</v>
      </c>
      <c r="W730">
        <v>0</v>
      </c>
      <c r="X730" s="21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f t="shared" si="30"/>
        <v>0</v>
      </c>
      <c r="AP730" t="s">
        <v>41</v>
      </c>
    </row>
    <row r="731" spans="1:42">
      <c r="A731" s="1">
        <v>43788</v>
      </c>
      <c r="B731">
        <v>2</v>
      </c>
      <c r="C731">
        <v>506</v>
      </c>
      <c r="D731">
        <v>4241</v>
      </c>
      <c r="E731" t="s">
        <v>377</v>
      </c>
      <c r="F731" t="s">
        <v>38</v>
      </c>
      <c r="H731">
        <v>68</v>
      </c>
      <c r="I731" s="25"/>
      <c r="Q731">
        <f t="shared" si="29"/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 s="2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f t="shared" si="30"/>
        <v>0</v>
      </c>
      <c r="AP731" t="s">
        <v>41</v>
      </c>
    </row>
    <row r="732" spans="1:42">
      <c r="A732" s="1">
        <v>43788</v>
      </c>
      <c r="B732">
        <v>2</v>
      </c>
      <c r="C732">
        <v>506</v>
      </c>
      <c r="D732">
        <v>4241</v>
      </c>
      <c r="E732" t="s">
        <v>377</v>
      </c>
      <c r="F732" t="s">
        <v>38</v>
      </c>
      <c r="H732">
        <v>69</v>
      </c>
      <c r="I732" s="25"/>
      <c r="Q732">
        <f t="shared" si="29"/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 s="21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f t="shared" si="30"/>
        <v>0</v>
      </c>
      <c r="AP732" t="s">
        <v>41</v>
      </c>
    </row>
    <row r="733" spans="1:42">
      <c r="A733" s="1">
        <v>43788</v>
      </c>
      <c r="B733">
        <v>2</v>
      </c>
      <c r="C733">
        <v>506</v>
      </c>
      <c r="D733">
        <v>4241</v>
      </c>
      <c r="E733" t="s">
        <v>377</v>
      </c>
      <c r="F733" t="s">
        <v>38</v>
      </c>
      <c r="H733">
        <v>70</v>
      </c>
      <c r="I733" s="25">
        <v>100</v>
      </c>
      <c r="K733" t="s">
        <v>403</v>
      </c>
      <c r="N733" t="s">
        <v>40</v>
      </c>
      <c r="O733">
        <v>195</v>
      </c>
      <c r="Q733">
        <f t="shared" si="29"/>
        <v>0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0</v>
      </c>
      <c r="X733" s="21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f t="shared" si="30"/>
        <v>0</v>
      </c>
      <c r="AL733" t="s">
        <v>45</v>
      </c>
      <c r="AP733" t="s">
        <v>41</v>
      </c>
    </row>
    <row r="734" spans="1:42">
      <c r="A734" s="1">
        <v>43788</v>
      </c>
      <c r="B734">
        <v>2</v>
      </c>
      <c r="C734">
        <v>506</v>
      </c>
      <c r="D734">
        <v>4241</v>
      </c>
      <c r="E734" t="s">
        <v>377</v>
      </c>
      <c r="F734" t="s">
        <v>38</v>
      </c>
      <c r="H734">
        <v>71</v>
      </c>
      <c r="I734" s="25">
        <v>535</v>
      </c>
      <c r="K734" t="s">
        <v>394</v>
      </c>
      <c r="N734" t="s">
        <v>40</v>
      </c>
      <c r="O734">
        <v>195</v>
      </c>
      <c r="Q734">
        <f t="shared" si="29"/>
        <v>0</v>
      </c>
      <c r="R734">
        <v>1</v>
      </c>
      <c r="S734">
        <v>0</v>
      </c>
      <c r="T734">
        <v>0</v>
      </c>
      <c r="U734">
        <v>0</v>
      </c>
      <c r="V734">
        <v>0</v>
      </c>
      <c r="W734">
        <v>0</v>
      </c>
      <c r="X734" s="21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f t="shared" si="30"/>
        <v>0</v>
      </c>
      <c r="AL734" t="s">
        <v>45</v>
      </c>
      <c r="AP734" t="s">
        <v>41</v>
      </c>
    </row>
    <row r="735" spans="1:42">
      <c r="A735" s="1">
        <v>43788</v>
      </c>
      <c r="B735">
        <v>2</v>
      </c>
      <c r="C735">
        <v>506</v>
      </c>
      <c r="D735">
        <v>4241</v>
      </c>
      <c r="E735" t="s">
        <v>377</v>
      </c>
      <c r="F735" t="s">
        <v>38</v>
      </c>
      <c r="H735">
        <v>72</v>
      </c>
      <c r="I735" s="25">
        <v>555</v>
      </c>
      <c r="K735" t="s">
        <v>394</v>
      </c>
      <c r="N735" t="s">
        <v>44</v>
      </c>
      <c r="O735">
        <v>195</v>
      </c>
      <c r="Q735">
        <f t="shared" si="29"/>
        <v>0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0</v>
      </c>
      <c r="X735" s="21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f t="shared" si="30"/>
        <v>0</v>
      </c>
      <c r="AL735" t="s">
        <v>404</v>
      </c>
      <c r="AP735" t="s">
        <v>41</v>
      </c>
    </row>
    <row r="736" spans="1:42">
      <c r="A736" s="1">
        <v>43788</v>
      </c>
      <c r="B736">
        <v>2</v>
      </c>
      <c r="C736">
        <v>506</v>
      </c>
      <c r="D736">
        <v>4241</v>
      </c>
      <c r="E736" t="s">
        <v>377</v>
      </c>
      <c r="F736" t="s">
        <v>38</v>
      </c>
      <c r="H736">
        <v>73</v>
      </c>
      <c r="I736" s="25">
        <v>101</v>
      </c>
      <c r="K736" t="s">
        <v>380</v>
      </c>
      <c r="N736" t="s">
        <v>40</v>
      </c>
      <c r="O736">
        <v>195</v>
      </c>
      <c r="Q736">
        <f t="shared" si="29"/>
        <v>0</v>
      </c>
      <c r="R736">
        <v>1</v>
      </c>
      <c r="S736">
        <v>0</v>
      </c>
      <c r="T736">
        <v>0</v>
      </c>
      <c r="U736">
        <v>0</v>
      </c>
      <c r="V736">
        <v>0</v>
      </c>
      <c r="W736">
        <v>0</v>
      </c>
      <c r="X736" s="21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f t="shared" si="30"/>
        <v>0</v>
      </c>
      <c r="AP736" t="s">
        <v>41</v>
      </c>
    </row>
    <row r="737" spans="1:42">
      <c r="A737" s="1">
        <v>43788</v>
      </c>
      <c r="B737">
        <v>2</v>
      </c>
      <c r="C737">
        <v>506</v>
      </c>
      <c r="D737">
        <v>4241</v>
      </c>
      <c r="E737" t="s">
        <v>377</v>
      </c>
      <c r="F737" t="s">
        <v>38</v>
      </c>
      <c r="H737">
        <v>74</v>
      </c>
      <c r="I737" s="25">
        <v>425</v>
      </c>
      <c r="K737" t="s">
        <v>394</v>
      </c>
      <c r="N737" t="s">
        <v>40</v>
      </c>
      <c r="O737">
        <v>70</v>
      </c>
      <c r="Q737">
        <f t="shared" si="29"/>
        <v>0</v>
      </c>
      <c r="R737">
        <v>1</v>
      </c>
      <c r="S737">
        <v>0</v>
      </c>
      <c r="T737">
        <v>0</v>
      </c>
      <c r="U737">
        <v>0</v>
      </c>
      <c r="V737">
        <v>0</v>
      </c>
      <c r="W737">
        <v>0</v>
      </c>
      <c r="X737" s="21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f t="shared" si="30"/>
        <v>0</v>
      </c>
      <c r="AL737" t="s">
        <v>405</v>
      </c>
      <c r="AP737" t="s">
        <v>41</v>
      </c>
    </row>
    <row r="738" spans="1:42">
      <c r="A738" s="1">
        <v>43788</v>
      </c>
      <c r="B738">
        <v>2</v>
      </c>
      <c r="C738">
        <v>506</v>
      </c>
      <c r="D738">
        <v>4241</v>
      </c>
      <c r="E738" t="s">
        <v>377</v>
      </c>
      <c r="F738" t="s">
        <v>38</v>
      </c>
      <c r="H738">
        <v>75</v>
      </c>
      <c r="I738" s="25">
        <v>500</v>
      </c>
      <c r="K738" t="s">
        <v>391</v>
      </c>
      <c r="N738" t="s">
        <v>40</v>
      </c>
      <c r="O738">
        <v>70</v>
      </c>
      <c r="Q738">
        <f t="shared" si="29"/>
        <v>0</v>
      </c>
      <c r="R738">
        <v>1</v>
      </c>
      <c r="S738">
        <v>0</v>
      </c>
      <c r="T738">
        <v>0</v>
      </c>
      <c r="U738">
        <v>0</v>
      </c>
      <c r="V738">
        <v>0</v>
      </c>
      <c r="W738">
        <v>0</v>
      </c>
      <c r="X738" s="21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f t="shared" si="30"/>
        <v>0</v>
      </c>
      <c r="AL738" t="s">
        <v>379</v>
      </c>
      <c r="AP738" t="s">
        <v>41</v>
      </c>
    </row>
    <row r="739" spans="1:42">
      <c r="A739" s="1">
        <v>43788</v>
      </c>
      <c r="B739">
        <v>2</v>
      </c>
      <c r="C739">
        <v>506</v>
      </c>
      <c r="D739">
        <v>4241</v>
      </c>
      <c r="E739" t="s">
        <v>377</v>
      </c>
      <c r="F739" t="s">
        <v>38</v>
      </c>
      <c r="H739">
        <v>76</v>
      </c>
      <c r="I739" s="25">
        <v>201</v>
      </c>
      <c r="K739" t="s">
        <v>389</v>
      </c>
      <c r="N739" t="s">
        <v>40</v>
      </c>
      <c r="O739">
        <v>142</v>
      </c>
      <c r="Q739">
        <f t="shared" si="29"/>
        <v>0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0</v>
      </c>
      <c r="X739" s="21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f t="shared" si="30"/>
        <v>0</v>
      </c>
      <c r="AP739" t="s">
        <v>41</v>
      </c>
    </row>
    <row r="740" spans="1:42">
      <c r="A740" s="1">
        <v>43788</v>
      </c>
      <c r="B740">
        <v>2</v>
      </c>
      <c r="C740">
        <v>506</v>
      </c>
      <c r="D740">
        <v>4241</v>
      </c>
      <c r="E740" t="s">
        <v>377</v>
      </c>
      <c r="F740" t="s">
        <v>38</v>
      </c>
      <c r="H740">
        <v>77</v>
      </c>
      <c r="I740" s="25">
        <v>737</v>
      </c>
      <c r="K740" t="s">
        <v>391</v>
      </c>
      <c r="N740" t="s">
        <v>44</v>
      </c>
      <c r="O740">
        <v>258</v>
      </c>
      <c r="Q740">
        <f t="shared" si="29"/>
        <v>0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 s="21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f t="shared" si="30"/>
        <v>0</v>
      </c>
      <c r="AP740" t="s">
        <v>41</v>
      </c>
    </row>
    <row r="741" spans="1:42">
      <c r="A741" s="1">
        <v>43788</v>
      </c>
      <c r="B741">
        <v>2</v>
      </c>
      <c r="C741">
        <v>506</v>
      </c>
      <c r="D741">
        <v>4241</v>
      </c>
      <c r="E741" t="s">
        <v>377</v>
      </c>
      <c r="F741" t="s">
        <v>38</v>
      </c>
      <c r="H741">
        <v>78</v>
      </c>
      <c r="I741" s="25">
        <v>55</v>
      </c>
      <c r="K741" t="s">
        <v>406</v>
      </c>
      <c r="N741" t="s">
        <v>44</v>
      </c>
      <c r="O741">
        <v>258</v>
      </c>
      <c r="Q741">
        <f t="shared" si="29"/>
        <v>0</v>
      </c>
      <c r="R741">
        <v>1</v>
      </c>
      <c r="S741">
        <v>0</v>
      </c>
      <c r="T741">
        <v>0</v>
      </c>
      <c r="U741">
        <v>0</v>
      </c>
      <c r="V741">
        <v>0</v>
      </c>
      <c r="W741">
        <v>0</v>
      </c>
      <c r="X741" s="2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f t="shared" si="30"/>
        <v>0</v>
      </c>
      <c r="AP741" t="s">
        <v>41</v>
      </c>
    </row>
    <row r="742" spans="1:42">
      <c r="A742" s="1">
        <v>43788</v>
      </c>
      <c r="B742">
        <v>2</v>
      </c>
      <c r="C742">
        <v>506</v>
      </c>
      <c r="D742">
        <v>4241</v>
      </c>
      <c r="E742" t="s">
        <v>377</v>
      </c>
      <c r="F742" t="s">
        <v>38</v>
      </c>
      <c r="H742">
        <v>79</v>
      </c>
      <c r="I742" s="25"/>
      <c r="O742">
        <v>360</v>
      </c>
      <c r="Q742">
        <f t="shared" si="29"/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 s="21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f t="shared" si="30"/>
        <v>0</v>
      </c>
      <c r="AP742" t="s">
        <v>41</v>
      </c>
    </row>
    <row r="743" spans="1:42">
      <c r="A743" s="1">
        <v>43788</v>
      </c>
      <c r="B743">
        <v>2</v>
      </c>
      <c r="C743">
        <v>506</v>
      </c>
      <c r="D743">
        <v>4241</v>
      </c>
      <c r="E743" t="s">
        <v>377</v>
      </c>
      <c r="F743" t="s">
        <v>38</v>
      </c>
      <c r="H743">
        <v>80</v>
      </c>
      <c r="I743" s="25"/>
      <c r="O743">
        <v>360</v>
      </c>
      <c r="Q743">
        <f t="shared" si="29"/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 s="21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f t="shared" si="30"/>
        <v>0</v>
      </c>
      <c r="AP743" t="s">
        <v>41</v>
      </c>
    </row>
    <row r="744" spans="1:42">
      <c r="A744" s="1">
        <v>43788</v>
      </c>
      <c r="B744">
        <v>2</v>
      </c>
      <c r="C744">
        <v>506</v>
      </c>
      <c r="D744">
        <v>4241</v>
      </c>
      <c r="E744" t="s">
        <v>377</v>
      </c>
      <c r="F744" t="s">
        <v>38</v>
      </c>
      <c r="H744">
        <v>81</v>
      </c>
      <c r="I744" s="25"/>
      <c r="Q744">
        <f t="shared" si="29"/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 s="21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f t="shared" si="30"/>
        <v>0</v>
      </c>
      <c r="AP744" t="s">
        <v>41</v>
      </c>
    </row>
    <row r="745" spans="1:42">
      <c r="A745" s="1">
        <v>43788</v>
      </c>
      <c r="B745">
        <v>2</v>
      </c>
      <c r="C745">
        <v>506</v>
      </c>
      <c r="D745">
        <v>4241</v>
      </c>
      <c r="E745" t="s">
        <v>377</v>
      </c>
      <c r="F745" t="s">
        <v>38</v>
      </c>
      <c r="H745">
        <v>82</v>
      </c>
      <c r="I745" s="25"/>
      <c r="Q745">
        <f t="shared" si="29"/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 s="21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f t="shared" si="30"/>
        <v>0</v>
      </c>
      <c r="AP745" t="s">
        <v>41</v>
      </c>
    </row>
    <row r="746" spans="1:42">
      <c r="A746" s="1">
        <v>43788</v>
      </c>
      <c r="B746">
        <v>2</v>
      </c>
      <c r="C746">
        <v>506</v>
      </c>
      <c r="D746">
        <v>4241</v>
      </c>
      <c r="E746" t="s">
        <v>377</v>
      </c>
      <c r="F746" t="s">
        <v>38</v>
      </c>
      <c r="H746">
        <v>83</v>
      </c>
      <c r="I746" s="25"/>
      <c r="Q746">
        <f t="shared" si="29"/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 s="21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f t="shared" si="30"/>
        <v>0</v>
      </c>
      <c r="AP746" t="s">
        <v>41</v>
      </c>
    </row>
    <row r="747" spans="1:42">
      <c r="A747" s="1">
        <v>43788</v>
      </c>
      <c r="B747">
        <v>2</v>
      </c>
      <c r="C747">
        <v>506</v>
      </c>
      <c r="D747">
        <v>4241</v>
      </c>
      <c r="E747" t="s">
        <v>377</v>
      </c>
      <c r="F747" t="s">
        <v>38</v>
      </c>
      <c r="H747">
        <v>84</v>
      </c>
      <c r="I747" s="25">
        <v>686</v>
      </c>
      <c r="K747" t="s">
        <v>394</v>
      </c>
      <c r="N747" t="s">
        <v>42</v>
      </c>
      <c r="O747">
        <v>176</v>
      </c>
      <c r="Q747">
        <f t="shared" si="29"/>
        <v>0</v>
      </c>
      <c r="R747">
        <v>1</v>
      </c>
      <c r="S747">
        <v>0</v>
      </c>
      <c r="T747">
        <v>0</v>
      </c>
      <c r="U747">
        <v>0</v>
      </c>
      <c r="V747">
        <v>0</v>
      </c>
      <c r="W747">
        <v>0</v>
      </c>
      <c r="X747" s="21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f t="shared" si="30"/>
        <v>0</v>
      </c>
      <c r="AP747" t="s">
        <v>41</v>
      </c>
    </row>
    <row r="748" spans="1:42">
      <c r="A748" s="1">
        <v>43788</v>
      </c>
      <c r="B748">
        <v>2</v>
      </c>
      <c r="C748">
        <v>506</v>
      </c>
      <c r="D748">
        <v>4241</v>
      </c>
      <c r="E748" t="s">
        <v>377</v>
      </c>
      <c r="F748" t="s">
        <v>38</v>
      </c>
      <c r="H748">
        <v>85</v>
      </c>
      <c r="I748" s="25">
        <v>71</v>
      </c>
      <c r="K748" t="s">
        <v>389</v>
      </c>
      <c r="N748" t="s">
        <v>44</v>
      </c>
      <c r="O748">
        <v>176</v>
      </c>
      <c r="Q748">
        <f t="shared" si="29"/>
        <v>0</v>
      </c>
      <c r="R748">
        <v>1</v>
      </c>
      <c r="S748">
        <v>0</v>
      </c>
      <c r="T748">
        <v>0</v>
      </c>
      <c r="U748">
        <v>0</v>
      </c>
      <c r="V748">
        <v>0</v>
      </c>
      <c r="W748">
        <v>0</v>
      </c>
      <c r="X748" s="21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f t="shared" si="30"/>
        <v>0</v>
      </c>
      <c r="AP748" t="s">
        <v>41</v>
      </c>
    </row>
    <row r="749" spans="1:42">
      <c r="A749" s="1">
        <v>43788</v>
      </c>
      <c r="B749">
        <v>2</v>
      </c>
      <c r="C749">
        <v>506</v>
      </c>
      <c r="D749">
        <v>4241</v>
      </c>
      <c r="E749" t="s">
        <v>377</v>
      </c>
      <c r="F749" t="s">
        <v>38</v>
      </c>
      <c r="H749">
        <v>86</v>
      </c>
      <c r="I749" s="25">
        <v>2</v>
      </c>
      <c r="K749" t="s">
        <v>399</v>
      </c>
      <c r="N749" t="s">
        <v>40</v>
      </c>
      <c r="O749">
        <v>177</v>
      </c>
      <c r="Q749">
        <f t="shared" si="29"/>
        <v>0</v>
      </c>
      <c r="R749">
        <v>1</v>
      </c>
      <c r="S749">
        <v>0</v>
      </c>
      <c r="T749">
        <v>0</v>
      </c>
      <c r="U749">
        <v>0</v>
      </c>
      <c r="V749">
        <v>0</v>
      </c>
      <c r="W749">
        <v>0</v>
      </c>
      <c r="X749" s="21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f t="shared" si="30"/>
        <v>0</v>
      </c>
      <c r="AP749" t="s">
        <v>41</v>
      </c>
    </row>
    <row r="750" spans="1:42">
      <c r="A750" s="1">
        <v>43788</v>
      </c>
      <c r="B750">
        <v>2</v>
      </c>
      <c r="C750">
        <v>506</v>
      </c>
      <c r="D750">
        <v>4241</v>
      </c>
      <c r="E750" t="s">
        <v>377</v>
      </c>
      <c r="F750" t="s">
        <v>38</v>
      </c>
      <c r="H750">
        <v>87</v>
      </c>
      <c r="I750" s="25"/>
      <c r="Q750">
        <f t="shared" si="29"/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 s="21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f t="shared" si="30"/>
        <v>0</v>
      </c>
      <c r="AP750" t="s">
        <v>41</v>
      </c>
    </row>
    <row r="751" spans="1:42">
      <c r="A751" s="1">
        <v>43788</v>
      </c>
      <c r="B751">
        <v>2</v>
      </c>
      <c r="C751">
        <v>506</v>
      </c>
      <c r="D751">
        <v>4241</v>
      </c>
      <c r="E751" t="s">
        <v>377</v>
      </c>
      <c r="F751" t="s">
        <v>38</v>
      </c>
      <c r="H751">
        <v>88</v>
      </c>
      <c r="I751" s="25">
        <v>685</v>
      </c>
      <c r="K751" t="s">
        <v>73</v>
      </c>
      <c r="N751" t="s">
        <v>40</v>
      </c>
      <c r="O751">
        <v>236</v>
      </c>
      <c r="Q751">
        <f t="shared" si="29"/>
        <v>0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0</v>
      </c>
      <c r="X751" s="2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f t="shared" si="30"/>
        <v>0</v>
      </c>
      <c r="AP751" t="s">
        <v>41</v>
      </c>
    </row>
    <row r="752" spans="1:42">
      <c r="A752" s="1">
        <v>43788</v>
      </c>
      <c r="B752">
        <v>2</v>
      </c>
      <c r="C752">
        <v>506</v>
      </c>
      <c r="D752">
        <v>4241</v>
      </c>
      <c r="E752" t="s">
        <v>377</v>
      </c>
      <c r="F752" t="s">
        <v>38</v>
      </c>
      <c r="H752">
        <v>89</v>
      </c>
      <c r="I752" s="25"/>
      <c r="Q752">
        <f t="shared" si="29"/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 s="21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f t="shared" si="30"/>
        <v>0</v>
      </c>
      <c r="AP752" t="s">
        <v>41</v>
      </c>
    </row>
    <row r="753" spans="1:42">
      <c r="A753" s="1">
        <v>43788</v>
      </c>
      <c r="B753">
        <v>2</v>
      </c>
      <c r="C753">
        <v>506</v>
      </c>
      <c r="D753">
        <v>4241</v>
      </c>
      <c r="E753" t="s">
        <v>377</v>
      </c>
      <c r="F753" t="s">
        <v>38</v>
      </c>
      <c r="H753">
        <v>90</v>
      </c>
      <c r="I753" s="25">
        <v>35</v>
      </c>
      <c r="K753" t="s">
        <v>407</v>
      </c>
      <c r="N753" t="s">
        <v>40</v>
      </c>
      <c r="O753">
        <v>70</v>
      </c>
      <c r="Q753">
        <f t="shared" si="29"/>
        <v>0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0</v>
      </c>
      <c r="X753" s="21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f t="shared" si="30"/>
        <v>0</v>
      </c>
      <c r="AP753" t="s">
        <v>41</v>
      </c>
    </row>
    <row r="754" spans="1:42">
      <c r="A754" s="1">
        <v>43788</v>
      </c>
      <c r="B754">
        <v>2</v>
      </c>
      <c r="C754">
        <v>506</v>
      </c>
      <c r="D754">
        <v>4241</v>
      </c>
      <c r="E754" t="s">
        <v>377</v>
      </c>
      <c r="F754" t="s">
        <v>38</v>
      </c>
      <c r="H754">
        <v>91</v>
      </c>
      <c r="I754" s="25">
        <v>222</v>
      </c>
      <c r="K754" t="s">
        <v>102</v>
      </c>
      <c r="N754" t="s">
        <v>40</v>
      </c>
      <c r="O754">
        <v>45</v>
      </c>
      <c r="Q754">
        <f t="shared" si="29"/>
        <v>0</v>
      </c>
      <c r="R754">
        <v>1</v>
      </c>
      <c r="S754">
        <v>0</v>
      </c>
      <c r="T754">
        <v>0</v>
      </c>
      <c r="U754">
        <v>0</v>
      </c>
      <c r="V754">
        <v>0</v>
      </c>
      <c r="W754">
        <v>0</v>
      </c>
      <c r="X754" s="21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f t="shared" si="30"/>
        <v>0</v>
      </c>
      <c r="AP754" t="s">
        <v>41</v>
      </c>
    </row>
    <row r="755" spans="1:42">
      <c r="A755" s="1">
        <v>43788</v>
      </c>
      <c r="B755">
        <v>2</v>
      </c>
      <c r="C755">
        <v>506</v>
      </c>
      <c r="D755">
        <v>4241</v>
      </c>
      <c r="E755" t="s">
        <v>377</v>
      </c>
      <c r="F755" t="s">
        <v>38</v>
      </c>
      <c r="H755">
        <v>92</v>
      </c>
      <c r="I755" s="25">
        <v>71</v>
      </c>
      <c r="K755" t="s">
        <v>100</v>
      </c>
      <c r="N755" t="s">
        <v>40</v>
      </c>
      <c r="O755">
        <v>65</v>
      </c>
      <c r="Q755">
        <f t="shared" si="29"/>
        <v>0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0</v>
      </c>
      <c r="X755" s="21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f t="shared" si="30"/>
        <v>0</v>
      </c>
      <c r="AP755" t="s">
        <v>41</v>
      </c>
    </row>
    <row r="756" spans="1:42">
      <c r="A756" s="1">
        <v>43788</v>
      </c>
      <c r="B756">
        <v>2</v>
      </c>
      <c r="C756">
        <v>506</v>
      </c>
      <c r="D756">
        <v>4241</v>
      </c>
      <c r="E756" t="s">
        <v>377</v>
      </c>
      <c r="F756" t="s">
        <v>38</v>
      </c>
      <c r="H756">
        <v>93</v>
      </c>
      <c r="I756" s="25">
        <v>799</v>
      </c>
      <c r="K756" t="s">
        <v>73</v>
      </c>
      <c r="N756" t="s">
        <v>40</v>
      </c>
      <c r="O756">
        <v>118</v>
      </c>
      <c r="Q756">
        <f t="shared" si="29"/>
        <v>0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 s="21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f t="shared" si="30"/>
        <v>0</v>
      </c>
      <c r="AP756" t="s">
        <v>41</v>
      </c>
    </row>
    <row r="757" spans="1:42">
      <c r="A757" s="1">
        <v>43788</v>
      </c>
      <c r="B757">
        <v>2</v>
      </c>
      <c r="C757">
        <v>506</v>
      </c>
      <c r="D757">
        <v>4241</v>
      </c>
      <c r="E757" t="s">
        <v>377</v>
      </c>
      <c r="F757" t="s">
        <v>38</v>
      </c>
      <c r="H757">
        <v>94</v>
      </c>
      <c r="I757" s="25">
        <v>25</v>
      </c>
      <c r="K757" t="s">
        <v>408</v>
      </c>
      <c r="N757" t="s">
        <v>44</v>
      </c>
      <c r="O757">
        <v>118</v>
      </c>
      <c r="Q757">
        <f t="shared" si="29"/>
        <v>0</v>
      </c>
      <c r="R757">
        <v>1</v>
      </c>
      <c r="S757">
        <v>0</v>
      </c>
      <c r="T757">
        <v>0</v>
      </c>
      <c r="U757">
        <v>0</v>
      </c>
      <c r="V757">
        <v>0</v>
      </c>
      <c r="W757">
        <v>0</v>
      </c>
      <c r="X757" s="21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f t="shared" si="30"/>
        <v>0</v>
      </c>
      <c r="AL757" t="s">
        <v>409</v>
      </c>
      <c r="AP757" t="s">
        <v>41</v>
      </c>
    </row>
    <row r="758" spans="1:42">
      <c r="A758" s="1">
        <v>43788</v>
      </c>
      <c r="B758">
        <v>2</v>
      </c>
      <c r="C758">
        <v>506</v>
      </c>
      <c r="D758">
        <v>4241</v>
      </c>
      <c r="E758" t="s">
        <v>377</v>
      </c>
      <c r="F758" t="s">
        <v>38</v>
      </c>
      <c r="H758">
        <v>95</v>
      </c>
      <c r="I758" s="25">
        <v>22</v>
      </c>
      <c r="K758" t="s">
        <v>406</v>
      </c>
      <c r="N758" t="s">
        <v>40</v>
      </c>
      <c r="O758">
        <v>100</v>
      </c>
      <c r="Q758">
        <f t="shared" si="29"/>
        <v>0</v>
      </c>
      <c r="R758">
        <v>1</v>
      </c>
      <c r="S758">
        <v>0</v>
      </c>
      <c r="T758">
        <v>0</v>
      </c>
      <c r="U758">
        <v>0</v>
      </c>
      <c r="V758">
        <v>0</v>
      </c>
      <c r="W758">
        <v>0</v>
      </c>
      <c r="X758" s="21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f t="shared" si="30"/>
        <v>0</v>
      </c>
      <c r="AP758" t="s">
        <v>41</v>
      </c>
    </row>
    <row r="759" spans="1:42">
      <c r="A759" s="1">
        <v>43788</v>
      </c>
      <c r="B759">
        <v>2</v>
      </c>
      <c r="C759">
        <v>506</v>
      </c>
      <c r="D759">
        <v>4241</v>
      </c>
      <c r="E759" t="s">
        <v>377</v>
      </c>
      <c r="F759" t="s">
        <v>38</v>
      </c>
      <c r="H759">
        <v>96</v>
      </c>
      <c r="I759" s="25">
        <v>860</v>
      </c>
      <c r="K759" t="s">
        <v>391</v>
      </c>
      <c r="N759" t="s">
        <v>44</v>
      </c>
      <c r="O759">
        <v>270</v>
      </c>
      <c r="Q759">
        <f t="shared" si="29"/>
        <v>0</v>
      </c>
      <c r="R759">
        <v>1</v>
      </c>
      <c r="S759">
        <v>0</v>
      </c>
      <c r="T759">
        <v>0</v>
      </c>
      <c r="U759">
        <v>0</v>
      </c>
      <c r="V759">
        <v>0</v>
      </c>
      <c r="W759">
        <v>0</v>
      </c>
      <c r="X759" s="21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f t="shared" si="30"/>
        <v>0</v>
      </c>
      <c r="AL759" t="s">
        <v>410</v>
      </c>
      <c r="AP759" t="s">
        <v>41</v>
      </c>
    </row>
    <row r="760" spans="1:42">
      <c r="A760" s="1">
        <v>43774</v>
      </c>
      <c r="B760">
        <v>2</v>
      </c>
      <c r="C760">
        <v>307</v>
      </c>
      <c r="D760">
        <v>10365</v>
      </c>
      <c r="E760" t="s">
        <v>37</v>
      </c>
      <c r="F760" t="s">
        <v>38</v>
      </c>
      <c r="H760">
        <v>1</v>
      </c>
      <c r="I760" s="25">
        <v>30</v>
      </c>
      <c r="K760" t="s">
        <v>98</v>
      </c>
      <c r="N760" t="s">
        <v>44</v>
      </c>
      <c r="O760">
        <v>23</v>
      </c>
      <c r="Q760">
        <f t="shared" si="29"/>
        <v>14</v>
      </c>
      <c r="R760">
        <v>1</v>
      </c>
      <c r="S760">
        <v>0</v>
      </c>
      <c r="T760">
        <v>0</v>
      </c>
      <c r="U760">
        <v>1</v>
      </c>
      <c r="V760">
        <v>7</v>
      </c>
      <c r="W760">
        <v>6</v>
      </c>
      <c r="X760" s="21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f t="shared" si="30"/>
        <v>1056</v>
      </c>
      <c r="AJ760" t="s">
        <v>51</v>
      </c>
      <c r="AK760" t="s">
        <v>52</v>
      </c>
      <c r="AP760" t="s">
        <v>41</v>
      </c>
    </row>
    <row r="761" spans="1:42">
      <c r="A761" s="1">
        <v>43774</v>
      </c>
      <c r="B761">
        <v>2</v>
      </c>
      <c r="C761">
        <v>307</v>
      </c>
      <c r="D761">
        <v>10365</v>
      </c>
      <c r="E761" t="s">
        <v>37</v>
      </c>
      <c r="F761" t="s">
        <v>38</v>
      </c>
      <c r="H761">
        <v>2</v>
      </c>
      <c r="I761" s="25">
        <v>1100</v>
      </c>
      <c r="K761" t="s">
        <v>73</v>
      </c>
      <c r="N761" t="s">
        <v>40</v>
      </c>
      <c r="O761">
        <v>39</v>
      </c>
      <c r="Q761">
        <f t="shared" si="29"/>
        <v>2</v>
      </c>
      <c r="R761">
        <v>1</v>
      </c>
      <c r="S761">
        <v>0</v>
      </c>
      <c r="T761">
        <v>0</v>
      </c>
      <c r="U761">
        <v>0</v>
      </c>
      <c r="V761">
        <v>2</v>
      </c>
      <c r="W761">
        <v>0</v>
      </c>
      <c r="X761" s="2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f t="shared" si="30"/>
        <v>128</v>
      </c>
      <c r="AJ761" t="s">
        <v>51</v>
      </c>
      <c r="AK761" t="s">
        <v>52</v>
      </c>
      <c r="AP761" t="s">
        <v>41</v>
      </c>
    </row>
    <row r="762" spans="1:42">
      <c r="A762" s="1">
        <v>43774</v>
      </c>
      <c r="B762">
        <v>2</v>
      </c>
      <c r="C762">
        <v>307</v>
      </c>
      <c r="D762">
        <v>10365</v>
      </c>
      <c r="E762" t="s">
        <v>37</v>
      </c>
      <c r="F762" t="s">
        <v>38</v>
      </c>
      <c r="H762">
        <v>3</v>
      </c>
      <c r="I762" s="25">
        <v>146</v>
      </c>
      <c r="K762" t="s">
        <v>91</v>
      </c>
      <c r="N762" t="s">
        <v>40</v>
      </c>
      <c r="O762">
        <v>20</v>
      </c>
      <c r="Q762">
        <f t="shared" si="29"/>
        <v>1</v>
      </c>
      <c r="R762">
        <v>1</v>
      </c>
      <c r="S762">
        <v>0</v>
      </c>
      <c r="T762">
        <v>0</v>
      </c>
      <c r="U762">
        <v>0</v>
      </c>
      <c r="V762">
        <v>1</v>
      </c>
      <c r="W762">
        <v>0</v>
      </c>
      <c r="X762" s="21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f t="shared" si="30"/>
        <v>64</v>
      </c>
      <c r="AK762" t="s">
        <v>52</v>
      </c>
      <c r="AP762" t="s">
        <v>41</v>
      </c>
    </row>
    <row r="763" spans="1:42">
      <c r="A763" s="1">
        <v>43774</v>
      </c>
      <c r="B763">
        <v>2</v>
      </c>
      <c r="C763">
        <v>307</v>
      </c>
      <c r="D763">
        <v>10365</v>
      </c>
      <c r="E763" t="s">
        <v>37</v>
      </c>
      <c r="F763" t="s">
        <v>38</v>
      </c>
      <c r="H763">
        <v>4</v>
      </c>
      <c r="I763" s="25">
        <v>393</v>
      </c>
      <c r="K763" t="s">
        <v>94</v>
      </c>
      <c r="N763" t="s">
        <v>392</v>
      </c>
      <c r="O763">
        <v>40</v>
      </c>
      <c r="Q763">
        <f t="shared" si="29"/>
        <v>1</v>
      </c>
      <c r="R763">
        <v>1</v>
      </c>
      <c r="S763">
        <v>0</v>
      </c>
      <c r="T763">
        <v>0</v>
      </c>
      <c r="U763">
        <v>0</v>
      </c>
      <c r="V763">
        <v>1</v>
      </c>
      <c r="W763">
        <v>0</v>
      </c>
      <c r="X763" s="21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f t="shared" si="30"/>
        <v>64</v>
      </c>
      <c r="AJ763" t="s">
        <v>51</v>
      </c>
      <c r="AK763" t="s">
        <v>52</v>
      </c>
      <c r="AP763" t="s">
        <v>41</v>
      </c>
    </row>
    <row r="764" spans="1:42">
      <c r="A764" s="1">
        <v>43774</v>
      </c>
      <c r="B764">
        <v>2</v>
      </c>
      <c r="C764">
        <v>307</v>
      </c>
      <c r="D764">
        <v>10365</v>
      </c>
      <c r="E764" t="s">
        <v>37</v>
      </c>
      <c r="F764" t="s">
        <v>38</v>
      </c>
      <c r="H764">
        <v>5</v>
      </c>
      <c r="I764" s="25"/>
      <c r="K764" t="s">
        <v>94</v>
      </c>
      <c r="N764" t="s">
        <v>40</v>
      </c>
      <c r="O764">
        <v>35</v>
      </c>
      <c r="Q764">
        <f t="shared" si="29"/>
        <v>1</v>
      </c>
      <c r="R764">
        <v>1</v>
      </c>
      <c r="S764">
        <v>0</v>
      </c>
      <c r="T764">
        <v>0</v>
      </c>
      <c r="U764">
        <v>0</v>
      </c>
      <c r="V764">
        <v>1</v>
      </c>
      <c r="W764">
        <v>0</v>
      </c>
      <c r="X764" s="21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f t="shared" si="30"/>
        <v>64</v>
      </c>
      <c r="AJ764" t="s">
        <v>51</v>
      </c>
      <c r="AK764" t="s">
        <v>52</v>
      </c>
      <c r="AP764" t="s">
        <v>41</v>
      </c>
    </row>
    <row r="765" spans="1:42">
      <c r="A765" s="1">
        <v>43774</v>
      </c>
      <c r="B765">
        <v>2</v>
      </c>
      <c r="C765">
        <v>307</v>
      </c>
      <c r="D765">
        <v>10365</v>
      </c>
      <c r="E765" t="s">
        <v>37</v>
      </c>
      <c r="F765" t="s">
        <v>38</v>
      </c>
      <c r="H765">
        <v>6</v>
      </c>
      <c r="I765" s="25">
        <v>240</v>
      </c>
      <c r="K765" t="s">
        <v>103</v>
      </c>
      <c r="N765" t="s">
        <v>44</v>
      </c>
      <c r="O765">
        <v>47</v>
      </c>
      <c r="Q765">
        <f t="shared" si="29"/>
        <v>1</v>
      </c>
      <c r="R765">
        <v>1</v>
      </c>
      <c r="S765">
        <v>0</v>
      </c>
      <c r="T765">
        <v>0</v>
      </c>
      <c r="U765">
        <v>0</v>
      </c>
      <c r="V765">
        <v>1</v>
      </c>
      <c r="W765">
        <v>0</v>
      </c>
      <c r="X765" s="21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f t="shared" si="30"/>
        <v>64</v>
      </c>
      <c r="AJ765" t="s">
        <v>51</v>
      </c>
      <c r="AK765" t="s">
        <v>52</v>
      </c>
      <c r="AP765" t="s">
        <v>41</v>
      </c>
    </row>
    <row r="766" spans="1:42">
      <c r="A766" s="1">
        <v>43774</v>
      </c>
      <c r="B766">
        <v>2</v>
      </c>
      <c r="C766">
        <v>307</v>
      </c>
      <c r="D766">
        <v>10365</v>
      </c>
      <c r="E766" t="s">
        <v>37</v>
      </c>
      <c r="F766" t="s">
        <v>38</v>
      </c>
      <c r="H766">
        <v>7</v>
      </c>
      <c r="I766" s="25">
        <v>241</v>
      </c>
      <c r="K766" t="s">
        <v>103</v>
      </c>
      <c r="N766" t="s">
        <v>411</v>
      </c>
      <c r="O766">
        <v>120</v>
      </c>
      <c r="Q766">
        <f t="shared" si="29"/>
        <v>1</v>
      </c>
      <c r="R766">
        <v>1</v>
      </c>
      <c r="S766">
        <v>0</v>
      </c>
      <c r="T766">
        <v>0</v>
      </c>
      <c r="U766">
        <v>0</v>
      </c>
      <c r="V766">
        <v>1</v>
      </c>
      <c r="W766">
        <v>0</v>
      </c>
      <c r="X766" s="21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f t="shared" si="30"/>
        <v>64</v>
      </c>
      <c r="AJ766" t="s">
        <v>51</v>
      </c>
      <c r="AK766" t="s">
        <v>52</v>
      </c>
      <c r="AL766" t="s">
        <v>412</v>
      </c>
      <c r="AP766" t="s">
        <v>41</v>
      </c>
    </row>
    <row r="767" spans="1:42">
      <c r="A767" s="1">
        <v>43774</v>
      </c>
      <c r="B767">
        <v>2</v>
      </c>
      <c r="C767">
        <v>307</v>
      </c>
      <c r="D767">
        <v>10365</v>
      </c>
      <c r="E767" t="s">
        <v>37</v>
      </c>
      <c r="F767" t="s">
        <v>38</v>
      </c>
      <c r="H767">
        <v>8</v>
      </c>
      <c r="I767" s="25">
        <v>219</v>
      </c>
      <c r="K767" t="s">
        <v>103</v>
      </c>
      <c r="N767" t="s">
        <v>40</v>
      </c>
      <c r="O767">
        <v>59</v>
      </c>
      <c r="Q767">
        <f t="shared" si="29"/>
        <v>3</v>
      </c>
      <c r="R767">
        <v>1</v>
      </c>
      <c r="S767">
        <v>1</v>
      </c>
      <c r="T767">
        <v>0</v>
      </c>
      <c r="U767">
        <v>1</v>
      </c>
      <c r="V767">
        <v>1</v>
      </c>
      <c r="W767">
        <v>0</v>
      </c>
      <c r="X767" s="21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f t="shared" si="30"/>
        <v>112</v>
      </c>
      <c r="AJ767" t="s">
        <v>51</v>
      </c>
      <c r="AK767" t="s">
        <v>52</v>
      </c>
      <c r="AP767" t="s">
        <v>41</v>
      </c>
    </row>
    <row r="768" spans="1:42">
      <c r="A768" s="1">
        <v>43774</v>
      </c>
      <c r="B768">
        <v>2</v>
      </c>
      <c r="C768">
        <v>307</v>
      </c>
      <c r="D768">
        <v>10365</v>
      </c>
      <c r="E768" t="s">
        <v>37</v>
      </c>
      <c r="F768" t="s">
        <v>38</v>
      </c>
      <c r="H768">
        <v>9</v>
      </c>
      <c r="I768" s="25">
        <v>201</v>
      </c>
      <c r="K768" t="s">
        <v>96</v>
      </c>
      <c r="N768" t="s">
        <v>44</v>
      </c>
      <c r="O768">
        <v>146</v>
      </c>
      <c r="Q768">
        <f t="shared" si="29"/>
        <v>4</v>
      </c>
      <c r="R768">
        <v>1</v>
      </c>
      <c r="S768">
        <v>0</v>
      </c>
      <c r="T768">
        <v>0</v>
      </c>
      <c r="U768">
        <v>0</v>
      </c>
      <c r="V768">
        <v>4</v>
      </c>
      <c r="W768">
        <v>0</v>
      </c>
      <c r="X768" s="21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f t="shared" si="30"/>
        <v>256</v>
      </c>
      <c r="AJ768" t="s">
        <v>51</v>
      </c>
      <c r="AK768" t="s">
        <v>52</v>
      </c>
      <c r="AP768" t="s">
        <v>41</v>
      </c>
    </row>
    <row r="769" spans="1:42">
      <c r="A769" s="1">
        <v>43774</v>
      </c>
      <c r="B769">
        <v>2</v>
      </c>
      <c r="C769">
        <v>307</v>
      </c>
      <c r="D769">
        <v>10365</v>
      </c>
      <c r="E769" t="s">
        <v>37</v>
      </c>
      <c r="F769" t="s">
        <v>38</v>
      </c>
      <c r="H769">
        <v>10</v>
      </c>
      <c r="I769" s="25">
        <v>1</v>
      </c>
      <c r="K769" t="s">
        <v>101</v>
      </c>
      <c r="N769" t="s">
        <v>411</v>
      </c>
      <c r="O769">
        <v>66</v>
      </c>
      <c r="Q769">
        <f t="shared" si="29"/>
        <v>1</v>
      </c>
      <c r="R769">
        <v>1</v>
      </c>
      <c r="S769">
        <v>1</v>
      </c>
      <c r="T769">
        <v>0</v>
      </c>
      <c r="U769">
        <v>0</v>
      </c>
      <c r="V769">
        <v>0</v>
      </c>
      <c r="W769">
        <v>0</v>
      </c>
      <c r="X769" s="21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f t="shared" si="30"/>
        <v>16</v>
      </c>
      <c r="AJ769" t="s">
        <v>51</v>
      </c>
      <c r="AK769" t="s">
        <v>413</v>
      </c>
      <c r="AP769" t="s">
        <v>41</v>
      </c>
    </row>
    <row r="770" spans="1:42">
      <c r="A770" s="1">
        <v>43774</v>
      </c>
      <c r="B770">
        <v>2</v>
      </c>
      <c r="C770">
        <v>307</v>
      </c>
      <c r="D770">
        <v>10365</v>
      </c>
      <c r="E770" t="s">
        <v>37</v>
      </c>
      <c r="F770" t="s">
        <v>38</v>
      </c>
      <c r="H770">
        <v>11</v>
      </c>
      <c r="I770" s="25">
        <v>25</v>
      </c>
      <c r="K770" t="s">
        <v>101</v>
      </c>
      <c r="N770" t="s">
        <v>392</v>
      </c>
      <c r="O770">
        <v>66</v>
      </c>
      <c r="Q770">
        <f t="shared" si="29"/>
        <v>1</v>
      </c>
      <c r="R770">
        <v>1</v>
      </c>
      <c r="S770">
        <v>0</v>
      </c>
      <c r="T770">
        <v>0</v>
      </c>
      <c r="U770">
        <v>0</v>
      </c>
      <c r="V770">
        <v>1</v>
      </c>
      <c r="W770">
        <v>0</v>
      </c>
      <c r="X770" s="21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f t="shared" si="30"/>
        <v>64</v>
      </c>
      <c r="AJ770" t="s">
        <v>51</v>
      </c>
      <c r="AK770" t="s">
        <v>413</v>
      </c>
      <c r="AP770" t="s">
        <v>41</v>
      </c>
    </row>
    <row r="771" spans="1:42">
      <c r="A771" s="1">
        <v>43774</v>
      </c>
      <c r="B771">
        <v>2</v>
      </c>
      <c r="C771">
        <v>307</v>
      </c>
      <c r="D771">
        <v>10365</v>
      </c>
      <c r="E771" t="s">
        <v>37</v>
      </c>
      <c r="F771" t="s">
        <v>38</v>
      </c>
      <c r="H771">
        <v>12</v>
      </c>
      <c r="I771" s="25">
        <v>27</v>
      </c>
      <c r="K771" t="s">
        <v>101</v>
      </c>
      <c r="N771" t="s">
        <v>392</v>
      </c>
      <c r="O771">
        <v>66</v>
      </c>
      <c r="Q771">
        <f t="shared" si="29"/>
        <v>1</v>
      </c>
      <c r="R771">
        <v>1</v>
      </c>
      <c r="S771">
        <v>1</v>
      </c>
      <c r="T771">
        <v>0</v>
      </c>
      <c r="U771">
        <v>0</v>
      </c>
      <c r="V771">
        <v>0</v>
      </c>
      <c r="W771">
        <v>0</v>
      </c>
      <c r="X771" s="2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f t="shared" si="30"/>
        <v>16</v>
      </c>
      <c r="AJ771" t="s">
        <v>51</v>
      </c>
      <c r="AK771" t="s">
        <v>52</v>
      </c>
      <c r="AP771" t="s">
        <v>41</v>
      </c>
    </row>
    <row r="772" spans="1:42">
      <c r="A772" s="1">
        <v>43774</v>
      </c>
      <c r="B772">
        <v>2</v>
      </c>
      <c r="C772">
        <v>307</v>
      </c>
      <c r="D772">
        <v>10365</v>
      </c>
      <c r="E772" t="s">
        <v>37</v>
      </c>
      <c r="F772" t="s">
        <v>38</v>
      </c>
      <c r="H772">
        <v>13</v>
      </c>
      <c r="I772" s="25"/>
      <c r="Q772">
        <f t="shared" si="29"/>
        <v>0</v>
      </c>
      <c r="R772">
        <v>1</v>
      </c>
      <c r="S772">
        <v>0</v>
      </c>
      <c r="T772">
        <v>0</v>
      </c>
      <c r="U772">
        <v>0</v>
      </c>
      <c r="V772">
        <v>0</v>
      </c>
      <c r="W772">
        <v>0</v>
      </c>
      <c r="X772" s="21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f t="shared" si="30"/>
        <v>0</v>
      </c>
      <c r="AJ772" t="s">
        <v>51</v>
      </c>
      <c r="AK772" t="s">
        <v>52</v>
      </c>
      <c r="AP772" t="s">
        <v>41</v>
      </c>
    </row>
    <row r="773" spans="1:42">
      <c r="A773" s="1">
        <v>43774</v>
      </c>
      <c r="B773">
        <v>2</v>
      </c>
      <c r="C773">
        <v>307</v>
      </c>
      <c r="D773">
        <v>10365</v>
      </c>
      <c r="E773" t="s">
        <v>37</v>
      </c>
      <c r="F773" t="s">
        <v>38</v>
      </c>
      <c r="H773">
        <v>14</v>
      </c>
      <c r="I773" s="25">
        <v>39</v>
      </c>
      <c r="K773" t="s">
        <v>101</v>
      </c>
      <c r="N773" t="s">
        <v>44</v>
      </c>
      <c r="O773">
        <v>85</v>
      </c>
      <c r="Q773">
        <f t="shared" si="29"/>
        <v>1</v>
      </c>
      <c r="R773">
        <v>1</v>
      </c>
      <c r="S773">
        <v>0</v>
      </c>
      <c r="T773">
        <v>0</v>
      </c>
      <c r="U773">
        <v>0</v>
      </c>
      <c r="V773">
        <v>1</v>
      </c>
      <c r="W773">
        <v>0</v>
      </c>
      <c r="X773" s="21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f t="shared" si="30"/>
        <v>64</v>
      </c>
      <c r="AJ773" t="s">
        <v>51</v>
      </c>
      <c r="AK773" t="s">
        <v>52</v>
      </c>
      <c r="AP773" t="s">
        <v>41</v>
      </c>
    </row>
    <row r="774" spans="1:42">
      <c r="A774" s="1">
        <v>43774</v>
      </c>
      <c r="B774">
        <v>2</v>
      </c>
      <c r="C774">
        <v>307</v>
      </c>
      <c r="D774">
        <v>10365</v>
      </c>
      <c r="E774" t="s">
        <v>37</v>
      </c>
      <c r="F774" t="s">
        <v>38</v>
      </c>
      <c r="H774">
        <v>15</v>
      </c>
      <c r="I774" s="25">
        <v>57</v>
      </c>
      <c r="K774" t="s">
        <v>101</v>
      </c>
      <c r="N774" t="s">
        <v>44</v>
      </c>
      <c r="O774">
        <v>85</v>
      </c>
      <c r="Q774">
        <f t="shared" si="29"/>
        <v>2</v>
      </c>
      <c r="R774">
        <v>1</v>
      </c>
      <c r="S774">
        <v>0</v>
      </c>
      <c r="T774">
        <v>0</v>
      </c>
      <c r="U774">
        <v>0</v>
      </c>
      <c r="V774">
        <v>2</v>
      </c>
      <c r="W774">
        <v>0</v>
      </c>
      <c r="X774" s="21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f t="shared" si="30"/>
        <v>128</v>
      </c>
      <c r="AJ774" t="s">
        <v>51</v>
      </c>
      <c r="AK774" t="s">
        <v>52</v>
      </c>
      <c r="AP774" t="s">
        <v>41</v>
      </c>
    </row>
    <row r="775" spans="1:42">
      <c r="A775" s="1">
        <v>43774</v>
      </c>
      <c r="B775">
        <v>2</v>
      </c>
      <c r="C775">
        <v>307</v>
      </c>
      <c r="D775">
        <v>10365</v>
      </c>
      <c r="E775" t="s">
        <v>37</v>
      </c>
      <c r="F775" t="s">
        <v>38</v>
      </c>
      <c r="H775">
        <v>16</v>
      </c>
      <c r="I775" s="25">
        <v>270</v>
      </c>
      <c r="K775" t="s">
        <v>96</v>
      </c>
      <c r="N775" t="s">
        <v>44</v>
      </c>
      <c r="O775">
        <v>68</v>
      </c>
      <c r="Q775">
        <f t="shared" si="29"/>
        <v>1</v>
      </c>
      <c r="R775">
        <v>1</v>
      </c>
      <c r="S775">
        <v>0</v>
      </c>
      <c r="T775">
        <v>0</v>
      </c>
      <c r="U775">
        <v>0</v>
      </c>
      <c r="V775">
        <v>1</v>
      </c>
      <c r="W775">
        <v>0</v>
      </c>
      <c r="X775" s="21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f t="shared" si="30"/>
        <v>64</v>
      </c>
      <c r="AJ775" t="s">
        <v>51</v>
      </c>
      <c r="AK775" t="s">
        <v>52</v>
      </c>
      <c r="AP775" t="s">
        <v>41</v>
      </c>
    </row>
    <row r="776" spans="1:42">
      <c r="A776" s="1">
        <v>43774</v>
      </c>
      <c r="B776">
        <v>2</v>
      </c>
      <c r="C776">
        <v>307</v>
      </c>
      <c r="D776">
        <v>10365</v>
      </c>
      <c r="E776" t="s">
        <v>37</v>
      </c>
      <c r="F776" t="s">
        <v>38</v>
      </c>
      <c r="H776">
        <v>17</v>
      </c>
      <c r="I776" s="25">
        <v>333</v>
      </c>
      <c r="K776" t="s">
        <v>96</v>
      </c>
      <c r="N776" t="s">
        <v>392</v>
      </c>
      <c r="O776">
        <v>45</v>
      </c>
      <c r="Q776">
        <f t="shared" si="29"/>
        <v>2</v>
      </c>
      <c r="R776">
        <v>1</v>
      </c>
      <c r="S776">
        <v>1</v>
      </c>
      <c r="T776">
        <v>0</v>
      </c>
      <c r="U776">
        <v>0</v>
      </c>
      <c r="V776">
        <v>1</v>
      </c>
      <c r="W776">
        <v>0</v>
      </c>
      <c r="X776" s="21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f t="shared" si="30"/>
        <v>80</v>
      </c>
      <c r="AJ776" t="s">
        <v>51</v>
      </c>
      <c r="AK776" t="s">
        <v>52</v>
      </c>
      <c r="AP776" t="s">
        <v>41</v>
      </c>
    </row>
    <row r="777" spans="1:42">
      <c r="A777" s="1">
        <v>43774</v>
      </c>
      <c r="B777">
        <v>2</v>
      </c>
      <c r="C777">
        <v>307</v>
      </c>
      <c r="D777">
        <v>10365</v>
      </c>
      <c r="E777" t="s">
        <v>37</v>
      </c>
      <c r="F777" t="s">
        <v>38</v>
      </c>
      <c r="H777">
        <v>18</v>
      </c>
      <c r="I777" s="25">
        <v>421</v>
      </c>
      <c r="K777" t="s">
        <v>96</v>
      </c>
      <c r="N777" t="s">
        <v>40</v>
      </c>
      <c r="O777">
        <v>53</v>
      </c>
      <c r="Q777">
        <f t="shared" si="29"/>
        <v>1</v>
      </c>
      <c r="R777">
        <v>1</v>
      </c>
      <c r="S777">
        <v>0</v>
      </c>
      <c r="T777">
        <v>0</v>
      </c>
      <c r="U777">
        <v>0</v>
      </c>
      <c r="V777">
        <v>1</v>
      </c>
      <c r="W777">
        <v>0</v>
      </c>
      <c r="X777" s="21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f t="shared" si="30"/>
        <v>64</v>
      </c>
      <c r="AJ777" t="s">
        <v>51</v>
      </c>
      <c r="AK777" t="s">
        <v>52</v>
      </c>
      <c r="AP777" t="s">
        <v>41</v>
      </c>
    </row>
    <row r="778" spans="1:42">
      <c r="A778" s="1">
        <v>43774</v>
      </c>
      <c r="B778">
        <v>2</v>
      </c>
      <c r="C778">
        <v>307</v>
      </c>
      <c r="D778">
        <v>10365</v>
      </c>
      <c r="E778" t="s">
        <v>37</v>
      </c>
      <c r="F778" t="s">
        <v>38</v>
      </c>
      <c r="H778">
        <v>19</v>
      </c>
      <c r="I778" s="25">
        <v>130</v>
      </c>
      <c r="K778" t="s">
        <v>96</v>
      </c>
      <c r="N778" t="s">
        <v>40</v>
      </c>
      <c r="O778">
        <v>39</v>
      </c>
      <c r="Q778">
        <f t="shared" si="29"/>
        <v>1</v>
      </c>
      <c r="R778">
        <v>1</v>
      </c>
      <c r="S778">
        <v>0</v>
      </c>
      <c r="T778">
        <v>0</v>
      </c>
      <c r="U778">
        <v>0</v>
      </c>
      <c r="V778">
        <v>1</v>
      </c>
      <c r="W778">
        <v>0</v>
      </c>
      <c r="X778" s="21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f t="shared" si="30"/>
        <v>64</v>
      </c>
      <c r="AJ778" t="s">
        <v>51</v>
      </c>
      <c r="AK778" t="s">
        <v>52</v>
      </c>
      <c r="AP778" t="s">
        <v>41</v>
      </c>
    </row>
    <row r="779" spans="1:42">
      <c r="A779" s="1">
        <v>43774</v>
      </c>
      <c r="B779">
        <v>2</v>
      </c>
      <c r="C779">
        <v>307</v>
      </c>
      <c r="D779">
        <v>10365</v>
      </c>
      <c r="E779" t="s">
        <v>37</v>
      </c>
      <c r="F779" t="s">
        <v>38</v>
      </c>
      <c r="H779">
        <v>20</v>
      </c>
      <c r="I779" s="25">
        <v>625</v>
      </c>
      <c r="K779" t="s">
        <v>414</v>
      </c>
      <c r="N779" t="s">
        <v>40</v>
      </c>
      <c r="O779">
        <v>49</v>
      </c>
      <c r="Q779">
        <f t="shared" si="29"/>
        <v>2</v>
      </c>
      <c r="R779">
        <v>1</v>
      </c>
      <c r="S779">
        <v>2</v>
      </c>
      <c r="T779">
        <v>0</v>
      </c>
      <c r="U779">
        <v>0</v>
      </c>
      <c r="V779">
        <v>0</v>
      </c>
      <c r="W779">
        <v>0</v>
      </c>
      <c r="X779" s="21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f t="shared" si="30"/>
        <v>32</v>
      </c>
      <c r="AJ779" t="s">
        <v>51</v>
      </c>
      <c r="AK779" t="s">
        <v>52</v>
      </c>
      <c r="AP779" t="s">
        <v>41</v>
      </c>
    </row>
    <row r="780" spans="1:42">
      <c r="A780" s="1">
        <v>43774</v>
      </c>
      <c r="B780">
        <v>2</v>
      </c>
      <c r="C780">
        <v>307</v>
      </c>
      <c r="D780">
        <v>10365</v>
      </c>
      <c r="E780" t="s">
        <v>37</v>
      </c>
      <c r="F780" t="s">
        <v>38</v>
      </c>
      <c r="H780">
        <v>21</v>
      </c>
      <c r="I780" s="25">
        <v>690</v>
      </c>
      <c r="K780" t="s">
        <v>415</v>
      </c>
      <c r="N780" t="s">
        <v>44</v>
      </c>
      <c r="O780">
        <v>106</v>
      </c>
      <c r="Q780">
        <f t="shared" si="29"/>
        <v>1</v>
      </c>
      <c r="R780">
        <v>1</v>
      </c>
      <c r="S780">
        <v>0</v>
      </c>
      <c r="T780">
        <v>0</v>
      </c>
      <c r="U780">
        <v>0</v>
      </c>
      <c r="V780">
        <v>1</v>
      </c>
      <c r="W780">
        <v>0</v>
      </c>
      <c r="X780" s="21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f t="shared" si="30"/>
        <v>64</v>
      </c>
      <c r="AJ780" t="s">
        <v>51</v>
      </c>
      <c r="AK780" t="s">
        <v>52</v>
      </c>
      <c r="AP780" t="s">
        <v>41</v>
      </c>
    </row>
    <row r="781" spans="1:42">
      <c r="A781" s="1">
        <v>43774</v>
      </c>
      <c r="B781">
        <v>2</v>
      </c>
      <c r="C781">
        <v>307</v>
      </c>
      <c r="D781">
        <v>10365</v>
      </c>
      <c r="E781" t="s">
        <v>37</v>
      </c>
      <c r="F781" t="s">
        <v>38</v>
      </c>
      <c r="H781">
        <v>22</v>
      </c>
      <c r="I781" s="25"/>
      <c r="Q781">
        <f t="shared" si="29"/>
        <v>0</v>
      </c>
      <c r="R781">
        <v>1</v>
      </c>
      <c r="S781">
        <v>0</v>
      </c>
      <c r="T781">
        <v>0</v>
      </c>
      <c r="U781">
        <v>0</v>
      </c>
      <c r="V781">
        <v>0</v>
      </c>
      <c r="W781">
        <v>0</v>
      </c>
      <c r="X781" s="2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f t="shared" si="30"/>
        <v>0</v>
      </c>
      <c r="AP781" t="s">
        <v>41</v>
      </c>
    </row>
    <row r="782" spans="1:42">
      <c r="A782" s="1">
        <v>43774</v>
      </c>
      <c r="B782">
        <v>2</v>
      </c>
      <c r="C782">
        <v>307</v>
      </c>
      <c r="D782">
        <v>10365</v>
      </c>
      <c r="E782" t="s">
        <v>37</v>
      </c>
      <c r="F782" t="s">
        <v>38</v>
      </c>
      <c r="H782">
        <v>23</v>
      </c>
      <c r="I782" s="25"/>
      <c r="Q782">
        <f t="shared" si="29"/>
        <v>0</v>
      </c>
      <c r="R782">
        <v>1</v>
      </c>
      <c r="S782">
        <v>0</v>
      </c>
      <c r="T782">
        <v>0</v>
      </c>
      <c r="U782">
        <v>0</v>
      </c>
      <c r="V782">
        <v>0</v>
      </c>
      <c r="W782">
        <v>0</v>
      </c>
      <c r="X782" s="21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f t="shared" si="30"/>
        <v>0</v>
      </c>
      <c r="AP782" t="s">
        <v>41</v>
      </c>
    </row>
    <row r="783" spans="1:42">
      <c r="A783" s="1">
        <v>43774</v>
      </c>
      <c r="B783">
        <v>2</v>
      </c>
      <c r="C783">
        <v>307</v>
      </c>
      <c r="D783">
        <v>10365</v>
      </c>
      <c r="E783" t="s">
        <v>37</v>
      </c>
      <c r="F783" t="s">
        <v>38</v>
      </c>
      <c r="H783">
        <v>24</v>
      </c>
      <c r="I783" s="25"/>
      <c r="Q783">
        <f t="shared" si="29"/>
        <v>0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0</v>
      </c>
      <c r="X783" s="21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f t="shared" si="30"/>
        <v>0</v>
      </c>
      <c r="AP783" t="s">
        <v>41</v>
      </c>
    </row>
    <row r="784" spans="1:42">
      <c r="A784" s="1">
        <v>43774</v>
      </c>
      <c r="B784">
        <v>2</v>
      </c>
      <c r="C784">
        <v>307</v>
      </c>
      <c r="D784">
        <v>10365</v>
      </c>
      <c r="E784" t="s">
        <v>37</v>
      </c>
      <c r="F784" t="s">
        <v>38</v>
      </c>
      <c r="H784">
        <v>25</v>
      </c>
      <c r="I784" s="25"/>
      <c r="Q784">
        <f t="shared" si="29"/>
        <v>0</v>
      </c>
      <c r="R784">
        <v>1</v>
      </c>
      <c r="S784">
        <v>0</v>
      </c>
      <c r="T784">
        <v>0</v>
      </c>
      <c r="U784">
        <v>0</v>
      </c>
      <c r="V784">
        <v>0</v>
      </c>
      <c r="W784">
        <v>0</v>
      </c>
      <c r="X784" s="21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f t="shared" si="30"/>
        <v>0</v>
      </c>
      <c r="AP784" t="s">
        <v>41</v>
      </c>
    </row>
    <row r="785" spans="1:42">
      <c r="A785" s="1">
        <v>43774</v>
      </c>
      <c r="B785">
        <v>2</v>
      </c>
      <c r="C785">
        <v>307</v>
      </c>
      <c r="D785">
        <v>10365</v>
      </c>
      <c r="E785" t="s">
        <v>37</v>
      </c>
      <c r="F785" t="s">
        <v>38</v>
      </c>
      <c r="H785">
        <v>26</v>
      </c>
      <c r="I785" s="25"/>
      <c r="Q785">
        <f t="shared" si="29"/>
        <v>0</v>
      </c>
      <c r="R785">
        <v>1</v>
      </c>
      <c r="S785">
        <v>0</v>
      </c>
      <c r="T785">
        <v>0</v>
      </c>
      <c r="U785">
        <v>0</v>
      </c>
      <c r="V785">
        <v>0</v>
      </c>
      <c r="W785">
        <v>0</v>
      </c>
      <c r="X785" s="21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f t="shared" si="30"/>
        <v>0</v>
      </c>
      <c r="AP785" t="s">
        <v>41</v>
      </c>
    </row>
    <row r="786" spans="1:42">
      <c r="A786" s="1">
        <v>43774</v>
      </c>
      <c r="B786">
        <v>2</v>
      </c>
      <c r="C786">
        <v>307</v>
      </c>
      <c r="D786">
        <v>10365</v>
      </c>
      <c r="E786" t="s">
        <v>37</v>
      </c>
      <c r="F786" t="s">
        <v>38</v>
      </c>
      <c r="H786">
        <v>27</v>
      </c>
      <c r="I786" s="25"/>
      <c r="Q786">
        <f t="shared" si="29"/>
        <v>0</v>
      </c>
      <c r="R786">
        <v>1</v>
      </c>
      <c r="S786">
        <v>0</v>
      </c>
      <c r="T786">
        <v>0</v>
      </c>
      <c r="U786">
        <v>0</v>
      </c>
      <c r="V786">
        <v>0</v>
      </c>
      <c r="W786">
        <v>0</v>
      </c>
      <c r="X786" s="21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f t="shared" si="30"/>
        <v>0</v>
      </c>
      <c r="AP786" t="s">
        <v>41</v>
      </c>
    </row>
    <row r="787" spans="1:42">
      <c r="A787" s="1">
        <v>43774</v>
      </c>
      <c r="B787">
        <v>2</v>
      </c>
      <c r="C787">
        <v>307</v>
      </c>
      <c r="D787">
        <v>10365</v>
      </c>
      <c r="E787" t="s">
        <v>37</v>
      </c>
      <c r="F787" t="s">
        <v>38</v>
      </c>
      <c r="H787">
        <v>28</v>
      </c>
      <c r="I787" s="25">
        <v>1043</v>
      </c>
      <c r="K787" t="s">
        <v>414</v>
      </c>
      <c r="N787" t="s">
        <v>44</v>
      </c>
      <c r="O787">
        <v>85</v>
      </c>
      <c r="Q787">
        <f t="shared" si="29"/>
        <v>1</v>
      </c>
      <c r="R787">
        <v>1</v>
      </c>
      <c r="S787">
        <v>0</v>
      </c>
      <c r="T787">
        <v>0</v>
      </c>
      <c r="U787">
        <v>0</v>
      </c>
      <c r="V787">
        <v>1</v>
      </c>
      <c r="W787">
        <v>0</v>
      </c>
      <c r="X787" s="21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f t="shared" si="30"/>
        <v>64</v>
      </c>
      <c r="AJ787" t="s">
        <v>51</v>
      </c>
      <c r="AK787" t="s">
        <v>52</v>
      </c>
      <c r="AP787" t="s">
        <v>41</v>
      </c>
    </row>
    <row r="788" spans="1:42">
      <c r="A788" s="1">
        <v>43774</v>
      </c>
      <c r="B788">
        <v>2</v>
      </c>
      <c r="C788">
        <v>307</v>
      </c>
      <c r="D788">
        <v>10365</v>
      </c>
      <c r="E788" t="s">
        <v>37</v>
      </c>
      <c r="F788" t="s">
        <v>38</v>
      </c>
      <c r="H788">
        <v>29</v>
      </c>
      <c r="I788" s="25">
        <v>627</v>
      </c>
      <c r="K788" t="s">
        <v>416</v>
      </c>
      <c r="N788" t="s">
        <v>44</v>
      </c>
      <c r="O788">
        <v>104</v>
      </c>
      <c r="Q788">
        <f t="shared" si="29"/>
        <v>3</v>
      </c>
      <c r="R788">
        <v>1</v>
      </c>
      <c r="S788">
        <v>0</v>
      </c>
      <c r="T788">
        <v>0</v>
      </c>
      <c r="U788">
        <v>0</v>
      </c>
      <c r="V788">
        <v>3</v>
      </c>
      <c r="W788">
        <v>0</v>
      </c>
      <c r="X788" s="21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f t="shared" si="30"/>
        <v>192</v>
      </c>
      <c r="AJ788" t="s">
        <v>51</v>
      </c>
      <c r="AK788" t="s">
        <v>52</v>
      </c>
      <c r="AP788" t="s">
        <v>41</v>
      </c>
    </row>
    <row r="789" spans="1:42">
      <c r="A789" s="1">
        <v>43774</v>
      </c>
      <c r="B789">
        <v>2</v>
      </c>
      <c r="C789">
        <v>307</v>
      </c>
      <c r="D789">
        <v>10365</v>
      </c>
      <c r="E789" t="s">
        <v>37</v>
      </c>
      <c r="F789" t="s">
        <v>38</v>
      </c>
      <c r="H789">
        <v>30</v>
      </c>
      <c r="I789" s="25">
        <v>524</v>
      </c>
      <c r="K789" t="s">
        <v>415</v>
      </c>
      <c r="N789" t="s">
        <v>44</v>
      </c>
      <c r="O789">
        <v>49</v>
      </c>
      <c r="Q789">
        <f t="shared" si="29"/>
        <v>1</v>
      </c>
      <c r="R789">
        <v>1</v>
      </c>
      <c r="S789">
        <v>0</v>
      </c>
      <c r="T789">
        <v>0</v>
      </c>
      <c r="U789">
        <v>0</v>
      </c>
      <c r="V789">
        <v>1</v>
      </c>
      <c r="W789">
        <v>0</v>
      </c>
      <c r="X789" s="21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f t="shared" si="30"/>
        <v>64</v>
      </c>
      <c r="AJ789" t="s">
        <v>51</v>
      </c>
      <c r="AK789" t="s">
        <v>52</v>
      </c>
      <c r="AP789" t="s">
        <v>41</v>
      </c>
    </row>
    <row r="790" spans="1:42">
      <c r="A790" s="1">
        <v>43774</v>
      </c>
      <c r="B790">
        <v>2</v>
      </c>
      <c r="C790">
        <v>307</v>
      </c>
      <c r="D790">
        <v>10365</v>
      </c>
      <c r="E790" t="s">
        <v>37</v>
      </c>
      <c r="F790" t="s">
        <v>38</v>
      </c>
      <c r="H790">
        <v>31</v>
      </c>
      <c r="I790" s="25">
        <v>544</v>
      </c>
      <c r="K790" t="s">
        <v>417</v>
      </c>
      <c r="N790" t="s">
        <v>40</v>
      </c>
      <c r="O790">
        <v>46</v>
      </c>
      <c r="Q790">
        <f t="shared" si="29"/>
        <v>2</v>
      </c>
      <c r="R790">
        <v>1</v>
      </c>
      <c r="S790">
        <v>1</v>
      </c>
      <c r="T790">
        <v>0</v>
      </c>
      <c r="U790">
        <v>0</v>
      </c>
      <c r="V790">
        <v>1</v>
      </c>
      <c r="W790">
        <v>0</v>
      </c>
      <c r="X790" s="21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f t="shared" si="30"/>
        <v>80</v>
      </c>
      <c r="AJ790" t="s">
        <v>51</v>
      </c>
      <c r="AK790" t="s">
        <v>52</v>
      </c>
      <c r="AP790" t="s">
        <v>41</v>
      </c>
    </row>
    <row r="791" spans="1:42">
      <c r="A791" s="1">
        <v>43774</v>
      </c>
      <c r="B791">
        <v>2</v>
      </c>
      <c r="C791">
        <v>307</v>
      </c>
      <c r="D791">
        <v>10365</v>
      </c>
      <c r="E791" t="s">
        <v>37</v>
      </c>
      <c r="F791" t="s">
        <v>38</v>
      </c>
      <c r="H791">
        <v>32</v>
      </c>
      <c r="I791" s="25"/>
      <c r="Q791">
        <f t="shared" si="29"/>
        <v>0</v>
      </c>
      <c r="R791">
        <v>1</v>
      </c>
      <c r="S791">
        <v>0</v>
      </c>
      <c r="T791">
        <v>0</v>
      </c>
      <c r="U791">
        <v>0</v>
      </c>
      <c r="V791">
        <v>0</v>
      </c>
      <c r="W791">
        <v>0</v>
      </c>
      <c r="X791" s="2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f t="shared" si="30"/>
        <v>0</v>
      </c>
      <c r="AP791" t="s">
        <v>41</v>
      </c>
    </row>
    <row r="792" spans="1:42">
      <c r="A792" s="1">
        <v>43774</v>
      </c>
      <c r="B792">
        <v>2</v>
      </c>
      <c r="C792">
        <v>307</v>
      </c>
      <c r="D792">
        <v>10365</v>
      </c>
      <c r="E792" t="s">
        <v>37</v>
      </c>
      <c r="F792" t="s">
        <v>38</v>
      </c>
      <c r="H792">
        <v>33</v>
      </c>
      <c r="I792" s="25">
        <v>1400</v>
      </c>
      <c r="K792" t="s">
        <v>73</v>
      </c>
      <c r="N792" t="s">
        <v>44</v>
      </c>
      <c r="O792">
        <v>36</v>
      </c>
      <c r="Q792">
        <f t="shared" si="29"/>
        <v>1</v>
      </c>
      <c r="R792">
        <v>1</v>
      </c>
      <c r="S792">
        <v>0</v>
      </c>
      <c r="T792">
        <v>0</v>
      </c>
      <c r="U792">
        <v>0</v>
      </c>
      <c r="V792">
        <v>1</v>
      </c>
      <c r="W792">
        <v>0</v>
      </c>
      <c r="X792" s="21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f t="shared" si="30"/>
        <v>64</v>
      </c>
      <c r="AJ792" t="s">
        <v>51</v>
      </c>
      <c r="AK792" t="s">
        <v>52</v>
      </c>
      <c r="AP792" t="s">
        <v>41</v>
      </c>
    </row>
    <row r="793" spans="1:42">
      <c r="A793" s="1">
        <v>43774</v>
      </c>
      <c r="B793">
        <v>2</v>
      </c>
      <c r="C793">
        <v>307</v>
      </c>
      <c r="D793">
        <v>10365</v>
      </c>
      <c r="E793" t="s">
        <v>37</v>
      </c>
      <c r="F793" t="s">
        <v>38</v>
      </c>
      <c r="H793">
        <v>34</v>
      </c>
      <c r="I793" s="25">
        <v>455</v>
      </c>
      <c r="K793" t="s">
        <v>417</v>
      </c>
      <c r="N793" t="s">
        <v>40</v>
      </c>
      <c r="O793">
        <v>257</v>
      </c>
      <c r="Q793">
        <f t="shared" ref="Q793:Q856" si="31">SUM(S793:AC793)</f>
        <v>10</v>
      </c>
      <c r="R793">
        <v>1</v>
      </c>
      <c r="S793">
        <v>0</v>
      </c>
      <c r="T793">
        <v>0</v>
      </c>
      <c r="U793">
        <v>0</v>
      </c>
      <c r="V793">
        <v>10</v>
      </c>
      <c r="W793">
        <v>0</v>
      </c>
      <c r="X793" s="21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f t="shared" ref="AH793:AH856" si="32">(S793*16)+(T793*20)+(U793*32)+(V793*64)+(W793*96)</f>
        <v>640</v>
      </c>
      <c r="AJ793" t="s">
        <v>51</v>
      </c>
      <c r="AK793" t="s">
        <v>52</v>
      </c>
      <c r="AL793" t="s">
        <v>418</v>
      </c>
      <c r="AP793" t="s">
        <v>41</v>
      </c>
    </row>
    <row r="794" spans="1:42">
      <c r="A794" s="1">
        <v>43774</v>
      </c>
      <c r="B794">
        <v>2</v>
      </c>
      <c r="C794">
        <v>307</v>
      </c>
      <c r="D794">
        <v>10365</v>
      </c>
      <c r="E794" t="s">
        <v>37</v>
      </c>
      <c r="F794" t="s">
        <v>38</v>
      </c>
      <c r="H794">
        <v>35</v>
      </c>
      <c r="I794" s="25">
        <v>395</v>
      </c>
      <c r="K794" t="s">
        <v>417</v>
      </c>
      <c r="N794" t="s">
        <v>40</v>
      </c>
      <c r="O794">
        <v>58</v>
      </c>
      <c r="Q794">
        <f t="shared" si="31"/>
        <v>2</v>
      </c>
      <c r="R794">
        <v>1</v>
      </c>
      <c r="S794">
        <v>0</v>
      </c>
      <c r="T794">
        <v>0</v>
      </c>
      <c r="U794">
        <v>0</v>
      </c>
      <c r="V794">
        <v>2</v>
      </c>
      <c r="W794">
        <v>0</v>
      </c>
      <c r="X794" s="21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f t="shared" si="32"/>
        <v>128</v>
      </c>
      <c r="AJ794" t="s">
        <v>51</v>
      </c>
      <c r="AK794" t="s">
        <v>52</v>
      </c>
      <c r="AP794" t="s">
        <v>41</v>
      </c>
    </row>
    <row r="795" spans="1:42">
      <c r="A795" s="1">
        <v>43774</v>
      </c>
      <c r="B795">
        <v>2</v>
      </c>
      <c r="C795">
        <v>307</v>
      </c>
      <c r="D795">
        <v>10365</v>
      </c>
      <c r="E795" t="s">
        <v>37</v>
      </c>
      <c r="F795" t="s">
        <v>38</v>
      </c>
      <c r="H795">
        <v>36</v>
      </c>
      <c r="I795" s="25" t="s">
        <v>419</v>
      </c>
      <c r="K795" t="s">
        <v>420</v>
      </c>
      <c r="N795" t="s">
        <v>40</v>
      </c>
      <c r="O795">
        <v>88</v>
      </c>
      <c r="Q795">
        <f t="shared" si="31"/>
        <v>4</v>
      </c>
      <c r="R795">
        <v>1</v>
      </c>
      <c r="S795">
        <v>1</v>
      </c>
      <c r="T795">
        <v>0</v>
      </c>
      <c r="U795">
        <v>0</v>
      </c>
      <c r="V795">
        <v>3</v>
      </c>
      <c r="W795">
        <v>0</v>
      </c>
      <c r="X795" s="21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f t="shared" si="32"/>
        <v>208</v>
      </c>
      <c r="AP795" t="s">
        <v>41</v>
      </c>
    </row>
    <row r="796" spans="1:42">
      <c r="A796" s="1">
        <v>43774</v>
      </c>
      <c r="B796">
        <v>2</v>
      </c>
      <c r="C796">
        <v>307</v>
      </c>
      <c r="D796">
        <v>10365</v>
      </c>
      <c r="E796" t="s">
        <v>37</v>
      </c>
      <c r="F796" t="s">
        <v>38</v>
      </c>
      <c r="H796">
        <v>37</v>
      </c>
      <c r="I796" s="25">
        <v>601</v>
      </c>
      <c r="K796" t="s">
        <v>420</v>
      </c>
      <c r="N796" t="s">
        <v>40</v>
      </c>
      <c r="O796">
        <v>30</v>
      </c>
      <c r="Q796">
        <f t="shared" si="31"/>
        <v>0</v>
      </c>
      <c r="R796">
        <v>1</v>
      </c>
      <c r="S796">
        <v>0</v>
      </c>
      <c r="T796">
        <v>0</v>
      </c>
      <c r="U796">
        <v>0</v>
      </c>
      <c r="V796">
        <v>0</v>
      </c>
      <c r="W796">
        <v>0</v>
      </c>
      <c r="X796" s="21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f t="shared" si="32"/>
        <v>0</v>
      </c>
      <c r="AP796" t="s">
        <v>41</v>
      </c>
    </row>
    <row r="797" spans="1:42">
      <c r="A797" s="1">
        <v>43774</v>
      </c>
      <c r="B797">
        <v>2</v>
      </c>
      <c r="C797">
        <v>307</v>
      </c>
      <c r="D797">
        <v>10365</v>
      </c>
      <c r="E797" t="s">
        <v>37</v>
      </c>
      <c r="F797" t="s">
        <v>38</v>
      </c>
      <c r="H797">
        <v>38</v>
      </c>
      <c r="I797" s="25">
        <v>611</v>
      </c>
      <c r="K797" t="s">
        <v>420</v>
      </c>
      <c r="O797">
        <v>30</v>
      </c>
      <c r="Q797">
        <f t="shared" si="31"/>
        <v>1</v>
      </c>
      <c r="R797">
        <v>1</v>
      </c>
      <c r="S797">
        <v>1</v>
      </c>
      <c r="T797">
        <v>0</v>
      </c>
      <c r="U797">
        <v>0</v>
      </c>
      <c r="V797">
        <v>0</v>
      </c>
      <c r="W797">
        <v>0</v>
      </c>
      <c r="X797" s="21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f t="shared" si="32"/>
        <v>16</v>
      </c>
      <c r="AP797" t="s">
        <v>41</v>
      </c>
    </row>
    <row r="798" spans="1:42">
      <c r="A798" s="1">
        <v>43774</v>
      </c>
      <c r="B798">
        <v>2</v>
      </c>
      <c r="C798">
        <v>307</v>
      </c>
      <c r="D798">
        <v>10365</v>
      </c>
      <c r="E798" t="s">
        <v>37</v>
      </c>
      <c r="F798" t="s">
        <v>38</v>
      </c>
      <c r="H798">
        <v>39</v>
      </c>
      <c r="I798" s="25">
        <v>625</v>
      </c>
      <c r="K798" t="s">
        <v>420</v>
      </c>
      <c r="N798" t="s">
        <v>40</v>
      </c>
      <c r="O798">
        <v>39</v>
      </c>
      <c r="Q798">
        <f t="shared" si="31"/>
        <v>1</v>
      </c>
      <c r="R798">
        <v>1</v>
      </c>
      <c r="S798">
        <v>0</v>
      </c>
      <c r="T798">
        <v>0</v>
      </c>
      <c r="U798">
        <v>0</v>
      </c>
      <c r="V798">
        <v>1</v>
      </c>
      <c r="W798">
        <v>0</v>
      </c>
      <c r="X798" s="21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f t="shared" si="32"/>
        <v>64</v>
      </c>
      <c r="AJ798" t="s">
        <v>51</v>
      </c>
      <c r="AK798" t="s">
        <v>52</v>
      </c>
      <c r="AP798" t="s">
        <v>41</v>
      </c>
    </row>
    <row r="799" spans="1:42">
      <c r="A799" s="1">
        <v>43774</v>
      </c>
      <c r="B799">
        <v>2</v>
      </c>
      <c r="C799">
        <v>307</v>
      </c>
      <c r="D799">
        <v>10365</v>
      </c>
      <c r="E799" t="s">
        <v>37</v>
      </c>
      <c r="F799" t="s">
        <v>38</v>
      </c>
      <c r="H799">
        <v>40</v>
      </c>
      <c r="I799" s="25">
        <v>631</v>
      </c>
      <c r="K799" t="s">
        <v>420</v>
      </c>
      <c r="N799" t="s">
        <v>40</v>
      </c>
      <c r="O799">
        <v>39</v>
      </c>
      <c r="Q799">
        <f t="shared" si="31"/>
        <v>1</v>
      </c>
      <c r="R799">
        <v>1</v>
      </c>
      <c r="S799">
        <v>0</v>
      </c>
      <c r="T799">
        <v>0</v>
      </c>
      <c r="U799">
        <v>0</v>
      </c>
      <c r="V799">
        <v>1</v>
      </c>
      <c r="W799">
        <v>0</v>
      </c>
      <c r="X799" s="21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f t="shared" si="32"/>
        <v>64</v>
      </c>
      <c r="AJ799" t="s">
        <v>51</v>
      </c>
      <c r="AK799" t="s">
        <v>52</v>
      </c>
      <c r="AP799" t="s">
        <v>41</v>
      </c>
    </row>
    <row r="800" spans="1:42">
      <c r="A800" s="1">
        <v>43774</v>
      </c>
      <c r="B800">
        <v>2</v>
      </c>
      <c r="C800">
        <v>307</v>
      </c>
      <c r="D800">
        <v>10365</v>
      </c>
      <c r="E800" t="s">
        <v>37</v>
      </c>
      <c r="F800" t="s">
        <v>38</v>
      </c>
      <c r="H800">
        <v>41</v>
      </c>
      <c r="I800" s="25">
        <v>710</v>
      </c>
      <c r="K800" t="s">
        <v>414</v>
      </c>
      <c r="N800" t="s">
        <v>44</v>
      </c>
      <c r="O800">
        <v>65</v>
      </c>
      <c r="Q800">
        <f t="shared" si="31"/>
        <v>1</v>
      </c>
      <c r="R800">
        <v>1</v>
      </c>
      <c r="S800">
        <v>0</v>
      </c>
      <c r="T800">
        <v>0</v>
      </c>
      <c r="U800">
        <v>0</v>
      </c>
      <c r="V800">
        <v>1</v>
      </c>
      <c r="W800">
        <v>0</v>
      </c>
      <c r="X800" s="21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f t="shared" si="32"/>
        <v>64</v>
      </c>
      <c r="AJ800" t="s">
        <v>51</v>
      </c>
      <c r="AK800" t="s">
        <v>52</v>
      </c>
      <c r="AP800" t="s">
        <v>41</v>
      </c>
    </row>
    <row r="801" spans="1:42">
      <c r="A801" s="1">
        <v>43774</v>
      </c>
      <c r="B801">
        <v>2</v>
      </c>
      <c r="C801">
        <v>307</v>
      </c>
      <c r="D801">
        <v>10365</v>
      </c>
      <c r="E801" t="s">
        <v>37</v>
      </c>
      <c r="F801" t="s">
        <v>38</v>
      </c>
      <c r="H801">
        <v>42</v>
      </c>
      <c r="I801" s="25">
        <v>730</v>
      </c>
      <c r="K801" t="s">
        <v>414</v>
      </c>
      <c r="N801" t="s">
        <v>40</v>
      </c>
      <c r="O801">
        <v>59</v>
      </c>
      <c r="Q801">
        <f t="shared" si="31"/>
        <v>1</v>
      </c>
      <c r="R801">
        <v>1</v>
      </c>
      <c r="S801">
        <v>0</v>
      </c>
      <c r="T801">
        <v>0</v>
      </c>
      <c r="U801">
        <v>0</v>
      </c>
      <c r="V801">
        <v>1</v>
      </c>
      <c r="W801">
        <v>0</v>
      </c>
      <c r="X801" s="2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f t="shared" si="32"/>
        <v>64</v>
      </c>
      <c r="AJ801" t="s">
        <v>51</v>
      </c>
      <c r="AK801" t="s">
        <v>52</v>
      </c>
      <c r="AP801" t="s">
        <v>41</v>
      </c>
    </row>
    <row r="802" spans="1:42">
      <c r="A802" s="1">
        <v>43774</v>
      </c>
      <c r="B802">
        <v>2</v>
      </c>
      <c r="C802">
        <v>307</v>
      </c>
      <c r="D802">
        <v>10365</v>
      </c>
      <c r="E802" t="s">
        <v>37</v>
      </c>
      <c r="F802" t="s">
        <v>38</v>
      </c>
      <c r="H802">
        <v>43</v>
      </c>
      <c r="I802" s="25">
        <v>771</v>
      </c>
      <c r="K802" t="s">
        <v>100</v>
      </c>
      <c r="N802" t="s">
        <v>40</v>
      </c>
      <c r="O802">
        <v>59</v>
      </c>
      <c r="Q802">
        <f t="shared" si="31"/>
        <v>6</v>
      </c>
      <c r="R802">
        <v>1</v>
      </c>
      <c r="S802">
        <v>0</v>
      </c>
      <c r="T802">
        <v>0</v>
      </c>
      <c r="U802">
        <v>0</v>
      </c>
      <c r="V802">
        <v>6</v>
      </c>
      <c r="W802">
        <v>0</v>
      </c>
      <c r="X802" s="21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f t="shared" si="32"/>
        <v>384</v>
      </c>
      <c r="AJ802" t="s">
        <v>51</v>
      </c>
      <c r="AK802" t="s">
        <v>52</v>
      </c>
      <c r="AP802" t="s">
        <v>41</v>
      </c>
    </row>
    <row r="803" spans="1:42">
      <c r="A803" s="1">
        <v>43774</v>
      </c>
      <c r="B803">
        <v>2</v>
      </c>
      <c r="C803">
        <v>307</v>
      </c>
      <c r="D803">
        <v>10365</v>
      </c>
      <c r="E803" t="s">
        <v>37</v>
      </c>
      <c r="F803" t="s">
        <v>38</v>
      </c>
      <c r="H803">
        <v>44</v>
      </c>
      <c r="I803" s="25">
        <v>707</v>
      </c>
      <c r="K803" t="s">
        <v>100</v>
      </c>
      <c r="N803" t="s">
        <v>40</v>
      </c>
      <c r="O803">
        <v>33</v>
      </c>
      <c r="Q803">
        <f t="shared" si="31"/>
        <v>1</v>
      </c>
      <c r="R803">
        <v>1</v>
      </c>
      <c r="S803">
        <v>0</v>
      </c>
      <c r="T803">
        <v>0</v>
      </c>
      <c r="U803">
        <v>0</v>
      </c>
      <c r="V803">
        <v>1</v>
      </c>
      <c r="W803">
        <v>0</v>
      </c>
      <c r="X803" s="21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f t="shared" si="32"/>
        <v>64</v>
      </c>
      <c r="AJ803" t="s">
        <v>51</v>
      </c>
      <c r="AK803" t="s">
        <v>52</v>
      </c>
      <c r="AP803" t="s">
        <v>41</v>
      </c>
    </row>
    <row r="804" spans="1:42">
      <c r="A804" s="1">
        <v>43774</v>
      </c>
      <c r="B804">
        <v>2</v>
      </c>
      <c r="C804">
        <v>307</v>
      </c>
      <c r="D804">
        <v>10365</v>
      </c>
      <c r="E804" t="s">
        <v>37</v>
      </c>
      <c r="F804" t="s">
        <v>38</v>
      </c>
      <c r="H804">
        <v>45</v>
      </c>
      <c r="I804" s="25">
        <v>717</v>
      </c>
      <c r="K804" t="s">
        <v>100</v>
      </c>
      <c r="N804" t="s">
        <v>40</v>
      </c>
      <c r="O804">
        <v>33</v>
      </c>
      <c r="Q804">
        <f t="shared" si="31"/>
        <v>1</v>
      </c>
      <c r="R804">
        <v>1</v>
      </c>
      <c r="S804">
        <v>0</v>
      </c>
      <c r="T804">
        <v>0</v>
      </c>
      <c r="U804">
        <v>0</v>
      </c>
      <c r="V804">
        <v>1</v>
      </c>
      <c r="W804">
        <v>0</v>
      </c>
      <c r="X804" s="21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f t="shared" si="32"/>
        <v>64</v>
      </c>
      <c r="AJ804" t="s">
        <v>51</v>
      </c>
      <c r="AK804" t="s">
        <v>52</v>
      </c>
      <c r="AP804" t="s">
        <v>41</v>
      </c>
    </row>
    <row r="805" spans="1:42">
      <c r="A805" s="1">
        <v>43774</v>
      </c>
      <c r="B805">
        <v>2</v>
      </c>
      <c r="C805">
        <v>307</v>
      </c>
      <c r="D805">
        <v>10365</v>
      </c>
      <c r="E805" t="s">
        <v>37</v>
      </c>
      <c r="F805" t="s">
        <v>38</v>
      </c>
      <c r="H805">
        <v>46</v>
      </c>
      <c r="I805" s="25">
        <v>685</v>
      </c>
      <c r="K805" t="s">
        <v>100</v>
      </c>
      <c r="N805" t="s">
        <v>40</v>
      </c>
      <c r="O805">
        <v>51</v>
      </c>
      <c r="Q805">
        <f t="shared" si="31"/>
        <v>1</v>
      </c>
      <c r="R805">
        <v>1</v>
      </c>
      <c r="S805">
        <v>0</v>
      </c>
      <c r="T805">
        <v>0</v>
      </c>
      <c r="U805">
        <v>0</v>
      </c>
      <c r="V805">
        <v>1</v>
      </c>
      <c r="W805">
        <v>0</v>
      </c>
      <c r="X805" s="21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f t="shared" si="32"/>
        <v>64</v>
      </c>
      <c r="AJ805" t="s">
        <v>51</v>
      </c>
      <c r="AK805" t="s">
        <v>52</v>
      </c>
      <c r="AP805" t="s">
        <v>41</v>
      </c>
    </row>
    <row r="806" spans="1:42">
      <c r="A806" s="1">
        <v>43774</v>
      </c>
      <c r="B806">
        <v>2</v>
      </c>
      <c r="C806">
        <v>307</v>
      </c>
      <c r="D806">
        <v>10365</v>
      </c>
      <c r="E806" t="s">
        <v>37</v>
      </c>
      <c r="F806" t="s">
        <v>38</v>
      </c>
      <c r="H806">
        <v>47</v>
      </c>
      <c r="I806" s="25">
        <v>625</v>
      </c>
      <c r="K806" t="s">
        <v>100</v>
      </c>
      <c r="N806" t="s">
        <v>44</v>
      </c>
      <c r="O806">
        <v>87</v>
      </c>
      <c r="Q806">
        <f t="shared" si="31"/>
        <v>1</v>
      </c>
      <c r="R806">
        <v>1</v>
      </c>
      <c r="S806">
        <v>0</v>
      </c>
      <c r="T806">
        <v>0</v>
      </c>
      <c r="U806">
        <v>0</v>
      </c>
      <c r="V806">
        <v>1</v>
      </c>
      <c r="W806">
        <v>0</v>
      </c>
      <c r="X806" s="21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f t="shared" si="32"/>
        <v>64</v>
      </c>
      <c r="AJ806" t="s">
        <v>51</v>
      </c>
      <c r="AK806" t="s">
        <v>52</v>
      </c>
      <c r="AP806" t="s">
        <v>41</v>
      </c>
    </row>
    <row r="807" spans="1:42">
      <c r="A807" s="1">
        <v>43774</v>
      </c>
      <c r="B807">
        <v>2</v>
      </c>
      <c r="C807">
        <v>307</v>
      </c>
      <c r="D807">
        <v>10365</v>
      </c>
      <c r="E807" t="s">
        <v>37</v>
      </c>
      <c r="F807" t="s">
        <v>38</v>
      </c>
      <c r="H807">
        <v>48</v>
      </c>
      <c r="I807" s="25">
        <v>290</v>
      </c>
      <c r="K807" t="s">
        <v>417</v>
      </c>
      <c r="N807" t="s">
        <v>40</v>
      </c>
      <c r="O807">
        <v>31</v>
      </c>
      <c r="Q807">
        <f t="shared" si="31"/>
        <v>1</v>
      </c>
      <c r="R807">
        <v>1</v>
      </c>
      <c r="S807">
        <v>0</v>
      </c>
      <c r="T807">
        <v>0</v>
      </c>
      <c r="U807">
        <v>0</v>
      </c>
      <c r="V807">
        <v>1</v>
      </c>
      <c r="W807">
        <v>0</v>
      </c>
      <c r="X807" s="21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f t="shared" si="32"/>
        <v>64</v>
      </c>
      <c r="AJ807" t="s">
        <v>51</v>
      </c>
      <c r="AK807" t="s">
        <v>52</v>
      </c>
      <c r="AP807" t="s">
        <v>41</v>
      </c>
    </row>
    <row r="808" spans="1:42">
      <c r="A808" s="1">
        <v>43774</v>
      </c>
      <c r="B808">
        <v>2</v>
      </c>
      <c r="C808">
        <v>307</v>
      </c>
      <c r="D808">
        <v>10365</v>
      </c>
      <c r="E808" t="s">
        <v>37</v>
      </c>
      <c r="F808" t="s">
        <v>38</v>
      </c>
      <c r="H808">
        <v>49</v>
      </c>
      <c r="I808" s="25">
        <v>276</v>
      </c>
      <c r="K808" t="s">
        <v>417</v>
      </c>
      <c r="N808" t="s">
        <v>40</v>
      </c>
      <c r="O808">
        <v>31</v>
      </c>
      <c r="Q808">
        <f t="shared" si="31"/>
        <v>1</v>
      </c>
      <c r="R808">
        <v>1</v>
      </c>
      <c r="S808">
        <v>0</v>
      </c>
      <c r="T808">
        <v>0</v>
      </c>
      <c r="U808">
        <v>0</v>
      </c>
      <c r="V808">
        <v>1</v>
      </c>
      <c r="W808">
        <v>0</v>
      </c>
      <c r="X808" s="21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f t="shared" si="32"/>
        <v>64</v>
      </c>
      <c r="AJ808" t="s">
        <v>51</v>
      </c>
      <c r="AK808" t="s">
        <v>52</v>
      </c>
      <c r="AP808" t="s">
        <v>41</v>
      </c>
    </row>
    <row r="809" spans="1:42">
      <c r="A809" s="1">
        <v>43774</v>
      </c>
      <c r="B809">
        <v>2</v>
      </c>
      <c r="C809">
        <v>307</v>
      </c>
      <c r="D809">
        <v>10365</v>
      </c>
      <c r="E809" t="s">
        <v>37</v>
      </c>
      <c r="F809" t="s">
        <v>38</v>
      </c>
      <c r="H809">
        <v>50</v>
      </c>
      <c r="I809" s="25">
        <v>260</v>
      </c>
      <c r="K809" t="s">
        <v>417</v>
      </c>
      <c r="N809" t="s">
        <v>40</v>
      </c>
      <c r="O809">
        <v>35</v>
      </c>
      <c r="Q809">
        <f t="shared" si="31"/>
        <v>1</v>
      </c>
      <c r="R809">
        <v>1</v>
      </c>
      <c r="S809">
        <v>0</v>
      </c>
      <c r="T809">
        <v>0</v>
      </c>
      <c r="U809">
        <v>0</v>
      </c>
      <c r="V809">
        <v>1</v>
      </c>
      <c r="W809">
        <v>0</v>
      </c>
      <c r="X809" s="21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f t="shared" si="32"/>
        <v>64</v>
      </c>
      <c r="AJ809" t="s">
        <v>51</v>
      </c>
      <c r="AK809" t="s">
        <v>52</v>
      </c>
      <c r="AP809" t="s">
        <v>41</v>
      </c>
    </row>
    <row r="810" spans="1:42">
      <c r="A810" s="1">
        <v>43774</v>
      </c>
      <c r="B810">
        <v>2</v>
      </c>
      <c r="C810">
        <v>307</v>
      </c>
      <c r="D810">
        <v>10365</v>
      </c>
      <c r="E810" t="s">
        <v>37</v>
      </c>
      <c r="F810" t="s">
        <v>38</v>
      </c>
      <c r="H810">
        <v>51</v>
      </c>
      <c r="I810" s="25">
        <v>250</v>
      </c>
      <c r="K810" t="s">
        <v>417</v>
      </c>
      <c r="N810" t="s">
        <v>40</v>
      </c>
      <c r="O810">
        <v>35</v>
      </c>
      <c r="Q810">
        <f t="shared" si="31"/>
        <v>1</v>
      </c>
      <c r="R810">
        <v>1</v>
      </c>
      <c r="S810">
        <v>1</v>
      </c>
      <c r="T810">
        <v>0</v>
      </c>
      <c r="U810">
        <v>0</v>
      </c>
      <c r="V810">
        <v>0</v>
      </c>
      <c r="W810">
        <v>0</v>
      </c>
      <c r="X810" s="21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f t="shared" si="32"/>
        <v>16</v>
      </c>
      <c r="AJ810" t="s">
        <v>51</v>
      </c>
      <c r="AK810" t="s">
        <v>52</v>
      </c>
      <c r="AP810" t="s">
        <v>41</v>
      </c>
    </row>
    <row r="811" spans="1:42">
      <c r="A811" s="1">
        <v>43774</v>
      </c>
      <c r="B811">
        <v>2</v>
      </c>
      <c r="C811">
        <v>307</v>
      </c>
      <c r="D811">
        <v>10365</v>
      </c>
      <c r="E811" t="s">
        <v>37</v>
      </c>
      <c r="F811" t="s">
        <v>38</v>
      </c>
      <c r="H811">
        <v>52</v>
      </c>
      <c r="I811" s="25">
        <v>325</v>
      </c>
      <c r="K811" t="s">
        <v>91</v>
      </c>
      <c r="N811" t="s">
        <v>44</v>
      </c>
      <c r="O811">
        <v>85</v>
      </c>
      <c r="Q811">
        <f t="shared" si="31"/>
        <v>3</v>
      </c>
      <c r="R811">
        <v>1</v>
      </c>
      <c r="S811">
        <v>2</v>
      </c>
      <c r="T811">
        <v>0</v>
      </c>
      <c r="U811">
        <v>0</v>
      </c>
      <c r="V811">
        <v>1</v>
      </c>
      <c r="W811">
        <v>0</v>
      </c>
      <c r="X811" s="2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f t="shared" si="32"/>
        <v>96</v>
      </c>
      <c r="AJ811" t="s">
        <v>51</v>
      </c>
      <c r="AK811" t="s">
        <v>52</v>
      </c>
      <c r="AP811" t="s">
        <v>41</v>
      </c>
    </row>
    <row r="812" spans="1:42">
      <c r="A812" s="1">
        <v>43774</v>
      </c>
      <c r="B812">
        <v>2</v>
      </c>
      <c r="C812">
        <v>307</v>
      </c>
      <c r="D812">
        <v>10365</v>
      </c>
      <c r="E812" t="s">
        <v>37</v>
      </c>
      <c r="F812" t="s">
        <v>38</v>
      </c>
      <c r="H812">
        <v>53</v>
      </c>
      <c r="I812" s="25">
        <v>688</v>
      </c>
      <c r="K812" t="s">
        <v>74</v>
      </c>
      <c r="N812" t="s">
        <v>44</v>
      </c>
      <c r="O812">
        <v>123</v>
      </c>
      <c r="Q812">
        <f t="shared" si="31"/>
        <v>1</v>
      </c>
      <c r="R812">
        <v>1</v>
      </c>
      <c r="S812">
        <v>0</v>
      </c>
      <c r="T812">
        <v>0</v>
      </c>
      <c r="U812">
        <v>0</v>
      </c>
      <c r="V812">
        <v>1</v>
      </c>
      <c r="W812">
        <v>0</v>
      </c>
      <c r="X812" s="21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f t="shared" si="32"/>
        <v>64</v>
      </c>
      <c r="AJ812" t="s">
        <v>54</v>
      </c>
      <c r="AK812" t="s">
        <v>52</v>
      </c>
      <c r="AP812" t="s">
        <v>41</v>
      </c>
    </row>
    <row r="813" spans="1:42">
      <c r="A813" s="1">
        <v>43774</v>
      </c>
      <c r="B813">
        <v>2</v>
      </c>
      <c r="C813">
        <v>307</v>
      </c>
      <c r="D813">
        <v>10365</v>
      </c>
      <c r="E813" t="s">
        <v>37</v>
      </c>
      <c r="F813" t="s">
        <v>38</v>
      </c>
      <c r="H813">
        <v>54</v>
      </c>
      <c r="I813" s="25">
        <v>754</v>
      </c>
      <c r="K813" t="s">
        <v>53</v>
      </c>
      <c r="N813" t="s">
        <v>44</v>
      </c>
      <c r="O813">
        <v>90</v>
      </c>
      <c r="Q813">
        <f t="shared" si="31"/>
        <v>1</v>
      </c>
      <c r="R813">
        <v>1</v>
      </c>
      <c r="S813">
        <v>0</v>
      </c>
      <c r="T813">
        <v>0</v>
      </c>
      <c r="U813">
        <v>0</v>
      </c>
      <c r="V813">
        <v>1</v>
      </c>
      <c r="W813">
        <v>0</v>
      </c>
      <c r="X813" s="21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f t="shared" si="32"/>
        <v>64</v>
      </c>
      <c r="AJ813" t="s">
        <v>54</v>
      </c>
      <c r="AK813" t="s">
        <v>52</v>
      </c>
      <c r="AP813" t="s">
        <v>41</v>
      </c>
    </row>
    <row r="814" spans="1:42">
      <c r="A814" s="1">
        <v>43774</v>
      </c>
      <c r="B814">
        <v>2</v>
      </c>
      <c r="C814">
        <v>307</v>
      </c>
      <c r="D814">
        <v>10365</v>
      </c>
      <c r="E814" t="s">
        <v>37</v>
      </c>
      <c r="F814" t="s">
        <v>38</v>
      </c>
      <c r="H814">
        <v>55</v>
      </c>
      <c r="I814" s="25">
        <v>720</v>
      </c>
      <c r="K814" t="s">
        <v>53</v>
      </c>
      <c r="N814" t="s">
        <v>40</v>
      </c>
      <c r="O814">
        <v>52</v>
      </c>
      <c r="Q814">
        <f t="shared" si="31"/>
        <v>1</v>
      </c>
      <c r="R814">
        <v>1</v>
      </c>
      <c r="S814">
        <v>0</v>
      </c>
      <c r="T814">
        <v>0</v>
      </c>
      <c r="U814">
        <v>0</v>
      </c>
      <c r="V814">
        <v>1</v>
      </c>
      <c r="W814">
        <v>0</v>
      </c>
      <c r="X814" s="21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f t="shared" si="32"/>
        <v>64</v>
      </c>
      <c r="AJ814" t="s">
        <v>54</v>
      </c>
      <c r="AK814" t="s">
        <v>52</v>
      </c>
      <c r="AP814" t="s">
        <v>41</v>
      </c>
    </row>
    <row r="815" spans="1:42">
      <c r="A815" s="1">
        <v>43774</v>
      </c>
      <c r="B815">
        <v>2</v>
      </c>
      <c r="C815">
        <v>307</v>
      </c>
      <c r="D815">
        <v>10365</v>
      </c>
      <c r="E815" t="s">
        <v>37</v>
      </c>
      <c r="F815" t="s">
        <v>38</v>
      </c>
      <c r="H815">
        <v>56</v>
      </c>
      <c r="I815" s="25">
        <v>686</v>
      </c>
      <c r="K815" t="s">
        <v>53</v>
      </c>
      <c r="N815" t="s">
        <v>44</v>
      </c>
      <c r="O815">
        <v>145</v>
      </c>
      <c r="Q815">
        <f t="shared" si="31"/>
        <v>1</v>
      </c>
      <c r="R815">
        <v>1</v>
      </c>
      <c r="S815">
        <v>0</v>
      </c>
      <c r="T815">
        <v>0</v>
      </c>
      <c r="U815">
        <v>0</v>
      </c>
      <c r="V815">
        <v>1</v>
      </c>
      <c r="W815">
        <v>0</v>
      </c>
      <c r="X815" s="21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f t="shared" si="32"/>
        <v>64</v>
      </c>
      <c r="AJ815" t="s">
        <v>54</v>
      </c>
      <c r="AK815" t="s">
        <v>52</v>
      </c>
      <c r="AP815" t="s">
        <v>41</v>
      </c>
    </row>
    <row r="816" spans="1:42">
      <c r="A816" s="1">
        <v>43774</v>
      </c>
      <c r="B816">
        <v>2</v>
      </c>
      <c r="C816">
        <v>307</v>
      </c>
      <c r="D816">
        <v>10365</v>
      </c>
      <c r="E816" t="s">
        <v>37</v>
      </c>
      <c r="F816" t="s">
        <v>38</v>
      </c>
      <c r="H816">
        <v>57</v>
      </c>
      <c r="I816" s="25">
        <v>550</v>
      </c>
      <c r="K816" t="s">
        <v>74</v>
      </c>
      <c r="N816" t="s">
        <v>40</v>
      </c>
      <c r="O816">
        <v>34</v>
      </c>
      <c r="Q816">
        <f t="shared" si="31"/>
        <v>1</v>
      </c>
      <c r="R816">
        <v>1</v>
      </c>
      <c r="S816">
        <v>0</v>
      </c>
      <c r="T816">
        <v>0</v>
      </c>
      <c r="U816">
        <v>0</v>
      </c>
      <c r="V816">
        <v>1</v>
      </c>
      <c r="W816">
        <v>0</v>
      </c>
      <c r="X816" s="21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f t="shared" si="32"/>
        <v>64</v>
      </c>
      <c r="AJ816" t="s">
        <v>54</v>
      </c>
      <c r="AK816" t="s">
        <v>52</v>
      </c>
      <c r="AP816" t="s">
        <v>41</v>
      </c>
    </row>
    <row r="817" spans="1:42">
      <c r="A817" s="1">
        <v>43774</v>
      </c>
      <c r="B817">
        <v>2</v>
      </c>
      <c r="C817">
        <v>307</v>
      </c>
      <c r="D817">
        <v>10365</v>
      </c>
      <c r="E817" t="s">
        <v>37</v>
      </c>
      <c r="F817" t="s">
        <v>38</v>
      </c>
      <c r="H817">
        <v>58</v>
      </c>
      <c r="I817" s="25" t="s">
        <v>421</v>
      </c>
      <c r="K817" t="s">
        <v>74</v>
      </c>
      <c r="N817" t="s">
        <v>44</v>
      </c>
      <c r="P817">
        <v>330</v>
      </c>
      <c r="Q817">
        <f t="shared" si="31"/>
        <v>8</v>
      </c>
      <c r="R817">
        <v>3</v>
      </c>
      <c r="S817">
        <v>0</v>
      </c>
      <c r="T817">
        <v>0</v>
      </c>
      <c r="U817">
        <v>0</v>
      </c>
      <c r="V817">
        <v>8</v>
      </c>
      <c r="W817">
        <v>0</v>
      </c>
      <c r="X817" s="21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f t="shared" si="32"/>
        <v>512</v>
      </c>
      <c r="AJ817" t="s">
        <v>54</v>
      </c>
      <c r="AK817" t="s">
        <v>52</v>
      </c>
      <c r="AL817" t="s">
        <v>422</v>
      </c>
      <c r="AP817" t="s">
        <v>41</v>
      </c>
    </row>
    <row r="818" spans="1:42">
      <c r="A818" s="1">
        <v>43774</v>
      </c>
      <c r="B818">
        <v>2</v>
      </c>
      <c r="C818">
        <v>307</v>
      </c>
      <c r="D818">
        <v>10365</v>
      </c>
      <c r="E818" t="s">
        <v>37</v>
      </c>
      <c r="F818" t="s">
        <v>38</v>
      </c>
      <c r="H818">
        <v>59</v>
      </c>
      <c r="I818" s="25"/>
      <c r="Q818">
        <f t="shared" si="31"/>
        <v>0</v>
      </c>
      <c r="R818">
        <v>1</v>
      </c>
      <c r="S818">
        <v>0</v>
      </c>
      <c r="T818">
        <v>0</v>
      </c>
      <c r="U818">
        <v>0</v>
      </c>
      <c r="V818">
        <v>0</v>
      </c>
      <c r="W818">
        <v>0</v>
      </c>
      <c r="X818" s="21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f t="shared" si="32"/>
        <v>0</v>
      </c>
      <c r="AP818" t="s">
        <v>41</v>
      </c>
    </row>
    <row r="819" spans="1:42">
      <c r="A819" s="1">
        <v>43774</v>
      </c>
      <c r="B819">
        <v>2</v>
      </c>
      <c r="C819">
        <v>307</v>
      </c>
      <c r="D819">
        <v>10365</v>
      </c>
      <c r="E819" t="s">
        <v>37</v>
      </c>
      <c r="F819" t="s">
        <v>38</v>
      </c>
      <c r="H819">
        <v>60</v>
      </c>
      <c r="I819" s="25"/>
      <c r="Q819">
        <f t="shared" si="31"/>
        <v>0</v>
      </c>
      <c r="R819">
        <v>1</v>
      </c>
      <c r="S819">
        <v>0</v>
      </c>
      <c r="T819">
        <v>0</v>
      </c>
      <c r="U819">
        <v>0</v>
      </c>
      <c r="V819">
        <v>0</v>
      </c>
      <c r="W819">
        <v>0</v>
      </c>
      <c r="X819" s="21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f t="shared" si="32"/>
        <v>0</v>
      </c>
      <c r="AP819" t="s">
        <v>41</v>
      </c>
    </row>
    <row r="820" spans="1:42">
      <c r="A820" s="1">
        <v>43774</v>
      </c>
      <c r="B820">
        <v>2</v>
      </c>
      <c r="C820">
        <v>307</v>
      </c>
      <c r="D820">
        <v>10365</v>
      </c>
      <c r="E820" t="s">
        <v>37</v>
      </c>
      <c r="F820" t="s">
        <v>38</v>
      </c>
      <c r="H820">
        <v>61</v>
      </c>
      <c r="I820" s="25">
        <v>486</v>
      </c>
      <c r="K820" t="s">
        <v>74</v>
      </c>
      <c r="N820" t="s">
        <v>40</v>
      </c>
      <c r="O820">
        <v>125</v>
      </c>
      <c r="Q820">
        <f t="shared" si="31"/>
        <v>1</v>
      </c>
      <c r="R820">
        <v>1</v>
      </c>
      <c r="S820">
        <v>0</v>
      </c>
      <c r="T820">
        <v>0</v>
      </c>
      <c r="U820">
        <v>0</v>
      </c>
      <c r="V820">
        <v>1</v>
      </c>
      <c r="W820">
        <v>0</v>
      </c>
      <c r="X820" s="21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f t="shared" si="32"/>
        <v>64</v>
      </c>
      <c r="AJ820" t="s">
        <v>54</v>
      </c>
      <c r="AK820" t="s">
        <v>52</v>
      </c>
      <c r="AL820" t="s">
        <v>423</v>
      </c>
      <c r="AP820" t="s">
        <v>41</v>
      </c>
    </row>
    <row r="821" spans="1:42">
      <c r="A821" s="1">
        <v>43774</v>
      </c>
      <c r="B821">
        <v>2</v>
      </c>
      <c r="C821">
        <v>307</v>
      </c>
      <c r="D821">
        <v>10365</v>
      </c>
      <c r="E821" t="s">
        <v>37</v>
      </c>
      <c r="F821" t="s">
        <v>38</v>
      </c>
      <c r="H821">
        <v>62</v>
      </c>
      <c r="I821" s="25">
        <v>535</v>
      </c>
      <c r="K821" t="s">
        <v>101</v>
      </c>
      <c r="N821" t="s">
        <v>40</v>
      </c>
      <c r="O821">
        <v>94</v>
      </c>
      <c r="Q821">
        <f t="shared" si="31"/>
        <v>1</v>
      </c>
      <c r="R821">
        <v>1</v>
      </c>
      <c r="S821">
        <v>0</v>
      </c>
      <c r="T821">
        <v>0</v>
      </c>
      <c r="U821">
        <v>0</v>
      </c>
      <c r="V821">
        <v>1</v>
      </c>
      <c r="W821">
        <v>0</v>
      </c>
      <c r="X821" s="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f t="shared" si="32"/>
        <v>64</v>
      </c>
      <c r="AJ821" t="s">
        <v>54</v>
      </c>
      <c r="AK821" t="s">
        <v>52</v>
      </c>
      <c r="AP821" t="s">
        <v>41</v>
      </c>
    </row>
    <row r="822" spans="1:42">
      <c r="A822" s="1">
        <v>43774</v>
      </c>
      <c r="B822">
        <v>2</v>
      </c>
      <c r="C822">
        <v>307</v>
      </c>
      <c r="D822">
        <v>10365</v>
      </c>
      <c r="E822" t="s">
        <v>37</v>
      </c>
      <c r="F822" t="s">
        <v>38</v>
      </c>
      <c r="H822">
        <v>63</v>
      </c>
      <c r="I822" s="25">
        <v>501</v>
      </c>
      <c r="K822" t="s">
        <v>101</v>
      </c>
      <c r="N822" t="s">
        <v>44</v>
      </c>
      <c r="O822">
        <v>94</v>
      </c>
      <c r="Q822">
        <f t="shared" si="31"/>
        <v>1</v>
      </c>
      <c r="R822">
        <v>1</v>
      </c>
      <c r="S822">
        <v>0</v>
      </c>
      <c r="T822">
        <v>0</v>
      </c>
      <c r="U822">
        <v>0</v>
      </c>
      <c r="V822">
        <v>1</v>
      </c>
      <c r="W822">
        <v>0</v>
      </c>
      <c r="X822" s="21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f t="shared" si="32"/>
        <v>64</v>
      </c>
      <c r="AP822" t="s">
        <v>41</v>
      </c>
    </row>
    <row r="823" spans="1:42">
      <c r="A823" s="1">
        <v>43774</v>
      </c>
      <c r="B823">
        <v>2</v>
      </c>
      <c r="C823">
        <v>307</v>
      </c>
      <c r="D823">
        <v>10365</v>
      </c>
      <c r="E823" t="s">
        <v>37</v>
      </c>
      <c r="F823" t="s">
        <v>38</v>
      </c>
      <c r="H823">
        <v>64</v>
      </c>
      <c r="I823" s="25">
        <v>555</v>
      </c>
      <c r="K823" t="s">
        <v>101</v>
      </c>
      <c r="N823" t="s">
        <v>40</v>
      </c>
      <c r="O823">
        <v>87</v>
      </c>
      <c r="Q823">
        <f t="shared" si="31"/>
        <v>2</v>
      </c>
      <c r="R823">
        <v>1</v>
      </c>
      <c r="S823">
        <v>2</v>
      </c>
      <c r="T823">
        <v>0</v>
      </c>
      <c r="U823">
        <v>0</v>
      </c>
      <c r="V823">
        <v>0</v>
      </c>
      <c r="W823">
        <v>0</v>
      </c>
      <c r="X823" s="21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f t="shared" si="32"/>
        <v>32</v>
      </c>
      <c r="AL823" t="s">
        <v>424</v>
      </c>
      <c r="AP823" t="s">
        <v>41</v>
      </c>
    </row>
    <row r="824" spans="1:42">
      <c r="A824" s="1">
        <v>43774</v>
      </c>
      <c r="B824">
        <v>2</v>
      </c>
      <c r="C824">
        <v>307</v>
      </c>
      <c r="D824">
        <v>10365</v>
      </c>
      <c r="E824" t="s">
        <v>37</v>
      </c>
      <c r="F824" t="s">
        <v>38</v>
      </c>
      <c r="H824">
        <v>65</v>
      </c>
      <c r="I824" s="25">
        <v>535</v>
      </c>
      <c r="K824" t="s">
        <v>101</v>
      </c>
      <c r="N824" t="s">
        <v>40</v>
      </c>
      <c r="O824">
        <v>87</v>
      </c>
      <c r="Q824">
        <f t="shared" si="31"/>
        <v>2</v>
      </c>
      <c r="R824">
        <v>1</v>
      </c>
      <c r="S824">
        <v>0</v>
      </c>
      <c r="T824">
        <v>0</v>
      </c>
      <c r="U824">
        <v>0</v>
      </c>
      <c r="V824">
        <v>2</v>
      </c>
      <c r="W824">
        <v>0</v>
      </c>
      <c r="X824" s="21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f t="shared" si="32"/>
        <v>128</v>
      </c>
      <c r="AL824" t="s">
        <v>424</v>
      </c>
      <c r="AP824" t="s">
        <v>41</v>
      </c>
    </row>
    <row r="825" spans="1:42">
      <c r="A825" s="1">
        <v>43774</v>
      </c>
      <c r="B825">
        <v>2</v>
      </c>
      <c r="C825">
        <v>307</v>
      </c>
      <c r="D825">
        <v>10365</v>
      </c>
      <c r="E825" t="s">
        <v>37</v>
      </c>
      <c r="F825" t="s">
        <v>38</v>
      </c>
      <c r="H825">
        <v>66</v>
      </c>
      <c r="I825" s="25">
        <v>550</v>
      </c>
      <c r="K825" t="s">
        <v>101</v>
      </c>
      <c r="N825" t="s">
        <v>40</v>
      </c>
      <c r="O825">
        <v>87</v>
      </c>
      <c r="Q825">
        <f t="shared" si="31"/>
        <v>1</v>
      </c>
      <c r="R825">
        <v>1</v>
      </c>
      <c r="S825">
        <v>0</v>
      </c>
      <c r="T825">
        <v>0</v>
      </c>
      <c r="U825">
        <v>0</v>
      </c>
      <c r="V825">
        <v>1</v>
      </c>
      <c r="W825">
        <v>0</v>
      </c>
      <c r="X825" s="21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f t="shared" si="32"/>
        <v>64</v>
      </c>
      <c r="AL825" t="s">
        <v>425</v>
      </c>
      <c r="AP825" t="s">
        <v>41</v>
      </c>
    </row>
    <row r="826" spans="1:42">
      <c r="A826" s="1">
        <v>43774</v>
      </c>
      <c r="B826">
        <v>2</v>
      </c>
      <c r="C826">
        <v>307</v>
      </c>
      <c r="D826">
        <v>10365</v>
      </c>
      <c r="E826" t="s">
        <v>37</v>
      </c>
      <c r="F826" t="s">
        <v>38</v>
      </c>
      <c r="H826">
        <v>67</v>
      </c>
      <c r="I826" s="25"/>
      <c r="Q826">
        <f t="shared" si="31"/>
        <v>0</v>
      </c>
      <c r="R826">
        <v>1</v>
      </c>
      <c r="S826">
        <v>0</v>
      </c>
      <c r="T826">
        <v>0</v>
      </c>
      <c r="U826">
        <v>0</v>
      </c>
      <c r="V826">
        <v>0</v>
      </c>
      <c r="W826">
        <v>0</v>
      </c>
      <c r="X826" s="21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f t="shared" si="32"/>
        <v>0</v>
      </c>
      <c r="AP826" t="s">
        <v>41</v>
      </c>
    </row>
    <row r="827" spans="1:42">
      <c r="A827" s="1">
        <v>43774</v>
      </c>
      <c r="B827">
        <v>2</v>
      </c>
      <c r="C827">
        <v>307</v>
      </c>
      <c r="D827">
        <v>10365</v>
      </c>
      <c r="E827" t="s">
        <v>37</v>
      </c>
      <c r="F827" t="s">
        <v>38</v>
      </c>
      <c r="H827">
        <v>68</v>
      </c>
      <c r="I827" s="25">
        <v>639</v>
      </c>
      <c r="K827" t="s">
        <v>74</v>
      </c>
      <c r="N827" t="s">
        <v>44</v>
      </c>
      <c r="O827">
        <v>91</v>
      </c>
      <c r="Q827">
        <f t="shared" si="31"/>
        <v>1</v>
      </c>
      <c r="R827">
        <v>1</v>
      </c>
      <c r="S827">
        <v>0</v>
      </c>
      <c r="T827">
        <v>0</v>
      </c>
      <c r="U827">
        <v>0</v>
      </c>
      <c r="V827">
        <v>1</v>
      </c>
      <c r="W827">
        <v>0</v>
      </c>
      <c r="X827" s="21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f t="shared" si="32"/>
        <v>64</v>
      </c>
      <c r="AL827" t="s">
        <v>426</v>
      </c>
      <c r="AP827" t="s">
        <v>41</v>
      </c>
    </row>
    <row r="828" spans="1:42">
      <c r="A828" s="1">
        <v>43774</v>
      </c>
      <c r="B828">
        <v>2</v>
      </c>
      <c r="C828">
        <v>307</v>
      </c>
      <c r="D828">
        <v>10365</v>
      </c>
      <c r="E828" t="s">
        <v>37</v>
      </c>
      <c r="F828" t="s">
        <v>38</v>
      </c>
      <c r="H828">
        <v>69</v>
      </c>
      <c r="I828" s="25" t="s">
        <v>427</v>
      </c>
      <c r="K828" t="s">
        <v>74</v>
      </c>
      <c r="N828" t="s">
        <v>44</v>
      </c>
      <c r="P828">
        <v>330</v>
      </c>
      <c r="Q828">
        <f t="shared" si="31"/>
        <v>4</v>
      </c>
      <c r="R828">
        <v>2</v>
      </c>
      <c r="S828">
        <v>1</v>
      </c>
      <c r="T828">
        <v>0</v>
      </c>
      <c r="U828">
        <v>0</v>
      </c>
      <c r="V828">
        <v>3</v>
      </c>
      <c r="W828">
        <v>0</v>
      </c>
      <c r="X828" s="21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f t="shared" si="32"/>
        <v>208</v>
      </c>
      <c r="AL828" t="s">
        <v>428</v>
      </c>
      <c r="AP828" t="s">
        <v>41</v>
      </c>
    </row>
    <row r="829" spans="1:42">
      <c r="A829" s="1">
        <v>43774</v>
      </c>
      <c r="B829">
        <v>2</v>
      </c>
      <c r="C829">
        <v>307</v>
      </c>
      <c r="D829">
        <v>10365</v>
      </c>
      <c r="E829" t="s">
        <v>37</v>
      </c>
      <c r="F829" t="s">
        <v>38</v>
      </c>
      <c r="H829">
        <v>70</v>
      </c>
      <c r="I829" s="25"/>
      <c r="Q829">
        <f t="shared" si="31"/>
        <v>0</v>
      </c>
      <c r="R829">
        <v>1</v>
      </c>
      <c r="S829">
        <v>0</v>
      </c>
      <c r="T829">
        <v>0</v>
      </c>
      <c r="U829">
        <v>0</v>
      </c>
      <c r="V829">
        <v>0</v>
      </c>
      <c r="W829">
        <v>0</v>
      </c>
      <c r="X829" s="21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f t="shared" si="32"/>
        <v>0</v>
      </c>
      <c r="AP829" t="s">
        <v>41</v>
      </c>
    </row>
    <row r="830" spans="1:42">
      <c r="A830" s="1">
        <v>43774</v>
      </c>
      <c r="B830">
        <v>2</v>
      </c>
      <c r="C830">
        <v>307</v>
      </c>
      <c r="D830">
        <v>10365</v>
      </c>
      <c r="E830" t="s">
        <v>37</v>
      </c>
      <c r="F830" t="s">
        <v>38</v>
      </c>
      <c r="H830">
        <v>71</v>
      </c>
      <c r="I830" s="25">
        <v>556</v>
      </c>
      <c r="K830" t="s">
        <v>103</v>
      </c>
      <c r="N830" t="s">
        <v>40</v>
      </c>
      <c r="O830">
        <v>55</v>
      </c>
      <c r="Q830">
        <f t="shared" si="31"/>
        <v>1</v>
      </c>
      <c r="R830">
        <v>1</v>
      </c>
      <c r="S830">
        <v>1</v>
      </c>
      <c r="T830">
        <v>0</v>
      </c>
      <c r="U830">
        <v>0</v>
      </c>
      <c r="V830">
        <v>0</v>
      </c>
      <c r="W830">
        <v>0</v>
      </c>
      <c r="X830" s="21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f t="shared" si="32"/>
        <v>16</v>
      </c>
      <c r="AP830" t="s">
        <v>41</v>
      </c>
    </row>
    <row r="831" spans="1:42">
      <c r="A831" s="1">
        <v>43774</v>
      </c>
      <c r="B831">
        <v>2</v>
      </c>
      <c r="C831">
        <v>307</v>
      </c>
      <c r="D831">
        <v>10365</v>
      </c>
      <c r="E831" t="s">
        <v>37</v>
      </c>
      <c r="F831" t="s">
        <v>38</v>
      </c>
      <c r="H831">
        <v>72</v>
      </c>
      <c r="I831" s="25">
        <v>530</v>
      </c>
      <c r="K831" t="s">
        <v>103</v>
      </c>
      <c r="N831" t="s">
        <v>40</v>
      </c>
      <c r="O831">
        <v>36</v>
      </c>
      <c r="Q831">
        <f t="shared" si="31"/>
        <v>1</v>
      </c>
      <c r="R831">
        <v>1</v>
      </c>
      <c r="S831">
        <v>0</v>
      </c>
      <c r="T831">
        <v>0</v>
      </c>
      <c r="U831">
        <v>0</v>
      </c>
      <c r="V831">
        <v>1</v>
      </c>
      <c r="W831">
        <v>0</v>
      </c>
      <c r="X831" s="2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f t="shared" si="32"/>
        <v>64</v>
      </c>
      <c r="AP831" t="s">
        <v>41</v>
      </c>
    </row>
    <row r="832" spans="1:42">
      <c r="A832" s="1">
        <v>43774</v>
      </c>
      <c r="B832">
        <v>2</v>
      </c>
      <c r="C832">
        <v>307</v>
      </c>
      <c r="D832">
        <v>10365</v>
      </c>
      <c r="E832" t="s">
        <v>37</v>
      </c>
      <c r="F832" t="s">
        <v>38</v>
      </c>
      <c r="H832">
        <v>73</v>
      </c>
      <c r="I832" s="25">
        <v>533</v>
      </c>
      <c r="K832" t="s">
        <v>103</v>
      </c>
      <c r="O832">
        <v>36</v>
      </c>
      <c r="Q832">
        <f t="shared" si="31"/>
        <v>1</v>
      </c>
      <c r="R832">
        <v>1</v>
      </c>
      <c r="S832">
        <v>0</v>
      </c>
      <c r="T832">
        <v>0</v>
      </c>
      <c r="U832">
        <v>0</v>
      </c>
      <c r="V832">
        <v>1</v>
      </c>
      <c r="W832">
        <v>0</v>
      </c>
      <c r="X832" s="21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f t="shared" si="32"/>
        <v>64</v>
      </c>
      <c r="AP832" t="s">
        <v>41</v>
      </c>
    </row>
    <row r="833" spans="1:42">
      <c r="A833" s="1">
        <v>43774</v>
      </c>
      <c r="B833">
        <v>2</v>
      </c>
      <c r="C833">
        <v>307</v>
      </c>
      <c r="D833">
        <v>10365</v>
      </c>
      <c r="E833" t="s">
        <v>37</v>
      </c>
      <c r="F833" t="s">
        <v>38</v>
      </c>
      <c r="H833">
        <v>74</v>
      </c>
      <c r="I833" s="25">
        <v>522</v>
      </c>
      <c r="O833">
        <v>36</v>
      </c>
      <c r="Q833">
        <f t="shared" si="31"/>
        <v>1</v>
      </c>
      <c r="R833">
        <v>1</v>
      </c>
      <c r="S833">
        <v>0</v>
      </c>
      <c r="T833">
        <v>0</v>
      </c>
      <c r="U833">
        <v>0</v>
      </c>
      <c r="V833">
        <v>1</v>
      </c>
      <c r="W833">
        <v>0</v>
      </c>
      <c r="X833" s="21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f t="shared" si="32"/>
        <v>64</v>
      </c>
      <c r="AP833" t="s">
        <v>41</v>
      </c>
    </row>
    <row r="834" spans="1:42">
      <c r="A834" s="1">
        <v>43774</v>
      </c>
      <c r="B834">
        <v>2</v>
      </c>
      <c r="C834">
        <v>307</v>
      </c>
      <c r="D834">
        <v>10365</v>
      </c>
      <c r="E834" t="s">
        <v>37</v>
      </c>
      <c r="F834" t="s">
        <v>38</v>
      </c>
      <c r="H834">
        <v>75</v>
      </c>
      <c r="I834" s="25">
        <v>501</v>
      </c>
      <c r="K834" t="s">
        <v>98</v>
      </c>
      <c r="N834" t="s">
        <v>40</v>
      </c>
      <c r="O834">
        <v>33</v>
      </c>
      <c r="Q834">
        <f t="shared" si="31"/>
        <v>1</v>
      </c>
      <c r="R834">
        <v>1</v>
      </c>
      <c r="S834">
        <v>0</v>
      </c>
      <c r="T834">
        <v>0</v>
      </c>
      <c r="U834">
        <v>0</v>
      </c>
      <c r="V834">
        <v>1</v>
      </c>
      <c r="W834">
        <v>0</v>
      </c>
      <c r="X834" s="21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f t="shared" si="32"/>
        <v>64</v>
      </c>
      <c r="AP834" t="s">
        <v>41</v>
      </c>
    </row>
    <row r="835" spans="1:42">
      <c r="A835" s="1">
        <v>43774</v>
      </c>
      <c r="B835">
        <v>2</v>
      </c>
      <c r="C835">
        <v>307</v>
      </c>
      <c r="D835">
        <v>10365</v>
      </c>
      <c r="E835" t="s">
        <v>37</v>
      </c>
      <c r="F835" t="s">
        <v>38</v>
      </c>
      <c r="H835">
        <v>76</v>
      </c>
      <c r="I835" s="25">
        <v>431</v>
      </c>
      <c r="K835" t="s">
        <v>103</v>
      </c>
      <c r="N835" t="s">
        <v>40</v>
      </c>
      <c r="O835">
        <v>33</v>
      </c>
      <c r="Q835">
        <f t="shared" si="31"/>
        <v>1</v>
      </c>
      <c r="R835">
        <v>1</v>
      </c>
      <c r="S835">
        <v>0</v>
      </c>
      <c r="T835">
        <v>0</v>
      </c>
      <c r="U835">
        <v>0</v>
      </c>
      <c r="V835">
        <v>1</v>
      </c>
      <c r="W835">
        <v>0</v>
      </c>
      <c r="X835" s="21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f t="shared" si="32"/>
        <v>64</v>
      </c>
      <c r="AP835" t="s">
        <v>41</v>
      </c>
    </row>
    <row r="836" spans="1:42">
      <c r="A836" s="1">
        <v>43774</v>
      </c>
      <c r="B836">
        <v>2</v>
      </c>
      <c r="C836">
        <v>307</v>
      </c>
      <c r="D836">
        <v>10365</v>
      </c>
      <c r="E836" t="s">
        <v>37</v>
      </c>
      <c r="F836" t="s">
        <v>38</v>
      </c>
      <c r="H836">
        <v>77</v>
      </c>
      <c r="I836" s="25" t="s">
        <v>429</v>
      </c>
      <c r="K836" t="s">
        <v>103</v>
      </c>
      <c r="N836" t="s">
        <v>40</v>
      </c>
      <c r="O836">
        <v>63</v>
      </c>
      <c r="Q836">
        <f t="shared" si="31"/>
        <v>1</v>
      </c>
      <c r="R836">
        <v>1</v>
      </c>
      <c r="S836">
        <v>0</v>
      </c>
      <c r="T836">
        <v>0</v>
      </c>
      <c r="U836">
        <v>0</v>
      </c>
      <c r="V836">
        <v>1</v>
      </c>
      <c r="W836">
        <v>0</v>
      </c>
      <c r="X836" s="21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f t="shared" si="32"/>
        <v>64</v>
      </c>
      <c r="AP836" t="s">
        <v>41</v>
      </c>
    </row>
    <row r="837" spans="1:42">
      <c r="A837" s="1">
        <v>43774</v>
      </c>
      <c r="B837">
        <v>2</v>
      </c>
      <c r="C837">
        <v>307</v>
      </c>
      <c r="D837">
        <v>10365</v>
      </c>
      <c r="E837" t="s">
        <v>37</v>
      </c>
      <c r="F837" t="s">
        <v>38</v>
      </c>
      <c r="H837">
        <v>78</v>
      </c>
      <c r="I837" s="25">
        <v>424</v>
      </c>
      <c r="K837" t="s">
        <v>100</v>
      </c>
      <c r="N837" t="s">
        <v>44</v>
      </c>
      <c r="O837">
        <v>92</v>
      </c>
      <c r="Q837">
        <f t="shared" si="31"/>
        <v>1</v>
      </c>
      <c r="R837">
        <v>1</v>
      </c>
      <c r="S837">
        <v>0</v>
      </c>
      <c r="T837">
        <v>0</v>
      </c>
      <c r="U837">
        <v>0</v>
      </c>
      <c r="V837">
        <v>1</v>
      </c>
      <c r="W837">
        <v>0</v>
      </c>
      <c r="X837" s="21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f t="shared" si="32"/>
        <v>64</v>
      </c>
      <c r="AP837" t="s">
        <v>41</v>
      </c>
    </row>
    <row r="838" spans="1:42">
      <c r="A838" s="1">
        <v>43774</v>
      </c>
      <c r="B838">
        <v>2</v>
      </c>
      <c r="C838">
        <v>307</v>
      </c>
      <c r="D838">
        <v>10365</v>
      </c>
      <c r="E838" t="s">
        <v>37</v>
      </c>
      <c r="F838" t="s">
        <v>38</v>
      </c>
      <c r="H838">
        <v>79</v>
      </c>
      <c r="I838" s="25">
        <v>434</v>
      </c>
      <c r="K838" t="s">
        <v>100</v>
      </c>
      <c r="N838" t="s">
        <v>44</v>
      </c>
      <c r="O838">
        <v>110</v>
      </c>
      <c r="Q838">
        <f t="shared" si="31"/>
        <v>1</v>
      </c>
      <c r="R838">
        <v>1</v>
      </c>
      <c r="S838">
        <v>0</v>
      </c>
      <c r="T838">
        <v>0</v>
      </c>
      <c r="U838">
        <v>0</v>
      </c>
      <c r="V838">
        <v>1</v>
      </c>
      <c r="W838">
        <v>0</v>
      </c>
      <c r="X838" s="21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f t="shared" si="32"/>
        <v>64</v>
      </c>
      <c r="AP838" t="s">
        <v>41</v>
      </c>
    </row>
    <row r="839" spans="1:42">
      <c r="A839" s="1">
        <v>43774</v>
      </c>
      <c r="B839">
        <v>2</v>
      </c>
      <c r="C839">
        <v>307</v>
      </c>
      <c r="D839">
        <v>10365</v>
      </c>
      <c r="E839" t="s">
        <v>37</v>
      </c>
      <c r="F839" t="s">
        <v>38</v>
      </c>
      <c r="H839">
        <v>80</v>
      </c>
      <c r="I839" s="25">
        <v>337</v>
      </c>
      <c r="K839" t="s">
        <v>103</v>
      </c>
      <c r="N839" t="s">
        <v>40</v>
      </c>
      <c r="O839">
        <v>43</v>
      </c>
      <c r="Q839">
        <f t="shared" si="31"/>
        <v>1</v>
      </c>
      <c r="R839">
        <v>1</v>
      </c>
      <c r="S839">
        <v>0</v>
      </c>
      <c r="T839">
        <v>0</v>
      </c>
      <c r="U839">
        <v>0</v>
      </c>
      <c r="V839">
        <v>1</v>
      </c>
      <c r="W839">
        <v>0</v>
      </c>
      <c r="X839" s="21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f t="shared" si="32"/>
        <v>64</v>
      </c>
      <c r="AP839" t="s">
        <v>41</v>
      </c>
    </row>
    <row r="840" spans="1:42">
      <c r="A840" s="1">
        <v>43774</v>
      </c>
      <c r="B840">
        <v>2</v>
      </c>
      <c r="C840">
        <v>307</v>
      </c>
      <c r="D840">
        <v>10365</v>
      </c>
      <c r="E840" t="s">
        <v>37</v>
      </c>
      <c r="F840" t="s">
        <v>38</v>
      </c>
      <c r="H840">
        <v>81</v>
      </c>
      <c r="I840" s="25">
        <v>1182</v>
      </c>
      <c r="K840" t="s">
        <v>73</v>
      </c>
      <c r="N840" t="s">
        <v>44</v>
      </c>
      <c r="O840">
        <v>136</v>
      </c>
      <c r="Q840">
        <f t="shared" si="31"/>
        <v>2</v>
      </c>
      <c r="R840">
        <v>1</v>
      </c>
      <c r="S840">
        <v>0</v>
      </c>
      <c r="T840">
        <v>0</v>
      </c>
      <c r="U840">
        <v>0</v>
      </c>
      <c r="V840">
        <v>2</v>
      </c>
      <c r="W840">
        <v>0</v>
      </c>
      <c r="X840" s="21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f t="shared" si="32"/>
        <v>128</v>
      </c>
      <c r="AP840" t="s">
        <v>41</v>
      </c>
    </row>
    <row r="841" spans="1:42">
      <c r="A841" s="1">
        <v>43774</v>
      </c>
      <c r="B841">
        <v>2</v>
      </c>
      <c r="C841">
        <v>307</v>
      </c>
      <c r="D841">
        <v>10365</v>
      </c>
      <c r="E841" t="s">
        <v>37</v>
      </c>
      <c r="F841" t="s">
        <v>38</v>
      </c>
      <c r="H841">
        <v>82</v>
      </c>
      <c r="I841" s="25">
        <v>1170</v>
      </c>
      <c r="K841" t="s">
        <v>73</v>
      </c>
      <c r="N841" t="s">
        <v>40</v>
      </c>
      <c r="Q841">
        <f t="shared" si="31"/>
        <v>0</v>
      </c>
      <c r="R841">
        <v>1</v>
      </c>
      <c r="S841">
        <v>0</v>
      </c>
      <c r="T841">
        <v>0</v>
      </c>
      <c r="U841">
        <v>0</v>
      </c>
      <c r="V841">
        <v>0</v>
      </c>
      <c r="W841">
        <v>0</v>
      </c>
      <c r="X841" s="2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f t="shared" si="32"/>
        <v>0</v>
      </c>
      <c r="AP841" t="s">
        <v>41</v>
      </c>
    </row>
    <row r="842" spans="1:42">
      <c r="A842" s="1">
        <v>43774</v>
      </c>
      <c r="B842">
        <v>2</v>
      </c>
      <c r="C842">
        <v>307</v>
      </c>
      <c r="D842">
        <v>10365</v>
      </c>
      <c r="E842" t="s">
        <v>37</v>
      </c>
      <c r="F842" t="s">
        <v>38</v>
      </c>
      <c r="H842">
        <v>83</v>
      </c>
      <c r="I842" s="25">
        <v>1230</v>
      </c>
      <c r="K842" t="s">
        <v>73</v>
      </c>
      <c r="N842" t="s">
        <v>40</v>
      </c>
      <c r="O842">
        <v>27</v>
      </c>
      <c r="Q842">
        <f t="shared" si="31"/>
        <v>1</v>
      </c>
      <c r="R842">
        <v>1</v>
      </c>
      <c r="S842">
        <v>0</v>
      </c>
      <c r="T842">
        <v>0</v>
      </c>
      <c r="U842">
        <v>0</v>
      </c>
      <c r="V842">
        <v>1</v>
      </c>
      <c r="W842">
        <v>0</v>
      </c>
      <c r="X842" s="21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f t="shared" si="32"/>
        <v>64</v>
      </c>
      <c r="AP842" t="s">
        <v>41</v>
      </c>
    </row>
    <row r="843" spans="1:42">
      <c r="A843" s="1">
        <v>43774</v>
      </c>
      <c r="B843">
        <v>2</v>
      </c>
      <c r="C843">
        <v>307</v>
      </c>
      <c r="D843">
        <v>10365</v>
      </c>
      <c r="E843" t="s">
        <v>37</v>
      </c>
      <c r="F843" t="s">
        <v>38</v>
      </c>
      <c r="H843">
        <v>84</v>
      </c>
      <c r="I843" s="25">
        <v>1220</v>
      </c>
      <c r="K843" t="s">
        <v>73</v>
      </c>
      <c r="N843" t="s">
        <v>40</v>
      </c>
      <c r="O843">
        <v>27</v>
      </c>
      <c r="Q843">
        <f t="shared" si="31"/>
        <v>1</v>
      </c>
      <c r="R843">
        <v>1</v>
      </c>
      <c r="S843">
        <v>0</v>
      </c>
      <c r="T843">
        <v>0</v>
      </c>
      <c r="U843">
        <v>0</v>
      </c>
      <c r="V843">
        <v>1</v>
      </c>
      <c r="W843">
        <v>0</v>
      </c>
      <c r="X843" s="21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f t="shared" si="32"/>
        <v>64</v>
      </c>
      <c r="AP843" t="s">
        <v>41</v>
      </c>
    </row>
    <row r="844" spans="1:42">
      <c r="A844" s="1">
        <v>43774</v>
      </c>
      <c r="B844">
        <v>2</v>
      </c>
      <c r="C844">
        <v>307</v>
      </c>
      <c r="D844">
        <v>10365</v>
      </c>
      <c r="E844" t="s">
        <v>37</v>
      </c>
      <c r="F844" t="s">
        <v>38</v>
      </c>
      <c r="H844">
        <v>85</v>
      </c>
      <c r="I844" s="25">
        <v>1254</v>
      </c>
      <c r="K844" t="s">
        <v>73</v>
      </c>
      <c r="N844" t="s">
        <v>40</v>
      </c>
      <c r="O844">
        <v>58</v>
      </c>
      <c r="Q844">
        <f t="shared" si="31"/>
        <v>1</v>
      </c>
      <c r="R844">
        <v>1</v>
      </c>
      <c r="S844">
        <v>1</v>
      </c>
      <c r="T844">
        <v>0</v>
      </c>
      <c r="U844">
        <v>0</v>
      </c>
      <c r="V844">
        <v>0</v>
      </c>
      <c r="W844">
        <v>0</v>
      </c>
      <c r="X844" s="21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f t="shared" si="32"/>
        <v>16</v>
      </c>
      <c r="AP844" t="s">
        <v>41</v>
      </c>
    </row>
    <row r="845" spans="1:42">
      <c r="A845" s="1">
        <v>43774</v>
      </c>
      <c r="B845">
        <v>2</v>
      </c>
      <c r="C845">
        <v>307</v>
      </c>
      <c r="D845">
        <v>10365</v>
      </c>
      <c r="E845" t="s">
        <v>37</v>
      </c>
      <c r="F845" t="s">
        <v>38</v>
      </c>
      <c r="H845">
        <v>86</v>
      </c>
      <c r="I845" s="25">
        <v>1298</v>
      </c>
      <c r="K845" t="s">
        <v>73</v>
      </c>
      <c r="N845" t="s">
        <v>40</v>
      </c>
      <c r="O845">
        <v>44</v>
      </c>
      <c r="Q845">
        <f t="shared" si="31"/>
        <v>1</v>
      </c>
      <c r="R845">
        <v>1</v>
      </c>
      <c r="S845">
        <v>0</v>
      </c>
      <c r="T845">
        <v>0</v>
      </c>
      <c r="U845">
        <v>0</v>
      </c>
      <c r="V845">
        <v>1</v>
      </c>
      <c r="W845">
        <v>0</v>
      </c>
      <c r="X845" s="21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f t="shared" si="32"/>
        <v>64</v>
      </c>
      <c r="AP845" t="s">
        <v>41</v>
      </c>
    </row>
    <row r="846" spans="1:42">
      <c r="A846" s="1">
        <v>43774</v>
      </c>
      <c r="B846">
        <v>2</v>
      </c>
      <c r="C846">
        <v>307</v>
      </c>
      <c r="D846">
        <v>10365</v>
      </c>
      <c r="E846" t="s">
        <v>37</v>
      </c>
      <c r="F846" t="s">
        <v>38</v>
      </c>
      <c r="H846">
        <v>87</v>
      </c>
      <c r="I846" s="25">
        <v>1256</v>
      </c>
      <c r="K846" t="s">
        <v>73</v>
      </c>
      <c r="N846" t="s">
        <v>44</v>
      </c>
      <c r="O846">
        <v>188</v>
      </c>
      <c r="Q846">
        <f t="shared" si="31"/>
        <v>2</v>
      </c>
      <c r="R846">
        <v>1</v>
      </c>
      <c r="S846">
        <v>1</v>
      </c>
      <c r="T846">
        <v>0</v>
      </c>
      <c r="U846">
        <v>0</v>
      </c>
      <c r="V846">
        <v>1</v>
      </c>
      <c r="W846">
        <v>0</v>
      </c>
      <c r="X846" s="21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f t="shared" si="32"/>
        <v>80</v>
      </c>
      <c r="AP846" t="s">
        <v>41</v>
      </c>
    </row>
    <row r="847" spans="1:42">
      <c r="A847" s="1">
        <v>43774</v>
      </c>
      <c r="B847">
        <v>2</v>
      </c>
      <c r="C847">
        <v>307</v>
      </c>
      <c r="D847">
        <v>10365</v>
      </c>
      <c r="E847" t="s">
        <v>37</v>
      </c>
      <c r="F847" t="s">
        <v>38</v>
      </c>
      <c r="H847">
        <v>88</v>
      </c>
      <c r="I847" s="25">
        <v>36</v>
      </c>
      <c r="K847" t="s">
        <v>430</v>
      </c>
      <c r="Q847">
        <f t="shared" si="31"/>
        <v>0</v>
      </c>
      <c r="R847">
        <v>1</v>
      </c>
      <c r="S847">
        <v>0</v>
      </c>
      <c r="T847">
        <v>0</v>
      </c>
      <c r="U847">
        <v>0</v>
      </c>
      <c r="V847">
        <v>0</v>
      </c>
      <c r="W847">
        <v>0</v>
      </c>
      <c r="X847" s="21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f t="shared" si="32"/>
        <v>0</v>
      </c>
      <c r="AP847" t="s">
        <v>41</v>
      </c>
    </row>
    <row r="848" spans="1:42">
      <c r="A848" s="1">
        <v>43774</v>
      </c>
      <c r="B848">
        <v>2</v>
      </c>
      <c r="C848">
        <v>307</v>
      </c>
      <c r="D848">
        <v>10365</v>
      </c>
      <c r="E848" t="s">
        <v>37</v>
      </c>
      <c r="F848" t="s">
        <v>38</v>
      </c>
      <c r="H848">
        <v>89</v>
      </c>
      <c r="I848" s="25">
        <v>25</v>
      </c>
      <c r="K848" t="s">
        <v>430</v>
      </c>
      <c r="N848" t="s">
        <v>40</v>
      </c>
      <c r="O848">
        <v>72</v>
      </c>
      <c r="Q848">
        <f t="shared" si="31"/>
        <v>1</v>
      </c>
      <c r="R848">
        <v>1</v>
      </c>
      <c r="S848">
        <v>0</v>
      </c>
      <c r="T848">
        <v>0</v>
      </c>
      <c r="U848">
        <v>0</v>
      </c>
      <c r="V848">
        <v>1</v>
      </c>
      <c r="W848">
        <v>0</v>
      </c>
      <c r="X848" s="21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f t="shared" si="32"/>
        <v>64</v>
      </c>
      <c r="AP848" t="s">
        <v>41</v>
      </c>
    </row>
    <row r="849" spans="1:42">
      <c r="A849" s="1">
        <v>43774</v>
      </c>
      <c r="B849">
        <v>2</v>
      </c>
      <c r="C849">
        <v>307</v>
      </c>
      <c r="D849">
        <v>10365</v>
      </c>
      <c r="E849" t="s">
        <v>37</v>
      </c>
      <c r="F849" t="s">
        <v>38</v>
      </c>
      <c r="H849">
        <v>90</v>
      </c>
      <c r="I849" s="25">
        <v>86</v>
      </c>
      <c r="K849" t="s">
        <v>431</v>
      </c>
      <c r="N849" t="s">
        <v>40</v>
      </c>
      <c r="O849">
        <v>45</v>
      </c>
      <c r="Q849">
        <f t="shared" si="31"/>
        <v>1</v>
      </c>
      <c r="R849">
        <v>1</v>
      </c>
      <c r="S849">
        <v>1</v>
      </c>
      <c r="T849">
        <v>0</v>
      </c>
      <c r="U849">
        <v>0</v>
      </c>
      <c r="V849">
        <v>0</v>
      </c>
      <c r="W849">
        <v>0</v>
      </c>
      <c r="X849" s="21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f t="shared" si="32"/>
        <v>16</v>
      </c>
      <c r="AP849" t="s">
        <v>41</v>
      </c>
    </row>
    <row r="850" spans="1:42">
      <c r="A850" s="1">
        <v>43774</v>
      </c>
      <c r="B850">
        <v>2</v>
      </c>
      <c r="C850">
        <v>307</v>
      </c>
      <c r="D850">
        <v>10365</v>
      </c>
      <c r="E850" t="s">
        <v>37</v>
      </c>
      <c r="F850" t="s">
        <v>38</v>
      </c>
      <c r="H850">
        <v>91</v>
      </c>
      <c r="I850" s="25">
        <v>96</v>
      </c>
      <c r="K850" t="s">
        <v>431</v>
      </c>
      <c r="N850" t="s">
        <v>40</v>
      </c>
      <c r="O850">
        <v>45</v>
      </c>
      <c r="Q850">
        <f t="shared" si="31"/>
        <v>0</v>
      </c>
      <c r="R850">
        <v>1</v>
      </c>
      <c r="S850">
        <v>0</v>
      </c>
      <c r="T850">
        <v>0</v>
      </c>
      <c r="U850">
        <v>0</v>
      </c>
      <c r="V850">
        <v>0</v>
      </c>
      <c r="W850">
        <v>0</v>
      </c>
      <c r="X850" s="21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f t="shared" si="32"/>
        <v>0</v>
      </c>
      <c r="AP850" t="s">
        <v>41</v>
      </c>
    </row>
    <row r="851" spans="1:42">
      <c r="A851" s="1">
        <v>43774</v>
      </c>
      <c r="B851">
        <v>2</v>
      </c>
      <c r="C851">
        <v>307</v>
      </c>
      <c r="D851">
        <v>10365</v>
      </c>
      <c r="E851" t="s">
        <v>37</v>
      </c>
      <c r="F851" t="s">
        <v>38</v>
      </c>
      <c r="H851">
        <v>92</v>
      </c>
      <c r="I851" s="25">
        <v>272</v>
      </c>
      <c r="K851" t="s">
        <v>431</v>
      </c>
      <c r="N851" t="s">
        <v>40</v>
      </c>
      <c r="O851">
        <v>56</v>
      </c>
      <c r="Q851">
        <f t="shared" si="31"/>
        <v>1</v>
      </c>
      <c r="R851">
        <v>1</v>
      </c>
      <c r="S851">
        <v>0</v>
      </c>
      <c r="T851">
        <v>0</v>
      </c>
      <c r="U851">
        <v>0</v>
      </c>
      <c r="V851">
        <v>1</v>
      </c>
      <c r="W851">
        <v>0</v>
      </c>
      <c r="X851" s="2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f t="shared" si="32"/>
        <v>64</v>
      </c>
      <c r="AJ851" t="s">
        <v>51</v>
      </c>
      <c r="AK851" t="s">
        <v>52</v>
      </c>
      <c r="AL851" t="s">
        <v>432</v>
      </c>
      <c r="AP851" t="s">
        <v>41</v>
      </c>
    </row>
    <row r="852" spans="1:42">
      <c r="A852" s="1">
        <v>43774</v>
      </c>
      <c r="B852">
        <v>2</v>
      </c>
      <c r="C852">
        <v>307</v>
      </c>
      <c r="D852">
        <v>10365</v>
      </c>
      <c r="E852" t="s">
        <v>37</v>
      </c>
      <c r="F852" t="s">
        <v>38</v>
      </c>
      <c r="H852">
        <v>93</v>
      </c>
      <c r="I852" s="25">
        <v>100</v>
      </c>
      <c r="K852" t="s">
        <v>420</v>
      </c>
      <c r="N852" t="s">
        <v>44</v>
      </c>
      <c r="O852">
        <v>295</v>
      </c>
      <c r="Q852">
        <f t="shared" si="31"/>
        <v>6</v>
      </c>
      <c r="R852">
        <v>1</v>
      </c>
      <c r="S852">
        <v>1</v>
      </c>
      <c r="T852">
        <v>0</v>
      </c>
      <c r="U852">
        <v>0</v>
      </c>
      <c r="V852">
        <v>5</v>
      </c>
      <c r="W852">
        <v>0</v>
      </c>
      <c r="X852" s="21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f t="shared" si="32"/>
        <v>336</v>
      </c>
      <c r="AJ852" t="s">
        <v>54</v>
      </c>
      <c r="AK852" t="s">
        <v>52</v>
      </c>
      <c r="AP852" t="s">
        <v>41</v>
      </c>
    </row>
    <row r="853" spans="1:42">
      <c r="A853" s="1">
        <v>43774</v>
      </c>
      <c r="B853">
        <v>2</v>
      </c>
      <c r="C853">
        <v>307</v>
      </c>
      <c r="D853">
        <v>10365</v>
      </c>
      <c r="E853" t="s">
        <v>37</v>
      </c>
      <c r="F853" t="s">
        <v>38</v>
      </c>
      <c r="H853">
        <v>94</v>
      </c>
      <c r="I853" s="25">
        <v>434</v>
      </c>
      <c r="K853" t="s">
        <v>420</v>
      </c>
      <c r="N853" t="s">
        <v>40</v>
      </c>
      <c r="O853">
        <v>61</v>
      </c>
      <c r="Q853">
        <f t="shared" si="31"/>
        <v>1</v>
      </c>
      <c r="R853">
        <v>1</v>
      </c>
      <c r="S853">
        <v>0</v>
      </c>
      <c r="T853">
        <v>0</v>
      </c>
      <c r="U853">
        <v>0</v>
      </c>
      <c r="V853">
        <v>1</v>
      </c>
      <c r="W853">
        <v>0</v>
      </c>
      <c r="X853" s="21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f t="shared" si="32"/>
        <v>64</v>
      </c>
      <c r="AJ853" t="s">
        <v>54</v>
      </c>
      <c r="AK853" t="s">
        <v>52</v>
      </c>
      <c r="AP853" t="s">
        <v>41</v>
      </c>
    </row>
    <row r="854" spans="1:42">
      <c r="A854" s="1">
        <v>43774</v>
      </c>
      <c r="B854">
        <v>2</v>
      </c>
      <c r="C854">
        <v>307</v>
      </c>
      <c r="D854">
        <v>10365</v>
      </c>
      <c r="E854" t="s">
        <v>37</v>
      </c>
      <c r="F854" t="s">
        <v>38</v>
      </c>
      <c r="H854">
        <v>95</v>
      </c>
      <c r="I854" s="25">
        <v>45</v>
      </c>
      <c r="K854" t="s">
        <v>420</v>
      </c>
      <c r="N854" t="s">
        <v>40</v>
      </c>
      <c r="O854">
        <v>48</v>
      </c>
      <c r="Q854">
        <f t="shared" si="31"/>
        <v>2</v>
      </c>
      <c r="R854">
        <v>1</v>
      </c>
      <c r="S854">
        <v>2</v>
      </c>
      <c r="T854">
        <v>0</v>
      </c>
      <c r="U854">
        <v>0</v>
      </c>
      <c r="V854">
        <v>0</v>
      </c>
      <c r="W854">
        <v>0</v>
      </c>
      <c r="X854" s="21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f t="shared" si="32"/>
        <v>32</v>
      </c>
      <c r="AJ854" t="s">
        <v>54</v>
      </c>
      <c r="AK854" t="s">
        <v>52</v>
      </c>
      <c r="AP854" t="s">
        <v>41</v>
      </c>
    </row>
    <row r="855" spans="1:42">
      <c r="A855" s="1">
        <v>43774</v>
      </c>
      <c r="B855">
        <v>2</v>
      </c>
      <c r="C855">
        <v>307</v>
      </c>
      <c r="D855">
        <v>10365</v>
      </c>
      <c r="E855" t="s">
        <v>37</v>
      </c>
      <c r="F855" t="s">
        <v>38</v>
      </c>
      <c r="H855">
        <v>96</v>
      </c>
      <c r="I855" s="25">
        <v>55</v>
      </c>
      <c r="K855" t="s">
        <v>100</v>
      </c>
      <c r="N855" t="s">
        <v>40</v>
      </c>
      <c r="O855">
        <v>48</v>
      </c>
      <c r="Q855">
        <f t="shared" si="31"/>
        <v>2</v>
      </c>
      <c r="R855">
        <v>1</v>
      </c>
      <c r="S855">
        <v>0</v>
      </c>
      <c r="T855">
        <v>0</v>
      </c>
      <c r="U855">
        <v>0</v>
      </c>
      <c r="V855">
        <v>2</v>
      </c>
      <c r="W855">
        <v>0</v>
      </c>
      <c r="X855" s="21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f t="shared" si="32"/>
        <v>128</v>
      </c>
      <c r="AJ855" t="s">
        <v>54</v>
      </c>
      <c r="AK855" t="s">
        <v>52</v>
      </c>
      <c r="AP855" t="s">
        <v>41</v>
      </c>
    </row>
    <row r="856" spans="1:42">
      <c r="A856" s="1">
        <v>43774</v>
      </c>
      <c r="B856">
        <v>2</v>
      </c>
      <c r="C856">
        <v>307</v>
      </c>
      <c r="D856">
        <v>10365</v>
      </c>
      <c r="E856" t="s">
        <v>37</v>
      </c>
      <c r="F856" t="s">
        <v>38</v>
      </c>
      <c r="H856">
        <v>97</v>
      </c>
      <c r="I856" s="25">
        <v>750</v>
      </c>
      <c r="K856" t="s">
        <v>100</v>
      </c>
      <c r="N856" t="s">
        <v>40</v>
      </c>
      <c r="O856">
        <v>60</v>
      </c>
      <c r="Q856">
        <f t="shared" si="31"/>
        <v>1</v>
      </c>
      <c r="R856">
        <v>1</v>
      </c>
      <c r="S856">
        <v>0</v>
      </c>
      <c r="T856">
        <v>0</v>
      </c>
      <c r="U856">
        <v>0</v>
      </c>
      <c r="V856">
        <v>1</v>
      </c>
      <c r="W856">
        <v>0</v>
      </c>
      <c r="X856" s="21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f t="shared" si="32"/>
        <v>64</v>
      </c>
      <c r="AJ856" t="s">
        <v>54</v>
      </c>
      <c r="AK856" t="s">
        <v>52</v>
      </c>
      <c r="AL856" t="s">
        <v>433</v>
      </c>
      <c r="AP856" t="s">
        <v>41</v>
      </c>
    </row>
    <row r="857" spans="1:42">
      <c r="A857" s="1">
        <v>43774</v>
      </c>
      <c r="B857">
        <v>2</v>
      </c>
      <c r="C857">
        <v>307</v>
      </c>
      <c r="D857">
        <v>10365</v>
      </c>
      <c r="E857" t="s">
        <v>37</v>
      </c>
      <c r="F857" t="s">
        <v>38</v>
      </c>
      <c r="H857">
        <v>98</v>
      </c>
      <c r="I857" s="25">
        <v>824</v>
      </c>
      <c r="K857" t="s">
        <v>100</v>
      </c>
      <c r="N857" t="s">
        <v>40</v>
      </c>
      <c r="O857">
        <v>45</v>
      </c>
      <c r="Q857">
        <f t="shared" ref="Q857:Q919" si="33">SUM(S857:AC857)</f>
        <v>1</v>
      </c>
      <c r="R857">
        <v>1</v>
      </c>
      <c r="S857">
        <v>0</v>
      </c>
      <c r="T857">
        <v>0</v>
      </c>
      <c r="U857">
        <v>0</v>
      </c>
      <c r="V857">
        <v>1</v>
      </c>
      <c r="W857">
        <v>0</v>
      </c>
      <c r="X857" s="21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f t="shared" ref="AH857:AH919" si="34">(S857*16)+(T857*20)+(U857*32)+(V857*64)+(W857*96)</f>
        <v>64</v>
      </c>
      <c r="AP857" t="s">
        <v>41</v>
      </c>
    </row>
    <row r="858" spans="1:42">
      <c r="A858" s="1">
        <v>43774</v>
      </c>
      <c r="B858">
        <v>2</v>
      </c>
      <c r="C858">
        <v>307</v>
      </c>
      <c r="D858">
        <v>10365</v>
      </c>
      <c r="E858" t="s">
        <v>37</v>
      </c>
      <c r="F858" t="s">
        <v>38</v>
      </c>
      <c r="H858">
        <v>99</v>
      </c>
      <c r="I858" s="25"/>
      <c r="Q858">
        <f t="shared" si="33"/>
        <v>0</v>
      </c>
      <c r="R858">
        <v>1</v>
      </c>
      <c r="S858">
        <v>0</v>
      </c>
      <c r="T858">
        <v>0</v>
      </c>
      <c r="U858">
        <v>0</v>
      </c>
      <c r="V858">
        <v>0</v>
      </c>
      <c r="W858">
        <v>0</v>
      </c>
      <c r="X858" s="21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f t="shared" si="34"/>
        <v>0</v>
      </c>
      <c r="AP858" t="s">
        <v>41</v>
      </c>
    </row>
    <row r="859" spans="1:42">
      <c r="A859" s="1">
        <v>43774</v>
      </c>
      <c r="B859">
        <v>2</v>
      </c>
      <c r="C859">
        <v>307</v>
      </c>
      <c r="D859">
        <v>10365</v>
      </c>
      <c r="E859" t="s">
        <v>37</v>
      </c>
      <c r="F859" t="s">
        <v>38</v>
      </c>
      <c r="H859">
        <v>100</v>
      </c>
      <c r="I859" s="25">
        <v>625</v>
      </c>
      <c r="K859" t="s">
        <v>414</v>
      </c>
      <c r="N859" t="s">
        <v>40</v>
      </c>
      <c r="O859">
        <v>80</v>
      </c>
      <c r="Q859">
        <f t="shared" si="33"/>
        <v>2</v>
      </c>
      <c r="R859">
        <v>1</v>
      </c>
      <c r="S859">
        <v>1</v>
      </c>
      <c r="T859">
        <v>0</v>
      </c>
      <c r="U859">
        <v>0</v>
      </c>
      <c r="V859">
        <v>1</v>
      </c>
      <c r="W859">
        <v>0</v>
      </c>
      <c r="X859" s="21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f t="shared" si="34"/>
        <v>80</v>
      </c>
      <c r="AP859" t="s">
        <v>41</v>
      </c>
    </row>
    <row r="860" spans="1:42">
      <c r="A860" s="1">
        <v>43774</v>
      </c>
      <c r="B860">
        <v>2</v>
      </c>
      <c r="C860">
        <v>307</v>
      </c>
      <c r="D860">
        <v>10365</v>
      </c>
      <c r="E860" t="s">
        <v>37</v>
      </c>
      <c r="F860" t="s">
        <v>38</v>
      </c>
      <c r="H860">
        <v>101</v>
      </c>
      <c r="I860" s="25">
        <v>640</v>
      </c>
      <c r="K860" t="s">
        <v>414</v>
      </c>
      <c r="N860" t="s">
        <v>44</v>
      </c>
      <c r="O860">
        <v>80</v>
      </c>
      <c r="Q860">
        <f t="shared" si="33"/>
        <v>1</v>
      </c>
      <c r="R860">
        <v>1</v>
      </c>
      <c r="S860">
        <v>1</v>
      </c>
      <c r="T860">
        <v>0</v>
      </c>
      <c r="U860">
        <v>0</v>
      </c>
      <c r="V860">
        <v>0</v>
      </c>
      <c r="W860">
        <v>0</v>
      </c>
      <c r="X860" s="21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f t="shared" si="34"/>
        <v>16</v>
      </c>
      <c r="AP860" t="s">
        <v>41</v>
      </c>
    </row>
    <row r="861" spans="1:42">
      <c r="A861" s="1">
        <v>43774</v>
      </c>
      <c r="B861">
        <v>2</v>
      </c>
      <c r="C861">
        <v>307</v>
      </c>
      <c r="D861">
        <v>10365</v>
      </c>
      <c r="E861" t="s">
        <v>37</v>
      </c>
      <c r="F861" t="s">
        <v>38</v>
      </c>
      <c r="H861">
        <v>102</v>
      </c>
      <c r="I861" s="25">
        <v>798</v>
      </c>
      <c r="K861" t="s">
        <v>94</v>
      </c>
      <c r="N861" t="s">
        <v>40</v>
      </c>
      <c r="O861">
        <v>30</v>
      </c>
      <c r="Q861">
        <f t="shared" si="33"/>
        <v>1</v>
      </c>
      <c r="R861">
        <v>1</v>
      </c>
      <c r="S861">
        <v>0</v>
      </c>
      <c r="T861">
        <v>0</v>
      </c>
      <c r="U861">
        <v>0</v>
      </c>
      <c r="V861">
        <v>1</v>
      </c>
      <c r="W861">
        <v>0</v>
      </c>
      <c r="X861" s="2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f t="shared" si="34"/>
        <v>64</v>
      </c>
      <c r="AP861" t="s">
        <v>41</v>
      </c>
    </row>
    <row r="862" spans="1:42">
      <c r="A862" s="1">
        <v>43774</v>
      </c>
      <c r="B862">
        <v>2</v>
      </c>
      <c r="C862">
        <v>307</v>
      </c>
      <c r="D862">
        <v>10365</v>
      </c>
      <c r="E862" t="s">
        <v>37</v>
      </c>
      <c r="F862" t="s">
        <v>38</v>
      </c>
      <c r="H862">
        <v>103</v>
      </c>
      <c r="I862" s="25">
        <v>800</v>
      </c>
      <c r="K862" t="s">
        <v>415</v>
      </c>
      <c r="N862" t="s">
        <v>40</v>
      </c>
      <c r="O862">
        <v>30</v>
      </c>
      <c r="Q862">
        <f t="shared" si="33"/>
        <v>1</v>
      </c>
      <c r="R862">
        <v>1</v>
      </c>
      <c r="S862">
        <v>0</v>
      </c>
      <c r="T862">
        <v>0</v>
      </c>
      <c r="U862">
        <v>0</v>
      </c>
      <c r="V862">
        <v>1</v>
      </c>
      <c r="W862">
        <v>0</v>
      </c>
      <c r="X862" s="21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f t="shared" si="34"/>
        <v>64</v>
      </c>
      <c r="AP862" t="s">
        <v>41</v>
      </c>
    </row>
    <row r="863" spans="1:42">
      <c r="A863" s="1">
        <v>43774</v>
      </c>
      <c r="B863">
        <v>2</v>
      </c>
      <c r="C863">
        <v>307</v>
      </c>
      <c r="D863">
        <v>10365</v>
      </c>
      <c r="E863" t="s">
        <v>37</v>
      </c>
      <c r="F863" t="s">
        <v>38</v>
      </c>
      <c r="H863">
        <v>104</v>
      </c>
      <c r="I863" s="25">
        <v>601</v>
      </c>
      <c r="K863" t="s">
        <v>94</v>
      </c>
      <c r="N863" t="s">
        <v>44</v>
      </c>
      <c r="O863">
        <v>113</v>
      </c>
      <c r="Q863">
        <f t="shared" si="33"/>
        <v>6</v>
      </c>
      <c r="R863">
        <v>1</v>
      </c>
      <c r="S863">
        <v>1</v>
      </c>
      <c r="T863">
        <v>0</v>
      </c>
      <c r="U863">
        <v>0</v>
      </c>
      <c r="V863">
        <v>5</v>
      </c>
      <c r="W863">
        <v>0</v>
      </c>
      <c r="X863" s="21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f t="shared" si="34"/>
        <v>336</v>
      </c>
      <c r="AP863" t="s">
        <v>41</v>
      </c>
    </row>
    <row r="864" spans="1:42">
      <c r="A864" s="1">
        <v>43774</v>
      </c>
      <c r="B864">
        <v>2</v>
      </c>
      <c r="C864">
        <v>307</v>
      </c>
      <c r="D864">
        <v>10365</v>
      </c>
      <c r="E864" t="s">
        <v>37</v>
      </c>
      <c r="F864" t="s">
        <v>38</v>
      </c>
      <c r="H864">
        <v>105</v>
      </c>
      <c r="I864" s="25">
        <v>602</v>
      </c>
      <c r="K864" t="s">
        <v>94</v>
      </c>
      <c r="N864" t="s">
        <v>40</v>
      </c>
      <c r="O864">
        <v>90</v>
      </c>
      <c r="Q864">
        <f t="shared" si="33"/>
        <v>1</v>
      </c>
      <c r="R864">
        <v>1</v>
      </c>
      <c r="S864">
        <v>1</v>
      </c>
      <c r="T864">
        <v>0</v>
      </c>
      <c r="U864">
        <v>0</v>
      </c>
      <c r="V864">
        <v>0</v>
      </c>
      <c r="W864">
        <v>0</v>
      </c>
      <c r="X864" s="21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f t="shared" si="34"/>
        <v>16</v>
      </c>
      <c r="AP864" t="s">
        <v>41</v>
      </c>
    </row>
    <row r="865" spans="1:42">
      <c r="A865" s="1">
        <v>43774</v>
      </c>
      <c r="B865">
        <v>2</v>
      </c>
      <c r="C865">
        <v>307</v>
      </c>
      <c r="D865">
        <v>10365</v>
      </c>
      <c r="E865" t="s">
        <v>37</v>
      </c>
      <c r="F865" t="s">
        <v>38</v>
      </c>
      <c r="H865">
        <v>106</v>
      </c>
      <c r="I865" s="25">
        <v>724</v>
      </c>
      <c r="K865" t="s">
        <v>420</v>
      </c>
      <c r="N865" t="s">
        <v>40</v>
      </c>
      <c r="Q865">
        <f t="shared" si="33"/>
        <v>0</v>
      </c>
      <c r="R865">
        <v>1</v>
      </c>
      <c r="S865">
        <v>0</v>
      </c>
      <c r="T865">
        <v>0</v>
      </c>
      <c r="U865">
        <v>0</v>
      </c>
      <c r="V865">
        <v>0</v>
      </c>
      <c r="W865">
        <v>0</v>
      </c>
      <c r="X865" s="21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f t="shared" si="34"/>
        <v>0</v>
      </c>
      <c r="AP865" t="s">
        <v>41</v>
      </c>
    </row>
    <row r="866" spans="1:42">
      <c r="A866" s="1">
        <v>43774</v>
      </c>
      <c r="B866">
        <v>2</v>
      </c>
      <c r="C866">
        <v>307</v>
      </c>
      <c r="D866">
        <v>10365</v>
      </c>
      <c r="E866" t="s">
        <v>37</v>
      </c>
      <c r="F866" t="s">
        <v>38</v>
      </c>
      <c r="H866">
        <v>107</v>
      </c>
      <c r="I866" s="25">
        <v>730</v>
      </c>
      <c r="K866" t="s">
        <v>420</v>
      </c>
      <c r="N866" t="s">
        <v>40</v>
      </c>
      <c r="Q866">
        <f t="shared" si="33"/>
        <v>0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0</v>
      </c>
      <c r="X866" s="21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f t="shared" si="34"/>
        <v>0</v>
      </c>
      <c r="AP866" t="s">
        <v>41</v>
      </c>
    </row>
    <row r="867" spans="1:42">
      <c r="A867" s="1">
        <v>43774</v>
      </c>
      <c r="B867">
        <v>2</v>
      </c>
      <c r="C867">
        <v>307</v>
      </c>
      <c r="D867">
        <v>10365</v>
      </c>
      <c r="E867" t="s">
        <v>37</v>
      </c>
      <c r="F867" t="s">
        <v>38</v>
      </c>
      <c r="H867">
        <v>108</v>
      </c>
      <c r="I867" s="25">
        <v>739</v>
      </c>
      <c r="K867" t="s">
        <v>420</v>
      </c>
      <c r="N867" t="s">
        <v>40</v>
      </c>
      <c r="Q867">
        <f t="shared" si="33"/>
        <v>0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0</v>
      </c>
      <c r="X867" s="21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f t="shared" si="34"/>
        <v>0</v>
      </c>
      <c r="AP867" t="s">
        <v>41</v>
      </c>
    </row>
    <row r="868" spans="1:42">
      <c r="A868" s="1">
        <v>43774</v>
      </c>
      <c r="B868">
        <v>2</v>
      </c>
      <c r="C868">
        <v>307</v>
      </c>
      <c r="D868">
        <v>10365</v>
      </c>
      <c r="E868" t="s">
        <v>37</v>
      </c>
      <c r="F868" t="s">
        <v>38</v>
      </c>
      <c r="H868">
        <v>109</v>
      </c>
      <c r="I868" s="25">
        <v>403</v>
      </c>
      <c r="K868" t="s">
        <v>94</v>
      </c>
      <c r="N868" t="s">
        <v>40</v>
      </c>
      <c r="O868">
        <v>45</v>
      </c>
      <c r="Q868">
        <f t="shared" si="33"/>
        <v>1</v>
      </c>
      <c r="R868">
        <v>1</v>
      </c>
      <c r="S868">
        <v>1</v>
      </c>
      <c r="T868">
        <v>0</v>
      </c>
      <c r="U868">
        <v>0</v>
      </c>
      <c r="V868">
        <v>0</v>
      </c>
      <c r="W868">
        <v>0</v>
      </c>
      <c r="X868" s="21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f t="shared" si="34"/>
        <v>16</v>
      </c>
      <c r="AL868" t="s">
        <v>434</v>
      </c>
      <c r="AP868" t="s">
        <v>41</v>
      </c>
    </row>
    <row r="869" spans="1:42">
      <c r="A869" s="1">
        <v>43774</v>
      </c>
      <c r="B869">
        <v>2</v>
      </c>
      <c r="C869">
        <v>307</v>
      </c>
      <c r="D869">
        <v>10365</v>
      </c>
      <c r="E869" t="s">
        <v>37</v>
      </c>
      <c r="F869" t="s">
        <v>38</v>
      </c>
      <c r="H869">
        <v>110</v>
      </c>
      <c r="I869" s="25">
        <v>405</v>
      </c>
      <c r="K869" t="s">
        <v>94</v>
      </c>
      <c r="N869" t="s">
        <v>40</v>
      </c>
      <c r="O869">
        <v>45</v>
      </c>
      <c r="Q869">
        <f t="shared" si="33"/>
        <v>1</v>
      </c>
      <c r="R869">
        <v>1</v>
      </c>
      <c r="S869">
        <v>1</v>
      </c>
      <c r="T869">
        <v>0</v>
      </c>
      <c r="U869">
        <v>0</v>
      </c>
      <c r="V869">
        <v>0</v>
      </c>
      <c r="W869">
        <v>0</v>
      </c>
      <c r="X869" s="21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f t="shared" si="34"/>
        <v>16</v>
      </c>
      <c r="AP869" t="s">
        <v>41</v>
      </c>
    </row>
    <row r="870" spans="1:42">
      <c r="A870" s="1">
        <v>43774</v>
      </c>
      <c r="B870">
        <v>2</v>
      </c>
      <c r="C870">
        <v>307</v>
      </c>
      <c r="D870">
        <v>10365</v>
      </c>
      <c r="E870" t="s">
        <v>37</v>
      </c>
      <c r="F870" t="s">
        <v>38</v>
      </c>
      <c r="H870">
        <v>111</v>
      </c>
      <c r="I870" s="25">
        <v>526</v>
      </c>
      <c r="K870" t="s">
        <v>100</v>
      </c>
      <c r="N870" t="s">
        <v>40</v>
      </c>
      <c r="O870">
        <v>72</v>
      </c>
      <c r="Q870">
        <f t="shared" si="33"/>
        <v>1</v>
      </c>
      <c r="R870">
        <v>1</v>
      </c>
      <c r="S870">
        <v>1</v>
      </c>
      <c r="T870">
        <v>0</v>
      </c>
      <c r="U870">
        <v>0</v>
      </c>
      <c r="V870">
        <v>0</v>
      </c>
      <c r="W870">
        <v>0</v>
      </c>
      <c r="X870" s="21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f t="shared" si="34"/>
        <v>16</v>
      </c>
      <c r="AP870" t="s">
        <v>41</v>
      </c>
    </row>
    <row r="871" spans="1:42">
      <c r="A871" s="1">
        <v>43774</v>
      </c>
      <c r="B871">
        <v>2</v>
      </c>
      <c r="C871">
        <v>307</v>
      </c>
      <c r="D871">
        <v>10365</v>
      </c>
      <c r="E871" t="s">
        <v>37</v>
      </c>
      <c r="F871" t="s">
        <v>38</v>
      </c>
      <c r="H871">
        <v>112</v>
      </c>
      <c r="I871" s="25">
        <v>570</v>
      </c>
      <c r="K871" t="s">
        <v>100</v>
      </c>
      <c r="N871" t="s">
        <v>44</v>
      </c>
      <c r="O871">
        <v>118</v>
      </c>
      <c r="Q871">
        <f t="shared" si="33"/>
        <v>1</v>
      </c>
      <c r="R871">
        <v>1</v>
      </c>
      <c r="S871">
        <v>0</v>
      </c>
      <c r="T871">
        <v>0</v>
      </c>
      <c r="U871">
        <v>0</v>
      </c>
      <c r="V871">
        <v>1</v>
      </c>
      <c r="W871">
        <v>0</v>
      </c>
      <c r="X871" s="2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f t="shared" si="34"/>
        <v>64</v>
      </c>
      <c r="AP871" t="s">
        <v>41</v>
      </c>
    </row>
    <row r="872" spans="1:42">
      <c r="A872" s="1">
        <v>43774</v>
      </c>
      <c r="B872">
        <v>2</v>
      </c>
      <c r="C872">
        <v>307</v>
      </c>
      <c r="D872">
        <v>10365</v>
      </c>
      <c r="E872" t="s">
        <v>37</v>
      </c>
      <c r="F872" t="s">
        <v>38</v>
      </c>
      <c r="H872">
        <v>113</v>
      </c>
      <c r="I872" s="25">
        <v>173</v>
      </c>
      <c r="K872" t="s">
        <v>94</v>
      </c>
      <c r="N872" t="s">
        <v>40</v>
      </c>
      <c r="O872">
        <v>40</v>
      </c>
      <c r="Q872">
        <f t="shared" si="33"/>
        <v>1</v>
      </c>
      <c r="R872">
        <v>1</v>
      </c>
      <c r="S872">
        <v>1</v>
      </c>
      <c r="T872">
        <v>0</v>
      </c>
      <c r="U872">
        <v>0</v>
      </c>
      <c r="V872">
        <v>0</v>
      </c>
      <c r="W872">
        <v>0</v>
      </c>
      <c r="X872" s="21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f t="shared" si="34"/>
        <v>16</v>
      </c>
      <c r="AP872" t="s">
        <v>41</v>
      </c>
    </row>
    <row r="873" spans="1:42">
      <c r="A873" s="1">
        <v>43774</v>
      </c>
      <c r="B873">
        <v>2</v>
      </c>
      <c r="C873">
        <v>307</v>
      </c>
      <c r="D873">
        <v>10365</v>
      </c>
      <c r="E873" t="s">
        <v>37</v>
      </c>
      <c r="F873" t="s">
        <v>38</v>
      </c>
      <c r="H873">
        <v>114</v>
      </c>
      <c r="I873" s="25">
        <v>111</v>
      </c>
      <c r="K873" t="s">
        <v>102</v>
      </c>
      <c r="N873" t="s">
        <v>40</v>
      </c>
      <c r="O873">
        <v>43</v>
      </c>
      <c r="Q873">
        <f t="shared" si="33"/>
        <v>2</v>
      </c>
      <c r="R873">
        <v>1</v>
      </c>
      <c r="S873">
        <v>0</v>
      </c>
      <c r="T873">
        <v>0</v>
      </c>
      <c r="U873">
        <v>0</v>
      </c>
      <c r="V873">
        <v>2</v>
      </c>
      <c r="W873">
        <v>0</v>
      </c>
      <c r="X873" s="21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f t="shared" si="34"/>
        <v>128</v>
      </c>
      <c r="AP873" t="s">
        <v>41</v>
      </c>
    </row>
    <row r="874" spans="1:42">
      <c r="A874" s="1">
        <v>43774</v>
      </c>
      <c r="B874">
        <v>2</v>
      </c>
      <c r="C874">
        <v>307</v>
      </c>
      <c r="D874">
        <v>10365</v>
      </c>
      <c r="E874" t="s">
        <v>37</v>
      </c>
      <c r="F874" t="s">
        <v>38</v>
      </c>
      <c r="H874">
        <v>115</v>
      </c>
      <c r="I874" s="25">
        <v>83</v>
      </c>
      <c r="K874" t="s">
        <v>94</v>
      </c>
      <c r="N874" t="s">
        <v>40</v>
      </c>
      <c r="O874">
        <v>117</v>
      </c>
      <c r="Q874">
        <f t="shared" si="33"/>
        <v>3</v>
      </c>
      <c r="R874">
        <v>1</v>
      </c>
      <c r="S874">
        <v>1</v>
      </c>
      <c r="T874">
        <v>0</v>
      </c>
      <c r="U874">
        <v>0</v>
      </c>
      <c r="V874">
        <v>2</v>
      </c>
      <c r="W874">
        <v>0</v>
      </c>
      <c r="X874" s="21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f t="shared" si="34"/>
        <v>144</v>
      </c>
      <c r="AP874" t="s">
        <v>41</v>
      </c>
    </row>
    <row r="875" spans="1:42">
      <c r="A875" s="1">
        <v>43774</v>
      </c>
      <c r="B875">
        <v>2</v>
      </c>
      <c r="C875">
        <v>307</v>
      </c>
      <c r="D875">
        <v>10365</v>
      </c>
      <c r="E875" t="s">
        <v>37</v>
      </c>
      <c r="F875" t="s">
        <v>38</v>
      </c>
      <c r="H875">
        <v>116</v>
      </c>
      <c r="I875" s="25"/>
      <c r="Q875">
        <f t="shared" si="33"/>
        <v>0</v>
      </c>
      <c r="R875">
        <v>1</v>
      </c>
      <c r="S875">
        <v>0</v>
      </c>
      <c r="T875">
        <v>0</v>
      </c>
      <c r="U875">
        <v>0</v>
      </c>
      <c r="V875">
        <v>0</v>
      </c>
      <c r="W875">
        <v>0</v>
      </c>
      <c r="X875" s="21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f t="shared" si="34"/>
        <v>0</v>
      </c>
      <c r="AP875" t="s">
        <v>41</v>
      </c>
    </row>
    <row r="876" spans="1:42">
      <c r="A876" s="1">
        <v>43774</v>
      </c>
      <c r="B876">
        <v>2</v>
      </c>
      <c r="C876">
        <v>307</v>
      </c>
      <c r="D876">
        <v>10365</v>
      </c>
      <c r="E876" t="s">
        <v>37</v>
      </c>
      <c r="F876" t="s">
        <v>38</v>
      </c>
      <c r="H876">
        <v>117</v>
      </c>
      <c r="I876" s="25">
        <v>54</v>
      </c>
      <c r="K876" t="s">
        <v>96</v>
      </c>
      <c r="O876">
        <v>50</v>
      </c>
      <c r="Q876">
        <f t="shared" si="33"/>
        <v>1</v>
      </c>
      <c r="R876">
        <v>1</v>
      </c>
      <c r="S876">
        <v>0</v>
      </c>
      <c r="T876">
        <v>0</v>
      </c>
      <c r="U876">
        <v>0</v>
      </c>
      <c r="V876">
        <v>1</v>
      </c>
      <c r="W876">
        <v>0</v>
      </c>
      <c r="X876" s="21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f t="shared" si="34"/>
        <v>64</v>
      </c>
      <c r="AP876" t="s">
        <v>41</v>
      </c>
    </row>
    <row r="877" spans="1:42">
      <c r="A877" s="1">
        <v>43774</v>
      </c>
      <c r="B877">
        <v>2</v>
      </c>
      <c r="C877">
        <v>307</v>
      </c>
      <c r="D877">
        <v>10365</v>
      </c>
      <c r="E877" t="s">
        <v>37</v>
      </c>
      <c r="F877" t="s">
        <v>38</v>
      </c>
      <c r="H877">
        <v>118</v>
      </c>
      <c r="I877" s="25"/>
      <c r="Q877">
        <f t="shared" si="33"/>
        <v>0</v>
      </c>
      <c r="R877">
        <v>1</v>
      </c>
      <c r="S877">
        <v>0</v>
      </c>
      <c r="T877">
        <v>0</v>
      </c>
      <c r="U877">
        <v>0</v>
      </c>
      <c r="V877">
        <v>0</v>
      </c>
      <c r="W877">
        <v>0</v>
      </c>
      <c r="X877" s="21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f t="shared" si="34"/>
        <v>0</v>
      </c>
      <c r="AP877" t="s">
        <v>41</v>
      </c>
    </row>
    <row r="878" spans="1:42">
      <c r="A878" s="1">
        <v>43774</v>
      </c>
      <c r="B878">
        <v>2</v>
      </c>
      <c r="C878">
        <v>307</v>
      </c>
      <c r="D878">
        <v>10365</v>
      </c>
      <c r="E878" t="s">
        <v>37</v>
      </c>
      <c r="F878" t="s">
        <v>38</v>
      </c>
      <c r="H878">
        <v>119</v>
      </c>
      <c r="I878" s="25">
        <v>385</v>
      </c>
      <c r="K878" t="s">
        <v>101</v>
      </c>
      <c r="N878" t="s">
        <v>40</v>
      </c>
      <c r="O878">
        <v>60</v>
      </c>
      <c r="Q878">
        <f t="shared" si="33"/>
        <v>1</v>
      </c>
      <c r="R878">
        <v>1</v>
      </c>
      <c r="S878">
        <v>0</v>
      </c>
      <c r="T878">
        <v>0</v>
      </c>
      <c r="U878">
        <v>0</v>
      </c>
      <c r="V878">
        <v>1</v>
      </c>
      <c r="W878">
        <v>0</v>
      </c>
      <c r="X878" s="21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f t="shared" si="34"/>
        <v>64</v>
      </c>
      <c r="AP878" t="s">
        <v>41</v>
      </c>
    </row>
    <row r="879" spans="1:42">
      <c r="A879" s="1">
        <v>43774</v>
      </c>
      <c r="B879">
        <v>2</v>
      </c>
      <c r="C879">
        <v>307</v>
      </c>
      <c r="D879">
        <v>10365</v>
      </c>
      <c r="E879" t="s">
        <v>37</v>
      </c>
      <c r="F879" t="s">
        <v>38</v>
      </c>
      <c r="H879">
        <v>120</v>
      </c>
      <c r="I879" s="25">
        <v>345</v>
      </c>
      <c r="K879" t="s">
        <v>101</v>
      </c>
      <c r="N879" t="s">
        <v>40</v>
      </c>
      <c r="O879">
        <v>60</v>
      </c>
      <c r="Q879">
        <f t="shared" si="33"/>
        <v>2</v>
      </c>
      <c r="R879">
        <v>1</v>
      </c>
      <c r="S879">
        <v>1</v>
      </c>
      <c r="T879">
        <v>0</v>
      </c>
      <c r="U879">
        <v>0</v>
      </c>
      <c r="V879">
        <v>1</v>
      </c>
      <c r="W879">
        <v>0</v>
      </c>
      <c r="X879" s="21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f t="shared" si="34"/>
        <v>80</v>
      </c>
      <c r="AP879" t="s">
        <v>41</v>
      </c>
    </row>
    <row r="880" spans="1:42">
      <c r="A880" s="1">
        <v>43774</v>
      </c>
      <c r="B880">
        <v>2</v>
      </c>
      <c r="C880">
        <v>307</v>
      </c>
      <c r="D880">
        <v>10365</v>
      </c>
      <c r="E880" t="s">
        <v>37</v>
      </c>
      <c r="F880" t="s">
        <v>38</v>
      </c>
      <c r="H880">
        <v>121</v>
      </c>
      <c r="I880" s="25">
        <v>120</v>
      </c>
      <c r="K880" t="s">
        <v>101</v>
      </c>
      <c r="N880" t="s">
        <v>40</v>
      </c>
      <c r="O880">
        <v>125</v>
      </c>
      <c r="Q880">
        <f t="shared" si="33"/>
        <v>4</v>
      </c>
      <c r="R880">
        <v>1</v>
      </c>
      <c r="S880">
        <v>0</v>
      </c>
      <c r="T880">
        <v>0</v>
      </c>
      <c r="U880">
        <v>0</v>
      </c>
      <c r="V880">
        <v>4</v>
      </c>
      <c r="W880">
        <v>0</v>
      </c>
      <c r="X880" s="21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f t="shared" si="34"/>
        <v>256</v>
      </c>
      <c r="AP880" t="s">
        <v>41</v>
      </c>
    </row>
    <row r="881" spans="1:42">
      <c r="A881" s="1">
        <v>43774</v>
      </c>
      <c r="B881">
        <v>2</v>
      </c>
      <c r="C881">
        <v>307</v>
      </c>
      <c r="D881">
        <v>10365</v>
      </c>
      <c r="E881" t="s">
        <v>37</v>
      </c>
      <c r="F881" t="s">
        <v>38</v>
      </c>
      <c r="H881">
        <v>122</v>
      </c>
      <c r="I881" s="25">
        <v>445</v>
      </c>
      <c r="K881" t="s">
        <v>74</v>
      </c>
      <c r="N881" t="s">
        <v>44</v>
      </c>
      <c r="O881">
        <v>146</v>
      </c>
      <c r="Q881">
        <f t="shared" si="33"/>
        <v>2</v>
      </c>
      <c r="R881">
        <v>1</v>
      </c>
      <c r="S881">
        <v>0</v>
      </c>
      <c r="T881">
        <v>0</v>
      </c>
      <c r="U881">
        <v>0</v>
      </c>
      <c r="V881">
        <v>2</v>
      </c>
      <c r="W881">
        <v>0</v>
      </c>
      <c r="X881" s="2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f t="shared" si="34"/>
        <v>128</v>
      </c>
      <c r="AP881" t="s">
        <v>41</v>
      </c>
    </row>
    <row r="882" spans="1:42">
      <c r="A882" s="1">
        <v>43774</v>
      </c>
      <c r="B882">
        <v>2</v>
      </c>
      <c r="C882">
        <v>307</v>
      </c>
      <c r="D882">
        <v>10365</v>
      </c>
      <c r="E882" t="s">
        <v>37</v>
      </c>
      <c r="F882" t="s">
        <v>38</v>
      </c>
      <c r="H882">
        <v>123</v>
      </c>
      <c r="I882" s="25">
        <v>440</v>
      </c>
      <c r="K882" t="s">
        <v>74</v>
      </c>
      <c r="N882" t="s">
        <v>40</v>
      </c>
      <c r="O882">
        <v>29</v>
      </c>
      <c r="Q882">
        <f t="shared" si="33"/>
        <v>1</v>
      </c>
      <c r="R882">
        <v>1</v>
      </c>
      <c r="S882">
        <v>0</v>
      </c>
      <c r="T882">
        <v>0</v>
      </c>
      <c r="U882">
        <v>0</v>
      </c>
      <c r="V882">
        <v>1</v>
      </c>
      <c r="W882">
        <v>0</v>
      </c>
      <c r="X882" s="21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f t="shared" si="34"/>
        <v>64</v>
      </c>
      <c r="AP882" t="s">
        <v>41</v>
      </c>
    </row>
    <row r="883" spans="1:42">
      <c r="A883" s="1">
        <v>43774</v>
      </c>
      <c r="B883">
        <v>2</v>
      </c>
      <c r="C883">
        <v>307</v>
      </c>
      <c r="D883">
        <v>10365</v>
      </c>
      <c r="E883" t="s">
        <v>37</v>
      </c>
      <c r="F883" t="s">
        <v>38</v>
      </c>
      <c r="H883">
        <v>124</v>
      </c>
      <c r="I883" s="25">
        <v>442</v>
      </c>
      <c r="K883" t="s">
        <v>74</v>
      </c>
      <c r="N883" t="s">
        <v>40</v>
      </c>
      <c r="O883">
        <v>29</v>
      </c>
      <c r="Q883">
        <f t="shared" si="33"/>
        <v>1</v>
      </c>
      <c r="R883">
        <v>1</v>
      </c>
      <c r="S883">
        <v>0</v>
      </c>
      <c r="T883">
        <v>0</v>
      </c>
      <c r="U883">
        <v>0</v>
      </c>
      <c r="V883">
        <v>1</v>
      </c>
      <c r="W883">
        <v>0</v>
      </c>
      <c r="X883" s="21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f t="shared" si="34"/>
        <v>64</v>
      </c>
      <c r="AP883" t="s">
        <v>41</v>
      </c>
    </row>
    <row r="884" spans="1:42">
      <c r="A884" s="1">
        <v>43774</v>
      </c>
      <c r="B884">
        <v>2</v>
      </c>
      <c r="C884">
        <v>307</v>
      </c>
      <c r="D884">
        <v>10365</v>
      </c>
      <c r="E884" t="s">
        <v>37</v>
      </c>
      <c r="F884" t="s">
        <v>38</v>
      </c>
      <c r="H884">
        <v>125</v>
      </c>
      <c r="I884" s="25">
        <v>408</v>
      </c>
      <c r="K884" t="s">
        <v>74</v>
      </c>
      <c r="N884" t="s">
        <v>40</v>
      </c>
      <c r="O884">
        <v>52</v>
      </c>
      <c r="Q884">
        <f t="shared" si="33"/>
        <v>1</v>
      </c>
      <c r="R884">
        <v>1</v>
      </c>
      <c r="S884">
        <v>0</v>
      </c>
      <c r="T884">
        <v>0</v>
      </c>
      <c r="U884">
        <v>0</v>
      </c>
      <c r="V884">
        <v>1</v>
      </c>
      <c r="W884">
        <v>0</v>
      </c>
      <c r="X884" s="21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f t="shared" si="34"/>
        <v>64</v>
      </c>
      <c r="AP884" t="s">
        <v>41</v>
      </c>
    </row>
    <row r="885" spans="1:42">
      <c r="A885" s="1">
        <v>43774</v>
      </c>
      <c r="B885">
        <v>2</v>
      </c>
      <c r="C885">
        <v>307</v>
      </c>
      <c r="D885">
        <v>10365</v>
      </c>
      <c r="E885" t="s">
        <v>37</v>
      </c>
      <c r="F885" t="s">
        <v>38</v>
      </c>
      <c r="H885">
        <v>126</v>
      </c>
      <c r="I885" s="25">
        <v>595</v>
      </c>
      <c r="K885" t="s">
        <v>74</v>
      </c>
      <c r="N885" t="s">
        <v>40</v>
      </c>
      <c r="O885">
        <v>41</v>
      </c>
      <c r="Q885">
        <f t="shared" si="33"/>
        <v>1</v>
      </c>
      <c r="R885">
        <v>1</v>
      </c>
      <c r="S885">
        <v>1</v>
      </c>
      <c r="T885">
        <v>0</v>
      </c>
      <c r="U885">
        <v>0</v>
      </c>
      <c r="V885">
        <v>0</v>
      </c>
      <c r="W885">
        <v>0</v>
      </c>
      <c r="X885" s="21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f t="shared" si="34"/>
        <v>16</v>
      </c>
      <c r="AP885" t="s">
        <v>41</v>
      </c>
    </row>
    <row r="886" spans="1:42">
      <c r="A886" s="1">
        <v>43774</v>
      </c>
      <c r="B886">
        <v>2</v>
      </c>
      <c r="C886">
        <v>307</v>
      </c>
      <c r="D886">
        <v>10365</v>
      </c>
      <c r="E886" t="s">
        <v>37</v>
      </c>
      <c r="F886" t="s">
        <v>38</v>
      </c>
      <c r="H886">
        <v>127</v>
      </c>
      <c r="I886" s="25">
        <v>672</v>
      </c>
      <c r="K886" t="s">
        <v>74</v>
      </c>
      <c r="N886" t="s">
        <v>40</v>
      </c>
      <c r="O886">
        <v>90</v>
      </c>
      <c r="Q886">
        <f t="shared" si="33"/>
        <v>1</v>
      </c>
      <c r="R886">
        <v>1</v>
      </c>
      <c r="S886">
        <v>0</v>
      </c>
      <c r="T886">
        <v>0</v>
      </c>
      <c r="U886">
        <v>0</v>
      </c>
      <c r="V886">
        <v>1</v>
      </c>
      <c r="W886">
        <v>0</v>
      </c>
      <c r="X886" s="21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f t="shared" si="34"/>
        <v>64</v>
      </c>
      <c r="AP886" t="s">
        <v>41</v>
      </c>
    </row>
    <row r="887" spans="1:42">
      <c r="A887" s="1">
        <v>43774</v>
      </c>
      <c r="B887">
        <v>2</v>
      </c>
      <c r="C887">
        <v>307</v>
      </c>
      <c r="D887">
        <v>10365</v>
      </c>
      <c r="E887" t="s">
        <v>37</v>
      </c>
      <c r="F887" t="s">
        <v>38</v>
      </c>
      <c r="H887">
        <v>128</v>
      </c>
      <c r="I887" s="25">
        <v>696</v>
      </c>
      <c r="K887" t="s">
        <v>74</v>
      </c>
      <c r="N887" t="s">
        <v>40</v>
      </c>
      <c r="O887">
        <v>58</v>
      </c>
      <c r="Q887">
        <f t="shared" si="33"/>
        <v>1</v>
      </c>
      <c r="R887">
        <v>1</v>
      </c>
      <c r="S887">
        <v>0</v>
      </c>
      <c r="T887">
        <v>0</v>
      </c>
      <c r="U887">
        <v>0</v>
      </c>
      <c r="V887">
        <v>1</v>
      </c>
      <c r="W887">
        <v>0</v>
      </c>
      <c r="X887" s="21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f t="shared" si="34"/>
        <v>64</v>
      </c>
      <c r="AP887" t="s">
        <v>41</v>
      </c>
    </row>
    <row r="888" spans="1:42">
      <c r="A888" s="1">
        <v>43774</v>
      </c>
      <c r="B888">
        <v>2</v>
      </c>
      <c r="C888">
        <v>307</v>
      </c>
      <c r="D888">
        <v>10365</v>
      </c>
      <c r="E888" t="s">
        <v>37</v>
      </c>
      <c r="F888" t="s">
        <v>38</v>
      </c>
      <c r="H888">
        <v>129</v>
      </c>
      <c r="I888" s="25">
        <v>708</v>
      </c>
      <c r="K888" t="s">
        <v>53</v>
      </c>
      <c r="N888" t="s">
        <v>40</v>
      </c>
      <c r="O888">
        <v>41</v>
      </c>
      <c r="Q888">
        <f t="shared" si="33"/>
        <v>1</v>
      </c>
      <c r="R888">
        <v>1</v>
      </c>
      <c r="S888">
        <v>0</v>
      </c>
      <c r="T888">
        <v>0</v>
      </c>
      <c r="U888">
        <v>0</v>
      </c>
      <c r="V888">
        <v>1</v>
      </c>
      <c r="W888">
        <v>0</v>
      </c>
      <c r="X888" s="21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f t="shared" si="34"/>
        <v>64</v>
      </c>
      <c r="AP888" t="s">
        <v>41</v>
      </c>
    </row>
    <row r="889" spans="1:42">
      <c r="A889" s="1">
        <v>43774</v>
      </c>
      <c r="B889">
        <v>2</v>
      </c>
      <c r="C889">
        <v>307</v>
      </c>
      <c r="D889">
        <v>10365</v>
      </c>
      <c r="E889" t="s">
        <v>37</v>
      </c>
      <c r="F889" t="s">
        <v>38</v>
      </c>
      <c r="H889">
        <v>130</v>
      </c>
      <c r="I889" s="25">
        <v>624</v>
      </c>
      <c r="K889" t="s">
        <v>53</v>
      </c>
      <c r="N889" t="s">
        <v>40</v>
      </c>
      <c r="O889">
        <v>38</v>
      </c>
      <c r="Q889">
        <f t="shared" si="33"/>
        <v>1</v>
      </c>
      <c r="R889">
        <v>1</v>
      </c>
      <c r="S889">
        <v>0</v>
      </c>
      <c r="T889">
        <v>0</v>
      </c>
      <c r="U889">
        <v>0</v>
      </c>
      <c r="V889">
        <v>1</v>
      </c>
      <c r="W889">
        <v>0</v>
      </c>
      <c r="X889" s="21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f t="shared" si="34"/>
        <v>64</v>
      </c>
      <c r="AP889" t="s">
        <v>41</v>
      </c>
    </row>
    <row r="890" spans="1:42">
      <c r="A890" s="1">
        <v>43774</v>
      </c>
      <c r="B890">
        <v>2</v>
      </c>
      <c r="C890">
        <v>307</v>
      </c>
      <c r="D890">
        <v>10365</v>
      </c>
      <c r="E890" t="s">
        <v>37</v>
      </c>
      <c r="F890" t="s">
        <v>38</v>
      </c>
      <c r="H890">
        <v>131</v>
      </c>
      <c r="I890" s="25">
        <v>606</v>
      </c>
      <c r="K890" t="s">
        <v>53</v>
      </c>
      <c r="N890" t="s">
        <v>40</v>
      </c>
      <c r="O890">
        <v>95</v>
      </c>
      <c r="Q890">
        <f t="shared" si="33"/>
        <v>2</v>
      </c>
      <c r="R890">
        <v>1</v>
      </c>
      <c r="S890">
        <v>2</v>
      </c>
      <c r="T890">
        <v>0</v>
      </c>
      <c r="U890">
        <v>0</v>
      </c>
      <c r="V890">
        <v>0</v>
      </c>
      <c r="W890">
        <v>0</v>
      </c>
      <c r="X890" s="21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f t="shared" si="34"/>
        <v>32</v>
      </c>
      <c r="AP890" t="s">
        <v>41</v>
      </c>
    </row>
    <row r="891" spans="1:42">
      <c r="A891" s="1">
        <v>43774</v>
      </c>
      <c r="B891">
        <v>2</v>
      </c>
      <c r="C891">
        <v>307</v>
      </c>
      <c r="D891">
        <v>10365</v>
      </c>
      <c r="E891" t="s">
        <v>37</v>
      </c>
      <c r="F891" t="s">
        <v>38</v>
      </c>
      <c r="H891">
        <v>132</v>
      </c>
      <c r="I891" s="25">
        <v>509</v>
      </c>
      <c r="K891" t="s">
        <v>53</v>
      </c>
      <c r="N891" t="s">
        <v>40</v>
      </c>
      <c r="O891">
        <v>55</v>
      </c>
      <c r="Q891">
        <f t="shared" si="33"/>
        <v>1</v>
      </c>
      <c r="R891">
        <v>1</v>
      </c>
      <c r="S891">
        <v>1</v>
      </c>
      <c r="T891">
        <v>0</v>
      </c>
      <c r="U891">
        <v>0</v>
      </c>
      <c r="V891">
        <v>0</v>
      </c>
      <c r="W891">
        <v>0</v>
      </c>
      <c r="X891" s="2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f t="shared" si="34"/>
        <v>16</v>
      </c>
      <c r="AP891" t="s">
        <v>41</v>
      </c>
    </row>
    <row r="892" spans="1:42">
      <c r="A892" s="1">
        <v>43774</v>
      </c>
      <c r="B892">
        <v>2</v>
      </c>
      <c r="C892">
        <v>307</v>
      </c>
      <c r="D892">
        <v>10365</v>
      </c>
      <c r="E892" t="s">
        <v>37</v>
      </c>
      <c r="F892" t="s">
        <v>38</v>
      </c>
      <c r="H892">
        <v>133</v>
      </c>
      <c r="I892" s="25">
        <v>507</v>
      </c>
      <c r="K892" t="s">
        <v>53</v>
      </c>
      <c r="O892">
        <v>55</v>
      </c>
      <c r="Q892">
        <f t="shared" si="33"/>
        <v>1</v>
      </c>
      <c r="R892">
        <v>1</v>
      </c>
      <c r="S892">
        <v>0</v>
      </c>
      <c r="T892">
        <v>0</v>
      </c>
      <c r="U892">
        <v>0</v>
      </c>
      <c r="V892">
        <v>1</v>
      </c>
      <c r="W892">
        <v>0</v>
      </c>
      <c r="X892" s="21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f t="shared" si="34"/>
        <v>64</v>
      </c>
      <c r="AP892" t="s">
        <v>41</v>
      </c>
    </row>
    <row r="893" spans="1:42">
      <c r="A893" s="1">
        <v>43774</v>
      </c>
      <c r="B893">
        <v>2</v>
      </c>
      <c r="C893">
        <v>307</v>
      </c>
      <c r="D893">
        <v>10365</v>
      </c>
      <c r="E893" t="s">
        <v>37</v>
      </c>
      <c r="F893" t="s">
        <v>38</v>
      </c>
      <c r="H893">
        <v>134</v>
      </c>
      <c r="I893" s="25" t="s">
        <v>111</v>
      </c>
      <c r="K893" t="s">
        <v>53</v>
      </c>
      <c r="N893" t="s">
        <v>40</v>
      </c>
      <c r="O893">
        <v>104</v>
      </c>
      <c r="Q893">
        <f t="shared" si="33"/>
        <v>3</v>
      </c>
      <c r="R893">
        <v>1</v>
      </c>
      <c r="S893">
        <v>0</v>
      </c>
      <c r="T893">
        <v>0</v>
      </c>
      <c r="U893">
        <v>0</v>
      </c>
      <c r="V893">
        <v>3</v>
      </c>
      <c r="W893">
        <v>0</v>
      </c>
      <c r="X893" s="21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f t="shared" si="34"/>
        <v>192</v>
      </c>
      <c r="AP893" t="s">
        <v>41</v>
      </c>
    </row>
    <row r="894" spans="1:42">
      <c r="A894" s="1">
        <v>43774</v>
      </c>
      <c r="B894">
        <v>2</v>
      </c>
      <c r="C894">
        <v>307</v>
      </c>
      <c r="D894">
        <v>10365</v>
      </c>
      <c r="E894" t="s">
        <v>37</v>
      </c>
      <c r="F894" t="s">
        <v>38</v>
      </c>
      <c r="H894">
        <v>135</v>
      </c>
      <c r="I894" s="25">
        <v>420</v>
      </c>
      <c r="K894" t="s">
        <v>102</v>
      </c>
      <c r="N894" t="s">
        <v>40</v>
      </c>
      <c r="O894">
        <v>68</v>
      </c>
      <c r="Q894">
        <f t="shared" si="33"/>
        <v>3</v>
      </c>
      <c r="R894">
        <v>1</v>
      </c>
      <c r="S894">
        <v>0</v>
      </c>
      <c r="T894">
        <v>0</v>
      </c>
      <c r="U894">
        <v>0</v>
      </c>
      <c r="V894">
        <v>3</v>
      </c>
      <c r="W894">
        <v>0</v>
      </c>
      <c r="X894" s="21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f t="shared" si="34"/>
        <v>192</v>
      </c>
      <c r="AP894" t="s">
        <v>41</v>
      </c>
    </row>
    <row r="895" spans="1:42">
      <c r="A895" s="1">
        <v>43774</v>
      </c>
      <c r="B895">
        <v>2</v>
      </c>
      <c r="C895">
        <v>307</v>
      </c>
      <c r="D895">
        <v>10365</v>
      </c>
      <c r="E895" t="s">
        <v>37</v>
      </c>
      <c r="F895" t="s">
        <v>38</v>
      </c>
      <c r="H895">
        <v>136</v>
      </c>
      <c r="I895" s="25"/>
      <c r="Q895">
        <f t="shared" si="33"/>
        <v>0</v>
      </c>
      <c r="R895">
        <v>1</v>
      </c>
      <c r="S895">
        <v>0</v>
      </c>
      <c r="T895">
        <v>0</v>
      </c>
      <c r="U895">
        <v>0</v>
      </c>
      <c r="V895">
        <v>0</v>
      </c>
      <c r="W895">
        <v>0</v>
      </c>
      <c r="X895" s="21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f t="shared" si="34"/>
        <v>0</v>
      </c>
      <c r="AP895" t="s">
        <v>41</v>
      </c>
    </row>
    <row r="896" spans="1:42">
      <c r="A896" s="1">
        <v>43774</v>
      </c>
      <c r="B896">
        <v>2</v>
      </c>
      <c r="C896">
        <v>307</v>
      </c>
      <c r="D896">
        <v>10365</v>
      </c>
      <c r="E896" t="s">
        <v>37</v>
      </c>
      <c r="F896" t="s">
        <v>38</v>
      </c>
      <c r="H896">
        <v>137</v>
      </c>
      <c r="I896" s="25">
        <v>438</v>
      </c>
      <c r="K896" t="s">
        <v>74</v>
      </c>
      <c r="N896" t="s">
        <v>40</v>
      </c>
      <c r="O896">
        <v>165</v>
      </c>
      <c r="Q896">
        <f t="shared" si="33"/>
        <v>0</v>
      </c>
      <c r="R896">
        <v>1</v>
      </c>
      <c r="S896">
        <v>0</v>
      </c>
      <c r="T896">
        <v>0</v>
      </c>
      <c r="U896">
        <v>0</v>
      </c>
      <c r="V896">
        <v>0</v>
      </c>
      <c r="W896">
        <v>0</v>
      </c>
      <c r="X896" s="21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f t="shared" si="34"/>
        <v>0</v>
      </c>
      <c r="AP896" t="s">
        <v>41</v>
      </c>
    </row>
    <row r="897" spans="1:42">
      <c r="A897" s="1">
        <v>43774</v>
      </c>
      <c r="B897">
        <v>2</v>
      </c>
      <c r="C897">
        <v>307</v>
      </c>
      <c r="D897">
        <v>10365</v>
      </c>
      <c r="E897" t="s">
        <v>37</v>
      </c>
      <c r="F897" t="s">
        <v>38</v>
      </c>
      <c r="H897">
        <v>138</v>
      </c>
      <c r="I897" s="25">
        <v>430</v>
      </c>
      <c r="K897" t="s">
        <v>74</v>
      </c>
      <c r="N897" t="s">
        <v>40</v>
      </c>
      <c r="O897">
        <v>165</v>
      </c>
      <c r="Q897">
        <f t="shared" si="33"/>
        <v>4</v>
      </c>
      <c r="R897">
        <v>1</v>
      </c>
      <c r="S897">
        <v>0</v>
      </c>
      <c r="T897">
        <v>0</v>
      </c>
      <c r="U897">
        <v>0</v>
      </c>
      <c r="V897">
        <v>4</v>
      </c>
      <c r="W897">
        <v>0</v>
      </c>
      <c r="X897" s="21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f t="shared" si="34"/>
        <v>256</v>
      </c>
      <c r="AP897" t="s">
        <v>41</v>
      </c>
    </row>
    <row r="898" spans="1:42">
      <c r="A898" s="1">
        <v>43774</v>
      </c>
      <c r="B898">
        <v>2</v>
      </c>
      <c r="C898">
        <v>307</v>
      </c>
      <c r="D898">
        <v>10365</v>
      </c>
      <c r="E898" t="s">
        <v>37</v>
      </c>
      <c r="F898" t="s">
        <v>38</v>
      </c>
      <c r="H898">
        <v>139</v>
      </c>
      <c r="I898" s="25">
        <v>405</v>
      </c>
      <c r="K898" t="s">
        <v>102</v>
      </c>
      <c r="N898" t="s">
        <v>40</v>
      </c>
      <c r="O898">
        <v>50</v>
      </c>
      <c r="Q898">
        <f t="shared" si="33"/>
        <v>3</v>
      </c>
      <c r="R898">
        <v>1</v>
      </c>
      <c r="S898">
        <v>1</v>
      </c>
      <c r="T898">
        <v>0</v>
      </c>
      <c r="U898">
        <v>0</v>
      </c>
      <c r="V898">
        <v>2</v>
      </c>
      <c r="W898">
        <v>0</v>
      </c>
      <c r="X898" s="21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f t="shared" si="34"/>
        <v>144</v>
      </c>
      <c r="AP898" t="s">
        <v>41</v>
      </c>
    </row>
    <row r="899" spans="1:42">
      <c r="A899" s="1">
        <v>43774</v>
      </c>
      <c r="B899">
        <v>2</v>
      </c>
      <c r="C899">
        <v>307</v>
      </c>
      <c r="D899">
        <v>10365</v>
      </c>
      <c r="E899" t="s">
        <v>37</v>
      </c>
      <c r="F899" t="s">
        <v>38</v>
      </c>
      <c r="H899">
        <v>140</v>
      </c>
      <c r="I899" s="25">
        <v>398</v>
      </c>
      <c r="K899" t="s">
        <v>74</v>
      </c>
      <c r="N899" t="s">
        <v>40</v>
      </c>
      <c r="O899">
        <v>50</v>
      </c>
      <c r="Q899">
        <f t="shared" si="33"/>
        <v>0</v>
      </c>
      <c r="R899">
        <v>1</v>
      </c>
      <c r="S899">
        <v>0</v>
      </c>
      <c r="T899">
        <v>0</v>
      </c>
      <c r="U899">
        <v>0</v>
      </c>
      <c r="V899">
        <v>0</v>
      </c>
      <c r="W899">
        <v>0</v>
      </c>
      <c r="X899" s="21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f t="shared" si="34"/>
        <v>0</v>
      </c>
      <c r="AP899" t="s">
        <v>41</v>
      </c>
    </row>
    <row r="900" spans="1:42">
      <c r="A900" s="1">
        <v>43774</v>
      </c>
      <c r="B900">
        <v>2</v>
      </c>
      <c r="C900">
        <v>307</v>
      </c>
      <c r="D900">
        <v>10365</v>
      </c>
      <c r="E900" t="s">
        <v>37</v>
      </c>
      <c r="F900" t="s">
        <v>38</v>
      </c>
      <c r="H900">
        <v>141</v>
      </c>
      <c r="I900" s="25">
        <v>401</v>
      </c>
      <c r="K900" t="s">
        <v>74</v>
      </c>
      <c r="N900" t="s">
        <v>40</v>
      </c>
      <c r="O900">
        <v>61</v>
      </c>
      <c r="Q900">
        <f t="shared" si="33"/>
        <v>2</v>
      </c>
      <c r="R900">
        <v>1</v>
      </c>
      <c r="S900">
        <v>0</v>
      </c>
      <c r="T900">
        <v>0</v>
      </c>
      <c r="U900">
        <v>0</v>
      </c>
      <c r="V900">
        <v>2</v>
      </c>
      <c r="W900">
        <v>0</v>
      </c>
      <c r="X900" s="21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f t="shared" si="34"/>
        <v>128</v>
      </c>
      <c r="AP900" t="s">
        <v>41</v>
      </c>
    </row>
    <row r="901" spans="1:42">
      <c r="A901" s="1">
        <v>43774</v>
      </c>
      <c r="B901">
        <v>2</v>
      </c>
      <c r="C901">
        <v>307</v>
      </c>
      <c r="D901">
        <v>10365</v>
      </c>
      <c r="E901" t="s">
        <v>37</v>
      </c>
      <c r="F901" t="s">
        <v>38</v>
      </c>
      <c r="H901">
        <v>142</v>
      </c>
      <c r="I901" s="25">
        <v>312</v>
      </c>
      <c r="K901" t="s">
        <v>74</v>
      </c>
      <c r="N901" t="s">
        <v>40</v>
      </c>
      <c r="O901">
        <v>47</v>
      </c>
      <c r="Q901">
        <f t="shared" si="33"/>
        <v>1</v>
      </c>
      <c r="R901">
        <v>1</v>
      </c>
      <c r="S901">
        <v>0</v>
      </c>
      <c r="T901">
        <v>0</v>
      </c>
      <c r="U901">
        <v>0</v>
      </c>
      <c r="V901">
        <v>1</v>
      </c>
      <c r="W901">
        <v>0</v>
      </c>
      <c r="X901" s="2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f t="shared" si="34"/>
        <v>64</v>
      </c>
      <c r="AP901" t="s">
        <v>41</v>
      </c>
    </row>
    <row r="902" spans="1:42">
      <c r="A902" s="1">
        <v>43774</v>
      </c>
      <c r="B902">
        <v>2</v>
      </c>
      <c r="C902">
        <v>307</v>
      </c>
      <c r="D902">
        <v>10365</v>
      </c>
      <c r="E902" t="s">
        <v>37</v>
      </c>
      <c r="F902" t="s">
        <v>38</v>
      </c>
      <c r="H902">
        <v>143</v>
      </c>
      <c r="I902" s="25">
        <v>320</v>
      </c>
      <c r="K902" t="s">
        <v>102</v>
      </c>
      <c r="N902" t="s">
        <v>40</v>
      </c>
      <c r="O902">
        <v>47</v>
      </c>
      <c r="Q902">
        <f t="shared" si="33"/>
        <v>2</v>
      </c>
      <c r="R902">
        <v>1</v>
      </c>
      <c r="S902">
        <v>0</v>
      </c>
      <c r="T902">
        <v>0</v>
      </c>
      <c r="U902">
        <v>0</v>
      </c>
      <c r="V902">
        <v>2</v>
      </c>
      <c r="W902">
        <v>0</v>
      </c>
      <c r="X902" s="21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f t="shared" si="34"/>
        <v>128</v>
      </c>
      <c r="AP902" t="s">
        <v>41</v>
      </c>
    </row>
    <row r="903" spans="1:42">
      <c r="A903" s="1">
        <v>43774</v>
      </c>
      <c r="B903">
        <v>2</v>
      </c>
      <c r="C903">
        <v>307</v>
      </c>
      <c r="D903">
        <v>10365</v>
      </c>
      <c r="E903" t="s">
        <v>37</v>
      </c>
      <c r="F903" t="s">
        <v>38</v>
      </c>
      <c r="H903">
        <v>144</v>
      </c>
      <c r="I903" s="25">
        <v>321</v>
      </c>
      <c r="K903" t="s">
        <v>102</v>
      </c>
      <c r="N903" t="s">
        <v>40</v>
      </c>
      <c r="O903">
        <v>47</v>
      </c>
      <c r="Q903">
        <f t="shared" si="33"/>
        <v>2</v>
      </c>
      <c r="R903">
        <v>1</v>
      </c>
      <c r="S903">
        <v>0</v>
      </c>
      <c r="T903">
        <v>0</v>
      </c>
      <c r="U903">
        <v>0</v>
      </c>
      <c r="V903">
        <v>2</v>
      </c>
      <c r="W903">
        <v>0</v>
      </c>
      <c r="X903" s="21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f t="shared" si="34"/>
        <v>128</v>
      </c>
      <c r="AP903" t="s">
        <v>41</v>
      </c>
    </row>
    <row r="904" spans="1:42">
      <c r="A904" s="1">
        <v>43774</v>
      </c>
      <c r="B904">
        <v>2</v>
      </c>
      <c r="C904">
        <v>307</v>
      </c>
      <c r="D904">
        <v>10365</v>
      </c>
      <c r="E904" t="s">
        <v>37</v>
      </c>
      <c r="F904" t="s">
        <v>38</v>
      </c>
      <c r="H904">
        <v>145</v>
      </c>
      <c r="I904" s="25">
        <v>147</v>
      </c>
      <c r="K904" t="s">
        <v>102</v>
      </c>
      <c r="N904" t="s">
        <v>44</v>
      </c>
      <c r="O904">
        <v>113</v>
      </c>
      <c r="Q904">
        <f t="shared" si="33"/>
        <v>1</v>
      </c>
      <c r="R904">
        <v>1</v>
      </c>
      <c r="S904">
        <v>1</v>
      </c>
      <c r="T904">
        <v>0</v>
      </c>
      <c r="U904">
        <v>0</v>
      </c>
      <c r="V904">
        <v>0</v>
      </c>
      <c r="W904">
        <v>0</v>
      </c>
      <c r="X904" s="21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f t="shared" si="34"/>
        <v>16</v>
      </c>
      <c r="AP904" t="s">
        <v>41</v>
      </c>
    </row>
    <row r="905" spans="1:42">
      <c r="A905" s="1">
        <v>43774</v>
      </c>
      <c r="B905">
        <v>2</v>
      </c>
      <c r="C905">
        <v>307</v>
      </c>
      <c r="D905">
        <v>10365</v>
      </c>
      <c r="E905" t="s">
        <v>37</v>
      </c>
      <c r="F905" t="s">
        <v>38</v>
      </c>
      <c r="H905">
        <v>146</v>
      </c>
      <c r="I905" s="25">
        <v>101</v>
      </c>
      <c r="K905" t="s">
        <v>94</v>
      </c>
      <c r="N905" t="s">
        <v>40</v>
      </c>
      <c r="O905">
        <v>55</v>
      </c>
      <c r="Q905">
        <f t="shared" si="33"/>
        <v>1</v>
      </c>
      <c r="R905">
        <v>1</v>
      </c>
      <c r="S905">
        <v>0</v>
      </c>
      <c r="T905">
        <v>0</v>
      </c>
      <c r="U905">
        <v>0</v>
      </c>
      <c r="V905">
        <v>1</v>
      </c>
      <c r="W905">
        <v>0</v>
      </c>
      <c r="X905" s="21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f t="shared" si="34"/>
        <v>64</v>
      </c>
      <c r="AP905" t="s">
        <v>41</v>
      </c>
    </row>
    <row r="906" spans="1:42">
      <c r="A906" s="1">
        <v>43774</v>
      </c>
      <c r="B906">
        <v>2</v>
      </c>
      <c r="C906">
        <v>307</v>
      </c>
      <c r="D906">
        <v>10365</v>
      </c>
      <c r="E906" t="s">
        <v>37</v>
      </c>
      <c r="F906" t="s">
        <v>38</v>
      </c>
      <c r="H906">
        <v>147</v>
      </c>
      <c r="I906" s="25">
        <v>38</v>
      </c>
      <c r="K906" t="s">
        <v>94</v>
      </c>
      <c r="N906" t="s">
        <v>40</v>
      </c>
      <c r="O906">
        <v>29</v>
      </c>
      <c r="Q906">
        <f t="shared" si="33"/>
        <v>1</v>
      </c>
      <c r="R906">
        <v>1</v>
      </c>
      <c r="S906">
        <v>1</v>
      </c>
      <c r="T906">
        <v>0</v>
      </c>
      <c r="U906">
        <v>0</v>
      </c>
      <c r="V906">
        <v>0</v>
      </c>
      <c r="W906">
        <v>0</v>
      </c>
      <c r="X906" s="21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f t="shared" si="34"/>
        <v>16</v>
      </c>
      <c r="AP906" t="s">
        <v>41</v>
      </c>
    </row>
    <row r="907" spans="1:42">
      <c r="A907" s="1">
        <v>43774</v>
      </c>
      <c r="B907">
        <v>2</v>
      </c>
      <c r="C907">
        <v>307</v>
      </c>
      <c r="D907">
        <v>10365</v>
      </c>
      <c r="E907" t="s">
        <v>37</v>
      </c>
      <c r="F907" t="s">
        <v>38</v>
      </c>
      <c r="H907">
        <v>148</v>
      </c>
      <c r="I907" s="25">
        <v>34</v>
      </c>
      <c r="K907" t="s">
        <v>94</v>
      </c>
      <c r="N907" t="s">
        <v>40</v>
      </c>
      <c r="O907">
        <v>29</v>
      </c>
      <c r="Q907">
        <f t="shared" si="33"/>
        <v>1</v>
      </c>
      <c r="R907">
        <v>1</v>
      </c>
      <c r="S907">
        <v>0</v>
      </c>
      <c r="T907">
        <v>0</v>
      </c>
      <c r="U907">
        <v>0</v>
      </c>
      <c r="V907">
        <v>1</v>
      </c>
      <c r="W907">
        <v>0</v>
      </c>
      <c r="X907" s="21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f t="shared" si="34"/>
        <v>64</v>
      </c>
      <c r="AP907" t="s">
        <v>41</v>
      </c>
    </row>
    <row r="908" spans="1:42">
      <c r="A908" s="1">
        <v>43774</v>
      </c>
      <c r="B908">
        <v>2</v>
      </c>
      <c r="C908">
        <v>307</v>
      </c>
      <c r="D908">
        <v>10365</v>
      </c>
      <c r="E908" t="s">
        <v>37</v>
      </c>
      <c r="F908" t="s">
        <v>38</v>
      </c>
      <c r="H908">
        <v>149</v>
      </c>
      <c r="I908" s="25">
        <v>10</v>
      </c>
      <c r="K908" t="s">
        <v>94</v>
      </c>
      <c r="N908" t="s">
        <v>40</v>
      </c>
      <c r="O908">
        <v>40</v>
      </c>
      <c r="Q908">
        <f t="shared" si="33"/>
        <v>1</v>
      </c>
      <c r="R908">
        <v>1</v>
      </c>
      <c r="S908">
        <v>0</v>
      </c>
      <c r="T908">
        <v>0</v>
      </c>
      <c r="U908">
        <v>0</v>
      </c>
      <c r="V908">
        <v>1</v>
      </c>
      <c r="W908">
        <v>0</v>
      </c>
      <c r="X908" s="21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f t="shared" si="34"/>
        <v>64</v>
      </c>
      <c r="AP908" t="s">
        <v>41</v>
      </c>
    </row>
    <row r="909" spans="1:42">
      <c r="A909" s="1">
        <v>43774</v>
      </c>
      <c r="B909">
        <v>2</v>
      </c>
      <c r="C909">
        <v>307</v>
      </c>
      <c r="D909">
        <v>10365</v>
      </c>
      <c r="E909" t="s">
        <v>37</v>
      </c>
      <c r="F909" t="s">
        <v>38</v>
      </c>
      <c r="H909">
        <v>150</v>
      </c>
      <c r="I909" s="25">
        <v>174</v>
      </c>
      <c r="K909" t="s">
        <v>100</v>
      </c>
      <c r="N909" t="s">
        <v>40</v>
      </c>
      <c r="O909">
        <v>39</v>
      </c>
      <c r="Q909">
        <f t="shared" si="33"/>
        <v>1</v>
      </c>
      <c r="R909">
        <v>1</v>
      </c>
      <c r="S909">
        <v>0</v>
      </c>
      <c r="T909">
        <v>0</v>
      </c>
      <c r="U909">
        <v>0</v>
      </c>
      <c r="V909">
        <v>1</v>
      </c>
      <c r="W909">
        <v>0</v>
      </c>
      <c r="X909" s="21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f t="shared" si="34"/>
        <v>64</v>
      </c>
      <c r="AP909" t="s">
        <v>41</v>
      </c>
    </row>
    <row r="910" spans="1:42">
      <c r="A910" s="1">
        <v>43774</v>
      </c>
      <c r="B910">
        <v>2</v>
      </c>
      <c r="C910">
        <v>307</v>
      </c>
      <c r="D910">
        <v>10365</v>
      </c>
      <c r="E910" t="s">
        <v>37</v>
      </c>
      <c r="F910" t="s">
        <v>38</v>
      </c>
      <c r="H910">
        <v>151</v>
      </c>
      <c r="I910" s="25">
        <v>201</v>
      </c>
      <c r="K910" t="s">
        <v>100</v>
      </c>
      <c r="N910" t="s">
        <v>40</v>
      </c>
      <c r="O910">
        <v>36</v>
      </c>
      <c r="Q910">
        <f t="shared" si="33"/>
        <v>1</v>
      </c>
      <c r="R910">
        <v>1</v>
      </c>
      <c r="S910">
        <v>1</v>
      </c>
      <c r="T910">
        <v>0</v>
      </c>
      <c r="U910">
        <v>0</v>
      </c>
      <c r="V910">
        <v>0</v>
      </c>
      <c r="W910">
        <v>0</v>
      </c>
      <c r="X910" s="21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f t="shared" si="34"/>
        <v>16</v>
      </c>
      <c r="AP910" t="s">
        <v>41</v>
      </c>
    </row>
    <row r="911" spans="1:42">
      <c r="A911" s="1">
        <v>43774</v>
      </c>
      <c r="B911">
        <v>2</v>
      </c>
      <c r="C911">
        <v>307</v>
      </c>
      <c r="D911">
        <v>10365</v>
      </c>
      <c r="E911" t="s">
        <v>37</v>
      </c>
      <c r="F911" t="s">
        <v>38</v>
      </c>
      <c r="H911">
        <v>152</v>
      </c>
      <c r="I911" s="25">
        <v>237</v>
      </c>
      <c r="K911" t="s">
        <v>100</v>
      </c>
      <c r="N911" t="s">
        <v>40</v>
      </c>
      <c r="O911">
        <v>63</v>
      </c>
      <c r="Q911">
        <f t="shared" si="33"/>
        <v>1</v>
      </c>
      <c r="R911">
        <v>1</v>
      </c>
      <c r="S911">
        <v>1</v>
      </c>
      <c r="T911">
        <v>0</v>
      </c>
      <c r="U911">
        <v>0</v>
      </c>
      <c r="V911">
        <v>0</v>
      </c>
      <c r="W911">
        <v>0</v>
      </c>
      <c r="X911" s="2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f t="shared" si="34"/>
        <v>16</v>
      </c>
      <c r="AP911" t="s">
        <v>41</v>
      </c>
    </row>
    <row r="912" spans="1:42">
      <c r="A912" s="1">
        <v>43774</v>
      </c>
      <c r="B912">
        <v>2</v>
      </c>
      <c r="C912">
        <v>307</v>
      </c>
      <c r="D912">
        <v>10365</v>
      </c>
      <c r="E912" t="s">
        <v>37</v>
      </c>
      <c r="F912" t="s">
        <v>38</v>
      </c>
      <c r="H912">
        <v>153</v>
      </c>
      <c r="I912" s="25"/>
      <c r="Q912">
        <f t="shared" si="33"/>
        <v>0</v>
      </c>
      <c r="R912">
        <v>1</v>
      </c>
      <c r="S912">
        <v>0</v>
      </c>
      <c r="T912">
        <v>0</v>
      </c>
      <c r="U912">
        <v>0</v>
      </c>
      <c r="V912">
        <v>0</v>
      </c>
      <c r="W912">
        <v>0</v>
      </c>
      <c r="X912" s="21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f t="shared" si="34"/>
        <v>0</v>
      </c>
      <c r="AP912" t="s">
        <v>41</v>
      </c>
    </row>
    <row r="913" spans="1:42">
      <c r="A913" s="1">
        <v>43774</v>
      </c>
      <c r="B913">
        <v>2</v>
      </c>
      <c r="C913">
        <v>307</v>
      </c>
      <c r="D913">
        <v>10365</v>
      </c>
      <c r="E913" t="s">
        <v>37</v>
      </c>
      <c r="F913" t="s">
        <v>38</v>
      </c>
      <c r="H913">
        <v>154</v>
      </c>
      <c r="I913" s="25">
        <v>491</v>
      </c>
      <c r="K913" t="s">
        <v>98</v>
      </c>
      <c r="N913" t="s">
        <v>40</v>
      </c>
      <c r="O913">
        <v>59</v>
      </c>
      <c r="Q913">
        <f t="shared" si="33"/>
        <v>1</v>
      </c>
      <c r="R913">
        <v>1</v>
      </c>
      <c r="S913">
        <v>0</v>
      </c>
      <c r="T913">
        <v>0</v>
      </c>
      <c r="U913">
        <v>0</v>
      </c>
      <c r="V913">
        <v>1</v>
      </c>
      <c r="W913">
        <v>0</v>
      </c>
      <c r="X913" s="21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f t="shared" si="34"/>
        <v>64</v>
      </c>
      <c r="AP913" t="s">
        <v>41</v>
      </c>
    </row>
    <row r="914" spans="1:42">
      <c r="A914" s="1">
        <v>43774</v>
      </c>
      <c r="B914">
        <v>2</v>
      </c>
      <c r="C914">
        <v>307</v>
      </c>
      <c r="D914">
        <v>10365</v>
      </c>
      <c r="E914" t="s">
        <v>37</v>
      </c>
      <c r="F914" t="s">
        <v>38</v>
      </c>
      <c r="H914">
        <v>155</v>
      </c>
      <c r="I914" s="25">
        <v>401</v>
      </c>
      <c r="K914" t="s">
        <v>102</v>
      </c>
      <c r="N914" t="s">
        <v>40</v>
      </c>
      <c r="O914">
        <v>43</v>
      </c>
      <c r="Q914">
        <f t="shared" si="33"/>
        <v>1</v>
      </c>
      <c r="R914">
        <v>1</v>
      </c>
      <c r="S914">
        <v>0</v>
      </c>
      <c r="T914">
        <v>0</v>
      </c>
      <c r="U914">
        <v>0</v>
      </c>
      <c r="V914">
        <v>1</v>
      </c>
      <c r="W914">
        <v>0</v>
      </c>
      <c r="X914" s="21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f t="shared" si="34"/>
        <v>64</v>
      </c>
      <c r="AP914" t="s">
        <v>41</v>
      </c>
    </row>
    <row r="915" spans="1:42">
      <c r="A915" s="1">
        <v>43774</v>
      </c>
      <c r="B915">
        <v>2</v>
      </c>
      <c r="C915">
        <v>307</v>
      </c>
      <c r="D915">
        <v>10365</v>
      </c>
      <c r="E915" t="s">
        <v>37</v>
      </c>
      <c r="F915" t="s">
        <v>38</v>
      </c>
      <c r="H915">
        <v>156</v>
      </c>
      <c r="I915" s="25">
        <v>486</v>
      </c>
      <c r="K915" t="s">
        <v>73</v>
      </c>
      <c r="N915" t="s">
        <v>44</v>
      </c>
      <c r="O915">
        <v>210</v>
      </c>
      <c r="Q915">
        <f t="shared" si="33"/>
        <v>4</v>
      </c>
      <c r="R915">
        <v>1</v>
      </c>
      <c r="S915">
        <v>0</v>
      </c>
      <c r="T915">
        <v>0</v>
      </c>
      <c r="U915">
        <v>0</v>
      </c>
      <c r="V915">
        <v>4</v>
      </c>
      <c r="W915">
        <v>0</v>
      </c>
      <c r="X915" s="21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f t="shared" si="34"/>
        <v>256</v>
      </c>
      <c r="AL915" t="s">
        <v>435</v>
      </c>
      <c r="AP915" t="s">
        <v>41</v>
      </c>
    </row>
    <row r="916" spans="1:42">
      <c r="A916" s="1">
        <v>43780</v>
      </c>
      <c r="B916">
        <v>1</v>
      </c>
      <c r="C916">
        <v>201</v>
      </c>
      <c r="D916">
        <v>10381</v>
      </c>
      <c r="E916" t="s">
        <v>37</v>
      </c>
      <c r="F916" t="s">
        <v>436</v>
      </c>
      <c r="H916">
        <v>1</v>
      </c>
      <c r="I916" s="25">
        <v>313</v>
      </c>
      <c r="K916" t="s">
        <v>407</v>
      </c>
      <c r="N916" t="s">
        <v>40</v>
      </c>
      <c r="O916">
        <v>30</v>
      </c>
      <c r="Q916">
        <f t="shared" si="33"/>
        <v>0</v>
      </c>
      <c r="R916">
        <v>1</v>
      </c>
      <c r="S916">
        <v>0</v>
      </c>
      <c r="T916">
        <v>0</v>
      </c>
      <c r="U916">
        <v>0</v>
      </c>
      <c r="V916">
        <v>0</v>
      </c>
      <c r="W916">
        <v>0</v>
      </c>
      <c r="X916" s="21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f t="shared" si="34"/>
        <v>0</v>
      </c>
      <c r="AP916" t="s">
        <v>41</v>
      </c>
    </row>
    <row r="917" spans="1:42">
      <c r="A917" s="1">
        <v>43780</v>
      </c>
      <c r="B917">
        <v>1</v>
      </c>
      <c r="C917">
        <v>201</v>
      </c>
      <c r="D917">
        <v>10381</v>
      </c>
      <c r="E917" t="s">
        <v>37</v>
      </c>
      <c r="F917" t="s">
        <v>436</v>
      </c>
      <c r="H917">
        <v>2</v>
      </c>
      <c r="I917" s="25">
        <v>225</v>
      </c>
      <c r="K917" t="s">
        <v>407</v>
      </c>
      <c r="N917" t="s">
        <v>40</v>
      </c>
      <c r="O917">
        <v>30</v>
      </c>
      <c r="Q917">
        <f t="shared" si="33"/>
        <v>2</v>
      </c>
      <c r="R917">
        <v>1</v>
      </c>
      <c r="S917">
        <v>0</v>
      </c>
      <c r="T917">
        <v>0</v>
      </c>
      <c r="U917">
        <v>0</v>
      </c>
      <c r="V917">
        <v>0</v>
      </c>
      <c r="W917">
        <v>2</v>
      </c>
      <c r="X917" s="21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f t="shared" si="34"/>
        <v>192</v>
      </c>
      <c r="AP917" t="s">
        <v>41</v>
      </c>
    </row>
    <row r="918" spans="1:42">
      <c r="A918" s="1">
        <v>43780</v>
      </c>
      <c r="B918">
        <v>1</v>
      </c>
      <c r="C918">
        <v>201</v>
      </c>
      <c r="D918">
        <v>10381</v>
      </c>
      <c r="E918" t="s">
        <v>37</v>
      </c>
      <c r="F918" t="s">
        <v>436</v>
      </c>
      <c r="H918">
        <v>3</v>
      </c>
      <c r="I918" s="25">
        <v>161</v>
      </c>
      <c r="K918" t="s">
        <v>407</v>
      </c>
      <c r="N918" t="s">
        <v>40</v>
      </c>
      <c r="O918">
        <v>30</v>
      </c>
      <c r="Q918">
        <f t="shared" si="33"/>
        <v>1</v>
      </c>
      <c r="R918">
        <v>1</v>
      </c>
      <c r="S918">
        <v>0</v>
      </c>
      <c r="T918">
        <v>0</v>
      </c>
      <c r="U918">
        <v>0</v>
      </c>
      <c r="V918">
        <v>0</v>
      </c>
      <c r="W918">
        <v>1</v>
      </c>
      <c r="X918" s="21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f t="shared" si="34"/>
        <v>96</v>
      </c>
      <c r="AP918" t="s">
        <v>41</v>
      </c>
    </row>
    <row r="919" spans="1:42">
      <c r="A919" s="1">
        <v>43780</v>
      </c>
      <c r="B919">
        <v>1</v>
      </c>
      <c r="C919">
        <v>201</v>
      </c>
      <c r="D919">
        <v>10381</v>
      </c>
      <c r="E919" t="s">
        <v>37</v>
      </c>
      <c r="F919" t="s">
        <v>436</v>
      </c>
      <c r="H919">
        <v>4</v>
      </c>
      <c r="I919" s="25">
        <v>225</v>
      </c>
      <c r="K919" t="s">
        <v>407</v>
      </c>
      <c r="N919" t="s">
        <v>40</v>
      </c>
      <c r="O919">
        <v>30</v>
      </c>
      <c r="Q919">
        <f t="shared" si="33"/>
        <v>2</v>
      </c>
      <c r="R919">
        <v>1</v>
      </c>
      <c r="S919">
        <v>0</v>
      </c>
      <c r="T919">
        <v>0</v>
      </c>
      <c r="U919">
        <v>0</v>
      </c>
      <c r="V919">
        <v>0</v>
      </c>
      <c r="W919">
        <v>2</v>
      </c>
      <c r="X919" s="21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f t="shared" si="34"/>
        <v>192</v>
      </c>
      <c r="AP919" t="s">
        <v>41</v>
      </c>
    </row>
    <row r="920" spans="1:42">
      <c r="A920" s="1">
        <v>43780</v>
      </c>
      <c r="B920">
        <v>1</v>
      </c>
      <c r="C920">
        <v>201</v>
      </c>
      <c r="D920">
        <v>10381</v>
      </c>
      <c r="E920" t="s">
        <v>37</v>
      </c>
      <c r="F920" t="s">
        <v>436</v>
      </c>
      <c r="H920">
        <v>5</v>
      </c>
      <c r="I920" s="25">
        <v>220</v>
      </c>
      <c r="K920" t="s">
        <v>98</v>
      </c>
      <c r="N920" t="s">
        <v>40</v>
      </c>
      <c r="O920">
        <v>89</v>
      </c>
      <c r="Q920">
        <f t="shared" ref="Q920:Q983" si="35">SUM(S920:AC920)</f>
        <v>1</v>
      </c>
      <c r="R920">
        <v>1</v>
      </c>
      <c r="S920">
        <v>0</v>
      </c>
      <c r="T920">
        <v>0</v>
      </c>
      <c r="U920">
        <v>0</v>
      </c>
      <c r="V920">
        <v>0</v>
      </c>
      <c r="W920">
        <v>1</v>
      </c>
      <c r="X920" s="21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f t="shared" ref="AH920:AH983" si="36">(S920*16)+(T920*20)+(U920*32)+(V920*64)+(W920*96)</f>
        <v>96</v>
      </c>
      <c r="AP920" t="s">
        <v>41</v>
      </c>
    </row>
    <row r="921" spans="1:42">
      <c r="A921" s="1">
        <v>43780</v>
      </c>
      <c r="B921">
        <v>1</v>
      </c>
      <c r="C921">
        <v>201</v>
      </c>
      <c r="D921">
        <v>10381</v>
      </c>
      <c r="E921" t="s">
        <v>37</v>
      </c>
      <c r="F921" t="s">
        <v>436</v>
      </c>
      <c r="H921">
        <v>6</v>
      </c>
      <c r="I921" s="25">
        <v>150</v>
      </c>
      <c r="K921" t="s">
        <v>407</v>
      </c>
      <c r="N921" t="s">
        <v>40</v>
      </c>
      <c r="O921">
        <v>24</v>
      </c>
      <c r="Q921">
        <f t="shared" si="35"/>
        <v>1</v>
      </c>
      <c r="R921">
        <v>1</v>
      </c>
      <c r="S921">
        <v>0</v>
      </c>
      <c r="T921">
        <v>0</v>
      </c>
      <c r="U921">
        <v>0</v>
      </c>
      <c r="V921">
        <v>0</v>
      </c>
      <c r="W921">
        <v>1</v>
      </c>
      <c r="X921" s="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f t="shared" si="36"/>
        <v>96</v>
      </c>
      <c r="AP921" t="s">
        <v>41</v>
      </c>
    </row>
    <row r="922" spans="1:42">
      <c r="A922" s="1">
        <v>43780</v>
      </c>
      <c r="B922">
        <v>1</v>
      </c>
      <c r="C922">
        <v>201</v>
      </c>
      <c r="D922">
        <v>10381</v>
      </c>
      <c r="E922" t="s">
        <v>37</v>
      </c>
      <c r="F922" t="s">
        <v>436</v>
      </c>
      <c r="H922">
        <v>7</v>
      </c>
      <c r="I922" s="25">
        <v>133</v>
      </c>
      <c r="K922" t="s">
        <v>98</v>
      </c>
      <c r="O922">
        <v>24</v>
      </c>
      <c r="Q922">
        <f t="shared" si="35"/>
        <v>1</v>
      </c>
      <c r="R922">
        <v>1</v>
      </c>
      <c r="S922">
        <v>0</v>
      </c>
      <c r="T922">
        <v>0</v>
      </c>
      <c r="U922">
        <v>0</v>
      </c>
      <c r="V922">
        <v>0</v>
      </c>
      <c r="W922">
        <v>1</v>
      </c>
      <c r="X922" s="21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f t="shared" si="36"/>
        <v>96</v>
      </c>
      <c r="AP922" t="s">
        <v>41</v>
      </c>
    </row>
    <row r="923" spans="1:42">
      <c r="A923" s="1">
        <v>43780</v>
      </c>
      <c r="B923">
        <v>1</v>
      </c>
      <c r="C923">
        <v>201</v>
      </c>
      <c r="D923">
        <v>10381</v>
      </c>
      <c r="E923" t="s">
        <v>37</v>
      </c>
      <c r="F923" t="s">
        <v>436</v>
      </c>
      <c r="H923">
        <v>8</v>
      </c>
      <c r="I923" s="25">
        <v>132</v>
      </c>
      <c r="K923" t="s">
        <v>98</v>
      </c>
      <c r="O923">
        <v>24</v>
      </c>
      <c r="Q923">
        <f t="shared" si="35"/>
        <v>1</v>
      </c>
      <c r="R923">
        <v>1</v>
      </c>
      <c r="S923">
        <v>0</v>
      </c>
      <c r="T923">
        <v>0</v>
      </c>
      <c r="U923">
        <v>0</v>
      </c>
      <c r="V923">
        <v>0</v>
      </c>
      <c r="W923">
        <v>1</v>
      </c>
      <c r="X923" s="21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f t="shared" si="36"/>
        <v>96</v>
      </c>
      <c r="AP923" t="s">
        <v>41</v>
      </c>
    </row>
    <row r="924" spans="1:42">
      <c r="A924" s="1">
        <v>43780</v>
      </c>
      <c r="B924">
        <v>1</v>
      </c>
      <c r="C924">
        <v>201</v>
      </c>
      <c r="D924">
        <v>10381</v>
      </c>
      <c r="E924" t="s">
        <v>37</v>
      </c>
      <c r="F924" t="s">
        <v>436</v>
      </c>
      <c r="H924">
        <v>9</v>
      </c>
      <c r="I924" s="25"/>
      <c r="N924" t="s">
        <v>40</v>
      </c>
      <c r="O924">
        <v>24</v>
      </c>
      <c r="Q924">
        <f t="shared" si="35"/>
        <v>0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 s="21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f t="shared" si="36"/>
        <v>0</v>
      </c>
      <c r="AP924" t="s">
        <v>41</v>
      </c>
    </row>
    <row r="925" spans="1:42">
      <c r="A925" s="1">
        <v>43780</v>
      </c>
      <c r="B925">
        <v>1</v>
      </c>
      <c r="C925">
        <v>201</v>
      </c>
      <c r="D925">
        <v>10381</v>
      </c>
      <c r="E925" t="s">
        <v>37</v>
      </c>
      <c r="F925" t="s">
        <v>436</v>
      </c>
      <c r="H925">
        <v>10</v>
      </c>
      <c r="I925" s="25">
        <v>760</v>
      </c>
      <c r="K925" t="s">
        <v>73</v>
      </c>
      <c r="N925" t="s">
        <v>44</v>
      </c>
      <c r="O925">
        <v>60</v>
      </c>
      <c r="Q925">
        <f t="shared" si="35"/>
        <v>2</v>
      </c>
      <c r="R925">
        <v>1</v>
      </c>
      <c r="S925">
        <v>0</v>
      </c>
      <c r="T925">
        <v>0</v>
      </c>
      <c r="U925">
        <v>0</v>
      </c>
      <c r="V925">
        <v>2</v>
      </c>
      <c r="W925">
        <v>0</v>
      </c>
      <c r="X925" s="21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f t="shared" si="36"/>
        <v>128</v>
      </c>
      <c r="AP925" t="s">
        <v>41</v>
      </c>
    </row>
    <row r="926" spans="1:42">
      <c r="A926" s="1">
        <v>43780</v>
      </c>
      <c r="B926">
        <v>1</v>
      </c>
      <c r="C926">
        <v>201</v>
      </c>
      <c r="D926">
        <v>10381</v>
      </c>
      <c r="E926" t="s">
        <v>37</v>
      </c>
      <c r="F926" t="s">
        <v>436</v>
      </c>
      <c r="H926">
        <v>11</v>
      </c>
      <c r="I926" s="25">
        <v>760</v>
      </c>
      <c r="K926" t="s">
        <v>73</v>
      </c>
      <c r="N926" t="s">
        <v>44</v>
      </c>
      <c r="O926">
        <v>60</v>
      </c>
      <c r="Q926">
        <f t="shared" si="35"/>
        <v>6</v>
      </c>
      <c r="R926">
        <v>1</v>
      </c>
      <c r="S926">
        <v>0</v>
      </c>
      <c r="T926">
        <v>0</v>
      </c>
      <c r="U926">
        <v>0</v>
      </c>
      <c r="V926">
        <v>0</v>
      </c>
      <c r="W926">
        <v>6</v>
      </c>
      <c r="X926" s="21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f t="shared" si="36"/>
        <v>576</v>
      </c>
      <c r="AP926" t="s">
        <v>41</v>
      </c>
    </row>
    <row r="927" spans="1:42">
      <c r="A927" s="1">
        <v>43780</v>
      </c>
      <c r="B927">
        <v>1</v>
      </c>
      <c r="C927">
        <v>201</v>
      </c>
      <c r="D927">
        <v>10381</v>
      </c>
      <c r="E927" t="s">
        <v>37</v>
      </c>
      <c r="F927" t="s">
        <v>436</v>
      </c>
      <c r="H927">
        <v>12</v>
      </c>
      <c r="I927" s="25">
        <v>26</v>
      </c>
      <c r="K927" t="s">
        <v>98</v>
      </c>
      <c r="N927" t="s">
        <v>40</v>
      </c>
      <c r="O927">
        <v>60</v>
      </c>
      <c r="Q927">
        <f t="shared" si="35"/>
        <v>4</v>
      </c>
      <c r="R927">
        <v>1</v>
      </c>
      <c r="S927">
        <v>0</v>
      </c>
      <c r="T927">
        <v>0</v>
      </c>
      <c r="U927">
        <v>0</v>
      </c>
      <c r="V927">
        <v>4</v>
      </c>
      <c r="W927">
        <v>0</v>
      </c>
      <c r="X927" s="21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f t="shared" si="36"/>
        <v>256</v>
      </c>
      <c r="AP927" t="s">
        <v>41</v>
      </c>
    </row>
    <row r="928" spans="1:42">
      <c r="A928" s="1">
        <v>43780</v>
      </c>
      <c r="B928">
        <v>1</v>
      </c>
      <c r="C928">
        <v>201</v>
      </c>
      <c r="D928">
        <v>10381</v>
      </c>
      <c r="E928" t="s">
        <v>37</v>
      </c>
      <c r="F928" t="s">
        <v>436</v>
      </c>
      <c r="H928">
        <v>13</v>
      </c>
      <c r="I928" s="25">
        <v>20</v>
      </c>
      <c r="K928" t="s">
        <v>98</v>
      </c>
      <c r="N928" t="s">
        <v>40</v>
      </c>
      <c r="O928">
        <v>60</v>
      </c>
      <c r="Q928">
        <f t="shared" si="35"/>
        <v>0</v>
      </c>
      <c r="R928">
        <v>1</v>
      </c>
      <c r="S928">
        <v>0</v>
      </c>
      <c r="T928">
        <v>0</v>
      </c>
      <c r="U928">
        <v>0</v>
      </c>
      <c r="V928">
        <v>0</v>
      </c>
      <c r="W928">
        <v>0</v>
      </c>
      <c r="X928" s="21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f t="shared" si="36"/>
        <v>0</v>
      </c>
      <c r="AP928" t="s">
        <v>41</v>
      </c>
    </row>
    <row r="929" spans="1:42">
      <c r="A929" s="1">
        <v>43780</v>
      </c>
      <c r="B929">
        <v>1</v>
      </c>
      <c r="C929">
        <v>201</v>
      </c>
      <c r="D929">
        <v>10381</v>
      </c>
      <c r="E929" t="s">
        <v>37</v>
      </c>
      <c r="F929" t="s">
        <v>436</v>
      </c>
      <c r="H929">
        <v>14</v>
      </c>
      <c r="I929" s="25">
        <v>150</v>
      </c>
      <c r="K929" t="s">
        <v>50</v>
      </c>
      <c r="N929" t="s">
        <v>44</v>
      </c>
      <c r="O929">
        <v>60</v>
      </c>
      <c r="Q929">
        <f t="shared" si="35"/>
        <v>5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5</v>
      </c>
      <c r="X929" s="21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f t="shared" si="36"/>
        <v>480</v>
      </c>
      <c r="AP929" t="s">
        <v>41</v>
      </c>
    </row>
    <row r="930" spans="1:42">
      <c r="A930" s="1">
        <v>43780</v>
      </c>
      <c r="B930">
        <v>1</v>
      </c>
      <c r="C930">
        <v>201</v>
      </c>
      <c r="D930">
        <v>10381</v>
      </c>
      <c r="E930" t="s">
        <v>37</v>
      </c>
      <c r="F930" t="s">
        <v>436</v>
      </c>
      <c r="H930">
        <v>15</v>
      </c>
      <c r="I930" s="25">
        <v>1</v>
      </c>
      <c r="K930" t="s">
        <v>98</v>
      </c>
      <c r="N930" t="s">
        <v>40</v>
      </c>
      <c r="O930">
        <v>60</v>
      </c>
      <c r="Q930">
        <f t="shared" si="35"/>
        <v>0</v>
      </c>
      <c r="R930">
        <v>1</v>
      </c>
      <c r="S930">
        <v>0</v>
      </c>
      <c r="T930">
        <v>0</v>
      </c>
      <c r="U930">
        <v>0</v>
      </c>
      <c r="V930">
        <v>0</v>
      </c>
      <c r="W930">
        <v>0</v>
      </c>
      <c r="X930" s="21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f t="shared" si="36"/>
        <v>0</v>
      </c>
      <c r="AP930" t="s">
        <v>41</v>
      </c>
    </row>
    <row r="931" spans="1:42">
      <c r="A931" s="1">
        <v>43780</v>
      </c>
      <c r="B931">
        <v>1</v>
      </c>
      <c r="C931">
        <v>201</v>
      </c>
      <c r="D931">
        <v>10381</v>
      </c>
      <c r="E931" t="s">
        <v>37</v>
      </c>
      <c r="F931" t="s">
        <v>436</v>
      </c>
      <c r="H931">
        <v>16</v>
      </c>
      <c r="I931" s="25">
        <v>760</v>
      </c>
      <c r="K931" t="s">
        <v>73</v>
      </c>
      <c r="N931" t="s">
        <v>40</v>
      </c>
      <c r="Q931">
        <f t="shared" si="35"/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 s="2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f t="shared" si="36"/>
        <v>0</v>
      </c>
      <c r="AP931" t="s">
        <v>41</v>
      </c>
    </row>
    <row r="932" spans="1:42">
      <c r="A932" s="1">
        <v>43780</v>
      </c>
      <c r="B932">
        <v>1</v>
      </c>
      <c r="C932">
        <v>201</v>
      </c>
      <c r="D932">
        <v>10381</v>
      </c>
      <c r="E932" t="s">
        <v>37</v>
      </c>
      <c r="F932" t="s">
        <v>436</v>
      </c>
      <c r="H932">
        <v>17</v>
      </c>
      <c r="I932" s="25">
        <v>768</v>
      </c>
      <c r="K932" t="s">
        <v>73</v>
      </c>
      <c r="N932" t="s">
        <v>40</v>
      </c>
      <c r="Q932">
        <f t="shared" si="35"/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 s="21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f t="shared" si="36"/>
        <v>0</v>
      </c>
      <c r="AP932" t="s">
        <v>41</v>
      </c>
    </row>
    <row r="933" spans="1:42">
      <c r="A933" s="1">
        <v>43780</v>
      </c>
      <c r="B933">
        <v>1</v>
      </c>
      <c r="C933">
        <v>201</v>
      </c>
      <c r="D933">
        <v>10381</v>
      </c>
      <c r="E933" t="s">
        <v>37</v>
      </c>
      <c r="F933" t="s">
        <v>436</v>
      </c>
      <c r="H933">
        <v>18</v>
      </c>
      <c r="I933" s="25">
        <v>774</v>
      </c>
      <c r="K933" t="s">
        <v>73</v>
      </c>
      <c r="N933" t="s">
        <v>40</v>
      </c>
      <c r="O933">
        <v>45</v>
      </c>
      <c r="Q933">
        <f t="shared" si="35"/>
        <v>0</v>
      </c>
      <c r="R933">
        <v>1</v>
      </c>
      <c r="S933">
        <v>0</v>
      </c>
      <c r="T933">
        <v>0</v>
      </c>
      <c r="U933">
        <v>0</v>
      </c>
      <c r="V933">
        <v>0</v>
      </c>
      <c r="W933">
        <v>0</v>
      </c>
      <c r="X933" s="21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f t="shared" si="36"/>
        <v>0</v>
      </c>
      <c r="AP933" t="s">
        <v>41</v>
      </c>
    </row>
    <row r="934" spans="1:42">
      <c r="A934" s="1">
        <v>43780</v>
      </c>
      <c r="B934">
        <v>1</v>
      </c>
      <c r="C934">
        <v>201</v>
      </c>
      <c r="D934">
        <v>10381</v>
      </c>
      <c r="E934" t="s">
        <v>37</v>
      </c>
      <c r="F934" t="s">
        <v>436</v>
      </c>
      <c r="H934">
        <v>19</v>
      </c>
      <c r="I934" s="25">
        <v>780</v>
      </c>
      <c r="K934" t="s">
        <v>73</v>
      </c>
      <c r="N934" t="s">
        <v>40</v>
      </c>
      <c r="O934">
        <v>45</v>
      </c>
      <c r="Q934">
        <f t="shared" si="35"/>
        <v>0</v>
      </c>
      <c r="R934">
        <v>1</v>
      </c>
      <c r="S934">
        <v>0</v>
      </c>
      <c r="T934">
        <v>0</v>
      </c>
      <c r="U934">
        <v>0</v>
      </c>
      <c r="V934">
        <v>0</v>
      </c>
      <c r="W934">
        <v>0</v>
      </c>
      <c r="X934" s="21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f t="shared" si="36"/>
        <v>0</v>
      </c>
      <c r="AP934" t="s">
        <v>41</v>
      </c>
    </row>
    <row r="935" spans="1:42">
      <c r="A935" s="1">
        <v>43780</v>
      </c>
      <c r="B935">
        <v>1</v>
      </c>
      <c r="C935">
        <v>201</v>
      </c>
      <c r="D935">
        <v>10381</v>
      </c>
      <c r="E935" t="s">
        <v>37</v>
      </c>
      <c r="F935" t="s">
        <v>436</v>
      </c>
      <c r="H935">
        <v>20</v>
      </c>
      <c r="I935" s="25">
        <v>2</v>
      </c>
      <c r="K935" t="s">
        <v>50</v>
      </c>
      <c r="N935" t="s">
        <v>40</v>
      </c>
      <c r="O935">
        <v>45</v>
      </c>
      <c r="Q935">
        <f t="shared" si="35"/>
        <v>0</v>
      </c>
      <c r="R935">
        <v>1</v>
      </c>
      <c r="S935">
        <v>0</v>
      </c>
      <c r="T935">
        <v>0</v>
      </c>
      <c r="U935">
        <v>0</v>
      </c>
      <c r="V935">
        <v>0</v>
      </c>
      <c r="W935">
        <v>0</v>
      </c>
      <c r="X935" s="21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f t="shared" si="36"/>
        <v>0</v>
      </c>
      <c r="AP935" t="s">
        <v>41</v>
      </c>
    </row>
    <row r="936" spans="1:42">
      <c r="A936" s="1">
        <v>43780</v>
      </c>
      <c r="B936">
        <v>1</v>
      </c>
      <c r="C936">
        <v>201</v>
      </c>
      <c r="D936">
        <v>10381</v>
      </c>
      <c r="E936" t="s">
        <v>37</v>
      </c>
      <c r="F936" t="s">
        <v>436</v>
      </c>
      <c r="H936">
        <v>21</v>
      </c>
      <c r="I936" s="25">
        <v>900</v>
      </c>
      <c r="K936" t="s">
        <v>73</v>
      </c>
      <c r="N936" t="s">
        <v>40</v>
      </c>
      <c r="P936">
        <v>148</v>
      </c>
      <c r="Q936">
        <f t="shared" si="35"/>
        <v>0</v>
      </c>
      <c r="R936">
        <v>1</v>
      </c>
      <c r="S936">
        <v>0</v>
      </c>
      <c r="T936">
        <v>0</v>
      </c>
      <c r="U936">
        <v>0</v>
      </c>
      <c r="V936">
        <v>0</v>
      </c>
      <c r="W936">
        <v>0</v>
      </c>
      <c r="X936" s="21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f t="shared" si="36"/>
        <v>0</v>
      </c>
      <c r="AL936" t="s">
        <v>437</v>
      </c>
      <c r="AP936" t="s">
        <v>41</v>
      </c>
    </row>
    <row r="937" spans="1:42">
      <c r="A937" s="1">
        <v>43780</v>
      </c>
      <c r="B937">
        <v>1</v>
      </c>
      <c r="C937">
        <v>201</v>
      </c>
      <c r="D937">
        <v>10381</v>
      </c>
      <c r="E937" t="s">
        <v>37</v>
      </c>
      <c r="F937" t="s">
        <v>436</v>
      </c>
      <c r="H937">
        <v>22</v>
      </c>
      <c r="I937" s="25">
        <v>950</v>
      </c>
      <c r="K937" t="s">
        <v>73</v>
      </c>
      <c r="N937" t="s">
        <v>40</v>
      </c>
      <c r="P937">
        <v>59</v>
      </c>
      <c r="Q937">
        <f t="shared" si="35"/>
        <v>0</v>
      </c>
      <c r="R937">
        <v>1</v>
      </c>
      <c r="S937">
        <v>0</v>
      </c>
      <c r="T937">
        <v>0</v>
      </c>
      <c r="U937">
        <v>0</v>
      </c>
      <c r="V937">
        <v>0</v>
      </c>
      <c r="W937">
        <v>0</v>
      </c>
      <c r="X937" s="21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f t="shared" si="36"/>
        <v>0</v>
      </c>
      <c r="AL937" t="s">
        <v>437</v>
      </c>
      <c r="AP937" t="s">
        <v>41</v>
      </c>
    </row>
    <row r="938" spans="1:42">
      <c r="A938" s="1">
        <v>43780</v>
      </c>
      <c r="B938">
        <v>1</v>
      </c>
      <c r="C938">
        <v>201</v>
      </c>
      <c r="D938">
        <v>10381</v>
      </c>
      <c r="E938" t="s">
        <v>37</v>
      </c>
      <c r="F938" t="s">
        <v>436</v>
      </c>
      <c r="H938">
        <v>23</v>
      </c>
      <c r="I938" s="25">
        <v>100</v>
      </c>
      <c r="K938" t="s">
        <v>103</v>
      </c>
      <c r="Q938">
        <f t="shared" si="35"/>
        <v>0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 s="21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f t="shared" si="36"/>
        <v>0</v>
      </c>
      <c r="AL938" t="s">
        <v>437</v>
      </c>
      <c r="AP938" t="s">
        <v>41</v>
      </c>
    </row>
    <row r="939" spans="1:42">
      <c r="A939" s="1">
        <v>43780</v>
      </c>
      <c r="B939">
        <v>1</v>
      </c>
      <c r="C939">
        <v>201</v>
      </c>
      <c r="D939">
        <v>10381</v>
      </c>
      <c r="E939" t="s">
        <v>37</v>
      </c>
      <c r="F939" t="s">
        <v>436</v>
      </c>
      <c r="H939">
        <v>24</v>
      </c>
      <c r="I939" s="25">
        <v>50</v>
      </c>
      <c r="K939" t="s">
        <v>417</v>
      </c>
      <c r="N939" t="s">
        <v>40</v>
      </c>
      <c r="P939">
        <v>59</v>
      </c>
      <c r="Q939">
        <f t="shared" si="35"/>
        <v>0</v>
      </c>
      <c r="R939">
        <v>1</v>
      </c>
      <c r="S939">
        <v>0</v>
      </c>
      <c r="T939">
        <v>0</v>
      </c>
      <c r="U939">
        <v>0</v>
      </c>
      <c r="V939">
        <v>0</v>
      </c>
      <c r="W939">
        <v>0</v>
      </c>
      <c r="X939" s="21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f t="shared" si="36"/>
        <v>0</v>
      </c>
      <c r="AP939" t="s">
        <v>41</v>
      </c>
    </row>
    <row r="940" spans="1:42">
      <c r="A940" s="1">
        <v>43780</v>
      </c>
      <c r="B940">
        <v>1</v>
      </c>
      <c r="C940">
        <v>201</v>
      </c>
      <c r="D940">
        <v>10381</v>
      </c>
      <c r="E940" t="s">
        <v>37</v>
      </c>
      <c r="F940" t="s">
        <v>436</v>
      </c>
      <c r="H940">
        <v>25</v>
      </c>
      <c r="I940" s="25">
        <v>0</v>
      </c>
      <c r="K940" t="s">
        <v>101</v>
      </c>
      <c r="N940" t="s">
        <v>44</v>
      </c>
      <c r="P940">
        <v>73</v>
      </c>
      <c r="Q940">
        <f t="shared" si="35"/>
        <v>0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0</v>
      </c>
      <c r="X940" s="21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f t="shared" si="36"/>
        <v>0</v>
      </c>
      <c r="AP940" t="s">
        <v>41</v>
      </c>
    </row>
    <row r="941" spans="1:42">
      <c r="A941" s="1">
        <v>43780</v>
      </c>
      <c r="B941">
        <v>1</v>
      </c>
      <c r="C941">
        <v>201</v>
      </c>
      <c r="D941">
        <v>10381</v>
      </c>
      <c r="E941" t="s">
        <v>37</v>
      </c>
      <c r="F941" t="s">
        <v>436</v>
      </c>
      <c r="H941">
        <v>26</v>
      </c>
      <c r="I941" s="25">
        <v>200</v>
      </c>
      <c r="K941" t="s">
        <v>101</v>
      </c>
      <c r="N941" t="s">
        <v>42</v>
      </c>
      <c r="P941">
        <v>86</v>
      </c>
      <c r="Q941">
        <f t="shared" si="35"/>
        <v>0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 s="2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f t="shared" si="36"/>
        <v>0</v>
      </c>
      <c r="AP941" t="s">
        <v>41</v>
      </c>
    </row>
    <row r="942" spans="1:42">
      <c r="A942" s="1">
        <v>43780</v>
      </c>
      <c r="B942">
        <v>1</v>
      </c>
      <c r="C942">
        <v>201</v>
      </c>
      <c r="D942">
        <v>10381</v>
      </c>
      <c r="E942" t="s">
        <v>37</v>
      </c>
      <c r="F942" t="s">
        <v>436</v>
      </c>
      <c r="H942">
        <v>27</v>
      </c>
      <c r="I942" s="25">
        <v>300</v>
      </c>
      <c r="K942" t="s">
        <v>100</v>
      </c>
      <c r="N942" t="s">
        <v>44</v>
      </c>
      <c r="P942">
        <v>67</v>
      </c>
      <c r="Q942">
        <f t="shared" si="35"/>
        <v>0</v>
      </c>
      <c r="R942">
        <v>1</v>
      </c>
      <c r="S942">
        <v>0</v>
      </c>
      <c r="T942">
        <v>0</v>
      </c>
      <c r="U942">
        <v>0</v>
      </c>
      <c r="V942">
        <v>0</v>
      </c>
      <c r="W942">
        <v>0</v>
      </c>
      <c r="X942" s="21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f t="shared" si="36"/>
        <v>0</v>
      </c>
      <c r="AP942" t="s">
        <v>41</v>
      </c>
    </row>
    <row r="943" spans="1:42">
      <c r="A943" s="1">
        <v>43780</v>
      </c>
      <c r="B943">
        <v>1</v>
      </c>
      <c r="C943">
        <v>201</v>
      </c>
      <c r="D943">
        <v>10381</v>
      </c>
      <c r="E943" t="s">
        <v>37</v>
      </c>
      <c r="F943" t="s">
        <v>436</v>
      </c>
      <c r="H943">
        <v>28</v>
      </c>
      <c r="I943" s="25">
        <v>501</v>
      </c>
      <c r="K943" t="s">
        <v>98</v>
      </c>
      <c r="N943" t="s">
        <v>42</v>
      </c>
      <c r="P943">
        <v>250</v>
      </c>
      <c r="Q943">
        <f t="shared" si="35"/>
        <v>0</v>
      </c>
      <c r="R943">
        <v>1</v>
      </c>
      <c r="S943">
        <v>0</v>
      </c>
      <c r="T943">
        <v>0</v>
      </c>
      <c r="U943">
        <v>0</v>
      </c>
      <c r="V943">
        <v>0</v>
      </c>
      <c r="W943">
        <v>0</v>
      </c>
      <c r="X943" s="21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f t="shared" si="36"/>
        <v>0</v>
      </c>
      <c r="AP943" t="s">
        <v>41</v>
      </c>
    </row>
    <row r="944" spans="1:42">
      <c r="A944" s="1">
        <v>43780</v>
      </c>
      <c r="B944">
        <v>1</v>
      </c>
      <c r="C944">
        <v>201</v>
      </c>
      <c r="D944">
        <v>10381</v>
      </c>
      <c r="E944" t="s">
        <v>37</v>
      </c>
      <c r="F944" t="s">
        <v>436</v>
      </c>
      <c r="H944">
        <v>29</v>
      </c>
      <c r="I944" s="25">
        <v>400</v>
      </c>
      <c r="K944" t="s">
        <v>103</v>
      </c>
      <c r="Q944">
        <f t="shared" si="35"/>
        <v>0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 s="21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f t="shared" si="36"/>
        <v>0</v>
      </c>
      <c r="AL944" t="s">
        <v>438</v>
      </c>
      <c r="AP944" t="s">
        <v>41</v>
      </c>
    </row>
    <row r="945" spans="1:42">
      <c r="A945" s="1">
        <v>43780</v>
      </c>
      <c r="B945">
        <v>1</v>
      </c>
      <c r="C945">
        <v>201</v>
      </c>
      <c r="D945">
        <v>10381</v>
      </c>
      <c r="E945" t="s">
        <v>37</v>
      </c>
      <c r="F945" t="s">
        <v>436</v>
      </c>
      <c r="H945">
        <v>30</v>
      </c>
      <c r="I945" s="25">
        <v>300</v>
      </c>
      <c r="K945" t="s">
        <v>103</v>
      </c>
      <c r="N945" t="s">
        <v>42</v>
      </c>
      <c r="P945">
        <v>624</v>
      </c>
      <c r="Q945">
        <f t="shared" si="35"/>
        <v>0</v>
      </c>
      <c r="R945">
        <v>1</v>
      </c>
      <c r="S945">
        <v>0</v>
      </c>
      <c r="T945">
        <v>0</v>
      </c>
      <c r="U945">
        <v>0</v>
      </c>
      <c r="V945">
        <v>0</v>
      </c>
      <c r="W945">
        <v>0</v>
      </c>
      <c r="X945" s="21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f t="shared" si="36"/>
        <v>0</v>
      </c>
      <c r="AP945" t="s">
        <v>41</v>
      </c>
    </row>
    <row r="946" spans="1:42">
      <c r="A946" s="1">
        <v>43780</v>
      </c>
      <c r="B946">
        <v>1</v>
      </c>
      <c r="C946">
        <v>201</v>
      </c>
      <c r="D946">
        <v>10381</v>
      </c>
      <c r="E946" t="s">
        <v>37</v>
      </c>
      <c r="F946" t="s">
        <v>436</v>
      </c>
      <c r="H946">
        <v>31</v>
      </c>
      <c r="I946" s="25">
        <v>200</v>
      </c>
      <c r="K946" t="s">
        <v>103</v>
      </c>
      <c r="N946" t="s">
        <v>42</v>
      </c>
      <c r="P946">
        <v>197</v>
      </c>
      <c r="Q946">
        <f t="shared" si="35"/>
        <v>0</v>
      </c>
      <c r="R946">
        <v>1</v>
      </c>
      <c r="S946">
        <v>0</v>
      </c>
      <c r="T946">
        <v>0</v>
      </c>
      <c r="U946">
        <v>0</v>
      </c>
      <c r="V946">
        <v>0</v>
      </c>
      <c r="W946">
        <v>0</v>
      </c>
      <c r="X946" s="21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f t="shared" si="36"/>
        <v>0</v>
      </c>
      <c r="AP946" t="s">
        <v>41</v>
      </c>
    </row>
    <row r="947" spans="1:42">
      <c r="A947" s="1">
        <v>43780</v>
      </c>
      <c r="B947">
        <v>1</v>
      </c>
      <c r="C947">
        <v>201</v>
      </c>
      <c r="D947">
        <v>10381</v>
      </c>
      <c r="E947" t="s">
        <v>37</v>
      </c>
      <c r="F947" t="s">
        <v>436</v>
      </c>
      <c r="H947">
        <v>32</v>
      </c>
      <c r="I947" s="25">
        <v>0</v>
      </c>
      <c r="K947" t="s">
        <v>103</v>
      </c>
      <c r="N947" t="s">
        <v>42</v>
      </c>
      <c r="P947">
        <v>110</v>
      </c>
      <c r="Q947">
        <f t="shared" si="35"/>
        <v>0</v>
      </c>
      <c r="R947">
        <v>1</v>
      </c>
      <c r="S947">
        <v>0</v>
      </c>
      <c r="T947">
        <v>0</v>
      </c>
      <c r="U947">
        <v>0</v>
      </c>
      <c r="V947">
        <v>0</v>
      </c>
      <c r="W947">
        <v>0</v>
      </c>
      <c r="X947" s="21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f t="shared" si="36"/>
        <v>0</v>
      </c>
      <c r="AP947" t="s">
        <v>41</v>
      </c>
    </row>
    <row r="948" spans="1:42">
      <c r="A948" s="1">
        <v>43780</v>
      </c>
      <c r="B948">
        <v>1</v>
      </c>
      <c r="C948">
        <v>201</v>
      </c>
      <c r="D948">
        <v>10381</v>
      </c>
      <c r="E948" t="s">
        <v>37</v>
      </c>
      <c r="F948" t="s">
        <v>436</v>
      </c>
      <c r="H948">
        <v>33</v>
      </c>
      <c r="I948" s="25">
        <v>0</v>
      </c>
      <c r="K948" t="s">
        <v>96</v>
      </c>
      <c r="P948">
        <v>355</v>
      </c>
      <c r="Q948">
        <f t="shared" si="35"/>
        <v>0</v>
      </c>
      <c r="R948">
        <v>1</v>
      </c>
      <c r="S948">
        <v>0</v>
      </c>
      <c r="T948">
        <v>0</v>
      </c>
      <c r="U948">
        <v>0</v>
      </c>
      <c r="V948">
        <v>0</v>
      </c>
      <c r="W948">
        <v>0</v>
      </c>
      <c r="X948" s="21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f t="shared" si="36"/>
        <v>0</v>
      </c>
      <c r="AP948" t="s">
        <v>41</v>
      </c>
    </row>
    <row r="949" spans="1:42">
      <c r="A949" s="1">
        <v>43780</v>
      </c>
      <c r="B949">
        <v>1</v>
      </c>
      <c r="C949">
        <v>201</v>
      </c>
      <c r="D949">
        <v>10381</v>
      </c>
      <c r="E949" t="s">
        <v>37</v>
      </c>
      <c r="F949" t="s">
        <v>436</v>
      </c>
      <c r="H949">
        <v>34</v>
      </c>
      <c r="I949" s="25">
        <v>100</v>
      </c>
      <c r="K949" t="s">
        <v>96</v>
      </c>
      <c r="P949">
        <v>301</v>
      </c>
      <c r="Q949">
        <f t="shared" si="35"/>
        <v>0</v>
      </c>
      <c r="R949">
        <v>1</v>
      </c>
      <c r="S949">
        <v>0</v>
      </c>
      <c r="T949">
        <v>0</v>
      </c>
      <c r="U949">
        <v>0</v>
      </c>
      <c r="V949">
        <v>0</v>
      </c>
      <c r="W949">
        <v>0</v>
      </c>
      <c r="X949" s="21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f t="shared" si="36"/>
        <v>0</v>
      </c>
      <c r="AP949" t="s">
        <v>41</v>
      </c>
    </row>
    <row r="950" spans="1:42">
      <c r="A950" s="1">
        <v>43780</v>
      </c>
      <c r="B950">
        <v>1</v>
      </c>
      <c r="C950">
        <v>201</v>
      </c>
      <c r="D950">
        <v>10381</v>
      </c>
      <c r="E950" t="s">
        <v>37</v>
      </c>
      <c r="F950" t="s">
        <v>436</v>
      </c>
      <c r="H950">
        <v>35</v>
      </c>
      <c r="I950" s="25">
        <v>200</v>
      </c>
      <c r="K950" t="s">
        <v>94</v>
      </c>
      <c r="P950">
        <v>235</v>
      </c>
      <c r="Q950">
        <f t="shared" si="35"/>
        <v>0</v>
      </c>
      <c r="R950">
        <v>1</v>
      </c>
      <c r="S950">
        <v>0</v>
      </c>
      <c r="T950">
        <v>0</v>
      </c>
      <c r="U950">
        <v>0</v>
      </c>
      <c r="V950">
        <v>0</v>
      </c>
      <c r="W950">
        <v>0</v>
      </c>
      <c r="X950" s="21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f t="shared" si="36"/>
        <v>0</v>
      </c>
      <c r="AP950" t="s">
        <v>41</v>
      </c>
    </row>
    <row r="951" spans="1:42">
      <c r="A951" s="1">
        <v>43780</v>
      </c>
      <c r="B951">
        <v>1</v>
      </c>
      <c r="C951">
        <v>201</v>
      </c>
      <c r="D951">
        <v>10381</v>
      </c>
      <c r="E951" t="s">
        <v>37</v>
      </c>
      <c r="F951" t="s">
        <v>436</v>
      </c>
      <c r="H951">
        <v>36</v>
      </c>
      <c r="I951" s="25">
        <v>100</v>
      </c>
      <c r="K951" t="s">
        <v>94</v>
      </c>
      <c r="P951">
        <v>429</v>
      </c>
      <c r="Q951">
        <f t="shared" si="35"/>
        <v>0</v>
      </c>
      <c r="R951">
        <v>1</v>
      </c>
      <c r="S951">
        <v>0</v>
      </c>
      <c r="T951">
        <v>0</v>
      </c>
      <c r="U951">
        <v>0</v>
      </c>
      <c r="V951">
        <v>0</v>
      </c>
      <c r="W951">
        <v>0</v>
      </c>
      <c r="X951" s="2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f t="shared" si="36"/>
        <v>0</v>
      </c>
      <c r="AP951" t="s">
        <v>41</v>
      </c>
    </row>
    <row r="952" spans="1:42">
      <c r="A952" s="1">
        <v>43780</v>
      </c>
      <c r="B952">
        <v>1</v>
      </c>
      <c r="C952">
        <v>201</v>
      </c>
      <c r="D952">
        <v>10381</v>
      </c>
      <c r="E952" t="s">
        <v>37</v>
      </c>
      <c r="F952" t="s">
        <v>436</v>
      </c>
      <c r="H952">
        <v>37</v>
      </c>
      <c r="I952" s="25">
        <v>0</v>
      </c>
      <c r="K952" t="s">
        <v>94</v>
      </c>
      <c r="P952">
        <v>80</v>
      </c>
      <c r="Q952">
        <f t="shared" si="35"/>
        <v>0</v>
      </c>
      <c r="R952">
        <v>1</v>
      </c>
      <c r="S952">
        <v>0</v>
      </c>
      <c r="T952">
        <v>0</v>
      </c>
      <c r="U952">
        <v>0</v>
      </c>
      <c r="V952">
        <v>0</v>
      </c>
      <c r="W952">
        <v>0</v>
      </c>
      <c r="X952" s="21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f t="shared" si="36"/>
        <v>0</v>
      </c>
      <c r="AP952" t="s">
        <v>41</v>
      </c>
    </row>
    <row r="953" spans="1:42">
      <c r="A953" s="1">
        <v>43780</v>
      </c>
      <c r="B953">
        <v>1</v>
      </c>
      <c r="C953">
        <v>201</v>
      </c>
      <c r="D953">
        <v>10381</v>
      </c>
      <c r="E953" t="s">
        <v>37</v>
      </c>
      <c r="F953" t="s">
        <v>436</v>
      </c>
      <c r="H953">
        <v>38</v>
      </c>
      <c r="I953" s="25">
        <v>200</v>
      </c>
      <c r="K953" t="s">
        <v>439</v>
      </c>
      <c r="Q953">
        <f t="shared" si="35"/>
        <v>0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0</v>
      </c>
      <c r="X953" s="21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f t="shared" si="36"/>
        <v>0</v>
      </c>
      <c r="AP953" t="s">
        <v>41</v>
      </c>
    </row>
    <row r="954" spans="1:42">
      <c r="A954" s="1">
        <v>43780</v>
      </c>
      <c r="B954">
        <v>1</v>
      </c>
      <c r="C954">
        <v>201</v>
      </c>
      <c r="D954">
        <v>10381</v>
      </c>
      <c r="E954" t="s">
        <v>37</v>
      </c>
      <c r="F954" t="s">
        <v>436</v>
      </c>
      <c r="H954">
        <v>39</v>
      </c>
      <c r="I954" s="25">
        <v>200</v>
      </c>
      <c r="K954" t="s">
        <v>98</v>
      </c>
      <c r="P954">
        <v>110</v>
      </c>
      <c r="Q954">
        <f t="shared" si="35"/>
        <v>0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0</v>
      </c>
      <c r="X954" s="21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f t="shared" si="36"/>
        <v>0</v>
      </c>
      <c r="AP954" t="s">
        <v>41</v>
      </c>
    </row>
    <row r="955" spans="1:42">
      <c r="A955" s="1">
        <v>43780</v>
      </c>
      <c r="B955">
        <v>1</v>
      </c>
      <c r="C955">
        <v>201</v>
      </c>
      <c r="D955">
        <v>10381</v>
      </c>
      <c r="E955" t="s">
        <v>37</v>
      </c>
      <c r="F955" t="s">
        <v>436</v>
      </c>
      <c r="H955">
        <v>40</v>
      </c>
      <c r="I955" s="25">
        <v>219</v>
      </c>
      <c r="K955" t="s">
        <v>407</v>
      </c>
      <c r="P955">
        <v>30</v>
      </c>
      <c r="Q955">
        <f t="shared" si="35"/>
        <v>0</v>
      </c>
      <c r="R955">
        <v>1</v>
      </c>
      <c r="S955">
        <v>0</v>
      </c>
      <c r="T955">
        <v>0</v>
      </c>
      <c r="U955">
        <v>0</v>
      </c>
      <c r="V955">
        <v>0</v>
      </c>
      <c r="W955">
        <v>0</v>
      </c>
      <c r="X955" s="21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f t="shared" si="36"/>
        <v>0</v>
      </c>
      <c r="AP955" t="s">
        <v>41</v>
      </c>
    </row>
    <row r="956" spans="1:42">
      <c r="A956" s="1">
        <v>43780</v>
      </c>
      <c r="B956">
        <v>1</v>
      </c>
      <c r="C956">
        <v>201</v>
      </c>
      <c r="D956">
        <v>10381</v>
      </c>
      <c r="E956" t="s">
        <v>37</v>
      </c>
      <c r="F956" t="s">
        <v>436</v>
      </c>
      <c r="H956">
        <v>41</v>
      </c>
      <c r="I956" s="25">
        <v>100</v>
      </c>
      <c r="K956" t="s">
        <v>407</v>
      </c>
      <c r="P956">
        <v>300</v>
      </c>
      <c r="Q956">
        <f t="shared" si="35"/>
        <v>0</v>
      </c>
      <c r="R956">
        <v>1</v>
      </c>
      <c r="S956">
        <v>0</v>
      </c>
      <c r="T956">
        <v>0</v>
      </c>
      <c r="U956">
        <v>0</v>
      </c>
      <c r="V956">
        <v>0</v>
      </c>
      <c r="W956">
        <v>0</v>
      </c>
      <c r="X956" s="21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f t="shared" si="36"/>
        <v>0</v>
      </c>
      <c r="AP956" t="s">
        <v>41</v>
      </c>
    </row>
    <row r="957" spans="1:42">
      <c r="A957" s="1">
        <v>43780</v>
      </c>
      <c r="B957">
        <v>1</v>
      </c>
      <c r="C957">
        <v>201</v>
      </c>
      <c r="D957">
        <v>10381</v>
      </c>
      <c r="E957" t="s">
        <v>37</v>
      </c>
      <c r="F957" t="s">
        <v>436</v>
      </c>
      <c r="H957">
        <v>42</v>
      </c>
      <c r="I957" s="25">
        <v>100</v>
      </c>
      <c r="K957" t="s">
        <v>100</v>
      </c>
      <c r="P957">
        <v>135</v>
      </c>
      <c r="Q957">
        <f t="shared" si="35"/>
        <v>0</v>
      </c>
      <c r="R957">
        <v>1</v>
      </c>
      <c r="S957">
        <v>0</v>
      </c>
      <c r="T957">
        <v>0</v>
      </c>
      <c r="U957">
        <v>0</v>
      </c>
      <c r="V957">
        <v>0</v>
      </c>
      <c r="W957">
        <v>0</v>
      </c>
      <c r="X957" s="21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f t="shared" si="36"/>
        <v>0</v>
      </c>
      <c r="AP957" t="s">
        <v>41</v>
      </c>
    </row>
    <row r="958" spans="1:42">
      <c r="A958" s="1">
        <v>43780</v>
      </c>
      <c r="B958">
        <v>1</v>
      </c>
      <c r="C958">
        <v>201</v>
      </c>
      <c r="D958">
        <v>10381</v>
      </c>
      <c r="E958" t="s">
        <v>37</v>
      </c>
      <c r="F958" t="s">
        <v>436</v>
      </c>
      <c r="H958">
        <v>43</v>
      </c>
      <c r="I958" s="25">
        <v>200</v>
      </c>
      <c r="K958" t="s">
        <v>100</v>
      </c>
      <c r="P958">
        <v>187</v>
      </c>
      <c r="Q958">
        <f t="shared" si="35"/>
        <v>0</v>
      </c>
      <c r="R958">
        <v>1</v>
      </c>
      <c r="S958">
        <v>0</v>
      </c>
      <c r="T958">
        <v>0</v>
      </c>
      <c r="U958">
        <v>0</v>
      </c>
      <c r="V958">
        <v>0</v>
      </c>
      <c r="W958">
        <v>0</v>
      </c>
      <c r="X958" s="21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f t="shared" si="36"/>
        <v>0</v>
      </c>
      <c r="AP958" t="s">
        <v>41</v>
      </c>
    </row>
    <row r="959" spans="1:42">
      <c r="A959" s="1">
        <v>43780</v>
      </c>
      <c r="B959">
        <v>1</v>
      </c>
      <c r="C959">
        <v>201</v>
      </c>
      <c r="D959">
        <v>10381</v>
      </c>
      <c r="E959" t="s">
        <v>37</v>
      </c>
      <c r="F959" t="s">
        <v>436</v>
      </c>
      <c r="H959">
        <v>44</v>
      </c>
      <c r="I959" s="25">
        <v>300</v>
      </c>
      <c r="K959" t="s">
        <v>101</v>
      </c>
      <c r="P959">
        <v>40</v>
      </c>
      <c r="Q959">
        <f t="shared" si="35"/>
        <v>0</v>
      </c>
      <c r="R959">
        <v>1</v>
      </c>
      <c r="S959">
        <v>0</v>
      </c>
      <c r="T959">
        <v>0</v>
      </c>
      <c r="U959">
        <v>0</v>
      </c>
      <c r="V959">
        <v>0</v>
      </c>
      <c r="W959">
        <v>0</v>
      </c>
      <c r="X959" s="21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f t="shared" si="36"/>
        <v>0</v>
      </c>
      <c r="AP959" t="s">
        <v>41</v>
      </c>
    </row>
    <row r="960" spans="1:42">
      <c r="A960" s="1">
        <v>43780</v>
      </c>
      <c r="B960">
        <v>1</v>
      </c>
      <c r="C960">
        <v>201</v>
      </c>
      <c r="D960">
        <v>10381</v>
      </c>
      <c r="E960" t="s">
        <v>37</v>
      </c>
      <c r="F960" t="s">
        <v>436</v>
      </c>
      <c r="H960">
        <v>45</v>
      </c>
      <c r="I960" s="25">
        <v>400</v>
      </c>
      <c r="K960" t="s">
        <v>101</v>
      </c>
      <c r="P960">
        <v>106</v>
      </c>
      <c r="Q960">
        <f t="shared" si="35"/>
        <v>0</v>
      </c>
      <c r="R960">
        <v>1</v>
      </c>
      <c r="S960">
        <v>0</v>
      </c>
      <c r="T960">
        <v>0</v>
      </c>
      <c r="U960">
        <v>0</v>
      </c>
      <c r="V960">
        <v>0</v>
      </c>
      <c r="W960">
        <v>0</v>
      </c>
      <c r="X960" s="21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f t="shared" si="36"/>
        <v>0</v>
      </c>
      <c r="AP960" t="s">
        <v>41</v>
      </c>
    </row>
    <row r="961" spans="1:42">
      <c r="A961" s="1">
        <v>43780</v>
      </c>
      <c r="B961">
        <v>1</v>
      </c>
      <c r="C961">
        <v>201</v>
      </c>
      <c r="D961">
        <v>10381</v>
      </c>
      <c r="E961" t="s">
        <v>37</v>
      </c>
      <c r="F961" t="s">
        <v>436</v>
      </c>
      <c r="H961">
        <v>46</v>
      </c>
      <c r="I961" s="25">
        <v>300</v>
      </c>
      <c r="K961" t="s">
        <v>98</v>
      </c>
      <c r="P961">
        <v>90</v>
      </c>
      <c r="Q961">
        <f t="shared" si="35"/>
        <v>0</v>
      </c>
      <c r="R961">
        <v>1</v>
      </c>
      <c r="S961">
        <v>0</v>
      </c>
      <c r="T961">
        <v>0</v>
      </c>
      <c r="U961">
        <v>0</v>
      </c>
      <c r="V961">
        <v>0</v>
      </c>
      <c r="W961">
        <v>0</v>
      </c>
      <c r="X961" s="2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f t="shared" si="36"/>
        <v>0</v>
      </c>
      <c r="AP961" t="s">
        <v>41</v>
      </c>
    </row>
    <row r="962" spans="1:42">
      <c r="A962" s="1">
        <v>43780</v>
      </c>
      <c r="B962">
        <v>1</v>
      </c>
      <c r="C962">
        <v>201</v>
      </c>
      <c r="D962">
        <v>10381</v>
      </c>
      <c r="E962" t="s">
        <v>37</v>
      </c>
      <c r="F962" t="s">
        <v>436</v>
      </c>
      <c r="H962">
        <v>47</v>
      </c>
      <c r="I962" s="25">
        <v>253</v>
      </c>
      <c r="K962" t="s">
        <v>102</v>
      </c>
      <c r="P962">
        <v>29</v>
      </c>
      <c r="Q962">
        <f t="shared" si="35"/>
        <v>0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0</v>
      </c>
      <c r="X962" s="21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f t="shared" si="36"/>
        <v>0</v>
      </c>
      <c r="AL962" t="s">
        <v>440</v>
      </c>
      <c r="AP962" t="s">
        <v>41</v>
      </c>
    </row>
    <row r="963" spans="1:42">
      <c r="A963" s="1">
        <v>43780</v>
      </c>
      <c r="B963">
        <v>1</v>
      </c>
      <c r="C963">
        <v>201</v>
      </c>
      <c r="D963">
        <v>10381</v>
      </c>
      <c r="E963" t="s">
        <v>37</v>
      </c>
      <c r="F963" t="s">
        <v>436</v>
      </c>
      <c r="H963">
        <v>48</v>
      </c>
      <c r="I963" s="25">
        <v>100</v>
      </c>
      <c r="K963" t="s">
        <v>102</v>
      </c>
      <c r="P963">
        <v>182</v>
      </c>
      <c r="Q963">
        <f t="shared" si="35"/>
        <v>0</v>
      </c>
      <c r="R963">
        <v>1</v>
      </c>
      <c r="S963">
        <v>0</v>
      </c>
      <c r="T963">
        <v>0</v>
      </c>
      <c r="U963">
        <v>0</v>
      </c>
      <c r="V963">
        <v>0</v>
      </c>
      <c r="W963">
        <v>0</v>
      </c>
      <c r="X963" s="21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f t="shared" si="36"/>
        <v>0</v>
      </c>
      <c r="AP963" t="s">
        <v>41</v>
      </c>
    </row>
    <row r="964" spans="1:42">
      <c r="A964" s="1">
        <v>43780</v>
      </c>
      <c r="B964">
        <v>1</v>
      </c>
      <c r="C964">
        <v>201</v>
      </c>
      <c r="D964">
        <v>10381</v>
      </c>
      <c r="E964" t="s">
        <v>37</v>
      </c>
      <c r="F964" t="s">
        <v>436</v>
      </c>
      <c r="H964">
        <v>49</v>
      </c>
      <c r="I964" s="25" t="s">
        <v>441</v>
      </c>
      <c r="K964" t="s">
        <v>102</v>
      </c>
      <c r="P964">
        <v>258</v>
      </c>
      <c r="Q964">
        <f t="shared" si="35"/>
        <v>0</v>
      </c>
      <c r="R964">
        <v>1</v>
      </c>
      <c r="S964">
        <v>0</v>
      </c>
      <c r="T964">
        <v>0</v>
      </c>
      <c r="U964">
        <v>0</v>
      </c>
      <c r="V964">
        <v>0</v>
      </c>
      <c r="W964">
        <v>0</v>
      </c>
      <c r="X964" s="21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f t="shared" si="36"/>
        <v>0</v>
      </c>
      <c r="AP964" t="s">
        <v>41</v>
      </c>
    </row>
    <row r="965" spans="1:42">
      <c r="A965" s="1">
        <v>43780</v>
      </c>
      <c r="B965">
        <v>1</v>
      </c>
      <c r="C965">
        <v>201</v>
      </c>
      <c r="D965">
        <v>10381</v>
      </c>
      <c r="E965" t="s">
        <v>37</v>
      </c>
      <c r="F965" t="s">
        <v>436</v>
      </c>
      <c r="H965">
        <v>50</v>
      </c>
      <c r="I965" s="25">
        <v>50</v>
      </c>
      <c r="K965" t="s">
        <v>439</v>
      </c>
      <c r="P965">
        <v>31</v>
      </c>
      <c r="Q965">
        <f t="shared" si="35"/>
        <v>0</v>
      </c>
      <c r="R965">
        <v>1</v>
      </c>
      <c r="S965">
        <v>0</v>
      </c>
      <c r="T965">
        <v>0</v>
      </c>
      <c r="U965">
        <v>0</v>
      </c>
      <c r="V965">
        <v>0</v>
      </c>
      <c r="W965">
        <v>0</v>
      </c>
      <c r="X965" s="21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f t="shared" si="36"/>
        <v>0</v>
      </c>
      <c r="AP965" t="s">
        <v>41</v>
      </c>
    </row>
    <row r="966" spans="1:42">
      <c r="A966" s="1">
        <v>43780</v>
      </c>
      <c r="B966">
        <v>1</v>
      </c>
      <c r="C966">
        <v>201</v>
      </c>
      <c r="D966">
        <v>10381</v>
      </c>
      <c r="E966" t="s">
        <v>37</v>
      </c>
      <c r="F966" t="s">
        <v>436</v>
      </c>
      <c r="H966">
        <v>51</v>
      </c>
      <c r="I966" s="25">
        <v>1</v>
      </c>
      <c r="K966" t="s">
        <v>407</v>
      </c>
      <c r="P966">
        <v>65</v>
      </c>
      <c r="Q966">
        <f t="shared" si="35"/>
        <v>0</v>
      </c>
      <c r="R966">
        <v>1</v>
      </c>
      <c r="S966">
        <v>0</v>
      </c>
      <c r="T966">
        <v>0</v>
      </c>
      <c r="U966">
        <v>0</v>
      </c>
      <c r="V966">
        <v>0</v>
      </c>
      <c r="W966">
        <v>0</v>
      </c>
      <c r="X966" s="21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f t="shared" si="36"/>
        <v>0</v>
      </c>
      <c r="AP966" t="s">
        <v>41</v>
      </c>
    </row>
    <row r="967" spans="1:42">
      <c r="A967" s="1">
        <v>43780</v>
      </c>
      <c r="B967">
        <v>1</v>
      </c>
      <c r="C967">
        <v>201</v>
      </c>
      <c r="D967">
        <v>10381</v>
      </c>
      <c r="E967" t="s">
        <v>37</v>
      </c>
      <c r="F967" t="s">
        <v>436</v>
      </c>
      <c r="H967">
        <v>52</v>
      </c>
      <c r="I967" s="25">
        <v>232</v>
      </c>
      <c r="K967" t="s">
        <v>98</v>
      </c>
      <c r="P967">
        <v>134</v>
      </c>
      <c r="Q967">
        <f t="shared" si="35"/>
        <v>0</v>
      </c>
      <c r="R967">
        <v>1</v>
      </c>
      <c r="S967">
        <v>0</v>
      </c>
      <c r="T967">
        <v>0</v>
      </c>
      <c r="U967">
        <v>0</v>
      </c>
      <c r="V967">
        <v>0</v>
      </c>
      <c r="W967">
        <v>0</v>
      </c>
      <c r="X967" s="21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f t="shared" si="36"/>
        <v>0</v>
      </c>
      <c r="AP967" t="s">
        <v>41</v>
      </c>
    </row>
    <row r="968" spans="1:42">
      <c r="A968" s="1">
        <v>43780</v>
      </c>
      <c r="B968">
        <v>1</v>
      </c>
      <c r="C968">
        <v>201</v>
      </c>
      <c r="D968">
        <v>10381</v>
      </c>
      <c r="E968" t="s">
        <v>37</v>
      </c>
      <c r="F968" t="s">
        <v>436</v>
      </c>
      <c r="H968">
        <v>53</v>
      </c>
      <c r="I968" s="25">
        <v>300</v>
      </c>
      <c r="K968" t="s">
        <v>407</v>
      </c>
      <c r="P968">
        <v>134</v>
      </c>
      <c r="Q968">
        <f t="shared" si="35"/>
        <v>0</v>
      </c>
      <c r="R968">
        <v>1</v>
      </c>
      <c r="S968">
        <v>0</v>
      </c>
      <c r="T968">
        <v>0</v>
      </c>
      <c r="U968">
        <v>0</v>
      </c>
      <c r="V968">
        <v>0</v>
      </c>
      <c r="W968">
        <v>0</v>
      </c>
      <c r="X968" s="21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f t="shared" si="36"/>
        <v>0</v>
      </c>
      <c r="AP968" t="s">
        <v>41</v>
      </c>
    </row>
    <row r="969" spans="1:42">
      <c r="A969" s="1">
        <v>43780</v>
      </c>
      <c r="B969">
        <v>1</v>
      </c>
      <c r="C969">
        <v>201</v>
      </c>
      <c r="D969">
        <v>10381</v>
      </c>
      <c r="E969" t="s">
        <v>37</v>
      </c>
      <c r="F969" t="s">
        <v>436</v>
      </c>
      <c r="H969">
        <v>54</v>
      </c>
      <c r="I969" s="25">
        <v>100</v>
      </c>
      <c r="K969" t="s">
        <v>98</v>
      </c>
      <c r="P969">
        <v>71</v>
      </c>
      <c r="Q969">
        <f t="shared" si="35"/>
        <v>0</v>
      </c>
      <c r="R969">
        <v>1</v>
      </c>
      <c r="S969">
        <v>0</v>
      </c>
      <c r="T969">
        <v>0</v>
      </c>
      <c r="U969">
        <v>0</v>
      </c>
      <c r="V969">
        <v>0</v>
      </c>
      <c r="W969">
        <v>0</v>
      </c>
      <c r="X969" s="21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f t="shared" si="36"/>
        <v>0</v>
      </c>
      <c r="AP969" t="s">
        <v>41</v>
      </c>
    </row>
    <row r="970" spans="1:42">
      <c r="A970" s="1">
        <v>43780</v>
      </c>
      <c r="B970">
        <v>1</v>
      </c>
      <c r="C970">
        <v>201</v>
      </c>
      <c r="D970">
        <v>10381</v>
      </c>
      <c r="E970" t="s">
        <v>37</v>
      </c>
      <c r="F970" t="s">
        <v>436</v>
      </c>
      <c r="H970">
        <v>55</v>
      </c>
      <c r="I970" s="25">
        <v>1</v>
      </c>
      <c r="K970" t="s">
        <v>48</v>
      </c>
      <c r="P970">
        <v>73</v>
      </c>
      <c r="Q970">
        <f t="shared" si="35"/>
        <v>0</v>
      </c>
      <c r="R970">
        <v>1</v>
      </c>
      <c r="S970">
        <v>0</v>
      </c>
      <c r="T970">
        <v>0</v>
      </c>
      <c r="U970">
        <v>0</v>
      </c>
      <c r="V970">
        <v>0</v>
      </c>
      <c r="W970">
        <v>0</v>
      </c>
      <c r="X970" s="21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f t="shared" si="36"/>
        <v>0</v>
      </c>
      <c r="AP970" t="s">
        <v>41</v>
      </c>
    </row>
    <row r="971" spans="1:42">
      <c r="A971" s="1">
        <v>43780</v>
      </c>
      <c r="B971">
        <v>1</v>
      </c>
      <c r="C971">
        <v>201</v>
      </c>
      <c r="D971">
        <v>10381</v>
      </c>
      <c r="E971" t="s">
        <v>37</v>
      </c>
      <c r="F971" t="s">
        <v>436</v>
      </c>
      <c r="H971">
        <v>56</v>
      </c>
      <c r="I971" s="25">
        <v>100</v>
      </c>
      <c r="K971" t="s">
        <v>74</v>
      </c>
      <c r="P971">
        <v>310</v>
      </c>
      <c r="Q971">
        <f t="shared" si="35"/>
        <v>0</v>
      </c>
      <c r="R971">
        <v>1</v>
      </c>
      <c r="S971">
        <v>0</v>
      </c>
      <c r="T971">
        <v>0</v>
      </c>
      <c r="U971">
        <v>0</v>
      </c>
      <c r="V971">
        <v>0</v>
      </c>
      <c r="W971">
        <v>0</v>
      </c>
      <c r="X971" s="2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f t="shared" si="36"/>
        <v>0</v>
      </c>
      <c r="AP971" t="s">
        <v>41</v>
      </c>
    </row>
    <row r="972" spans="1:42">
      <c r="A972" s="1">
        <v>43780</v>
      </c>
      <c r="B972">
        <v>1</v>
      </c>
      <c r="C972">
        <v>201</v>
      </c>
      <c r="D972">
        <v>10381</v>
      </c>
      <c r="E972" t="s">
        <v>37</v>
      </c>
      <c r="F972" t="s">
        <v>436</v>
      </c>
      <c r="H972">
        <v>57</v>
      </c>
      <c r="I972" s="25">
        <v>0</v>
      </c>
      <c r="K972" t="s">
        <v>50</v>
      </c>
      <c r="P972">
        <v>70</v>
      </c>
      <c r="Q972">
        <f t="shared" si="35"/>
        <v>0</v>
      </c>
      <c r="R972">
        <v>1</v>
      </c>
      <c r="S972">
        <v>0</v>
      </c>
      <c r="T972">
        <v>0</v>
      </c>
      <c r="U972">
        <v>0</v>
      </c>
      <c r="V972">
        <v>0</v>
      </c>
      <c r="W972">
        <v>0</v>
      </c>
      <c r="X972" s="21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f t="shared" si="36"/>
        <v>0</v>
      </c>
      <c r="AP972" t="s">
        <v>41</v>
      </c>
    </row>
    <row r="973" spans="1:42">
      <c r="A973" s="1">
        <v>43780</v>
      </c>
      <c r="B973">
        <v>1</v>
      </c>
      <c r="C973">
        <v>201</v>
      </c>
      <c r="D973">
        <v>10381</v>
      </c>
      <c r="E973" t="s">
        <v>37</v>
      </c>
      <c r="F973" t="s">
        <v>436</v>
      </c>
      <c r="H973">
        <v>58</v>
      </c>
      <c r="I973" s="25">
        <v>800</v>
      </c>
      <c r="K973" t="s">
        <v>73</v>
      </c>
      <c r="P973">
        <v>376</v>
      </c>
      <c r="Q973">
        <f t="shared" si="35"/>
        <v>0</v>
      </c>
      <c r="R973">
        <v>1</v>
      </c>
      <c r="S973">
        <v>0</v>
      </c>
      <c r="T973">
        <v>0</v>
      </c>
      <c r="U973">
        <v>0</v>
      </c>
      <c r="V973">
        <v>0</v>
      </c>
      <c r="W973">
        <v>0</v>
      </c>
      <c r="X973" s="21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f t="shared" si="36"/>
        <v>0</v>
      </c>
      <c r="AP973" t="s">
        <v>41</v>
      </c>
    </row>
    <row r="974" spans="1:42">
      <c r="A974" s="1">
        <v>43780</v>
      </c>
      <c r="B974">
        <v>1</v>
      </c>
      <c r="C974">
        <v>201</v>
      </c>
      <c r="D974">
        <v>10381</v>
      </c>
      <c r="E974" t="s">
        <v>37</v>
      </c>
      <c r="F974" t="s">
        <v>436</v>
      </c>
      <c r="H974">
        <v>59</v>
      </c>
      <c r="I974" s="25">
        <v>0</v>
      </c>
      <c r="K974" t="s">
        <v>100</v>
      </c>
      <c r="P974">
        <v>130</v>
      </c>
      <c r="Q974">
        <f t="shared" si="35"/>
        <v>0</v>
      </c>
      <c r="R974">
        <v>1</v>
      </c>
      <c r="S974">
        <v>0</v>
      </c>
      <c r="T974">
        <v>0</v>
      </c>
      <c r="U974">
        <v>0</v>
      </c>
      <c r="V974">
        <v>0</v>
      </c>
      <c r="W974">
        <v>0</v>
      </c>
      <c r="X974" s="21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f t="shared" si="36"/>
        <v>0</v>
      </c>
      <c r="AP974" t="s">
        <v>41</v>
      </c>
    </row>
    <row r="975" spans="1:42">
      <c r="A975" s="1">
        <v>43780</v>
      </c>
      <c r="B975">
        <v>1</v>
      </c>
      <c r="C975">
        <v>201</v>
      </c>
      <c r="D975">
        <v>10381</v>
      </c>
      <c r="E975" t="s">
        <v>37</v>
      </c>
      <c r="F975" t="s">
        <v>436</v>
      </c>
      <c r="H975">
        <v>60</v>
      </c>
      <c r="I975" s="25">
        <v>300</v>
      </c>
      <c r="K975" t="s">
        <v>50</v>
      </c>
      <c r="P975">
        <v>105</v>
      </c>
      <c r="Q975">
        <f t="shared" si="35"/>
        <v>0</v>
      </c>
      <c r="R975">
        <v>1</v>
      </c>
      <c r="S975">
        <v>0</v>
      </c>
      <c r="T975">
        <v>0</v>
      </c>
      <c r="U975">
        <v>0</v>
      </c>
      <c r="V975">
        <v>0</v>
      </c>
      <c r="W975">
        <v>0</v>
      </c>
      <c r="X975" s="21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f t="shared" si="36"/>
        <v>0</v>
      </c>
      <c r="AP975" t="s">
        <v>41</v>
      </c>
    </row>
    <row r="976" spans="1:42">
      <c r="A976" s="1">
        <v>43780</v>
      </c>
      <c r="B976">
        <v>1</v>
      </c>
      <c r="C976">
        <v>201</v>
      </c>
      <c r="D976">
        <v>10381</v>
      </c>
      <c r="E976" t="s">
        <v>37</v>
      </c>
      <c r="F976" t="s">
        <v>436</v>
      </c>
      <c r="H976">
        <v>61</v>
      </c>
      <c r="I976" s="25"/>
      <c r="P976">
        <v>88</v>
      </c>
      <c r="Q976">
        <f t="shared" si="35"/>
        <v>0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0</v>
      </c>
      <c r="X976" s="21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f t="shared" si="36"/>
        <v>0</v>
      </c>
      <c r="AP976" t="s">
        <v>41</v>
      </c>
    </row>
    <row r="977" spans="1:42">
      <c r="A977" s="1">
        <v>43780</v>
      </c>
      <c r="B977">
        <v>1</v>
      </c>
      <c r="C977">
        <v>201</v>
      </c>
      <c r="D977">
        <v>10381</v>
      </c>
      <c r="E977" t="s">
        <v>37</v>
      </c>
      <c r="F977" t="s">
        <v>436</v>
      </c>
      <c r="H977">
        <v>62</v>
      </c>
      <c r="I977" s="25">
        <v>669</v>
      </c>
      <c r="K977" t="s">
        <v>49</v>
      </c>
      <c r="P977">
        <v>88</v>
      </c>
      <c r="Q977">
        <f t="shared" si="35"/>
        <v>0</v>
      </c>
      <c r="R977">
        <v>1</v>
      </c>
      <c r="S977">
        <v>0</v>
      </c>
      <c r="T977">
        <v>0</v>
      </c>
      <c r="U977">
        <v>0</v>
      </c>
      <c r="V977">
        <v>0</v>
      </c>
      <c r="W977">
        <v>0</v>
      </c>
      <c r="X977" s="21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f t="shared" si="36"/>
        <v>0</v>
      </c>
      <c r="AP977" t="s">
        <v>41</v>
      </c>
    </row>
    <row r="978" spans="1:42">
      <c r="A978" s="1">
        <v>43780</v>
      </c>
      <c r="B978">
        <v>1</v>
      </c>
      <c r="C978">
        <v>201</v>
      </c>
      <c r="D978">
        <v>10381</v>
      </c>
      <c r="E978" t="s">
        <v>37</v>
      </c>
      <c r="F978" t="s">
        <v>436</v>
      </c>
      <c r="H978">
        <v>63</v>
      </c>
      <c r="I978" s="25"/>
      <c r="Q978">
        <f t="shared" si="35"/>
        <v>0</v>
      </c>
      <c r="R978">
        <v>1</v>
      </c>
      <c r="S978">
        <v>0</v>
      </c>
      <c r="T978">
        <v>0</v>
      </c>
      <c r="U978">
        <v>0</v>
      </c>
      <c r="V978">
        <v>0</v>
      </c>
      <c r="W978">
        <v>0</v>
      </c>
      <c r="X978" s="21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f t="shared" si="36"/>
        <v>0</v>
      </c>
      <c r="AP978" t="s">
        <v>41</v>
      </c>
    </row>
    <row r="979" spans="1:42">
      <c r="A979" s="1">
        <v>43780</v>
      </c>
      <c r="B979">
        <v>1</v>
      </c>
      <c r="C979">
        <v>201</v>
      </c>
      <c r="D979">
        <v>10381</v>
      </c>
      <c r="E979" t="s">
        <v>37</v>
      </c>
      <c r="F979" t="s">
        <v>436</v>
      </c>
      <c r="H979">
        <v>64</v>
      </c>
      <c r="I979" s="25">
        <v>200</v>
      </c>
      <c r="K979" t="s">
        <v>50</v>
      </c>
      <c r="P979">
        <v>215</v>
      </c>
      <c r="Q979">
        <f t="shared" si="35"/>
        <v>0</v>
      </c>
      <c r="R979">
        <v>1</v>
      </c>
      <c r="S979">
        <v>0</v>
      </c>
      <c r="T979">
        <v>0</v>
      </c>
      <c r="U979">
        <v>0</v>
      </c>
      <c r="V979">
        <v>0</v>
      </c>
      <c r="W979">
        <v>0</v>
      </c>
      <c r="X979" s="21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f t="shared" si="36"/>
        <v>0</v>
      </c>
      <c r="AP979" t="s">
        <v>41</v>
      </c>
    </row>
    <row r="980" spans="1:42">
      <c r="A980" s="1">
        <v>43780</v>
      </c>
      <c r="B980">
        <v>1</v>
      </c>
      <c r="C980">
        <v>201</v>
      </c>
      <c r="D980">
        <v>10381</v>
      </c>
      <c r="E980" t="s">
        <v>37</v>
      </c>
      <c r="F980" t="s">
        <v>436</v>
      </c>
      <c r="H980">
        <v>65</v>
      </c>
      <c r="I980" s="25"/>
      <c r="P980">
        <v>215</v>
      </c>
      <c r="Q980">
        <f t="shared" si="35"/>
        <v>0</v>
      </c>
      <c r="R980">
        <v>1</v>
      </c>
      <c r="S980">
        <v>0</v>
      </c>
      <c r="T980">
        <v>0</v>
      </c>
      <c r="U980">
        <v>0</v>
      </c>
      <c r="V980">
        <v>0</v>
      </c>
      <c r="W980">
        <v>0</v>
      </c>
      <c r="X980" s="21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f t="shared" si="36"/>
        <v>0</v>
      </c>
      <c r="AP980" t="s">
        <v>41</v>
      </c>
    </row>
    <row r="981" spans="1:42">
      <c r="A981" s="1">
        <v>43780</v>
      </c>
      <c r="B981">
        <v>1</v>
      </c>
      <c r="C981">
        <v>201</v>
      </c>
      <c r="D981">
        <v>10381</v>
      </c>
      <c r="E981" t="s">
        <v>37</v>
      </c>
      <c r="F981" t="s">
        <v>436</v>
      </c>
      <c r="H981">
        <v>66</v>
      </c>
      <c r="I981" s="25">
        <v>400</v>
      </c>
      <c r="K981" t="s">
        <v>49</v>
      </c>
      <c r="P981">
        <v>296</v>
      </c>
      <c r="Q981">
        <f t="shared" si="35"/>
        <v>0</v>
      </c>
      <c r="R981">
        <v>1</v>
      </c>
      <c r="S981">
        <v>0</v>
      </c>
      <c r="T981">
        <v>0</v>
      </c>
      <c r="U981">
        <v>0</v>
      </c>
      <c r="V981">
        <v>0</v>
      </c>
      <c r="W981">
        <v>0</v>
      </c>
      <c r="X981" s="2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f t="shared" si="36"/>
        <v>0</v>
      </c>
      <c r="AP981" t="s">
        <v>41</v>
      </c>
    </row>
    <row r="982" spans="1:42">
      <c r="A982" s="1">
        <v>43780</v>
      </c>
      <c r="B982">
        <v>1</v>
      </c>
      <c r="C982">
        <v>201</v>
      </c>
      <c r="D982">
        <v>10381</v>
      </c>
      <c r="E982" t="s">
        <v>37</v>
      </c>
      <c r="F982" t="s">
        <v>436</v>
      </c>
      <c r="H982">
        <v>67</v>
      </c>
      <c r="I982" s="25">
        <v>500</v>
      </c>
      <c r="K982" t="s">
        <v>49</v>
      </c>
      <c r="P982">
        <v>293</v>
      </c>
      <c r="Q982">
        <f t="shared" si="35"/>
        <v>0</v>
      </c>
      <c r="R982">
        <v>1</v>
      </c>
      <c r="S982">
        <v>0</v>
      </c>
      <c r="T982">
        <v>0</v>
      </c>
      <c r="U982">
        <v>0</v>
      </c>
      <c r="V982">
        <v>0</v>
      </c>
      <c r="W982">
        <v>0</v>
      </c>
      <c r="X982" s="21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f t="shared" si="36"/>
        <v>0</v>
      </c>
      <c r="AP982" t="s">
        <v>41</v>
      </c>
    </row>
    <row r="983" spans="1:42">
      <c r="A983" s="1">
        <v>43780</v>
      </c>
      <c r="B983">
        <v>1</v>
      </c>
      <c r="C983">
        <v>201</v>
      </c>
      <c r="D983">
        <v>10381</v>
      </c>
      <c r="E983" t="s">
        <v>37</v>
      </c>
      <c r="F983" t="s">
        <v>436</v>
      </c>
      <c r="H983">
        <v>68</v>
      </c>
      <c r="I983" s="25">
        <v>410</v>
      </c>
      <c r="K983" t="s">
        <v>102</v>
      </c>
      <c r="P983">
        <v>220</v>
      </c>
      <c r="Q983">
        <f t="shared" si="35"/>
        <v>0</v>
      </c>
      <c r="R983">
        <v>1</v>
      </c>
      <c r="S983">
        <v>0</v>
      </c>
      <c r="T983">
        <v>0</v>
      </c>
      <c r="U983">
        <v>0</v>
      </c>
      <c r="V983">
        <v>0</v>
      </c>
      <c r="W983">
        <v>0</v>
      </c>
      <c r="X983" s="21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f t="shared" si="36"/>
        <v>0</v>
      </c>
      <c r="AP983" t="s">
        <v>41</v>
      </c>
    </row>
    <row r="984" spans="1:42">
      <c r="A984" s="1">
        <v>43780</v>
      </c>
      <c r="B984">
        <v>1</v>
      </c>
      <c r="C984">
        <v>201</v>
      </c>
      <c r="D984">
        <v>10381</v>
      </c>
      <c r="E984" t="s">
        <v>37</v>
      </c>
      <c r="F984" t="s">
        <v>436</v>
      </c>
      <c r="H984">
        <v>69</v>
      </c>
      <c r="I984" s="25">
        <v>500</v>
      </c>
      <c r="K984" t="s">
        <v>53</v>
      </c>
      <c r="P984">
        <v>235</v>
      </c>
      <c r="Q984">
        <f t="shared" ref="Q984:Q1047" si="37">SUM(S984:AC984)</f>
        <v>0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0</v>
      </c>
      <c r="X984" s="21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f t="shared" ref="AH984:AH1047" si="38">(S984*16)+(T984*20)+(U984*32)+(V984*64)+(W984*96)</f>
        <v>0</v>
      </c>
      <c r="AP984" t="s">
        <v>41</v>
      </c>
    </row>
    <row r="985" spans="1:42">
      <c r="A985" s="1">
        <v>43780</v>
      </c>
      <c r="B985">
        <v>1</v>
      </c>
      <c r="C985">
        <v>201</v>
      </c>
      <c r="D985">
        <v>10381</v>
      </c>
      <c r="E985" t="s">
        <v>37</v>
      </c>
      <c r="F985" t="s">
        <v>436</v>
      </c>
      <c r="H985">
        <v>70</v>
      </c>
      <c r="I985" s="25">
        <v>400</v>
      </c>
      <c r="K985" t="s">
        <v>53</v>
      </c>
      <c r="P985">
        <v>477</v>
      </c>
      <c r="Q985">
        <f t="shared" si="37"/>
        <v>0</v>
      </c>
      <c r="R985">
        <v>1</v>
      </c>
      <c r="S985">
        <v>0</v>
      </c>
      <c r="T985">
        <v>0</v>
      </c>
      <c r="U985">
        <v>0</v>
      </c>
      <c r="V985">
        <v>0</v>
      </c>
      <c r="W985">
        <v>0</v>
      </c>
      <c r="X985" s="21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f t="shared" si="38"/>
        <v>0</v>
      </c>
      <c r="AP985" t="s">
        <v>41</v>
      </c>
    </row>
    <row r="986" spans="1:42">
      <c r="A986" s="1">
        <v>43780</v>
      </c>
      <c r="B986">
        <v>1</v>
      </c>
      <c r="C986">
        <v>201</v>
      </c>
      <c r="D986">
        <v>10381</v>
      </c>
      <c r="E986" t="s">
        <v>37</v>
      </c>
      <c r="F986" t="s">
        <v>436</v>
      </c>
      <c r="H986">
        <v>71</v>
      </c>
      <c r="I986" s="25">
        <v>300</v>
      </c>
      <c r="K986" t="s">
        <v>53</v>
      </c>
      <c r="P986">
        <v>183</v>
      </c>
      <c r="Q986">
        <f t="shared" si="37"/>
        <v>0</v>
      </c>
      <c r="R986">
        <v>1</v>
      </c>
      <c r="S986">
        <v>0</v>
      </c>
      <c r="T986">
        <v>0</v>
      </c>
      <c r="U986">
        <v>0</v>
      </c>
      <c r="V986">
        <v>0</v>
      </c>
      <c r="W986">
        <v>0</v>
      </c>
      <c r="X986" s="21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f t="shared" si="38"/>
        <v>0</v>
      </c>
      <c r="AP986" t="s">
        <v>41</v>
      </c>
    </row>
    <row r="987" spans="1:42">
      <c r="A987" s="1">
        <v>43780</v>
      </c>
      <c r="B987">
        <v>1</v>
      </c>
      <c r="C987">
        <v>201</v>
      </c>
      <c r="D987">
        <v>10381</v>
      </c>
      <c r="E987" t="s">
        <v>37</v>
      </c>
      <c r="F987" t="s">
        <v>436</v>
      </c>
      <c r="H987">
        <v>72</v>
      </c>
      <c r="I987" s="25">
        <v>200</v>
      </c>
      <c r="K987" t="s">
        <v>53</v>
      </c>
      <c r="P987">
        <v>491</v>
      </c>
      <c r="Q987">
        <f t="shared" si="37"/>
        <v>0</v>
      </c>
      <c r="R987">
        <v>1</v>
      </c>
      <c r="S987">
        <v>0</v>
      </c>
      <c r="T987">
        <v>0</v>
      </c>
      <c r="U987">
        <v>0</v>
      </c>
      <c r="V987">
        <v>0</v>
      </c>
      <c r="W987">
        <v>0</v>
      </c>
      <c r="X987" s="21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f t="shared" si="38"/>
        <v>0</v>
      </c>
      <c r="AP987" t="s">
        <v>41</v>
      </c>
    </row>
    <row r="988" spans="1:42">
      <c r="A988" s="1">
        <v>43780</v>
      </c>
      <c r="B988">
        <v>1</v>
      </c>
      <c r="C988">
        <v>201</v>
      </c>
      <c r="D988">
        <v>10381</v>
      </c>
      <c r="E988" t="s">
        <v>37</v>
      </c>
      <c r="F988" t="s">
        <v>436</v>
      </c>
      <c r="H988">
        <v>73</v>
      </c>
      <c r="I988" s="25">
        <v>170</v>
      </c>
      <c r="K988" t="s">
        <v>74</v>
      </c>
      <c r="P988">
        <v>139</v>
      </c>
      <c r="Q988">
        <f t="shared" si="37"/>
        <v>0</v>
      </c>
      <c r="R988">
        <v>1</v>
      </c>
      <c r="S988">
        <v>0</v>
      </c>
      <c r="T988">
        <v>0</v>
      </c>
      <c r="U988">
        <v>0</v>
      </c>
      <c r="V988">
        <v>0</v>
      </c>
      <c r="W988">
        <v>0</v>
      </c>
      <c r="X988" s="21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f t="shared" si="38"/>
        <v>0</v>
      </c>
      <c r="AP988" t="s">
        <v>41</v>
      </c>
    </row>
    <row r="989" spans="1:42">
      <c r="A989" s="1">
        <v>43780</v>
      </c>
      <c r="B989">
        <v>1</v>
      </c>
      <c r="C989">
        <v>201</v>
      </c>
      <c r="D989">
        <v>10381</v>
      </c>
      <c r="E989" t="s">
        <v>37</v>
      </c>
      <c r="F989" t="s">
        <v>436</v>
      </c>
      <c r="H989">
        <v>74</v>
      </c>
      <c r="I989" s="25">
        <v>200</v>
      </c>
      <c r="K989" t="s">
        <v>74</v>
      </c>
      <c r="P989">
        <v>135</v>
      </c>
      <c r="Q989">
        <f t="shared" si="37"/>
        <v>0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0</v>
      </c>
      <c r="X989" s="21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f t="shared" si="38"/>
        <v>0</v>
      </c>
      <c r="AP989" t="s">
        <v>41</v>
      </c>
    </row>
    <row r="990" spans="1:42">
      <c r="A990" s="1">
        <v>43780</v>
      </c>
      <c r="B990">
        <v>1</v>
      </c>
      <c r="C990">
        <v>201</v>
      </c>
      <c r="D990">
        <v>10381</v>
      </c>
      <c r="E990" t="s">
        <v>37</v>
      </c>
      <c r="F990" t="s">
        <v>436</v>
      </c>
      <c r="H990">
        <v>75</v>
      </c>
      <c r="I990" s="25">
        <v>300</v>
      </c>
      <c r="K990" t="s">
        <v>442</v>
      </c>
      <c r="P990">
        <v>386</v>
      </c>
      <c r="Q990">
        <f t="shared" si="37"/>
        <v>0</v>
      </c>
      <c r="R990">
        <v>1</v>
      </c>
      <c r="S990">
        <v>0</v>
      </c>
      <c r="T990">
        <v>0</v>
      </c>
      <c r="U990">
        <v>0</v>
      </c>
      <c r="V990">
        <v>0</v>
      </c>
      <c r="W990">
        <v>0</v>
      </c>
      <c r="X990" s="21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f t="shared" si="38"/>
        <v>0</v>
      </c>
      <c r="AP990" t="s">
        <v>41</v>
      </c>
    </row>
    <row r="991" spans="1:42">
      <c r="A991" s="1">
        <v>43780</v>
      </c>
      <c r="B991">
        <v>1</v>
      </c>
      <c r="C991">
        <v>201</v>
      </c>
      <c r="D991">
        <v>10381</v>
      </c>
      <c r="E991" t="s">
        <v>37</v>
      </c>
      <c r="F991" t="s">
        <v>436</v>
      </c>
      <c r="H991">
        <v>76</v>
      </c>
      <c r="I991" s="25">
        <v>300</v>
      </c>
      <c r="K991" t="s">
        <v>102</v>
      </c>
      <c r="P991">
        <v>55</v>
      </c>
      <c r="Q991">
        <f t="shared" si="37"/>
        <v>0</v>
      </c>
      <c r="R991">
        <v>1</v>
      </c>
      <c r="S991">
        <v>0</v>
      </c>
      <c r="T991">
        <v>0</v>
      </c>
      <c r="U991">
        <v>0</v>
      </c>
      <c r="V991">
        <v>0</v>
      </c>
      <c r="W991">
        <v>0</v>
      </c>
      <c r="X991" s="2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f t="shared" si="38"/>
        <v>0</v>
      </c>
      <c r="AP991" t="s">
        <v>41</v>
      </c>
    </row>
    <row r="992" spans="1:42">
      <c r="A992" s="1">
        <v>43780</v>
      </c>
      <c r="B992">
        <v>1</v>
      </c>
      <c r="C992">
        <v>201</v>
      </c>
      <c r="D992">
        <v>10381</v>
      </c>
      <c r="E992" t="s">
        <v>37</v>
      </c>
      <c r="F992" t="s">
        <v>436</v>
      </c>
      <c r="H992">
        <v>77</v>
      </c>
      <c r="I992" s="25">
        <v>500</v>
      </c>
      <c r="K992" t="s">
        <v>407</v>
      </c>
      <c r="P992">
        <v>216</v>
      </c>
      <c r="Q992">
        <f t="shared" si="37"/>
        <v>0</v>
      </c>
      <c r="R992">
        <v>1</v>
      </c>
      <c r="S992">
        <v>0</v>
      </c>
      <c r="T992">
        <v>0</v>
      </c>
      <c r="U992">
        <v>0</v>
      </c>
      <c r="V992">
        <v>0</v>
      </c>
      <c r="W992">
        <v>0</v>
      </c>
      <c r="X992" s="21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f t="shared" si="38"/>
        <v>0</v>
      </c>
      <c r="AP992" t="s">
        <v>41</v>
      </c>
    </row>
    <row r="993" spans="1:42">
      <c r="A993" s="1">
        <v>43780</v>
      </c>
      <c r="B993">
        <v>1</v>
      </c>
      <c r="C993">
        <v>201</v>
      </c>
      <c r="D993">
        <v>10381</v>
      </c>
      <c r="E993" t="s">
        <v>37</v>
      </c>
      <c r="F993" t="s">
        <v>436</v>
      </c>
      <c r="H993">
        <v>78</v>
      </c>
      <c r="I993" s="25">
        <v>400</v>
      </c>
      <c r="K993" t="s">
        <v>407</v>
      </c>
      <c r="P993">
        <v>216</v>
      </c>
      <c r="Q993">
        <f t="shared" si="37"/>
        <v>0</v>
      </c>
      <c r="R993">
        <v>1</v>
      </c>
      <c r="S993">
        <v>0</v>
      </c>
      <c r="T993">
        <v>0</v>
      </c>
      <c r="U993">
        <v>0</v>
      </c>
      <c r="V993">
        <v>0</v>
      </c>
      <c r="W993">
        <v>0</v>
      </c>
      <c r="X993" s="21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f t="shared" si="38"/>
        <v>0</v>
      </c>
      <c r="AP993" t="s">
        <v>41</v>
      </c>
    </row>
    <row r="994" spans="1:42">
      <c r="A994" s="1">
        <v>43780</v>
      </c>
      <c r="B994">
        <v>1</v>
      </c>
      <c r="C994">
        <v>201</v>
      </c>
      <c r="D994">
        <v>10381</v>
      </c>
      <c r="E994" t="s">
        <v>37</v>
      </c>
      <c r="F994" t="s">
        <v>436</v>
      </c>
      <c r="H994">
        <v>79</v>
      </c>
      <c r="I994" s="25">
        <v>300</v>
      </c>
      <c r="K994" t="s">
        <v>407</v>
      </c>
      <c r="P994">
        <v>216</v>
      </c>
      <c r="Q994">
        <f t="shared" si="37"/>
        <v>0</v>
      </c>
      <c r="R994">
        <v>1</v>
      </c>
      <c r="S994">
        <v>0</v>
      </c>
      <c r="T994">
        <v>0</v>
      </c>
      <c r="U994">
        <v>0</v>
      </c>
      <c r="V994">
        <v>0</v>
      </c>
      <c r="W994">
        <v>0</v>
      </c>
      <c r="X994" s="21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f t="shared" si="38"/>
        <v>0</v>
      </c>
      <c r="AP994" t="s">
        <v>41</v>
      </c>
    </row>
    <row r="995" spans="1:42">
      <c r="A995" s="1">
        <v>43780</v>
      </c>
      <c r="B995">
        <v>1</v>
      </c>
      <c r="C995">
        <v>201</v>
      </c>
      <c r="D995">
        <v>10381</v>
      </c>
      <c r="E995" t="s">
        <v>37</v>
      </c>
      <c r="F995" t="s">
        <v>436</v>
      </c>
      <c r="H995">
        <v>80</v>
      </c>
      <c r="I995" s="25">
        <v>200</v>
      </c>
      <c r="K995" t="s">
        <v>407</v>
      </c>
      <c r="P995">
        <v>216</v>
      </c>
      <c r="Q995">
        <f t="shared" si="37"/>
        <v>0</v>
      </c>
      <c r="R995">
        <v>1</v>
      </c>
      <c r="S995">
        <v>0</v>
      </c>
      <c r="T995">
        <v>0</v>
      </c>
      <c r="U995">
        <v>0</v>
      </c>
      <c r="V995">
        <v>0</v>
      </c>
      <c r="W995">
        <v>0</v>
      </c>
      <c r="X995" s="21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f t="shared" si="38"/>
        <v>0</v>
      </c>
      <c r="AP995" t="s">
        <v>41</v>
      </c>
    </row>
    <row r="996" spans="1:42">
      <c r="A996" s="1">
        <v>43780</v>
      </c>
      <c r="B996">
        <v>1</v>
      </c>
      <c r="C996">
        <v>201</v>
      </c>
      <c r="D996">
        <v>10381</v>
      </c>
      <c r="E996" t="s">
        <v>37</v>
      </c>
      <c r="F996" t="s">
        <v>436</v>
      </c>
      <c r="H996">
        <v>81</v>
      </c>
      <c r="I996" s="25"/>
      <c r="K996" t="s">
        <v>102</v>
      </c>
      <c r="P996">
        <v>216</v>
      </c>
      <c r="Q996">
        <f t="shared" si="37"/>
        <v>0</v>
      </c>
      <c r="R996">
        <v>1</v>
      </c>
      <c r="S996">
        <v>0</v>
      </c>
      <c r="T996">
        <v>0</v>
      </c>
      <c r="U996">
        <v>0</v>
      </c>
      <c r="V996">
        <v>0</v>
      </c>
      <c r="W996">
        <v>0</v>
      </c>
      <c r="X996" s="21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f t="shared" si="38"/>
        <v>0</v>
      </c>
      <c r="AP996" t="s">
        <v>41</v>
      </c>
    </row>
    <row r="997" spans="1:42">
      <c r="A997" s="1">
        <v>43779</v>
      </c>
      <c r="B997">
        <v>7</v>
      </c>
      <c r="C997">
        <v>201</v>
      </c>
      <c r="D997">
        <v>10381</v>
      </c>
      <c r="E997" t="s">
        <v>37</v>
      </c>
      <c r="F997" t="s">
        <v>436</v>
      </c>
      <c r="H997">
        <v>1</v>
      </c>
      <c r="I997" s="25">
        <v>50</v>
      </c>
      <c r="K997" t="s">
        <v>439</v>
      </c>
      <c r="O997">
        <v>120</v>
      </c>
      <c r="Q997">
        <f t="shared" si="37"/>
        <v>0</v>
      </c>
      <c r="R997">
        <v>1</v>
      </c>
      <c r="S997">
        <v>0</v>
      </c>
      <c r="T997">
        <v>0</v>
      </c>
      <c r="U997">
        <v>0</v>
      </c>
      <c r="V997">
        <v>0</v>
      </c>
      <c r="W997">
        <v>0</v>
      </c>
      <c r="X997" s="21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f t="shared" si="38"/>
        <v>0</v>
      </c>
      <c r="AP997" t="s">
        <v>41</v>
      </c>
    </row>
    <row r="998" spans="1:42">
      <c r="A998" s="1">
        <v>43779</v>
      </c>
      <c r="B998">
        <v>7</v>
      </c>
      <c r="C998">
        <v>201</v>
      </c>
      <c r="D998">
        <v>10381</v>
      </c>
      <c r="E998" t="s">
        <v>37</v>
      </c>
      <c r="F998" t="s">
        <v>436</v>
      </c>
      <c r="H998">
        <v>2</v>
      </c>
      <c r="I998" s="25">
        <v>124</v>
      </c>
      <c r="K998" t="s">
        <v>443</v>
      </c>
      <c r="O998">
        <v>157</v>
      </c>
      <c r="Q998">
        <f t="shared" si="37"/>
        <v>0</v>
      </c>
      <c r="R998">
        <v>1</v>
      </c>
      <c r="S998">
        <v>0</v>
      </c>
      <c r="T998">
        <v>0</v>
      </c>
      <c r="U998">
        <v>0</v>
      </c>
      <c r="V998">
        <v>0</v>
      </c>
      <c r="W998">
        <v>0</v>
      </c>
      <c r="X998" s="21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f t="shared" si="38"/>
        <v>0</v>
      </c>
      <c r="AL998" t="s">
        <v>444</v>
      </c>
      <c r="AP998" t="s">
        <v>41</v>
      </c>
    </row>
    <row r="999" spans="1:42">
      <c r="A999" s="1">
        <v>43779</v>
      </c>
      <c r="B999">
        <v>7</v>
      </c>
      <c r="C999">
        <v>201</v>
      </c>
      <c r="D999">
        <v>10381</v>
      </c>
      <c r="E999" t="s">
        <v>37</v>
      </c>
      <c r="F999" t="s">
        <v>436</v>
      </c>
      <c r="H999">
        <v>3</v>
      </c>
      <c r="I999" s="25">
        <v>351</v>
      </c>
      <c r="K999" t="s">
        <v>74</v>
      </c>
      <c r="O999">
        <v>113</v>
      </c>
      <c r="Q999">
        <f t="shared" si="37"/>
        <v>0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0</v>
      </c>
      <c r="X999" s="21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f t="shared" si="38"/>
        <v>0</v>
      </c>
      <c r="AL999" t="s">
        <v>445</v>
      </c>
      <c r="AP999" t="s">
        <v>41</v>
      </c>
    </row>
    <row r="1000" spans="1:42">
      <c r="A1000" s="1">
        <v>43779</v>
      </c>
      <c r="B1000">
        <v>7</v>
      </c>
      <c r="C1000">
        <v>201</v>
      </c>
      <c r="D1000">
        <v>10381</v>
      </c>
      <c r="E1000" t="s">
        <v>37</v>
      </c>
      <c r="F1000" t="s">
        <v>436</v>
      </c>
      <c r="H1000">
        <v>4</v>
      </c>
      <c r="I1000" s="25">
        <v>225</v>
      </c>
      <c r="K1000" t="s">
        <v>407</v>
      </c>
      <c r="O1000">
        <v>41</v>
      </c>
      <c r="Q1000">
        <f t="shared" si="37"/>
        <v>2</v>
      </c>
      <c r="R1000">
        <v>1</v>
      </c>
      <c r="S1000">
        <v>0</v>
      </c>
      <c r="T1000">
        <v>0</v>
      </c>
      <c r="U1000">
        <v>0</v>
      </c>
      <c r="V1000">
        <v>0</v>
      </c>
      <c r="W1000">
        <v>2</v>
      </c>
      <c r="X1000" s="21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f t="shared" si="38"/>
        <v>192</v>
      </c>
      <c r="AP1000" t="s">
        <v>41</v>
      </c>
    </row>
    <row r="1001" spans="1:42">
      <c r="A1001" s="1">
        <v>43779</v>
      </c>
      <c r="B1001">
        <v>7</v>
      </c>
      <c r="C1001">
        <v>201</v>
      </c>
      <c r="D1001">
        <v>10381</v>
      </c>
      <c r="E1001" t="s">
        <v>37</v>
      </c>
      <c r="F1001" t="s">
        <v>436</v>
      </c>
      <c r="H1001">
        <v>5</v>
      </c>
      <c r="I1001" s="25">
        <v>151</v>
      </c>
      <c r="K1001" t="s">
        <v>407</v>
      </c>
      <c r="O1001">
        <v>41</v>
      </c>
      <c r="Q1001">
        <f t="shared" si="37"/>
        <v>0</v>
      </c>
      <c r="R1001">
        <v>1</v>
      </c>
      <c r="S1001">
        <v>0</v>
      </c>
      <c r="T1001">
        <v>0</v>
      </c>
      <c r="U1001">
        <v>0</v>
      </c>
      <c r="V1001">
        <v>0</v>
      </c>
      <c r="W1001">
        <v>0</v>
      </c>
      <c r="X1001" s="2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f t="shared" si="38"/>
        <v>0</v>
      </c>
      <c r="AP1001" t="s">
        <v>41</v>
      </c>
    </row>
    <row r="1002" spans="1:42">
      <c r="A1002" s="1">
        <v>43779</v>
      </c>
      <c r="B1002">
        <v>7</v>
      </c>
      <c r="C1002">
        <v>201</v>
      </c>
      <c r="D1002">
        <v>10381</v>
      </c>
      <c r="E1002" t="s">
        <v>37</v>
      </c>
      <c r="F1002" t="s">
        <v>436</v>
      </c>
      <c r="H1002">
        <v>6</v>
      </c>
      <c r="I1002" s="25">
        <v>161</v>
      </c>
      <c r="K1002" t="s">
        <v>98</v>
      </c>
      <c r="O1002">
        <v>41</v>
      </c>
      <c r="Q1002">
        <f t="shared" si="37"/>
        <v>2</v>
      </c>
      <c r="R1002">
        <v>1</v>
      </c>
      <c r="S1002">
        <v>0</v>
      </c>
      <c r="T1002">
        <v>0</v>
      </c>
      <c r="U1002">
        <v>0</v>
      </c>
      <c r="V1002">
        <v>0</v>
      </c>
      <c r="W1002">
        <v>2</v>
      </c>
      <c r="X1002" s="21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f t="shared" si="38"/>
        <v>192</v>
      </c>
      <c r="AP1002" t="s">
        <v>41</v>
      </c>
    </row>
    <row r="1003" spans="1:42">
      <c r="A1003" s="1">
        <v>43779</v>
      </c>
      <c r="B1003">
        <v>7</v>
      </c>
      <c r="C1003">
        <v>201</v>
      </c>
      <c r="D1003">
        <v>10381</v>
      </c>
      <c r="E1003" t="s">
        <v>37</v>
      </c>
      <c r="F1003" t="s">
        <v>436</v>
      </c>
      <c r="H1003">
        <v>7</v>
      </c>
      <c r="I1003" s="25">
        <v>1</v>
      </c>
      <c r="K1003" t="s">
        <v>98</v>
      </c>
      <c r="O1003">
        <v>99</v>
      </c>
      <c r="Q1003">
        <f t="shared" si="37"/>
        <v>2</v>
      </c>
      <c r="R1003">
        <v>1</v>
      </c>
      <c r="S1003">
        <v>0</v>
      </c>
      <c r="T1003">
        <v>0</v>
      </c>
      <c r="U1003">
        <v>0</v>
      </c>
      <c r="V1003">
        <v>0</v>
      </c>
      <c r="W1003">
        <v>2</v>
      </c>
      <c r="X1003" s="21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f t="shared" si="38"/>
        <v>192</v>
      </c>
      <c r="AL1003" t="s">
        <v>446</v>
      </c>
      <c r="AP1003" t="s">
        <v>41</v>
      </c>
    </row>
    <row r="1004" spans="1:42">
      <c r="A1004" s="1">
        <v>43779</v>
      </c>
      <c r="B1004">
        <v>7</v>
      </c>
      <c r="C1004">
        <v>201</v>
      </c>
      <c r="D1004">
        <v>10381</v>
      </c>
      <c r="E1004" t="s">
        <v>37</v>
      </c>
      <c r="F1004" t="s">
        <v>436</v>
      </c>
      <c r="H1004">
        <v>8</v>
      </c>
      <c r="I1004" s="25" t="s">
        <v>447</v>
      </c>
      <c r="K1004" t="s">
        <v>73</v>
      </c>
      <c r="O1004">
        <v>99</v>
      </c>
      <c r="Q1004">
        <f t="shared" si="37"/>
        <v>5</v>
      </c>
      <c r="R1004">
        <v>1</v>
      </c>
      <c r="S1004">
        <v>0</v>
      </c>
      <c r="T1004">
        <v>0</v>
      </c>
      <c r="U1004">
        <v>0</v>
      </c>
      <c r="V1004">
        <v>0</v>
      </c>
      <c r="W1004">
        <v>5</v>
      </c>
      <c r="X1004" s="21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f t="shared" si="38"/>
        <v>480</v>
      </c>
      <c r="AL1004" t="s">
        <v>448</v>
      </c>
      <c r="AP1004" t="s">
        <v>41</v>
      </c>
    </row>
    <row r="1005" spans="1:42">
      <c r="A1005" s="1">
        <v>43779</v>
      </c>
      <c r="B1005">
        <v>7</v>
      </c>
      <c r="C1005">
        <v>201</v>
      </c>
      <c r="D1005">
        <v>10381</v>
      </c>
      <c r="E1005" t="s">
        <v>37</v>
      </c>
      <c r="F1005" t="s">
        <v>436</v>
      </c>
      <c r="H1005">
        <v>9</v>
      </c>
      <c r="I1005" s="25"/>
      <c r="O1005">
        <v>99</v>
      </c>
      <c r="Q1005">
        <f t="shared" si="37"/>
        <v>0</v>
      </c>
      <c r="R1005">
        <v>1</v>
      </c>
      <c r="S1005">
        <v>0</v>
      </c>
      <c r="T1005">
        <v>0</v>
      </c>
      <c r="U1005">
        <v>0</v>
      </c>
      <c r="V1005">
        <v>0</v>
      </c>
      <c r="W1005">
        <v>0</v>
      </c>
      <c r="X1005" s="21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f t="shared" si="38"/>
        <v>0</v>
      </c>
      <c r="AP1005" t="s">
        <v>41</v>
      </c>
    </row>
    <row r="1006" spans="1:42">
      <c r="A1006" s="1">
        <v>43779</v>
      </c>
      <c r="B1006">
        <v>7</v>
      </c>
      <c r="C1006">
        <v>201</v>
      </c>
      <c r="D1006">
        <v>10381</v>
      </c>
      <c r="E1006" t="s">
        <v>37</v>
      </c>
      <c r="F1006" t="s">
        <v>436</v>
      </c>
      <c r="H1006">
        <v>10</v>
      </c>
      <c r="I1006" s="25">
        <v>150</v>
      </c>
      <c r="K1006" t="s">
        <v>50</v>
      </c>
      <c r="O1006">
        <v>184</v>
      </c>
      <c r="Q1006">
        <f t="shared" si="37"/>
        <v>4</v>
      </c>
      <c r="R1006">
        <v>1</v>
      </c>
      <c r="S1006">
        <v>0</v>
      </c>
      <c r="T1006">
        <v>0</v>
      </c>
      <c r="U1006">
        <v>0</v>
      </c>
      <c r="V1006">
        <v>1</v>
      </c>
      <c r="W1006">
        <v>3</v>
      </c>
      <c r="X1006" s="21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f t="shared" si="38"/>
        <v>352</v>
      </c>
      <c r="AL1006" t="s">
        <v>449</v>
      </c>
      <c r="AP1006" t="s">
        <v>41</v>
      </c>
    </row>
    <row r="1007" spans="1:42">
      <c r="A1007" s="1">
        <v>43779</v>
      </c>
      <c r="B1007">
        <v>7</v>
      </c>
      <c r="C1007">
        <v>201</v>
      </c>
      <c r="D1007">
        <v>10381</v>
      </c>
      <c r="E1007" t="s">
        <v>37</v>
      </c>
      <c r="F1007" t="s">
        <v>436</v>
      </c>
      <c r="H1007">
        <v>11</v>
      </c>
      <c r="I1007" s="25"/>
      <c r="Q1007">
        <f t="shared" si="37"/>
        <v>0</v>
      </c>
      <c r="R1007">
        <v>1</v>
      </c>
      <c r="S1007">
        <v>0</v>
      </c>
      <c r="T1007">
        <v>0</v>
      </c>
      <c r="U1007">
        <v>0</v>
      </c>
      <c r="V1007">
        <v>0</v>
      </c>
      <c r="W1007">
        <v>0</v>
      </c>
      <c r="X1007" s="21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f t="shared" si="38"/>
        <v>0</v>
      </c>
      <c r="AP1007" t="s">
        <v>41</v>
      </c>
    </row>
    <row r="1008" spans="1:42">
      <c r="A1008" s="1">
        <v>43779</v>
      </c>
      <c r="B1008">
        <v>7</v>
      </c>
      <c r="C1008">
        <v>201</v>
      </c>
      <c r="D1008">
        <v>10381</v>
      </c>
      <c r="E1008" t="s">
        <v>37</v>
      </c>
      <c r="F1008" t="s">
        <v>436</v>
      </c>
      <c r="H1008">
        <v>12</v>
      </c>
      <c r="I1008" s="25"/>
      <c r="Q1008">
        <f t="shared" si="37"/>
        <v>0</v>
      </c>
      <c r="R1008">
        <v>1</v>
      </c>
      <c r="S1008">
        <v>0</v>
      </c>
      <c r="T1008">
        <v>0</v>
      </c>
      <c r="U1008">
        <v>0</v>
      </c>
      <c r="V1008">
        <v>0</v>
      </c>
      <c r="W1008">
        <v>0</v>
      </c>
      <c r="X1008" s="21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f t="shared" si="38"/>
        <v>0</v>
      </c>
      <c r="AP1008" t="s">
        <v>41</v>
      </c>
    </row>
    <row r="1009" spans="1:42">
      <c r="A1009" s="1">
        <v>43779</v>
      </c>
      <c r="B1009">
        <v>7</v>
      </c>
      <c r="C1009">
        <v>201</v>
      </c>
      <c r="D1009">
        <v>10381</v>
      </c>
      <c r="E1009" t="s">
        <v>37</v>
      </c>
      <c r="F1009" t="s">
        <v>436</v>
      </c>
      <c r="H1009">
        <v>13</v>
      </c>
      <c r="I1009" s="25"/>
      <c r="Q1009">
        <f t="shared" si="37"/>
        <v>0</v>
      </c>
      <c r="R1009">
        <v>1</v>
      </c>
      <c r="S1009">
        <v>0</v>
      </c>
      <c r="T1009">
        <v>0</v>
      </c>
      <c r="U1009">
        <v>0</v>
      </c>
      <c r="V1009">
        <v>0</v>
      </c>
      <c r="W1009">
        <v>0</v>
      </c>
      <c r="X1009" s="21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f t="shared" si="38"/>
        <v>0</v>
      </c>
      <c r="AP1009" t="s">
        <v>41</v>
      </c>
    </row>
    <row r="1010" spans="1:42">
      <c r="A1010" s="1">
        <v>43779</v>
      </c>
      <c r="B1010">
        <v>7</v>
      </c>
      <c r="C1010">
        <v>201</v>
      </c>
      <c r="D1010">
        <v>10381</v>
      </c>
      <c r="E1010" t="s">
        <v>37</v>
      </c>
      <c r="F1010" t="s">
        <v>436</v>
      </c>
      <c r="H1010">
        <v>14</v>
      </c>
      <c r="I1010" s="25">
        <v>800</v>
      </c>
      <c r="K1010" t="s">
        <v>73</v>
      </c>
      <c r="O1010">
        <v>96</v>
      </c>
      <c r="Q1010">
        <f t="shared" si="37"/>
        <v>0</v>
      </c>
      <c r="R1010">
        <v>1</v>
      </c>
      <c r="S1010">
        <v>0</v>
      </c>
      <c r="T1010">
        <v>0</v>
      </c>
      <c r="U1010">
        <v>0</v>
      </c>
      <c r="V1010">
        <v>0</v>
      </c>
      <c r="W1010">
        <v>0</v>
      </c>
      <c r="X1010" s="21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f t="shared" si="38"/>
        <v>0</v>
      </c>
      <c r="AP1010" t="s">
        <v>41</v>
      </c>
    </row>
    <row r="1011" spans="1:42">
      <c r="A1011" s="1">
        <v>43779</v>
      </c>
      <c r="B1011">
        <v>7</v>
      </c>
      <c r="C1011">
        <v>201</v>
      </c>
      <c r="D1011">
        <v>10381</v>
      </c>
      <c r="E1011" t="s">
        <v>37</v>
      </c>
      <c r="F1011" t="s">
        <v>436</v>
      </c>
      <c r="H1011">
        <v>15</v>
      </c>
      <c r="I1011" s="25" t="s">
        <v>450</v>
      </c>
      <c r="K1011" t="s">
        <v>451</v>
      </c>
      <c r="O1011">
        <v>96</v>
      </c>
      <c r="Q1011">
        <f t="shared" si="37"/>
        <v>0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0</v>
      </c>
      <c r="X1011" s="2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f t="shared" si="38"/>
        <v>0</v>
      </c>
      <c r="AP1011" t="s">
        <v>41</v>
      </c>
    </row>
    <row r="1012" spans="1:42">
      <c r="A1012" s="1">
        <v>43779</v>
      </c>
      <c r="B1012">
        <v>7</v>
      </c>
      <c r="C1012">
        <v>201</v>
      </c>
      <c r="D1012">
        <v>10381</v>
      </c>
      <c r="E1012" t="s">
        <v>37</v>
      </c>
      <c r="F1012" t="s">
        <v>436</v>
      </c>
      <c r="H1012">
        <v>16</v>
      </c>
      <c r="I1012" s="25"/>
      <c r="K1012" t="s">
        <v>102</v>
      </c>
      <c r="O1012">
        <v>18</v>
      </c>
      <c r="Q1012">
        <f t="shared" si="37"/>
        <v>0</v>
      </c>
      <c r="R1012">
        <v>1</v>
      </c>
      <c r="S1012">
        <v>0</v>
      </c>
      <c r="T1012">
        <v>0</v>
      </c>
      <c r="U1012">
        <v>0</v>
      </c>
      <c r="V1012">
        <v>0</v>
      </c>
      <c r="W1012">
        <v>0</v>
      </c>
      <c r="X1012" s="21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f t="shared" si="38"/>
        <v>0</v>
      </c>
      <c r="AP1012" t="s">
        <v>41</v>
      </c>
    </row>
    <row r="1013" spans="1:42">
      <c r="A1013" s="1">
        <v>43779</v>
      </c>
      <c r="B1013">
        <v>7</v>
      </c>
      <c r="C1013">
        <v>201</v>
      </c>
      <c r="D1013">
        <v>10381</v>
      </c>
      <c r="E1013" t="s">
        <v>37</v>
      </c>
      <c r="F1013" t="s">
        <v>436</v>
      </c>
      <c r="H1013">
        <v>17</v>
      </c>
      <c r="I1013" s="25"/>
      <c r="K1013" t="s">
        <v>452</v>
      </c>
      <c r="O1013">
        <v>17</v>
      </c>
      <c r="Q1013">
        <f t="shared" si="37"/>
        <v>0</v>
      </c>
      <c r="R1013">
        <v>1</v>
      </c>
      <c r="S1013">
        <v>0</v>
      </c>
      <c r="T1013">
        <v>0</v>
      </c>
      <c r="U1013">
        <v>0</v>
      </c>
      <c r="V1013">
        <v>0</v>
      </c>
      <c r="W1013">
        <v>0</v>
      </c>
      <c r="X1013" s="21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f t="shared" si="38"/>
        <v>0</v>
      </c>
      <c r="AP1013" t="s">
        <v>41</v>
      </c>
    </row>
    <row r="1014" spans="1:42">
      <c r="A1014" s="1">
        <v>43779</v>
      </c>
      <c r="B1014">
        <v>7</v>
      </c>
      <c r="C1014">
        <v>201</v>
      </c>
      <c r="D1014">
        <v>10381</v>
      </c>
      <c r="E1014" t="s">
        <v>37</v>
      </c>
      <c r="F1014" t="s">
        <v>436</v>
      </c>
      <c r="H1014">
        <v>18</v>
      </c>
      <c r="I1014" s="25">
        <v>988</v>
      </c>
      <c r="K1014" t="s">
        <v>73</v>
      </c>
      <c r="O1014">
        <v>31</v>
      </c>
      <c r="Q1014">
        <f t="shared" si="37"/>
        <v>0</v>
      </c>
      <c r="R1014">
        <v>1</v>
      </c>
      <c r="S1014">
        <v>0</v>
      </c>
      <c r="T1014">
        <v>0</v>
      </c>
      <c r="U1014">
        <v>0</v>
      </c>
      <c r="V1014">
        <v>0</v>
      </c>
      <c r="W1014">
        <v>0</v>
      </c>
      <c r="X1014" s="21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f t="shared" si="38"/>
        <v>0</v>
      </c>
      <c r="AP1014" t="s">
        <v>41</v>
      </c>
    </row>
    <row r="1015" spans="1:42">
      <c r="A1015" s="1">
        <v>43779</v>
      </c>
      <c r="B1015">
        <v>7</v>
      </c>
      <c r="C1015">
        <v>201</v>
      </c>
      <c r="D1015">
        <v>10381</v>
      </c>
      <c r="E1015" t="s">
        <v>37</v>
      </c>
      <c r="F1015" t="s">
        <v>436</v>
      </c>
      <c r="H1015">
        <v>19</v>
      </c>
      <c r="I1015" s="25"/>
      <c r="Q1015">
        <f t="shared" si="37"/>
        <v>0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  <c r="X1015" s="21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f t="shared" si="38"/>
        <v>0</v>
      </c>
      <c r="AP1015" t="s">
        <v>41</v>
      </c>
    </row>
    <row r="1016" spans="1:42">
      <c r="A1016" s="1">
        <v>43779</v>
      </c>
      <c r="B1016">
        <v>7</v>
      </c>
      <c r="C1016">
        <v>201</v>
      </c>
      <c r="D1016">
        <v>10381</v>
      </c>
      <c r="E1016" t="s">
        <v>37</v>
      </c>
      <c r="F1016" t="s">
        <v>436</v>
      </c>
      <c r="H1016">
        <v>20</v>
      </c>
      <c r="I1016" s="25">
        <v>50</v>
      </c>
      <c r="K1016" t="s">
        <v>417</v>
      </c>
      <c r="N1016" t="s">
        <v>44</v>
      </c>
      <c r="O1016">
        <v>102</v>
      </c>
      <c r="Q1016">
        <f t="shared" si="37"/>
        <v>4</v>
      </c>
      <c r="R1016">
        <v>1</v>
      </c>
      <c r="S1016">
        <v>0</v>
      </c>
      <c r="T1016">
        <v>0</v>
      </c>
      <c r="U1016">
        <v>0</v>
      </c>
      <c r="V1016">
        <v>0</v>
      </c>
      <c r="W1016">
        <v>4</v>
      </c>
      <c r="X1016" s="21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f t="shared" si="38"/>
        <v>384</v>
      </c>
      <c r="AL1016" t="s">
        <v>453</v>
      </c>
      <c r="AP1016" t="s">
        <v>41</v>
      </c>
    </row>
    <row r="1017" spans="1:42">
      <c r="A1017" s="1">
        <v>43779</v>
      </c>
      <c r="B1017">
        <v>7</v>
      </c>
      <c r="C1017">
        <v>201</v>
      </c>
      <c r="D1017">
        <v>10381</v>
      </c>
      <c r="E1017" t="s">
        <v>37</v>
      </c>
      <c r="F1017" t="s">
        <v>436</v>
      </c>
      <c r="H1017">
        <v>21</v>
      </c>
      <c r="I1017" s="25">
        <v>118</v>
      </c>
      <c r="K1017" t="s">
        <v>101</v>
      </c>
      <c r="O1017">
        <v>63</v>
      </c>
      <c r="Q1017">
        <f t="shared" si="37"/>
        <v>2</v>
      </c>
      <c r="R1017">
        <v>1</v>
      </c>
      <c r="S1017">
        <v>0</v>
      </c>
      <c r="T1017">
        <v>0</v>
      </c>
      <c r="U1017">
        <v>0</v>
      </c>
      <c r="V1017">
        <v>0</v>
      </c>
      <c r="W1017">
        <v>2</v>
      </c>
      <c r="X1017" s="21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f t="shared" si="38"/>
        <v>192</v>
      </c>
      <c r="AP1017" t="s">
        <v>41</v>
      </c>
    </row>
    <row r="1018" spans="1:42">
      <c r="A1018" s="1">
        <v>43779</v>
      </c>
      <c r="B1018">
        <v>7</v>
      </c>
      <c r="C1018">
        <v>201</v>
      </c>
      <c r="D1018">
        <v>10381</v>
      </c>
      <c r="E1018" t="s">
        <v>37</v>
      </c>
      <c r="F1018" t="s">
        <v>436</v>
      </c>
      <c r="H1018">
        <v>22</v>
      </c>
      <c r="I1018" s="25">
        <v>144</v>
      </c>
      <c r="K1018" t="s">
        <v>101</v>
      </c>
      <c r="O1018">
        <v>63</v>
      </c>
      <c r="Q1018">
        <f t="shared" si="37"/>
        <v>1</v>
      </c>
      <c r="R1018">
        <v>1</v>
      </c>
      <c r="S1018">
        <v>0</v>
      </c>
      <c r="T1018">
        <v>0</v>
      </c>
      <c r="U1018">
        <v>0</v>
      </c>
      <c r="V1018">
        <v>0</v>
      </c>
      <c r="W1018">
        <v>1</v>
      </c>
      <c r="X1018" s="21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f t="shared" si="38"/>
        <v>96</v>
      </c>
      <c r="AL1018" t="s">
        <v>454</v>
      </c>
      <c r="AP1018" t="s">
        <v>41</v>
      </c>
    </row>
    <row r="1019" spans="1:42">
      <c r="A1019" s="1">
        <v>43779</v>
      </c>
      <c r="B1019">
        <v>7</v>
      </c>
      <c r="C1019">
        <v>201</v>
      </c>
      <c r="D1019">
        <v>10381</v>
      </c>
      <c r="E1019" t="s">
        <v>37</v>
      </c>
      <c r="F1019" t="s">
        <v>436</v>
      </c>
      <c r="H1019">
        <v>23</v>
      </c>
      <c r="I1019" s="25">
        <v>225</v>
      </c>
      <c r="K1019" t="s">
        <v>101</v>
      </c>
      <c r="N1019" t="s">
        <v>44</v>
      </c>
      <c r="O1019">
        <v>148</v>
      </c>
      <c r="Q1019">
        <f t="shared" si="37"/>
        <v>2</v>
      </c>
      <c r="R1019">
        <v>1</v>
      </c>
      <c r="S1019">
        <v>0</v>
      </c>
      <c r="T1019">
        <v>0</v>
      </c>
      <c r="U1019">
        <v>0</v>
      </c>
      <c r="V1019">
        <v>0</v>
      </c>
      <c r="W1019">
        <v>2</v>
      </c>
      <c r="X1019" s="21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f t="shared" si="38"/>
        <v>192</v>
      </c>
      <c r="AL1019" t="s">
        <v>455</v>
      </c>
      <c r="AP1019" t="s">
        <v>41</v>
      </c>
    </row>
    <row r="1020" spans="1:42">
      <c r="A1020" s="1">
        <v>43779</v>
      </c>
      <c r="B1020">
        <v>7</v>
      </c>
      <c r="C1020">
        <v>201</v>
      </c>
      <c r="D1020">
        <v>10381</v>
      </c>
      <c r="E1020" t="s">
        <v>37</v>
      </c>
      <c r="F1020" t="s">
        <v>436</v>
      </c>
      <c r="H1020">
        <v>24</v>
      </c>
      <c r="I1020" s="25">
        <v>248</v>
      </c>
      <c r="K1020" t="s">
        <v>101</v>
      </c>
      <c r="N1020" t="s">
        <v>44</v>
      </c>
      <c r="O1020">
        <v>148</v>
      </c>
      <c r="Q1020">
        <f t="shared" si="37"/>
        <v>3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2</v>
      </c>
      <c r="X1020" s="21">
        <v>0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f t="shared" si="38"/>
        <v>192</v>
      </c>
      <c r="AP1020" t="s">
        <v>41</v>
      </c>
    </row>
    <row r="1021" spans="1:42">
      <c r="A1021" s="1">
        <v>43779</v>
      </c>
      <c r="B1021">
        <v>7</v>
      </c>
      <c r="C1021">
        <v>201</v>
      </c>
      <c r="D1021">
        <v>10381</v>
      </c>
      <c r="E1021" t="s">
        <v>37</v>
      </c>
      <c r="F1021" t="s">
        <v>436</v>
      </c>
      <c r="H1021">
        <v>25</v>
      </c>
      <c r="I1021" s="25">
        <v>301</v>
      </c>
      <c r="K1021" t="s">
        <v>100</v>
      </c>
      <c r="N1021" t="s">
        <v>44</v>
      </c>
      <c r="O1021">
        <v>90</v>
      </c>
      <c r="Q1021">
        <f t="shared" si="37"/>
        <v>1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0</v>
      </c>
      <c r="X1021" s="21">
        <v>0</v>
      </c>
      <c r="Y1021">
        <v>0</v>
      </c>
      <c r="Z1021">
        <v>0</v>
      </c>
      <c r="AA1021">
        <v>1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f t="shared" si="38"/>
        <v>0</v>
      </c>
      <c r="AP1021" t="s">
        <v>41</v>
      </c>
    </row>
    <row r="1022" spans="1:42">
      <c r="A1022" s="1">
        <v>43779</v>
      </c>
      <c r="B1022">
        <v>7</v>
      </c>
      <c r="C1022">
        <v>201</v>
      </c>
      <c r="D1022">
        <v>10381</v>
      </c>
      <c r="E1022" t="s">
        <v>37</v>
      </c>
      <c r="F1022" t="s">
        <v>436</v>
      </c>
      <c r="H1022">
        <v>26</v>
      </c>
      <c r="I1022" s="25">
        <v>344</v>
      </c>
      <c r="K1022" t="s">
        <v>100</v>
      </c>
      <c r="O1022">
        <v>90</v>
      </c>
      <c r="Q1022">
        <f t="shared" si="37"/>
        <v>2</v>
      </c>
      <c r="R1022">
        <v>1</v>
      </c>
      <c r="S1022">
        <v>0</v>
      </c>
      <c r="T1022">
        <v>0</v>
      </c>
      <c r="U1022">
        <v>0</v>
      </c>
      <c r="V1022">
        <v>2</v>
      </c>
      <c r="W1022">
        <v>0</v>
      </c>
      <c r="X1022" s="21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f t="shared" si="38"/>
        <v>128</v>
      </c>
      <c r="AL1022" t="s">
        <v>456</v>
      </c>
      <c r="AP1022" t="s">
        <v>41</v>
      </c>
    </row>
    <row r="1023" spans="1:42">
      <c r="A1023" s="1">
        <v>43779</v>
      </c>
      <c r="B1023">
        <v>7</v>
      </c>
      <c r="C1023">
        <v>201</v>
      </c>
      <c r="D1023">
        <v>10381</v>
      </c>
      <c r="E1023" t="s">
        <v>37</v>
      </c>
      <c r="F1023" t="s">
        <v>436</v>
      </c>
      <c r="H1023">
        <v>27</v>
      </c>
      <c r="I1023" s="25">
        <v>370</v>
      </c>
      <c r="K1023" t="s">
        <v>100</v>
      </c>
      <c r="N1023" t="s">
        <v>44</v>
      </c>
      <c r="O1023">
        <v>90</v>
      </c>
      <c r="Q1023">
        <f t="shared" si="37"/>
        <v>2</v>
      </c>
      <c r="R1023">
        <v>1</v>
      </c>
      <c r="S1023">
        <v>0</v>
      </c>
      <c r="T1023">
        <v>0</v>
      </c>
      <c r="U1023">
        <v>0</v>
      </c>
      <c r="V1023">
        <v>0</v>
      </c>
      <c r="W1023">
        <v>2</v>
      </c>
      <c r="X1023" s="21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f t="shared" si="38"/>
        <v>192</v>
      </c>
      <c r="AP1023" t="s">
        <v>41</v>
      </c>
    </row>
    <row r="1024" spans="1:42">
      <c r="A1024" s="1">
        <v>43779</v>
      </c>
      <c r="B1024">
        <v>7</v>
      </c>
      <c r="C1024">
        <v>201</v>
      </c>
      <c r="D1024">
        <v>10381</v>
      </c>
      <c r="E1024" t="s">
        <v>37</v>
      </c>
      <c r="F1024" t="s">
        <v>436</v>
      </c>
      <c r="H1024">
        <v>28</v>
      </c>
      <c r="I1024" s="25">
        <v>355</v>
      </c>
      <c r="K1024" t="s">
        <v>100</v>
      </c>
      <c r="N1024" t="s">
        <v>40</v>
      </c>
      <c r="O1024">
        <v>90</v>
      </c>
      <c r="Q1024">
        <f t="shared" si="37"/>
        <v>2</v>
      </c>
      <c r="R1024">
        <v>1</v>
      </c>
      <c r="S1024">
        <v>0</v>
      </c>
      <c r="T1024">
        <v>0</v>
      </c>
      <c r="U1024">
        <v>0</v>
      </c>
      <c r="V1024">
        <v>0</v>
      </c>
      <c r="W1024">
        <v>2</v>
      </c>
      <c r="X1024" s="21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f t="shared" si="38"/>
        <v>192</v>
      </c>
      <c r="AP1024" t="s">
        <v>41</v>
      </c>
    </row>
    <row r="1025" spans="1:42">
      <c r="A1025" s="1">
        <v>43779</v>
      </c>
      <c r="B1025">
        <v>7</v>
      </c>
      <c r="C1025">
        <v>201</v>
      </c>
      <c r="D1025">
        <v>10381</v>
      </c>
      <c r="E1025" t="s">
        <v>37</v>
      </c>
      <c r="F1025" t="s">
        <v>436</v>
      </c>
      <c r="H1025">
        <v>29</v>
      </c>
      <c r="I1025" s="25">
        <v>400</v>
      </c>
      <c r="K1025" t="s">
        <v>103</v>
      </c>
      <c r="O1025">
        <v>150</v>
      </c>
      <c r="Q1025">
        <f t="shared" si="37"/>
        <v>0</v>
      </c>
      <c r="R1025">
        <v>1</v>
      </c>
      <c r="S1025">
        <v>0</v>
      </c>
      <c r="T1025">
        <v>0</v>
      </c>
      <c r="U1025">
        <v>0</v>
      </c>
      <c r="V1025">
        <v>0</v>
      </c>
      <c r="W1025">
        <v>0</v>
      </c>
      <c r="X1025" s="21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f t="shared" si="38"/>
        <v>0</v>
      </c>
      <c r="AL1025" t="s">
        <v>379</v>
      </c>
      <c r="AP1025" t="s">
        <v>41</v>
      </c>
    </row>
    <row r="1026" spans="1:42">
      <c r="A1026" s="1">
        <v>43779</v>
      </c>
      <c r="B1026">
        <v>7</v>
      </c>
      <c r="C1026">
        <v>201</v>
      </c>
      <c r="D1026">
        <v>10381</v>
      </c>
      <c r="E1026" t="s">
        <v>37</v>
      </c>
      <c r="F1026" t="s">
        <v>436</v>
      </c>
      <c r="H1026">
        <v>30</v>
      </c>
      <c r="I1026" s="25">
        <v>445</v>
      </c>
      <c r="K1026" t="s">
        <v>98</v>
      </c>
      <c r="O1026">
        <v>150</v>
      </c>
      <c r="Q1026">
        <f t="shared" si="37"/>
        <v>0</v>
      </c>
      <c r="R1026">
        <v>1</v>
      </c>
      <c r="S1026">
        <v>0</v>
      </c>
      <c r="T1026">
        <v>0</v>
      </c>
      <c r="U1026">
        <v>0</v>
      </c>
      <c r="V1026">
        <v>0</v>
      </c>
      <c r="W1026">
        <v>0</v>
      </c>
      <c r="X1026" s="21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f t="shared" si="38"/>
        <v>0</v>
      </c>
      <c r="AP1026" t="s">
        <v>41</v>
      </c>
    </row>
    <row r="1027" spans="1:42">
      <c r="A1027" s="1">
        <v>43779</v>
      </c>
      <c r="B1027">
        <v>7</v>
      </c>
      <c r="C1027">
        <v>201</v>
      </c>
      <c r="D1027">
        <v>10381</v>
      </c>
      <c r="E1027" t="s">
        <v>37</v>
      </c>
      <c r="F1027" t="s">
        <v>436</v>
      </c>
      <c r="H1027">
        <v>31</v>
      </c>
      <c r="I1027" s="25">
        <v>441</v>
      </c>
      <c r="K1027" t="s">
        <v>98</v>
      </c>
      <c r="O1027">
        <v>150</v>
      </c>
      <c r="Q1027">
        <f t="shared" si="37"/>
        <v>0</v>
      </c>
      <c r="R1027">
        <v>1</v>
      </c>
      <c r="S1027">
        <v>0</v>
      </c>
      <c r="T1027">
        <v>0</v>
      </c>
      <c r="U1027">
        <v>0</v>
      </c>
      <c r="V1027">
        <v>0</v>
      </c>
      <c r="W1027">
        <v>0</v>
      </c>
      <c r="X1027" s="21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f t="shared" si="38"/>
        <v>0</v>
      </c>
      <c r="AP1027" t="s">
        <v>41</v>
      </c>
    </row>
    <row r="1028" spans="1:42">
      <c r="A1028" s="1">
        <v>43779</v>
      </c>
      <c r="B1028">
        <v>7</v>
      </c>
      <c r="C1028">
        <v>201</v>
      </c>
      <c r="D1028">
        <v>10381</v>
      </c>
      <c r="E1028" t="s">
        <v>37</v>
      </c>
      <c r="F1028" t="s">
        <v>436</v>
      </c>
      <c r="H1028">
        <v>32</v>
      </c>
      <c r="I1028" s="25">
        <v>434</v>
      </c>
      <c r="K1028" t="s">
        <v>103</v>
      </c>
      <c r="O1028">
        <v>150</v>
      </c>
      <c r="Q1028">
        <f t="shared" si="37"/>
        <v>0</v>
      </c>
      <c r="R1028">
        <v>1</v>
      </c>
      <c r="S1028">
        <v>0</v>
      </c>
      <c r="T1028">
        <v>0</v>
      </c>
      <c r="U1028">
        <v>0</v>
      </c>
      <c r="V1028">
        <v>0</v>
      </c>
      <c r="W1028">
        <v>0</v>
      </c>
      <c r="X1028" s="21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f t="shared" si="38"/>
        <v>0</v>
      </c>
      <c r="AP1028" t="s">
        <v>41</v>
      </c>
    </row>
    <row r="1029" spans="1:42">
      <c r="A1029" s="1">
        <v>43779</v>
      </c>
      <c r="B1029">
        <v>7</v>
      </c>
      <c r="C1029">
        <v>201</v>
      </c>
      <c r="D1029">
        <v>10381</v>
      </c>
      <c r="E1029" t="s">
        <v>37</v>
      </c>
      <c r="F1029" t="s">
        <v>436</v>
      </c>
      <c r="H1029">
        <v>33</v>
      </c>
      <c r="I1029" s="25">
        <v>450</v>
      </c>
      <c r="K1029" t="s">
        <v>100</v>
      </c>
      <c r="N1029" t="s">
        <v>44</v>
      </c>
      <c r="O1029">
        <v>150</v>
      </c>
      <c r="Q1029">
        <f t="shared" si="37"/>
        <v>3</v>
      </c>
      <c r="R1029">
        <v>1</v>
      </c>
      <c r="S1029">
        <v>0</v>
      </c>
      <c r="T1029">
        <v>0</v>
      </c>
      <c r="U1029">
        <v>0</v>
      </c>
      <c r="V1029">
        <v>0</v>
      </c>
      <c r="W1029">
        <v>0</v>
      </c>
      <c r="X1029" s="21">
        <v>0</v>
      </c>
      <c r="Y1029">
        <v>1</v>
      </c>
      <c r="Z1029">
        <v>1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f t="shared" si="38"/>
        <v>0</v>
      </c>
      <c r="AP1029" t="s">
        <v>41</v>
      </c>
    </row>
    <row r="1030" spans="1:42">
      <c r="A1030" s="1">
        <v>43779</v>
      </c>
      <c r="B1030">
        <v>7</v>
      </c>
      <c r="C1030">
        <v>201</v>
      </c>
      <c r="D1030">
        <v>10381</v>
      </c>
      <c r="E1030" t="s">
        <v>37</v>
      </c>
      <c r="F1030" t="s">
        <v>436</v>
      </c>
      <c r="H1030">
        <v>34</v>
      </c>
      <c r="I1030" s="25">
        <v>450</v>
      </c>
      <c r="K1030" t="s">
        <v>103</v>
      </c>
      <c r="N1030" t="s">
        <v>44</v>
      </c>
      <c r="O1030">
        <v>150</v>
      </c>
      <c r="Q1030">
        <f t="shared" si="37"/>
        <v>1</v>
      </c>
      <c r="R1030">
        <v>1</v>
      </c>
      <c r="S1030">
        <v>0</v>
      </c>
      <c r="T1030">
        <v>0</v>
      </c>
      <c r="U1030">
        <v>0</v>
      </c>
      <c r="V1030">
        <v>0</v>
      </c>
      <c r="W1030">
        <v>0</v>
      </c>
      <c r="X1030" s="21">
        <v>0</v>
      </c>
      <c r="Y1030">
        <v>1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f t="shared" si="38"/>
        <v>0</v>
      </c>
      <c r="AP1030" t="s">
        <v>41</v>
      </c>
    </row>
    <row r="1031" spans="1:42">
      <c r="A1031" s="1">
        <v>43779</v>
      </c>
      <c r="B1031">
        <v>7</v>
      </c>
      <c r="C1031">
        <v>201</v>
      </c>
      <c r="D1031">
        <v>10381</v>
      </c>
      <c r="E1031" t="s">
        <v>37</v>
      </c>
      <c r="F1031" t="s">
        <v>436</v>
      </c>
      <c r="H1031">
        <v>35</v>
      </c>
      <c r="I1031" s="25">
        <v>555</v>
      </c>
      <c r="K1031" t="s">
        <v>98</v>
      </c>
      <c r="N1031" t="s">
        <v>42</v>
      </c>
      <c r="O1031">
        <v>150</v>
      </c>
      <c r="Q1031">
        <f t="shared" si="37"/>
        <v>0</v>
      </c>
      <c r="R1031">
        <v>1</v>
      </c>
      <c r="S1031">
        <v>0</v>
      </c>
      <c r="T1031">
        <v>0</v>
      </c>
      <c r="U1031">
        <v>0</v>
      </c>
      <c r="V1031">
        <v>0</v>
      </c>
      <c r="W1031">
        <v>0</v>
      </c>
      <c r="X1031" s="2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f t="shared" si="38"/>
        <v>0</v>
      </c>
      <c r="AP1031" t="s">
        <v>41</v>
      </c>
    </row>
    <row r="1032" spans="1:42">
      <c r="A1032" s="1">
        <v>43779</v>
      </c>
      <c r="B1032">
        <v>7</v>
      </c>
      <c r="C1032">
        <v>201</v>
      </c>
      <c r="D1032">
        <v>10381</v>
      </c>
      <c r="E1032" t="s">
        <v>37</v>
      </c>
      <c r="F1032" t="s">
        <v>436</v>
      </c>
      <c r="H1032">
        <v>36</v>
      </c>
      <c r="I1032" s="25">
        <v>401</v>
      </c>
      <c r="K1032" t="s">
        <v>74</v>
      </c>
      <c r="O1032">
        <v>78</v>
      </c>
      <c r="Q1032">
        <f t="shared" si="37"/>
        <v>1</v>
      </c>
      <c r="R1032">
        <v>1</v>
      </c>
      <c r="S1032">
        <v>0</v>
      </c>
      <c r="T1032">
        <v>0</v>
      </c>
      <c r="U1032">
        <v>0</v>
      </c>
      <c r="V1032">
        <v>1</v>
      </c>
      <c r="W1032">
        <v>0</v>
      </c>
      <c r="X1032" s="21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f t="shared" si="38"/>
        <v>64</v>
      </c>
      <c r="AP1032" t="s">
        <v>41</v>
      </c>
    </row>
    <row r="1033" spans="1:42">
      <c r="A1033" s="1">
        <v>43779</v>
      </c>
      <c r="B1033">
        <v>7</v>
      </c>
      <c r="C1033">
        <v>201</v>
      </c>
      <c r="D1033">
        <v>10381</v>
      </c>
      <c r="E1033" t="s">
        <v>37</v>
      </c>
      <c r="F1033" t="s">
        <v>436</v>
      </c>
      <c r="H1033">
        <v>37</v>
      </c>
      <c r="I1033" s="25">
        <v>421</v>
      </c>
      <c r="K1033" t="s">
        <v>443</v>
      </c>
      <c r="N1033" t="s">
        <v>44</v>
      </c>
      <c r="O1033">
        <v>60</v>
      </c>
      <c r="Q1033">
        <f t="shared" si="37"/>
        <v>2</v>
      </c>
      <c r="R1033">
        <v>1</v>
      </c>
      <c r="S1033">
        <v>0</v>
      </c>
      <c r="T1033">
        <v>0</v>
      </c>
      <c r="U1033">
        <v>0</v>
      </c>
      <c r="V1033">
        <v>2</v>
      </c>
      <c r="W1033">
        <v>0</v>
      </c>
      <c r="X1033" s="21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f t="shared" si="38"/>
        <v>128</v>
      </c>
      <c r="AP1033" t="s">
        <v>41</v>
      </c>
    </row>
    <row r="1034" spans="1:42">
      <c r="A1034" s="1">
        <v>43779</v>
      </c>
      <c r="B1034">
        <v>7</v>
      </c>
      <c r="C1034">
        <v>201</v>
      </c>
      <c r="D1034">
        <v>10381</v>
      </c>
      <c r="E1034" t="s">
        <v>37</v>
      </c>
      <c r="F1034" t="s">
        <v>436</v>
      </c>
      <c r="H1034">
        <v>38</v>
      </c>
      <c r="I1034" s="25">
        <v>300</v>
      </c>
      <c r="K1034" t="s">
        <v>103</v>
      </c>
      <c r="N1034" t="s">
        <v>42</v>
      </c>
      <c r="P1034">
        <v>180</v>
      </c>
      <c r="Q1034">
        <f t="shared" si="37"/>
        <v>4</v>
      </c>
      <c r="R1034">
        <v>1</v>
      </c>
      <c r="S1034">
        <v>0</v>
      </c>
      <c r="T1034">
        <v>0</v>
      </c>
      <c r="U1034">
        <v>0</v>
      </c>
      <c r="V1034">
        <v>1</v>
      </c>
      <c r="W1034">
        <v>3</v>
      </c>
      <c r="X1034" s="21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f t="shared" si="38"/>
        <v>352</v>
      </c>
      <c r="AP1034" t="s">
        <v>41</v>
      </c>
    </row>
    <row r="1035" spans="1:42">
      <c r="A1035" s="1">
        <v>43779</v>
      </c>
      <c r="B1035">
        <v>7</v>
      </c>
      <c r="C1035">
        <v>201</v>
      </c>
      <c r="D1035">
        <v>10381</v>
      </c>
      <c r="E1035" t="s">
        <v>37</v>
      </c>
      <c r="F1035" t="s">
        <v>436</v>
      </c>
      <c r="H1035">
        <v>39</v>
      </c>
      <c r="I1035" s="25">
        <v>241</v>
      </c>
      <c r="K1035" t="s">
        <v>103</v>
      </c>
      <c r="N1035" t="s">
        <v>44</v>
      </c>
      <c r="O1035">
        <v>127</v>
      </c>
      <c r="Q1035">
        <f t="shared" si="37"/>
        <v>2</v>
      </c>
      <c r="R1035">
        <v>1</v>
      </c>
      <c r="S1035">
        <v>0</v>
      </c>
      <c r="T1035">
        <v>0</v>
      </c>
      <c r="U1035">
        <v>0</v>
      </c>
      <c r="V1035">
        <v>0</v>
      </c>
      <c r="W1035">
        <v>2</v>
      </c>
      <c r="X1035" s="21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f t="shared" si="38"/>
        <v>192</v>
      </c>
      <c r="AP1035" t="s">
        <v>41</v>
      </c>
    </row>
    <row r="1036" spans="1:42">
      <c r="A1036" s="1">
        <v>43779</v>
      </c>
      <c r="B1036">
        <v>7</v>
      </c>
      <c r="C1036">
        <v>201</v>
      </c>
      <c r="D1036">
        <v>10381</v>
      </c>
      <c r="E1036" t="s">
        <v>37</v>
      </c>
      <c r="F1036" t="s">
        <v>436</v>
      </c>
      <c r="H1036">
        <v>40</v>
      </c>
      <c r="I1036" s="25">
        <v>225</v>
      </c>
      <c r="K1036" t="s">
        <v>103</v>
      </c>
      <c r="N1036" t="s">
        <v>44</v>
      </c>
      <c r="O1036">
        <v>127</v>
      </c>
      <c r="Q1036">
        <f t="shared" si="37"/>
        <v>1</v>
      </c>
      <c r="R1036">
        <v>1</v>
      </c>
      <c r="S1036">
        <v>0</v>
      </c>
      <c r="T1036">
        <v>0</v>
      </c>
      <c r="U1036">
        <v>0</v>
      </c>
      <c r="V1036">
        <v>0</v>
      </c>
      <c r="W1036">
        <v>1</v>
      </c>
      <c r="X1036" s="21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f t="shared" si="38"/>
        <v>96</v>
      </c>
      <c r="AP1036" t="s">
        <v>41</v>
      </c>
    </row>
    <row r="1037" spans="1:42">
      <c r="A1037" s="1">
        <v>43779</v>
      </c>
      <c r="B1037">
        <v>7</v>
      </c>
      <c r="C1037">
        <v>201</v>
      </c>
      <c r="D1037">
        <v>10381</v>
      </c>
      <c r="E1037" t="s">
        <v>37</v>
      </c>
      <c r="F1037" t="s">
        <v>436</v>
      </c>
      <c r="H1037">
        <v>41</v>
      </c>
      <c r="I1037" s="25"/>
      <c r="Q1037">
        <f t="shared" si="37"/>
        <v>0</v>
      </c>
      <c r="R1037">
        <v>1</v>
      </c>
      <c r="S1037">
        <v>0</v>
      </c>
      <c r="T1037">
        <v>0</v>
      </c>
      <c r="U1037">
        <v>0</v>
      </c>
      <c r="V1037">
        <v>0</v>
      </c>
      <c r="W1037">
        <v>0</v>
      </c>
      <c r="X1037" s="21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f t="shared" si="38"/>
        <v>0</v>
      </c>
      <c r="AP1037" t="s">
        <v>41</v>
      </c>
    </row>
    <row r="1038" spans="1:42">
      <c r="A1038" s="1">
        <v>43779</v>
      </c>
      <c r="B1038">
        <v>7</v>
      </c>
      <c r="C1038">
        <v>201</v>
      </c>
      <c r="D1038">
        <v>10381</v>
      </c>
      <c r="E1038" t="s">
        <v>37</v>
      </c>
      <c r="F1038" t="s">
        <v>436</v>
      </c>
      <c r="H1038">
        <v>42</v>
      </c>
      <c r="I1038" s="25"/>
      <c r="Q1038">
        <f t="shared" si="37"/>
        <v>0</v>
      </c>
      <c r="R1038">
        <v>1</v>
      </c>
      <c r="S1038">
        <v>0</v>
      </c>
      <c r="T1038">
        <v>0</v>
      </c>
      <c r="U1038">
        <v>0</v>
      </c>
      <c r="V1038">
        <v>0</v>
      </c>
      <c r="W1038">
        <v>0</v>
      </c>
      <c r="X1038" s="21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f t="shared" si="38"/>
        <v>0</v>
      </c>
      <c r="AP1038" t="s">
        <v>41</v>
      </c>
    </row>
    <row r="1039" spans="1:42">
      <c r="A1039" s="1">
        <v>43779</v>
      </c>
      <c r="B1039">
        <v>7</v>
      </c>
      <c r="C1039">
        <v>201</v>
      </c>
      <c r="D1039">
        <v>10381</v>
      </c>
      <c r="E1039" t="s">
        <v>37</v>
      </c>
      <c r="F1039" t="s">
        <v>436</v>
      </c>
      <c r="H1039">
        <v>43</v>
      </c>
      <c r="I1039" s="25"/>
      <c r="Q1039">
        <f t="shared" si="37"/>
        <v>0</v>
      </c>
      <c r="R1039">
        <v>1</v>
      </c>
      <c r="S1039">
        <v>0</v>
      </c>
      <c r="T1039">
        <v>0</v>
      </c>
      <c r="U1039">
        <v>0</v>
      </c>
      <c r="V1039">
        <v>0</v>
      </c>
      <c r="W1039">
        <v>0</v>
      </c>
      <c r="X1039" s="21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f t="shared" si="38"/>
        <v>0</v>
      </c>
      <c r="AP1039" t="s">
        <v>41</v>
      </c>
    </row>
    <row r="1040" spans="1:42">
      <c r="A1040" s="1">
        <v>43779</v>
      </c>
      <c r="B1040">
        <v>7</v>
      </c>
      <c r="C1040">
        <v>201</v>
      </c>
      <c r="D1040">
        <v>10381</v>
      </c>
      <c r="E1040" t="s">
        <v>37</v>
      </c>
      <c r="F1040" t="s">
        <v>436</v>
      </c>
      <c r="H1040">
        <v>44</v>
      </c>
      <c r="I1040" s="25"/>
      <c r="Q1040">
        <f t="shared" si="37"/>
        <v>0</v>
      </c>
      <c r="R1040">
        <v>1</v>
      </c>
      <c r="S1040">
        <v>0</v>
      </c>
      <c r="T1040">
        <v>0</v>
      </c>
      <c r="U1040">
        <v>0</v>
      </c>
      <c r="V1040">
        <v>0</v>
      </c>
      <c r="W1040">
        <v>0</v>
      </c>
      <c r="X1040" s="21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f t="shared" si="38"/>
        <v>0</v>
      </c>
      <c r="AP1040" t="s">
        <v>41</v>
      </c>
    </row>
    <row r="1041" spans="1:42">
      <c r="A1041" s="1">
        <v>43779</v>
      </c>
      <c r="B1041">
        <v>7</v>
      </c>
      <c r="C1041">
        <v>201</v>
      </c>
      <c r="D1041">
        <v>10381</v>
      </c>
      <c r="E1041" t="s">
        <v>37</v>
      </c>
      <c r="F1041" t="s">
        <v>436</v>
      </c>
      <c r="H1041">
        <v>45</v>
      </c>
      <c r="I1041" s="25"/>
      <c r="Q1041">
        <f t="shared" si="37"/>
        <v>0</v>
      </c>
      <c r="R1041">
        <v>1</v>
      </c>
      <c r="S1041">
        <v>0</v>
      </c>
      <c r="T1041">
        <v>0</v>
      </c>
      <c r="U1041">
        <v>0</v>
      </c>
      <c r="V1041">
        <v>0</v>
      </c>
      <c r="W1041">
        <v>0</v>
      </c>
      <c r="X1041" s="2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f t="shared" si="38"/>
        <v>0</v>
      </c>
      <c r="AP1041" t="s">
        <v>41</v>
      </c>
    </row>
    <row r="1042" spans="1:42">
      <c r="A1042" s="1">
        <v>43779</v>
      </c>
      <c r="B1042">
        <v>7</v>
      </c>
      <c r="C1042">
        <v>201</v>
      </c>
      <c r="D1042">
        <v>10381</v>
      </c>
      <c r="E1042" t="s">
        <v>37</v>
      </c>
      <c r="F1042" t="s">
        <v>436</v>
      </c>
      <c r="H1042">
        <v>46</v>
      </c>
      <c r="I1042" s="25"/>
      <c r="Q1042">
        <f t="shared" si="37"/>
        <v>0</v>
      </c>
      <c r="R1042">
        <v>1</v>
      </c>
      <c r="S1042">
        <v>0</v>
      </c>
      <c r="T1042">
        <v>0</v>
      </c>
      <c r="U1042">
        <v>0</v>
      </c>
      <c r="V1042">
        <v>0</v>
      </c>
      <c r="W1042">
        <v>0</v>
      </c>
      <c r="X1042" s="21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f t="shared" si="38"/>
        <v>0</v>
      </c>
      <c r="AP1042" t="s">
        <v>41</v>
      </c>
    </row>
    <row r="1043" spans="1:42">
      <c r="A1043" s="1">
        <v>43779</v>
      </c>
      <c r="B1043">
        <v>7</v>
      </c>
      <c r="C1043">
        <v>201</v>
      </c>
      <c r="D1043">
        <v>10381</v>
      </c>
      <c r="E1043" t="s">
        <v>37</v>
      </c>
      <c r="F1043" t="s">
        <v>436</v>
      </c>
      <c r="H1043">
        <v>47</v>
      </c>
      <c r="I1043" s="25">
        <v>34</v>
      </c>
      <c r="K1043" t="s">
        <v>96</v>
      </c>
      <c r="O1043">
        <v>202</v>
      </c>
      <c r="Q1043">
        <f t="shared" si="37"/>
        <v>7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7</v>
      </c>
      <c r="X1043" s="21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f t="shared" si="38"/>
        <v>672</v>
      </c>
      <c r="AL1043" t="s">
        <v>437</v>
      </c>
      <c r="AP1043" t="s">
        <v>41</v>
      </c>
    </row>
    <row r="1044" spans="1:42">
      <c r="A1044" s="1">
        <v>43779</v>
      </c>
      <c r="B1044">
        <v>7</v>
      </c>
      <c r="C1044">
        <v>201</v>
      </c>
      <c r="D1044">
        <v>10381</v>
      </c>
      <c r="E1044" t="s">
        <v>37</v>
      </c>
      <c r="F1044" t="s">
        <v>436</v>
      </c>
      <c r="H1044">
        <v>48</v>
      </c>
      <c r="I1044" s="25">
        <v>50</v>
      </c>
      <c r="K1044" t="s">
        <v>96</v>
      </c>
      <c r="O1044">
        <v>202</v>
      </c>
      <c r="Q1044">
        <f t="shared" si="37"/>
        <v>4</v>
      </c>
      <c r="R1044">
        <v>1</v>
      </c>
      <c r="S1044">
        <v>0</v>
      </c>
      <c r="T1044">
        <v>0</v>
      </c>
      <c r="U1044">
        <v>0</v>
      </c>
      <c r="V1044">
        <v>0</v>
      </c>
      <c r="W1044">
        <v>4</v>
      </c>
      <c r="X1044" s="21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f t="shared" si="38"/>
        <v>384</v>
      </c>
      <c r="AP1044" t="s">
        <v>41</v>
      </c>
    </row>
    <row r="1045" spans="1:42">
      <c r="A1045" s="1">
        <v>43779</v>
      </c>
      <c r="B1045">
        <v>7</v>
      </c>
      <c r="C1045">
        <v>201</v>
      </c>
      <c r="D1045">
        <v>10381</v>
      </c>
      <c r="E1045" t="s">
        <v>37</v>
      </c>
      <c r="F1045" t="s">
        <v>436</v>
      </c>
      <c r="H1045">
        <v>49</v>
      </c>
      <c r="I1045" s="25">
        <v>57</v>
      </c>
      <c r="K1045" t="s">
        <v>101</v>
      </c>
      <c r="O1045">
        <v>105</v>
      </c>
      <c r="Q1045">
        <f t="shared" si="37"/>
        <v>2</v>
      </c>
      <c r="R1045">
        <v>1</v>
      </c>
      <c r="S1045">
        <v>0</v>
      </c>
      <c r="T1045">
        <v>0</v>
      </c>
      <c r="U1045">
        <v>0</v>
      </c>
      <c r="V1045">
        <v>0</v>
      </c>
      <c r="W1045">
        <v>0</v>
      </c>
      <c r="X1045" s="21">
        <v>0</v>
      </c>
      <c r="Y1045">
        <v>0</v>
      </c>
      <c r="Z1045">
        <v>0</v>
      </c>
      <c r="AA1045">
        <v>2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f t="shared" si="38"/>
        <v>0</v>
      </c>
      <c r="AL1045" t="s">
        <v>457</v>
      </c>
      <c r="AP1045" t="s">
        <v>41</v>
      </c>
    </row>
    <row r="1046" spans="1:42">
      <c r="A1046" s="1">
        <v>43779</v>
      </c>
      <c r="B1046">
        <v>7</v>
      </c>
      <c r="C1046">
        <v>201</v>
      </c>
      <c r="D1046">
        <v>10381</v>
      </c>
      <c r="E1046" t="s">
        <v>37</v>
      </c>
      <c r="F1046" t="s">
        <v>436</v>
      </c>
      <c r="H1046">
        <v>50</v>
      </c>
      <c r="I1046" s="25">
        <v>100</v>
      </c>
      <c r="K1046" t="s">
        <v>96</v>
      </c>
      <c r="N1046" t="s">
        <v>44</v>
      </c>
      <c r="P1046">
        <v>501</v>
      </c>
      <c r="Q1046">
        <f t="shared" si="37"/>
        <v>0</v>
      </c>
      <c r="R1046">
        <v>8</v>
      </c>
      <c r="S1046">
        <v>0</v>
      </c>
      <c r="T1046">
        <v>0</v>
      </c>
      <c r="U1046">
        <v>0</v>
      </c>
      <c r="V1046">
        <v>0</v>
      </c>
      <c r="W1046">
        <v>0</v>
      </c>
      <c r="X1046" s="21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f t="shared" si="38"/>
        <v>0</v>
      </c>
      <c r="AP1046" t="s">
        <v>41</v>
      </c>
    </row>
    <row r="1047" spans="1:42">
      <c r="A1047" s="1">
        <v>43779</v>
      </c>
      <c r="B1047">
        <v>7</v>
      </c>
      <c r="C1047">
        <v>201</v>
      </c>
      <c r="D1047">
        <v>10381</v>
      </c>
      <c r="E1047" t="s">
        <v>37</v>
      </c>
      <c r="F1047" t="s">
        <v>436</v>
      </c>
      <c r="H1047">
        <v>51</v>
      </c>
      <c r="I1047" s="25">
        <v>300</v>
      </c>
      <c r="K1047" t="s">
        <v>94</v>
      </c>
      <c r="N1047" t="s">
        <v>40</v>
      </c>
      <c r="P1047">
        <v>472</v>
      </c>
      <c r="Q1047">
        <f t="shared" si="37"/>
        <v>21</v>
      </c>
      <c r="R1047">
        <v>6</v>
      </c>
      <c r="S1047">
        <v>0</v>
      </c>
      <c r="T1047">
        <v>0</v>
      </c>
      <c r="U1047">
        <v>0</v>
      </c>
      <c r="V1047">
        <v>0</v>
      </c>
      <c r="W1047">
        <v>21</v>
      </c>
      <c r="X1047" s="21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f t="shared" si="38"/>
        <v>2016</v>
      </c>
      <c r="AP1047" t="s">
        <v>41</v>
      </c>
    </row>
    <row r="1048" spans="1:42">
      <c r="A1048" s="1">
        <v>43779</v>
      </c>
      <c r="B1048">
        <v>7</v>
      </c>
      <c r="C1048">
        <v>201</v>
      </c>
      <c r="D1048">
        <v>10381</v>
      </c>
      <c r="E1048" t="s">
        <v>37</v>
      </c>
      <c r="F1048" t="s">
        <v>436</v>
      </c>
      <c r="H1048">
        <v>52</v>
      </c>
      <c r="I1048" s="25">
        <v>200</v>
      </c>
      <c r="K1048" t="s">
        <v>94</v>
      </c>
      <c r="N1048" t="s">
        <v>40</v>
      </c>
      <c r="P1048">
        <v>609</v>
      </c>
      <c r="Q1048">
        <f t="shared" ref="Q1048:Q1111" si="39">SUM(S1048:AC1048)</f>
        <v>21</v>
      </c>
      <c r="R1048">
        <v>4</v>
      </c>
      <c r="S1048">
        <v>0</v>
      </c>
      <c r="T1048">
        <v>0</v>
      </c>
      <c r="U1048">
        <v>1</v>
      </c>
      <c r="V1048">
        <v>4</v>
      </c>
      <c r="W1048">
        <v>16</v>
      </c>
      <c r="X1048" s="21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f t="shared" ref="AH1048:AH1111" si="40">(S1048*16)+(T1048*20)+(U1048*32)+(V1048*64)+(W1048*96)</f>
        <v>1824</v>
      </c>
      <c r="AP1048" t="s">
        <v>41</v>
      </c>
    </row>
    <row r="1049" spans="1:42">
      <c r="A1049" s="1">
        <v>43779</v>
      </c>
      <c r="B1049">
        <v>7</v>
      </c>
      <c r="C1049">
        <v>201</v>
      </c>
      <c r="D1049">
        <v>10381</v>
      </c>
      <c r="E1049" t="s">
        <v>37</v>
      </c>
      <c r="F1049" t="s">
        <v>436</v>
      </c>
      <c r="H1049">
        <v>53</v>
      </c>
      <c r="I1049" s="25">
        <v>100</v>
      </c>
      <c r="K1049" t="s">
        <v>94</v>
      </c>
      <c r="N1049" t="s">
        <v>40</v>
      </c>
      <c r="P1049">
        <v>616</v>
      </c>
      <c r="Q1049">
        <f t="shared" si="39"/>
        <v>24</v>
      </c>
      <c r="R1049">
        <v>8</v>
      </c>
      <c r="S1049">
        <v>0</v>
      </c>
      <c r="T1049">
        <v>0</v>
      </c>
      <c r="U1049">
        <v>0</v>
      </c>
      <c r="V1049">
        <v>6</v>
      </c>
      <c r="W1049">
        <v>18</v>
      </c>
      <c r="X1049" s="21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f t="shared" si="40"/>
        <v>2112</v>
      </c>
      <c r="AL1049" t="s">
        <v>458</v>
      </c>
      <c r="AP1049" t="s">
        <v>41</v>
      </c>
    </row>
    <row r="1050" spans="1:42">
      <c r="A1050" s="1">
        <v>43779</v>
      </c>
      <c r="B1050">
        <v>7</v>
      </c>
      <c r="C1050">
        <v>201</v>
      </c>
      <c r="D1050">
        <v>10381</v>
      </c>
      <c r="E1050" t="s">
        <v>37</v>
      </c>
      <c r="F1050" t="s">
        <v>436</v>
      </c>
      <c r="H1050">
        <v>54</v>
      </c>
      <c r="I1050" s="25">
        <v>8</v>
      </c>
      <c r="K1050" t="s">
        <v>94</v>
      </c>
      <c r="N1050" t="s">
        <v>40</v>
      </c>
      <c r="O1050">
        <v>53</v>
      </c>
      <c r="Q1050">
        <f t="shared" si="39"/>
        <v>0</v>
      </c>
      <c r="R1050">
        <v>1</v>
      </c>
      <c r="S1050">
        <v>0</v>
      </c>
      <c r="T1050">
        <v>0</v>
      </c>
      <c r="U1050">
        <v>0</v>
      </c>
      <c r="V1050">
        <v>0</v>
      </c>
      <c r="W1050">
        <v>0</v>
      </c>
      <c r="X1050" s="21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f t="shared" si="40"/>
        <v>0</v>
      </c>
      <c r="AL1050" t="s">
        <v>437</v>
      </c>
      <c r="AP1050" t="s">
        <v>41</v>
      </c>
    </row>
    <row r="1051" spans="1:42">
      <c r="A1051" s="1">
        <v>43779</v>
      </c>
      <c r="B1051">
        <v>7</v>
      </c>
      <c r="C1051">
        <v>201</v>
      </c>
      <c r="D1051">
        <v>10381</v>
      </c>
      <c r="E1051" t="s">
        <v>37</v>
      </c>
      <c r="F1051" t="s">
        <v>436</v>
      </c>
      <c r="H1051">
        <v>55</v>
      </c>
      <c r="I1051" s="25">
        <v>83</v>
      </c>
      <c r="K1051" t="s">
        <v>94</v>
      </c>
      <c r="N1051" t="s">
        <v>40</v>
      </c>
      <c r="O1051">
        <v>53</v>
      </c>
      <c r="Q1051">
        <f t="shared" si="39"/>
        <v>0</v>
      </c>
      <c r="R1051">
        <v>1</v>
      </c>
      <c r="S1051">
        <v>0</v>
      </c>
      <c r="T1051">
        <v>0</v>
      </c>
      <c r="U1051">
        <v>0</v>
      </c>
      <c r="V1051">
        <v>0</v>
      </c>
      <c r="W1051">
        <v>0</v>
      </c>
      <c r="X1051" s="2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f t="shared" si="40"/>
        <v>0</v>
      </c>
      <c r="AP1051" t="s">
        <v>41</v>
      </c>
    </row>
    <row r="1052" spans="1:42">
      <c r="A1052" s="1">
        <v>43779</v>
      </c>
      <c r="B1052">
        <v>7</v>
      </c>
      <c r="C1052">
        <v>201</v>
      </c>
      <c r="D1052">
        <v>10381</v>
      </c>
      <c r="E1052" t="s">
        <v>37</v>
      </c>
      <c r="F1052" t="s">
        <v>436</v>
      </c>
      <c r="H1052">
        <v>56</v>
      </c>
      <c r="I1052" s="25">
        <v>104</v>
      </c>
      <c r="K1052" t="s">
        <v>459</v>
      </c>
      <c r="N1052" t="s">
        <v>40</v>
      </c>
      <c r="O1052">
        <v>53</v>
      </c>
      <c r="Q1052">
        <f t="shared" si="39"/>
        <v>0</v>
      </c>
      <c r="R1052">
        <v>1</v>
      </c>
      <c r="S1052">
        <v>0</v>
      </c>
      <c r="T1052">
        <v>0</v>
      </c>
      <c r="U1052">
        <v>0</v>
      </c>
      <c r="V1052">
        <v>0</v>
      </c>
      <c r="W1052">
        <v>0</v>
      </c>
      <c r="X1052" s="21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f t="shared" si="40"/>
        <v>0</v>
      </c>
      <c r="AP1052" t="s">
        <v>41</v>
      </c>
    </row>
    <row r="1053" spans="1:42">
      <c r="A1053" s="1">
        <v>43779</v>
      </c>
      <c r="B1053">
        <v>7</v>
      </c>
      <c r="C1053">
        <v>201</v>
      </c>
      <c r="D1053">
        <v>10381</v>
      </c>
      <c r="E1053" t="s">
        <v>37</v>
      </c>
      <c r="F1053" t="s">
        <v>436</v>
      </c>
      <c r="H1053">
        <v>57</v>
      </c>
      <c r="I1053" s="25">
        <v>1</v>
      </c>
      <c r="K1053" t="s">
        <v>460</v>
      </c>
      <c r="N1053" t="s">
        <v>40</v>
      </c>
      <c r="O1053">
        <v>53</v>
      </c>
      <c r="Q1053">
        <f t="shared" si="39"/>
        <v>0</v>
      </c>
      <c r="R1053">
        <v>1</v>
      </c>
      <c r="S1053">
        <v>0</v>
      </c>
      <c r="T1053">
        <v>0</v>
      </c>
      <c r="U1053">
        <v>0</v>
      </c>
      <c r="V1053">
        <v>0</v>
      </c>
      <c r="W1053">
        <v>0</v>
      </c>
      <c r="X1053" s="21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f t="shared" si="40"/>
        <v>0</v>
      </c>
      <c r="AP1053" t="s">
        <v>41</v>
      </c>
    </row>
    <row r="1054" spans="1:42">
      <c r="A1054" s="1">
        <v>43779</v>
      </c>
      <c r="B1054">
        <v>7</v>
      </c>
      <c r="C1054">
        <v>201</v>
      </c>
      <c r="D1054">
        <v>10381</v>
      </c>
      <c r="E1054" t="s">
        <v>37</v>
      </c>
      <c r="F1054" t="s">
        <v>436</v>
      </c>
      <c r="H1054">
        <v>58</v>
      </c>
      <c r="I1054" s="25">
        <v>125</v>
      </c>
      <c r="K1054" t="s">
        <v>100</v>
      </c>
      <c r="N1054" t="s">
        <v>40</v>
      </c>
      <c r="O1054">
        <v>53</v>
      </c>
      <c r="Q1054">
        <f t="shared" si="39"/>
        <v>0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0</v>
      </c>
      <c r="X1054" s="21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f t="shared" si="40"/>
        <v>0</v>
      </c>
      <c r="AP1054" t="s">
        <v>41</v>
      </c>
    </row>
    <row r="1055" spans="1:42">
      <c r="A1055" s="1">
        <v>43779</v>
      </c>
      <c r="B1055">
        <v>7</v>
      </c>
      <c r="C1055">
        <v>201</v>
      </c>
      <c r="D1055">
        <v>10381</v>
      </c>
      <c r="E1055" t="s">
        <v>37</v>
      </c>
      <c r="F1055" t="s">
        <v>436</v>
      </c>
      <c r="H1055">
        <v>59</v>
      </c>
      <c r="I1055" s="25">
        <v>120</v>
      </c>
      <c r="K1055" t="s">
        <v>100</v>
      </c>
      <c r="N1055" t="s">
        <v>40</v>
      </c>
      <c r="O1055">
        <v>53</v>
      </c>
      <c r="Q1055">
        <f t="shared" si="39"/>
        <v>0</v>
      </c>
      <c r="R1055">
        <v>1</v>
      </c>
      <c r="S1055">
        <v>0</v>
      </c>
      <c r="T1055">
        <v>0</v>
      </c>
      <c r="U1055">
        <v>0</v>
      </c>
      <c r="V1055">
        <v>0</v>
      </c>
      <c r="W1055">
        <v>0</v>
      </c>
      <c r="X1055" s="21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f t="shared" si="40"/>
        <v>0</v>
      </c>
      <c r="AP1055" t="s">
        <v>41</v>
      </c>
    </row>
    <row r="1056" spans="1:42">
      <c r="A1056" s="1">
        <v>43779</v>
      </c>
      <c r="B1056">
        <v>7</v>
      </c>
      <c r="C1056">
        <v>201</v>
      </c>
      <c r="D1056">
        <v>10381</v>
      </c>
      <c r="E1056" t="s">
        <v>37</v>
      </c>
      <c r="F1056" t="s">
        <v>436</v>
      </c>
      <c r="H1056">
        <v>60</v>
      </c>
      <c r="I1056" s="25">
        <v>101</v>
      </c>
      <c r="K1056" t="s">
        <v>407</v>
      </c>
      <c r="N1056" t="s">
        <v>40</v>
      </c>
      <c r="O1056">
        <v>53</v>
      </c>
      <c r="Q1056">
        <f t="shared" si="39"/>
        <v>0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0</v>
      </c>
      <c r="X1056" s="21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f t="shared" si="40"/>
        <v>0</v>
      </c>
      <c r="AP1056" t="s">
        <v>41</v>
      </c>
    </row>
    <row r="1057" spans="1:42">
      <c r="A1057" s="1">
        <v>43779</v>
      </c>
      <c r="B1057">
        <v>7</v>
      </c>
      <c r="C1057">
        <v>201</v>
      </c>
      <c r="D1057">
        <v>10381</v>
      </c>
      <c r="E1057" t="s">
        <v>37</v>
      </c>
      <c r="F1057" t="s">
        <v>436</v>
      </c>
      <c r="H1057">
        <v>61</v>
      </c>
      <c r="I1057" s="25">
        <v>45</v>
      </c>
      <c r="K1057" t="s">
        <v>407</v>
      </c>
      <c r="N1057" t="s">
        <v>40</v>
      </c>
      <c r="O1057">
        <v>64</v>
      </c>
      <c r="Q1057">
        <f t="shared" si="39"/>
        <v>0</v>
      </c>
      <c r="R1057">
        <v>1</v>
      </c>
      <c r="S1057">
        <v>0</v>
      </c>
      <c r="T1057">
        <v>0</v>
      </c>
      <c r="U1057">
        <v>0</v>
      </c>
      <c r="V1057">
        <v>0</v>
      </c>
      <c r="W1057">
        <v>0</v>
      </c>
      <c r="X1057" s="21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f t="shared" si="40"/>
        <v>0</v>
      </c>
      <c r="AP1057" t="s">
        <v>41</v>
      </c>
    </row>
    <row r="1058" spans="1:42">
      <c r="A1058" s="1">
        <v>43779</v>
      </c>
      <c r="B1058">
        <v>7</v>
      </c>
      <c r="C1058">
        <v>201</v>
      </c>
      <c r="D1058">
        <v>10381</v>
      </c>
      <c r="E1058" t="s">
        <v>37</v>
      </c>
      <c r="F1058" t="s">
        <v>436</v>
      </c>
      <c r="H1058">
        <v>62</v>
      </c>
      <c r="I1058" s="25">
        <v>63</v>
      </c>
      <c r="K1058" t="s">
        <v>100</v>
      </c>
      <c r="N1058" t="s">
        <v>40</v>
      </c>
      <c r="O1058">
        <v>64</v>
      </c>
      <c r="Q1058">
        <f t="shared" si="39"/>
        <v>0</v>
      </c>
      <c r="R1058">
        <v>1</v>
      </c>
      <c r="S1058">
        <v>0</v>
      </c>
      <c r="T1058">
        <v>0</v>
      </c>
      <c r="U1058">
        <v>0</v>
      </c>
      <c r="V1058">
        <v>0</v>
      </c>
      <c r="W1058">
        <v>0</v>
      </c>
      <c r="X1058" s="21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f t="shared" si="40"/>
        <v>0</v>
      </c>
      <c r="AP1058" t="s">
        <v>41</v>
      </c>
    </row>
    <row r="1059" spans="1:42">
      <c r="A1059" s="1">
        <v>43779</v>
      </c>
      <c r="B1059">
        <v>7</v>
      </c>
      <c r="C1059">
        <v>201</v>
      </c>
      <c r="D1059">
        <v>10381</v>
      </c>
      <c r="E1059" t="s">
        <v>37</v>
      </c>
      <c r="F1059" t="s">
        <v>436</v>
      </c>
      <c r="H1059">
        <v>63</v>
      </c>
      <c r="I1059" s="25">
        <v>34</v>
      </c>
      <c r="K1059" t="s">
        <v>100</v>
      </c>
      <c r="N1059" t="s">
        <v>40</v>
      </c>
      <c r="O1059">
        <v>64</v>
      </c>
      <c r="Q1059">
        <f t="shared" si="39"/>
        <v>0</v>
      </c>
      <c r="R1059">
        <v>1</v>
      </c>
      <c r="S1059">
        <v>0</v>
      </c>
      <c r="T1059">
        <v>0</v>
      </c>
      <c r="U1059">
        <v>0</v>
      </c>
      <c r="V1059">
        <v>0</v>
      </c>
      <c r="W1059">
        <v>0</v>
      </c>
      <c r="X1059" s="21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f t="shared" si="40"/>
        <v>0</v>
      </c>
      <c r="AP1059" t="s">
        <v>41</v>
      </c>
    </row>
    <row r="1060" spans="1:42">
      <c r="A1060" s="1">
        <v>43779</v>
      </c>
      <c r="B1060">
        <v>7</v>
      </c>
      <c r="C1060">
        <v>201</v>
      </c>
      <c r="D1060">
        <v>10381</v>
      </c>
      <c r="E1060" t="s">
        <v>37</v>
      </c>
      <c r="F1060" t="s">
        <v>436</v>
      </c>
      <c r="H1060">
        <v>64</v>
      </c>
      <c r="I1060" s="25">
        <v>39</v>
      </c>
      <c r="K1060" t="s">
        <v>50</v>
      </c>
      <c r="N1060" t="s">
        <v>40</v>
      </c>
      <c r="O1060">
        <v>64</v>
      </c>
      <c r="Q1060">
        <f t="shared" si="39"/>
        <v>0</v>
      </c>
      <c r="R1060">
        <v>1</v>
      </c>
      <c r="S1060">
        <v>0</v>
      </c>
      <c r="T1060">
        <v>0</v>
      </c>
      <c r="U1060">
        <v>0</v>
      </c>
      <c r="V1060">
        <v>0</v>
      </c>
      <c r="W1060">
        <v>0</v>
      </c>
      <c r="X1060" s="21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f t="shared" si="40"/>
        <v>0</v>
      </c>
      <c r="AP1060" t="s">
        <v>41</v>
      </c>
    </row>
    <row r="1061" spans="1:42">
      <c r="A1061" s="1">
        <v>43779</v>
      </c>
      <c r="B1061">
        <v>7</v>
      </c>
      <c r="C1061">
        <v>201</v>
      </c>
      <c r="D1061">
        <v>10381</v>
      </c>
      <c r="E1061" t="s">
        <v>37</v>
      </c>
      <c r="F1061" t="s">
        <v>436</v>
      </c>
      <c r="H1061">
        <v>65</v>
      </c>
      <c r="I1061" s="25">
        <v>800</v>
      </c>
      <c r="K1061" t="s">
        <v>73</v>
      </c>
      <c r="O1061">
        <v>64</v>
      </c>
      <c r="Q1061">
        <f t="shared" si="39"/>
        <v>0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0</v>
      </c>
      <c r="X1061" s="2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f t="shared" si="40"/>
        <v>0</v>
      </c>
      <c r="AL1061" t="s">
        <v>461</v>
      </c>
      <c r="AP1061" t="s">
        <v>41</v>
      </c>
    </row>
    <row r="1062" spans="1:42">
      <c r="A1062" s="1">
        <v>43779</v>
      </c>
      <c r="B1062">
        <v>7</v>
      </c>
      <c r="C1062">
        <v>201</v>
      </c>
      <c r="D1062">
        <v>10381</v>
      </c>
      <c r="E1062" t="s">
        <v>37</v>
      </c>
      <c r="F1062" t="s">
        <v>436</v>
      </c>
      <c r="H1062">
        <v>66</v>
      </c>
      <c r="I1062" s="25">
        <v>243</v>
      </c>
      <c r="K1062" t="s">
        <v>98</v>
      </c>
      <c r="N1062" t="s">
        <v>40</v>
      </c>
      <c r="O1062">
        <v>49</v>
      </c>
      <c r="Q1062">
        <f t="shared" si="39"/>
        <v>0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0</v>
      </c>
      <c r="X1062" s="21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f t="shared" si="40"/>
        <v>0</v>
      </c>
      <c r="AP1062" t="s">
        <v>41</v>
      </c>
    </row>
    <row r="1063" spans="1:42">
      <c r="A1063" s="1">
        <v>43779</v>
      </c>
      <c r="B1063">
        <v>7</v>
      </c>
      <c r="C1063">
        <v>201</v>
      </c>
      <c r="D1063">
        <v>10381</v>
      </c>
      <c r="E1063" t="s">
        <v>37</v>
      </c>
      <c r="F1063" t="s">
        <v>436</v>
      </c>
      <c r="H1063">
        <v>67</v>
      </c>
      <c r="I1063" s="25">
        <v>115</v>
      </c>
      <c r="K1063" t="s">
        <v>462</v>
      </c>
      <c r="N1063" t="s">
        <v>40</v>
      </c>
      <c r="O1063">
        <v>49</v>
      </c>
      <c r="Q1063">
        <f t="shared" si="39"/>
        <v>0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0</v>
      </c>
      <c r="X1063" s="21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f t="shared" si="40"/>
        <v>0</v>
      </c>
      <c r="AP1063" t="s">
        <v>41</v>
      </c>
    </row>
    <row r="1064" spans="1:42">
      <c r="A1064" s="1">
        <v>43779</v>
      </c>
      <c r="B1064">
        <v>7</v>
      </c>
      <c r="C1064">
        <v>201</v>
      </c>
      <c r="D1064">
        <v>10381</v>
      </c>
      <c r="E1064" t="s">
        <v>37</v>
      </c>
      <c r="F1064" t="s">
        <v>436</v>
      </c>
      <c r="H1064">
        <v>68</v>
      </c>
      <c r="I1064" s="25">
        <v>138</v>
      </c>
      <c r="K1064" t="s">
        <v>462</v>
      </c>
      <c r="N1064" t="s">
        <v>40</v>
      </c>
      <c r="O1064">
        <v>49</v>
      </c>
      <c r="Q1064">
        <f t="shared" si="39"/>
        <v>0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0</v>
      </c>
      <c r="X1064" s="21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f t="shared" si="40"/>
        <v>0</v>
      </c>
      <c r="AP1064" t="s">
        <v>41</v>
      </c>
    </row>
    <row r="1065" spans="1:42">
      <c r="A1065" s="1">
        <v>43779</v>
      </c>
      <c r="B1065">
        <v>7</v>
      </c>
      <c r="C1065">
        <v>201</v>
      </c>
      <c r="D1065">
        <v>10381</v>
      </c>
      <c r="E1065" t="s">
        <v>37</v>
      </c>
      <c r="F1065" t="s">
        <v>436</v>
      </c>
      <c r="H1065">
        <v>69</v>
      </c>
      <c r="I1065" s="25">
        <v>222</v>
      </c>
      <c r="K1065" t="s">
        <v>102</v>
      </c>
      <c r="N1065" t="s">
        <v>40</v>
      </c>
      <c r="O1065">
        <v>49</v>
      </c>
      <c r="Q1065">
        <f t="shared" si="39"/>
        <v>0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0</v>
      </c>
      <c r="X1065" s="21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f t="shared" si="40"/>
        <v>0</v>
      </c>
      <c r="AP1065" t="s">
        <v>41</v>
      </c>
    </row>
    <row r="1066" spans="1:42">
      <c r="A1066" s="1">
        <v>43779</v>
      </c>
      <c r="B1066">
        <v>7</v>
      </c>
      <c r="C1066">
        <v>201</v>
      </c>
      <c r="D1066">
        <v>10381</v>
      </c>
      <c r="E1066" t="s">
        <v>37</v>
      </c>
      <c r="F1066" t="s">
        <v>436</v>
      </c>
      <c r="H1066">
        <v>70</v>
      </c>
      <c r="I1066" s="25">
        <v>235</v>
      </c>
      <c r="K1066" t="s">
        <v>98</v>
      </c>
      <c r="N1066" t="s">
        <v>40</v>
      </c>
      <c r="O1066">
        <v>49</v>
      </c>
      <c r="Q1066">
        <f t="shared" si="39"/>
        <v>0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0</v>
      </c>
      <c r="X1066" s="21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f t="shared" si="40"/>
        <v>0</v>
      </c>
      <c r="AP1066" t="s">
        <v>41</v>
      </c>
    </row>
    <row r="1067" spans="1:42">
      <c r="A1067" s="1">
        <v>43779</v>
      </c>
      <c r="B1067">
        <v>7</v>
      </c>
      <c r="C1067">
        <v>201</v>
      </c>
      <c r="D1067">
        <v>10381</v>
      </c>
      <c r="E1067" t="s">
        <v>37</v>
      </c>
      <c r="F1067" t="s">
        <v>436</v>
      </c>
      <c r="H1067">
        <v>71</v>
      </c>
      <c r="I1067" s="25">
        <v>219</v>
      </c>
      <c r="K1067" t="s">
        <v>98</v>
      </c>
      <c r="N1067" t="s">
        <v>40</v>
      </c>
      <c r="O1067">
        <v>49</v>
      </c>
      <c r="Q1067">
        <f t="shared" si="39"/>
        <v>0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0</v>
      </c>
      <c r="X1067" s="21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f t="shared" si="40"/>
        <v>0</v>
      </c>
      <c r="AP1067" t="s">
        <v>41</v>
      </c>
    </row>
    <row r="1068" spans="1:42">
      <c r="A1068" s="1">
        <v>43779</v>
      </c>
      <c r="B1068">
        <v>7</v>
      </c>
      <c r="C1068">
        <v>201</v>
      </c>
      <c r="D1068">
        <v>10381</v>
      </c>
      <c r="E1068" t="s">
        <v>37</v>
      </c>
      <c r="F1068" t="s">
        <v>436</v>
      </c>
      <c r="H1068">
        <v>72</v>
      </c>
      <c r="I1068" s="25">
        <v>135</v>
      </c>
      <c r="K1068" t="s">
        <v>407</v>
      </c>
      <c r="N1068" t="s">
        <v>40</v>
      </c>
      <c r="O1068">
        <v>49</v>
      </c>
      <c r="Q1068">
        <f t="shared" si="39"/>
        <v>0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0</v>
      </c>
      <c r="X1068" s="21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f t="shared" si="40"/>
        <v>0</v>
      </c>
      <c r="AP1068" t="s">
        <v>41</v>
      </c>
    </row>
    <row r="1069" spans="1:42">
      <c r="A1069" s="1">
        <v>43779</v>
      </c>
      <c r="B1069">
        <v>7</v>
      </c>
      <c r="C1069">
        <v>201</v>
      </c>
      <c r="D1069">
        <v>10381</v>
      </c>
      <c r="E1069" t="s">
        <v>37</v>
      </c>
      <c r="F1069" t="s">
        <v>436</v>
      </c>
      <c r="H1069">
        <v>73</v>
      </c>
      <c r="I1069" s="25">
        <v>101</v>
      </c>
      <c r="K1069" t="s">
        <v>407</v>
      </c>
      <c r="N1069" t="s">
        <v>40</v>
      </c>
      <c r="O1069">
        <v>49</v>
      </c>
      <c r="Q1069">
        <f t="shared" si="39"/>
        <v>0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0</v>
      </c>
      <c r="X1069" s="21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f t="shared" si="40"/>
        <v>0</v>
      </c>
      <c r="AP1069" t="s">
        <v>41</v>
      </c>
    </row>
    <row r="1070" spans="1:42">
      <c r="A1070" s="1">
        <v>43779</v>
      </c>
      <c r="B1070">
        <v>7</v>
      </c>
      <c r="C1070">
        <v>201</v>
      </c>
      <c r="D1070">
        <v>10381</v>
      </c>
      <c r="E1070" t="s">
        <v>37</v>
      </c>
      <c r="F1070" t="s">
        <v>436</v>
      </c>
      <c r="H1070">
        <v>74</v>
      </c>
      <c r="I1070" s="25">
        <v>156</v>
      </c>
      <c r="K1070" t="s">
        <v>100</v>
      </c>
      <c r="N1070" t="s">
        <v>40</v>
      </c>
      <c r="O1070">
        <v>49</v>
      </c>
      <c r="Q1070">
        <f t="shared" si="39"/>
        <v>1</v>
      </c>
      <c r="R1070">
        <v>1</v>
      </c>
      <c r="S1070">
        <v>0</v>
      </c>
      <c r="T1070">
        <v>0</v>
      </c>
      <c r="U1070">
        <v>1</v>
      </c>
      <c r="V1070">
        <v>0</v>
      </c>
      <c r="W1070">
        <v>0</v>
      </c>
      <c r="X1070" s="21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f t="shared" si="40"/>
        <v>32</v>
      </c>
      <c r="AP1070" t="s">
        <v>41</v>
      </c>
    </row>
    <row r="1071" spans="1:42">
      <c r="A1071" s="1">
        <v>43779</v>
      </c>
      <c r="B1071">
        <v>7</v>
      </c>
      <c r="C1071">
        <v>201</v>
      </c>
      <c r="D1071">
        <v>10381</v>
      </c>
      <c r="E1071" t="s">
        <v>37</v>
      </c>
      <c r="F1071" t="s">
        <v>436</v>
      </c>
      <c r="H1071">
        <v>75</v>
      </c>
      <c r="I1071" s="25">
        <v>155</v>
      </c>
      <c r="K1071" t="s">
        <v>100</v>
      </c>
      <c r="N1071" t="s">
        <v>40</v>
      </c>
      <c r="O1071">
        <v>49</v>
      </c>
      <c r="Q1071">
        <f t="shared" si="39"/>
        <v>0</v>
      </c>
      <c r="R1071">
        <v>1</v>
      </c>
      <c r="S1071">
        <v>0</v>
      </c>
      <c r="T1071">
        <v>0</v>
      </c>
      <c r="U1071">
        <v>0</v>
      </c>
      <c r="V1071">
        <v>0</v>
      </c>
      <c r="W1071">
        <v>0</v>
      </c>
      <c r="X1071" s="2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f t="shared" si="40"/>
        <v>0</v>
      </c>
      <c r="AP1071" t="s">
        <v>41</v>
      </c>
    </row>
    <row r="1072" spans="1:42">
      <c r="A1072" s="1">
        <v>43779</v>
      </c>
      <c r="B1072">
        <v>7</v>
      </c>
      <c r="C1072">
        <v>201</v>
      </c>
      <c r="D1072">
        <v>10381</v>
      </c>
      <c r="E1072" t="s">
        <v>37</v>
      </c>
      <c r="F1072" t="s">
        <v>436</v>
      </c>
      <c r="H1072">
        <v>76</v>
      </c>
      <c r="I1072" s="25">
        <v>147</v>
      </c>
      <c r="K1072" t="s">
        <v>100</v>
      </c>
      <c r="N1072" t="s">
        <v>40</v>
      </c>
      <c r="O1072">
        <v>49</v>
      </c>
      <c r="Q1072">
        <f t="shared" si="39"/>
        <v>0</v>
      </c>
      <c r="R1072">
        <v>1</v>
      </c>
      <c r="S1072">
        <v>0</v>
      </c>
      <c r="T1072">
        <v>0</v>
      </c>
      <c r="U1072">
        <v>0</v>
      </c>
      <c r="V1072">
        <v>0</v>
      </c>
      <c r="W1072">
        <v>0</v>
      </c>
      <c r="X1072" s="21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f t="shared" si="40"/>
        <v>0</v>
      </c>
      <c r="AP1072" t="s">
        <v>41</v>
      </c>
    </row>
    <row r="1073" spans="1:42">
      <c r="A1073" s="1">
        <v>43779</v>
      </c>
      <c r="B1073">
        <v>7</v>
      </c>
      <c r="C1073">
        <v>201</v>
      </c>
      <c r="D1073">
        <v>10381</v>
      </c>
      <c r="E1073" t="s">
        <v>37</v>
      </c>
      <c r="F1073" t="s">
        <v>436</v>
      </c>
      <c r="H1073">
        <v>77</v>
      </c>
      <c r="I1073" s="25">
        <v>174</v>
      </c>
      <c r="K1073" t="s">
        <v>100</v>
      </c>
      <c r="N1073" t="s">
        <v>40</v>
      </c>
      <c r="O1073">
        <v>49</v>
      </c>
      <c r="Q1073">
        <f t="shared" si="39"/>
        <v>0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v>0</v>
      </c>
      <c r="X1073" s="21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f t="shared" si="40"/>
        <v>0</v>
      </c>
      <c r="AP1073" t="s">
        <v>41</v>
      </c>
    </row>
    <row r="1074" spans="1:42">
      <c r="A1074" s="1">
        <v>43779</v>
      </c>
      <c r="B1074">
        <v>7</v>
      </c>
      <c r="C1074">
        <v>201</v>
      </c>
      <c r="D1074">
        <v>10381</v>
      </c>
      <c r="E1074" t="s">
        <v>37</v>
      </c>
      <c r="F1074" t="s">
        <v>436</v>
      </c>
      <c r="H1074">
        <v>78</v>
      </c>
      <c r="I1074" s="25">
        <v>201</v>
      </c>
      <c r="K1074" t="s">
        <v>100</v>
      </c>
      <c r="N1074" t="s">
        <v>40</v>
      </c>
      <c r="O1074">
        <v>49</v>
      </c>
      <c r="Q1074">
        <f t="shared" si="39"/>
        <v>1</v>
      </c>
      <c r="R1074">
        <v>1</v>
      </c>
      <c r="S1074">
        <v>0</v>
      </c>
      <c r="T1074">
        <v>0</v>
      </c>
      <c r="U1074">
        <v>0</v>
      </c>
      <c r="V1074">
        <v>1</v>
      </c>
      <c r="W1074">
        <v>0</v>
      </c>
      <c r="X1074" s="21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f t="shared" si="40"/>
        <v>64</v>
      </c>
      <c r="AP1074" t="s">
        <v>41</v>
      </c>
    </row>
    <row r="1075" spans="1:42">
      <c r="A1075" s="1">
        <v>43779</v>
      </c>
      <c r="B1075">
        <v>7</v>
      </c>
      <c r="C1075">
        <v>201</v>
      </c>
      <c r="D1075">
        <v>10381</v>
      </c>
      <c r="E1075" t="s">
        <v>37</v>
      </c>
      <c r="F1075" t="s">
        <v>436</v>
      </c>
      <c r="H1075">
        <v>79</v>
      </c>
      <c r="I1075" s="25">
        <v>225</v>
      </c>
      <c r="K1075" t="s">
        <v>100</v>
      </c>
      <c r="N1075" t="s">
        <v>44</v>
      </c>
      <c r="O1075">
        <v>49</v>
      </c>
      <c r="Q1075">
        <f t="shared" si="39"/>
        <v>1</v>
      </c>
      <c r="R1075">
        <v>1</v>
      </c>
      <c r="S1075">
        <v>0</v>
      </c>
      <c r="T1075">
        <v>0</v>
      </c>
      <c r="U1075">
        <v>0</v>
      </c>
      <c r="V1075">
        <v>0</v>
      </c>
      <c r="W1075">
        <v>1</v>
      </c>
      <c r="X1075" s="21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f t="shared" si="40"/>
        <v>96</v>
      </c>
      <c r="AP1075" t="s">
        <v>41</v>
      </c>
    </row>
    <row r="1076" spans="1:42">
      <c r="A1076" s="1">
        <v>43779</v>
      </c>
      <c r="B1076">
        <v>7</v>
      </c>
      <c r="C1076">
        <v>201</v>
      </c>
      <c r="D1076">
        <v>10381</v>
      </c>
      <c r="E1076" t="s">
        <v>37</v>
      </c>
      <c r="F1076" t="s">
        <v>436</v>
      </c>
      <c r="H1076">
        <v>80</v>
      </c>
      <c r="I1076" s="25">
        <v>237</v>
      </c>
      <c r="K1076" t="s">
        <v>100</v>
      </c>
      <c r="N1076" t="s">
        <v>40</v>
      </c>
      <c r="O1076">
        <v>49</v>
      </c>
      <c r="Q1076">
        <f t="shared" si="39"/>
        <v>0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0</v>
      </c>
      <c r="X1076" s="21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f t="shared" si="40"/>
        <v>0</v>
      </c>
      <c r="AP1076" t="s">
        <v>41</v>
      </c>
    </row>
    <row r="1077" spans="1:42">
      <c r="A1077" s="1">
        <v>43779</v>
      </c>
      <c r="B1077">
        <v>7</v>
      </c>
      <c r="C1077">
        <v>201</v>
      </c>
      <c r="D1077">
        <v>10381</v>
      </c>
      <c r="E1077" t="s">
        <v>37</v>
      </c>
      <c r="F1077" t="s">
        <v>436</v>
      </c>
      <c r="H1077">
        <v>81</v>
      </c>
      <c r="I1077" s="25">
        <v>287</v>
      </c>
      <c r="K1077" t="s">
        <v>100</v>
      </c>
      <c r="N1077" t="s">
        <v>44</v>
      </c>
      <c r="O1077">
        <v>49</v>
      </c>
      <c r="Q1077">
        <f t="shared" si="39"/>
        <v>1</v>
      </c>
      <c r="R1077">
        <v>1</v>
      </c>
      <c r="S1077">
        <v>0</v>
      </c>
      <c r="T1077">
        <v>0</v>
      </c>
      <c r="U1077">
        <v>0</v>
      </c>
      <c r="V1077">
        <v>0</v>
      </c>
      <c r="W1077">
        <v>1</v>
      </c>
      <c r="X1077" s="21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f t="shared" si="40"/>
        <v>96</v>
      </c>
      <c r="AP1077" t="s">
        <v>41</v>
      </c>
    </row>
    <row r="1078" spans="1:42">
      <c r="A1078" s="1">
        <v>43779</v>
      </c>
      <c r="B1078">
        <v>7</v>
      </c>
      <c r="C1078">
        <v>201</v>
      </c>
      <c r="D1078">
        <v>10381</v>
      </c>
      <c r="E1078" t="s">
        <v>37</v>
      </c>
      <c r="F1078" t="s">
        <v>436</v>
      </c>
      <c r="H1078">
        <v>82</v>
      </c>
      <c r="I1078" s="25">
        <v>300</v>
      </c>
      <c r="K1078" t="s">
        <v>101</v>
      </c>
      <c r="O1078">
        <v>49</v>
      </c>
      <c r="Q1078">
        <f t="shared" si="39"/>
        <v>0</v>
      </c>
      <c r="R1078">
        <v>1</v>
      </c>
      <c r="S1078">
        <v>0</v>
      </c>
      <c r="T1078">
        <v>0</v>
      </c>
      <c r="U1078">
        <v>0</v>
      </c>
      <c r="V1078">
        <v>0</v>
      </c>
      <c r="W1078">
        <v>0</v>
      </c>
      <c r="X1078" s="21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f t="shared" si="40"/>
        <v>0</v>
      </c>
      <c r="AP1078" t="s">
        <v>41</v>
      </c>
    </row>
    <row r="1079" spans="1:42">
      <c r="A1079" s="1">
        <v>43779</v>
      </c>
      <c r="B1079">
        <v>7</v>
      </c>
      <c r="C1079">
        <v>201</v>
      </c>
      <c r="D1079">
        <v>10381</v>
      </c>
      <c r="E1079" t="s">
        <v>37</v>
      </c>
      <c r="F1079" t="s">
        <v>436</v>
      </c>
      <c r="H1079">
        <v>83</v>
      </c>
      <c r="I1079" s="25">
        <v>300</v>
      </c>
      <c r="K1079" t="s">
        <v>101</v>
      </c>
      <c r="N1079" t="s">
        <v>40</v>
      </c>
      <c r="P1079">
        <v>169</v>
      </c>
      <c r="Q1079">
        <f t="shared" si="39"/>
        <v>5</v>
      </c>
      <c r="R1079">
        <v>3</v>
      </c>
      <c r="S1079">
        <v>0</v>
      </c>
      <c r="T1079">
        <v>0</v>
      </c>
      <c r="U1079">
        <v>0</v>
      </c>
      <c r="V1079">
        <v>1</v>
      </c>
      <c r="W1079">
        <v>4</v>
      </c>
      <c r="X1079" s="21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f t="shared" si="40"/>
        <v>448</v>
      </c>
      <c r="AP1079" t="s">
        <v>41</v>
      </c>
    </row>
    <row r="1080" spans="1:42">
      <c r="A1080" s="1">
        <v>43779</v>
      </c>
      <c r="B1080">
        <v>7</v>
      </c>
      <c r="C1080">
        <v>201</v>
      </c>
      <c r="D1080">
        <v>10381</v>
      </c>
      <c r="E1080" t="s">
        <v>37</v>
      </c>
      <c r="F1080" t="s">
        <v>436</v>
      </c>
      <c r="H1080">
        <v>84</v>
      </c>
      <c r="I1080" s="25">
        <v>400</v>
      </c>
      <c r="K1080" t="s">
        <v>98</v>
      </c>
      <c r="N1080" t="s">
        <v>40</v>
      </c>
      <c r="P1080">
        <v>320</v>
      </c>
      <c r="Q1080">
        <f t="shared" si="39"/>
        <v>7</v>
      </c>
      <c r="R1080">
        <v>3</v>
      </c>
      <c r="S1080">
        <v>0</v>
      </c>
      <c r="T1080">
        <v>0</v>
      </c>
      <c r="U1080">
        <v>0</v>
      </c>
      <c r="V1080">
        <v>0</v>
      </c>
      <c r="W1080">
        <v>7</v>
      </c>
      <c r="X1080" s="21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f t="shared" si="40"/>
        <v>672</v>
      </c>
      <c r="AP1080" t="s">
        <v>41</v>
      </c>
    </row>
    <row r="1081" spans="1:42">
      <c r="A1081" s="1">
        <v>43779</v>
      </c>
      <c r="B1081">
        <v>7</v>
      </c>
      <c r="C1081">
        <v>201</v>
      </c>
      <c r="D1081">
        <v>10381</v>
      </c>
      <c r="E1081" t="s">
        <v>37</v>
      </c>
      <c r="F1081" t="s">
        <v>436</v>
      </c>
      <c r="H1081">
        <v>85</v>
      </c>
      <c r="I1081" s="25">
        <v>300</v>
      </c>
      <c r="K1081" t="s">
        <v>98</v>
      </c>
      <c r="N1081" t="s">
        <v>40</v>
      </c>
      <c r="P1081">
        <v>72</v>
      </c>
      <c r="Q1081">
        <f t="shared" si="39"/>
        <v>0</v>
      </c>
      <c r="R1081">
        <v>2</v>
      </c>
      <c r="S1081">
        <v>0</v>
      </c>
      <c r="T1081">
        <v>0</v>
      </c>
      <c r="U1081">
        <v>0</v>
      </c>
      <c r="V1081">
        <v>0</v>
      </c>
      <c r="W1081">
        <v>0</v>
      </c>
      <c r="X1081" s="2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f t="shared" si="40"/>
        <v>0</v>
      </c>
      <c r="AP1081" t="s">
        <v>41</v>
      </c>
    </row>
    <row r="1082" spans="1:42">
      <c r="A1082" s="1">
        <v>43779</v>
      </c>
      <c r="B1082">
        <v>7</v>
      </c>
      <c r="C1082">
        <v>201</v>
      </c>
      <c r="D1082">
        <v>10381</v>
      </c>
      <c r="E1082" t="s">
        <v>37</v>
      </c>
      <c r="F1082" t="s">
        <v>436</v>
      </c>
      <c r="H1082">
        <v>86</v>
      </c>
      <c r="I1082" s="25">
        <v>300</v>
      </c>
      <c r="K1082" t="s">
        <v>101</v>
      </c>
      <c r="N1082" t="s">
        <v>40</v>
      </c>
      <c r="P1082">
        <v>169</v>
      </c>
      <c r="Q1082">
        <f t="shared" si="39"/>
        <v>5</v>
      </c>
      <c r="R1082">
        <v>3</v>
      </c>
      <c r="S1082">
        <v>0</v>
      </c>
      <c r="T1082">
        <v>0</v>
      </c>
      <c r="U1082">
        <v>0</v>
      </c>
      <c r="V1082">
        <v>1</v>
      </c>
      <c r="W1082">
        <v>4</v>
      </c>
      <c r="X1082" s="21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f t="shared" si="40"/>
        <v>448</v>
      </c>
      <c r="AP1082" t="s">
        <v>41</v>
      </c>
    </row>
    <row r="1083" spans="1:42">
      <c r="A1083" s="1">
        <v>43779</v>
      </c>
      <c r="B1083">
        <v>7</v>
      </c>
      <c r="C1083">
        <v>201</v>
      </c>
      <c r="D1083">
        <v>10381</v>
      </c>
      <c r="E1083" t="s">
        <v>37</v>
      </c>
      <c r="F1083" t="s">
        <v>436</v>
      </c>
      <c r="H1083">
        <v>87</v>
      </c>
      <c r="I1083" s="25">
        <v>400</v>
      </c>
      <c r="K1083" t="s">
        <v>98</v>
      </c>
      <c r="N1083" t="s">
        <v>40</v>
      </c>
      <c r="P1083">
        <v>320</v>
      </c>
      <c r="Q1083">
        <f t="shared" si="39"/>
        <v>7</v>
      </c>
      <c r="R1083">
        <v>3</v>
      </c>
      <c r="S1083">
        <v>0</v>
      </c>
      <c r="T1083">
        <v>0</v>
      </c>
      <c r="U1083">
        <v>0</v>
      </c>
      <c r="V1083">
        <v>0</v>
      </c>
      <c r="W1083">
        <v>7</v>
      </c>
      <c r="X1083" s="21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f t="shared" si="40"/>
        <v>672</v>
      </c>
      <c r="AP1083" t="s">
        <v>41</v>
      </c>
    </row>
    <row r="1084" spans="1:42">
      <c r="A1084" s="1">
        <v>43779</v>
      </c>
      <c r="B1084">
        <v>7</v>
      </c>
      <c r="C1084">
        <v>201</v>
      </c>
      <c r="D1084">
        <v>10381</v>
      </c>
      <c r="E1084" t="s">
        <v>37</v>
      </c>
      <c r="F1084" t="s">
        <v>436</v>
      </c>
      <c r="H1084">
        <v>88</v>
      </c>
      <c r="I1084" s="25">
        <v>300</v>
      </c>
      <c r="K1084" t="s">
        <v>98</v>
      </c>
      <c r="P1084">
        <v>72</v>
      </c>
      <c r="Q1084">
        <f t="shared" si="39"/>
        <v>0</v>
      </c>
      <c r="R1084">
        <v>1</v>
      </c>
      <c r="S1084">
        <v>0</v>
      </c>
      <c r="T1084">
        <v>0</v>
      </c>
      <c r="U1084">
        <v>0</v>
      </c>
      <c r="V1084">
        <v>0</v>
      </c>
      <c r="W1084">
        <v>0</v>
      </c>
      <c r="X1084" s="21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f t="shared" si="40"/>
        <v>0</v>
      </c>
      <c r="AP1084" t="s">
        <v>41</v>
      </c>
    </row>
    <row r="1085" spans="1:42">
      <c r="A1085" s="1">
        <v>43779</v>
      </c>
      <c r="B1085">
        <v>7</v>
      </c>
      <c r="C1085">
        <v>201</v>
      </c>
      <c r="D1085">
        <v>10381</v>
      </c>
      <c r="E1085" t="s">
        <v>37</v>
      </c>
      <c r="F1085" t="s">
        <v>436</v>
      </c>
      <c r="H1085">
        <v>89</v>
      </c>
      <c r="I1085" s="25">
        <v>272</v>
      </c>
      <c r="K1085" t="s">
        <v>98</v>
      </c>
      <c r="O1085">
        <v>49</v>
      </c>
      <c r="Q1085">
        <f t="shared" si="39"/>
        <v>1</v>
      </c>
      <c r="R1085">
        <v>1</v>
      </c>
      <c r="S1085">
        <v>0</v>
      </c>
      <c r="T1085">
        <v>0</v>
      </c>
      <c r="U1085">
        <v>1</v>
      </c>
      <c r="V1085">
        <v>0</v>
      </c>
      <c r="W1085">
        <v>0</v>
      </c>
      <c r="X1085" s="21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f t="shared" si="40"/>
        <v>32</v>
      </c>
      <c r="AP1085" t="s">
        <v>41</v>
      </c>
    </row>
    <row r="1086" spans="1:42">
      <c r="A1086" s="1">
        <v>43779</v>
      </c>
      <c r="B1086">
        <v>7</v>
      </c>
      <c r="C1086">
        <v>201</v>
      </c>
      <c r="D1086">
        <v>10381</v>
      </c>
      <c r="E1086" t="s">
        <v>37</v>
      </c>
      <c r="F1086" t="s">
        <v>436</v>
      </c>
      <c r="H1086">
        <v>90</v>
      </c>
      <c r="I1086" s="25">
        <v>249</v>
      </c>
      <c r="K1086" t="s">
        <v>98</v>
      </c>
      <c r="O1086">
        <v>49</v>
      </c>
      <c r="Q1086">
        <f t="shared" si="39"/>
        <v>0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0</v>
      </c>
      <c r="X1086" s="21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f t="shared" si="40"/>
        <v>0</v>
      </c>
      <c r="AP1086" t="s">
        <v>41</v>
      </c>
    </row>
    <row r="1087" spans="1:42">
      <c r="A1087" s="1">
        <v>43779</v>
      </c>
      <c r="B1087">
        <v>7</v>
      </c>
      <c r="C1087">
        <v>201</v>
      </c>
      <c r="D1087">
        <v>10381</v>
      </c>
      <c r="E1087" t="s">
        <v>37</v>
      </c>
      <c r="F1087" t="s">
        <v>436</v>
      </c>
      <c r="H1087">
        <v>91</v>
      </c>
      <c r="I1087" s="25">
        <v>232</v>
      </c>
      <c r="K1087" t="s">
        <v>98</v>
      </c>
      <c r="O1087">
        <v>49</v>
      </c>
      <c r="Q1087">
        <f t="shared" si="39"/>
        <v>0</v>
      </c>
      <c r="R1087">
        <v>1</v>
      </c>
      <c r="S1087">
        <v>0</v>
      </c>
      <c r="T1087">
        <v>0</v>
      </c>
      <c r="U1087">
        <v>0</v>
      </c>
      <c r="V1087">
        <v>0</v>
      </c>
      <c r="W1087">
        <v>0</v>
      </c>
      <c r="X1087" s="21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f t="shared" si="40"/>
        <v>0</v>
      </c>
      <c r="AP1087" t="s">
        <v>41</v>
      </c>
    </row>
    <row r="1088" spans="1:42">
      <c r="A1088" s="1">
        <v>43779</v>
      </c>
      <c r="B1088">
        <v>7</v>
      </c>
      <c r="C1088">
        <v>201</v>
      </c>
      <c r="D1088">
        <v>10381</v>
      </c>
      <c r="E1088" t="s">
        <v>37</v>
      </c>
      <c r="F1088" t="s">
        <v>436</v>
      </c>
      <c r="H1088">
        <v>92</v>
      </c>
      <c r="I1088" s="25">
        <v>100</v>
      </c>
      <c r="K1088" t="s">
        <v>98</v>
      </c>
      <c r="P1088">
        <v>129</v>
      </c>
      <c r="Q1088">
        <f t="shared" si="39"/>
        <v>8</v>
      </c>
      <c r="R1088">
        <v>2</v>
      </c>
      <c r="S1088">
        <v>0</v>
      </c>
      <c r="T1088">
        <v>0</v>
      </c>
      <c r="U1088">
        <v>0</v>
      </c>
      <c r="V1088">
        <v>0</v>
      </c>
      <c r="W1088">
        <v>8</v>
      </c>
      <c r="X1088" s="21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f t="shared" si="40"/>
        <v>768</v>
      </c>
      <c r="AL1088" t="s">
        <v>456</v>
      </c>
      <c r="AP1088" t="s">
        <v>41</v>
      </c>
    </row>
    <row r="1089" spans="1:42">
      <c r="A1089" s="1">
        <v>43779</v>
      </c>
      <c r="B1089">
        <v>7</v>
      </c>
      <c r="C1089">
        <v>201</v>
      </c>
      <c r="D1089">
        <v>10381</v>
      </c>
      <c r="E1089" t="s">
        <v>37</v>
      </c>
      <c r="F1089" t="s">
        <v>436</v>
      </c>
      <c r="H1089">
        <v>93</v>
      </c>
      <c r="I1089" s="25">
        <v>1</v>
      </c>
      <c r="K1089" t="s">
        <v>48</v>
      </c>
      <c r="O1089">
        <v>110</v>
      </c>
      <c r="Q1089">
        <f t="shared" si="39"/>
        <v>3</v>
      </c>
      <c r="R1089">
        <v>1</v>
      </c>
      <c r="S1089">
        <v>0</v>
      </c>
      <c r="T1089">
        <v>0</v>
      </c>
      <c r="U1089">
        <v>0</v>
      </c>
      <c r="V1089">
        <v>0</v>
      </c>
      <c r="W1089">
        <v>3</v>
      </c>
      <c r="X1089" s="21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f t="shared" si="40"/>
        <v>288</v>
      </c>
      <c r="AL1089" t="s">
        <v>463</v>
      </c>
      <c r="AP1089" t="s">
        <v>41</v>
      </c>
    </row>
    <row r="1090" spans="1:42">
      <c r="A1090" s="1">
        <v>43779</v>
      </c>
      <c r="B1090">
        <v>7</v>
      </c>
      <c r="C1090">
        <v>201</v>
      </c>
      <c r="D1090">
        <v>10381</v>
      </c>
      <c r="E1090" t="s">
        <v>37</v>
      </c>
      <c r="F1090" t="s">
        <v>436</v>
      </c>
      <c r="H1090">
        <v>94</v>
      </c>
      <c r="I1090" s="25">
        <v>120</v>
      </c>
      <c r="K1090" t="s">
        <v>464</v>
      </c>
      <c r="O1090">
        <v>22</v>
      </c>
      <c r="Q1090">
        <f t="shared" si="39"/>
        <v>0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0</v>
      </c>
      <c r="X1090" s="21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f t="shared" si="40"/>
        <v>0</v>
      </c>
      <c r="AP1090" t="s">
        <v>41</v>
      </c>
    </row>
    <row r="1091" spans="1:42">
      <c r="A1091" s="1">
        <v>43779</v>
      </c>
      <c r="B1091">
        <v>7</v>
      </c>
      <c r="C1091">
        <v>201</v>
      </c>
      <c r="D1091">
        <v>10381</v>
      </c>
      <c r="E1091" t="s">
        <v>37</v>
      </c>
      <c r="F1091" t="s">
        <v>436</v>
      </c>
      <c r="H1091">
        <v>95</v>
      </c>
      <c r="I1091" s="25">
        <v>231</v>
      </c>
      <c r="K1091" t="s">
        <v>53</v>
      </c>
      <c r="O1091">
        <v>22</v>
      </c>
      <c r="Q1091">
        <f t="shared" si="39"/>
        <v>0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0</v>
      </c>
      <c r="X1091" s="2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f t="shared" si="40"/>
        <v>0</v>
      </c>
      <c r="AP1091" t="s">
        <v>41</v>
      </c>
    </row>
    <row r="1092" spans="1:42">
      <c r="A1092" s="1">
        <v>43779</v>
      </c>
      <c r="B1092">
        <v>7</v>
      </c>
      <c r="C1092">
        <v>201</v>
      </c>
      <c r="D1092">
        <v>10381</v>
      </c>
      <c r="E1092" t="s">
        <v>37</v>
      </c>
      <c r="F1092" t="s">
        <v>436</v>
      </c>
      <c r="H1092">
        <v>96</v>
      </c>
      <c r="I1092" s="25">
        <v>222</v>
      </c>
      <c r="K1092" t="s">
        <v>50</v>
      </c>
      <c r="O1092">
        <v>22</v>
      </c>
      <c r="Q1092">
        <f t="shared" si="39"/>
        <v>0</v>
      </c>
      <c r="R1092">
        <v>1</v>
      </c>
      <c r="S1092">
        <v>0</v>
      </c>
      <c r="T1092">
        <v>0</v>
      </c>
      <c r="U1092">
        <v>0</v>
      </c>
      <c r="V1092">
        <v>0</v>
      </c>
      <c r="W1092">
        <v>0</v>
      </c>
      <c r="X1092" s="21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f t="shared" si="40"/>
        <v>0</v>
      </c>
      <c r="AP1092" t="s">
        <v>41</v>
      </c>
    </row>
    <row r="1093" spans="1:42">
      <c r="A1093" s="1">
        <v>43779</v>
      </c>
      <c r="B1093">
        <v>7</v>
      </c>
      <c r="C1093">
        <v>201</v>
      </c>
      <c r="D1093">
        <v>10381</v>
      </c>
      <c r="E1093" t="s">
        <v>37</v>
      </c>
      <c r="F1093" t="s">
        <v>436</v>
      </c>
      <c r="H1093">
        <v>97</v>
      </c>
      <c r="I1093" s="25">
        <v>118</v>
      </c>
      <c r="K1093" t="s">
        <v>74</v>
      </c>
      <c r="O1093">
        <v>22</v>
      </c>
      <c r="Q1093">
        <f t="shared" si="39"/>
        <v>0</v>
      </c>
      <c r="R1093">
        <v>1</v>
      </c>
      <c r="S1093">
        <v>0</v>
      </c>
      <c r="T1093">
        <v>0</v>
      </c>
      <c r="U1093">
        <v>0</v>
      </c>
      <c r="V1093">
        <v>0</v>
      </c>
      <c r="W1093">
        <v>0</v>
      </c>
      <c r="X1093" s="21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f t="shared" si="40"/>
        <v>0</v>
      </c>
      <c r="AP1093" t="s">
        <v>41</v>
      </c>
    </row>
    <row r="1094" spans="1:42">
      <c r="A1094" s="1">
        <v>43779</v>
      </c>
      <c r="B1094">
        <v>7</v>
      </c>
      <c r="C1094">
        <v>201</v>
      </c>
      <c r="D1094">
        <v>10381</v>
      </c>
      <c r="E1094" t="s">
        <v>37</v>
      </c>
      <c r="F1094" t="s">
        <v>436</v>
      </c>
      <c r="H1094">
        <v>98</v>
      </c>
      <c r="I1094" s="25">
        <v>240</v>
      </c>
      <c r="K1094" t="s">
        <v>50</v>
      </c>
      <c r="N1094" t="s">
        <v>40</v>
      </c>
      <c r="O1094">
        <v>20</v>
      </c>
      <c r="Q1094">
        <f t="shared" si="39"/>
        <v>1</v>
      </c>
      <c r="R1094">
        <v>1</v>
      </c>
      <c r="S1094">
        <v>0</v>
      </c>
      <c r="T1094">
        <v>0</v>
      </c>
      <c r="U1094">
        <v>0</v>
      </c>
      <c r="V1094">
        <v>0</v>
      </c>
      <c r="W1094">
        <v>1</v>
      </c>
      <c r="X1094" s="21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f t="shared" si="40"/>
        <v>96</v>
      </c>
      <c r="AP1094" t="s">
        <v>41</v>
      </c>
    </row>
    <row r="1095" spans="1:42">
      <c r="A1095" s="1">
        <v>43779</v>
      </c>
      <c r="B1095">
        <v>7</v>
      </c>
      <c r="C1095">
        <v>201</v>
      </c>
      <c r="D1095">
        <v>10381</v>
      </c>
      <c r="E1095" t="s">
        <v>37</v>
      </c>
      <c r="F1095" t="s">
        <v>436</v>
      </c>
      <c r="H1095">
        <v>99</v>
      </c>
      <c r="I1095" s="25">
        <v>250</v>
      </c>
      <c r="K1095" t="s">
        <v>50</v>
      </c>
      <c r="N1095" t="s">
        <v>40</v>
      </c>
      <c r="O1095">
        <v>20</v>
      </c>
      <c r="Q1095">
        <f t="shared" si="39"/>
        <v>1</v>
      </c>
      <c r="R1095">
        <v>1</v>
      </c>
      <c r="S1095">
        <v>0</v>
      </c>
      <c r="T1095">
        <v>0</v>
      </c>
      <c r="U1095">
        <v>1</v>
      </c>
      <c r="V1095">
        <v>0</v>
      </c>
      <c r="W1095">
        <v>0</v>
      </c>
      <c r="X1095" s="21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f t="shared" si="40"/>
        <v>32</v>
      </c>
      <c r="AP1095" t="s">
        <v>41</v>
      </c>
    </row>
    <row r="1096" spans="1:42">
      <c r="A1096" s="1">
        <v>43779</v>
      </c>
      <c r="B1096">
        <v>7</v>
      </c>
      <c r="C1096">
        <v>201</v>
      </c>
      <c r="D1096">
        <v>10381</v>
      </c>
      <c r="E1096" t="s">
        <v>37</v>
      </c>
      <c r="F1096" t="s">
        <v>436</v>
      </c>
      <c r="H1096">
        <v>100</v>
      </c>
      <c r="I1096" s="25">
        <v>299</v>
      </c>
      <c r="K1096" t="s">
        <v>53</v>
      </c>
      <c r="N1096" t="s">
        <v>40</v>
      </c>
      <c r="O1096">
        <v>20</v>
      </c>
      <c r="Q1096">
        <f t="shared" si="39"/>
        <v>1</v>
      </c>
      <c r="R1096">
        <v>1</v>
      </c>
      <c r="S1096">
        <v>0</v>
      </c>
      <c r="T1096">
        <v>0</v>
      </c>
      <c r="U1096">
        <v>0</v>
      </c>
      <c r="V1096">
        <v>0</v>
      </c>
      <c r="W1096">
        <v>1</v>
      </c>
      <c r="X1096" s="21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f t="shared" si="40"/>
        <v>96</v>
      </c>
      <c r="AP1096" t="s">
        <v>41</v>
      </c>
    </row>
    <row r="1097" spans="1:42">
      <c r="A1097" s="1">
        <v>43779</v>
      </c>
      <c r="B1097">
        <v>7</v>
      </c>
      <c r="C1097">
        <v>201</v>
      </c>
      <c r="D1097">
        <v>10381</v>
      </c>
      <c r="E1097" t="s">
        <v>37</v>
      </c>
      <c r="F1097" t="s">
        <v>436</v>
      </c>
      <c r="H1097">
        <v>101</v>
      </c>
      <c r="I1097" s="25">
        <v>298</v>
      </c>
      <c r="K1097" t="s">
        <v>50</v>
      </c>
      <c r="N1097" t="s">
        <v>40</v>
      </c>
      <c r="O1097">
        <v>20</v>
      </c>
      <c r="Q1097">
        <f t="shared" si="39"/>
        <v>0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0</v>
      </c>
      <c r="X1097" s="21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f t="shared" si="40"/>
        <v>0</v>
      </c>
      <c r="AL1097" t="s">
        <v>465</v>
      </c>
      <c r="AP1097" t="s">
        <v>41</v>
      </c>
    </row>
    <row r="1098" spans="1:42">
      <c r="A1098" s="1">
        <v>43779</v>
      </c>
      <c r="B1098">
        <v>7</v>
      </c>
      <c r="C1098">
        <v>201</v>
      </c>
      <c r="D1098">
        <v>10381</v>
      </c>
      <c r="E1098" t="s">
        <v>37</v>
      </c>
      <c r="F1098" t="s">
        <v>436</v>
      </c>
      <c r="H1098">
        <v>102</v>
      </c>
      <c r="I1098" s="25">
        <v>260</v>
      </c>
      <c r="K1098" t="s">
        <v>50</v>
      </c>
      <c r="N1098" t="s">
        <v>40</v>
      </c>
      <c r="O1098">
        <v>20</v>
      </c>
      <c r="Q1098">
        <f t="shared" si="39"/>
        <v>0</v>
      </c>
      <c r="R1098">
        <v>1</v>
      </c>
      <c r="S1098">
        <v>0</v>
      </c>
      <c r="T1098">
        <v>0</v>
      </c>
      <c r="U1098">
        <v>0</v>
      </c>
      <c r="V1098">
        <v>0</v>
      </c>
      <c r="W1098">
        <v>0</v>
      </c>
      <c r="X1098" s="21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f t="shared" si="40"/>
        <v>0</v>
      </c>
      <c r="AP1098" t="s">
        <v>41</v>
      </c>
    </row>
    <row r="1099" spans="1:42">
      <c r="A1099" s="1">
        <v>43779</v>
      </c>
      <c r="B1099">
        <v>7</v>
      </c>
      <c r="C1099">
        <v>201</v>
      </c>
      <c r="D1099">
        <v>10381</v>
      </c>
      <c r="E1099" t="s">
        <v>37</v>
      </c>
      <c r="F1099" t="s">
        <v>436</v>
      </c>
      <c r="H1099">
        <v>103</v>
      </c>
      <c r="I1099" s="25">
        <v>278</v>
      </c>
      <c r="K1099" t="s">
        <v>50</v>
      </c>
      <c r="N1099" t="s">
        <v>40</v>
      </c>
      <c r="O1099">
        <v>20</v>
      </c>
      <c r="Q1099">
        <f t="shared" si="39"/>
        <v>0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0</v>
      </c>
      <c r="X1099" s="21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f t="shared" si="40"/>
        <v>0</v>
      </c>
      <c r="AL1099" t="s">
        <v>466</v>
      </c>
      <c r="AP1099" t="s">
        <v>41</v>
      </c>
    </row>
    <row r="1100" spans="1:42">
      <c r="A1100" s="1">
        <v>43779</v>
      </c>
      <c r="B1100">
        <v>7</v>
      </c>
      <c r="C1100">
        <v>201</v>
      </c>
      <c r="D1100">
        <v>10381</v>
      </c>
      <c r="E1100" t="s">
        <v>37</v>
      </c>
      <c r="F1100" t="s">
        <v>436</v>
      </c>
      <c r="H1100">
        <v>104</v>
      </c>
      <c r="I1100" s="25">
        <v>301</v>
      </c>
      <c r="K1100" t="s">
        <v>50</v>
      </c>
      <c r="N1100" t="s">
        <v>40</v>
      </c>
      <c r="O1100">
        <v>20</v>
      </c>
      <c r="Q1100">
        <f t="shared" si="39"/>
        <v>0</v>
      </c>
      <c r="R1100">
        <v>1</v>
      </c>
      <c r="S1100">
        <v>0</v>
      </c>
      <c r="T1100">
        <v>0</v>
      </c>
      <c r="U1100">
        <v>0</v>
      </c>
      <c r="V1100">
        <v>0</v>
      </c>
      <c r="W1100">
        <v>0</v>
      </c>
      <c r="X1100" s="21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f t="shared" si="40"/>
        <v>0</v>
      </c>
      <c r="AP1100" t="s">
        <v>41</v>
      </c>
    </row>
    <row r="1101" spans="1:42">
      <c r="A1101" s="1">
        <v>43779</v>
      </c>
      <c r="B1101">
        <v>7</v>
      </c>
      <c r="C1101">
        <v>201</v>
      </c>
      <c r="D1101">
        <v>10381</v>
      </c>
      <c r="E1101" t="s">
        <v>37</v>
      </c>
      <c r="F1101" t="s">
        <v>436</v>
      </c>
      <c r="H1101">
        <v>105</v>
      </c>
      <c r="I1101" s="25">
        <v>299</v>
      </c>
      <c r="K1101" t="s">
        <v>53</v>
      </c>
      <c r="N1101" t="s">
        <v>40</v>
      </c>
      <c r="O1101">
        <v>20</v>
      </c>
      <c r="Q1101">
        <f t="shared" si="39"/>
        <v>0</v>
      </c>
      <c r="R1101">
        <v>1</v>
      </c>
      <c r="S1101">
        <v>0</v>
      </c>
      <c r="T1101">
        <v>0</v>
      </c>
      <c r="U1101">
        <v>0</v>
      </c>
      <c r="V1101">
        <v>0</v>
      </c>
      <c r="W1101">
        <v>0</v>
      </c>
      <c r="X1101" s="2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f t="shared" si="40"/>
        <v>0</v>
      </c>
      <c r="AP1101" t="s">
        <v>41</v>
      </c>
    </row>
    <row r="1102" spans="1:42">
      <c r="A1102" s="1">
        <v>43779</v>
      </c>
      <c r="B1102">
        <v>7</v>
      </c>
      <c r="C1102">
        <v>201</v>
      </c>
      <c r="D1102">
        <v>10381</v>
      </c>
      <c r="E1102" t="s">
        <v>37</v>
      </c>
      <c r="F1102" t="s">
        <v>436</v>
      </c>
      <c r="H1102">
        <v>106</v>
      </c>
      <c r="I1102" s="25">
        <v>200</v>
      </c>
      <c r="K1102" t="s">
        <v>53</v>
      </c>
      <c r="N1102" t="s">
        <v>40</v>
      </c>
      <c r="P1102">
        <v>440</v>
      </c>
      <c r="Q1102">
        <f t="shared" si="39"/>
        <v>13</v>
      </c>
      <c r="R1102">
        <v>6</v>
      </c>
      <c r="S1102">
        <v>0</v>
      </c>
      <c r="T1102">
        <v>0</v>
      </c>
      <c r="U1102">
        <v>1</v>
      </c>
      <c r="V1102">
        <v>0</v>
      </c>
      <c r="W1102">
        <v>11</v>
      </c>
      <c r="X1102" s="21">
        <v>0</v>
      </c>
      <c r="Y1102">
        <v>0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f t="shared" si="40"/>
        <v>1088</v>
      </c>
      <c r="AL1102" t="s">
        <v>467</v>
      </c>
      <c r="AP1102" t="s">
        <v>41</v>
      </c>
    </row>
    <row r="1103" spans="1:42">
      <c r="A1103" s="1">
        <v>43779</v>
      </c>
      <c r="B1103">
        <v>7</v>
      </c>
      <c r="C1103">
        <v>201</v>
      </c>
      <c r="D1103">
        <v>10381</v>
      </c>
      <c r="E1103" t="s">
        <v>37</v>
      </c>
      <c r="F1103" t="s">
        <v>436</v>
      </c>
      <c r="H1103">
        <v>107</v>
      </c>
      <c r="I1103" s="25">
        <v>391</v>
      </c>
      <c r="K1103" t="s">
        <v>49</v>
      </c>
      <c r="N1103" t="s">
        <v>40</v>
      </c>
      <c r="O1103">
        <v>53</v>
      </c>
      <c r="Q1103">
        <f t="shared" si="39"/>
        <v>0</v>
      </c>
      <c r="R1103">
        <v>1</v>
      </c>
      <c r="S1103">
        <v>0</v>
      </c>
      <c r="T1103">
        <v>0</v>
      </c>
      <c r="U1103">
        <v>0</v>
      </c>
      <c r="V1103">
        <v>0</v>
      </c>
      <c r="W1103">
        <v>0</v>
      </c>
      <c r="X1103" s="21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f t="shared" si="40"/>
        <v>0</v>
      </c>
      <c r="AP1103" t="s">
        <v>41</v>
      </c>
    </row>
    <row r="1104" spans="1:42">
      <c r="A1104" s="1">
        <v>43779</v>
      </c>
      <c r="B1104">
        <v>7</v>
      </c>
      <c r="C1104">
        <v>201</v>
      </c>
      <c r="D1104">
        <v>10381</v>
      </c>
      <c r="E1104" t="s">
        <v>37</v>
      </c>
      <c r="F1104" t="s">
        <v>436</v>
      </c>
      <c r="H1104">
        <v>108</v>
      </c>
      <c r="I1104" s="25">
        <v>390</v>
      </c>
      <c r="K1104" t="s">
        <v>50</v>
      </c>
      <c r="N1104" t="s">
        <v>40</v>
      </c>
      <c r="O1104">
        <v>53</v>
      </c>
      <c r="Q1104">
        <f t="shared" si="39"/>
        <v>4</v>
      </c>
      <c r="R1104">
        <v>1</v>
      </c>
      <c r="S1104">
        <v>0</v>
      </c>
      <c r="T1104">
        <v>0</v>
      </c>
      <c r="U1104">
        <v>0</v>
      </c>
      <c r="V1104">
        <v>0</v>
      </c>
      <c r="W1104">
        <v>4</v>
      </c>
      <c r="X1104" s="21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f t="shared" si="40"/>
        <v>384</v>
      </c>
      <c r="AP1104" t="s">
        <v>41</v>
      </c>
    </row>
    <row r="1105" spans="1:42">
      <c r="A1105" s="1">
        <v>43779</v>
      </c>
      <c r="B1105">
        <v>7</v>
      </c>
      <c r="C1105">
        <v>201</v>
      </c>
      <c r="D1105">
        <v>10381</v>
      </c>
      <c r="E1105" t="s">
        <v>37</v>
      </c>
      <c r="F1105" t="s">
        <v>436</v>
      </c>
      <c r="H1105">
        <v>109</v>
      </c>
      <c r="I1105" s="25">
        <v>340</v>
      </c>
      <c r="K1105" t="s">
        <v>50</v>
      </c>
      <c r="N1105" t="s">
        <v>40</v>
      </c>
      <c r="O1105">
        <v>54</v>
      </c>
      <c r="Q1105">
        <f t="shared" si="39"/>
        <v>1</v>
      </c>
      <c r="R1105">
        <v>1</v>
      </c>
      <c r="S1105">
        <v>0</v>
      </c>
      <c r="T1105">
        <v>0</v>
      </c>
      <c r="U1105">
        <v>0</v>
      </c>
      <c r="V1105">
        <v>0</v>
      </c>
      <c r="W1105">
        <v>1</v>
      </c>
      <c r="X1105" s="21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f t="shared" si="40"/>
        <v>96</v>
      </c>
      <c r="AP1105" t="s">
        <v>41</v>
      </c>
    </row>
    <row r="1106" spans="1:42">
      <c r="A1106" s="1">
        <v>43779</v>
      </c>
      <c r="B1106">
        <v>7</v>
      </c>
      <c r="C1106">
        <v>201</v>
      </c>
      <c r="D1106">
        <v>10381</v>
      </c>
      <c r="E1106" t="s">
        <v>37</v>
      </c>
      <c r="F1106" t="s">
        <v>436</v>
      </c>
      <c r="H1106">
        <v>110</v>
      </c>
      <c r="I1106" s="25">
        <v>250</v>
      </c>
      <c r="K1106" t="s">
        <v>53</v>
      </c>
      <c r="N1106" t="s">
        <v>40</v>
      </c>
      <c r="O1106">
        <v>54</v>
      </c>
      <c r="Q1106">
        <f t="shared" si="39"/>
        <v>1</v>
      </c>
      <c r="R1106">
        <v>1</v>
      </c>
      <c r="S1106">
        <v>0</v>
      </c>
      <c r="T1106">
        <v>0</v>
      </c>
      <c r="U1106">
        <v>0</v>
      </c>
      <c r="V1106">
        <v>0</v>
      </c>
      <c r="W1106">
        <v>1</v>
      </c>
      <c r="X1106" s="21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f t="shared" si="40"/>
        <v>96</v>
      </c>
      <c r="AP1106" t="s">
        <v>41</v>
      </c>
    </row>
    <row r="1107" spans="1:42">
      <c r="A1107" s="1">
        <v>43779</v>
      </c>
      <c r="B1107">
        <v>7</v>
      </c>
      <c r="C1107">
        <v>201</v>
      </c>
      <c r="D1107">
        <v>10381</v>
      </c>
      <c r="E1107" t="s">
        <v>37</v>
      </c>
      <c r="F1107" t="s">
        <v>436</v>
      </c>
      <c r="H1107">
        <v>111</v>
      </c>
      <c r="I1107" s="25">
        <v>278</v>
      </c>
      <c r="K1107" t="s">
        <v>53</v>
      </c>
      <c r="N1107" t="s">
        <v>44</v>
      </c>
      <c r="O1107">
        <v>54</v>
      </c>
      <c r="Q1107">
        <f t="shared" si="39"/>
        <v>5</v>
      </c>
      <c r="R1107">
        <v>1</v>
      </c>
      <c r="S1107">
        <v>0</v>
      </c>
      <c r="T1107">
        <v>0</v>
      </c>
      <c r="U1107">
        <v>0</v>
      </c>
      <c r="V1107">
        <v>0</v>
      </c>
      <c r="W1107">
        <v>5</v>
      </c>
      <c r="X1107" s="21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f t="shared" si="40"/>
        <v>480</v>
      </c>
      <c r="AP1107" t="s">
        <v>41</v>
      </c>
    </row>
    <row r="1108" spans="1:42">
      <c r="A1108" s="1">
        <v>43779</v>
      </c>
      <c r="B1108">
        <v>7</v>
      </c>
      <c r="C1108">
        <v>201</v>
      </c>
      <c r="D1108">
        <v>10381</v>
      </c>
      <c r="E1108" t="s">
        <v>37</v>
      </c>
      <c r="F1108" t="s">
        <v>436</v>
      </c>
      <c r="H1108">
        <v>112</v>
      </c>
      <c r="I1108" s="25" t="s">
        <v>468</v>
      </c>
      <c r="K1108" t="s">
        <v>49</v>
      </c>
      <c r="M1108" t="s">
        <v>95</v>
      </c>
      <c r="N1108" t="s">
        <v>40</v>
      </c>
      <c r="P1108">
        <v>735</v>
      </c>
      <c r="Q1108">
        <f t="shared" si="39"/>
        <v>21</v>
      </c>
      <c r="R1108">
        <v>16</v>
      </c>
      <c r="S1108">
        <v>0</v>
      </c>
      <c r="T1108">
        <v>0</v>
      </c>
      <c r="U1108">
        <v>3</v>
      </c>
      <c r="V1108">
        <v>1</v>
      </c>
      <c r="W1108">
        <v>17</v>
      </c>
      <c r="X1108" s="21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f t="shared" si="40"/>
        <v>1792</v>
      </c>
      <c r="AP1108" t="s">
        <v>41</v>
      </c>
    </row>
    <row r="1109" spans="1:42">
      <c r="A1109" s="1">
        <v>43779</v>
      </c>
      <c r="B1109">
        <v>7</v>
      </c>
      <c r="C1109">
        <v>201</v>
      </c>
      <c r="D1109">
        <v>10381</v>
      </c>
      <c r="E1109" t="s">
        <v>37</v>
      </c>
      <c r="F1109" t="s">
        <v>436</v>
      </c>
      <c r="H1109">
        <v>113</v>
      </c>
      <c r="I1109" s="25">
        <v>438</v>
      </c>
      <c r="K1109" t="s">
        <v>74</v>
      </c>
      <c r="N1109" t="s">
        <v>40</v>
      </c>
      <c r="O1109">
        <v>87</v>
      </c>
      <c r="Q1109">
        <f t="shared" si="39"/>
        <v>0</v>
      </c>
      <c r="R1109">
        <v>1</v>
      </c>
      <c r="S1109">
        <v>0</v>
      </c>
      <c r="T1109">
        <v>0</v>
      </c>
      <c r="U1109">
        <v>0</v>
      </c>
      <c r="V1109">
        <v>0</v>
      </c>
      <c r="W1109">
        <v>0</v>
      </c>
      <c r="X1109" s="21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f t="shared" si="40"/>
        <v>0</v>
      </c>
      <c r="AP1109" t="s">
        <v>41</v>
      </c>
    </row>
    <row r="1110" spans="1:42">
      <c r="A1110" s="1">
        <v>43779</v>
      </c>
      <c r="B1110">
        <v>7</v>
      </c>
      <c r="C1110">
        <v>201</v>
      </c>
      <c r="D1110">
        <v>10381</v>
      </c>
      <c r="E1110" t="s">
        <v>37</v>
      </c>
      <c r="F1110" t="s">
        <v>436</v>
      </c>
      <c r="H1110">
        <v>114</v>
      </c>
      <c r="I1110" s="25">
        <v>430</v>
      </c>
      <c r="K1110" t="s">
        <v>74</v>
      </c>
      <c r="N1110" t="s">
        <v>40</v>
      </c>
      <c r="O1110">
        <v>87</v>
      </c>
      <c r="Q1110">
        <f t="shared" si="39"/>
        <v>0</v>
      </c>
      <c r="R1110">
        <v>1</v>
      </c>
      <c r="S1110">
        <v>0</v>
      </c>
      <c r="T1110">
        <v>0</v>
      </c>
      <c r="U1110">
        <v>0</v>
      </c>
      <c r="V1110">
        <v>0</v>
      </c>
      <c r="W1110">
        <v>0</v>
      </c>
      <c r="X1110" s="21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f t="shared" si="40"/>
        <v>0</v>
      </c>
      <c r="AP1110" t="s">
        <v>41</v>
      </c>
    </row>
    <row r="1111" spans="1:42">
      <c r="A1111" s="1">
        <v>43779</v>
      </c>
      <c r="B1111">
        <v>7</v>
      </c>
      <c r="C1111">
        <v>201</v>
      </c>
      <c r="D1111">
        <v>10381</v>
      </c>
      <c r="E1111" t="s">
        <v>37</v>
      </c>
      <c r="F1111" t="s">
        <v>436</v>
      </c>
      <c r="H1111">
        <v>115</v>
      </c>
      <c r="I1111" s="25">
        <v>420</v>
      </c>
      <c r="K1111" t="s">
        <v>74</v>
      </c>
      <c r="N1111" t="s">
        <v>40</v>
      </c>
      <c r="O1111">
        <v>87</v>
      </c>
      <c r="Q1111">
        <f t="shared" si="39"/>
        <v>1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1</v>
      </c>
      <c r="X1111" s="2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f t="shared" si="40"/>
        <v>96</v>
      </c>
      <c r="AP1111" t="s">
        <v>41</v>
      </c>
    </row>
    <row r="1112" spans="1:42">
      <c r="A1112" s="1">
        <v>43779</v>
      </c>
      <c r="B1112">
        <v>7</v>
      </c>
      <c r="C1112">
        <v>201</v>
      </c>
      <c r="D1112">
        <v>10381</v>
      </c>
      <c r="E1112" t="s">
        <v>37</v>
      </c>
      <c r="F1112" t="s">
        <v>436</v>
      </c>
      <c r="H1112">
        <v>116</v>
      </c>
      <c r="I1112" s="25">
        <v>400</v>
      </c>
      <c r="K1112" t="s">
        <v>74</v>
      </c>
      <c r="N1112" t="s">
        <v>40</v>
      </c>
      <c r="O1112">
        <v>87</v>
      </c>
      <c r="Q1112">
        <f t="shared" ref="Q1112:Q1175" si="41">SUM(S1112:AC1112)</f>
        <v>0</v>
      </c>
      <c r="R1112">
        <v>1</v>
      </c>
      <c r="S1112">
        <v>0</v>
      </c>
      <c r="T1112">
        <v>0</v>
      </c>
      <c r="U1112">
        <v>0</v>
      </c>
      <c r="V1112">
        <v>0</v>
      </c>
      <c r="W1112">
        <v>0</v>
      </c>
      <c r="X1112" s="21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f t="shared" ref="AH1112:AH1175" si="42">(S1112*16)+(T1112*20)+(U1112*32)+(V1112*64)+(W1112*96)</f>
        <v>0</v>
      </c>
      <c r="AP1112" t="s">
        <v>41</v>
      </c>
    </row>
    <row r="1113" spans="1:42">
      <c r="A1113" s="1">
        <v>43779</v>
      </c>
      <c r="B1113">
        <v>7</v>
      </c>
      <c r="C1113">
        <v>201</v>
      </c>
      <c r="D1113">
        <v>10381</v>
      </c>
      <c r="E1113" t="s">
        <v>37</v>
      </c>
      <c r="F1113" t="s">
        <v>436</v>
      </c>
      <c r="H1113">
        <v>117</v>
      </c>
      <c r="I1113" s="25">
        <v>386</v>
      </c>
      <c r="K1113" t="s">
        <v>74</v>
      </c>
      <c r="N1113" t="s">
        <v>40</v>
      </c>
      <c r="O1113">
        <v>87</v>
      </c>
      <c r="Q1113">
        <f t="shared" si="41"/>
        <v>3</v>
      </c>
      <c r="R1113">
        <v>1</v>
      </c>
      <c r="S1113">
        <v>0</v>
      </c>
      <c r="T1113">
        <v>0</v>
      </c>
      <c r="U1113">
        <v>0</v>
      </c>
      <c r="V1113">
        <v>0</v>
      </c>
      <c r="W1113">
        <v>3</v>
      </c>
      <c r="X1113" s="21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f t="shared" si="42"/>
        <v>288</v>
      </c>
      <c r="AP1113" t="s">
        <v>41</v>
      </c>
    </row>
    <row r="1114" spans="1:42">
      <c r="A1114" s="1">
        <v>43779</v>
      </c>
      <c r="B1114">
        <v>7</v>
      </c>
      <c r="C1114">
        <v>201</v>
      </c>
      <c r="D1114">
        <v>10381</v>
      </c>
      <c r="E1114" t="s">
        <v>37</v>
      </c>
      <c r="F1114" t="s">
        <v>436</v>
      </c>
      <c r="H1114">
        <v>118</v>
      </c>
      <c r="I1114" s="25">
        <v>432</v>
      </c>
      <c r="K1114" t="s">
        <v>74</v>
      </c>
      <c r="N1114" t="s">
        <v>40</v>
      </c>
      <c r="O1114">
        <v>76</v>
      </c>
      <c r="Q1114">
        <f t="shared" si="41"/>
        <v>2</v>
      </c>
      <c r="R1114">
        <v>1</v>
      </c>
      <c r="S1114">
        <v>0</v>
      </c>
      <c r="T1114">
        <v>0</v>
      </c>
      <c r="U1114">
        <v>0</v>
      </c>
      <c r="V1114">
        <v>0</v>
      </c>
      <c r="W1114">
        <v>2</v>
      </c>
      <c r="X1114" s="21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f t="shared" si="42"/>
        <v>192</v>
      </c>
      <c r="AP1114" t="s">
        <v>41</v>
      </c>
    </row>
    <row r="1115" spans="1:42">
      <c r="A1115" s="1">
        <v>43779</v>
      </c>
      <c r="B1115">
        <v>7</v>
      </c>
      <c r="C1115">
        <v>201</v>
      </c>
      <c r="D1115">
        <v>10381</v>
      </c>
      <c r="E1115" t="s">
        <v>37</v>
      </c>
      <c r="F1115" t="s">
        <v>436</v>
      </c>
      <c r="H1115">
        <v>119</v>
      </c>
      <c r="I1115" s="25">
        <v>442</v>
      </c>
      <c r="K1115" t="s">
        <v>74</v>
      </c>
      <c r="N1115" t="s">
        <v>40</v>
      </c>
      <c r="O1115">
        <v>82</v>
      </c>
      <c r="Q1115">
        <f t="shared" si="41"/>
        <v>3</v>
      </c>
      <c r="R1115">
        <v>1</v>
      </c>
      <c r="S1115">
        <v>0</v>
      </c>
      <c r="T1115">
        <v>0</v>
      </c>
      <c r="U1115">
        <v>0</v>
      </c>
      <c r="V1115">
        <v>0</v>
      </c>
      <c r="W1115">
        <v>3</v>
      </c>
      <c r="X1115" s="21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f t="shared" si="42"/>
        <v>288</v>
      </c>
      <c r="AP1115" t="s">
        <v>41</v>
      </c>
    </row>
    <row r="1116" spans="1:42">
      <c r="A1116" s="1">
        <v>43779</v>
      </c>
      <c r="B1116">
        <v>7</v>
      </c>
      <c r="C1116">
        <v>201</v>
      </c>
      <c r="D1116">
        <v>10381</v>
      </c>
      <c r="E1116" t="s">
        <v>37</v>
      </c>
      <c r="F1116" t="s">
        <v>436</v>
      </c>
      <c r="H1116">
        <v>120</v>
      </c>
      <c r="I1116" s="25">
        <v>440</v>
      </c>
      <c r="K1116" t="s">
        <v>74</v>
      </c>
      <c r="N1116" t="s">
        <v>40</v>
      </c>
      <c r="O1116">
        <v>82</v>
      </c>
      <c r="Q1116">
        <f t="shared" si="41"/>
        <v>2</v>
      </c>
      <c r="R1116">
        <v>1</v>
      </c>
      <c r="S1116">
        <v>0</v>
      </c>
      <c r="T1116">
        <v>0</v>
      </c>
      <c r="U1116">
        <v>0</v>
      </c>
      <c r="V1116">
        <v>0</v>
      </c>
      <c r="W1116">
        <v>2</v>
      </c>
      <c r="X1116" s="21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f t="shared" si="42"/>
        <v>192</v>
      </c>
      <c r="AP1116" t="s">
        <v>41</v>
      </c>
    </row>
    <row r="1117" spans="1:42">
      <c r="A1117" s="1">
        <v>43779</v>
      </c>
      <c r="B1117">
        <v>7</v>
      </c>
      <c r="C1117">
        <v>201</v>
      </c>
      <c r="D1117">
        <v>10381</v>
      </c>
      <c r="E1117" t="s">
        <v>37</v>
      </c>
      <c r="F1117" t="s">
        <v>436</v>
      </c>
      <c r="H1117">
        <v>121</v>
      </c>
      <c r="I1117" s="25">
        <v>500</v>
      </c>
      <c r="K1117" t="s">
        <v>53</v>
      </c>
      <c r="P1117">
        <v>411</v>
      </c>
      <c r="Q1117">
        <f t="shared" si="41"/>
        <v>17</v>
      </c>
      <c r="R1117">
        <v>7</v>
      </c>
      <c r="S1117">
        <v>0</v>
      </c>
      <c r="T1117">
        <v>0</v>
      </c>
      <c r="U1117">
        <v>1</v>
      </c>
      <c r="V1117">
        <v>5</v>
      </c>
      <c r="W1117">
        <v>11</v>
      </c>
      <c r="X1117" s="21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f t="shared" si="42"/>
        <v>1408</v>
      </c>
      <c r="AP1117" t="s">
        <v>41</v>
      </c>
    </row>
    <row r="1118" spans="1:42">
      <c r="A1118" s="1">
        <v>43779</v>
      </c>
      <c r="B1118">
        <v>7</v>
      </c>
      <c r="C1118">
        <v>201</v>
      </c>
      <c r="D1118">
        <v>10381</v>
      </c>
      <c r="E1118" t="s">
        <v>37</v>
      </c>
      <c r="F1118" t="s">
        <v>436</v>
      </c>
      <c r="H1118">
        <v>122</v>
      </c>
      <c r="I1118" s="25">
        <v>499</v>
      </c>
      <c r="K1118" t="s">
        <v>53</v>
      </c>
      <c r="N1118" t="s">
        <v>40</v>
      </c>
      <c r="O1118">
        <v>16</v>
      </c>
      <c r="Q1118">
        <f t="shared" si="41"/>
        <v>0</v>
      </c>
      <c r="R1118">
        <v>1</v>
      </c>
      <c r="S1118">
        <v>0</v>
      </c>
      <c r="T1118">
        <v>0</v>
      </c>
      <c r="U1118">
        <v>0</v>
      </c>
      <c r="V1118">
        <v>0</v>
      </c>
      <c r="W1118">
        <v>0</v>
      </c>
      <c r="X1118" s="21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f t="shared" si="42"/>
        <v>0</v>
      </c>
      <c r="AP1118" t="s">
        <v>41</v>
      </c>
    </row>
    <row r="1119" spans="1:42">
      <c r="A1119" s="1">
        <v>43779</v>
      </c>
      <c r="B1119">
        <v>7</v>
      </c>
      <c r="C1119">
        <v>201</v>
      </c>
      <c r="D1119">
        <v>10381</v>
      </c>
      <c r="E1119" t="s">
        <v>37</v>
      </c>
      <c r="F1119" t="s">
        <v>436</v>
      </c>
      <c r="H1119">
        <v>123</v>
      </c>
      <c r="I1119" s="25">
        <v>470</v>
      </c>
      <c r="K1119" t="s">
        <v>53</v>
      </c>
      <c r="N1119" t="s">
        <v>40</v>
      </c>
      <c r="O1119">
        <v>37</v>
      </c>
      <c r="Q1119">
        <f t="shared" si="41"/>
        <v>1</v>
      </c>
      <c r="R1119">
        <v>1</v>
      </c>
      <c r="S1119">
        <v>0</v>
      </c>
      <c r="T1119">
        <v>0</v>
      </c>
      <c r="U1119">
        <v>0</v>
      </c>
      <c r="V1119">
        <v>0</v>
      </c>
      <c r="W1119">
        <v>1</v>
      </c>
      <c r="X1119" s="21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f t="shared" si="42"/>
        <v>96</v>
      </c>
      <c r="AP1119" t="s">
        <v>41</v>
      </c>
    </row>
    <row r="1120" spans="1:42">
      <c r="A1120" s="1">
        <v>43779</v>
      </c>
      <c r="B1120">
        <v>7</v>
      </c>
      <c r="C1120">
        <v>201</v>
      </c>
      <c r="D1120">
        <v>10381</v>
      </c>
      <c r="E1120" t="s">
        <v>37</v>
      </c>
      <c r="F1120" t="s">
        <v>436</v>
      </c>
      <c r="H1120">
        <v>124</v>
      </c>
      <c r="I1120" s="25">
        <v>400</v>
      </c>
      <c r="K1120" t="s">
        <v>53</v>
      </c>
      <c r="N1120" t="s">
        <v>40</v>
      </c>
      <c r="P1120">
        <v>177</v>
      </c>
      <c r="Q1120">
        <f t="shared" si="41"/>
        <v>6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6</v>
      </c>
      <c r="X1120" s="21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f t="shared" si="42"/>
        <v>576</v>
      </c>
      <c r="AP1120" t="s">
        <v>41</v>
      </c>
    </row>
    <row r="1121" spans="1:42">
      <c r="A1121" s="1">
        <v>43779</v>
      </c>
      <c r="B1121">
        <v>7</v>
      </c>
      <c r="C1121">
        <v>201</v>
      </c>
      <c r="D1121">
        <v>10381</v>
      </c>
      <c r="E1121" t="s">
        <v>37</v>
      </c>
      <c r="F1121" t="s">
        <v>436</v>
      </c>
      <c r="H1121">
        <v>125</v>
      </c>
      <c r="I1121" s="25">
        <v>1200</v>
      </c>
      <c r="K1121" t="s">
        <v>74</v>
      </c>
      <c r="N1121" t="s">
        <v>44</v>
      </c>
      <c r="P1121">
        <v>426</v>
      </c>
      <c r="Q1121">
        <f t="shared" si="41"/>
        <v>4</v>
      </c>
      <c r="R1121">
        <v>1</v>
      </c>
      <c r="S1121">
        <v>0</v>
      </c>
      <c r="T1121">
        <v>0</v>
      </c>
      <c r="U1121">
        <v>1</v>
      </c>
      <c r="V1121">
        <v>2</v>
      </c>
      <c r="W1121">
        <v>1</v>
      </c>
      <c r="X1121" s="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f t="shared" si="42"/>
        <v>256</v>
      </c>
      <c r="AL1121" t="s">
        <v>469</v>
      </c>
      <c r="AP1121" t="s">
        <v>41</v>
      </c>
    </row>
    <row r="1122" spans="1:42">
      <c r="A1122" s="1">
        <v>43779</v>
      </c>
      <c r="B1122">
        <v>7</v>
      </c>
      <c r="C1122">
        <v>201</v>
      </c>
      <c r="D1122">
        <v>10381</v>
      </c>
      <c r="E1122" t="s">
        <v>37</v>
      </c>
      <c r="F1122" t="s">
        <v>436</v>
      </c>
      <c r="H1122">
        <v>126</v>
      </c>
      <c r="I1122" s="25">
        <v>300</v>
      </c>
      <c r="K1122" t="s">
        <v>102</v>
      </c>
      <c r="P1122">
        <v>178</v>
      </c>
      <c r="Q1122">
        <f t="shared" si="41"/>
        <v>0</v>
      </c>
      <c r="R1122">
        <v>5</v>
      </c>
      <c r="S1122">
        <v>0</v>
      </c>
      <c r="T1122">
        <v>0</v>
      </c>
      <c r="U1122">
        <v>0</v>
      </c>
      <c r="V1122">
        <v>0</v>
      </c>
      <c r="W1122">
        <v>0</v>
      </c>
      <c r="X1122" s="21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f t="shared" si="42"/>
        <v>0</v>
      </c>
      <c r="AP1122" t="s">
        <v>41</v>
      </c>
    </row>
    <row r="1123" spans="1:42">
      <c r="A1123" s="1">
        <v>43779</v>
      </c>
      <c r="B1123">
        <v>7</v>
      </c>
      <c r="C1123">
        <v>201</v>
      </c>
      <c r="D1123">
        <v>10381</v>
      </c>
      <c r="E1123" t="s">
        <v>37</v>
      </c>
      <c r="F1123" t="s">
        <v>436</v>
      </c>
      <c r="H1123">
        <v>127</v>
      </c>
      <c r="I1123" s="25">
        <v>200</v>
      </c>
      <c r="K1123" t="s">
        <v>98</v>
      </c>
      <c r="P1123">
        <v>58</v>
      </c>
      <c r="Q1123">
        <f t="shared" si="41"/>
        <v>0</v>
      </c>
      <c r="R1123">
        <v>2</v>
      </c>
      <c r="S1123">
        <v>0</v>
      </c>
      <c r="T1123">
        <v>0</v>
      </c>
      <c r="U1123">
        <v>0</v>
      </c>
      <c r="V1123">
        <v>0</v>
      </c>
      <c r="W1123">
        <v>0</v>
      </c>
      <c r="X1123" s="21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f t="shared" si="42"/>
        <v>0</v>
      </c>
      <c r="AP1123" t="s">
        <v>41</v>
      </c>
    </row>
    <row r="1124" spans="1:42">
      <c r="A1124" s="1">
        <v>43779</v>
      </c>
      <c r="B1124">
        <v>7</v>
      </c>
      <c r="C1124">
        <v>201</v>
      </c>
      <c r="D1124">
        <v>10381</v>
      </c>
      <c r="E1124" t="s">
        <v>37</v>
      </c>
      <c r="F1124" t="s">
        <v>436</v>
      </c>
      <c r="H1124">
        <v>128</v>
      </c>
      <c r="I1124" s="25">
        <v>200</v>
      </c>
      <c r="K1124" t="s">
        <v>74</v>
      </c>
      <c r="P1124">
        <v>350</v>
      </c>
      <c r="Q1124">
        <f t="shared" si="41"/>
        <v>0</v>
      </c>
      <c r="R1124">
        <v>5</v>
      </c>
      <c r="S1124">
        <v>0</v>
      </c>
      <c r="T1124">
        <v>0</v>
      </c>
      <c r="U1124">
        <v>0</v>
      </c>
      <c r="V1124">
        <v>0</v>
      </c>
      <c r="W1124">
        <v>0</v>
      </c>
      <c r="X1124" s="21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f t="shared" si="42"/>
        <v>0</v>
      </c>
      <c r="AP1124" t="s">
        <v>41</v>
      </c>
    </row>
    <row r="1125" spans="1:42">
      <c r="A1125" s="1">
        <v>43779</v>
      </c>
      <c r="B1125">
        <v>7</v>
      </c>
      <c r="C1125">
        <v>201</v>
      </c>
      <c r="D1125">
        <v>10381</v>
      </c>
      <c r="E1125" t="s">
        <v>37</v>
      </c>
      <c r="F1125" t="s">
        <v>436</v>
      </c>
      <c r="H1125">
        <v>129</v>
      </c>
      <c r="I1125" s="25">
        <v>401</v>
      </c>
      <c r="K1125" t="s">
        <v>74</v>
      </c>
      <c r="O1125">
        <v>78</v>
      </c>
      <c r="Q1125">
        <f t="shared" si="41"/>
        <v>1</v>
      </c>
      <c r="R1125">
        <v>1</v>
      </c>
      <c r="S1125">
        <v>0</v>
      </c>
      <c r="T1125">
        <v>0</v>
      </c>
      <c r="U1125">
        <v>0</v>
      </c>
      <c r="V1125">
        <v>1</v>
      </c>
      <c r="W1125">
        <v>0</v>
      </c>
      <c r="X1125" s="21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f t="shared" si="42"/>
        <v>64</v>
      </c>
      <c r="AK1125" t="s">
        <v>95</v>
      </c>
      <c r="AP1125" t="s">
        <v>41</v>
      </c>
    </row>
    <row r="1126" spans="1:42">
      <c r="A1126" s="1">
        <v>43779</v>
      </c>
      <c r="B1126">
        <v>7</v>
      </c>
      <c r="C1126">
        <v>201</v>
      </c>
      <c r="D1126">
        <v>10381</v>
      </c>
      <c r="E1126" t="s">
        <v>37</v>
      </c>
      <c r="F1126" t="s">
        <v>436</v>
      </c>
      <c r="H1126">
        <v>130</v>
      </c>
      <c r="I1126" s="25">
        <v>300</v>
      </c>
      <c r="K1126" t="s">
        <v>102</v>
      </c>
      <c r="P1126">
        <v>178</v>
      </c>
      <c r="Q1126">
        <f t="shared" si="41"/>
        <v>0</v>
      </c>
      <c r="R1126">
        <v>3</v>
      </c>
      <c r="S1126">
        <v>0</v>
      </c>
      <c r="T1126">
        <v>0</v>
      </c>
      <c r="U1126">
        <v>0</v>
      </c>
      <c r="V1126">
        <v>0</v>
      </c>
      <c r="W1126">
        <v>0</v>
      </c>
      <c r="X1126" s="21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f t="shared" si="42"/>
        <v>0</v>
      </c>
      <c r="AK1126" t="s">
        <v>95</v>
      </c>
      <c r="AP1126" t="s">
        <v>41</v>
      </c>
    </row>
    <row r="1127" spans="1:42">
      <c r="A1127" s="1">
        <v>43779</v>
      </c>
      <c r="B1127">
        <v>7</v>
      </c>
      <c r="C1127">
        <v>201</v>
      </c>
      <c r="D1127">
        <v>10381</v>
      </c>
      <c r="E1127" t="s">
        <v>37</v>
      </c>
      <c r="F1127" t="s">
        <v>436</v>
      </c>
      <c r="H1127">
        <v>131</v>
      </c>
      <c r="I1127" s="25">
        <v>242</v>
      </c>
      <c r="K1127" t="s">
        <v>98</v>
      </c>
      <c r="O1127">
        <v>29</v>
      </c>
      <c r="Q1127">
        <f t="shared" si="41"/>
        <v>0</v>
      </c>
      <c r="R1127">
        <v>1</v>
      </c>
      <c r="S1127">
        <v>0</v>
      </c>
      <c r="T1127">
        <v>0</v>
      </c>
      <c r="U1127">
        <v>0</v>
      </c>
      <c r="V1127">
        <v>0</v>
      </c>
      <c r="W1127">
        <v>0</v>
      </c>
      <c r="X1127" s="21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f t="shared" si="42"/>
        <v>0</v>
      </c>
      <c r="AK1127" t="s">
        <v>95</v>
      </c>
      <c r="AP1127" t="s">
        <v>41</v>
      </c>
    </row>
    <row r="1128" spans="1:42">
      <c r="A1128" s="1">
        <v>43779</v>
      </c>
      <c r="B1128">
        <v>7</v>
      </c>
      <c r="C1128">
        <v>201</v>
      </c>
      <c r="D1128">
        <v>10381</v>
      </c>
      <c r="E1128" t="s">
        <v>37</v>
      </c>
      <c r="F1128" t="s">
        <v>436</v>
      </c>
      <c r="H1128">
        <v>132</v>
      </c>
      <c r="I1128" s="25">
        <v>240</v>
      </c>
      <c r="K1128" t="s">
        <v>98</v>
      </c>
      <c r="O1128">
        <v>29</v>
      </c>
      <c r="Q1128">
        <f t="shared" si="41"/>
        <v>0</v>
      </c>
      <c r="R1128">
        <v>1</v>
      </c>
      <c r="S1128">
        <v>0</v>
      </c>
      <c r="T1128">
        <v>0</v>
      </c>
      <c r="U1128">
        <v>0</v>
      </c>
      <c r="V1128">
        <v>0</v>
      </c>
      <c r="W1128">
        <v>0</v>
      </c>
      <c r="X1128" s="21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f t="shared" si="42"/>
        <v>0</v>
      </c>
      <c r="AK1128" t="s">
        <v>95</v>
      </c>
      <c r="AP1128" t="s">
        <v>41</v>
      </c>
    </row>
    <row r="1129" spans="1:42">
      <c r="A1129" s="1">
        <v>43779</v>
      </c>
      <c r="B1129">
        <v>7</v>
      </c>
      <c r="C1129">
        <v>201</v>
      </c>
      <c r="D1129">
        <v>10381</v>
      </c>
      <c r="E1129" t="s">
        <v>37</v>
      </c>
      <c r="F1129" t="s">
        <v>436</v>
      </c>
      <c r="H1129">
        <v>133</v>
      </c>
      <c r="I1129" s="25">
        <v>480</v>
      </c>
      <c r="K1129" t="s">
        <v>49</v>
      </c>
      <c r="N1129" t="s">
        <v>44</v>
      </c>
      <c r="O1129">
        <v>90</v>
      </c>
      <c r="Q1129">
        <f t="shared" si="41"/>
        <v>4</v>
      </c>
      <c r="R1129">
        <v>1</v>
      </c>
      <c r="S1129">
        <v>0</v>
      </c>
      <c r="T1129">
        <v>0</v>
      </c>
      <c r="U1129">
        <v>0</v>
      </c>
      <c r="V1129">
        <v>0</v>
      </c>
      <c r="W1129">
        <v>4</v>
      </c>
      <c r="X1129" s="21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f t="shared" si="42"/>
        <v>384</v>
      </c>
      <c r="AK1129" t="s">
        <v>95</v>
      </c>
      <c r="AP1129" t="s">
        <v>41</v>
      </c>
    </row>
    <row r="1130" spans="1:42">
      <c r="A1130" s="1">
        <v>43779</v>
      </c>
      <c r="B1130">
        <v>7</v>
      </c>
      <c r="C1130">
        <v>201</v>
      </c>
      <c r="D1130">
        <v>10381</v>
      </c>
      <c r="E1130" t="s">
        <v>37</v>
      </c>
      <c r="F1130" t="s">
        <v>436</v>
      </c>
      <c r="H1130">
        <v>134</v>
      </c>
      <c r="I1130" s="25">
        <v>570</v>
      </c>
      <c r="K1130" t="s">
        <v>75</v>
      </c>
      <c r="N1130" t="s">
        <v>40</v>
      </c>
      <c r="O1130">
        <v>90</v>
      </c>
      <c r="Q1130">
        <f t="shared" si="41"/>
        <v>1</v>
      </c>
      <c r="R1130">
        <v>1</v>
      </c>
      <c r="S1130">
        <v>0</v>
      </c>
      <c r="T1130">
        <v>0</v>
      </c>
      <c r="U1130">
        <v>0</v>
      </c>
      <c r="V1130">
        <v>0</v>
      </c>
      <c r="W1130">
        <v>1</v>
      </c>
      <c r="X1130" s="21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f t="shared" si="42"/>
        <v>96</v>
      </c>
      <c r="AK1130" t="s">
        <v>95</v>
      </c>
      <c r="AP1130" t="s">
        <v>41</v>
      </c>
    </row>
    <row r="1131" spans="1:42">
      <c r="A1131" s="1">
        <v>43779</v>
      </c>
      <c r="B1131">
        <v>7</v>
      </c>
      <c r="C1131">
        <v>201</v>
      </c>
      <c r="D1131">
        <v>10381</v>
      </c>
      <c r="E1131" t="s">
        <v>37</v>
      </c>
      <c r="F1131" t="s">
        <v>436</v>
      </c>
      <c r="H1131">
        <v>135</v>
      </c>
      <c r="I1131" s="25">
        <v>560</v>
      </c>
      <c r="K1131" t="s">
        <v>75</v>
      </c>
      <c r="N1131" t="s">
        <v>44</v>
      </c>
      <c r="O1131">
        <v>90</v>
      </c>
      <c r="Q1131">
        <f t="shared" si="41"/>
        <v>3</v>
      </c>
      <c r="R1131">
        <v>1</v>
      </c>
      <c r="S1131">
        <v>0</v>
      </c>
      <c r="T1131">
        <v>0</v>
      </c>
      <c r="U1131">
        <v>0</v>
      </c>
      <c r="V1131">
        <v>0</v>
      </c>
      <c r="W1131">
        <v>3</v>
      </c>
      <c r="X1131" s="2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f t="shared" si="42"/>
        <v>288</v>
      </c>
      <c r="AK1131" t="s">
        <v>95</v>
      </c>
      <c r="AP1131" t="s">
        <v>41</v>
      </c>
    </row>
    <row r="1132" spans="1:42">
      <c r="A1132" s="1">
        <v>43779</v>
      </c>
      <c r="B1132">
        <v>7</v>
      </c>
      <c r="C1132">
        <v>201</v>
      </c>
      <c r="D1132">
        <v>10381</v>
      </c>
      <c r="E1132" t="s">
        <v>37</v>
      </c>
      <c r="F1132" t="s">
        <v>436</v>
      </c>
      <c r="H1132">
        <v>136</v>
      </c>
      <c r="I1132" s="25">
        <v>665</v>
      </c>
      <c r="K1132" t="s">
        <v>46</v>
      </c>
      <c r="N1132" t="s">
        <v>40</v>
      </c>
      <c r="O1132">
        <v>90</v>
      </c>
      <c r="Q1132">
        <f t="shared" si="41"/>
        <v>2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2</v>
      </c>
      <c r="X1132" s="21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f t="shared" si="42"/>
        <v>192</v>
      </c>
      <c r="AK1132" t="s">
        <v>95</v>
      </c>
      <c r="AP1132" t="s">
        <v>41</v>
      </c>
    </row>
    <row r="1133" spans="1:42">
      <c r="A1133" s="1">
        <v>43779</v>
      </c>
      <c r="B1133">
        <v>7</v>
      </c>
      <c r="C1133">
        <v>201</v>
      </c>
      <c r="D1133">
        <v>10381</v>
      </c>
      <c r="E1133" t="s">
        <v>37</v>
      </c>
      <c r="F1133" t="s">
        <v>436</v>
      </c>
      <c r="H1133">
        <v>137</v>
      </c>
      <c r="I1133" s="25">
        <v>529</v>
      </c>
      <c r="K1133" t="s">
        <v>75</v>
      </c>
      <c r="N1133" t="s">
        <v>40</v>
      </c>
      <c r="O1133">
        <v>90</v>
      </c>
      <c r="Q1133">
        <f t="shared" si="41"/>
        <v>1</v>
      </c>
      <c r="R1133">
        <v>1</v>
      </c>
      <c r="S1133">
        <v>0</v>
      </c>
      <c r="T1133">
        <v>0</v>
      </c>
      <c r="U1133">
        <v>0</v>
      </c>
      <c r="V1133">
        <v>0</v>
      </c>
      <c r="W1133">
        <v>1</v>
      </c>
      <c r="X1133" s="21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f t="shared" si="42"/>
        <v>96</v>
      </c>
      <c r="AK1133" t="s">
        <v>95</v>
      </c>
      <c r="AP1133" t="s">
        <v>41</v>
      </c>
    </row>
    <row r="1134" spans="1:42">
      <c r="A1134" s="1">
        <v>43779</v>
      </c>
      <c r="B1134">
        <v>7</v>
      </c>
      <c r="C1134">
        <v>201</v>
      </c>
      <c r="D1134">
        <v>10381</v>
      </c>
      <c r="E1134" t="s">
        <v>37</v>
      </c>
      <c r="F1134" t="s">
        <v>436</v>
      </c>
      <c r="H1134">
        <v>138</v>
      </c>
      <c r="I1134" s="25">
        <v>400</v>
      </c>
      <c r="K1134" t="s">
        <v>75</v>
      </c>
      <c r="P1134">
        <v>260</v>
      </c>
      <c r="Q1134">
        <f t="shared" si="41"/>
        <v>7</v>
      </c>
      <c r="R1134">
        <v>7</v>
      </c>
      <c r="S1134">
        <v>0</v>
      </c>
      <c r="T1134">
        <v>0</v>
      </c>
      <c r="U1134">
        <v>1</v>
      </c>
      <c r="V1134">
        <v>2</v>
      </c>
      <c r="W1134">
        <v>4</v>
      </c>
      <c r="X1134" s="21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f t="shared" si="42"/>
        <v>544</v>
      </c>
      <c r="AK1134" t="s">
        <v>95</v>
      </c>
      <c r="AP1134" t="s">
        <v>41</v>
      </c>
    </row>
    <row r="1135" spans="1:42">
      <c r="A1135" s="1">
        <v>43779</v>
      </c>
      <c r="B1135">
        <v>7</v>
      </c>
      <c r="C1135">
        <v>201</v>
      </c>
      <c r="D1135">
        <v>10381</v>
      </c>
      <c r="E1135" t="s">
        <v>37</v>
      </c>
      <c r="F1135" t="s">
        <v>436</v>
      </c>
      <c r="H1135">
        <v>139</v>
      </c>
      <c r="I1135" s="25">
        <v>300</v>
      </c>
      <c r="K1135" t="s">
        <v>75</v>
      </c>
      <c r="P1135">
        <v>37</v>
      </c>
      <c r="Q1135">
        <f t="shared" si="41"/>
        <v>0</v>
      </c>
      <c r="R1135">
        <v>1</v>
      </c>
      <c r="S1135">
        <v>0</v>
      </c>
      <c r="T1135">
        <v>0</v>
      </c>
      <c r="U1135">
        <v>0</v>
      </c>
      <c r="V1135">
        <v>0</v>
      </c>
      <c r="W1135">
        <v>0</v>
      </c>
      <c r="X1135" s="21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f t="shared" si="42"/>
        <v>0</v>
      </c>
      <c r="AK1135" t="s">
        <v>95</v>
      </c>
      <c r="AL1135" t="s">
        <v>470</v>
      </c>
      <c r="AP1135" t="s">
        <v>41</v>
      </c>
    </row>
    <row r="1136" spans="1:42">
      <c r="A1136" s="1">
        <v>43779</v>
      </c>
      <c r="B1136">
        <v>7</v>
      </c>
      <c r="C1136">
        <v>201</v>
      </c>
      <c r="D1136">
        <v>10381</v>
      </c>
      <c r="E1136" t="s">
        <v>37</v>
      </c>
      <c r="F1136" t="s">
        <v>436</v>
      </c>
      <c r="H1136">
        <v>140</v>
      </c>
      <c r="I1136" s="25">
        <v>200</v>
      </c>
      <c r="K1136" t="s">
        <v>75</v>
      </c>
      <c r="P1136">
        <v>91</v>
      </c>
      <c r="Q1136">
        <f t="shared" si="41"/>
        <v>0</v>
      </c>
      <c r="R1136">
        <v>1</v>
      </c>
      <c r="S1136">
        <v>0</v>
      </c>
      <c r="T1136">
        <v>0</v>
      </c>
      <c r="U1136">
        <v>0</v>
      </c>
      <c r="V1136">
        <v>0</v>
      </c>
      <c r="W1136">
        <v>0</v>
      </c>
      <c r="X1136" s="21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f t="shared" si="42"/>
        <v>0</v>
      </c>
      <c r="AK1136" t="s">
        <v>95</v>
      </c>
      <c r="AP1136" t="s">
        <v>41</v>
      </c>
    </row>
    <row r="1137" spans="1:42">
      <c r="A1137" s="1">
        <v>43779</v>
      </c>
      <c r="B1137">
        <v>7</v>
      </c>
      <c r="C1137">
        <v>201</v>
      </c>
      <c r="D1137">
        <v>10381</v>
      </c>
      <c r="E1137" t="s">
        <v>37</v>
      </c>
      <c r="F1137" t="s">
        <v>436</v>
      </c>
      <c r="H1137">
        <v>141</v>
      </c>
      <c r="I1137" s="25"/>
      <c r="K1137" t="s">
        <v>102</v>
      </c>
      <c r="P1137">
        <v>900</v>
      </c>
      <c r="Q1137">
        <f t="shared" si="41"/>
        <v>0</v>
      </c>
      <c r="R1137">
        <v>1</v>
      </c>
      <c r="S1137">
        <v>0</v>
      </c>
      <c r="T1137">
        <v>0</v>
      </c>
      <c r="U1137">
        <v>0</v>
      </c>
      <c r="V1137">
        <v>0</v>
      </c>
      <c r="W1137">
        <v>0</v>
      </c>
      <c r="X1137" s="21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f t="shared" si="42"/>
        <v>0</v>
      </c>
      <c r="AK1137" t="s">
        <v>95</v>
      </c>
      <c r="AP1137" t="s">
        <v>41</v>
      </c>
    </row>
    <row r="1138" spans="1:42">
      <c r="A1138" s="1">
        <v>43779</v>
      </c>
      <c r="B1138">
        <v>7</v>
      </c>
      <c r="C1138">
        <v>201</v>
      </c>
      <c r="D1138">
        <v>10381</v>
      </c>
      <c r="E1138" t="s">
        <v>37</v>
      </c>
      <c r="F1138" t="s">
        <v>436</v>
      </c>
      <c r="H1138">
        <v>142</v>
      </c>
      <c r="I1138" s="25">
        <v>1000</v>
      </c>
      <c r="K1138" t="s">
        <v>73</v>
      </c>
      <c r="O1138">
        <v>99</v>
      </c>
      <c r="Q1138">
        <f t="shared" si="41"/>
        <v>4</v>
      </c>
      <c r="R1138">
        <v>1</v>
      </c>
      <c r="S1138">
        <v>0</v>
      </c>
      <c r="T1138">
        <v>0</v>
      </c>
      <c r="U1138">
        <v>0</v>
      </c>
      <c r="V1138">
        <v>0</v>
      </c>
      <c r="W1138">
        <v>4</v>
      </c>
      <c r="X1138" s="21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f t="shared" si="42"/>
        <v>384</v>
      </c>
      <c r="AK1138" t="s">
        <v>95</v>
      </c>
      <c r="AP1138" t="s">
        <v>41</v>
      </c>
    </row>
    <row r="1139" spans="1:42">
      <c r="A1139" s="1">
        <v>43790</v>
      </c>
      <c r="B1139">
        <v>4</v>
      </c>
      <c r="C1139">
        <v>310</v>
      </c>
      <c r="D1139"/>
      <c r="E1139" t="s">
        <v>37</v>
      </c>
      <c r="F1139" t="s">
        <v>38</v>
      </c>
      <c r="G1139">
        <v>1</v>
      </c>
      <c r="H1139">
        <v>1</v>
      </c>
      <c r="I1139" s="25">
        <v>0</v>
      </c>
      <c r="K1139" t="s">
        <v>39</v>
      </c>
      <c r="N1139" t="s">
        <v>40</v>
      </c>
      <c r="O1139">
        <v>110</v>
      </c>
      <c r="Q1139">
        <f t="shared" si="41"/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 s="21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f t="shared" si="42"/>
        <v>0</v>
      </c>
      <c r="AP1139" t="s">
        <v>41</v>
      </c>
    </row>
    <row r="1140" spans="1:42">
      <c r="A1140" s="1">
        <v>43790</v>
      </c>
      <c r="B1140">
        <v>4</v>
      </c>
      <c r="C1140">
        <v>310</v>
      </c>
      <c r="D1140"/>
      <c r="E1140" t="s">
        <v>37</v>
      </c>
      <c r="F1140" t="s">
        <v>38</v>
      </c>
      <c r="G1140">
        <v>1</v>
      </c>
      <c r="H1140">
        <v>2</v>
      </c>
      <c r="I1140" s="25">
        <v>100</v>
      </c>
      <c r="K1140" t="s">
        <v>39</v>
      </c>
      <c r="N1140" t="s">
        <v>40</v>
      </c>
      <c r="P1140">
        <v>110</v>
      </c>
      <c r="Q1140">
        <f t="shared" si="41"/>
        <v>0</v>
      </c>
      <c r="R1140">
        <v>2</v>
      </c>
      <c r="S1140">
        <v>0</v>
      </c>
      <c r="T1140">
        <v>0</v>
      </c>
      <c r="U1140">
        <v>0</v>
      </c>
      <c r="V1140">
        <v>0</v>
      </c>
      <c r="W1140">
        <v>0</v>
      </c>
      <c r="X1140" s="21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f t="shared" si="42"/>
        <v>0</v>
      </c>
      <c r="AP1140" t="s">
        <v>41</v>
      </c>
    </row>
    <row r="1141" spans="1:42">
      <c r="A1141" s="1">
        <v>43790</v>
      </c>
      <c r="B1141">
        <v>4</v>
      </c>
      <c r="C1141">
        <v>310</v>
      </c>
      <c r="D1141"/>
      <c r="E1141" t="s">
        <v>37</v>
      </c>
      <c r="F1141" t="s">
        <v>38</v>
      </c>
      <c r="G1141">
        <v>1</v>
      </c>
      <c r="H1141">
        <v>3</v>
      </c>
      <c r="I1141" s="25">
        <v>200</v>
      </c>
      <c r="K1141" t="s">
        <v>39</v>
      </c>
      <c r="N1141" t="s">
        <v>40</v>
      </c>
      <c r="P1141">
        <v>120</v>
      </c>
      <c r="Q1141">
        <f t="shared" si="41"/>
        <v>9</v>
      </c>
      <c r="R1141">
        <v>8</v>
      </c>
      <c r="S1141">
        <v>0</v>
      </c>
      <c r="T1141">
        <v>0</v>
      </c>
      <c r="U1141">
        <v>5</v>
      </c>
      <c r="V1141">
        <v>4</v>
      </c>
      <c r="W1141">
        <v>0</v>
      </c>
      <c r="X1141" s="2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f t="shared" si="42"/>
        <v>416</v>
      </c>
      <c r="AP1141" t="s">
        <v>41</v>
      </c>
    </row>
    <row r="1142" spans="1:42">
      <c r="A1142" s="1">
        <v>43790</v>
      </c>
      <c r="B1142">
        <v>4</v>
      </c>
      <c r="C1142">
        <v>310</v>
      </c>
      <c r="D1142"/>
      <c r="E1142" t="s">
        <v>37</v>
      </c>
      <c r="F1142" t="s">
        <v>38</v>
      </c>
      <c r="G1142">
        <v>1</v>
      </c>
      <c r="H1142">
        <v>4</v>
      </c>
      <c r="I1142" s="25">
        <v>300</v>
      </c>
      <c r="K1142" t="s">
        <v>39</v>
      </c>
      <c r="N1142" t="s">
        <v>42</v>
      </c>
      <c r="P1142">
        <v>182</v>
      </c>
      <c r="Q1142">
        <f t="shared" si="41"/>
        <v>7</v>
      </c>
      <c r="R1142">
        <v>6</v>
      </c>
      <c r="S1142">
        <v>0</v>
      </c>
      <c r="T1142">
        <v>0</v>
      </c>
      <c r="U1142">
        <v>5</v>
      </c>
      <c r="V1142">
        <v>2</v>
      </c>
      <c r="W1142">
        <v>0</v>
      </c>
      <c r="X1142" s="21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f t="shared" si="42"/>
        <v>288</v>
      </c>
      <c r="AP1142" t="s">
        <v>41</v>
      </c>
    </row>
    <row r="1143" spans="1:42">
      <c r="A1143" s="1">
        <v>43790</v>
      </c>
      <c r="B1143">
        <v>4</v>
      </c>
      <c r="C1143">
        <v>310</v>
      </c>
      <c r="D1143"/>
      <c r="E1143" t="s">
        <v>37</v>
      </c>
      <c r="F1143" t="s">
        <v>38</v>
      </c>
      <c r="G1143">
        <v>1</v>
      </c>
      <c r="H1143">
        <v>5</v>
      </c>
      <c r="I1143" s="25"/>
      <c r="K1143" t="s">
        <v>43</v>
      </c>
      <c r="N1143" t="s">
        <v>44</v>
      </c>
      <c r="O1143">
        <v>110</v>
      </c>
      <c r="Q1143">
        <f t="shared" si="41"/>
        <v>2</v>
      </c>
      <c r="R1143">
        <v>1</v>
      </c>
      <c r="S1143">
        <v>0</v>
      </c>
      <c r="T1143">
        <v>0</v>
      </c>
      <c r="U1143">
        <v>0</v>
      </c>
      <c r="V1143">
        <v>2</v>
      </c>
      <c r="W1143">
        <v>0</v>
      </c>
      <c r="X1143" s="21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f t="shared" si="42"/>
        <v>128</v>
      </c>
      <c r="AL1143" t="s">
        <v>45</v>
      </c>
      <c r="AP1143" t="s">
        <v>41</v>
      </c>
    </row>
    <row r="1144" spans="1:42">
      <c r="A1144" s="1">
        <v>43790</v>
      </c>
      <c r="B1144">
        <v>4</v>
      </c>
      <c r="C1144">
        <v>310</v>
      </c>
      <c r="D1144"/>
      <c r="E1144" t="s">
        <v>37</v>
      </c>
      <c r="F1144" t="s">
        <v>38</v>
      </c>
      <c r="G1144">
        <v>1</v>
      </c>
      <c r="H1144">
        <v>6</v>
      </c>
      <c r="I1144" s="25">
        <v>600</v>
      </c>
      <c r="K1144" t="s">
        <v>46</v>
      </c>
      <c r="N1144" t="s">
        <v>44</v>
      </c>
      <c r="P1144">
        <v>117</v>
      </c>
      <c r="Q1144">
        <f t="shared" si="41"/>
        <v>3</v>
      </c>
      <c r="R1144">
        <v>4</v>
      </c>
      <c r="S1144">
        <v>0</v>
      </c>
      <c r="T1144">
        <v>0</v>
      </c>
      <c r="U1144">
        <v>2</v>
      </c>
      <c r="V1144">
        <v>1</v>
      </c>
      <c r="W1144">
        <v>0</v>
      </c>
      <c r="X1144" s="21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f t="shared" si="42"/>
        <v>128</v>
      </c>
      <c r="AP1144" t="s">
        <v>41</v>
      </c>
    </row>
    <row r="1145" spans="1:42">
      <c r="A1145" s="1">
        <v>43790</v>
      </c>
      <c r="B1145">
        <v>4</v>
      </c>
      <c r="C1145">
        <v>310</v>
      </c>
      <c r="D1145"/>
      <c r="E1145" t="s">
        <v>37</v>
      </c>
      <c r="F1145" t="s">
        <v>38</v>
      </c>
      <c r="G1145">
        <v>1</v>
      </c>
      <c r="H1145">
        <v>7</v>
      </c>
      <c r="I1145" s="25">
        <v>600</v>
      </c>
      <c r="K1145" t="s">
        <v>46</v>
      </c>
      <c r="N1145" t="s">
        <v>40</v>
      </c>
      <c r="P1145">
        <v>74</v>
      </c>
      <c r="Q1145">
        <f t="shared" si="41"/>
        <v>2</v>
      </c>
      <c r="R1145">
        <v>1</v>
      </c>
      <c r="S1145">
        <v>0</v>
      </c>
      <c r="T1145">
        <v>0</v>
      </c>
      <c r="U1145">
        <v>1</v>
      </c>
      <c r="V1145">
        <v>1</v>
      </c>
      <c r="W1145">
        <v>0</v>
      </c>
      <c r="X1145" s="21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f t="shared" si="42"/>
        <v>96</v>
      </c>
      <c r="AP1145" t="s">
        <v>41</v>
      </c>
    </row>
    <row r="1146" spans="1:42">
      <c r="A1146" s="1">
        <v>43790</v>
      </c>
      <c r="B1146">
        <v>4</v>
      </c>
      <c r="C1146">
        <v>310</v>
      </c>
      <c r="D1146"/>
      <c r="E1146" t="s">
        <v>37</v>
      </c>
      <c r="F1146" t="s">
        <v>38</v>
      </c>
      <c r="G1146">
        <v>1</v>
      </c>
      <c r="H1146">
        <v>8</v>
      </c>
      <c r="I1146" s="25">
        <v>530</v>
      </c>
      <c r="K1146" t="s">
        <v>46</v>
      </c>
      <c r="N1146" t="s">
        <v>44</v>
      </c>
      <c r="O1146">
        <v>96</v>
      </c>
      <c r="Q1146">
        <f t="shared" si="41"/>
        <v>4</v>
      </c>
      <c r="R1146">
        <v>1</v>
      </c>
      <c r="S1146">
        <v>0</v>
      </c>
      <c r="T1146">
        <v>0</v>
      </c>
      <c r="U1146">
        <v>0</v>
      </c>
      <c r="V1146">
        <v>4</v>
      </c>
      <c r="W1146">
        <v>0</v>
      </c>
      <c r="X1146" s="21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f t="shared" si="42"/>
        <v>256</v>
      </c>
      <c r="AL1146" t="s">
        <v>47</v>
      </c>
      <c r="AP1146" t="s">
        <v>41</v>
      </c>
    </row>
    <row r="1147" spans="1:42">
      <c r="A1147" s="1">
        <v>43790</v>
      </c>
      <c r="B1147">
        <v>4</v>
      </c>
      <c r="C1147">
        <v>310</v>
      </c>
      <c r="D1147"/>
      <c r="E1147" t="s">
        <v>37</v>
      </c>
      <c r="F1147" t="s">
        <v>38</v>
      </c>
      <c r="G1147">
        <v>1</v>
      </c>
      <c r="H1147">
        <v>9</v>
      </c>
      <c r="I1147" s="25">
        <v>359</v>
      </c>
      <c r="K1147" t="s">
        <v>48</v>
      </c>
      <c r="N1147" t="s">
        <v>40</v>
      </c>
      <c r="O1147">
        <v>41</v>
      </c>
      <c r="Q1147">
        <f t="shared" si="41"/>
        <v>1</v>
      </c>
      <c r="R1147">
        <v>1</v>
      </c>
      <c r="S1147">
        <v>0</v>
      </c>
      <c r="T1147">
        <v>0</v>
      </c>
      <c r="U1147">
        <v>0</v>
      </c>
      <c r="V1147">
        <v>1</v>
      </c>
      <c r="W1147">
        <v>0</v>
      </c>
      <c r="X1147" s="21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f t="shared" si="42"/>
        <v>64</v>
      </c>
      <c r="AP1147" t="s">
        <v>41</v>
      </c>
    </row>
    <row r="1148" spans="1:42">
      <c r="A1148" s="1">
        <v>43790</v>
      </c>
      <c r="B1148">
        <v>4</v>
      </c>
      <c r="C1148">
        <v>310</v>
      </c>
      <c r="D1148"/>
      <c r="E1148" t="s">
        <v>37</v>
      </c>
      <c r="F1148" t="s">
        <v>38</v>
      </c>
      <c r="G1148">
        <v>1</v>
      </c>
      <c r="H1148">
        <v>10</v>
      </c>
      <c r="I1148" s="25">
        <v>250</v>
      </c>
      <c r="K1148" t="s">
        <v>49</v>
      </c>
      <c r="N1148" t="s">
        <v>42</v>
      </c>
      <c r="O1148">
        <v>61</v>
      </c>
      <c r="Q1148">
        <f t="shared" si="41"/>
        <v>1</v>
      </c>
      <c r="R1148">
        <v>1</v>
      </c>
      <c r="S1148">
        <v>0</v>
      </c>
      <c r="T1148">
        <v>0</v>
      </c>
      <c r="U1148">
        <v>0</v>
      </c>
      <c r="V1148">
        <v>1</v>
      </c>
      <c r="W1148">
        <v>0</v>
      </c>
      <c r="X1148" s="21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f t="shared" si="42"/>
        <v>64</v>
      </c>
      <c r="AL1148" t="s">
        <v>45</v>
      </c>
      <c r="AP1148" t="s">
        <v>41</v>
      </c>
    </row>
    <row r="1149" spans="1:42">
      <c r="A1149" s="1">
        <v>43790</v>
      </c>
      <c r="B1149">
        <v>4</v>
      </c>
      <c r="C1149">
        <v>310</v>
      </c>
      <c r="D1149"/>
      <c r="E1149" t="s">
        <v>37</v>
      </c>
      <c r="F1149" t="s">
        <v>38</v>
      </c>
      <c r="G1149">
        <v>1</v>
      </c>
      <c r="H1149">
        <v>11</v>
      </c>
      <c r="I1149" s="25">
        <v>447</v>
      </c>
      <c r="K1149" t="s">
        <v>46</v>
      </c>
      <c r="N1149" t="s">
        <v>42</v>
      </c>
      <c r="O1149">
        <v>61</v>
      </c>
      <c r="Q1149">
        <f t="shared" si="41"/>
        <v>1</v>
      </c>
      <c r="R1149">
        <v>1</v>
      </c>
      <c r="S1149">
        <v>0</v>
      </c>
      <c r="T1149">
        <v>0</v>
      </c>
      <c r="U1149">
        <v>0</v>
      </c>
      <c r="V1149">
        <v>1</v>
      </c>
      <c r="W1149">
        <v>0</v>
      </c>
      <c r="X1149" s="21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f t="shared" si="42"/>
        <v>64</v>
      </c>
      <c r="AL1149" t="s">
        <v>45</v>
      </c>
      <c r="AP1149" t="s">
        <v>41</v>
      </c>
    </row>
    <row r="1150" spans="1:42">
      <c r="A1150" s="1">
        <v>43790</v>
      </c>
      <c r="B1150">
        <v>4</v>
      </c>
      <c r="C1150">
        <v>310</v>
      </c>
      <c r="D1150"/>
      <c r="E1150" t="s">
        <v>37</v>
      </c>
      <c r="F1150" t="s">
        <v>38</v>
      </c>
      <c r="G1150">
        <v>1</v>
      </c>
      <c r="H1150">
        <v>12</v>
      </c>
      <c r="I1150" s="25">
        <v>222</v>
      </c>
      <c r="K1150" t="s">
        <v>49</v>
      </c>
      <c r="N1150" t="s">
        <v>42</v>
      </c>
      <c r="O1150">
        <v>61</v>
      </c>
      <c r="Q1150">
        <f t="shared" si="41"/>
        <v>2</v>
      </c>
      <c r="R1150">
        <v>1</v>
      </c>
      <c r="S1150">
        <v>0</v>
      </c>
      <c r="T1150">
        <v>0</v>
      </c>
      <c r="U1150">
        <v>0</v>
      </c>
      <c r="V1150">
        <v>2</v>
      </c>
      <c r="W1150">
        <v>0</v>
      </c>
      <c r="X1150" s="21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f t="shared" si="42"/>
        <v>128</v>
      </c>
      <c r="AL1150" t="s">
        <v>45</v>
      </c>
      <c r="AP1150" t="s">
        <v>41</v>
      </c>
    </row>
    <row r="1151" spans="1:42">
      <c r="A1151" s="1">
        <v>43790</v>
      </c>
      <c r="B1151">
        <v>4</v>
      </c>
      <c r="C1151">
        <v>310</v>
      </c>
      <c r="D1151"/>
      <c r="E1151" t="s">
        <v>37</v>
      </c>
      <c r="F1151" t="s">
        <v>38</v>
      </c>
      <c r="G1151">
        <v>1</v>
      </c>
      <c r="H1151">
        <v>13</v>
      </c>
      <c r="I1151" s="25">
        <v>344</v>
      </c>
      <c r="K1151" t="s">
        <v>48</v>
      </c>
      <c r="N1151" t="s">
        <v>40</v>
      </c>
      <c r="O1151">
        <v>77</v>
      </c>
      <c r="Q1151">
        <f t="shared" si="41"/>
        <v>3</v>
      </c>
      <c r="R1151">
        <v>1</v>
      </c>
      <c r="S1151">
        <v>0</v>
      </c>
      <c r="T1151">
        <v>0</v>
      </c>
      <c r="U1151">
        <v>0</v>
      </c>
      <c r="V1151">
        <v>3</v>
      </c>
      <c r="W1151">
        <v>0</v>
      </c>
      <c r="X1151" s="2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f t="shared" si="42"/>
        <v>192</v>
      </c>
      <c r="AL1151" t="s">
        <v>45</v>
      </c>
      <c r="AP1151" t="s">
        <v>41</v>
      </c>
    </row>
    <row r="1152" spans="1:42">
      <c r="A1152" s="1">
        <v>43790</v>
      </c>
      <c r="B1152">
        <v>4</v>
      </c>
      <c r="C1152">
        <v>310</v>
      </c>
      <c r="D1152"/>
      <c r="E1152" t="s">
        <v>37</v>
      </c>
      <c r="F1152" t="s">
        <v>38</v>
      </c>
      <c r="G1152">
        <v>1</v>
      </c>
      <c r="H1152">
        <v>14</v>
      </c>
      <c r="I1152" s="25">
        <v>312</v>
      </c>
      <c r="K1152" t="s">
        <v>49</v>
      </c>
      <c r="N1152" t="s">
        <v>40</v>
      </c>
      <c r="O1152">
        <v>37</v>
      </c>
      <c r="Q1152">
        <f t="shared" si="41"/>
        <v>2</v>
      </c>
      <c r="R1152">
        <v>1</v>
      </c>
      <c r="S1152">
        <v>0</v>
      </c>
      <c r="T1152">
        <v>0</v>
      </c>
      <c r="U1152">
        <v>2</v>
      </c>
      <c r="V1152">
        <v>0</v>
      </c>
      <c r="W1152">
        <v>0</v>
      </c>
      <c r="X1152" s="21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f t="shared" si="42"/>
        <v>64</v>
      </c>
      <c r="AP1152" t="s">
        <v>41</v>
      </c>
    </row>
    <row r="1153" spans="1:42">
      <c r="A1153" s="1">
        <v>43790</v>
      </c>
      <c r="B1153">
        <v>4</v>
      </c>
      <c r="C1153">
        <v>310</v>
      </c>
      <c r="D1153"/>
      <c r="E1153" t="s">
        <v>37</v>
      </c>
      <c r="F1153" t="s">
        <v>38</v>
      </c>
      <c r="G1153">
        <v>1</v>
      </c>
      <c r="H1153">
        <v>15</v>
      </c>
      <c r="I1153" s="25">
        <v>309</v>
      </c>
      <c r="K1153" t="s">
        <v>49</v>
      </c>
      <c r="N1153" t="s">
        <v>40</v>
      </c>
      <c r="O1153">
        <v>37</v>
      </c>
      <c r="Q1153">
        <f t="shared" si="41"/>
        <v>1</v>
      </c>
      <c r="R1153">
        <v>1</v>
      </c>
      <c r="S1153">
        <v>0</v>
      </c>
      <c r="T1153">
        <v>0</v>
      </c>
      <c r="U1153">
        <v>1</v>
      </c>
      <c r="V1153">
        <v>0</v>
      </c>
      <c r="W1153">
        <v>0</v>
      </c>
      <c r="X1153" s="21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f t="shared" si="42"/>
        <v>32</v>
      </c>
      <c r="AP1153" t="s">
        <v>41</v>
      </c>
    </row>
    <row r="1154" spans="1:42">
      <c r="A1154" s="1">
        <v>43790</v>
      </c>
      <c r="B1154">
        <v>4</v>
      </c>
      <c r="C1154">
        <v>310</v>
      </c>
      <c r="D1154"/>
      <c r="E1154" t="s">
        <v>37</v>
      </c>
      <c r="F1154" t="s">
        <v>38</v>
      </c>
      <c r="G1154">
        <v>1</v>
      </c>
      <c r="H1154">
        <v>16</v>
      </c>
      <c r="I1154" s="25">
        <v>391</v>
      </c>
      <c r="K1154" t="s">
        <v>49</v>
      </c>
      <c r="N1154" t="s">
        <v>44</v>
      </c>
      <c r="O1154">
        <v>48</v>
      </c>
      <c r="Q1154">
        <f t="shared" si="41"/>
        <v>1</v>
      </c>
      <c r="R1154">
        <v>1</v>
      </c>
      <c r="S1154">
        <v>0</v>
      </c>
      <c r="T1154">
        <v>0</v>
      </c>
      <c r="U1154">
        <v>0</v>
      </c>
      <c r="V1154">
        <v>1</v>
      </c>
      <c r="W1154">
        <v>0</v>
      </c>
      <c r="X1154" s="21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f t="shared" si="42"/>
        <v>64</v>
      </c>
      <c r="AP1154" t="s">
        <v>41</v>
      </c>
    </row>
    <row r="1155" spans="1:42">
      <c r="A1155" s="1">
        <v>43790</v>
      </c>
      <c r="B1155">
        <v>4</v>
      </c>
      <c r="C1155">
        <v>310</v>
      </c>
      <c r="D1155"/>
      <c r="E1155" t="s">
        <v>37</v>
      </c>
      <c r="F1155" t="s">
        <v>38</v>
      </c>
      <c r="G1155">
        <v>1</v>
      </c>
      <c r="H1155">
        <v>17</v>
      </c>
      <c r="I1155" s="25">
        <v>391</v>
      </c>
      <c r="K1155" t="s">
        <v>49</v>
      </c>
      <c r="N1155" t="s">
        <v>40</v>
      </c>
      <c r="O1155">
        <v>40</v>
      </c>
      <c r="Q1155">
        <f t="shared" si="41"/>
        <v>1</v>
      </c>
      <c r="R1155">
        <v>1</v>
      </c>
      <c r="S1155">
        <v>0</v>
      </c>
      <c r="T1155">
        <v>0</v>
      </c>
      <c r="U1155">
        <v>0</v>
      </c>
      <c r="V1155">
        <v>1</v>
      </c>
      <c r="W1155">
        <v>0</v>
      </c>
      <c r="X1155" s="21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f t="shared" si="42"/>
        <v>64</v>
      </c>
      <c r="AP1155" t="s">
        <v>41</v>
      </c>
    </row>
    <row r="1156" spans="1:42">
      <c r="A1156" s="1">
        <v>43790</v>
      </c>
      <c r="B1156">
        <v>4</v>
      </c>
      <c r="C1156">
        <v>310</v>
      </c>
      <c r="D1156"/>
      <c r="E1156" t="s">
        <v>37</v>
      </c>
      <c r="F1156" t="s">
        <v>38</v>
      </c>
      <c r="G1156">
        <v>1</v>
      </c>
      <c r="H1156">
        <v>18</v>
      </c>
      <c r="I1156" s="25">
        <v>340</v>
      </c>
      <c r="K1156" t="s">
        <v>50</v>
      </c>
      <c r="N1156" t="s">
        <v>42</v>
      </c>
      <c r="O1156">
        <v>96</v>
      </c>
      <c r="Q1156">
        <f t="shared" si="41"/>
        <v>3</v>
      </c>
      <c r="R1156">
        <v>1</v>
      </c>
      <c r="S1156">
        <v>0</v>
      </c>
      <c r="T1156">
        <v>0</v>
      </c>
      <c r="U1156">
        <v>0</v>
      </c>
      <c r="V1156">
        <v>3</v>
      </c>
      <c r="W1156">
        <v>0</v>
      </c>
      <c r="X1156" s="21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f t="shared" si="42"/>
        <v>192</v>
      </c>
      <c r="AP1156" t="s">
        <v>41</v>
      </c>
    </row>
    <row r="1157" spans="1:42">
      <c r="A1157" s="1">
        <v>43790</v>
      </c>
      <c r="B1157">
        <v>4</v>
      </c>
      <c r="C1157">
        <v>310</v>
      </c>
      <c r="D1157"/>
      <c r="E1157" t="s">
        <v>37</v>
      </c>
      <c r="F1157" t="s">
        <v>38</v>
      </c>
      <c r="G1157">
        <v>1</v>
      </c>
      <c r="H1157">
        <v>19</v>
      </c>
      <c r="I1157" s="25">
        <v>400</v>
      </c>
      <c r="K1157" t="s">
        <v>50</v>
      </c>
      <c r="N1157" t="s">
        <v>40</v>
      </c>
      <c r="P1157">
        <v>95</v>
      </c>
      <c r="Q1157">
        <f t="shared" si="41"/>
        <v>3</v>
      </c>
      <c r="R1157">
        <v>3</v>
      </c>
      <c r="S1157">
        <v>0</v>
      </c>
      <c r="T1157">
        <v>0</v>
      </c>
      <c r="U1157">
        <v>2</v>
      </c>
      <c r="V1157">
        <v>1</v>
      </c>
      <c r="W1157">
        <v>0</v>
      </c>
      <c r="X1157" s="21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f t="shared" si="42"/>
        <v>128</v>
      </c>
      <c r="AP1157" t="s">
        <v>41</v>
      </c>
    </row>
    <row r="1158" spans="1:42">
      <c r="A1158" s="1">
        <v>43790</v>
      </c>
      <c r="B1158">
        <v>4</v>
      </c>
      <c r="C1158">
        <v>310</v>
      </c>
      <c r="D1158"/>
      <c r="E1158" t="s">
        <v>37</v>
      </c>
      <c r="F1158" t="s">
        <v>38</v>
      </c>
      <c r="G1158">
        <v>1</v>
      </c>
      <c r="H1158">
        <v>20</v>
      </c>
      <c r="I1158" s="25">
        <v>400</v>
      </c>
      <c r="K1158" t="s">
        <v>49</v>
      </c>
      <c r="N1158" t="s">
        <v>40</v>
      </c>
      <c r="P1158">
        <v>220</v>
      </c>
      <c r="Q1158">
        <f t="shared" si="41"/>
        <v>8</v>
      </c>
      <c r="R1158">
        <v>4</v>
      </c>
      <c r="S1158">
        <v>0</v>
      </c>
      <c r="T1158">
        <v>0</v>
      </c>
      <c r="U1158">
        <v>3</v>
      </c>
      <c r="V1158">
        <v>5</v>
      </c>
      <c r="W1158">
        <v>0</v>
      </c>
      <c r="X1158" s="21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f t="shared" si="42"/>
        <v>416</v>
      </c>
      <c r="AP1158" t="s">
        <v>41</v>
      </c>
    </row>
    <row r="1159" spans="1:42">
      <c r="A1159" s="1">
        <v>43790</v>
      </c>
      <c r="B1159">
        <v>4</v>
      </c>
      <c r="C1159">
        <v>310</v>
      </c>
      <c r="D1159"/>
      <c r="E1159" t="s">
        <v>37</v>
      </c>
      <c r="F1159" t="s">
        <v>38</v>
      </c>
      <c r="G1159">
        <v>1</v>
      </c>
      <c r="H1159">
        <v>21</v>
      </c>
      <c r="I1159" s="25">
        <v>475</v>
      </c>
      <c r="K1159" t="s">
        <v>49</v>
      </c>
      <c r="N1159" t="s">
        <v>40</v>
      </c>
      <c r="O1159">
        <v>144</v>
      </c>
      <c r="Q1159">
        <f t="shared" si="41"/>
        <v>5</v>
      </c>
      <c r="R1159">
        <v>1</v>
      </c>
      <c r="S1159">
        <v>0</v>
      </c>
      <c r="T1159">
        <v>0</v>
      </c>
      <c r="U1159">
        <v>0</v>
      </c>
      <c r="V1159">
        <v>5</v>
      </c>
      <c r="W1159">
        <v>0</v>
      </c>
      <c r="X1159" s="21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f t="shared" si="42"/>
        <v>320</v>
      </c>
      <c r="AJ1159" t="s">
        <v>51</v>
      </c>
      <c r="AK1159" t="s">
        <v>52</v>
      </c>
      <c r="AP1159" t="s">
        <v>41</v>
      </c>
    </row>
    <row r="1160" spans="1:42">
      <c r="A1160" s="1">
        <v>43790</v>
      </c>
      <c r="B1160">
        <v>4</v>
      </c>
      <c r="C1160">
        <v>310</v>
      </c>
      <c r="D1160"/>
      <c r="E1160" t="s">
        <v>37</v>
      </c>
      <c r="F1160" t="s">
        <v>38</v>
      </c>
      <c r="G1160">
        <v>1</v>
      </c>
      <c r="H1160">
        <v>22</v>
      </c>
      <c r="I1160" s="25">
        <v>210</v>
      </c>
      <c r="K1160" t="s">
        <v>53</v>
      </c>
      <c r="N1160" t="s">
        <v>40</v>
      </c>
      <c r="O1160">
        <v>37</v>
      </c>
      <c r="Q1160">
        <f t="shared" si="41"/>
        <v>1</v>
      </c>
      <c r="R1160">
        <v>1</v>
      </c>
      <c r="S1160">
        <v>0</v>
      </c>
      <c r="T1160">
        <v>0</v>
      </c>
      <c r="U1160">
        <v>0</v>
      </c>
      <c r="V1160">
        <v>1</v>
      </c>
      <c r="W1160">
        <v>0</v>
      </c>
      <c r="X1160" s="21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f t="shared" si="42"/>
        <v>64</v>
      </c>
      <c r="AJ1160" t="s">
        <v>54</v>
      </c>
      <c r="AK1160" t="s">
        <v>52</v>
      </c>
      <c r="AL1160" t="s">
        <v>55</v>
      </c>
      <c r="AP1160" t="s">
        <v>41</v>
      </c>
    </row>
    <row r="1161" spans="1:42">
      <c r="A1161" s="1">
        <v>43790</v>
      </c>
      <c r="B1161">
        <v>4</v>
      </c>
      <c r="C1161">
        <v>310</v>
      </c>
      <c r="D1161"/>
      <c r="E1161" t="s">
        <v>37</v>
      </c>
      <c r="F1161" t="s">
        <v>38</v>
      </c>
      <c r="G1161">
        <v>1</v>
      </c>
      <c r="H1161">
        <v>23</v>
      </c>
      <c r="I1161" s="25">
        <v>455</v>
      </c>
      <c r="K1161" t="s">
        <v>48</v>
      </c>
      <c r="N1161" t="s">
        <v>40</v>
      </c>
      <c r="O1161">
        <v>40</v>
      </c>
      <c r="Q1161">
        <f t="shared" si="41"/>
        <v>1</v>
      </c>
      <c r="R1161">
        <v>1</v>
      </c>
      <c r="S1161">
        <v>0</v>
      </c>
      <c r="T1161">
        <v>0</v>
      </c>
      <c r="U1161">
        <v>0</v>
      </c>
      <c r="V1161">
        <v>1</v>
      </c>
      <c r="W1161">
        <v>0</v>
      </c>
      <c r="X1161" s="2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f t="shared" si="42"/>
        <v>64</v>
      </c>
      <c r="AJ1161" t="s">
        <v>54</v>
      </c>
      <c r="AK1161" t="s">
        <v>52</v>
      </c>
      <c r="AL1161" t="s">
        <v>55</v>
      </c>
      <c r="AP1161" t="s">
        <v>41</v>
      </c>
    </row>
    <row r="1162" spans="1:42">
      <c r="A1162" s="1">
        <v>43790</v>
      </c>
      <c r="B1162">
        <v>4</v>
      </c>
      <c r="C1162">
        <v>310</v>
      </c>
      <c r="D1162"/>
      <c r="E1162" t="s">
        <v>37</v>
      </c>
      <c r="F1162" t="s">
        <v>38</v>
      </c>
      <c r="G1162">
        <v>1</v>
      </c>
      <c r="H1162">
        <v>24</v>
      </c>
      <c r="I1162" s="25">
        <v>601</v>
      </c>
      <c r="K1162" t="s">
        <v>56</v>
      </c>
      <c r="N1162" t="s">
        <v>42</v>
      </c>
      <c r="O1162">
        <v>152</v>
      </c>
      <c r="Q1162">
        <f t="shared" si="41"/>
        <v>6</v>
      </c>
      <c r="R1162">
        <v>1</v>
      </c>
      <c r="S1162">
        <v>0</v>
      </c>
      <c r="T1162">
        <v>0</v>
      </c>
      <c r="U1162">
        <v>0</v>
      </c>
      <c r="V1162">
        <v>6</v>
      </c>
      <c r="W1162">
        <v>0</v>
      </c>
      <c r="X1162" s="21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f t="shared" si="42"/>
        <v>384</v>
      </c>
      <c r="AJ1162" t="s">
        <v>54</v>
      </c>
      <c r="AK1162" t="s">
        <v>52</v>
      </c>
      <c r="AL1162" t="s">
        <v>57</v>
      </c>
      <c r="AP1162" t="s">
        <v>41</v>
      </c>
    </row>
    <row r="1163" spans="1:42">
      <c r="A1163" s="1">
        <v>43790</v>
      </c>
      <c r="B1163">
        <v>4</v>
      </c>
      <c r="C1163">
        <v>310</v>
      </c>
      <c r="D1163"/>
      <c r="E1163" t="s">
        <v>37</v>
      </c>
      <c r="F1163" t="s">
        <v>38</v>
      </c>
      <c r="G1163">
        <v>1</v>
      </c>
      <c r="H1163">
        <v>25</v>
      </c>
      <c r="I1163" s="25">
        <v>433</v>
      </c>
      <c r="K1163" t="s">
        <v>56</v>
      </c>
      <c r="N1163" t="s">
        <v>40</v>
      </c>
      <c r="O1163">
        <v>50</v>
      </c>
      <c r="Q1163">
        <f t="shared" si="41"/>
        <v>2</v>
      </c>
      <c r="R1163">
        <v>1</v>
      </c>
      <c r="S1163">
        <v>0</v>
      </c>
      <c r="T1163">
        <v>0</v>
      </c>
      <c r="U1163">
        <v>0</v>
      </c>
      <c r="V1163">
        <v>2</v>
      </c>
      <c r="W1163">
        <v>0</v>
      </c>
      <c r="X1163" s="21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f t="shared" si="42"/>
        <v>128</v>
      </c>
      <c r="AJ1163" t="s">
        <v>51</v>
      </c>
      <c r="AK1163" t="s">
        <v>52</v>
      </c>
      <c r="AP1163" t="s">
        <v>41</v>
      </c>
    </row>
    <row r="1164" spans="1:42">
      <c r="A1164" s="1">
        <v>43790</v>
      </c>
      <c r="B1164">
        <v>4</v>
      </c>
      <c r="C1164">
        <v>310</v>
      </c>
      <c r="D1164"/>
      <c r="E1164" t="s">
        <v>37</v>
      </c>
      <c r="F1164" t="s">
        <v>38</v>
      </c>
      <c r="G1164">
        <v>1</v>
      </c>
      <c r="H1164">
        <v>26</v>
      </c>
      <c r="I1164" s="25">
        <v>350</v>
      </c>
      <c r="K1164" t="s">
        <v>56</v>
      </c>
      <c r="N1164" t="s">
        <v>40</v>
      </c>
      <c r="O1164">
        <v>74</v>
      </c>
      <c r="Q1164">
        <f t="shared" si="41"/>
        <v>5</v>
      </c>
      <c r="R1164">
        <v>1</v>
      </c>
      <c r="S1164">
        <v>0</v>
      </c>
      <c r="T1164">
        <v>0</v>
      </c>
      <c r="U1164">
        <v>0</v>
      </c>
      <c r="V1164">
        <v>5</v>
      </c>
      <c r="W1164">
        <v>0</v>
      </c>
      <c r="X1164" s="21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f t="shared" si="42"/>
        <v>320</v>
      </c>
      <c r="AJ1164" t="s">
        <v>51</v>
      </c>
      <c r="AK1164" t="s">
        <v>52</v>
      </c>
      <c r="AP1164" t="s">
        <v>41</v>
      </c>
    </row>
    <row r="1165" spans="1:42">
      <c r="A1165" s="1">
        <v>43790</v>
      </c>
      <c r="B1165">
        <v>4</v>
      </c>
      <c r="C1165">
        <v>310</v>
      </c>
      <c r="D1165"/>
      <c r="E1165" t="s">
        <v>37</v>
      </c>
      <c r="F1165" t="s">
        <v>38</v>
      </c>
      <c r="G1165">
        <v>1</v>
      </c>
      <c r="H1165">
        <v>27</v>
      </c>
      <c r="I1165" s="25">
        <v>357</v>
      </c>
      <c r="K1165" t="s">
        <v>58</v>
      </c>
      <c r="N1165" t="s">
        <v>40</v>
      </c>
      <c r="O1165">
        <v>74</v>
      </c>
      <c r="Q1165">
        <f t="shared" si="41"/>
        <v>3</v>
      </c>
      <c r="R1165">
        <v>1</v>
      </c>
      <c r="S1165">
        <v>0</v>
      </c>
      <c r="T1165">
        <v>0</v>
      </c>
      <c r="U1165">
        <v>1</v>
      </c>
      <c r="V1165">
        <v>2</v>
      </c>
      <c r="W1165">
        <v>0</v>
      </c>
      <c r="X1165" s="21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f t="shared" si="42"/>
        <v>160</v>
      </c>
      <c r="AJ1165" t="s">
        <v>51</v>
      </c>
      <c r="AK1165" t="s">
        <v>52</v>
      </c>
      <c r="AP1165" t="s">
        <v>41</v>
      </c>
    </row>
    <row r="1166" spans="1:42">
      <c r="A1166" s="1">
        <v>43790</v>
      </c>
      <c r="B1166">
        <v>4</v>
      </c>
      <c r="C1166">
        <v>310</v>
      </c>
      <c r="D1166"/>
      <c r="E1166" t="s">
        <v>37</v>
      </c>
      <c r="F1166" t="s">
        <v>38</v>
      </c>
      <c r="G1166">
        <v>1</v>
      </c>
      <c r="H1166">
        <v>28</v>
      </c>
      <c r="I1166" s="25" t="s">
        <v>59</v>
      </c>
      <c r="K1166" t="s">
        <v>56</v>
      </c>
      <c r="N1166" t="s">
        <v>40</v>
      </c>
      <c r="O1166">
        <v>130</v>
      </c>
      <c r="Q1166">
        <f t="shared" si="41"/>
        <v>6</v>
      </c>
      <c r="R1166">
        <v>1</v>
      </c>
      <c r="S1166">
        <v>0</v>
      </c>
      <c r="T1166">
        <v>0</v>
      </c>
      <c r="U1166">
        <v>1</v>
      </c>
      <c r="V1166">
        <v>5</v>
      </c>
      <c r="W1166">
        <v>0</v>
      </c>
      <c r="X1166" s="21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f t="shared" si="42"/>
        <v>352</v>
      </c>
      <c r="AJ1166" t="s">
        <v>51</v>
      </c>
      <c r="AK1166" t="s">
        <v>52</v>
      </c>
      <c r="AP1166" t="s">
        <v>41</v>
      </c>
    </row>
    <row r="1167" spans="1:42">
      <c r="A1167" s="1">
        <v>43790</v>
      </c>
      <c r="B1167">
        <v>4</v>
      </c>
      <c r="C1167">
        <v>310</v>
      </c>
      <c r="D1167"/>
      <c r="E1167" t="s">
        <v>37</v>
      </c>
      <c r="F1167" t="s">
        <v>38</v>
      </c>
      <c r="G1167">
        <v>1</v>
      </c>
      <c r="H1167">
        <v>29</v>
      </c>
      <c r="I1167" s="25">
        <v>20</v>
      </c>
      <c r="K1167" t="s">
        <v>60</v>
      </c>
      <c r="N1167" t="s">
        <v>40</v>
      </c>
      <c r="O1167">
        <v>48</v>
      </c>
      <c r="Q1167">
        <f t="shared" si="41"/>
        <v>0</v>
      </c>
      <c r="R1167">
        <v>1</v>
      </c>
      <c r="S1167">
        <v>0</v>
      </c>
      <c r="T1167">
        <v>0</v>
      </c>
      <c r="U1167">
        <v>0</v>
      </c>
      <c r="V1167">
        <v>0</v>
      </c>
      <c r="W1167">
        <v>0</v>
      </c>
      <c r="X1167" s="21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f t="shared" si="42"/>
        <v>0</v>
      </c>
      <c r="AJ1167" t="s">
        <v>51</v>
      </c>
      <c r="AK1167" t="s">
        <v>52</v>
      </c>
      <c r="AP1167" t="s">
        <v>41</v>
      </c>
    </row>
    <row r="1168" spans="1:42">
      <c r="A1168" s="1">
        <v>43790</v>
      </c>
      <c r="B1168">
        <v>4</v>
      </c>
      <c r="C1168">
        <v>310</v>
      </c>
      <c r="D1168"/>
      <c r="E1168" t="s">
        <v>37</v>
      </c>
      <c r="F1168" t="s">
        <v>38</v>
      </c>
      <c r="G1168">
        <v>1</v>
      </c>
      <c r="H1168">
        <v>30</v>
      </c>
      <c r="I1168" s="25">
        <v>250</v>
      </c>
      <c r="K1168" t="s">
        <v>56</v>
      </c>
      <c r="N1168" t="s">
        <v>40</v>
      </c>
      <c r="O1168">
        <v>50</v>
      </c>
      <c r="Q1168">
        <f t="shared" si="41"/>
        <v>2</v>
      </c>
      <c r="R1168">
        <v>1</v>
      </c>
      <c r="S1168">
        <v>0</v>
      </c>
      <c r="T1168">
        <v>0</v>
      </c>
      <c r="U1168">
        <v>0</v>
      </c>
      <c r="V1168">
        <v>2</v>
      </c>
      <c r="W1168">
        <v>0</v>
      </c>
      <c r="X1168" s="21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f t="shared" si="42"/>
        <v>128</v>
      </c>
      <c r="AJ1168" t="s">
        <v>51</v>
      </c>
      <c r="AK1168" t="s">
        <v>52</v>
      </c>
      <c r="AP1168" t="s">
        <v>41</v>
      </c>
    </row>
    <row r="1169" spans="1:42">
      <c r="A1169" s="1">
        <v>43790</v>
      </c>
      <c r="B1169">
        <v>4</v>
      </c>
      <c r="C1169">
        <v>310</v>
      </c>
      <c r="D1169"/>
      <c r="E1169" t="s">
        <v>37</v>
      </c>
      <c r="F1169" t="s">
        <v>38</v>
      </c>
      <c r="G1169">
        <v>1</v>
      </c>
      <c r="H1169">
        <v>31</v>
      </c>
      <c r="I1169" s="25">
        <v>220</v>
      </c>
      <c r="K1169" t="s">
        <v>56</v>
      </c>
      <c r="N1169" t="s">
        <v>40</v>
      </c>
      <c r="O1169">
        <v>64</v>
      </c>
      <c r="Q1169">
        <f t="shared" si="41"/>
        <v>3</v>
      </c>
      <c r="R1169">
        <v>1</v>
      </c>
      <c r="S1169">
        <v>0</v>
      </c>
      <c r="T1169">
        <v>0</v>
      </c>
      <c r="U1169">
        <v>0</v>
      </c>
      <c r="V1169">
        <v>3</v>
      </c>
      <c r="W1169">
        <v>0</v>
      </c>
      <c r="X1169" s="21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f t="shared" si="42"/>
        <v>192</v>
      </c>
      <c r="AJ1169" t="s">
        <v>51</v>
      </c>
      <c r="AK1169" t="s">
        <v>52</v>
      </c>
      <c r="AP1169" t="s">
        <v>41</v>
      </c>
    </row>
    <row r="1170" spans="1:42">
      <c r="A1170" s="1">
        <v>43790</v>
      </c>
      <c r="B1170">
        <v>4</v>
      </c>
      <c r="C1170">
        <v>310</v>
      </c>
      <c r="D1170"/>
      <c r="E1170" t="s">
        <v>37</v>
      </c>
      <c r="F1170" t="s">
        <v>38</v>
      </c>
      <c r="G1170">
        <v>1</v>
      </c>
      <c r="H1170">
        <v>32</v>
      </c>
      <c r="I1170" s="25">
        <v>235</v>
      </c>
      <c r="K1170" t="s">
        <v>61</v>
      </c>
      <c r="N1170" t="s">
        <v>40</v>
      </c>
      <c r="O1170">
        <v>64</v>
      </c>
      <c r="Q1170">
        <f t="shared" si="41"/>
        <v>3</v>
      </c>
      <c r="R1170">
        <v>1</v>
      </c>
      <c r="S1170">
        <v>0</v>
      </c>
      <c r="T1170">
        <v>0</v>
      </c>
      <c r="U1170">
        <v>0</v>
      </c>
      <c r="V1170">
        <v>3</v>
      </c>
      <c r="W1170">
        <v>0</v>
      </c>
      <c r="X1170" s="21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f t="shared" si="42"/>
        <v>192</v>
      </c>
      <c r="AP1170" t="s">
        <v>41</v>
      </c>
    </row>
    <row r="1171" spans="1:42">
      <c r="A1171" s="1">
        <v>43790</v>
      </c>
      <c r="B1171">
        <v>4</v>
      </c>
      <c r="C1171">
        <v>310</v>
      </c>
      <c r="D1171"/>
      <c r="E1171" t="s">
        <v>37</v>
      </c>
      <c r="F1171" t="s">
        <v>38</v>
      </c>
      <c r="G1171">
        <v>1</v>
      </c>
      <c r="H1171">
        <v>33</v>
      </c>
      <c r="I1171" s="25">
        <v>227</v>
      </c>
      <c r="K1171" t="s">
        <v>61</v>
      </c>
      <c r="N1171" t="s">
        <v>40</v>
      </c>
      <c r="O1171">
        <v>33</v>
      </c>
      <c r="Q1171">
        <f t="shared" si="41"/>
        <v>1</v>
      </c>
      <c r="R1171">
        <v>1</v>
      </c>
      <c r="S1171">
        <v>0</v>
      </c>
      <c r="T1171">
        <v>0</v>
      </c>
      <c r="U1171">
        <v>0</v>
      </c>
      <c r="V1171">
        <v>1</v>
      </c>
      <c r="W1171">
        <v>0</v>
      </c>
      <c r="X1171" s="2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f t="shared" si="42"/>
        <v>64</v>
      </c>
      <c r="AP1171" t="s">
        <v>41</v>
      </c>
    </row>
    <row r="1172" spans="1:42">
      <c r="A1172" s="1">
        <v>43790</v>
      </c>
      <c r="B1172">
        <v>4</v>
      </c>
      <c r="C1172">
        <v>310</v>
      </c>
      <c r="D1172"/>
      <c r="E1172" t="s">
        <v>37</v>
      </c>
      <c r="F1172" t="s">
        <v>38</v>
      </c>
      <c r="G1172">
        <v>1</v>
      </c>
      <c r="H1172">
        <v>34</v>
      </c>
      <c r="I1172" s="25">
        <v>222</v>
      </c>
      <c r="K1172" t="s">
        <v>61</v>
      </c>
      <c r="N1172" t="s">
        <v>40</v>
      </c>
      <c r="O1172">
        <v>33</v>
      </c>
      <c r="Q1172">
        <f t="shared" si="41"/>
        <v>1</v>
      </c>
      <c r="R1172">
        <v>1</v>
      </c>
      <c r="S1172">
        <v>0</v>
      </c>
      <c r="T1172">
        <v>0</v>
      </c>
      <c r="U1172">
        <v>0</v>
      </c>
      <c r="V1172">
        <v>1</v>
      </c>
      <c r="W1172">
        <v>0</v>
      </c>
      <c r="X1172" s="21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f t="shared" si="42"/>
        <v>64</v>
      </c>
      <c r="AP1172" t="s">
        <v>41</v>
      </c>
    </row>
    <row r="1173" spans="1:42">
      <c r="A1173" s="1">
        <v>43790</v>
      </c>
      <c r="B1173">
        <v>4</v>
      </c>
      <c r="C1173">
        <v>310</v>
      </c>
      <c r="D1173"/>
      <c r="E1173" t="s">
        <v>37</v>
      </c>
      <c r="F1173" t="s">
        <v>38</v>
      </c>
      <c r="G1173">
        <v>1</v>
      </c>
      <c r="H1173">
        <v>35</v>
      </c>
      <c r="I1173" s="25">
        <v>240</v>
      </c>
      <c r="K1173" t="s">
        <v>61</v>
      </c>
      <c r="N1173" t="s">
        <v>40</v>
      </c>
      <c r="O1173">
        <v>47</v>
      </c>
      <c r="Q1173">
        <f t="shared" si="41"/>
        <v>1</v>
      </c>
      <c r="R1173">
        <v>1</v>
      </c>
      <c r="S1173">
        <v>0</v>
      </c>
      <c r="T1173">
        <v>0</v>
      </c>
      <c r="U1173">
        <v>0</v>
      </c>
      <c r="V1173">
        <v>1</v>
      </c>
      <c r="W1173">
        <v>0</v>
      </c>
      <c r="X1173" s="21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f t="shared" si="42"/>
        <v>64</v>
      </c>
      <c r="AP1173" t="s">
        <v>41</v>
      </c>
    </row>
    <row r="1174" spans="1:42">
      <c r="A1174" s="1">
        <v>43790</v>
      </c>
      <c r="B1174">
        <v>4</v>
      </c>
      <c r="C1174">
        <v>310</v>
      </c>
      <c r="D1174"/>
      <c r="E1174" t="s">
        <v>37</v>
      </c>
      <c r="F1174" t="s">
        <v>38</v>
      </c>
      <c r="G1174">
        <v>1</v>
      </c>
      <c r="H1174">
        <v>36</v>
      </c>
      <c r="I1174" s="25">
        <v>301</v>
      </c>
      <c r="K1174" t="s">
        <v>62</v>
      </c>
      <c r="N1174" t="s">
        <v>40</v>
      </c>
      <c r="O1174">
        <v>47</v>
      </c>
      <c r="Q1174">
        <f t="shared" si="41"/>
        <v>2</v>
      </c>
      <c r="R1174">
        <v>1</v>
      </c>
      <c r="S1174">
        <v>0</v>
      </c>
      <c r="T1174">
        <v>0</v>
      </c>
      <c r="U1174">
        <v>0</v>
      </c>
      <c r="V1174">
        <v>2</v>
      </c>
      <c r="W1174">
        <v>0</v>
      </c>
      <c r="X1174" s="21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f t="shared" si="42"/>
        <v>128</v>
      </c>
      <c r="AP1174" t="s">
        <v>41</v>
      </c>
    </row>
    <row r="1175" spans="1:42">
      <c r="A1175" s="1">
        <v>43790</v>
      </c>
      <c r="B1175">
        <v>4</v>
      </c>
      <c r="C1175">
        <v>310</v>
      </c>
      <c r="D1175"/>
      <c r="E1175" t="s">
        <v>37</v>
      </c>
      <c r="F1175" t="s">
        <v>38</v>
      </c>
      <c r="G1175">
        <v>1</v>
      </c>
      <c r="H1175">
        <v>37</v>
      </c>
      <c r="I1175" s="25">
        <v>245</v>
      </c>
      <c r="K1175" t="s">
        <v>61</v>
      </c>
      <c r="N1175" t="s">
        <v>40</v>
      </c>
      <c r="O1175">
        <v>47</v>
      </c>
      <c r="Q1175">
        <f t="shared" si="41"/>
        <v>1</v>
      </c>
      <c r="R1175">
        <v>1</v>
      </c>
      <c r="S1175">
        <v>0</v>
      </c>
      <c r="T1175">
        <v>0</v>
      </c>
      <c r="U1175">
        <v>0</v>
      </c>
      <c r="V1175">
        <v>1</v>
      </c>
      <c r="W1175">
        <v>0</v>
      </c>
      <c r="X1175" s="21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f t="shared" si="42"/>
        <v>64</v>
      </c>
      <c r="AP1175" t="s">
        <v>41</v>
      </c>
    </row>
    <row r="1176" spans="1:42">
      <c r="A1176" s="1">
        <v>43790</v>
      </c>
      <c r="B1176">
        <v>4</v>
      </c>
      <c r="C1176">
        <v>310</v>
      </c>
      <c r="D1176"/>
      <c r="E1176" t="s">
        <v>37</v>
      </c>
      <c r="F1176" t="s">
        <v>38</v>
      </c>
      <c r="G1176">
        <v>1</v>
      </c>
      <c r="H1176">
        <v>38</v>
      </c>
      <c r="I1176" s="25">
        <v>8</v>
      </c>
      <c r="K1176" t="s">
        <v>56</v>
      </c>
      <c r="N1176" t="s">
        <v>40</v>
      </c>
      <c r="O1176">
        <v>42</v>
      </c>
      <c r="Q1176">
        <f t="shared" ref="Q1176:Q1239" si="43">SUM(S1176:AC1176)</f>
        <v>2</v>
      </c>
      <c r="R1176">
        <v>1</v>
      </c>
      <c r="S1176">
        <v>0</v>
      </c>
      <c r="T1176">
        <v>0</v>
      </c>
      <c r="U1176">
        <v>1</v>
      </c>
      <c r="V1176">
        <v>1</v>
      </c>
      <c r="W1176">
        <v>0</v>
      </c>
      <c r="X1176" s="21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f t="shared" ref="AH1176:AH1239" si="44">(S1176*16)+(T1176*20)+(U1176*32)+(V1176*64)+(W1176*96)</f>
        <v>96</v>
      </c>
      <c r="AP1176" t="s">
        <v>41</v>
      </c>
    </row>
    <row r="1177" spans="1:42">
      <c r="A1177" s="1">
        <v>43790</v>
      </c>
      <c r="B1177">
        <v>4</v>
      </c>
      <c r="C1177">
        <v>310</v>
      </c>
      <c r="D1177"/>
      <c r="E1177" t="s">
        <v>37</v>
      </c>
      <c r="F1177" t="s">
        <v>38</v>
      </c>
      <c r="G1177">
        <v>1</v>
      </c>
      <c r="H1177">
        <v>39</v>
      </c>
      <c r="I1177" s="25">
        <v>20</v>
      </c>
      <c r="K1177" t="s">
        <v>56</v>
      </c>
      <c r="N1177" t="s">
        <v>40</v>
      </c>
      <c r="O1177">
        <v>42</v>
      </c>
      <c r="Q1177">
        <f t="shared" si="43"/>
        <v>1</v>
      </c>
      <c r="R1177">
        <v>1</v>
      </c>
      <c r="S1177">
        <v>0</v>
      </c>
      <c r="T1177">
        <v>0</v>
      </c>
      <c r="U1177">
        <v>0</v>
      </c>
      <c r="V1177">
        <v>1</v>
      </c>
      <c r="W1177">
        <v>0</v>
      </c>
      <c r="X1177" s="21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f t="shared" si="44"/>
        <v>64</v>
      </c>
      <c r="AP1177" t="s">
        <v>41</v>
      </c>
    </row>
    <row r="1178" spans="1:42">
      <c r="A1178" s="1">
        <v>43790</v>
      </c>
      <c r="B1178">
        <v>4</v>
      </c>
      <c r="C1178">
        <v>310</v>
      </c>
      <c r="D1178"/>
      <c r="E1178" t="s">
        <v>37</v>
      </c>
      <c r="F1178" t="s">
        <v>38</v>
      </c>
      <c r="G1178">
        <v>1</v>
      </c>
      <c r="H1178">
        <v>40</v>
      </c>
      <c r="I1178" s="25">
        <v>1</v>
      </c>
      <c r="K1178" t="s">
        <v>56</v>
      </c>
      <c r="N1178" t="s">
        <v>40</v>
      </c>
      <c r="O1178">
        <v>48</v>
      </c>
      <c r="Q1178">
        <f t="shared" si="43"/>
        <v>1</v>
      </c>
      <c r="R1178">
        <v>1</v>
      </c>
      <c r="S1178">
        <v>0</v>
      </c>
      <c r="T1178">
        <v>0</v>
      </c>
      <c r="U1178">
        <v>0</v>
      </c>
      <c r="V1178">
        <v>1</v>
      </c>
      <c r="W1178">
        <v>0</v>
      </c>
      <c r="X1178" s="21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f t="shared" si="44"/>
        <v>64</v>
      </c>
      <c r="AL1178" t="s">
        <v>63</v>
      </c>
      <c r="AP1178" t="s">
        <v>41</v>
      </c>
    </row>
    <row r="1179" spans="1:42">
      <c r="A1179" s="1">
        <v>43790</v>
      </c>
      <c r="B1179">
        <v>4</v>
      </c>
      <c r="C1179">
        <v>310</v>
      </c>
      <c r="D1179"/>
      <c r="E1179" t="s">
        <v>37</v>
      </c>
      <c r="F1179" t="s">
        <v>38</v>
      </c>
      <c r="G1179">
        <v>1</v>
      </c>
      <c r="H1179">
        <v>41</v>
      </c>
      <c r="I1179" s="25">
        <v>129</v>
      </c>
      <c r="K1179" t="s">
        <v>62</v>
      </c>
      <c r="N1179" t="s">
        <v>40</v>
      </c>
      <c r="O1179">
        <v>55</v>
      </c>
      <c r="Q1179">
        <f t="shared" si="43"/>
        <v>2</v>
      </c>
      <c r="R1179">
        <v>1</v>
      </c>
      <c r="S1179">
        <v>0</v>
      </c>
      <c r="T1179">
        <v>0</v>
      </c>
      <c r="U1179">
        <v>0</v>
      </c>
      <c r="V1179">
        <v>2</v>
      </c>
      <c r="W1179">
        <v>0</v>
      </c>
      <c r="X1179" s="21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f t="shared" si="44"/>
        <v>128</v>
      </c>
      <c r="AP1179" t="s">
        <v>41</v>
      </c>
    </row>
    <row r="1180" spans="1:42">
      <c r="A1180" s="1">
        <v>43790</v>
      </c>
      <c r="B1180">
        <v>4</v>
      </c>
      <c r="C1180">
        <v>310</v>
      </c>
      <c r="D1180"/>
      <c r="E1180" t="s">
        <v>37</v>
      </c>
      <c r="F1180" t="s">
        <v>38</v>
      </c>
      <c r="G1180">
        <v>1</v>
      </c>
      <c r="H1180">
        <v>42</v>
      </c>
      <c r="I1180" s="25">
        <v>113</v>
      </c>
      <c r="K1180" t="s">
        <v>62</v>
      </c>
      <c r="N1180" t="s">
        <v>40</v>
      </c>
      <c r="O1180">
        <v>55</v>
      </c>
      <c r="Q1180">
        <f t="shared" si="43"/>
        <v>2</v>
      </c>
      <c r="R1180">
        <v>1</v>
      </c>
      <c r="S1180">
        <v>0</v>
      </c>
      <c r="T1180">
        <v>0</v>
      </c>
      <c r="U1180">
        <v>0</v>
      </c>
      <c r="V1180">
        <v>2</v>
      </c>
      <c r="W1180">
        <v>0</v>
      </c>
      <c r="X1180" s="21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f t="shared" si="44"/>
        <v>128</v>
      </c>
      <c r="AP1180" t="s">
        <v>41</v>
      </c>
    </row>
    <row r="1181" spans="1:42">
      <c r="A1181" s="1">
        <v>43790</v>
      </c>
      <c r="B1181">
        <v>4</v>
      </c>
      <c r="C1181">
        <v>310</v>
      </c>
      <c r="D1181"/>
      <c r="E1181" t="s">
        <v>37</v>
      </c>
      <c r="F1181" t="s">
        <v>38</v>
      </c>
      <c r="G1181">
        <v>1</v>
      </c>
      <c r="H1181">
        <v>43</v>
      </c>
      <c r="I1181" s="25">
        <v>100</v>
      </c>
      <c r="K1181" t="s">
        <v>56</v>
      </c>
      <c r="N1181" t="s">
        <v>40</v>
      </c>
      <c r="O1181">
        <v>79</v>
      </c>
      <c r="Q1181">
        <f t="shared" si="43"/>
        <v>4</v>
      </c>
      <c r="R1181">
        <v>1</v>
      </c>
      <c r="S1181">
        <v>0</v>
      </c>
      <c r="T1181">
        <v>0</v>
      </c>
      <c r="U1181">
        <v>0</v>
      </c>
      <c r="V1181">
        <v>4</v>
      </c>
      <c r="W1181">
        <v>0</v>
      </c>
      <c r="X1181" s="2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f t="shared" si="44"/>
        <v>256</v>
      </c>
      <c r="AP1181" t="s">
        <v>41</v>
      </c>
    </row>
    <row r="1182" spans="1:42">
      <c r="A1182" s="1">
        <v>43790</v>
      </c>
      <c r="B1182">
        <v>4</v>
      </c>
      <c r="C1182">
        <v>310</v>
      </c>
      <c r="D1182"/>
      <c r="E1182" t="s">
        <v>37</v>
      </c>
      <c r="F1182" t="s">
        <v>38</v>
      </c>
      <c r="G1182">
        <v>1</v>
      </c>
      <c r="H1182">
        <v>44</v>
      </c>
      <c r="I1182" s="25">
        <v>275</v>
      </c>
      <c r="K1182" t="s">
        <v>62</v>
      </c>
      <c r="N1182" t="s">
        <v>40</v>
      </c>
      <c r="O1182">
        <v>79</v>
      </c>
      <c r="Q1182">
        <f t="shared" si="43"/>
        <v>1</v>
      </c>
      <c r="R1182">
        <v>1</v>
      </c>
      <c r="S1182">
        <v>0</v>
      </c>
      <c r="T1182">
        <v>0</v>
      </c>
      <c r="U1182">
        <v>0</v>
      </c>
      <c r="V1182">
        <v>1</v>
      </c>
      <c r="W1182">
        <v>0</v>
      </c>
      <c r="X1182" s="21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f t="shared" si="44"/>
        <v>64</v>
      </c>
      <c r="AP1182" t="s">
        <v>41</v>
      </c>
    </row>
    <row r="1183" spans="1:42">
      <c r="A1183" s="1">
        <v>43790</v>
      </c>
      <c r="B1183">
        <v>4</v>
      </c>
      <c r="C1183">
        <v>310</v>
      </c>
      <c r="D1183"/>
      <c r="E1183" t="s">
        <v>37</v>
      </c>
      <c r="F1183" t="s">
        <v>38</v>
      </c>
      <c r="G1183">
        <v>1</v>
      </c>
      <c r="H1183">
        <v>45</v>
      </c>
      <c r="I1183" s="25">
        <v>325</v>
      </c>
      <c r="K1183" t="s">
        <v>62</v>
      </c>
      <c r="N1183" t="s">
        <v>40</v>
      </c>
      <c r="O1183">
        <v>30</v>
      </c>
      <c r="Q1183">
        <f t="shared" si="43"/>
        <v>1</v>
      </c>
      <c r="R1183">
        <v>1</v>
      </c>
      <c r="S1183">
        <v>0</v>
      </c>
      <c r="T1183">
        <v>0</v>
      </c>
      <c r="U1183">
        <v>1</v>
      </c>
      <c r="V1183">
        <v>0</v>
      </c>
      <c r="W1183">
        <v>0</v>
      </c>
      <c r="X1183" s="21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f t="shared" si="44"/>
        <v>32</v>
      </c>
      <c r="AP1183" t="s">
        <v>41</v>
      </c>
    </row>
    <row r="1184" spans="1:42">
      <c r="A1184" s="1">
        <v>43790</v>
      </c>
      <c r="B1184">
        <v>4</v>
      </c>
      <c r="C1184">
        <v>310</v>
      </c>
      <c r="D1184"/>
      <c r="E1184" t="s">
        <v>37</v>
      </c>
      <c r="F1184" t="s">
        <v>38</v>
      </c>
      <c r="G1184">
        <v>1</v>
      </c>
      <c r="H1184">
        <v>46</v>
      </c>
      <c r="I1184" s="25">
        <v>411</v>
      </c>
      <c r="K1184" t="s">
        <v>58</v>
      </c>
      <c r="N1184" t="s">
        <v>40</v>
      </c>
      <c r="O1184">
        <v>28</v>
      </c>
      <c r="Q1184">
        <f t="shared" si="43"/>
        <v>1</v>
      </c>
      <c r="R1184">
        <v>1</v>
      </c>
      <c r="S1184">
        <v>0</v>
      </c>
      <c r="T1184">
        <v>0</v>
      </c>
      <c r="U1184">
        <v>0</v>
      </c>
      <c r="V1184">
        <v>1</v>
      </c>
      <c r="W1184">
        <v>0</v>
      </c>
      <c r="X1184" s="21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f t="shared" si="44"/>
        <v>64</v>
      </c>
      <c r="AP1184" t="s">
        <v>41</v>
      </c>
    </row>
    <row r="1185" spans="1:42">
      <c r="A1185" s="1">
        <v>43790</v>
      </c>
      <c r="B1185">
        <v>4</v>
      </c>
      <c r="C1185">
        <v>310</v>
      </c>
      <c r="D1185"/>
      <c r="E1185" t="s">
        <v>37</v>
      </c>
      <c r="F1185" t="s">
        <v>38</v>
      </c>
      <c r="G1185">
        <v>1</v>
      </c>
      <c r="H1185">
        <v>47</v>
      </c>
      <c r="I1185" s="25">
        <v>500</v>
      </c>
      <c r="K1185" t="s">
        <v>62</v>
      </c>
      <c r="N1185" t="s">
        <v>40</v>
      </c>
      <c r="O1185">
        <v>28</v>
      </c>
      <c r="Q1185">
        <f t="shared" si="43"/>
        <v>1</v>
      </c>
      <c r="R1185">
        <v>1</v>
      </c>
      <c r="S1185">
        <v>0</v>
      </c>
      <c r="T1185">
        <v>0</v>
      </c>
      <c r="U1185">
        <v>0</v>
      </c>
      <c r="V1185">
        <v>1</v>
      </c>
      <c r="W1185">
        <v>0</v>
      </c>
      <c r="X1185" s="21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f t="shared" si="44"/>
        <v>64</v>
      </c>
      <c r="AP1185" t="s">
        <v>41</v>
      </c>
    </row>
    <row r="1186" spans="1:42">
      <c r="A1186" s="1">
        <v>43790</v>
      </c>
      <c r="B1186">
        <v>4</v>
      </c>
      <c r="C1186">
        <v>310</v>
      </c>
      <c r="D1186"/>
      <c r="E1186" t="s">
        <v>37</v>
      </c>
      <c r="F1186" t="s">
        <v>38</v>
      </c>
      <c r="G1186">
        <v>1</v>
      </c>
      <c r="H1186">
        <v>48</v>
      </c>
      <c r="I1186" s="25">
        <v>544</v>
      </c>
      <c r="K1186" t="s">
        <v>65</v>
      </c>
      <c r="N1186" t="s">
        <v>40</v>
      </c>
      <c r="O1186">
        <v>52</v>
      </c>
      <c r="Q1186">
        <f t="shared" si="43"/>
        <v>2</v>
      </c>
      <c r="R1186">
        <v>1</v>
      </c>
      <c r="S1186">
        <v>0</v>
      </c>
      <c r="T1186">
        <v>0</v>
      </c>
      <c r="U1186">
        <v>0</v>
      </c>
      <c r="V1186">
        <v>2</v>
      </c>
      <c r="W1186">
        <v>0</v>
      </c>
      <c r="X1186" s="21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f t="shared" si="44"/>
        <v>128</v>
      </c>
      <c r="AP1186" t="s">
        <v>41</v>
      </c>
    </row>
    <row r="1187" spans="1:42">
      <c r="A1187" s="1">
        <v>43790</v>
      </c>
      <c r="B1187">
        <v>4</v>
      </c>
      <c r="C1187">
        <v>310</v>
      </c>
      <c r="D1187"/>
      <c r="E1187" t="s">
        <v>37</v>
      </c>
      <c r="F1187" t="s">
        <v>38</v>
      </c>
      <c r="G1187">
        <v>1</v>
      </c>
      <c r="H1187">
        <v>49</v>
      </c>
      <c r="I1187" s="25">
        <v>558</v>
      </c>
      <c r="K1187" t="s">
        <v>62</v>
      </c>
      <c r="N1187" t="s">
        <v>40</v>
      </c>
      <c r="O1187">
        <v>52</v>
      </c>
      <c r="Q1187">
        <f t="shared" si="43"/>
        <v>2</v>
      </c>
      <c r="R1187">
        <v>1</v>
      </c>
      <c r="S1187">
        <v>0</v>
      </c>
      <c r="T1187">
        <v>0</v>
      </c>
      <c r="U1187">
        <v>0</v>
      </c>
      <c r="V1187">
        <v>2</v>
      </c>
      <c r="W1187">
        <v>0</v>
      </c>
      <c r="X1187" s="21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f t="shared" si="44"/>
        <v>128</v>
      </c>
      <c r="AP1187" t="s">
        <v>41</v>
      </c>
    </row>
    <row r="1188" spans="1:42">
      <c r="A1188" s="1">
        <v>43790</v>
      </c>
      <c r="B1188">
        <v>4</v>
      </c>
      <c r="C1188">
        <v>310</v>
      </c>
      <c r="D1188"/>
      <c r="E1188" t="s">
        <v>37</v>
      </c>
      <c r="F1188" t="s">
        <v>38</v>
      </c>
      <c r="G1188">
        <v>1</v>
      </c>
      <c r="H1188">
        <v>50</v>
      </c>
      <c r="I1188" s="25">
        <v>531</v>
      </c>
      <c r="K1188" t="s">
        <v>65</v>
      </c>
      <c r="N1188" t="s">
        <v>40</v>
      </c>
      <c r="O1188">
        <v>39</v>
      </c>
      <c r="Q1188">
        <f t="shared" si="43"/>
        <v>1</v>
      </c>
      <c r="R1188">
        <v>1</v>
      </c>
      <c r="S1188">
        <v>0</v>
      </c>
      <c r="T1188">
        <v>0</v>
      </c>
      <c r="U1188">
        <v>1</v>
      </c>
      <c r="V1188">
        <v>0</v>
      </c>
      <c r="W1188">
        <v>0</v>
      </c>
      <c r="X1188" s="21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f t="shared" si="44"/>
        <v>32</v>
      </c>
      <c r="AP1188" t="s">
        <v>41</v>
      </c>
    </row>
    <row r="1189" spans="1:42">
      <c r="A1189" s="1">
        <v>43790</v>
      </c>
      <c r="B1189">
        <v>4</v>
      </c>
      <c r="C1189">
        <v>310</v>
      </c>
      <c r="D1189"/>
      <c r="E1189" t="s">
        <v>37</v>
      </c>
      <c r="F1189" t="s">
        <v>38</v>
      </c>
      <c r="G1189">
        <v>1</v>
      </c>
      <c r="H1189">
        <v>51</v>
      </c>
      <c r="I1189" s="25">
        <v>525</v>
      </c>
      <c r="K1189" t="s">
        <v>66</v>
      </c>
      <c r="N1189" t="s">
        <v>40</v>
      </c>
      <c r="O1189">
        <v>45</v>
      </c>
      <c r="Q1189">
        <f t="shared" si="43"/>
        <v>2</v>
      </c>
      <c r="R1189">
        <v>1</v>
      </c>
      <c r="S1189">
        <v>0</v>
      </c>
      <c r="T1189">
        <v>0</v>
      </c>
      <c r="U1189">
        <v>0</v>
      </c>
      <c r="V1189">
        <v>2</v>
      </c>
      <c r="W1189">
        <v>0</v>
      </c>
      <c r="X1189" s="21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f t="shared" si="44"/>
        <v>128</v>
      </c>
      <c r="AP1189" t="s">
        <v>41</v>
      </c>
    </row>
    <row r="1190" spans="1:42">
      <c r="A1190" s="1">
        <v>43790</v>
      </c>
      <c r="B1190">
        <v>4</v>
      </c>
      <c r="C1190">
        <v>310</v>
      </c>
      <c r="D1190"/>
      <c r="E1190" t="s">
        <v>37</v>
      </c>
      <c r="F1190" t="s">
        <v>38</v>
      </c>
      <c r="G1190">
        <v>1</v>
      </c>
      <c r="H1190">
        <v>52</v>
      </c>
      <c r="I1190" s="25">
        <v>475</v>
      </c>
      <c r="K1190" t="s">
        <v>58</v>
      </c>
      <c r="N1190" t="s">
        <v>40</v>
      </c>
      <c r="O1190">
        <v>45</v>
      </c>
      <c r="Q1190">
        <f t="shared" si="43"/>
        <v>2</v>
      </c>
      <c r="R1190">
        <v>1</v>
      </c>
      <c r="S1190">
        <v>0</v>
      </c>
      <c r="T1190">
        <v>0</v>
      </c>
      <c r="U1190">
        <v>0</v>
      </c>
      <c r="V1190">
        <v>2</v>
      </c>
      <c r="W1190">
        <v>0</v>
      </c>
      <c r="X1190" s="21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f t="shared" si="44"/>
        <v>128</v>
      </c>
      <c r="AP1190" t="s">
        <v>41</v>
      </c>
    </row>
    <row r="1191" spans="1:42">
      <c r="A1191" s="1">
        <v>43790</v>
      </c>
      <c r="B1191">
        <v>4</v>
      </c>
      <c r="C1191">
        <v>310</v>
      </c>
      <c r="D1191"/>
      <c r="E1191" t="s">
        <v>37</v>
      </c>
      <c r="F1191" t="s">
        <v>38</v>
      </c>
      <c r="G1191">
        <v>1</v>
      </c>
      <c r="H1191">
        <v>53</v>
      </c>
      <c r="I1191" s="25">
        <v>500</v>
      </c>
      <c r="K1191" t="s">
        <v>58</v>
      </c>
      <c r="N1191" t="s">
        <v>40</v>
      </c>
      <c r="O1191">
        <v>72</v>
      </c>
      <c r="Q1191">
        <f t="shared" si="43"/>
        <v>3</v>
      </c>
      <c r="R1191">
        <v>1</v>
      </c>
      <c r="S1191">
        <v>0</v>
      </c>
      <c r="T1191">
        <v>0</v>
      </c>
      <c r="U1191">
        <v>0</v>
      </c>
      <c r="V1191">
        <v>3</v>
      </c>
      <c r="W1191">
        <v>0</v>
      </c>
      <c r="X1191" s="2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f t="shared" si="44"/>
        <v>192</v>
      </c>
      <c r="AL1191" t="s">
        <v>67</v>
      </c>
      <c r="AP1191" t="s">
        <v>41</v>
      </c>
    </row>
    <row r="1192" spans="1:42">
      <c r="A1192" s="1">
        <v>43790</v>
      </c>
      <c r="B1192">
        <v>4</v>
      </c>
      <c r="C1192">
        <v>310</v>
      </c>
      <c r="D1192"/>
      <c r="E1192" t="s">
        <v>37</v>
      </c>
      <c r="F1192" t="s">
        <v>38</v>
      </c>
      <c r="G1192">
        <v>1</v>
      </c>
      <c r="H1192">
        <v>54</v>
      </c>
      <c r="I1192" s="25">
        <v>565</v>
      </c>
      <c r="K1192" t="s">
        <v>68</v>
      </c>
      <c r="N1192" t="s">
        <v>40</v>
      </c>
      <c r="O1192">
        <v>63</v>
      </c>
      <c r="Q1192">
        <f t="shared" si="43"/>
        <v>1</v>
      </c>
      <c r="R1192">
        <v>1</v>
      </c>
      <c r="S1192">
        <v>0</v>
      </c>
      <c r="T1192">
        <v>0</v>
      </c>
      <c r="U1192">
        <v>1</v>
      </c>
      <c r="V1192">
        <v>0</v>
      </c>
      <c r="W1192">
        <v>0</v>
      </c>
      <c r="X1192" s="21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f t="shared" si="44"/>
        <v>32</v>
      </c>
      <c r="AP1192" t="s">
        <v>41</v>
      </c>
    </row>
    <row r="1193" spans="1:42">
      <c r="A1193" s="1">
        <v>43790</v>
      </c>
      <c r="B1193">
        <v>4</v>
      </c>
      <c r="C1193">
        <v>310</v>
      </c>
      <c r="D1193"/>
      <c r="E1193" t="s">
        <v>37</v>
      </c>
      <c r="F1193" t="s">
        <v>38</v>
      </c>
      <c r="G1193">
        <v>1</v>
      </c>
      <c r="H1193">
        <v>55</v>
      </c>
      <c r="I1193" s="25">
        <v>555</v>
      </c>
      <c r="K1193" t="s">
        <v>68</v>
      </c>
      <c r="N1193" t="s">
        <v>40</v>
      </c>
      <c r="O1193">
        <v>63</v>
      </c>
      <c r="Q1193">
        <f t="shared" si="43"/>
        <v>2</v>
      </c>
      <c r="R1193">
        <v>1</v>
      </c>
      <c r="S1193">
        <v>0</v>
      </c>
      <c r="T1193">
        <v>0</v>
      </c>
      <c r="U1193">
        <v>0</v>
      </c>
      <c r="V1193">
        <v>2</v>
      </c>
      <c r="W1193">
        <v>0</v>
      </c>
      <c r="X1193" s="21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f t="shared" si="44"/>
        <v>128</v>
      </c>
      <c r="AP1193" t="s">
        <v>41</v>
      </c>
    </row>
    <row r="1194" spans="1:42">
      <c r="A1194" s="1">
        <v>43790</v>
      </c>
      <c r="B1194">
        <v>4</v>
      </c>
      <c r="C1194">
        <v>310</v>
      </c>
      <c r="D1194"/>
      <c r="E1194" t="s">
        <v>37</v>
      </c>
      <c r="F1194" t="s">
        <v>38</v>
      </c>
      <c r="G1194">
        <v>1</v>
      </c>
      <c r="H1194">
        <v>56</v>
      </c>
      <c r="I1194" s="25">
        <v>475</v>
      </c>
      <c r="K1194" t="s">
        <v>58</v>
      </c>
      <c r="N1194" t="s">
        <v>40</v>
      </c>
      <c r="O1194">
        <v>53</v>
      </c>
      <c r="Q1194">
        <f t="shared" si="43"/>
        <v>1</v>
      </c>
      <c r="R1194">
        <v>1</v>
      </c>
      <c r="S1194">
        <v>0</v>
      </c>
      <c r="T1194">
        <v>0</v>
      </c>
      <c r="U1194">
        <v>0</v>
      </c>
      <c r="V1194">
        <v>1</v>
      </c>
      <c r="W1194">
        <v>0</v>
      </c>
      <c r="X1194" s="21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f t="shared" si="44"/>
        <v>64</v>
      </c>
      <c r="AP1194" t="s">
        <v>41</v>
      </c>
    </row>
    <row r="1195" spans="1:42">
      <c r="A1195" s="1">
        <v>43790</v>
      </c>
      <c r="B1195">
        <v>4</v>
      </c>
      <c r="C1195">
        <v>310</v>
      </c>
      <c r="D1195"/>
      <c r="E1195" t="s">
        <v>37</v>
      </c>
      <c r="F1195" t="s">
        <v>38</v>
      </c>
      <c r="G1195">
        <v>1</v>
      </c>
      <c r="H1195">
        <v>57</v>
      </c>
      <c r="I1195" s="25">
        <v>400</v>
      </c>
      <c r="K1195" t="s">
        <v>58</v>
      </c>
      <c r="N1195" t="s">
        <v>44</v>
      </c>
      <c r="O1195">
        <v>163</v>
      </c>
      <c r="Q1195">
        <f t="shared" si="43"/>
        <v>4</v>
      </c>
      <c r="R1195">
        <v>1</v>
      </c>
      <c r="S1195">
        <v>0</v>
      </c>
      <c r="T1195">
        <v>0</v>
      </c>
      <c r="U1195">
        <v>0</v>
      </c>
      <c r="V1195">
        <v>4</v>
      </c>
      <c r="W1195">
        <v>0</v>
      </c>
      <c r="X1195" s="21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f t="shared" si="44"/>
        <v>256</v>
      </c>
      <c r="AP1195" t="s">
        <v>41</v>
      </c>
    </row>
    <row r="1196" spans="1:42">
      <c r="A1196" s="1">
        <v>43790</v>
      </c>
      <c r="B1196">
        <v>4</v>
      </c>
      <c r="C1196">
        <v>310</v>
      </c>
      <c r="D1196"/>
      <c r="E1196" t="s">
        <v>37</v>
      </c>
      <c r="F1196" t="s">
        <v>38</v>
      </c>
      <c r="G1196">
        <v>1</v>
      </c>
      <c r="H1196">
        <v>58</v>
      </c>
      <c r="I1196" s="25">
        <v>333</v>
      </c>
      <c r="K1196" t="s">
        <v>60</v>
      </c>
      <c r="N1196" t="s">
        <v>44</v>
      </c>
      <c r="O1196">
        <v>163</v>
      </c>
      <c r="Q1196">
        <f t="shared" si="43"/>
        <v>9</v>
      </c>
      <c r="R1196">
        <v>1</v>
      </c>
      <c r="S1196">
        <v>0</v>
      </c>
      <c r="T1196">
        <v>0</v>
      </c>
      <c r="U1196">
        <v>0</v>
      </c>
      <c r="V1196">
        <v>9</v>
      </c>
      <c r="W1196">
        <v>0</v>
      </c>
      <c r="X1196" s="21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f t="shared" si="44"/>
        <v>576</v>
      </c>
      <c r="AP1196" t="s">
        <v>41</v>
      </c>
    </row>
    <row r="1197" spans="1:42">
      <c r="A1197" s="1">
        <v>43790</v>
      </c>
      <c r="B1197">
        <v>4</v>
      </c>
      <c r="C1197">
        <v>310</v>
      </c>
      <c r="D1197"/>
      <c r="E1197" t="s">
        <v>37</v>
      </c>
      <c r="F1197" t="s">
        <v>38</v>
      </c>
      <c r="G1197">
        <v>1</v>
      </c>
      <c r="H1197">
        <v>59</v>
      </c>
      <c r="I1197" s="25">
        <v>100</v>
      </c>
      <c r="K1197" t="s">
        <v>69</v>
      </c>
      <c r="N1197" t="s">
        <v>40</v>
      </c>
      <c r="O1197">
        <v>118</v>
      </c>
      <c r="Q1197">
        <f t="shared" si="43"/>
        <v>6</v>
      </c>
      <c r="R1197">
        <v>1</v>
      </c>
      <c r="S1197">
        <v>0</v>
      </c>
      <c r="T1197">
        <v>0</v>
      </c>
      <c r="U1197">
        <v>0</v>
      </c>
      <c r="V1197">
        <v>6</v>
      </c>
      <c r="W1197">
        <v>0</v>
      </c>
      <c r="X1197" s="21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f t="shared" si="44"/>
        <v>384</v>
      </c>
      <c r="AP1197" t="s">
        <v>41</v>
      </c>
    </row>
    <row r="1198" spans="1:42">
      <c r="A1198" s="1">
        <v>43790</v>
      </c>
      <c r="B1198">
        <v>4</v>
      </c>
      <c r="C1198">
        <v>310</v>
      </c>
      <c r="D1198"/>
      <c r="E1198" t="s">
        <v>37</v>
      </c>
      <c r="F1198" t="s">
        <v>38</v>
      </c>
      <c r="G1198">
        <v>1</v>
      </c>
      <c r="H1198">
        <v>60</v>
      </c>
      <c r="I1198" s="25">
        <v>201</v>
      </c>
      <c r="K1198" t="s">
        <v>56</v>
      </c>
      <c r="N1198" t="s">
        <v>40</v>
      </c>
      <c r="O1198">
        <v>118</v>
      </c>
      <c r="Q1198">
        <f t="shared" si="43"/>
        <v>5</v>
      </c>
      <c r="R1198">
        <v>1</v>
      </c>
      <c r="S1198">
        <v>0</v>
      </c>
      <c r="T1198">
        <v>0</v>
      </c>
      <c r="U1198">
        <v>0</v>
      </c>
      <c r="V1198">
        <v>5</v>
      </c>
      <c r="W1198">
        <v>0</v>
      </c>
      <c r="X1198" s="21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f t="shared" si="44"/>
        <v>320</v>
      </c>
      <c r="AP1198" t="s">
        <v>41</v>
      </c>
    </row>
    <row r="1199" spans="1:42">
      <c r="A1199" s="1">
        <v>43790</v>
      </c>
      <c r="B1199">
        <v>4</v>
      </c>
      <c r="C1199">
        <v>310</v>
      </c>
      <c r="D1199"/>
      <c r="E1199" t="s">
        <v>37</v>
      </c>
      <c r="F1199" t="s">
        <v>38</v>
      </c>
      <c r="G1199">
        <v>1</v>
      </c>
      <c r="H1199">
        <v>61</v>
      </c>
      <c r="I1199" s="25">
        <v>212</v>
      </c>
      <c r="K1199" t="s">
        <v>56</v>
      </c>
      <c r="N1199" t="s">
        <v>40</v>
      </c>
      <c r="O1199">
        <v>97</v>
      </c>
      <c r="Q1199">
        <f t="shared" si="43"/>
        <v>1</v>
      </c>
      <c r="R1199">
        <v>1</v>
      </c>
      <c r="S1199">
        <v>0</v>
      </c>
      <c r="T1199">
        <v>0</v>
      </c>
      <c r="U1199">
        <v>0</v>
      </c>
      <c r="V1199">
        <v>1</v>
      </c>
      <c r="W1199">
        <v>0</v>
      </c>
      <c r="X1199" s="21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f t="shared" si="44"/>
        <v>64</v>
      </c>
      <c r="AP1199" t="s">
        <v>41</v>
      </c>
    </row>
    <row r="1200" spans="1:42">
      <c r="A1200" s="1">
        <v>43790</v>
      </c>
      <c r="B1200">
        <v>4</v>
      </c>
      <c r="C1200">
        <v>310</v>
      </c>
      <c r="D1200"/>
      <c r="E1200" t="s">
        <v>37</v>
      </c>
      <c r="F1200" t="s">
        <v>38</v>
      </c>
      <c r="G1200">
        <v>1</v>
      </c>
      <c r="H1200">
        <v>62</v>
      </c>
      <c r="I1200" s="25">
        <v>230</v>
      </c>
      <c r="K1200" t="s">
        <v>56</v>
      </c>
      <c r="N1200" t="s">
        <v>40</v>
      </c>
      <c r="O1200">
        <v>30</v>
      </c>
      <c r="Q1200">
        <f t="shared" si="43"/>
        <v>0</v>
      </c>
      <c r="R1200">
        <v>1</v>
      </c>
      <c r="S1200">
        <v>0</v>
      </c>
      <c r="T1200">
        <v>0</v>
      </c>
      <c r="U1200">
        <v>0</v>
      </c>
      <c r="V1200">
        <v>0</v>
      </c>
      <c r="W1200">
        <v>0</v>
      </c>
      <c r="X1200" s="21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f t="shared" si="44"/>
        <v>0</v>
      </c>
      <c r="AP1200" t="s">
        <v>41</v>
      </c>
    </row>
    <row r="1201" spans="1:42">
      <c r="A1201" s="1">
        <v>43790</v>
      </c>
      <c r="B1201">
        <v>4</v>
      </c>
      <c r="C1201">
        <v>310</v>
      </c>
      <c r="D1201"/>
      <c r="E1201" t="s">
        <v>37</v>
      </c>
      <c r="F1201" t="s">
        <v>38</v>
      </c>
      <c r="G1201">
        <v>1</v>
      </c>
      <c r="H1201">
        <v>63</v>
      </c>
      <c r="I1201" s="25">
        <v>255</v>
      </c>
      <c r="K1201" t="s">
        <v>56</v>
      </c>
      <c r="N1201" t="s">
        <v>40</v>
      </c>
      <c r="O1201">
        <v>54</v>
      </c>
      <c r="Q1201">
        <f t="shared" si="43"/>
        <v>3</v>
      </c>
      <c r="R1201">
        <v>1</v>
      </c>
      <c r="S1201">
        <v>0</v>
      </c>
      <c r="T1201">
        <v>0</v>
      </c>
      <c r="U1201">
        <v>0</v>
      </c>
      <c r="V1201">
        <v>3</v>
      </c>
      <c r="W1201">
        <v>0</v>
      </c>
      <c r="X1201" s="2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f t="shared" si="44"/>
        <v>192</v>
      </c>
      <c r="AP1201" t="s">
        <v>41</v>
      </c>
    </row>
    <row r="1202" spans="1:42">
      <c r="A1202" s="1">
        <v>43790</v>
      </c>
      <c r="B1202">
        <v>4</v>
      </c>
      <c r="C1202">
        <v>310</v>
      </c>
      <c r="D1202"/>
      <c r="E1202" t="s">
        <v>37</v>
      </c>
      <c r="F1202" t="s">
        <v>38</v>
      </c>
      <c r="G1202">
        <v>1</v>
      </c>
      <c r="H1202">
        <v>64</v>
      </c>
      <c r="I1202" s="25">
        <v>295</v>
      </c>
      <c r="K1202" t="s">
        <v>56</v>
      </c>
      <c r="N1202" t="s">
        <v>40</v>
      </c>
      <c r="O1202">
        <v>54</v>
      </c>
      <c r="Q1202">
        <f t="shared" si="43"/>
        <v>0</v>
      </c>
      <c r="R1202">
        <v>1</v>
      </c>
      <c r="S1202">
        <v>0</v>
      </c>
      <c r="T1202">
        <v>0</v>
      </c>
      <c r="U1202">
        <v>0</v>
      </c>
      <c r="V1202">
        <v>0</v>
      </c>
      <c r="W1202">
        <v>0</v>
      </c>
      <c r="X1202" s="21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f t="shared" si="44"/>
        <v>0</v>
      </c>
      <c r="AP1202" t="s">
        <v>41</v>
      </c>
    </row>
    <row r="1203" spans="1:42">
      <c r="A1203" s="1">
        <v>43790</v>
      </c>
      <c r="B1203">
        <v>4</v>
      </c>
      <c r="C1203">
        <v>310</v>
      </c>
      <c r="D1203"/>
      <c r="E1203" t="s">
        <v>37</v>
      </c>
      <c r="F1203" t="s">
        <v>38</v>
      </c>
      <c r="G1203">
        <v>1</v>
      </c>
      <c r="H1203">
        <v>65</v>
      </c>
      <c r="I1203" s="25">
        <v>301</v>
      </c>
      <c r="K1203" t="s">
        <v>56</v>
      </c>
      <c r="N1203" t="s">
        <v>40</v>
      </c>
      <c r="O1203">
        <v>54</v>
      </c>
      <c r="Q1203">
        <f t="shared" si="43"/>
        <v>3</v>
      </c>
      <c r="R1203">
        <v>1</v>
      </c>
      <c r="S1203">
        <v>0</v>
      </c>
      <c r="T1203">
        <v>0</v>
      </c>
      <c r="U1203">
        <v>0</v>
      </c>
      <c r="V1203">
        <v>3</v>
      </c>
      <c r="W1203">
        <v>0</v>
      </c>
      <c r="X1203" s="21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f t="shared" si="44"/>
        <v>192</v>
      </c>
      <c r="AP1203" t="s">
        <v>41</v>
      </c>
    </row>
    <row r="1204" spans="1:42">
      <c r="A1204" s="1">
        <v>43790</v>
      </c>
      <c r="B1204">
        <v>4</v>
      </c>
      <c r="C1204">
        <v>310</v>
      </c>
      <c r="D1204"/>
      <c r="E1204" t="s">
        <v>37</v>
      </c>
      <c r="F1204" t="s">
        <v>38</v>
      </c>
      <c r="G1204">
        <v>1</v>
      </c>
      <c r="H1204">
        <v>66</v>
      </c>
      <c r="I1204" s="25">
        <v>311</v>
      </c>
      <c r="K1204" t="s">
        <v>56</v>
      </c>
      <c r="N1204" t="s">
        <v>40</v>
      </c>
      <c r="O1204">
        <v>54</v>
      </c>
      <c r="Q1204">
        <f t="shared" si="43"/>
        <v>0</v>
      </c>
      <c r="R1204">
        <v>1</v>
      </c>
      <c r="S1204">
        <v>0</v>
      </c>
      <c r="T1204">
        <v>0</v>
      </c>
      <c r="U1204">
        <v>0</v>
      </c>
      <c r="V1204">
        <v>0</v>
      </c>
      <c r="W1204">
        <v>0</v>
      </c>
      <c r="X1204" s="21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f t="shared" si="44"/>
        <v>0</v>
      </c>
      <c r="AP1204" t="s">
        <v>41</v>
      </c>
    </row>
    <row r="1205" spans="1:42">
      <c r="A1205" s="1">
        <v>43790</v>
      </c>
      <c r="B1205">
        <v>4</v>
      </c>
      <c r="C1205">
        <v>310</v>
      </c>
      <c r="D1205"/>
      <c r="E1205" t="s">
        <v>37</v>
      </c>
      <c r="F1205" t="s">
        <v>38</v>
      </c>
      <c r="G1205">
        <v>1</v>
      </c>
      <c r="H1205">
        <v>67</v>
      </c>
      <c r="I1205" s="25">
        <v>75</v>
      </c>
      <c r="K1205" t="s">
        <v>60</v>
      </c>
      <c r="N1205" t="s">
        <v>40</v>
      </c>
      <c r="O1205">
        <v>47</v>
      </c>
      <c r="Q1205">
        <f t="shared" si="43"/>
        <v>2</v>
      </c>
      <c r="R1205">
        <v>1</v>
      </c>
      <c r="S1205">
        <v>0</v>
      </c>
      <c r="T1205">
        <v>0</v>
      </c>
      <c r="U1205">
        <v>0</v>
      </c>
      <c r="V1205">
        <v>2</v>
      </c>
      <c r="W1205">
        <v>0</v>
      </c>
      <c r="X1205" s="21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f t="shared" si="44"/>
        <v>128</v>
      </c>
      <c r="AP1205" t="s">
        <v>41</v>
      </c>
    </row>
    <row r="1206" spans="1:42">
      <c r="A1206" s="1">
        <v>43790</v>
      </c>
      <c r="B1206">
        <v>4</v>
      </c>
      <c r="C1206">
        <v>310</v>
      </c>
      <c r="D1206"/>
      <c r="E1206" t="s">
        <v>37</v>
      </c>
      <c r="F1206" t="s">
        <v>38</v>
      </c>
      <c r="G1206">
        <v>1</v>
      </c>
      <c r="H1206">
        <v>68</v>
      </c>
      <c r="I1206" s="25">
        <v>77</v>
      </c>
      <c r="K1206" t="s">
        <v>60</v>
      </c>
      <c r="N1206" t="s">
        <v>40</v>
      </c>
      <c r="O1206">
        <v>47</v>
      </c>
      <c r="Q1206">
        <f t="shared" si="43"/>
        <v>2</v>
      </c>
      <c r="R1206">
        <v>1</v>
      </c>
      <c r="S1206">
        <v>0</v>
      </c>
      <c r="T1206">
        <v>0</v>
      </c>
      <c r="U1206">
        <v>2</v>
      </c>
      <c r="V1206">
        <v>0</v>
      </c>
      <c r="W1206">
        <v>0</v>
      </c>
      <c r="X1206" s="21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f t="shared" si="44"/>
        <v>64</v>
      </c>
      <c r="AP1206" t="s">
        <v>41</v>
      </c>
    </row>
    <row r="1207" spans="1:42">
      <c r="A1207" s="1">
        <v>43790</v>
      </c>
      <c r="B1207">
        <v>4</v>
      </c>
      <c r="C1207">
        <v>310</v>
      </c>
      <c r="D1207"/>
      <c r="E1207" t="s">
        <v>37</v>
      </c>
      <c r="F1207" t="s">
        <v>38</v>
      </c>
      <c r="G1207">
        <v>1</v>
      </c>
      <c r="H1207">
        <v>69</v>
      </c>
      <c r="I1207" s="25">
        <v>98</v>
      </c>
      <c r="K1207" t="s">
        <v>60</v>
      </c>
      <c r="N1207" t="s">
        <v>40</v>
      </c>
      <c r="O1207">
        <v>47</v>
      </c>
      <c r="Q1207">
        <f t="shared" si="43"/>
        <v>0</v>
      </c>
      <c r="R1207">
        <v>1</v>
      </c>
      <c r="S1207">
        <v>0</v>
      </c>
      <c r="T1207">
        <v>0</v>
      </c>
      <c r="U1207">
        <v>0</v>
      </c>
      <c r="V1207">
        <v>0</v>
      </c>
      <c r="W1207">
        <v>0</v>
      </c>
      <c r="X1207" s="21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f t="shared" si="44"/>
        <v>0</v>
      </c>
      <c r="AP1207" t="s">
        <v>41</v>
      </c>
    </row>
    <row r="1208" spans="1:42">
      <c r="A1208" s="1">
        <v>43790</v>
      </c>
      <c r="B1208">
        <v>4</v>
      </c>
      <c r="C1208">
        <v>310</v>
      </c>
      <c r="D1208"/>
      <c r="E1208" t="s">
        <v>37</v>
      </c>
      <c r="F1208" t="s">
        <v>38</v>
      </c>
      <c r="G1208">
        <v>1</v>
      </c>
      <c r="H1208">
        <v>70</v>
      </c>
      <c r="I1208" s="25">
        <v>191</v>
      </c>
      <c r="K1208" t="s">
        <v>69</v>
      </c>
      <c r="N1208" t="s">
        <v>40</v>
      </c>
      <c r="O1208">
        <v>47</v>
      </c>
      <c r="Q1208">
        <f t="shared" si="43"/>
        <v>2</v>
      </c>
      <c r="R1208">
        <v>1</v>
      </c>
      <c r="S1208">
        <v>0</v>
      </c>
      <c r="T1208">
        <v>0</v>
      </c>
      <c r="U1208">
        <v>0</v>
      </c>
      <c r="V1208">
        <v>2</v>
      </c>
      <c r="W1208">
        <v>0</v>
      </c>
      <c r="X1208" s="21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f t="shared" si="44"/>
        <v>128</v>
      </c>
      <c r="AP1208" t="s">
        <v>41</v>
      </c>
    </row>
    <row r="1209" spans="1:42">
      <c r="A1209" s="1">
        <v>43790</v>
      </c>
      <c r="B1209">
        <v>4</v>
      </c>
      <c r="C1209">
        <v>310</v>
      </c>
      <c r="D1209"/>
      <c r="E1209" t="s">
        <v>37</v>
      </c>
      <c r="F1209" t="s">
        <v>38</v>
      </c>
      <c r="G1209">
        <v>1</v>
      </c>
      <c r="H1209">
        <v>71</v>
      </c>
      <c r="I1209" s="25">
        <v>22</v>
      </c>
      <c r="K1209" t="s">
        <v>60</v>
      </c>
      <c r="N1209" t="s">
        <v>40</v>
      </c>
      <c r="O1209">
        <v>70</v>
      </c>
      <c r="Q1209">
        <f t="shared" si="43"/>
        <v>3</v>
      </c>
      <c r="R1209">
        <v>1</v>
      </c>
      <c r="S1209">
        <v>0</v>
      </c>
      <c r="T1209">
        <v>0</v>
      </c>
      <c r="U1209">
        <v>0</v>
      </c>
      <c r="V1209">
        <v>3</v>
      </c>
      <c r="W1209">
        <v>0</v>
      </c>
      <c r="X1209" s="21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f t="shared" si="44"/>
        <v>192</v>
      </c>
      <c r="AP1209" t="s">
        <v>41</v>
      </c>
    </row>
    <row r="1210" spans="1:42">
      <c r="A1210" s="1">
        <v>43790</v>
      </c>
      <c r="B1210">
        <v>4</v>
      </c>
      <c r="C1210">
        <v>310</v>
      </c>
      <c r="D1210"/>
      <c r="E1210" t="s">
        <v>37</v>
      </c>
      <c r="F1210" t="s">
        <v>38</v>
      </c>
      <c r="G1210">
        <v>1</v>
      </c>
      <c r="H1210">
        <v>72</v>
      </c>
      <c r="I1210" s="25">
        <v>120</v>
      </c>
      <c r="K1210" t="s">
        <v>69</v>
      </c>
      <c r="N1210" t="s">
        <v>40</v>
      </c>
      <c r="O1210">
        <v>32</v>
      </c>
      <c r="Q1210">
        <f t="shared" si="43"/>
        <v>1</v>
      </c>
      <c r="R1210">
        <v>1</v>
      </c>
      <c r="S1210">
        <v>0</v>
      </c>
      <c r="T1210">
        <v>0</v>
      </c>
      <c r="U1210">
        <v>0</v>
      </c>
      <c r="V1210">
        <v>1</v>
      </c>
      <c r="W1210">
        <v>0</v>
      </c>
      <c r="X1210" s="21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f t="shared" si="44"/>
        <v>64</v>
      </c>
      <c r="AP1210" t="s">
        <v>41</v>
      </c>
    </row>
    <row r="1211" spans="1:42">
      <c r="A1211" s="1">
        <v>43790</v>
      </c>
      <c r="B1211">
        <v>4</v>
      </c>
      <c r="C1211">
        <v>310</v>
      </c>
      <c r="D1211"/>
      <c r="E1211" t="s">
        <v>37</v>
      </c>
      <c r="F1211" t="s">
        <v>38</v>
      </c>
      <c r="G1211">
        <v>1</v>
      </c>
      <c r="H1211">
        <v>73</v>
      </c>
      <c r="I1211" s="25">
        <v>235</v>
      </c>
      <c r="K1211" t="s">
        <v>69</v>
      </c>
      <c r="N1211" t="s">
        <v>40</v>
      </c>
      <c r="O1211">
        <v>70</v>
      </c>
      <c r="Q1211">
        <f t="shared" si="43"/>
        <v>4</v>
      </c>
      <c r="R1211">
        <v>1</v>
      </c>
      <c r="S1211">
        <v>0</v>
      </c>
      <c r="T1211">
        <v>0</v>
      </c>
      <c r="U1211">
        <v>0</v>
      </c>
      <c r="V1211">
        <v>4</v>
      </c>
      <c r="W1211">
        <v>0</v>
      </c>
      <c r="X1211" s="2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f t="shared" si="44"/>
        <v>256</v>
      </c>
      <c r="AP1211" t="s">
        <v>41</v>
      </c>
    </row>
    <row r="1212" spans="1:42">
      <c r="A1212" s="1">
        <v>43790</v>
      </c>
      <c r="B1212">
        <v>4</v>
      </c>
      <c r="C1212">
        <v>310</v>
      </c>
      <c r="D1212"/>
      <c r="E1212" t="s">
        <v>37</v>
      </c>
      <c r="F1212" t="s">
        <v>38</v>
      </c>
      <c r="G1212">
        <v>1</v>
      </c>
      <c r="H1212">
        <v>74</v>
      </c>
      <c r="I1212" s="25">
        <v>155</v>
      </c>
      <c r="K1212" t="s">
        <v>58</v>
      </c>
      <c r="N1212" t="s">
        <v>40</v>
      </c>
      <c r="O1212">
        <v>45</v>
      </c>
      <c r="Q1212">
        <f t="shared" si="43"/>
        <v>2</v>
      </c>
      <c r="R1212">
        <v>1</v>
      </c>
      <c r="S1212">
        <v>0</v>
      </c>
      <c r="T1212">
        <v>0</v>
      </c>
      <c r="U1212">
        <v>0</v>
      </c>
      <c r="V1212">
        <v>2</v>
      </c>
      <c r="W1212">
        <v>0</v>
      </c>
      <c r="X1212" s="21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f t="shared" si="44"/>
        <v>128</v>
      </c>
      <c r="AP1212" t="s">
        <v>41</v>
      </c>
    </row>
    <row r="1213" spans="1:42">
      <c r="A1213" s="1">
        <v>43790</v>
      </c>
      <c r="B1213">
        <v>4</v>
      </c>
      <c r="C1213">
        <v>310</v>
      </c>
      <c r="D1213"/>
      <c r="E1213" t="s">
        <v>37</v>
      </c>
      <c r="F1213" t="s">
        <v>38</v>
      </c>
      <c r="G1213">
        <v>1</v>
      </c>
      <c r="H1213">
        <v>75</v>
      </c>
      <c r="I1213" s="25">
        <v>114</v>
      </c>
      <c r="K1213" t="s">
        <v>58</v>
      </c>
      <c r="N1213" t="s">
        <v>40</v>
      </c>
      <c r="O1213">
        <v>45</v>
      </c>
      <c r="Q1213">
        <f t="shared" si="43"/>
        <v>1</v>
      </c>
      <c r="R1213">
        <v>1</v>
      </c>
      <c r="S1213">
        <v>0</v>
      </c>
      <c r="T1213">
        <v>0</v>
      </c>
      <c r="U1213">
        <v>0</v>
      </c>
      <c r="V1213">
        <v>1</v>
      </c>
      <c r="W1213">
        <v>0</v>
      </c>
      <c r="X1213" s="21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f t="shared" si="44"/>
        <v>64</v>
      </c>
      <c r="AP1213" t="s">
        <v>41</v>
      </c>
    </row>
    <row r="1214" spans="1:42">
      <c r="A1214" s="1">
        <v>43790</v>
      </c>
      <c r="B1214">
        <v>4</v>
      </c>
      <c r="C1214">
        <v>310</v>
      </c>
      <c r="D1214"/>
      <c r="E1214" t="s">
        <v>37</v>
      </c>
      <c r="F1214" t="s">
        <v>38</v>
      </c>
      <c r="G1214">
        <v>1</v>
      </c>
      <c r="H1214">
        <v>76</v>
      </c>
      <c r="I1214" s="25">
        <v>115</v>
      </c>
      <c r="K1214" t="s">
        <v>58</v>
      </c>
      <c r="N1214" t="s">
        <v>40</v>
      </c>
      <c r="O1214">
        <v>66</v>
      </c>
      <c r="Q1214">
        <f t="shared" si="43"/>
        <v>3</v>
      </c>
      <c r="R1214">
        <v>1</v>
      </c>
      <c r="S1214">
        <v>0</v>
      </c>
      <c r="T1214">
        <v>0</v>
      </c>
      <c r="U1214">
        <v>0</v>
      </c>
      <c r="V1214">
        <v>3</v>
      </c>
      <c r="W1214">
        <v>0</v>
      </c>
      <c r="X1214" s="21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f t="shared" si="44"/>
        <v>192</v>
      </c>
      <c r="AP1214" t="s">
        <v>41</v>
      </c>
    </row>
    <row r="1215" spans="1:42">
      <c r="A1215" s="1">
        <v>43790</v>
      </c>
      <c r="B1215">
        <v>4</v>
      </c>
      <c r="C1215">
        <v>310</v>
      </c>
      <c r="D1215"/>
      <c r="E1215" t="s">
        <v>37</v>
      </c>
      <c r="F1215" t="s">
        <v>38</v>
      </c>
      <c r="G1215">
        <v>1</v>
      </c>
      <c r="H1215">
        <v>77</v>
      </c>
      <c r="I1215" s="25">
        <v>114</v>
      </c>
      <c r="K1215" t="s">
        <v>70</v>
      </c>
      <c r="N1215" t="s">
        <v>40</v>
      </c>
      <c r="O1215">
        <v>84</v>
      </c>
      <c r="Q1215">
        <f t="shared" si="43"/>
        <v>1</v>
      </c>
      <c r="R1215">
        <v>1</v>
      </c>
      <c r="S1215">
        <v>0</v>
      </c>
      <c r="T1215">
        <v>0</v>
      </c>
      <c r="U1215">
        <v>1</v>
      </c>
      <c r="V1215">
        <v>0</v>
      </c>
      <c r="W1215">
        <v>0</v>
      </c>
      <c r="X1215" s="21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f t="shared" si="44"/>
        <v>32</v>
      </c>
      <c r="AP1215" t="s">
        <v>41</v>
      </c>
    </row>
    <row r="1216" spans="1:42">
      <c r="A1216" s="1">
        <v>43790</v>
      </c>
      <c r="B1216">
        <v>4</v>
      </c>
      <c r="C1216">
        <v>310</v>
      </c>
      <c r="D1216"/>
      <c r="E1216" t="s">
        <v>37</v>
      </c>
      <c r="F1216" t="s">
        <v>38</v>
      </c>
      <c r="G1216">
        <v>1</v>
      </c>
      <c r="H1216">
        <v>78</v>
      </c>
      <c r="I1216" s="25">
        <v>132</v>
      </c>
      <c r="K1216" t="s">
        <v>46</v>
      </c>
      <c r="N1216" t="s">
        <v>40</v>
      </c>
      <c r="O1216">
        <v>84</v>
      </c>
      <c r="Q1216">
        <f t="shared" si="43"/>
        <v>6</v>
      </c>
      <c r="R1216">
        <v>1</v>
      </c>
      <c r="S1216">
        <v>0</v>
      </c>
      <c r="T1216">
        <v>0</v>
      </c>
      <c r="U1216">
        <v>0</v>
      </c>
      <c r="V1216">
        <v>6</v>
      </c>
      <c r="W1216">
        <v>0</v>
      </c>
      <c r="X1216" s="21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f t="shared" si="44"/>
        <v>384</v>
      </c>
      <c r="AP1216" t="s">
        <v>41</v>
      </c>
    </row>
    <row r="1217" spans="1:42">
      <c r="A1217" s="1">
        <v>43790</v>
      </c>
      <c r="B1217">
        <v>4</v>
      </c>
      <c r="C1217">
        <v>310</v>
      </c>
      <c r="D1217"/>
      <c r="E1217" t="s">
        <v>37</v>
      </c>
      <c r="F1217" t="s">
        <v>38</v>
      </c>
      <c r="G1217">
        <v>1</v>
      </c>
      <c r="H1217">
        <v>79</v>
      </c>
      <c r="I1217" s="25">
        <v>118</v>
      </c>
      <c r="K1217" t="s">
        <v>71</v>
      </c>
      <c r="N1217" t="s">
        <v>40</v>
      </c>
      <c r="O1217">
        <v>40</v>
      </c>
      <c r="Q1217">
        <f t="shared" si="43"/>
        <v>1</v>
      </c>
      <c r="R1217">
        <v>1</v>
      </c>
      <c r="S1217">
        <v>0</v>
      </c>
      <c r="T1217">
        <v>0</v>
      </c>
      <c r="U1217">
        <v>0</v>
      </c>
      <c r="V1217">
        <v>1</v>
      </c>
      <c r="W1217">
        <v>0</v>
      </c>
      <c r="X1217" s="21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f t="shared" si="44"/>
        <v>64</v>
      </c>
      <c r="AP1217" t="s">
        <v>41</v>
      </c>
    </row>
    <row r="1218" spans="1:42">
      <c r="A1218" s="1">
        <v>43790</v>
      </c>
      <c r="B1218">
        <v>4</v>
      </c>
      <c r="C1218">
        <v>310</v>
      </c>
      <c r="D1218"/>
      <c r="E1218" t="s">
        <v>37</v>
      </c>
      <c r="F1218" t="s">
        <v>38</v>
      </c>
      <c r="G1218">
        <v>1</v>
      </c>
      <c r="H1218">
        <v>80</v>
      </c>
      <c r="I1218" s="25">
        <v>70</v>
      </c>
      <c r="K1218" t="s">
        <v>72</v>
      </c>
      <c r="N1218" t="s">
        <v>40</v>
      </c>
      <c r="O1218">
        <v>45</v>
      </c>
      <c r="Q1218">
        <f t="shared" si="43"/>
        <v>1</v>
      </c>
      <c r="R1218">
        <v>1</v>
      </c>
      <c r="S1218">
        <v>0</v>
      </c>
      <c r="T1218">
        <v>0</v>
      </c>
      <c r="U1218">
        <v>0</v>
      </c>
      <c r="V1218">
        <v>1</v>
      </c>
      <c r="W1218">
        <v>0</v>
      </c>
      <c r="X1218" s="21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f t="shared" si="44"/>
        <v>64</v>
      </c>
      <c r="AP1218" t="s">
        <v>41</v>
      </c>
    </row>
    <row r="1219" spans="1:42">
      <c r="A1219" s="1">
        <v>43790</v>
      </c>
      <c r="B1219">
        <v>4</v>
      </c>
      <c r="C1219">
        <v>310</v>
      </c>
      <c r="D1219"/>
      <c r="E1219" t="s">
        <v>37</v>
      </c>
      <c r="F1219" t="s">
        <v>38</v>
      </c>
      <c r="G1219">
        <v>1</v>
      </c>
      <c r="H1219">
        <v>81</v>
      </c>
      <c r="I1219" s="25">
        <v>351</v>
      </c>
      <c r="K1219" t="s">
        <v>56</v>
      </c>
      <c r="N1219" t="s">
        <v>40</v>
      </c>
      <c r="O1219">
        <v>59</v>
      </c>
      <c r="Q1219">
        <f t="shared" si="43"/>
        <v>1</v>
      </c>
      <c r="R1219">
        <v>1</v>
      </c>
      <c r="S1219">
        <v>0</v>
      </c>
      <c r="T1219">
        <v>0</v>
      </c>
      <c r="U1219">
        <v>0</v>
      </c>
      <c r="V1219">
        <v>1</v>
      </c>
      <c r="W1219">
        <v>0</v>
      </c>
      <c r="X1219" s="21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f t="shared" si="44"/>
        <v>64</v>
      </c>
      <c r="AP1219" t="s">
        <v>41</v>
      </c>
    </row>
    <row r="1220" spans="1:42">
      <c r="A1220" s="1">
        <v>43790</v>
      </c>
      <c r="B1220">
        <v>4</v>
      </c>
      <c r="C1220">
        <v>310</v>
      </c>
      <c r="D1220"/>
      <c r="E1220" t="s">
        <v>37</v>
      </c>
      <c r="F1220" t="s">
        <v>38</v>
      </c>
      <c r="G1220">
        <v>1</v>
      </c>
      <c r="H1220">
        <v>82</v>
      </c>
      <c r="I1220" s="25">
        <v>240</v>
      </c>
      <c r="K1220" t="s">
        <v>56</v>
      </c>
      <c r="N1220" t="s">
        <v>40</v>
      </c>
      <c r="O1220">
        <v>150</v>
      </c>
      <c r="Q1220">
        <f t="shared" si="43"/>
        <v>2</v>
      </c>
      <c r="R1220">
        <v>1</v>
      </c>
      <c r="S1220">
        <v>0</v>
      </c>
      <c r="T1220">
        <v>0</v>
      </c>
      <c r="U1220">
        <v>0</v>
      </c>
      <c r="V1220">
        <v>2</v>
      </c>
      <c r="W1220">
        <v>0</v>
      </c>
      <c r="X1220" s="21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f t="shared" si="44"/>
        <v>128</v>
      </c>
      <c r="AP1220" t="s">
        <v>41</v>
      </c>
    </row>
    <row r="1221" spans="1:42">
      <c r="A1221" s="1">
        <v>43790</v>
      </c>
      <c r="B1221">
        <v>4</v>
      </c>
      <c r="C1221">
        <v>310</v>
      </c>
      <c r="D1221"/>
      <c r="E1221" t="s">
        <v>37</v>
      </c>
      <c r="F1221" t="s">
        <v>38</v>
      </c>
      <c r="G1221">
        <v>1</v>
      </c>
      <c r="H1221">
        <v>83</v>
      </c>
      <c r="I1221" s="25">
        <v>456</v>
      </c>
      <c r="K1221" t="s">
        <v>71</v>
      </c>
      <c r="N1221" t="s">
        <v>40</v>
      </c>
      <c r="O1221">
        <v>37</v>
      </c>
      <c r="Q1221">
        <f t="shared" si="43"/>
        <v>2</v>
      </c>
      <c r="R1221">
        <v>1</v>
      </c>
      <c r="S1221">
        <v>0</v>
      </c>
      <c r="T1221">
        <v>0</v>
      </c>
      <c r="U1221">
        <v>0</v>
      </c>
      <c r="V1221">
        <v>2</v>
      </c>
      <c r="W1221">
        <v>0</v>
      </c>
      <c r="X1221" s="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f t="shared" si="44"/>
        <v>128</v>
      </c>
      <c r="AP1221" t="s">
        <v>41</v>
      </c>
    </row>
    <row r="1222" spans="1:42">
      <c r="A1222" s="1">
        <v>43790</v>
      </c>
      <c r="B1222">
        <v>4</v>
      </c>
      <c r="C1222">
        <v>310</v>
      </c>
      <c r="D1222"/>
      <c r="E1222" t="s">
        <v>37</v>
      </c>
      <c r="F1222" t="s">
        <v>38</v>
      </c>
      <c r="G1222">
        <v>1</v>
      </c>
      <c r="H1222">
        <v>84</v>
      </c>
      <c r="I1222" s="25">
        <v>417</v>
      </c>
      <c r="K1222" t="s">
        <v>71</v>
      </c>
      <c r="N1222" t="s">
        <v>40</v>
      </c>
      <c r="O1222">
        <v>133</v>
      </c>
      <c r="Q1222">
        <f t="shared" si="43"/>
        <v>3</v>
      </c>
      <c r="R1222">
        <v>1</v>
      </c>
      <c r="S1222">
        <v>0</v>
      </c>
      <c r="T1222">
        <v>0</v>
      </c>
      <c r="U1222">
        <v>0</v>
      </c>
      <c r="V1222">
        <v>3</v>
      </c>
      <c r="W1222">
        <v>0</v>
      </c>
      <c r="X1222" s="21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f t="shared" si="44"/>
        <v>192</v>
      </c>
      <c r="AP1222" t="s">
        <v>41</v>
      </c>
    </row>
    <row r="1223" spans="1:42">
      <c r="A1223" s="1">
        <v>43790</v>
      </c>
      <c r="B1223">
        <v>4</v>
      </c>
      <c r="C1223">
        <v>310</v>
      </c>
      <c r="D1223"/>
      <c r="E1223" t="s">
        <v>37</v>
      </c>
      <c r="F1223" t="s">
        <v>38</v>
      </c>
      <c r="G1223">
        <v>1</v>
      </c>
      <c r="H1223">
        <v>85</v>
      </c>
      <c r="I1223" s="25">
        <v>500</v>
      </c>
      <c r="K1223" t="s">
        <v>56</v>
      </c>
      <c r="N1223" t="s">
        <v>40</v>
      </c>
      <c r="O1223">
        <v>133</v>
      </c>
      <c r="Q1223">
        <f t="shared" si="43"/>
        <v>6</v>
      </c>
      <c r="R1223">
        <v>1</v>
      </c>
      <c r="S1223">
        <v>0</v>
      </c>
      <c r="T1223">
        <v>0</v>
      </c>
      <c r="U1223">
        <v>0</v>
      </c>
      <c r="V1223">
        <v>6</v>
      </c>
      <c r="W1223">
        <v>0</v>
      </c>
      <c r="X1223" s="21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f t="shared" si="44"/>
        <v>384</v>
      </c>
      <c r="AP1223" t="s">
        <v>41</v>
      </c>
    </row>
    <row r="1224" spans="1:42">
      <c r="A1224" s="1">
        <v>43790</v>
      </c>
      <c r="B1224">
        <v>4</v>
      </c>
      <c r="C1224">
        <v>310</v>
      </c>
      <c r="D1224"/>
      <c r="E1224" t="s">
        <v>37</v>
      </c>
      <c r="F1224" t="s">
        <v>38</v>
      </c>
      <c r="G1224">
        <v>1</v>
      </c>
      <c r="H1224">
        <v>86</v>
      </c>
      <c r="I1224" s="25">
        <v>300</v>
      </c>
      <c r="K1224" t="s">
        <v>71</v>
      </c>
      <c r="N1224" t="s">
        <v>40</v>
      </c>
      <c r="O1224">
        <v>36</v>
      </c>
      <c r="Q1224">
        <f t="shared" si="43"/>
        <v>2</v>
      </c>
      <c r="R1224">
        <v>1</v>
      </c>
      <c r="S1224">
        <v>0</v>
      </c>
      <c r="T1224">
        <v>0</v>
      </c>
      <c r="U1224">
        <v>0</v>
      </c>
      <c r="V1224">
        <v>2</v>
      </c>
      <c r="W1224">
        <v>0</v>
      </c>
      <c r="X1224" s="21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f t="shared" si="44"/>
        <v>128</v>
      </c>
      <c r="AP1224" t="s">
        <v>41</v>
      </c>
    </row>
    <row r="1225" spans="1:42">
      <c r="A1225" s="1">
        <v>43790</v>
      </c>
      <c r="B1225">
        <v>4</v>
      </c>
      <c r="C1225">
        <v>310</v>
      </c>
      <c r="D1225"/>
      <c r="E1225" t="s">
        <v>37</v>
      </c>
      <c r="F1225" t="s">
        <v>38</v>
      </c>
      <c r="G1225">
        <v>1</v>
      </c>
      <c r="H1225">
        <v>87</v>
      </c>
      <c r="I1225" s="25">
        <v>315</v>
      </c>
      <c r="K1225" t="s">
        <v>71</v>
      </c>
      <c r="N1225" t="s">
        <v>40</v>
      </c>
      <c r="O1225">
        <v>146</v>
      </c>
      <c r="Q1225">
        <f t="shared" si="43"/>
        <v>4</v>
      </c>
      <c r="R1225">
        <v>1</v>
      </c>
      <c r="S1225">
        <v>0</v>
      </c>
      <c r="T1225">
        <v>0</v>
      </c>
      <c r="U1225">
        <v>0</v>
      </c>
      <c r="V1225">
        <v>4</v>
      </c>
      <c r="W1225">
        <v>0</v>
      </c>
      <c r="X1225" s="21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f t="shared" si="44"/>
        <v>256</v>
      </c>
      <c r="AP1225" t="s">
        <v>41</v>
      </c>
    </row>
    <row r="1226" spans="1:42">
      <c r="A1226" s="1">
        <v>43790</v>
      </c>
      <c r="B1226">
        <v>4</v>
      </c>
      <c r="C1226">
        <v>310</v>
      </c>
      <c r="D1226"/>
      <c r="E1226" t="s">
        <v>37</v>
      </c>
      <c r="F1226" t="s">
        <v>38</v>
      </c>
      <c r="G1226">
        <v>1</v>
      </c>
      <c r="H1226">
        <v>88</v>
      </c>
      <c r="I1226" s="25">
        <v>155</v>
      </c>
      <c r="K1226" t="s">
        <v>71</v>
      </c>
      <c r="N1226" t="s">
        <v>40</v>
      </c>
      <c r="O1226">
        <v>81</v>
      </c>
      <c r="Q1226">
        <f t="shared" si="43"/>
        <v>3</v>
      </c>
      <c r="R1226">
        <v>1</v>
      </c>
      <c r="S1226">
        <v>0</v>
      </c>
      <c r="T1226">
        <v>0</v>
      </c>
      <c r="U1226">
        <v>0</v>
      </c>
      <c r="V1226">
        <v>3</v>
      </c>
      <c r="W1226">
        <v>0</v>
      </c>
      <c r="X1226" s="21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f t="shared" si="44"/>
        <v>192</v>
      </c>
      <c r="AP1226" t="s">
        <v>41</v>
      </c>
    </row>
    <row r="1227" spans="1:42">
      <c r="A1227" s="1">
        <v>43790</v>
      </c>
      <c r="B1227">
        <v>4</v>
      </c>
      <c r="C1227">
        <v>310</v>
      </c>
      <c r="D1227"/>
      <c r="E1227" t="s">
        <v>37</v>
      </c>
      <c r="F1227" t="s">
        <v>38</v>
      </c>
      <c r="G1227">
        <v>1</v>
      </c>
      <c r="H1227">
        <v>89</v>
      </c>
      <c r="I1227" s="25">
        <v>101</v>
      </c>
      <c r="K1227" t="s">
        <v>71</v>
      </c>
      <c r="N1227" t="s">
        <v>40</v>
      </c>
      <c r="O1227">
        <v>200</v>
      </c>
      <c r="Q1227">
        <f t="shared" si="43"/>
        <v>2</v>
      </c>
      <c r="R1227">
        <v>1</v>
      </c>
      <c r="S1227">
        <v>0</v>
      </c>
      <c r="T1227">
        <v>0</v>
      </c>
      <c r="U1227">
        <v>0</v>
      </c>
      <c r="V1227">
        <v>2</v>
      </c>
      <c r="W1227">
        <v>0</v>
      </c>
      <c r="X1227" s="21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f t="shared" si="44"/>
        <v>128</v>
      </c>
      <c r="AP1227" t="s">
        <v>41</v>
      </c>
    </row>
    <row r="1228" spans="1:42">
      <c r="A1228" s="1">
        <v>43790</v>
      </c>
      <c r="B1228">
        <v>4</v>
      </c>
      <c r="C1228">
        <v>310</v>
      </c>
      <c r="D1228"/>
      <c r="E1228" t="s">
        <v>37</v>
      </c>
      <c r="F1228" t="s">
        <v>38</v>
      </c>
      <c r="G1228">
        <v>1</v>
      </c>
      <c r="H1228">
        <v>90</v>
      </c>
      <c r="I1228" s="25">
        <v>44</v>
      </c>
      <c r="K1228" t="s">
        <v>71</v>
      </c>
      <c r="N1228" t="s">
        <v>40</v>
      </c>
      <c r="O1228">
        <v>38</v>
      </c>
      <c r="Q1228">
        <f t="shared" si="43"/>
        <v>1</v>
      </c>
      <c r="R1228">
        <v>1</v>
      </c>
      <c r="S1228">
        <v>0</v>
      </c>
      <c r="T1228">
        <v>0</v>
      </c>
      <c r="U1228">
        <v>0</v>
      </c>
      <c r="V1228">
        <v>1</v>
      </c>
      <c r="W1228">
        <v>0</v>
      </c>
      <c r="X1228" s="21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f t="shared" si="44"/>
        <v>64</v>
      </c>
      <c r="AP1228" t="s">
        <v>41</v>
      </c>
    </row>
    <row r="1229" spans="1:42">
      <c r="A1229" s="1">
        <v>43790</v>
      </c>
      <c r="B1229">
        <v>4</v>
      </c>
      <c r="C1229">
        <v>310</v>
      </c>
      <c r="D1229"/>
      <c r="E1229" t="s">
        <v>37</v>
      </c>
      <c r="F1229" t="s">
        <v>38</v>
      </c>
      <c r="G1229">
        <v>1</v>
      </c>
      <c r="H1229">
        <v>91</v>
      </c>
      <c r="I1229" s="25">
        <v>2</v>
      </c>
      <c r="K1229" t="s">
        <v>71</v>
      </c>
      <c r="N1229" t="s">
        <v>40</v>
      </c>
      <c r="O1229">
        <v>45</v>
      </c>
      <c r="Q1229">
        <f t="shared" si="43"/>
        <v>1</v>
      </c>
      <c r="R1229">
        <v>1</v>
      </c>
      <c r="S1229">
        <v>0</v>
      </c>
      <c r="T1229">
        <v>0</v>
      </c>
      <c r="U1229">
        <v>0</v>
      </c>
      <c r="V1229">
        <v>1</v>
      </c>
      <c r="W1229">
        <v>0</v>
      </c>
      <c r="X1229" s="21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f t="shared" si="44"/>
        <v>64</v>
      </c>
      <c r="AP1229" t="s">
        <v>41</v>
      </c>
    </row>
    <row r="1230" spans="1:42">
      <c r="A1230" s="1">
        <v>43790</v>
      </c>
      <c r="B1230">
        <v>4</v>
      </c>
      <c r="C1230">
        <v>310</v>
      </c>
      <c r="D1230"/>
      <c r="E1230" t="s">
        <v>37</v>
      </c>
      <c r="F1230" t="s">
        <v>38</v>
      </c>
      <c r="G1230">
        <v>1</v>
      </c>
      <c r="H1230">
        <v>92</v>
      </c>
      <c r="I1230" s="25">
        <v>500</v>
      </c>
      <c r="K1230" t="s">
        <v>73</v>
      </c>
      <c r="N1230" t="s">
        <v>40</v>
      </c>
      <c r="P1230">
        <v>122</v>
      </c>
      <c r="Q1230">
        <f t="shared" si="43"/>
        <v>3</v>
      </c>
      <c r="R1230">
        <v>3</v>
      </c>
      <c r="S1230">
        <v>0</v>
      </c>
      <c r="T1230">
        <v>0</v>
      </c>
      <c r="U1230">
        <v>1</v>
      </c>
      <c r="V1230">
        <v>2</v>
      </c>
      <c r="W1230">
        <v>0</v>
      </c>
      <c r="X1230" s="21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f t="shared" si="44"/>
        <v>160</v>
      </c>
      <c r="AP1230" t="s">
        <v>41</v>
      </c>
    </row>
    <row r="1231" spans="1:42">
      <c r="A1231" s="1">
        <v>43790</v>
      </c>
      <c r="B1231">
        <v>4</v>
      </c>
      <c r="C1231">
        <v>310</v>
      </c>
      <c r="D1231"/>
      <c r="E1231" t="s">
        <v>37</v>
      </c>
      <c r="F1231" t="s">
        <v>38</v>
      </c>
      <c r="G1231">
        <v>1</v>
      </c>
      <c r="H1231">
        <v>93</v>
      </c>
      <c r="I1231" s="25">
        <v>43</v>
      </c>
      <c r="K1231" t="s">
        <v>49</v>
      </c>
      <c r="N1231" t="s">
        <v>40</v>
      </c>
      <c r="O1231">
        <v>54</v>
      </c>
      <c r="Q1231">
        <f t="shared" si="43"/>
        <v>1</v>
      </c>
      <c r="R1231">
        <v>1</v>
      </c>
      <c r="S1231">
        <v>0</v>
      </c>
      <c r="T1231">
        <v>0</v>
      </c>
      <c r="U1231">
        <v>0</v>
      </c>
      <c r="V1231">
        <v>1</v>
      </c>
      <c r="W1231">
        <v>0</v>
      </c>
      <c r="X1231" s="2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f t="shared" si="44"/>
        <v>64</v>
      </c>
      <c r="AP1231" t="s">
        <v>41</v>
      </c>
    </row>
    <row r="1232" spans="1:42">
      <c r="A1232" s="1">
        <v>43790</v>
      </c>
      <c r="B1232">
        <v>4</v>
      </c>
      <c r="C1232">
        <v>310</v>
      </c>
      <c r="D1232"/>
      <c r="E1232" t="s">
        <v>37</v>
      </c>
      <c r="F1232" t="s">
        <v>38</v>
      </c>
      <c r="G1232">
        <v>1</v>
      </c>
      <c r="H1232">
        <v>94</v>
      </c>
      <c r="I1232" s="25">
        <v>44</v>
      </c>
      <c r="K1232" t="s">
        <v>71</v>
      </c>
      <c r="N1232" t="s">
        <v>40</v>
      </c>
      <c r="O1232">
        <v>165</v>
      </c>
      <c r="Q1232">
        <f t="shared" si="43"/>
        <v>7</v>
      </c>
      <c r="R1232">
        <v>1</v>
      </c>
      <c r="S1232">
        <v>0</v>
      </c>
      <c r="T1232">
        <v>0</v>
      </c>
      <c r="U1232">
        <v>0</v>
      </c>
      <c r="V1232">
        <v>7</v>
      </c>
      <c r="W1232">
        <v>0</v>
      </c>
      <c r="X1232" s="21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f t="shared" si="44"/>
        <v>448</v>
      </c>
      <c r="AP1232" t="s">
        <v>41</v>
      </c>
    </row>
    <row r="1233" spans="1:42">
      <c r="A1233" s="1">
        <v>43790</v>
      </c>
      <c r="B1233">
        <v>4</v>
      </c>
      <c r="C1233">
        <v>310</v>
      </c>
      <c r="D1233"/>
      <c r="E1233" t="s">
        <v>37</v>
      </c>
      <c r="F1233" t="s">
        <v>38</v>
      </c>
      <c r="G1233">
        <v>1</v>
      </c>
      <c r="H1233">
        <v>95</v>
      </c>
      <c r="I1233" s="25">
        <v>120</v>
      </c>
      <c r="K1233" t="s">
        <v>71</v>
      </c>
      <c r="N1233" t="s">
        <v>40</v>
      </c>
      <c r="O1233">
        <v>165</v>
      </c>
      <c r="Q1233">
        <f t="shared" si="43"/>
        <v>7</v>
      </c>
      <c r="R1233">
        <v>1</v>
      </c>
      <c r="S1233">
        <v>0</v>
      </c>
      <c r="T1233">
        <v>0</v>
      </c>
      <c r="U1233">
        <v>0</v>
      </c>
      <c r="V1233">
        <v>7</v>
      </c>
      <c r="W1233">
        <v>0</v>
      </c>
      <c r="X1233" s="21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f t="shared" si="44"/>
        <v>448</v>
      </c>
      <c r="AP1233" t="s">
        <v>41</v>
      </c>
    </row>
    <row r="1234" spans="1:42">
      <c r="A1234" s="1">
        <v>43790</v>
      </c>
      <c r="B1234">
        <v>4</v>
      </c>
      <c r="C1234">
        <v>310</v>
      </c>
      <c r="D1234"/>
      <c r="E1234" t="s">
        <v>37</v>
      </c>
      <c r="F1234" t="s">
        <v>38</v>
      </c>
      <c r="G1234">
        <v>1</v>
      </c>
      <c r="H1234">
        <v>96</v>
      </c>
      <c r="I1234" s="25">
        <v>1</v>
      </c>
      <c r="K1234" t="s">
        <v>39</v>
      </c>
      <c r="N1234" t="s">
        <v>40</v>
      </c>
      <c r="O1234">
        <v>53</v>
      </c>
      <c r="Q1234">
        <f t="shared" si="43"/>
        <v>2</v>
      </c>
      <c r="R1234">
        <v>1</v>
      </c>
      <c r="S1234">
        <v>0</v>
      </c>
      <c r="T1234">
        <v>0</v>
      </c>
      <c r="U1234">
        <v>0</v>
      </c>
      <c r="V1234">
        <v>2</v>
      </c>
      <c r="W1234">
        <v>0</v>
      </c>
      <c r="X1234" s="21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f t="shared" si="44"/>
        <v>128</v>
      </c>
      <c r="AP1234" t="s">
        <v>41</v>
      </c>
    </row>
    <row r="1235" spans="1:42">
      <c r="A1235" s="1">
        <v>43790</v>
      </c>
      <c r="B1235">
        <v>4</v>
      </c>
      <c r="C1235">
        <v>310</v>
      </c>
      <c r="D1235"/>
      <c r="E1235" t="s">
        <v>37</v>
      </c>
      <c r="F1235" t="s">
        <v>38</v>
      </c>
      <c r="G1235">
        <v>1</v>
      </c>
      <c r="H1235">
        <v>97</v>
      </c>
      <c r="I1235" s="25">
        <v>22</v>
      </c>
      <c r="K1235" t="s">
        <v>74</v>
      </c>
      <c r="N1235" t="s">
        <v>40</v>
      </c>
      <c r="O1235">
        <v>53</v>
      </c>
      <c r="Q1235">
        <f t="shared" si="43"/>
        <v>2</v>
      </c>
      <c r="R1235">
        <v>1</v>
      </c>
      <c r="S1235">
        <v>0</v>
      </c>
      <c r="T1235">
        <v>0</v>
      </c>
      <c r="U1235">
        <v>0</v>
      </c>
      <c r="V1235">
        <v>2</v>
      </c>
      <c r="W1235">
        <v>0</v>
      </c>
      <c r="X1235" s="21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f t="shared" si="44"/>
        <v>128</v>
      </c>
      <c r="AP1235" t="s">
        <v>41</v>
      </c>
    </row>
    <row r="1236" spans="1:42">
      <c r="A1236" s="1">
        <v>43790</v>
      </c>
      <c r="B1236">
        <v>4</v>
      </c>
      <c r="C1236">
        <v>310</v>
      </c>
      <c r="D1236"/>
      <c r="E1236" t="s">
        <v>37</v>
      </c>
      <c r="F1236" t="s">
        <v>38</v>
      </c>
      <c r="G1236">
        <v>1</v>
      </c>
      <c r="H1236">
        <v>98</v>
      </c>
      <c r="I1236" s="25">
        <v>47</v>
      </c>
      <c r="K1236" t="s">
        <v>74</v>
      </c>
      <c r="N1236" t="s">
        <v>40</v>
      </c>
      <c r="O1236">
        <v>26</v>
      </c>
      <c r="Q1236">
        <f t="shared" si="43"/>
        <v>2</v>
      </c>
      <c r="R1236">
        <v>1</v>
      </c>
      <c r="S1236">
        <v>0</v>
      </c>
      <c r="T1236">
        <v>0</v>
      </c>
      <c r="U1236">
        <v>0</v>
      </c>
      <c r="V1236">
        <v>2</v>
      </c>
      <c r="W1236">
        <v>0</v>
      </c>
      <c r="X1236" s="21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f t="shared" si="44"/>
        <v>128</v>
      </c>
      <c r="AP1236" t="s">
        <v>41</v>
      </c>
    </row>
    <row r="1237" spans="1:42">
      <c r="A1237" s="1">
        <v>43790</v>
      </c>
      <c r="B1237">
        <v>4</v>
      </c>
      <c r="C1237">
        <v>310</v>
      </c>
      <c r="D1237"/>
      <c r="E1237" t="s">
        <v>37</v>
      </c>
      <c r="F1237" t="s">
        <v>38</v>
      </c>
      <c r="G1237">
        <v>1</v>
      </c>
      <c r="H1237">
        <v>99</v>
      </c>
      <c r="I1237" s="25">
        <v>49</v>
      </c>
      <c r="K1237" t="s">
        <v>74</v>
      </c>
      <c r="N1237" t="s">
        <v>40</v>
      </c>
      <c r="O1237">
        <v>26</v>
      </c>
      <c r="Q1237">
        <f t="shared" si="43"/>
        <v>0</v>
      </c>
      <c r="R1237">
        <v>1</v>
      </c>
      <c r="S1237">
        <v>0</v>
      </c>
      <c r="T1237">
        <v>0</v>
      </c>
      <c r="U1237">
        <v>0</v>
      </c>
      <c r="V1237">
        <v>0</v>
      </c>
      <c r="W1237">
        <v>0</v>
      </c>
      <c r="X1237" s="21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f t="shared" si="44"/>
        <v>0</v>
      </c>
      <c r="AP1237" t="s">
        <v>41</v>
      </c>
    </row>
    <row r="1238" spans="1:42">
      <c r="A1238" s="1">
        <v>43790</v>
      </c>
      <c r="B1238">
        <v>4</v>
      </c>
      <c r="C1238">
        <v>310</v>
      </c>
      <c r="D1238"/>
      <c r="E1238" t="s">
        <v>37</v>
      </c>
      <c r="F1238" t="s">
        <v>38</v>
      </c>
      <c r="G1238">
        <v>1</v>
      </c>
      <c r="H1238">
        <v>100</v>
      </c>
      <c r="I1238" s="25">
        <v>55</v>
      </c>
      <c r="K1238" t="s">
        <v>74</v>
      </c>
      <c r="N1238" t="s">
        <v>40</v>
      </c>
      <c r="O1238">
        <v>35</v>
      </c>
      <c r="Q1238">
        <f t="shared" si="43"/>
        <v>1</v>
      </c>
      <c r="R1238">
        <v>1</v>
      </c>
      <c r="S1238">
        <v>0</v>
      </c>
      <c r="T1238">
        <v>0</v>
      </c>
      <c r="U1238">
        <v>0</v>
      </c>
      <c r="V1238">
        <v>1</v>
      </c>
      <c r="W1238">
        <v>0</v>
      </c>
      <c r="X1238" s="21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f t="shared" si="44"/>
        <v>64</v>
      </c>
      <c r="AP1238" t="s">
        <v>41</v>
      </c>
    </row>
    <row r="1239" spans="1:42">
      <c r="A1239" s="1">
        <v>43790</v>
      </c>
      <c r="B1239">
        <v>4</v>
      </c>
      <c r="C1239">
        <v>310</v>
      </c>
      <c r="D1239"/>
      <c r="E1239" t="s">
        <v>37</v>
      </c>
      <c r="F1239" t="s">
        <v>38</v>
      </c>
      <c r="G1239">
        <v>1</v>
      </c>
      <c r="H1239">
        <v>101</v>
      </c>
      <c r="I1239" s="25">
        <v>140</v>
      </c>
      <c r="K1239" t="s">
        <v>74</v>
      </c>
      <c r="N1239" t="s">
        <v>40</v>
      </c>
      <c r="O1239">
        <v>45</v>
      </c>
      <c r="Q1239">
        <f t="shared" si="43"/>
        <v>1</v>
      </c>
      <c r="R1239">
        <v>1</v>
      </c>
      <c r="S1239">
        <v>0</v>
      </c>
      <c r="T1239">
        <v>0</v>
      </c>
      <c r="U1239">
        <v>0</v>
      </c>
      <c r="V1239">
        <v>1</v>
      </c>
      <c r="W1239">
        <v>0</v>
      </c>
      <c r="X1239" s="21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f t="shared" si="44"/>
        <v>64</v>
      </c>
      <c r="AP1239" t="s">
        <v>41</v>
      </c>
    </row>
    <row r="1240" spans="1:42">
      <c r="A1240" s="1">
        <v>43790</v>
      </c>
      <c r="B1240">
        <v>4</v>
      </c>
      <c r="C1240">
        <v>310</v>
      </c>
      <c r="D1240"/>
      <c r="E1240" t="s">
        <v>37</v>
      </c>
      <c r="F1240" t="s">
        <v>38</v>
      </c>
      <c r="G1240">
        <v>1</v>
      </c>
      <c r="H1240">
        <v>102</v>
      </c>
      <c r="I1240" s="25">
        <v>570</v>
      </c>
      <c r="K1240" t="s">
        <v>75</v>
      </c>
      <c r="N1240" t="s">
        <v>40</v>
      </c>
      <c r="O1240">
        <v>43</v>
      </c>
      <c r="Q1240">
        <f t="shared" ref="Q1240:Q1303" si="45">SUM(S1240:AC1240)</f>
        <v>1</v>
      </c>
      <c r="R1240">
        <v>1</v>
      </c>
      <c r="S1240">
        <v>0</v>
      </c>
      <c r="T1240">
        <v>0</v>
      </c>
      <c r="U1240">
        <v>0</v>
      </c>
      <c r="V1240">
        <v>1</v>
      </c>
      <c r="W1240">
        <v>0</v>
      </c>
      <c r="X1240" s="21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f t="shared" ref="AH1240:AH1303" si="46">(S1240*16)+(T1240*20)+(U1240*32)+(V1240*64)+(W1240*96)</f>
        <v>64</v>
      </c>
      <c r="AL1240" t="s">
        <v>76</v>
      </c>
      <c r="AP1240" t="s">
        <v>41</v>
      </c>
    </row>
    <row r="1241" spans="1:42">
      <c r="A1241" s="1">
        <v>43790</v>
      </c>
      <c r="B1241">
        <v>4</v>
      </c>
      <c r="C1241">
        <v>310</v>
      </c>
      <c r="D1241"/>
      <c r="E1241" t="s">
        <v>37</v>
      </c>
      <c r="F1241" t="s">
        <v>38</v>
      </c>
      <c r="G1241">
        <v>1</v>
      </c>
      <c r="H1241">
        <v>103</v>
      </c>
      <c r="I1241" s="25">
        <v>540</v>
      </c>
      <c r="K1241" t="s">
        <v>75</v>
      </c>
      <c r="N1241" t="s">
        <v>40</v>
      </c>
      <c r="O1241">
        <v>43</v>
      </c>
      <c r="Q1241">
        <f t="shared" si="45"/>
        <v>1</v>
      </c>
      <c r="R1241">
        <v>1</v>
      </c>
      <c r="S1241">
        <v>0</v>
      </c>
      <c r="T1241">
        <v>0</v>
      </c>
      <c r="U1241">
        <v>0</v>
      </c>
      <c r="V1241">
        <v>1</v>
      </c>
      <c r="W1241">
        <v>0</v>
      </c>
      <c r="X1241" s="2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f t="shared" si="46"/>
        <v>64</v>
      </c>
      <c r="AL1241" t="s">
        <v>76</v>
      </c>
      <c r="AP1241" t="s">
        <v>41</v>
      </c>
    </row>
    <row r="1242" spans="1:42">
      <c r="A1242" s="1">
        <v>43790</v>
      </c>
      <c r="B1242">
        <v>4</v>
      </c>
      <c r="C1242">
        <v>310</v>
      </c>
      <c r="D1242"/>
      <c r="E1242" t="s">
        <v>37</v>
      </c>
      <c r="F1242" t="s">
        <v>38</v>
      </c>
      <c r="G1242">
        <v>1</v>
      </c>
      <c r="H1242">
        <v>104</v>
      </c>
      <c r="I1242" s="25">
        <v>245</v>
      </c>
      <c r="K1242" t="s">
        <v>77</v>
      </c>
      <c r="N1242" t="s">
        <v>40</v>
      </c>
      <c r="O1242">
        <v>25</v>
      </c>
      <c r="Q1242">
        <f t="shared" si="45"/>
        <v>1</v>
      </c>
      <c r="R1242">
        <v>1</v>
      </c>
      <c r="S1242">
        <v>0</v>
      </c>
      <c r="T1242">
        <v>0</v>
      </c>
      <c r="U1242">
        <v>1</v>
      </c>
      <c r="V1242">
        <v>0</v>
      </c>
      <c r="W1242">
        <v>0</v>
      </c>
      <c r="X1242" s="21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f t="shared" si="46"/>
        <v>32</v>
      </c>
      <c r="AP1242" t="s">
        <v>41</v>
      </c>
    </row>
    <row r="1243" spans="1:42">
      <c r="A1243" s="1">
        <v>43790</v>
      </c>
      <c r="B1243">
        <v>4</v>
      </c>
      <c r="C1243">
        <v>310</v>
      </c>
      <c r="D1243"/>
      <c r="E1243" t="s">
        <v>37</v>
      </c>
      <c r="F1243" t="s">
        <v>38</v>
      </c>
      <c r="G1243">
        <v>1</v>
      </c>
      <c r="H1243">
        <v>105</v>
      </c>
      <c r="I1243" s="25">
        <v>166</v>
      </c>
      <c r="K1243" t="s">
        <v>78</v>
      </c>
      <c r="N1243" t="s">
        <v>40</v>
      </c>
      <c r="O1243">
        <v>40</v>
      </c>
      <c r="Q1243">
        <f t="shared" si="45"/>
        <v>1</v>
      </c>
      <c r="R1243">
        <v>1</v>
      </c>
      <c r="S1243">
        <v>0</v>
      </c>
      <c r="T1243">
        <v>0</v>
      </c>
      <c r="U1243">
        <v>1</v>
      </c>
      <c r="V1243">
        <v>0</v>
      </c>
      <c r="W1243">
        <v>0</v>
      </c>
      <c r="X1243" s="21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f t="shared" si="46"/>
        <v>32</v>
      </c>
      <c r="AP1243" t="s">
        <v>41</v>
      </c>
    </row>
    <row r="1244" spans="1:42">
      <c r="A1244" s="1">
        <v>43790</v>
      </c>
      <c r="B1244">
        <v>4</v>
      </c>
      <c r="C1244">
        <v>310</v>
      </c>
      <c r="D1244"/>
      <c r="E1244" t="s">
        <v>37</v>
      </c>
      <c r="F1244" t="s">
        <v>38</v>
      </c>
      <c r="G1244">
        <v>1</v>
      </c>
      <c r="H1244">
        <v>106</v>
      </c>
      <c r="I1244" s="25">
        <v>218</v>
      </c>
      <c r="K1244" t="s">
        <v>50</v>
      </c>
      <c r="N1244" t="s">
        <v>40</v>
      </c>
      <c r="O1244">
        <v>40</v>
      </c>
      <c r="Q1244">
        <f t="shared" si="45"/>
        <v>1</v>
      </c>
      <c r="R1244">
        <v>1</v>
      </c>
      <c r="S1244">
        <v>0</v>
      </c>
      <c r="T1244">
        <v>0</v>
      </c>
      <c r="U1244">
        <v>1</v>
      </c>
      <c r="V1244">
        <v>0</v>
      </c>
      <c r="W1244">
        <v>0</v>
      </c>
      <c r="X1244" s="21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f t="shared" si="46"/>
        <v>32</v>
      </c>
      <c r="AP1244" t="s">
        <v>41</v>
      </c>
    </row>
    <row r="1245" spans="1:42">
      <c r="A1245" s="1">
        <v>43790</v>
      </c>
      <c r="B1245">
        <v>4</v>
      </c>
      <c r="C1245">
        <v>310</v>
      </c>
      <c r="D1245"/>
      <c r="E1245" t="s">
        <v>37</v>
      </c>
      <c r="F1245" t="s">
        <v>38</v>
      </c>
      <c r="G1245">
        <v>1</v>
      </c>
      <c r="H1245">
        <v>107</v>
      </c>
      <c r="I1245" s="25">
        <v>77</v>
      </c>
      <c r="K1245" t="s">
        <v>78</v>
      </c>
      <c r="N1245" t="s">
        <v>40</v>
      </c>
      <c r="O1245">
        <v>50</v>
      </c>
      <c r="Q1245">
        <f t="shared" si="45"/>
        <v>1</v>
      </c>
      <c r="R1245">
        <v>1</v>
      </c>
      <c r="S1245">
        <v>0</v>
      </c>
      <c r="T1245">
        <v>0</v>
      </c>
      <c r="U1245">
        <v>0</v>
      </c>
      <c r="V1245">
        <v>1</v>
      </c>
      <c r="W1245">
        <v>0</v>
      </c>
      <c r="X1245" s="21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f t="shared" si="46"/>
        <v>64</v>
      </c>
      <c r="AP1245" t="s">
        <v>41</v>
      </c>
    </row>
    <row r="1246" spans="1:42">
      <c r="A1246" s="1">
        <v>43790</v>
      </c>
      <c r="B1246">
        <v>4</v>
      </c>
      <c r="C1246">
        <v>310</v>
      </c>
      <c r="D1246"/>
      <c r="E1246" t="s">
        <v>37</v>
      </c>
      <c r="F1246" t="s">
        <v>38</v>
      </c>
      <c r="G1246">
        <v>1</v>
      </c>
      <c r="H1246">
        <v>108</v>
      </c>
      <c r="I1246" s="25">
        <v>135</v>
      </c>
      <c r="K1246" t="s">
        <v>53</v>
      </c>
      <c r="N1246" t="s">
        <v>40</v>
      </c>
      <c r="O1246">
        <v>33</v>
      </c>
      <c r="Q1246">
        <f t="shared" si="45"/>
        <v>1</v>
      </c>
      <c r="R1246">
        <v>1</v>
      </c>
      <c r="S1246">
        <v>0</v>
      </c>
      <c r="T1246">
        <v>0</v>
      </c>
      <c r="U1246">
        <v>0</v>
      </c>
      <c r="V1246">
        <v>1</v>
      </c>
      <c r="W1246">
        <v>0</v>
      </c>
      <c r="X1246" s="21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f t="shared" si="46"/>
        <v>64</v>
      </c>
      <c r="AP1246" t="s">
        <v>41</v>
      </c>
    </row>
    <row r="1247" spans="1:42">
      <c r="A1247" s="1">
        <v>43790</v>
      </c>
      <c r="B1247">
        <v>4</v>
      </c>
      <c r="C1247">
        <v>310</v>
      </c>
      <c r="D1247"/>
      <c r="E1247" t="s">
        <v>37</v>
      </c>
      <c r="F1247" t="s">
        <v>38</v>
      </c>
      <c r="G1247">
        <v>1</v>
      </c>
      <c r="H1247">
        <v>109</v>
      </c>
      <c r="I1247" s="25">
        <v>25</v>
      </c>
      <c r="K1247" t="s">
        <v>78</v>
      </c>
      <c r="N1247" t="s">
        <v>40</v>
      </c>
      <c r="O1247">
        <v>59</v>
      </c>
      <c r="Q1247">
        <f t="shared" si="45"/>
        <v>1</v>
      </c>
      <c r="R1247">
        <v>1</v>
      </c>
      <c r="S1247">
        <v>0</v>
      </c>
      <c r="T1247">
        <v>0</v>
      </c>
      <c r="U1247">
        <v>0</v>
      </c>
      <c r="V1247">
        <v>1</v>
      </c>
      <c r="W1247">
        <v>0</v>
      </c>
      <c r="X1247" s="21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f t="shared" si="46"/>
        <v>64</v>
      </c>
      <c r="AP1247" t="s">
        <v>41</v>
      </c>
    </row>
    <row r="1248" spans="1:42">
      <c r="A1248" s="1">
        <v>43790</v>
      </c>
      <c r="B1248">
        <v>4</v>
      </c>
      <c r="C1248">
        <v>310</v>
      </c>
      <c r="D1248"/>
      <c r="E1248" t="s">
        <v>37</v>
      </c>
      <c r="F1248" t="s">
        <v>38</v>
      </c>
      <c r="G1248">
        <v>1</v>
      </c>
      <c r="H1248">
        <v>110</v>
      </c>
      <c r="I1248" s="25" t="s">
        <v>79</v>
      </c>
      <c r="K1248" t="s">
        <v>39</v>
      </c>
      <c r="N1248" t="s">
        <v>40</v>
      </c>
      <c r="O1248">
        <v>75</v>
      </c>
      <c r="Q1248">
        <f t="shared" si="45"/>
        <v>3</v>
      </c>
      <c r="R1248">
        <v>1</v>
      </c>
      <c r="S1248">
        <v>0</v>
      </c>
      <c r="T1248">
        <v>0</v>
      </c>
      <c r="U1248">
        <v>0</v>
      </c>
      <c r="V1248">
        <v>3</v>
      </c>
      <c r="W1248">
        <v>0</v>
      </c>
      <c r="X1248" s="21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f t="shared" si="46"/>
        <v>192</v>
      </c>
      <c r="AP1248" t="s">
        <v>41</v>
      </c>
    </row>
    <row r="1249" spans="1:42">
      <c r="A1249" s="1">
        <v>43790</v>
      </c>
      <c r="B1249">
        <v>4</v>
      </c>
      <c r="C1249">
        <v>310</v>
      </c>
      <c r="D1249"/>
      <c r="E1249" t="s">
        <v>37</v>
      </c>
      <c r="F1249" t="s">
        <v>38</v>
      </c>
      <c r="G1249">
        <v>1</v>
      </c>
      <c r="H1249">
        <v>111</v>
      </c>
      <c r="I1249" s="25">
        <v>153</v>
      </c>
      <c r="K1249" t="s">
        <v>39</v>
      </c>
      <c r="N1249" t="s">
        <v>40</v>
      </c>
      <c r="O1249">
        <v>62</v>
      </c>
      <c r="Q1249">
        <f t="shared" si="45"/>
        <v>3</v>
      </c>
      <c r="R1249">
        <v>1</v>
      </c>
      <c r="S1249">
        <v>0</v>
      </c>
      <c r="T1249">
        <v>0</v>
      </c>
      <c r="U1249">
        <v>0</v>
      </c>
      <c r="V1249">
        <v>3</v>
      </c>
      <c r="W1249">
        <v>0</v>
      </c>
      <c r="X1249" s="21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f t="shared" si="46"/>
        <v>192</v>
      </c>
      <c r="AP1249" t="s">
        <v>41</v>
      </c>
    </row>
    <row r="1250" spans="1:42">
      <c r="A1250" s="1">
        <v>43790</v>
      </c>
      <c r="B1250">
        <v>4</v>
      </c>
      <c r="C1250">
        <v>310</v>
      </c>
      <c r="D1250"/>
      <c r="E1250" t="s">
        <v>37</v>
      </c>
      <c r="F1250" t="s">
        <v>38</v>
      </c>
      <c r="G1250">
        <v>1</v>
      </c>
      <c r="H1250">
        <v>112</v>
      </c>
      <c r="I1250" s="25">
        <v>211</v>
      </c>
      <c r="K1250" t="s">
        <v>49</v>
      </c>
      <c r="N1250" t="s">
        <v>40</v>
      </c>
      <c r="O1250">
        <v>62</v>
      </c>
      <c r="Q1250">
        <f t="shared" si="45"/>
        <v>2</v>
      </c>
      <c r="R1250">
        <v>1</v>
      </c>
      <c r="S1250">
        <v>0</v>
      </c>
      <c r="T1250">
        <v>0</v>
      </c>
      <c r="U1250">
        <v>0</v>
      </c>
      <c r="V1250">
        <v>2</v>
      </c>
      <c r="W1250">
        <v>0</v>
      </c>
      <c r="X1250" s="21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f t="shared" si="46"/>
        <v>128</v>
      </c>
      <c r="AP1250" t="s">
        <v>41</v>
      </c>
    </row>
    <row r="1251" spans="1:42">
      <c r="A1251" s="1">
        <v>43790</v>
      </c>
      <c r="B1251">
        <v>4</v>
      </c>
      <c r="C1251">
        <v>310</v>
      </c>
      <c r="D1251"/>
      <c r="E1251" t="s">
        <v>37</v>
      </c>
      <c r="F1251" t="s">
        <v>38</v>
      </c>
      <c r="G1251">
        <v>1</v>
      </c>
      <c r="H1251">
        <v>113</v>
      </c>
      <c r="I1251" s="25">
        <v>11</v>
      </c>
      <c r="K1251" t="s">
        <v>80</v>
      </c>
      <c r="N1251" t="s">
        <v>40</v>
      </c>
      <c r="O1251">
        <v>50</v>
      </c>
      <c r="Q1251">
        <f t="shared" si="45"/>
        <v>3</v>
      </c>
      <c r="R1251">
        <v>1</v>
      </c>
      <c r="S1251">
        <v>0</v>
      </c>
      <c r="T1251">
        <v>0</v>
      </c>
      <c r="U1251">
        <v>3</v>
      </c>
      <c r="V1251">
        <v>0</v>
      </c>
      <c r="W1251">
        <v>0</v>
      </c>
      <c r="X1251" s="2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f t="shared" si="46"/>
        <v>96</v>
      </c>
      <c r="AP1251" t="s">
        <v>41</v>
      </c>
    </row>
    <row r="1252" spans="1:42">
      <c r="A1252" s="1">
        <v>43790</v>
      </c>
      <c r="B1252">
        <v>4</v>
      </c>
      <c r="C1252">
        <v>310</v>
      </c>
      <c r="D1252"/>
      <c r="E1252" t="s">
        <v>37</v>
      </c>
      <c r="F1252" t="s">
        <v>38</v>
      </c>
      <c r="G1252">
        <v>1</v>
      </c>
      <c r="H1252">
        <v>114</v>
      </c>
      <c r="I1252" s="25">
        <v>1</v>
      </c>
      <c r="K1252" t="s">
        <v>80</v>
      </c>
      <c r="N1252" t="s">
        <v>40</v>
      </c>
      <c r="O1252">
        <v>50</v>
      </c>
      <c r="Q1252">
        <f t="shared" si="45"/>
        <v>2</v>
      </c>
      <c r="R1252">
        <v>1</v>
      </c>
      <c r="S1252">
        <v>0</v>
      </c>
      <c r="T1252">
        <v>0</v>
      </c>
      <c r="U1252">
        <v>0</v>
      </c>
      <c r="V1252">
        <v>2</v>
      </c>
      <c r="W1252">
        <v>0</v>
      </c>
      <c r="X1252" s="21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f t="shared" si="46"/>
        <v>128</v>
      </c>
      <c r="AP1252" t="s">
        <v>41</v>
      </c>
    </row>
    <row r="1253" spans="1:42">
      <c r="A1253" s="1">
        <v>43790</v>
      </c>
      <c r="B1253">
        <v>4</v>
      </c>
      <c r="C1253">
        <v>310</v>
      </c>
      <c r="D1253"/>
      <c r="E1253" t="s">
        <v>37</v>
      </c>
      <c r="F1253" t="s">
        <v>38</v>
      </c>
      <c r="G1253">
        <v>1</v>
      </c>
      <c r="H1253">
        <v>115</v>
      </c>
      <c r="I1253" s="25">
        <v>101</v>
      </c>
      <c r="K1253" t="s">
        <v>53</v>
      </c>
      <c r="N1253" t="s">
        <v>40</v>
      </c>
      <c r="O1253">
        <v>52</v>
      </c>
      <c r="Q1253">
        <f t="shared" si="45"/>
        <v>2</v>
      </c>
      <c r="R1253">
        <v>1</v>
      </c>
      <c r="S1253">
        <v>0</v>
      </c>
      <c r="T1253">
        <v>0</v>
      </c>
      <c r="U1253">
        <v>0</v>
      </c>
      <c r="V1253">
        <v>2</v>
      </c>
      <c r="W1253">
        <v>0</v>
      </c>
      <c r="X1253" s="21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f t="shared" si="46"/>
        <v>128</v>
      </c>
      <c r="AP1253" t="s">
        <v>41</v>
      </c>
    </row>
    <row r="1254" spans="1:42">
      <c r="A1254" s="1">
        <v>43790</v>
      </c>
      <c r="B1254">
        <v>4</v>
      </c>
      <c r="C1254">
        <v>310</v>
      </c>
      <c r="D1254"/>
      <c r="E1254" t="s">
        <v>37</v>
      </c>
      <c r="F1254" t="s">
        <v>38</v>
      </c>
      <c r="G1254">
        <v>1</v>
      </c>
      <c r="H1254">
        <v>116</v>
      </c>
      <c r="I1254" s="25">
        <v>57</v>
      </c>
      <c r="K1254" t="s">
        <v>53</v>
      </c>
      <c r="N1254" t="s">
        <v>40</v>
      </c>
      <c r="O1254">
        <v>48</v>
      </c>
      <c r="Q1254">
        <f t="shared" si="45"/>
        <v>1</v>
      </c>
      <c r="R1254">
        <v>1</v>
      </c>
      <c r="S1254">
        <v>0</v>
      </c>
      <c r="T1254">
        <v>0</v>
      </c>
      <c r="U1254">
        <v>0</v>
      </c>
      <c r="V1254">
        <v>1</v>
      </c>
      <c r="W1254">
        <v>0</v>
      </c>
      <c r="X1254" s="21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f t="shared" si="46"/>
        <v>64</v>
      </c>
      <c r="AP1254" t="s">
        <v>41</v>
      </c>
    </row>
    <row r="1255" spans="1:42">
      <c r="A1255" s="1">
        <v>43790</v>
      </c>
      <c r="B1255">
        <v>4</v>
      </c>
      <c r="C1255">
        <v>310</v>
      </c>
      <c r="D1255"/>
      <c r="E1255" t="s">
        <v>37</v>
      </c>
      <c r="F1255" t="s">
        <v>38</v>
      </c>
      <c r="G1255">
        <v>1</v>
      </c>
      <c r="H1255">
        <v>117</v>
      </c>
      <c r="I1255" s="25">
        <v>305</v>
      </c>
      <c r="K1255" t="s">
        <v>48</v>
      </c>
      <c r="N1255" t="s">
        <v>40</v>
      </c>
      <c r="O1255">
        <v>52</v>
      </c>
      <c r="Q1255">
        <f t="shared" si="45"/>
        <v>2</v>
      </c>
      <c r="R1255">
        <v>1</v>
      </c>
      <c r="S1255">
        <v>0</v>
      </c>
      <c r="T1255">
        <v>0</v>
      </c>
      <c r="U1255">
        <v>2</v>
      </c>
      <c r="V1255">
        <v>0</v>
      </c>
      <c r="W1255">
        <v>0</v>
      </c>
      <c r="X1255" s="21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f t="shared" si="46"/>
        <v>64</v>
      </c>
      <c r="AP1255" t="s">
        <v>41</v>
      </c>
    </row>
    <row r="1256" spans="1:42">
      <c r="A1256" s="1">
        <v>43790</v>
      </c>
      <c r="B1256">
        <v>4</v>
      </c>
      <c r="C1256">
        <v>310</v>
      </c>
      <c r="D1256"/>
      <c r="E1256" t="s">
        <v>37</v>
      </c>
      <c r="F1256" t="s">
        <v>38</v>
      </c>
      <c r="G1256">
        <v>1</v>
      </c>
      <c r="H1256">
        <v>118</v>
      </c>
      <c r="I1256" s="25">
        <v>323</v>
      </c>
      <c r="K1256" t="s">
        <v>48</v>
      </c>
      <c r="N1256" t="s">
        <v>40</v>
      </c>
      <c r="O1256">
        <v>52</v>
      </c>
      <c r="Q1256">
        <f t="shared" si="45"/>
        <v>0</v>
      </c>
      <c r="R1256">
        <v>1</v>
      </c>
      <c r="S1256">
        <v>0</v>
      </c>
      <c r="T1256">
        <v>0</v>
      </c>
      <c r="U1256">
        <v>0</v>
      </c>
      <c r="V1256">
        <v>0</v>
      </c>
      <c r="W1256">
        <v>0</v>
      </c>
      <c r="X1256" s="21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f t="shared" si="46"/>
        <v>0</v>
      </c>
      <c r="AP1256" t="s">
        <v>41</v>
      </c>
    </row>
    <row r="1257" spans="1:42">
      <c r="A1257" s="1">
        <v>43790</v>
      </c>
      <c r="B1257">
        <v>4</v>
      </c>
      <c r="C1257">
        <v>310</v>
      </c>
      <c r="D1257"/>
      <c r="E1257" t="s">
        <v>37</v>
      </c>
      <c r="F1257" t="s">
        <v>38</v>
      </c>
      <c r="G1257">
        <v>1</v>
      </c>
      <c r="H1257">
        <v>119</v>
      </c>
      <c r="I1257" s="25">
        <v>453</v>
      </c>
      <c r="K1257" t="s">
        <v>46</v>
      </c>
      <c r="N1257" t="s">
        <v>40</v>
      </c>
      <c r="O1257">
        <v>59</v>
      </c>
      <c r="Q1257">
        <f t="shared" si="45"/>
        <v>2</v>
      </c>
      <c r="R1257">
        <v>1</v>
      </c>
      <c r="S1257">
        <v>0</v>
      </c>
      <c r="T1257">
        <v>0</v>
      </c>
      <c r="U1257">
        <v>2</v>
      </c>
      <c r="V1257">
        <v>0</v>
      </c>
      <c r="W1257">
        <v>0</v>
      </c>
      <c r="X1257" s="21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f t="shared" si="46"/>
        <v>64</v>
      </c>
      <c r="AP1257" t="s">
        <v>41</v>
      </c>
    </row>
    <row r="1258" spans="1:42">
      <c r="A1258" s="1">
        <v>43790</v>
      </c>
      <c r="B1258">
        <v>4</v>
      </c>
      <c r="C1258">
        <v>310</v>
      </c>
      <c r="D1258"/>
      <c r="E1258" t="s">
        <v>37</v>
      </c>
      <c r="F1258" t="s">
        <v>38</v>
      </c>
      <c r="G1258">
        <v>1</v>
      </c>
      <c r="H1258">
        <v>120</v>
      </c>
      <c r="I1258" s="25">
        <v>429</v>
      </c>
      <c r="K1258" t="s">
        <v>46</v>
      </c>
      <c r="N1258" t="s">
        <v>40</v>
      </c>
      <c r="O1258">
        <v>52</v>
      </c>
      <c r="Q1258">
        <f t="shared" si="45"/>
        <v>1</v>
      </c>
      <c r="R1258">
        <v>1</v>
      </c>
      <c r="S1258">
        <v>0</v>
      </c>
      <c r="T1258">
        <v>0</v>
      </c>
      <c r="U1258">
        <v>0</v>
      </c>
      <c r="V1258">
        <v>1</v>
      </c>
      <c r="W1258">
        <v>0</v>
      </c>
      <c r="X1258" s="21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f t="shared" si="46"/>
        <v>64</v>
      </c>
      <c r="AP1258" t="s">
        <v>41</v>
      </c>
    </row>
    <row r="1259" spans="1:42">
      <c r="A1259" s="1">
        <v>43790</v>
      </c>
      <c r="B1259">
        <v>4</v>
      </c>
      <c r="C1259">
        <v>310</v>
      </c>
      <c r="D1259"/>
      <c r="E1259" t="s">
        <v>37</v>
      </c>
      <c r="F1259" t="s">
        <v>38</v>
      </c>
      <c r="G1259">
        <v>1</v>
      </c>
      <c r="H1259">
        <v>121</v>
      </c>
      <c r="I1259" s="25">
        <v>445</v>
      </c>
      <c r="K1259" t="s">
        <v>46</v>
      </c>
      <c r="N1259" t="s">
        <v>40</v>
      </c>
      <c r="O1259">
        <v>52</v>
      </c>
      <c r="Q1259">
        <f t="shared" si="45"/>
        <v>2</v>
      </c>
      <c r="R1259">
        <v>1</v>
      </c>
      <c r="S1259">
        <v>0</v>
      </c>
      <c r="T1259">
        <v>0</v>
      </c>
      <c r="U1259">
        <v>0</v>
      </c>
      <c r="V1259">
        <v>2</v>
      </c>
      <c r="W1259">
        <v>0</v>
      </c>
      <c r="X1259" s="21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f t="shared" si="46"/>
        <v>128</v>
      </c>
      <c r="AP1259" t="s">
        <v>41</v>
      </c>
    </row>
    <row r="1260" spans="1:42">
      <c r="A1260" s="1">
        <v>43790</v>
      </c>
      <c r="B1260">
        <v>4</v>
      </c>
      <c r="C1260">
        <v>310</v>
      </c>
      <c r="D1260"/>
      <c r="E1260" t="s">
        <v>37</v>
      </c>
      <c r="F1260" t="s">
        <v>38</v>
      </c>
      <c r="G1260">
        <v>1</v>
      </c>
      <c r="H1260">
        <v>122</v>
      </c>
      <c r="I1260" s="25">
        <v>0</v>
      </c>
      <c r="K1260" t="s">
        <v>81</v>
      </c>
      <c r="N1260" t="s">
        <v>40</v>
      </c>
      <c r="O1260">
        <v>31</v>
      </c>
      <c r="Q1260">
        <f t="shared" si="45"/>
        <v>1</v>
      </c>
      <c r="R1260">
        <v>1</v>
      </c>
      <c r="S1260">
        <v>0</v>
      </c>
      <c r="T1260">
        <v>0</v>
      </c>
      <c r="U1260">
        <v>0</v>
      </c>
      <c r="V1260">
        <v>1</v>
      </c>
      <c r="W1260">
        <v>0</v>
      </c>
      <c r="X1260" s="21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f t="shared" si="46"/>
        <v>64</v>
      </c>
      <c r="AP1260" t="s">
        <v>41</v>
      </c>
    </row>
    <row r="1261" spans="1:42">
      <c r="A1261" s="1">
        <v>43790</v>
      </c>
      <c r="B1261">
        <v>4</v>
      </c>
      <c r="C1261">
        <v>310</v>
      </c>
      <c r="D1261"/>
      <c r="E1261" t="s">
        <v>37</v>
      </c>
      <c r="F1261" t="s">
        <v>38</v>
      </c>
      <c r="G1261">
        <v>1</v>
      </c>
      <c r="H1261">
        <v>123</v>
      </c>
      <c r="I1261" s="25">
        <v>31</v>
      </c>
      <c r="K1261" t="s">
        <v>46</v>
      </c>
      <c r="N1261" t="s">
        <v>40</v>
      </c>
      <c r="O1261">
        <v>31</v>
      </c>
      <c r="Q1261">
        <f t="shared" si="45"/>
        <v>1</v>
      </c>
      <c r="R1261">
        <v>1</v>
      </c>
      <c r="S1261">
        <v>0</v>
      </c>
      <c r="T1261">
        <v>0</v>
      </c>
      <c r="U1261">
        <v>0</v>
      </c>
      <c r="V1261">
        <v>1</v>
      </c>
      <c r="W1261">
        <v>0</v>
      </c>
      <c r="X1261" s="2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f t="shared" si="46"/>
        <v>64</v>
      </c>
      <c r="AP1261" t="s">
        <v>41</v>
      </c>
    </row>
    <row r="1262" spans="1:42">
      <c r="A1262" s="1">
        <v>43790</v>
      </c>
      <c r="B1262">
        <v>4</v>
      </c>
      <c r="C1262">
        <v>310</v>
      </c>
      <c r="D1262"/>
      <c r="E1262" t="s">
        <v>37</v>
      </c>
      <c r="F1262" t="s">
        <v>38</v>
      </c>
      <c r="G1262">
        <v>1</v>
      </c>
      <c r="H1262">
        <v>124</v>
      </c>
      <c r="I1262" s="25">
        <v>25</v>
      </c>
      <c r="K1262" t="s">
        <v>46</v>
      </c>
      <c r="N1262" t="s">
        <v>40</v>
      </c>
      <c r="O1262">
        <v>66</v>
      </c>
      <c r="Q1262">
        <f t="shared" si="45"/>
        <v>1</v>
      </c>
      <c r="R1262">
        <v>1</v>
      </c>
      <c r="S1262">
        <v>0</v>
      </c>
      <c r="T1262">
        <v>0</v>
      </c>
      <c r="U1262">
        <v>0</v>
      </c>
      <c r="V1262">
        <v>1</v>
      </c>
      <c r="W1262">
        <v>0</v>
      </c>
      <c r="X1262" s="21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f t="shared" si="46"/>
        <v>64</v>
      </c>
      <c r="AP1262" t="s">
        <v>41</v>
      </c>
    </row>
    <row r="1263" spans="1:42">
      <c r="A1263" s="1">
        <v>43790</v>
      </c>
      <c r="B1263">
        <v>4</v>
      </c>
      <c r="C1263">
        <v>310</v>
      </c>
      <c r="D1263"/>
      <c r="E1263" t="s">
        <v>37</v>
      </c>
      <c r="F1263" t="s">
        <v>38</v>
      </c>
      <c r="G1263">
        <v>1</v>
      </c>
      <c r="H1263">
        <v>125</v>
      </c>
      <c r="I1263" s="25">
        <v>380</v>
      </c>
      <c r="K1263" t="s">
        <v>46</v>
      </c>
      <c r="N1263" t="s">
        <v>40</v>
      </c>
      <c r="O1263">
        <v>66</v>
      </c>
      <c r="Q1263">
        <f t="shared" si="45"/>
        <v>3</v>
      </c>
      <c r="R1263">
        <v>1</v>
      </c>
      <c r="S1263">
        <v>0</v>
      </c>
      <c r="T1263">
        <v>0</v>
      </c>
      <c r="U1263">
        <v>3</v>
      </c>
      <c r="V1263">
        <v>0</v>
      </c>
      <c r="W1263">
        <v>0</v>
      </c>
      <c r="X1263" s="21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f t="shared" si="46"/>
        <v>96</v>
      </c>
      <c r="AP1263" t="s">
        <v>41</v>
      </c>
    </row>
    <row r="1264" spans="1:42">
      <c r="A1264" s="1">
        <v>43790</v>
      </c>
      <c r="B1264">
        <v>4</v>
      </c>
      <c r="C1264">
        <v>310</v>
      </c>
      <c r="D1264"/>
      <c r="E1264" t="s">
        <v>37</v>
      </c>
      <c r="F1264" t="s">
        <v>38</v>
      </c>
      <c r="G1264">
        <v>1</v>
      </c>
      <c r="H1264">
        <v>126</v>
      </c>
      <c r="I1264" s="25">
        <v>374</v>
      </c>
      <c r="K1264" t="s">
        <v>46</v>
      </c>
      <c r="N1264" t="s">
        <v>40</v>
      </c>
      <c r="O1264">
        <v>66</v>
      </c>
      <c r="Q1264">
        <f t="shared" si="45"/>
        <v>2</v>
      </c>
      <c r="R1264">
        <v>1</v>
      </c>
      <c r="S1264">
        <v>0</v>
      </c>
      <c r="T1264">
        <v>0</v>
      </c>
      <c r="U1264">
        <v>0</v>
      </c>
      <c r="V1264">
        <v>2</v>
      </c>
      <c r="W1264">
        <v>0</v>
      </c>
      <c r="X1264" s="21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f t="shared" si="46"/>
        <v>128</v>
      </c>
      <c r="AL1264" t="s">
        <v>67</v>
      </c>
      <c r="AP1264" t="s">
        <v>41</v>
      </c>
    </row>
    <row r="1265" spans="1:42">
      <c r="A1265" s="1">
        <v>43790</v>
      </c>
      <c r="B1265">
        <v>4</v>
      </c>
      <c r="C1265">
        <v>310</v>
      </c>
      <c r="D1265"/>
      <c r="E1265" t="s">
        <v>37</v>
      </c>
      <c r="F1265" t="s">
        <v>38</v>
      </c>
      <c r="G1265">
        <v>1</v>
      </c>
      <c r="H1265">
        <v>127</v>
      </c>
      <c r="I1265" s="25">
        <v>22</v>
      </c>
      <c r="K1265" t="s">
        <v>82</v>
      </c>
      <c r="N1265" t="s">
        <v>40</v>
      </c>
      <c r="O1265">
        <v>66</v>
      </c>
      <c r="Q1265">
        <f t="shared" si="45"/>
        <v>1</v>
      </c>
      <c r="R1265">
        <v>1</v>
      </c>
      <c r="S1265">
        <v>0</v>
      </c>
      <c r="T1265">
        <v>0</v>
      </c>
      <c r="U1265">
        <v>0</v>
      </c>
      <c r="V1265">
        <v>1</v>
      </c>
      <c r="W1265">
        <v>0</v>
      </c>
      <c r="X1265" s="21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f t="shared" si="46"/>
        <v>64</v>
      </c>
      <c r="AP1265" t="s">
        <v>41</v>
      </c>
    </row>
    <row r="1266" spans="1:42">
      <c r="A1266" s="1">
        <v>43790</v>
      </c>
      <c r="B1266">
        <v>4</v>
      </c>
      <c r="C1266">
        <v>310</v>
      </c>
      <c r="D1266"/>
      <c r="E1266" t="s">
        <v>37</v>
      </c>
      <c r="F1266" t="s">
        <v>38</v>
      </c>
      <c r="G1266">
        <v>1</v>
      </c>
      <c r="H1266">
        <v>128</v>
      </c>
      <c r="I1266" s="25">
        <v>28</v>
      </c>
      <c r="K1266" t="s">
        <v>82</v>
      </c>
      <c r="N1266" t="s">
        <v>40</v>
      </c>
      <c r="O1266">
        <v>66</v>
      </c>
      <c r="Q1266">
        <f t="shared" si="45"/>
        <v>1</v>
      </c>
      <c r="R1266">
        <v>1</v>
      </c>
      <c r="S1266">
        <v>0</v>
      </c>
      <c r="T1266">
        <v>0</v>
      </c>
      <c r="U1266">
        <v>0</v>
      </c>
      <c r="V1266">
        <v>1</v>
      </c>
      <c r="W1266">
        <v>0</v>
      </c>
      <c r="X1266" s="21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f t="shared" si="46"/>
        <v>64</v>
      </c>
      <c r="AP1266" t="s">
        <v>41</v>
      </c>
    </row>
    <row r="1267" spans="1:42">
      <c r="A1267" s="1">
        <v>43790</v>
      </c>
      <c r="B1267">
        <v>4</v>
      </c>
      <c r="C1267">
        <v>310</v>
      </c>
      <c r="D1267"/>
      <c r="E1267" t="s">
        <v>37</v>
      </c>
      <c r="F1267" t="s">
        <v>38</v>
      </c>
      <c r="G1267">
        <v>1</v>
      </c>
      <c r="H1267">
        <v>129</v>
      </c>
      <c r="I1267" s="25">
        <v>44</v>
      </c>
      <c r="K1267" t="s">
        <v>82</v>
      </c>
      <c r="N1267" t="s">
        <v>40</v>
      </c>
      <c r="O1267">
        <v>66</v>
      </c>
      <c r="Q1267">
        <f t="shared" si="45"/>
        <v>1</v>
      </c>
      <c r="R1267">
        <v>1</v>
      </c>
      <c r="S1267">
        <v>0</v>
      </c>
      <c r="T1267">
        <v>0</v>
      </c>
      <c r="U1267">
        <v>0</v>
      </c>
      <c r="V1267">
        <v>1</v>
      </c>
      <c r="W1267">
        <v>0</v>
      </c>
      <c r="X1267" s="21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f t="shared" si="46"/>
        <v>64</v>
      </c>
      <c r="AP1267" t="s">
        <v>41</v>
      </c>
    </row>
    <row r="1268" spans="1:42">
      <c r="A1268" s="1">
        <v>43790</v>
      </c>
      <c r="B1268">
        <v>4</v>
      </c>
      <c r="C1268">
        <v>310</v>
      </c>
      <c r="D1268"/>
      <c r="E1268" t="s">
        <v>37</v>
      </c>
      <c r="F1268" t="s">
        <v>38</v>
      </c>
      <c r="G1268">
        <v>1</v>
      </c>
      <c r="H1268">
        <v>130</v>
      </c>
      <c r="I1268" s="25">
        <v>52</v>
      </c>
      <c r="K1268" t="s">
        <v>82</v>
      </c>
      <c r="N1268" t="s">
        <v>40</v>
      </c>
      <c r="O1268">
        <v>66</v>
      </c>
      <c r="Q1268">
        <f t="shared" si="45"/>
        <v>1</v>
      </c>
      <c r="R1268">
        <v>1</v>
      </c>
      <c r="S1268">
        <v>0</v>
      </c>
      <c r="T1268">
        <v>0</v>
      </c>
      <c r="U1268">
        <v>0</v>
      </c>
      <c r="V1268">
        <v>1</v>
      </c>
      <c r="W1268">
        <v>0</v>
      </c>
      <c r="X1268" s="21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f t="shared" si="46"/>
        <v>64</v>
      </c>
      <c r="AP1268" t="s">
        <v>41</v>
      </c>
    </row>
    <row r="1269" spans="1:42">
      <c r="A1269" s="1">
        <v>43790</v>
      </c>
      <c r="B1269">
        <v>4</v>
      </c>
      <c r="C1269">
        <v>310</v>
      </c>
      <c r="D1269"/>
      <c r="E1269" t="s">
        <v>37</v>
      </c>
      <c r="F1269" t="s">
        <v>38</v>
      </c>
      <c r="G1269">
        <v>1</v>
      </c>
      <c r="H1269">
        <v>131</v>
      </c>
      <c r="I1269" s="25">
        <v>333</v>
      </c>
      <c r="K1269" t="s">
        <v>46</v>
      </c>
      <c r="N1269" t="s">
        <v>44</v>
      </c>
      <c r="O1269">
        <v>292</v>
      </c>
      <c r="Q1269">
        <f t="shared" si="45"/>
        <v>14</v>
      </c>
      <c r="R1269">
        <v>1</v>
      </c>
      <c r="S1269">
        <v>0</v>
      </c>
      <c r="T1269">
        <v>0</v>
      </c>
      <c r="U1269">
        <v>0</v>
      </c>
      <c r="V1269">
        <v>14</v>
      </c>
      <c r="W1269">
        <v>0</v>
      </c>
      <c r="X1269" s="21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f t="shared" si="46"/>
        <v>896</v>
      </c>
      <c r="AP1269" t="s">
        <v>41</v>
      </c>
    </row>
    <row r="1270" spans="1:42">
      <c r="A1270" s="1">
        <v>43790</v>
      </c>
      <c r="B1270">
        <v>4</v>
      </c>
      <c r="C1270">
        <v>310</v>
      </c>
      <c r="D1270"/>
      <c r="E1270" t="s">
        <v>37</v>
      </c>
      <c r="F1270" t="s">
        <v>38</v>
      </c>
      <c r="G1270">
        <v>1</v>
      </c>
      <c r="H1270">
        <v>132</v>
      </c>
      <c r="I1270" s="25">
        <v>110</v>
      </c>
      <c r="K1270" t="s">
        <v>49</v>
      </c>
      <c r="N1270" t="s">
        <v>40</v>
      </c>
      <c r="O1270">
        <v>37</v>
      </c>
      <c r="Q1270">
        <f t="shared" si="45"/>
        <v>1</v>
      </c>
      <c r="R1270">
        <v>1</v>
      </c>
      <c r="S1270">
        <v>0</v>
      </c>
      <c r="T1270">
        <v>0</v>
      </c>
      <c r="U1270">
        <v>0</v>
      </c>
      <c r="V1270">
        <v>1</v>
      </c>
      <c r="W1270">
        <v>0</v>
      </c>
      <c r="X1270" s="21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f t="shared" si="46"/>
        <v>64</v>
      </c>
      <c r="AP1270" t="s">
        <v>41</v>
      </c>
    </row>
    <row r="1271" spans="1:42">
      <c r="A1271" s="1">
        <v>43790</v>
      </c>
      <c r="B1271">
        <v>4</v>
      </c>
      <c r="C1271">
        <v>310</v>
      </c>
      <c r="D1271"/>
      <c r="E1271" t="s">
        <v>37</v>
      </c>
      <c r="F1271" t="s">
        <v>38</v>
      </c>
      <c r="G1271">
        <v>1</v>
      </c>
      <c r="H1271">
        <v>133</v>
      </c>
      <c r="I1271" s="25">
        <v>126</v>
      </c>
      <c r="K1271" t="s">
        <v>49</v>
      </c>
      <c r="N1271" t="s">
        <v>40</v>
      </c>
      <c r="O1271">
        <v>37</v>
      </c>
      <c r="Q1271">
        <f t="shared" si="45"/>
        <v>2</v>
      </c>
      <c r="R1271">
        <v>1</v>
      </c>
      <c r="S1271">
        <v>0</v>
      </c>
      <c r="T1271">
        <v>0</v>
      </c>
      <c r="U1271">
        <v>0</v>
      </c>
      <c r="V1271">
        <v>2</v>
      </c>
      <c r="W1271">
        <v>0</v>
      </c>
      <c r="X1271" s="2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f t="shared" si="46"/>
        <v>128</v>
      </c>
      <c r="AP1271" t="s">
        <v>41</v>
      </c>
    </row>
    <row r="1272" spans="1:42">
      <c r="A1272" s="1">
        <v>43790</v>
      </c>
      <c r="B1272">
        <v>4</v>
      </c>
      <c r="C1272">
        <v>310</v>
      </c>
      <c r="D1272"/>
      <c r="E1272" t="s">
        <v>37</v>
      </c>
      <c r="F1272" t="s">
        <v>38</v>
      </c>
      <c r="G1272">
        <v>1</v>
      </c>
      <c r="H1272">
        <v>134</v>
      </c>
      <c r="I1272" s="25">
        <v>240</v>
      </c>
      <c r="K1272" t="s">
        <v>39</v>
      </c>
      <c r="N1272" t="s">
        <v>40</v>
      </c>
      <c r="O1272">
        <v>162</v>
      </c>
      <c r="Q1272">
        <f t="shared" si="45"/>
        <v>3</v>
      </c>
      <c r="R1272">
        <v>1</v>
      </c>
      <c r="S1272">
        <v>0</v>
      </c>
      <c r="T1272">
        <v>0</v>
      </c>
      <c r="U1272">
        <v>0</v>
      </c>
      <c r="V1272">
        <v>3</v>
      </c>
      <c r="W1272">
        <v>0</v>
      </c>
      <c r="X1272" s="21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f t="shared" si="46"/>
        <v>192</v>
      </c>
      <c r="AP1272" t="s">
        <v>41</v>
      </c>
    </row>
    <row r="1273" spans="1:42">
      <c r="A1273" s="1">
        <v>43790</v>
      </c>
      <c r="B1273">
        <v>4</v>
      </c>
      <c r="C1273">
        <v>310</v>
      </c>
      <c r="D1273"/>
      <c r="E1273" t="s">
        <v>37</v>
      </c>
      <c r="F1273" t="s">
        <v>38</v>
      </c>
      <c r="G1273">
        <v>1</v>
      </c>
      <c r="H1273">
        <v>135</v>
      </c>
      <c r="I1273" s="25">
        <v>240</v>
      </c>
      <c r="K1273" t="s">
        <v>39</v>
      </c>
      <c r="N1273" t="s">
        <v>40</v>
      </c>
      <c r="O1273">
        <v>123</v>
      </c>
      <c r="Q1273">
        <f t="shared" si="45"/>
        <v>3</v>
      </c>
      <c r="R1273">
        <v>1</v>
      </c>
      <c r="S1273">
        <v>0</v>
      </c>
      <c r="T1273">
        <v>0</v>
      </c>
      <c r="U1273">
        <v>0</v>
      </c>
      <c r="V1273">
        <v>3</v>
      </c>
      <c r="W1273">
        <v>0</v>
      </c>
      <c r="X1273" s="21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f t="shared" si="46"/>
        <v>192</v>
      </c>
      <c r="AP1273" t="s">
        <v>41</v>
      </c>
    </row>
    <row r="1274" spans="1:42">
      <c r="A1274" s="1">
        <v>43790</v>
      </c>
      <c r="B1274">
        <v>4</v>
      </c>
      <c r="C1274">
        <v>310</v>
      </c>
      <c r="D1274"/>
      <c r="E1274" t="s">
        <v>37</v>
      </c>
      <c r="F1274" t="s">
        <v>38</v>
      </c>
      <c r="G1274">
        <v>1</v>
      </c>
      <c r="H1274">
        <v>136</v>
      </c>
      <c r="I1274" s="25">
        <v>264</v>
      </c>
      <c r="K1274" t="s">
        <v>39</v>
      </c>
      <c r="N1274" t="s">
        <v>40</v>
      </c>
      <c r="O1274">
        <v>58</v>
      </c>
      <c r="Q1274">
        <f t="shared" si="45"/>
        <v>2</v>
      </c>
      <c r="R1274">
        <v>1</v>
      </c>
      <c r="S1274">
        <v>0</v>
      </c>
      <c r="T1274">
        <v>0</v>
      </c>
      <c r="U1274">
        <v>0</v>
      </c>
      <c r="V1274">
        <v>2</v>
      </c>
      <c r="W1274">
        <v>0</v>
      </c>
      <c r="X1274" s="21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f t="shared" si="46"/>
        <v>128</v>
      </c>
      <c r="AP1274" t="s">
        <v>41</v>
      </c>
    </row>
    <row r="1275" spans="1:42">
      <c r="A1275" s="1">
        <v>43790</v>
      </c>
      <c r="B1275">
        <v>4</v>
      </c>
      <c r="C1275">
        <v>310</v>
      </c>
      <c r="D1275"/>
      <c r="E1275" t="s">
        <v>37</v>
      </c>
      <c r="F1275" t="s">
        <v>38</v>
      </c>
      <c r="G1275">
        <v>1</v>
      </c>
      <c r="H1275">
        <v>137</v>
      </c>
      <c r="I1275" s="25">
        <v>260</v>
      </c>
      <c r="K1275" t="s">
        <v>39</v>
      </c>
      <c r="N1275" t="s">
        <v>40</v>
      </c>
      <c r="O1275">
        <v>58</v>
      </c>
      <c r="Q1275">
        <f t="shared" si="45"/>
        <v>0</v>
      </c>
      <c r="R1275">
        <v>1</v>
      </c>
      <c r="S1275">
        <v>0</v>
      </c>
      <c r="T1275">
        <v>0</v>
      </c>
      <c r="U1275">
        <v>0</v>
      </c>
      <c r="V1275">
        <v>0</v>
      </c>
      <c r="W1275">
        <v>0</v>
      </c>
      <c r="X1275" s="21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f t="shared" si="46"/>
        <v>0</v>
      </c>
      <c r="AP1275" t="s">
        <v>41</v>
      </c>
    </row>
    <row r="1276" spans="1:42">
      <c r="A1276" s="1">
        <v>43790</v>
      </c>
      <c r="B1276">
        <v>4</v>
      </c>
      <c r="C1276">
        <v>310</v>
      </c>
      <c r="D1276"/>
      <c r="E1276" t="s">
        <v>37</v>
      </c>
      <c r="F1276" t="s">
        <v>38</v>
      </c>
      <c r="G1276">
        <v>1</v>
      </c>
      <c r="H1276">
        <v>138</v>
      </c>
      <c r="I1276" s="25">
        <v>308</v>
      </c>
      <c r="K1276" t="s">
        <v>39</v>
      </c>
      <c r="N1276" t="s">
        <v>40</v>
      </c>
      <c r="O1276">
        <v>23</v>
      </c>
      <c r="Q1276">
        <f t="shared" si="45"/>
        <v>1</v>
      </c>
      <c r="R1276">
        <v>1</v>
      </c>
      <c r="S1276">
        <v>0</v>
      </c>
      <c r="T1276">
        <v>0</v>
      </c>
      <c r="U1276">
        <v>1</v>
      </c>
      <c r="V1276">
        <v>0</v>
      </c>
      <c r="W1276">
        <v>0</v>
      </c>
      <c r="X1276" s="21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f t="shared" si="46"/>
        <v>32</v>
      </c>
      <c r="AP1276" t="s">
        <v>41</v>
      </c>
    </row>
    <row r="1277" spans="1:42">
      <c r="A1277" s="1">
        <v>43790</v>
      </c>
      <c r="B1277">
        <v>4</v>
      </c>
      <c r="C1277">
        <v>310</v>
      </c>
      <c r="D1277"/>
      <c r="E1277" t="s">
        <v>37</v>
      </c>
      <c r="F1277" t="s">
        <v>38</v>
      </c>
      <c r="G1277">
        <v>1</v>
      </c>
      <c r="H1277">
        <v>139</v>
      </c>
      <c r="I1277" s="25">
        <v>312</v>
      </c>
      <c r="K1277" t="s">
        <v>39</v>
      </c>
      <c r="N1277" t="s">
        <v>40</v>
      </c>
      <c r="O1277">
        <v>23</v>
      </c>
      <c r="Q1277">
        <f t="shared" si="45"/>
        <v>1</v>
      </c>
      <c r="R1277">
        <v>1</v>
      </c>
      <c r="S1277">
        <v>0</v>
      </c>
      <c r="T1277">
        <v>0</v>
      </c>
      <c r="U1277">
        <v>1</v>
      </c>
      <c r="V1277">
        <v>0</v>
      </c>
      <c r="W1277">
        <v>0</v>
      </c>
      <c r="X1277" s="21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f t="shared" si="46"/>
        <v>32</v>
      </c>
      <c r="AP1277" t="s">
        <v>41</v>
      </c>
    </row>
    <row r="1278" spans="1:42">
      <c r="A1278" s="1">
        <v>43790</v>
      </c>
      <c r="B1278">
        <v>4</v>
      </c>
      <c r="C1278">
        <v>310</v>
      </c>
      <c r="D1278"/>
      <c r="E1278" t="s">
        <v>37</v>
      </c>
      <c r="F1278" t="s">
        <v>38</v>
      </c>
      <c r="G1278">
        <v>1</v>
      </c>
      <c r="H1278">
        <v>140</v>
      </c>
      <c r="I1278" s="25">
        <v>322</v>
      </c>
      <c r="K1278" t="s">
        <v>39</v>
      </c>
      <c r="N1278" t="s">
        <v>40</v>
      </c>
      <c r="O1278">
        <v>43</v>
      </c>
      <c r="Q1278">
        <f t="shared" si="45"/>
        <v>1</v>
      </c>
      <c r="R1278">
        <v>1</v>
      </c>
      <c r="S1278">
        <v>0</v>
      </c>
      <c r="T1278">
        <v>0</v>
      </c>
      <c r="U1278">
        <v>0</v>
      </c>
      <c r="V1278">
        <v>1</v>
      </c>
      <c r="W1278">
        <v>0</v>
      </c>
      <c r="X1278" s="21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f t="shared" si="46"/>
        <v>64</v>
      </c>
      <c r="AP1278" t="s">
        <v>41</v>
      </c>
    </row>
    <row r="1279" spans="1:42">
      <c r="A1279" s="1">
        <v>43790</v>
      </c>
      <c r="B1279">
        <v>4</v>
      </c>
      <c r="C1279">
        <v>310</v>
      </c>
      <c r="D1279"/>
      <c r="E1279" t="s">
        <v>37</v>
      </c>
      <c r="F1279" t="s">
        <v>38</v>
      </c>
      <c r="G1279">
        <v>1</v>
      </c>
      <c r="H1279">
        <v>141</v>
      </c>
      <c r="I1279" s="25">
        <v>356</v>
      </c>
      <c r="K1279" t="s">
        <v>39</v>
      </c>
      <c r="N1279" t="s">
        <v>40</v>
      </c>
      <c r="O1279">
        <v>56</v>
      </c>
      <c r="Q1279">
        <f t="shared" si="45"/>
        <v>1</v>
      </c>
      <c r="R1279">
        <v>1</v>
      </c>
      <c r="S1279">
        <v>0</v>
      </c>
      <c r="T1279">
        <v>0</v>
      </c>
      <c r="U1279">
        <v>1</v>
      </c>
      <c r="V1279">
        <v>0</v>
      </c>
      <c r="W1279">
        <v>0</v>
      </c>
      <c r="X1279" s="21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f t="shared" si="46"/>
        <v>32</v>
      </c>
      <c r="AP1279" t="s">
        <v>41</v>
      </c>
    </row>
    <row r="1280" spans="1:42">
      <c r="A1280" s="1">
        <v>43790</v>
      </c>
      <c r="B1280">
        <v>4</v>
      </c>
      <c r="C1280">
        <v>310</v>
      </c>
      <c r="D1280"/>
      <c r="E1280" t="s">
        <v>37</v>
      </c>
      <c r="F1280" t="s">
        <v>38</v>
      </c>
      <c r="G1280">
        <v>1</v>
      </c>
      <c r="H1280">
        <v>142</v>
      </c>
      <c r="I1280" s="25">
        <v>346</v>
      </c>
      <c r="K1280" t="s">
        <v>39</v>
      </c>
      <c r="N1280" t="s">
        <v>40</v>
      </c>
      <c r="O1280">
        <v>56</v>
      </c>
      <c r="Q1280">
        <f t="shared" si="45"/>
        <v>4</v>
      </c>
      <c r="R1280">
        <v>1</v>
      </c>
      <c r="S1280">
        <v>0</v>
      </c>
      <c r="T1280">
        <v>0</v>
      </c>
      <c r="U1280">
        <v>0</v>
      </c>
      <c r="V1280">
        <v>4</v>
      </c>
      <c r="W1280">
        <v>0</v>
      </c>
      <c r="X1280" s="21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f t="shared" si="46"/>
        <v>256</v>
      </c>
      <c r="AP1280" t="s">
        <v>41</v>
      </c>
    </row>
    <row r="1281" spans="1:42">
      <c r="A1281" s="1">
        <v>43790</v>
      </c>
      <c r="B1281">
        <v>4</v>
      </c>
      <c r="C1281">
        <v>310</v>
      </c>
      <c r="D1281"/>
      <c r="E1281" t="s">
        <v>37</v>
      </c>
      <c r="F1281" t="s">
        <v>38</v>
      </c>
      <c r="G1281">
        <v>1</v>
      </c>
      <c r="H1281">
        <v>143</v>
      </c>
      <c r="I1281" s="25">
        <v>555</v>
      </c>
      <c r="K1281" t="s">
        <v>69</v>
      </c>
      <c r="N1281" t="s">
        <v>44</v>
      </c>
      <c r="O1281">
        <v>300</v>
      </c>
      <c r="Q1281">
        <f t="shared" si="45"/>
        <v>4</v>
      </c>
      <c r="R1281">
        <v>1</v>
      </c>
      <c r="S1281">
        <v>0</v>
      </c>
      <c r="T1281">
        <v>0</v>
      </c>
      <c r="U1281">
        <v>0</v>
      </c>
      <c r="V1281">
        <v>4</v>
      </c>
      <c r="W1281">
        <v>0</v>
      </c>
      <c r="X1281" s="2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f t="shared" si="46"/>
        <v>256</v>
      </c>
      <c r="AL1281" t="s">
        <v>83</v>
      </c>
      <c r="AP1281" t="s">
        <v>41</v>
      </c>
    </row>
    <row r="1282" spans="1:42">
      <c r="A1282" s="1">
        <v>43790</v>
      </c>
      <c r="B1282">
        <v>4</v>
      </c>
      <c r="C1282">
        <v>310</v>
      </c>
      <c r="D1282"/>
      <c r="E1282" t="s">
        <v>37</v>
      </c>
      <c r="F1282" t="s">
        <v>38</v>
      </c>
      <c r="G1282">
        <v>1</v>
      </c>
      <c r="H1282">
        <v>144</v>
      </c>
      <c r="I1282" s="25">
        <v>600</v>
      </c>
      <c r="K1282" t="s">
        <v>71</v>
      </c>
      <c r="N1282" t="s">
        <v>44</v>
      </c>
      <c r="O1282">
        <v>199</v>
      </c>
      <c r="Q1282">
        <f t="shared" si="45"/>
        <v>4</v>
      </c>
      <c r="R1282">
        <v>1</v>
      </c>
      <c r="S1282">
        <v>0</v>
      </c>
      <c r="T1282">
        <v>0</v>
      </c>
      <c r="U1282">
        <v>0</v>
      </c>
      <c r="V1282">
        <v>4</v>
      </c>
      <c r="W1282">
        <v>0</v>
      </c>
      <c r="X1282" s="21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f t="shared" si="46"/>
        <v>256</v>
      </c>
      <c r="AP1282" t="s">
        <v>41</v>
      </c>
    </row>
    <row r="1283" spans="1:42">
      <c r="A1283" s="1">
        <v>43790</v>
      </c>
      <c r="B1283">
        <v>4</v>
      </c>
      <c r="C1283">
        <v>310</v>
      </c>
      <c r="D1283"/>
      <c r="E1283" t="s">
        <v>37</v>
      </c>
      <c r="F1283" t="s">
        <v>38</v>
      </c>
      <c r="G1283">
        <v>1</v>
      </c>
      <c r="H1283">
        <v>145</v>
      </c>
      <c r="I1283" s="25">
        <v>558</v>
      </c>
      <c r="K1283" t="s">
        <v>62</v>
      </c>
      <c r="N1283" t="s">
        <v>40</v>
      </c>
      <c r="O1283">
        <v>103</v>
      </c>
      <c r="Q1283">
        <f t="shared" si="45"/>
        <v>4</v>
      </c>
      <c r="R1283">
        <v>1</v>
      </c>
      <c r="S1283">
        <v>0</v>
      </c>
      <c r="T1283">
        <v>0</v>
      </c>
      <c r="U1283">
        <v>0</v>
      </c>
      <c r="V1283">
        <v>4</v>
      </c>
      <c r="W1283">
        <v>0</v>
      </c>
      <c r="X1283" s="21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f t="shared" si="46"/>
        <v>256</v>
      </c>
      <c r="AP1283" t="s">
        <v>41</v>
      </c>
    </row>
    <row r="1284" spans="1:42">
      <c r="A1284" s="1">
        <v>43790</v>
      </c>
      <c r="B1284">
        <v>4</v>
      </c>
      <c r="C1284">
        <v>310</v>
      </c>
      <c r="D1284"/>
      <c r="E1284" t="s">
        <v>37</v>
      </c>
      <c r="F1284" t="s">
        <v>38</v>
      </c>
      <c r="G1284">
        <v>1</v>
      </c>
      <c r="H1284">
        <v>146</v>
      </c>
      <c r="I1284" s="25">
        <v>400</v>
      </c>
      <c r="K1284" t="s">
        <v>71</v>
      </c>
      <c r="N1284" t="s">
        <v>40</v>
      </c>
      <c r="O1284">
        <v>70</v>
      </c>
      <c r="Q1284">
        <f t="shared" si="45"/>
        <v>3</v>
      </c>
      <c r="R1284">
        <v>1</v>
      </c>
      <c r="S1284">
        <v>0</v>
      </c>
      <c r="T1284">
        <v>0</v>
      </c>
      <c r="U1284">
        <v>0</v>
      </c>
      <c r="V1284">
        <v>3</v>
      </c>
      <c r="W1284">
        <v>0</v>
      </c>
      <c r="X1284" s="21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f t="shared" si="46"/>
        <v>192</v>
      </c>
      <c r="AP1284" t="s">
        <v>41</v>
      </c>
    </row>
    <row r="1285" spans="1:42">
      <c r="A1285" s="1">
        <v>43790</v>
      </c>
      <c r="B1285">
        <v>4</v>
      </c>
      <c r="C1285">
        <v>310</v>
      </c>
      <c r="D1285"/>
      <c r="E1285" t="s">
        <v>37</v>
      </c>
      <c r="F1285" t="s">
        <v>38</v>
      </c>
      <c r="G1285">
        <v>1</v>
      </c>
      <c r="H1285">
        <v>147</v>
      </c>
      <c r="I1285" s="25">
        <v>425</v>
      </c>
      <c r="K1285" t="s">
        <v>56</v>
      </c>
      <c r="N1285" t="s">
        <v>40</v>
      </c>
      <c r="O1285">
        <v>66</v>
      </c>
      <c r="Q1285">
        <f t="shared" si="45"/>
        <v>3</v>
      </c>
      <c r="R1285">
        <v>1</v>
      </c>
      <c r="S1285">
        <v>0</v>
      </c>
      <c r="T1285">
        <v>0</v>
      </c>
      <c r="U1285">
        <v>0</v>
      </c>
      <c r="V1285">
        <v>3</v>
      </c>
      <c r="W1285">
        <v>0</v>
      </c>
      <c r="X1285" s="21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f t="shared" si="46"/>
        <v>192</v>
      </c>
      <c r="AP1285" t="s">
        <v>41</v>
      </c>
    </row>
    <row r="1286" spans="1:42">
      <c r="A1286" s="1">
        <v>43790</v>
      </c>
      <c r="B1286">
        <v>4</v>
      </c>
      <c r="C1286">
        <v>310</v>
      </c>
      <c r="D1286"/>
      <c r="E1286" t="s">
        <v>37</v>
      </c>
      <c r="F1286" t="s">
        <v>38</v>
      </c>
      <c r="G1286">
        <v>1</v>
      </c>
      <c r="H1286">
        <v>148</v>
      </c>
      <c r="I1286" s="25">
        <v>220</v>
      </c>
      <c r="K1286" t="s">
        <v>58</v>
      </c>
      <c r="N1286" t="s">
        <v>40</v>
      </c>
      <c r="O1286">
        <v>66</v>
      </c>
      <c r="Q1286">
        <f t="shared" si="45"/>
        <v>0</v>
      </c>
      <c r="R1286">
        <v>1</v>
      </c>
      <c r="S1286">
        <v>0</v>
      </c>
      <c r="T1286">
        <v>0</v>
      </c>
      <c r="U1286">
        <v>0</v>
      </c>
      <c r="V1286">
        <v>0</v>
      </c>
      <c r="W1286">
        <v>0</v>
      </c>
      <c r="X1286" s="21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f t="shared" si="46"/>
        <v>0</v>
      </c>
      <c r="AP1286" t="s">
        <v>41</v>
      </c>
    </row>
    <row r="1287" spans="1:42">
      <c r="A1287" s="1">
        <v>43789</v>
      </c>
      <c r="B1287">
        <v>3</v>
      </c>
      <c r="C1287">
        <v>310</v>
      </c>
      <c r="D1287"/>
      <c r="E1287" t="s">
        <v>37</v>
      </c>
      <c r="F1287" t="s">
        <v>38</v>
      </c>
      <c r="G1287">
        <v>1</v>
      </c>
      <c r="H1287">
        <v>1</v>
      </c>
      <c r="I1287" s="25">
        <v>900</v>
      </c>
      <c r="K1287" t="s">
        <v>39</v>
      </c>
      <c r="N1287" t="s">
        <v>40</v>
      </c>
      <c r="O1287">
        <v>48</v>
      </c>
      <c r="Q1287">
        <f t="shared" si="45"/>
        <v>1</v>
      </c>
      <c r="R1287">
        <v>1</v>
      </c>
      <c r="S1287">
        <v>0</v>
      </c>
      <c r="T1287">
        <v>0</v>
      </c>
      <c r="U1287">
        <v>0</v>
      </c>
      <c r="V1287">
        <v>1</v>
      </c>
      <c r="W1287">
        <v>0</v>
      </c>
      <c r="X1287" s="21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f t="shared" si="46"/>
        <v>64</v>
      </c>
      <c r="AP1287" t="s">
        <v>41</v>
      </c>
    </row>
    <row r="1288" spans="1:42">
      <c r="A1288" s="1">
        <v>43789</v>
      </c>
      <c r="B1288">
        <v>3</v>
      </c>
      <c r="C1288">
        <v>310</v>
      </c>
      <c r="D1288"/>
      <c r="E1288" t="s">
        <v>37</v>
      </c>
      <c r="F1288" t="s">
        <v>38</v>
      </c>
      <c r="G1288">
        <v>1</v>
      </c>
      <c r="H1288">
        <v>2</v>
      </c>
      <c r="I1288" s="25">
        <v>125</v>
      </c>
      <c r="K1288" t="s">
        <v>39</v>
      </c>
      <c r="N1288" t="s">
        <v>40</v>
      </c>
      <c r="O1288">
        <v>63</v>
      </c>
      <c r="Q1288">
        <f t="shared" si="45"/>
        <v>3</v>
      </c>
      <c r="R1288">
        <v>1</v>
      </c>
      <c r="S1288">
        <v>0</v>
      </c>
      <c r="T1288">
        <v>0</v>
      </c>
      <c r="U1288">
        <v>0</v>
      </c>
      <c r="V1288">
        <v>3</v>
      </c>
      <c r="W1288">
        <v>0</v>
      </c>
      <c r="X1288" s="21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f t="shared" si="46"/>
        <v>192</v>
      </c>
      <c r="AP1288" t="s">
        <v>41</v>
      </c>
    </row>
    <row r="1289" spans="1:42">
      <c r="A1289" s="1">
        <v>43789</v>
      </c>
      <c r="B1289">
        <v>3</v>
      </c>
      <c r="C1289">
        <v>310</v>
      </c>
      <c r="D1289"/>
      <c r="E1289" t="s">
        <v>37</v>
      </c>
      <c r="F1289" t="s">
        <v>38</v>
      </c>
      <c r="G1289">
        <v>1</v>
      </c>
      <c r="H1289">
        <v>3</v>
      </c>
      <c r="I1289" s="25">
        <v>251</v>
      </c>
      <c r="K1289" t="s">
        <v>39</v>
      </c>
      <c r="N1289" t="s">
        <v>40</v>
      </c>
      <c r="O1289">
        <v>46</v>
      </c>
      <c r="Q1289">
        <f t="shared" si="45"/>
        <v>0</v>
      </c>
      <c r="R1289">
        <v>1</v>
      </c>
      <c r="S1289">
        <v>0</v>
      </c>
      <c r="T1289">
        <v>0</v>
      </c>
      <c r="U1289">
        <v>0</v>
      </c>
      <c r="V1289">
        <v>0</v>
      </c>
      <c r="W1289">
        <v>0</v>
      </c>
      <c r="X1289" s="21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f t="shared" si="46"/>
        <v>0</v>
      </c>
      <c r="AP1289" t="s">
        <v>41</v>
      </c>
    </row>
    <row r="1290" spans="1:42">
      <c r="A1290" s="1">
        <v>43789</v>
      </c>
      <c r="B1290">
        <v>3</v>
      </c>
      <c r="C1290">
        <v>310</v>
      </c>
      <c r="D1290"/>
      <c r="E1290" t="s">
        <v>37</v>
      </c>
      <c r="F1290" t="s">
        <v>38</v>
      </c>
      <c r="G1290">
        <v>1</v>
      </c>
      <c r="H1290">
        <v>4</v>
      </c>
      <c r="I1290" s="25">
        <v>357</v>
      </c>
      <c r="K1290" t="s">
        <v>39</v>
      </c>
      <c r="N1290" t="s">
        <v>40</v>
      </c>
      <c r="O1290">
        <v>67</v>
      </c>
      <c r="Q1290">
        <f t="shared" si="45"/>
        <v>0</v>
      </c>
      <c r="R1290">
        <v>1</v>
      </c>
      <c r="S1290">
        <v>0</v>
      </c>
      <c r="T1290">
        <v>0</v>
      </c>
      <c r="U1290">
        <v>0</v>
      </c>
      <c r="V1290">
        <v>0</v>
      </c>
      <c r="W1290">
        <v>0</v>
      </c>
      <c r="X1290" s="21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f t="shared" si="46"/>
        <v>0</v>
      </c>
      <c r="AP1290" t="s">
        <v>41</v>
      </c>
    </row>
    <row r="1291" spans="1:42">
      <c r="A1291" s="1">
        <v>43789</v>
      </c>
      <c r="B1291">
        <v>3</v>
      </c>
      <c r="C1291">
        <v>310</v>
      </c>
      <c r="D1291"/>
      <c r="E1291" t="s">
        <v>37</v>
      </c>
      <c r="F1291" t="s">
        <v>38</v>
      </c>
      <c r="G1291">
        <v>1</v>
      </c>
      <c r="H1291">
        <v>5</v>
      </c>
      <c r="I1291" s="25"/>
      <c r="K1291" t="s">
        <v>84</v>
      </c>
      <c r="N1291" t="s">
        <v>42</v>
      </c>
      <c r="O1291">
        <v>136</v>
      </c>
      <c r="Q1291">
        <f t="shared" si="45"/>
        <v>3</v>
      </c>
      <c r="R1291">
        <v>1</v>
      </c>
      <c r="S1291">
        <v>0</v>
      </c>
      <c r="T1291">
        <v>0</v>
      </c>
      <c r="U1291">
        <v>0</v>
      </c>
      <c r="V1291">
        <v>3</v>
      </c>
      <c r="W1291">
        <v>0</v>
      </c>
      <c r="X1291" s="2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f t="shared" si="46"/>
        <v>192</v>
      </c>
      <c r="AP1291" t="s">
        <v>41</v>
      </c>
    </row>
    <row r="1292" spans="1:42">
      <c r="A1292" s="1">
        <v>43789</v>
      </c>
      <c r="B1292">
        <v>3</v>
      </c>
      <c r="C1292">
        <v>310</v>
      </c>
      <c r="D1292"/>
      <c r="E1292" t="s">
        <v>37</v>
      </c>
      <c r="F1292" t="s">
        <v>38</v>
      </c>
      <c r="G1292">
        <v>1</v>
      </c>
      <c r="H1292">
        <v>6</v>
      </c>
      <c r="I1292" s="25">
        <v>650</v>
      </c>
      <c r="K1292" t="s">
        <v>46</v>
      </c>
      <c r="N1292" t="s">
        <v>44</v>
      </c>
      <c r="O1292">
        <v>90</v>
      </c>
      <c r="Q1292">
        <f t="shared" si="45"/>
        <v>1</v>
      </c>
      <c r="R1292">
        <v>1</v>
      </c>
      <c r="S1292">
        <v>0</v>
      </c>
      <c r="T1292">
        <v>0</v>
      </c>
      <c r="U1292">
        <v>0</v>
      </c>
      <c r="V1292">
        <v>1</v>
      </c>
      <c r="W1292">
        <v>0</v>
      </c>
      <c r="X1292" s="21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f t="shared" si="46"/>
        <v>64</v>
      </c>
      <c r="AP1292" t="s">
        <v>41</v>
      </c>
    </row>
    <row r="1293" spans="1:42">
      <c r="A1293" s="1">
        <v>43789</v>
      </c>
      <c r="B1293">
        <v>3</v>
      </c>
      <c r="C1293">
        <v>310</v>
      </c>
      <c r="D1293"/>
      <c r="E1293" t="s">
        <v>37</v>
      </c>
      <c r="F1293" t="s">
        <v>38</v>
      </c>
      <c r="G1293">
        <v>1</v>
      </c>
      <c r="H1293">
        <v>7</v>
      </c>
      <c r="I1293" s="25" t="s">
        <v>85</v>
      </c>
      <c r="K1293" t="s">
        <v>46</v>
      </c>
      <c r="N1293" t="s">
        <v>44</v>
      </c>
      <c r="O1293">
        <v>72</v>
      </c>
      <c r="Q1293">
        <f t="shared" si="45"/>
        <v>1</v>
      </c>
      <c r="R1293">
        <v>1</v>
      </c>
      <c r="S1293">
        <v>0</v>
      </c>
      <c r="T1293">
        <v>0</v>
      </c>
      <c r="U1293">
        <v>0</v>
      </c>
      <c r="V1293">
        <v>1</v>
      </c>
      <c r="W1293">
        <v>0</v>
      </c>
      <c r="X1293" s="21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f t="shared" si="46"/>
        <v>64</v>
      </c>
      <c r="AL1293" t="s">
        <v>45</v>
      </c>
      <c r="AP1293" t="s">
        <v>41</v>
      </c>
    </row>
    <row r="1294" spans="1:42">
      <c r="A1294" s="1">
        <v>43789</v>
      </c>
      <c r="B1294">
        <v>3</v>
      </c>
      <c r="C1294">
        <v>310</v>
      </c>
      <c r="D1294"/>
      <c r="E1294" t="s">
        <v>37</v>
      </c>
      <c r="F1294" t="s">
        <v>38</v>
      </c>
      <c r="G1294">
        <v>1</v>
      </c>
      <c r="H1294">
        <v>8</v>
      </c>
      <c r="I1294" s="25">
        <v>359</v>
      </c>
      <c r="K1294" t="s">
        <v>48</v>
      </c>
      <c r="N1294" t="s">
        <v>40</v>
      </c>
      <c r="O1294">
        <v>48</v>
      </c>
      <c r="Q1294">
        <f t="shared" si="45"/>
        <v>0</v>
      </c>
      <c r="R1294">
        <v>1</v>
      </c>
      <c r="S1294">
        <v>0</v>
      </c>
      <c r="T1294">
        <v>0</v>
      </c>
      <c r="U1294">
        <v>0</v>
      </c>
      <c r="V1294">
        <v>0</v>
      </c>
      <c r="W1294">
        <v>0</v>
      </c>
      <c r="X1294" s="21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f t="shared" si="46"/>
        <v>0</v>
      </c>
      <c r="AP1294" t="s">
        <v>41</v>
      </c>
    </row>
    <row r="1295" spans="1:42">
      <c r="A1295" s="1">
        <v>43789</v>
      </c>
      <c r="B1295">
        <v>3</v>
      </c>
      <c r="C1295">
        <v>310</v>
      </c>
      <c r="D1295"/>
      <c r="E1295" t="s">
        <v>37</v>
      </c>
      <c r="F1295" t="s">
        <v>38</v>
      </c>
      <c r="G1295">
        <v>1</v>
      </c>
      <c r="H1295">
        <v>9</v>
      </c>
      <c r="I1295" s="25">
        <v>314</v>
      </c>
      <c r="K1295" t="s">
        <v>49</v>
      </c>
      <c r="O1295">
        <v>68</v>
      </c>
      <c r="Q1295">
        <f t="shared" si="45"/>
        <v>2</v>
      </c>
      <c r="R1295">
        <v>1</v>
      </c>
      <c r="S1295">
        <v>0</v>
      </c>
      <c r="T1295">
        <v>0</v>
      </c>
      <c r="U1295">
        <v>0</v>
      </c>
      <c r="V1295">
        <v>2</v>
      </c>
      <c r="W1295">
        <v>0</v>
      </c>
      <c r="X1295" s="21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f t="shared" si="46"/>
        <v>128</v>
      </c>
      <c r="AP1295" t="s">
        <v>41</v>
      </c>
    </row>
    <row r="1296" spans="1:42">
      <c r="A1296" s="1">
        <v>43789</v>
      </c>
      <c r="B1296">
        <v>3</v>
      </c>
      <c r="C1296">
        <v>310</v>
      </c>
      <c r="D1296"/>
      <c r="E1296" t="s">
        <v>37</v>
      </c>
      <c r="F1296" t="s">
        <v>38</v>
      </c>
      <c r="G1296">
        <v>1</v>
      </c>
      <c r="H1296">
        <v>10</v>
      </c>
      <c r="I1296" s="25">
        <v>250</v>
      </c>
      <c r="K1296" t="s">
        <v>49</v>
      </c>
      <c r="N1296" t="s">
        <v>40</v>
      </c>
      <c r="O1296">
        <v>76</v>
      </c>
      <c r="Q1296">
        <f t="shared" si="45"/>
        <v>1</v>
      </c>
      <c r="R1296">
        <v>1</v>
      </c>
      <c r="S1296">
        <v>0</v>
      </c>
      <c r="T1296">
        <v>0</v>
      </c>
      <c r="U1296">
        <v>0</v>
      </c>
      <c r="V1296">
        <v>1</v>
      </c>
      <c r="W1296">
        <v>0</v>
      </c>
      <c r="X1296" s="21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f t="shared" si="46"/>
        <v>64</v>
      </c>
      <c r="AP1296" t="s">
        <v>41</v>
      </c>
    </row>
    <row r="1297" spans="1:42">
      <c r="A1297" s="1">
        <v>43789</v>
      </c>
      <c r="B1297">
        <v>3</v>
      </c>
      <c r="C1297">
        <v>310</v>
      </c>
      <c r="D1297"/>
      <c r="E1297" t="s">
        <v>37</v>
      </c>
      <c r="F1297" t="s">
        <v>38</v>
      </c>
      <c r="G1297">
        <v>1</v>
      </c>
      <c r="H1297">
        <v>11</v>
      </c>
      <c r="I1297" s="25">
        <v>222</v>
      </c>
      <c r="K1297" t="s">
        <v>49</v>
      </c>
      <c r="N1297" t="s">
        <v>40</v>
      </c>
      <c r="O1297">
        <v>76</v>
      </c>
      <c r="Q1297">
        <f t="shared" si="45"/>
        <v>2</v>
      </c>
      <c r="R1297">
        <v>1</v>
      </c>
      <c r="S1297">
        <v>0</v>
      </c>
      <c r="T1297">
        <v>0</v>
      </c>
      <c r="U1297">
        <v>0</v>
      </c>
      <c r="V1297">
        <v>2</v>
      </c>
      <c r="W1297">
        <v>0</v>
      </c>
      <c r="X1297" s="21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f t="shared" si="46"/>
        <v>128</v>
      </c>
      <c r="AP1297" t="s">
        <v>41</v>
      </c>
    </row>
    <row r="1298" spans="1:42">
      <c r="A1298" s="1">
        <v>43789</v>
      </c>
      <c r="B1298">
        <v>3</v>
      </c>
      <c r="C1298">
        <v>310</v>
      </c>
      <c r="D1298"/>
      <c r="E1298" t="s">
        <v>37</v>
      </c>
      <c r="F1298" t="s">
        <v>38</v>
      </c>
      <c r="G1298">
        <v>1</v>
      </c>
      <c r="H1298">
        <v>12</v>
      </c>
      <c r="I1298" s="25">
        <v>344</v>
      </c>
      <c r="K1298" t="s">
        <v>48</v>
      </c>
      <c r="N1298" t="s">
        <v>40</v>
      </c>
      <c r="O1298">
        <v>76</v>
      </c>
      <c r="Q1298">
        <f t="shared" si="45"/>
        <v>3</v>
      </c>
      <c r="R1298">
        <v>1</v>
      </c>
      <c r="S1298">
        <v>0</v>
      </c>
      <c r="T1298">
        <v>0</v>
      </c>
      <c r="U1298">
        <v>0</v>
      </c>
      <c r="V1298">
        <v>3</v>
      </c>
      <c r="W1298">
        <v>0</v>
      </c>
      <c r="X1298" s="21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f t="shared" si="46"/>
        <v>192</v>
      </c>
      <c r="AP1298" t="s">
        <v>41</v>
      </c>
    </row>
    <row r="1299" spans="1:42">
      <c r="A1299" s="1">
        <v>43789</v>
      </c>
      <c r="B1299">
        <v>3</v>
      </c>
      <c r="C1299">
        <v>310</v>
      </c>
      <c r="D1299"/>
      <c r="E1299" t="s">
        <v>37</v>
      </c>
      <c r="F1299" t="s">
        <v>38</v>
      </c>
      <c r="G1299">
        <v>1</v>
      </c>
      <c r="H1299">
        <v>13</v>
      </c>
      <c r="I1299" s="25">
        <v>391</v>
      </c>
      <c r="K1299" t="s">
        <v>49</v>
      </c>
      <c r="N1299" t="s">
        <v>44</v>
      </c>
      <c r="O1299">
        <v>56</v>
      </c>
      <c r="Q1299">
        <f t="shared" si="45"/>
        <v>1</v>
      </c>
      <c r="R1299">
        <v>1</v>
      </c>
      <c r="S1299">
        <v>0</v>
      </c>
      <c r="T1299">
        <v>0</v>
      </c>
      <c r="U1299">
        <v>0</v>
      </c>
      <c r="V1299">
        <v>1</v>
      </c>
      <c r="W1299">
        <v>0</v>
      </c>
      <c r="X1299" s="21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f t="shared" si="46"/>
        <v>64</v>
      </c>
      <c r="AP1299" t="s">
        <v>41</v>
      </c>
    </row>
    <row r="1300" spans="1:42">
      <c r="A1300" s="1">
        <v>43789</v>
      </c>
      <c r="B1300">
        <v>3</v>
      </c>
      <c r="C1300">
        <v>310</v>
      </c>
      <c r="D1300"/>
      <c r="E1300" t="s">
        <v>37</v>
      </c>
      <c r="F1300" t="s">
        <v>38</v>
      </c>
      <c r="G1300">
        <v>1</v>
      </c>
      <c r="H1300">
        <v>14</v>
      </c>
      <c r="I1300" s="25">
        <v>391</v>
      </c>
      <c r="K1300" t="s">
        <v>49</v>
      </c>
      <c r="N1300" t="s">
        <v>40</v>
      </c>
      <c r="O1300">
        <v>40</v>
      </c>
      <c r="Q1300">
        <f t="shared" si="45"/>
        <v>1</v>
      </c>
      <c r="R1300">
        <v>1</v>
      </c>
      <c r="S1300">
        <v>0</v>
      </c>
      <c r="T1300">
        <v>0</v>
      </c>
      <c r="U1300">
        <v>0</v>
      </c>
      <c r="V1300">
        <v>1</v>
      </c>
      <c r="W1300">
        <v>0</v>
      </c>
      <c r="X1300" s="21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f t="shared" si="46"/>
        <v>64</v>
      </c>
      <c r="AL1300" t="s">
        <v>86</v>
      </c>
      <c r="AP1300" t="s">
        <v>41</v>
      </c>
    </row>
    <row r="1301" spans="1:42">
      <c r="A1301" s="1">
        <v>43789</v>
      </c>
      <c r="B1301">
        <v>3</v>
      </c>
      <c r="C1301">
        <v>310</v>
      </c>
      <c r="D1301"/>
      <c r="E1301" t="s">
        <v>37</v>
      </c>
      <c r="F1301" t="s">
        <v>38</v>
      </c>
      <c r="G1301">
        <v>1</v>
      </c>
      <c r="H1301">
        <v>15</v>
      </c>
      <c r="I1301" s="25">
        <v>340</v>
      </c>
      <c r="K1301" t="s">
        <v>50</v>
      </c>
      <c r="N1301" t="s">
        <v>40</v>
      </c>
      <c r="O1301">
        <v>82</v>
      </c>
      <c r="Q1301">
        <f t="shared" si="45"/>
        <v>3</v>
      </c>
      <c r="R1301">
        <v>1</v>
      </c>
      <c r="S1301">
        <v>0</v>
      </c>
      <c r="T1301">
        <v>0</v>
      </c>
      <c r="U1301">
        <v>0</v>
      </c>
      <c r="V1301">
        <v>3</v>
      </c>
      <c r="W1301">
        <v>0</v>
      </c>
      <c r="X1301" s="2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f t="shared" si="46"/>
        <v>192</v>
      </c>
      <c r="AP1301" t="s">
        <v>41</v>
      </c>
    </row>
    <row r="1302" spans="1:42">
      <c r="A1302" s="1">
        <v>43789</v>
      </c>
      <c r="B1302">
        <v>3</v>
      </c>
      <c r="C1302">
        <v>310</v>
      </c>
      <c r="D1302"/>
      <c r="E1302" t="s">
        <v>37</v>
      </c>
      <c r="F1302" t="s">
        <v>38</v>
      </c>
      <c r="G1302">
        <v>1</v>
      </c>
      <c r="H1302">
        <v>16</v>
      </c>
      <c r="I1302" s="25">
        <v>445</v>
      </c>
      <c r="K1302" t="s">
        <v>50</v>
      </c>
      <c r="N1302" t="s">
        <v>40</v>
      </c>
      <c r="O1302">
        <v>45</v>
      </c>
      <c r="Q1302">
        <f t="shared" si="45"/>
        <v>1</v>
      </c>
      <c r="R1302">
        <v>1</v>
      </c>
      <c r="S1302">
        <v>0</v>
      </c>
      <c r="T1302">
        <v>0</v>
      </c>
      <c r="U1302">
        <v>1</v>
      </c>
      <c r="V1302">
        <v>0</v>
      </c>
      <c r="W1302">
        <v>0</v>
      </c>
      <c r="X1302" s="21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f t="shared" si="46"/>
        <v>32</v>
      </c>
      <c r="AP1302" t="s">
        <v>41</v>
      </c>
    </row>
    <row r="1303" spans="1:42">
      <c r="A1303" s="1">
        <v>43789</v>
      </c>
      <c r="B1303">
        <v>3</v>
      </c>
      <c r="C1303">
        <v>310</v>
      </c>
      <c r="D1303"/>
      <c r="E1303" t="s">
        <v>37</v>
      </c>
      <c r="F1303" t="s">
        <v>38</v>
      </c>
      <c r="G1303">
        <v>1</v>
      </c>
      <c r="H1303">
        <v>17</v>
      </c>
      <c r="I1303" s="25">
        <v>429</v>
      </c>
      <c r="K1303" t="s">
        <v>50</v>
      </c>
      <c r="N1303" t="s">
        <v>40</v>
      </c>
      <c r="O1303">
        <v>31</v>
      </c>
      <c r="Q1303">
        <f t="shared" si="45"/>
        <v>0</v>
      </c>
      <c r="R1303">
        <v>1</v>
      </c>
      <c r="S1303">
        <v>0</v>
      </c>
      <c r="T1303">
        <v>0</v>
      </c>
      <c r="U1303">
        <v>0</v>
      </c>
      <c r="V1303">
        <v>0</v>
      </c>
      <c r="W1303">
        <v>0</v>
      </c>
      <c r="X1303" s="21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f t="shared" si="46"/>
        <v>0</v>
      </c>
      <c r="AP1303" t="s">
        <v>41</v>
      </c>
    </row>
    <row r="1304" spans="1:42">
      <c r="A1304" s="1">
        <v>43789</v>
      </c>
      <c r="B1304">
        <v>3</v>
      </c>
      <c r="C1304">
        <v>310</v>
      </c>
      <c r="D1304"/>
      <c r="E1304" t="s">
        <v>37</v>
      </c>
      <c r="F1304" t="s">
        <v>38</v>
      </c>
      <c r="G1304">
        <v>1</v>
      </c>
      <c r="H1304">
        <v>18</v>
      </c>
      <c r="I1304" s="25">
        <v>432</v>
      </c>
      <c r="K1304" t="s">
        <v>49</v>
      </c>
      <c r="N1304" t="s">
        <v>40</v>
      </c>
      <c r="O1304">
        <v>52</v>
      </c>
      <c r="Q1304">
        <f t="shared" ref="Q1304:Q1367" si="47">SUM(S1304:AC1304)</f>
        <v>0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0</v>
      </c>
      <c r="X1304" s="21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f t="shared" ref="AH1304:AH1367" si="48">(S1304*16)+(T1304*20)+(U1304*32)+(V1304*64)+(W1304*96)</f>
        <v>0</v>
      </c>
      <c r="AP1304" t="s">
        <v>41</v>
      </c>
    </row>
    <row r="1305" spans="1:42">
      <c r="A1305" s="1">
        <v>43789</v>
      </c>
      <c r="B1305">
        <v>3</v>
      </c>
      <c r="C1305">
        <v>310</v>
      </c>
      <c r="D1305"/>
      <c r="E1305" t="s">
        <v>37</v>
      </c>
      <c r="F1305" t="s">
        <v>38</v>
      </c>
      <c r="G1305">
        <v>1</v>
      </c>
      <c r="H1305">
        <v>19</v>
      </c>
      <c r="I1305" s="25">
        <v>441</v>
      </c>
      <c r="K1305" t="s">
        <v>49</v>
      </c>
      <c r="N1305" t="s">
        <v>40</v>
      </c>
      <c r="O1305">
        <v>115</v>
      </c>
      <c r="Q1305">
        <f t="shared" si="47"/>
        <v>2</v>
      </c>
      <c r="R1305">
        <v>1</v>
      </c>
      <c r="S1305">
        <v>0</v>
      </c>
      <c r="T1305">
        <v>0</v>
      </c>
      <c r="U1305">
        <v>0</v>
      </c>
      <c r="V1305">
        <v>2</v>
      </c>
      <c r="W1305">
        <v>0</v>
      </c>
      <c r="X1305" s="21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f t="shared" si="48"/>
        <v>128</v>
      </c>
      <c r="AP1305" t="s">
        <v>41</v>
      </c>
    </row>
    <row r="1306" spans="1:42">
      <c r="A1306" s="1">
        <v>43789</v>
      </c>
      <c r="B1306">
        <v>3</v>
      </c>
      <c r="C1306">
        <v>310</v>
      </c>
      <c r="D1306"/>
      <c r="E1306" t="s">
        <v>37</v>
      </c>
      <c r="F1306" t="s">
        <v>38</v>
      </c>
      <c r="G1306">
        <v>1</v>
      </c>
      <c r="H1306">
        <v>20</v>
      </c>
      <c r="I1306" s="25">
        <v>450</v>
      </c>
      <c r="K1306" t="s">
        <v>49</v>
      </c>
      <c r="N1306" t="s">
        <v>40</v>
      </c>
      <c r="O1306">
        <v>115</v>
      </c>
      <c r="Q1306">
        <f t="shared" si="47"/>
        <v>5</v>
      </c>
      <c r="R1306">
        <v>1</v>
      </c>
      <c r="S1306">
        <v>0</v>
      </c>
      <c r="T1306">
        <v>0</v>
      </c>
      <c r="U1306">
        <v>1</v>
      </c>
      <c r="V1306">
        <v>4</v>
      </c>
      <c r="W1306">
        <v>0</v>
      </c>
      <c r="X1306" s="21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f t="shared" si="48"/>
        <v>288</v>
      </c>
      <c r="AP1306" t="s">
        <v>41</v>
      </c>
    </row>
    <row r="1307" spans="1:42">
      <c r="A1307" s="1">
        <v>43789</v>
      </c>
      <c r="B1307">
        <v>3</v>
      </c>
      <c r="C1307">
        <v>310</v>
      </c>
      <c r="D1307"/>
      <c r="E1307" t="s">
        <v>37</v>
      </c>
      <c r="F1307" t="s">
        <v>38</v>
      </c>
      <c r="G1307">
        <v>1</v>
      </c>
      <c r="H1307">
        <v>21</v>
      </c>
      <c r="I1307" s="25">
        <v>450</v>
      </c>
      <c r="K1307" t="s">
        <v>75</v>
      </c>
      <c r="N1307" t="s">
        <v>40</v>
      </c>
      <c r="O1307">
        <v>115</v>
      </c>
      <c r="Q1307">
        <f t="shared" si="47"/>
        <v>5</v>
      </c>
      <c r="R1307">
        <v>1</v>
      </c>
      <c r="S1307">
        <v>0</v>
      </c>
      <c r="T1307">
        <v>0</v>
      </c>
      <c r="U1307">
        <v>0</v>
      </c>
      <c r="V1307">
        <v>5</v>
      </c>
      <c r="W1307">
        <v>0</v>
      </c>
      <c r="X1307" s="21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f t="shared" si="48"/>
        <v>320</v>
      </c>
      <c r="AP1307" t="s">
        <v>41</v>
      </c>
    </row>
    <row r="1308" spans="1:42">
      <c r="A1308" s="1">
        <v>43789</v>
      </c>
      <c r="B1308">
        <v>3</v>
      </c>
      <c r="C1308">
        <v>310</v>
      </c>
      <c r="D1308"/>
      <c r="E1308" t="s">
        <v>37</v>
      </c>
      <c r="F1308" t="s">
        <v>38</v>
      </c>
      <c r="G1308">
        <v>1</v>
      </c>
      <c r="H1308">
        <v>22</v>
      </c>
      <c r="I1308" s="25">
        <v>272</v>
      </c>
      <c r="K1308" t="s">
        <v>53</v>
      </c>
      <c r="N1308" t="s">
        <v>40</v>
      </c>
      <c r="O1308">
        <v>50</v>
      </c>
      <c r="Q1308">
        <f t="shared" si="47"/>
        <v>1</v>
      </c>
      <c r="R1308">
        <v>1</v>
      </c>
      <c r="S1308">
        <v>0</v>
      </c>
      <c r="T1308">
        <v>0</v>
      </c>
      <c r="U1308">
        <v>1</v>
      </c>
      <c r="V1308">
        <v>0</v>
      </c>
      <c r="W1308">
        <v>0</v>
      </c>
      <c r="X1308" s="21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f t="shared" si="48"/>
        <v>32</v>
      </c>
      <c r="AP1308" t="s">
        <v>41</v>
      </c>
    </row>
    <row r="1309" spans="1:42">
      <c r="A1309" s="1">
        <v>43789</v>
      </c>
      <c r="B1309">
        <v>3</v>
      </c>
      <c r="C1309">
        <v>310</v>
      </c>
      <c r="D1309"/>
      <c r="E1309" t="s">
        <v>37</v>
      </c>
      <c r="F1309" t="s">
        <v>38</v>
      </c>
      <c r="G1309">
        <v>1</v>
      </c>
      <c r="H1309">
        <v>23</v>
      </c>
      <c r="I1309" s="25">
        <v>419</v>
      </c>
      <c r="K1309" t="s">
        <v>48</v>
      </c>
      <c r="N1309" t="s">
        <v>40</v>
      </c>
      <c r="O1309">
        <v>45</v>
      </c>
      <c r="Q1309">
        <f t="shared" si="47"/>
        <v>1</v>
      </c>
      <c r="R1309">
        <v>1</v>
      </c>
      <c r="S1309">
        <v>0</v>
      </c>
      <c r="T1309">
        <v>0</v>
      </c>
      <c r="U1309">
        <v>0</v>
      </c>
      <c r="V1309">
        <v>1</v>
      </c>
      <c r="W1309">
        <v>0</v>
      </c>
      <c r="X1309" s="21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f t="shared" si="48"/>
        <v>64</v>
      </c>
      <c r="AP1309" t="s">
        <v>41</v>
      </c>
    </row>
    <row r="1310" spans="1:42">
      <c r="A1310" s="1">
        <v>43789</v>
      </c>
      <c r="B1310">
        <v>3</v>
      </c>
      <c r="C1310">
        <v>310</v>
      </c>
      <c r="D1310"/>
      <c r="E1310" t="s">
        <v>37</v>
      </c>
      <c r="F1310" t="s">
        <v>38</v>
      </c>
      <c r="G1310">
        <v>1</v>
      </c>
      <c r="H1310">
        <v>24</v>
      </c>
      <c r="I1310" s="25">
        <v>465</v>
      </c>
      <c r="K1310" t="s">
        <v>48</v>
      </c>
      <c r="N1310" t="s">
        <v>40</v>
      </c>
      <c r="O1310">
        <v>31</v>
      </c>
      <c r="Q1310">
        <f t="shared" si="47"/>
        <v>10</v>
      </c>
      <c r="R1310">
        <v>1</v>
      </c>
      <c r="S1310">
        <v>0</v>
      </c>
      <c r="T1310">
        <v>0</v>
      </c>
      <c r="U1310">
        <v>0</v>
      </c>
      <c r="V1310">
        <v>10</v>
      </c>
      <c r="W1310">
        <v>0</v>
      </c>
      <c r="X1310" s="21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f t="shared" si="48"/>
        <v>640</v>
      </c>
      <c r="AP1310" t="s">
        <v>41</v>
      </c>
    </row>
    <row r="1311" spans="1:42">
      <c r="A1311" s="1">
        <v>43789</v>
      </c>
      <c r="B1311">
        <v>3</v>
      </c>
      <c r="C1311">
        <v>310</v>
      </c>
      <c r="D1311"/>
      <c r="E1311" t="s">
        <v>37</v>
      </c>
      <c r="F1311" t="s">
        <v>38</v>
      </c>
      <c r="G1311">
        <v>1</v>
      </c>
      <c r="H1311">
        <v>25</v>
      </c>
      <c r="I1311" s="25">
        <v>601</v>
      </c>
      <c r="K1311" t="s">
        <v>56</v>
      </c>
      <c r="N1311" t="s">
        <v>44</v>
      </c>
      <c r="O1311">
        <v>132</v>
      </c>
      <c r="Q1311">
        <f t="shared" si="47"/>
        <v>10</v>
      </c>
      <c r="R1311">
        <v>1</v>
      </c>
      <c r="S1311">
        <v>0</v>
      </c>
      <c r="T1311">
        <v>0</v>
      </c>
      <c r="U1311">
        <v>0</v>
      </c>
      <c r="V1311">
        <v>10</v>
      </c>
      <c r="W1311">
        <v>0</v>
      </c>
      <c r="X1311" s="2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f t="shared" si="48"/>
        <v>640</v>
      </c>
      <c r="AP1311" t="s">
        <v>41</v>
      </c>
    </row>
    <row r="1312" spans="1:42">
      <c r="A1312" s="1">
        <v>43789</v>
      </c>
      <c r="B1312">
        <v>3</v>
      </c>
      <c r="C1312">
        <v>310</v>
      </c>
      <c r="D1312"/>
      <c r="E1312" t="s">
        <v>37</v>
      </c>
      <c r="F1312" t="s">
        <v>38</v>
      </c>
      <c r="G1312">
        <v>1</v>
      </c>
      <c r="H1312">
        <v>26</v>
      </c>
      <c r="I1312" s="25">
        <v>350</v>
      </c>
      <c r="K1312" t="s">
        <v>56</v>
      </c>
      <c r="N1312" t="s">
        <v>40</v>
      </c>
      <c r="O1312">
        <v>159</v>
      </c>
      <c r="Q1312">
        <f t="shared" si="47"/>
        <v>5</v>
      </c>
      <c r="R1312">
        <v>1</v>
      </c>
      <c r="S1312">
        <v>0</v>
      </c>
      <c r="T1312">
        <v>0</v>
      </c>
      <c r="U1312">
        <v>0</v>
      </c>
      <c r="V1312">
        <v>5</v>
      </c>
      <c r="W1312">
        <v>0</v>
      </c>
      <c r="X1312" s="21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f t="shared" si="48"/>
        <v>320</v>
      </c>
      <c r="AP1312" t="s">
        <v>41</v>
      </c>
    </row>
    <row r="1313" spans="1:42">
      <c r="A1313" s="1">
        <v>43789</v>
      </c>
      <c r="B1313">
        <v>3</v>
      </c>
      <c r="C1313">
        <v>310</v>
      </c>
      <c r="D1313"/>
      <c r="E1313" t="s">
        <v>37</v>
      </c>
      <c r="F1313" t="s">
        <v>38</v>
      </c>
      <c r="G1313">
        <v>1</v>
      </c>
      <c r="H1313">
        <v>27</v>
      </c>
      <c r="I1313" s="25">
        <v>350</v>
      </c>
      <c r="K1313" t="s">
        <v>58</v>
      </c>
      <c r="N1313" t="s">
        <v>40</v>
      </c>
      <c r="O1313">
        <v>159</v>
      </c>
      <c r="Q1313">
        <f t="shared" si="47"/>
        <v>1</v>
      </c>
      <c r="R1313">
        <v>1</v>
      </c>
      <c r="S1313">
        <v>0</v>
      </c>
      <c r="T1313">
        <v>0</v>
      </c>
      <c r="U1313">
        <v>1</v>
      </c>
      <c r="V1313">
        <v>0</v>
      </c>
      <c r="W1313">
        <v>0</v>
      </c>
      <c r="X1313" s="21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f t="shared" si="48"/>
        <v>32</v>
      </c>
      <c r="AP1313" t="s">
        <v>41</v>
      </c>
    </row>
    <row r="1314" spans="1:42">
      <c r="A1314" s="1">
        <v>43789</v>
      </c>
      <c r="B1314">
        <v>3</v>
      </c>
      <c r="C1314">
        <v>310</v>
      </c>
      <c r="D1314"/>
      <c r="E1314" t="s">
        <v>37</v>
      </c>
      <c r="F1314" t="s">
        <v>38</v>
      </c>
      <c r="G1314">
        <v>1</v>
      </c>
      <c r="H1314">
        <v>28</v>
      </c>
      <c r="I1314" s="25">
        <v>348</v>
      </c>
      <c r="K1314" t="s">
        <v>62</v>
      </c>
      <c r="N1314" t="s">
        <v>40</v>
      </c>
      <c r="O1314">
        <v>159</v>
      </c>
      <c r="Q1314">
        <f t="shared" si="47"/>
        <v>3</v>
      </c>
      <c r="R1314">
        <v>1</v>
      </c>
      <c r="S1314">
        <v>0</v>
      </c>
      <c r="T1314">
        <v>0</v>
      </c>
      <c r="U1314">
        <v>0</v>
      </c>
      <c r="V1314">
        <v>3</v>
      </c>
      <c r="W1314">
        <v>0</v>
      </c>
      <c r="X1314" s="21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f t="shared" si="48"/>
        <v>192</v>
      </c>
      <c r="AP1314" t="s">
        <v>41</v>
      </c>
    </row>
    <row r="1315" spans="1:42">
      <c r="A1315" s="1">
        <v>43789</v>
      </c>
      <c r="B1315">
        <v>3</v>
      </c>
      <c r="C1315">
        <v>310</v>
      </c>
      <c r="D1315"/>
      <c r="E1315" t="s">
        <v>37</v>
      </c>
      <c r="F1315" t="s">
        <v>38</v>
      </c>
      <c r="G1315">
        <v>1</v>
      </c>
      <c r="H1315">
        <v>29</v>
      </c>
      <c r="I1315" s="25" t="s">
        <v>87</v>
      </c>
      <c r="K1315" t="s">
        <v>56</v>
      </c>
      <c r="N1315" t="s">
        <v>40</v>
      </c>
      <c r="O1315">
        <v>88</v>
      </c>
      <c r="Q1315">
        <f t="shared" si="47"/>
        <v>5</v>
      </c>
      <c r="R1315">
        <v>1</v>
      </c>
      <c r="S1315">
        <v>0</v>
      </c>
      <c r="T1315">
        <v>0</v>
      </c>
      <c r="U1315">
        <v>0</v>
      </c>
      <c r="V1315">
        <v>5</v>
      </c>
      <c r="W1315">
        <v>0</v>
      </c>
      <c r="X1315" s="21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f t="shared" si="48"/>
        <v>320</v>
      </c>
      <c r="AP1315" t="s">
        <v>41</v>
      </c>
    </row>
    <row r="1316" spans="1:42">
      <c r="A1316" s="1">
        <v>43789</v>
      </c>
      <c r="B1316">
        <v>3</v>
      </c>
      <c r="C1316">
        <v>310</v>
      </c>
      <c r="D1316"/>
      <c r="E1316" t="s">
        <v>37</v>
      </c>
      <c r="F1316" t="s">
        <v>38</v>
      </c>
      <c r="G1316">
        <v>1</v>
      </c>
      <c r="H1316">
        <v>30</v>
      </c>
      <c r="I1316" s="25">
        <v>220</v>
      </c>
      <c r="K1316" t="s">
        <v>60</v>
      </c>
      <c r="N1316" t="s">
        <v>40</v>
      </c>
      <c r="O1316">
        <v>75</v>
      </c>
      <c r="Q1316">
        <f t="shared" si="47"/>
        <v>1</v>
      </c>
      <c r="R1316">
        <v>1</v>
      </c>
      <c r="S1316">
        <v>0</v>
      </c>
      <c r="T1316">
        <v>0</v>
      </c>
      <c r="U1316">
        <v>1</v>
      </c>
      <c r="V1316">
        <v>0</v>
      </c>
      <c r="W1316">
        <v>0</v>
      </c>
      <c r="X1316" s="21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f t="shared" si="48"/>
        <v>32</v>
      </c>
      <c r="AP1316" t="s">
        <v>41</v>
      </c>
    </row>
    <row r="1317" spans="1:42">
      <c r="A1317" s="1">
        <v>43789</v>
      </c>
      <c r="B1317">
        <v>3</v>
      </c>
      <c r="C1317">
        <v>310</v>
      </c>
      <c r="D1317"/>
      <c r="E1317" t="s">
        <v>37</v>
      </c>
      <c r="F1317" t="s">
        <v>38</v>
      </c>
      <c r="G1317">
        <v>1</v>
      </c>
      <c r="H1317">
        <v>31</v>
      </c>
      <c r="I1317" s="25">
        <v>220</v>
      </c>
      <c r="K1317" t="s">
        <v>60</v>
      </c>
      <c r="N1317" t="s">
        <v>40</v>
      </c>
      <c r="O1317">
        <v>75</v>
      </c>
      <c r="Q1317">
        <f t="shared" si="47"/>
        <v>1</v>
      </c>
      <c r="R1317">
        <v>1</v>
      </c>
      <c r="S1317">
        <v>0</v>
      </c>
      <c r="T1317">
        <v>0</v>
      </c>
      <c r="U1317">
        <v>1</v>
      </c>
      <c r="V1317">
        <v>0</v>
      </c>
      <c r="W1317">
        <v>0</v>
      </c>
      <c r="X1317" s="21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f t="shared" si="48"/>
        <v>32</v>
      </c>
      <c r="AP1317" t="s">
        <v>41</v>
      </c>
    </row>
    <row r="1318" spans="1:42">
      <c r="A1318" s="1">
        <v>43789</v>
      </c>
      <c r="B1318">
        <v>3</v>
      </c>
      <c r="C1318">
        <v>310</v>
      </c>
      <c r="D1318"/>
      <c r="E1318" t="s">
        <v>37</v>
      </c>
      <c r="F1318" t="s">
        <v>38</v>
      </c>
      <c r="G1318">
        <v>1</v>
      </c>
      <c r="H1318">
        <v>32</v>
      </c>
      <c r="I1318" s="25">
        <v>250</v>
      </c>
      <c r="K1318" t="s">
        <v>56</v>
      </c>
      <c r="N1318" t="s">
        <v>40</v>
      </c>
      <c r="O1318">
        <v>75</v>
      </c>
      <c r="Q1318">
        <f t="shared" si="47"/>
        <v>2</v>
      </c>
      <c r="R1318">
        <v>1</v>
      </c>
      <c r="S1318">
        <v>0</v>
      </c>
      <c r="T1318">
        <v>0</v>
      </c>
      <c r="U1318">
        <v>0</v>
      </c>
      <c r="V1318">
        <v>2</v>
      </c>
      <c r="W1318">
        <v>0</v>
      </c>
      <c r="X1318" s="21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f t="shared" si="48"/>
        <v>128</v>
      </c>
      <c r="AP1318" t="s">
        <v>41</v>
      </c>
    </row>
    <row r="1319" spans="1:42">
      <c r="A1319" s="1">
        <v>43789</v>
      </c>
      <c r="B1319">
        <v>3</v>
      </c>
      <c r="C1319">
        <v>310</v>
      </c>
      <c r="D1319"/>
      <c r="E1319" t="s">
        <v>37</v>
      </c>
      <c r="F1319" t="s">
        <v>38</v>
      </c>
      <c r="G1319">
        <v>1</v>
      </c>
      <c r="H1319">
        <v>33</v>
      </c>
      <c r="I1319" s="25">
        <v>220</v>
      </c>
      <c r="K1319" t="s">
        <v>56</v>
      </c>
      <c r="N1319" t="s">
        <v>40</v>
      </c>
      <c r="O1319">
        <v>75</v>
      </c>
      <c r="Q1319">
        <f t="shared" si="47"/>
        <v>3</v>
      </c>
      <c r="R1319">
        <v>1</v>
      </c>
      <c r="S1319">
        <v>0</v>
      </c>
      <c r="T1319">
        <v>0</v>
      </c>
      <c r="U1319">
        <v>0</v>
      </c>
      <c r="V1319">
        <v>3</v>
      </c>
      <c r="W1319">
        <v>0</v>
      </c>
      <c r="X1319" s="21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f t="shared" si="48"/>
        <v>192</v>
      </c>
      <c r="AP1319" t="s">
        <v>41</v>
      </c>
    </row>
    <row r="1320" spans="1:42">
      <c r="A1320" s="1">
        <v>43789</v>
      </c>
      <c r="B1320">
        <v>3</v>
      </c>
      <c r="C1320">
        <v>310</v>
      </c>
      <c r="D1320"/>
      <c r="E1320" t="s">
        <v>37</v>
      </c>
      <c r="F1320" t="s">
        <v>38</v>
      </c>
      <c r="G1320">
        <v>1</v>
      </c>
      <c r="H1320">
        <v>34</v>
      </c>
      <c r="I1320" s="25">
        <v>227</v>
      </c>
      <c r="K1320" t="s">
        <v>61</v>
      </c>
      <c r="N1320" t="s">
        <v>40</v>
      </c>
      <c r="O1320">
        <v>42</v>
      </c>
      <c r="Q1320">
        <f t="shared" si="47"/>
        <v>1</v>
      </c>
      <c r="R1320">
        <v>1</v>
      </c>
      <c r="S1320">
        <v>0</v>
      </c>
      <c r="T1320">
        <v>0</v>
      </c>
      <c r="U1320">
        <v>0</v>
      </c>
      <c r="V1320">
        <v>1</v>
      </c>
      <c r="W1320">
        <v>0</v>
      </c>
      <c r="X1320" s="21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f t="shared" si="48"/>
        <v>64</v>
      </c>
      <c r="AP1320" t="s">
        <v>41</v>
      </c>
    </row>
    <row r="1321" spans="1:42">
      <c r="A1321" s="1">
        <v>43789</v>
      </c>
      <c r="B1321">
        <v>3</v>
      </c>
      <c r="C1321">
        <v>310</v>
      </c>
      <c r="D1321"/>
      <c r="E1321" t="s">
        <v>37</v>
      </c>
      <c r="F1321" t="s">
        <v>38</v>
      </c>
      <c r="G1321">
        <v>1</v>
      </c>
      <c r="H1321">
        <v>35</v>
      </c>
      <c r="I1321" s="25">
        <v>225</v>
      </c>
      <c r="K1321" t="s">
        <v>61</v>
      </c>
      <c r="N1321" t="s">
        <v>40</v>
      </c>
      <c r="O1321">
        <v>42</v>
      </c>
      <c r="Q1321">
        <f t="shared" si="47"/>
        <v>1</v>
      </c>
      <c r="R1321">
        <v>1</v>
      </c>
      <c r="S1321">
        <v>0</v>
      </c>
      <c r="T1321">
        <v>0</v>
      </c>
      <c r="U1321">
        <v>1</v>
      </c>
      <c r="V1321">
        <v>0</v>
      </c>
      <c r="W1321">
        <v>0</v>
      </c>
      <c r="X1321" s="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f t="shared" si="48"/>
        <v>32</v>
      </c>
      <c r="AP1321" t="s">
        <v>41</v>
      </c>
    </row>
    <row r="1322" spans="1:42">
      <c r="A1322" s="1">
        <v>43789</v>
      </c>
      <c r="B1322">
        <v>3</v>
      </c>
      <c r="C1322">
        <v>310</v>
      </c>
      <c r="D1322"/>
      <c r="E1322" t="s">
        <v>37</v>
      </c>
      <c r="F1322" t="s">
        <v>38</v>
      </c>
      <c r="G1322">
        <v>1</v>
      </c>
      <c r="H1322">
        <v>36</v>
      </c>
      <c r="I1322" s="25">
        <v>222</v>
      </c>
      <c r="K1322" t="s">
        <v>61</v>
      </c>
      <c r="N1322" t="s">
        <v>40</v>
      </c>
      <c r="O1322">
        <v>42</v>
      </c>
      <c r="Q1322">
        <f t="shared" si="47"/>
        <v>1</v>
      </c>
      <c r="R1322">
        <v>1</v>
      </c>
      <c r="S1322">
        <v>0</v>
      </c>
      <c r="T1322">
        <v>0</v>
      </c>
      <c r="U1322">
        <v>0</v>
      </c>
      <c r="V1322">
        <v>1</v>
      </c>
      <c r="W1322">
        <v>0</v>
      </c>
      <c r="X1322" s="21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f t="shared" si="48"/>
        <v>64</v>
      </c>
      <c r="AP1322" t="s">
        <v>41</v>
      </c>
    </row>
    <row r="1323" spans="1:42">
      <c r="A1323" s="1">
        <v>43789</v>
      </c>
      <c r="B1323">
        <v>3</v>
      </c>
      <c r="C1323">
        <v>310</v>
      </c>
      <c r="D1323"/>
      <c r="E1323" t="s">
        <v>37</v>
      </c>
      <c r="F1323" t="s">
        <v>38</v>
      </c>
      <c r="G1323">
        <v>1</v>
      </c>
      <c r="H1323">
        <v>37</v>
      </c>
      <c r="I1323" s="25">
        <v>301</v>
      </c>
      <c r="K1323" t="s">
        <v>62</v>
      </c>
      <c r="N1323" t="s">
        <v>40</v>
      </c>
      <c r="O1323">
        <v>42</v>
      </c>
      <c r="Q1323">
        <f t="shared" si="47"/>
        <v>2</v>
      </c>
      <c r="R1323">
        <v>1</v>
      </c>
      <c r="S1323">
        <v>0</v>
      </c>
      <c r="T1323">
        <v>0</v>
      </c>
      <c r="U1323">
        <v>0</v>
      </c>
      <c r="V1323">
        <v>2</v>
      </c>
      <c r="W1323">
        <v>0</v>
      </c>
      <c r="X1323" s="21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f t="shared" si="48"/>
        <v>128</v>
      </c>
      <c r="AP1323" t="s">
        <v>41</v>
      </c>
    </row>
    <row r="1324" spans="1:42">
      <c r="A1324" s="1">
        <v>43789</v>
      </c>
      <c r="B1324">
        <v>3</v>
      </c>
      <c r="C1324">
        <v>310</v>
      </c>
      <c r="D1324"/>
      <c r="E1324" t="s">
        <v>37</v>
      </c>
      <c r="F1324" t="s">
        <v>38</v>
      </c>
      <c r="G1324">
        <v>1</v>
      </c>
      <c r="H1324">
        <v>38</v>
      </c>
      <c r="I1324" s="25">
        <v>245</v>
      </c>
      <c r="K1324" t="s">
        <v>61</v>
      </c>
      <c r="N1324" t="s">
        <v>40</v>
      </c>
      <c r="O1324">
        <v>42</v>
      </c>
      <c r="Q1324">
        <f t="shared" si="47"/>
        <v>1</v>
      </c>
      <c r="R1324">
        <v>1</v>
      </c>
      <c r="S1324">
        <v>0</v>
      </c>
      <c r="T1324">
        <v>0</v>
      </c>
      <c r="U1324">
        <v>0</v>
      </c>
      <c r="V1324">
        <v>1</v>
      </c>
      <c r="W1324">
        <v>0</v>
      </c>
      <c r="X1324" s="21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f t="shared" si="48"/>
        <v>64</v>
      </c>
      <c r="AP1324" t="s">
        <v>41</v>
      </c>
    </row>
    <row r="1325" spans="1:42">
      <c r="A1325" s="1">
        <v>43789</v>
      </c>
      <c r="B1325">
        <v>3</v>
      </c>
      <c r="C1325">
        <v>310</v>
      </c>
      <c r="D1325"/>
      <c r="E1325" t="s">
        <v>37</v>
      </c>
      <c r="F1325" t="s">
        <v>38</v>
      </c>
      <c r="G1325">
        <v>1</v>
      </c>
      <c r="H1325">
        <v>39</v>
      </c>
      <c r="I1325" s="25">
        <v>240</v>
      </c>
      <c r="K1325" t="s">
        <v>61</v>
      </c>
      <c r="N1325" t="s">
        <v>40</v>
      </c>
      <c r="O1325">
        <v>42</v>
      </c>
      <c r="Q1325">
        <f t="shared" si="47"/>
        <v>1</v>
      </c>
      <c r="R1325">
        <v>1</v>
      </c>
      <c r="S1325">
        <v>0</v>
      </c>
      <c r="T1325">
        <v>0</v>
      </c>
      <c r="U1325">
        <v>0</v>
      </c>
      <c r="V1325">
        <v>1</v>
      </c>
      <c r="W1325">
        <v>0</v>
      </c>
      <c r="X1325" s="21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f t="shared" si="48"/>
        <v>64</v>
      </c>
      <c r="AP1325" t="s">
        <v>41</v>
      </c>
    </row>
    <row r="1326" spans="1:42">
      <c r="A1326" s="1">
        <v>43789</v>
      </c>
      <c r="B1326">
        <v>3</v>
      </c>
      <c r="C1326">
        <v>310</v>
      </c>
      <c r="D1326"/>
      <c r="E1326" t="s">
        <v>37</v>
      </c>
      <c r="F1326" t="s">
        <v>38</v>
      </c>
      <c r="G1326">
        <v>1</v>
      </c>
      <c r="H1326">
        <v>40</v>
      </c>
      <c r="I1326" s="25">
        <v>271</v>
      </c>
      <c r="K1326" t="s">
        <v>62</v>
      </c>
      <c r="N1326" t="s">
        <v>40</v>
      </c>
      <c r="O1326">
        <v>53</v>
      </c>
      <c r="Q1326">
        <f t="shared" si="47"/>
        <v>1</v>
      </c>
      <c r="R1326">
        <v>1</v>
      </c>
      <c r="S1326">
        <v>0</v>
      </c>
      <c r="T1326">
        <v>0</v>
      </c>
      <c r="U1326">
        <v>1</v>
      </c>
      <c r="V1326">
        <v>0</v>
      </c>
      <c r="W1326">
        <v>0</v>
      </c>
      <c r="X1326" s="21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f t="shared" si="48"/>
        <v>32</v>
      </c>
      <c r="AP1326" t="s">
        <v>41</v>
      </c>
    </row>
    <row r="1327" spans="1:42">
      <c r="A1327" s="1">
        <v>43789</v>
      </c>
      <c r="B1327">
        <v>3</v>
      </c>
      <c r="C1327">
        <v>310</v>
      </c>
      <c r="D1327"/>
      <c r="E1327" t="s">
        <v>37</v>
      </c>
      <c r="F1327" t="s">
        <v>38</v>
      </c>
      <c r="G1327">
        <v>1</v>
      </c>
      <c r="H1327">
        <v>41</v>
      </c>
      <c r="I1327" s="25">
        <v>91</v>
      </c>
      <c r="K1327" t="s">
        <v>88</v>
      </c>
      <c r="N1327" t="s">
        <v>40</v>
      </c>
      <c r="O1327">
        <v>53</v>
      </c>
      <c r="Q1327">
        <f t="shared" si="47"/>
        <v>1</v>
      </c>
      <c r="R1327">
        <v>1</v>
      </c>
      <c r="S1327">
        <v>0</v>
      </c>
      <c r="T1327">
        <v>0</v>
      </c>
      <c r="U1327">
        <v>0</v>
      </c>
      <c r="V1327">
        <v>1</v>
      </c>
      <c r="W1327">
        <v>0</v>
      </c>
      <c r="X1327" s="21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f t="shared" si="48"/>
        <v>64</v>
      </c>
      <c r="AP1327" t="s">
        <v>41</v>
      </c>
    </row>
    <row r="1328" spans="1:42">
      <c r="A1328" s="1">
        <v>43789</v>
      </c>
      <c r="B1328">
        <v>3</v>
      </c>
      <c r="C1328">
        <v>310</v>
      </c>
      <c r="D1328"/>
      <c r="E1328" t="s">
        <v>37</v>
      </c>
      <c r="F1328" t="s">
        <v>38</v>
      </c>
      <c r="G1328">
        <v>1</v>
      </c>
      <c r="H1328">
        <v>42</v>
      </c>
      <c r="I1328" s="25">
        <v>43</v>
      </c>
      <c r="K1328" t="s">
        <v>88</v>
      </c>
      <c r="N1328" t="s">
        <v>40</v>
      </c>
      <c r="O1328">
        <v>53</v>
      </c>
      <c r="Q1328">
        <f t="shared" si="47"/>
        <v>2</v>
      </c>
      <c r="R1328">
        <v>1</v>
      </c>
      <c r="S1328">
        <v>0</v>
      </c>
      <c r="T1328">
        <v>0</v>
      </c>
      <c r="U1328">
        <v>1</v>
      </c>
      <c r="V1328">
        <v>1</v>
      </c>
      <c r="W1328">
        <v>0</v>
      </c>
      <c r="X1328" s="21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f t="shared" si="48"/>
        <v>96</v>
      </c>
      <c r="AP1328" t="s">
        <v>41</v>
      </c>
    </row>
    <row r="1329" spans="1:42">
      <c r="A1329" s="1">
        <v>43789</v>
      </c>
      <c r="B1329">
        <v>3</v>
      </c>
      <c r="C1329">
        <v>310</v>
      </c>
      <c r="D1329"/>
      <c r="E1329" t="s">
        <v>37</v>
      </c>
      <c r="F1329" t="s">
        <v>38</v>
      </c>
      <c r="G1329">
        <v>1</v>
      </c>
      <c r="H1329">
        <v>43</v>
      </c>
      <c r="I1329" s="25">
        <v>99</v>
      </c>
      <c r="K1329" t="s">
        <v>88</v>
      </c>
      <c r="N1329" t="s">
        <v>40</v>
      </c>
      <c r="O1329">
        <v>53</v>
      </c>
      <c r="Q1329">
        <f t="shared" si="47"/>
        <v>1</v>
      </c>
      <c r="R1329">
        <v>1</v>
      </c>
      <c r="S1329">
        <v>0</v>
      </c>
      <c r="T1329">
        <v>0</v>
      </c>
      <c r="U1329">
        <v>1</v>
      </c>
      <c r="V1329">
        <v>0</v>
      </c>
      <c r="W1329">
        <v>0</v>
      </c>
      <c r="X1329" s="21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f t="shared" si="48"/>
        <v>32</v>
      </c>
      <c r="AP1329" t="s">
        <v>41</v>
      </c>
    </row>
    <row r="1330" spans="1:42">
      <c r="A1330" s="1">
        <v>43789</v>
      </c>
      <c r="B1330">
        <v>3</v>
      </c>
      <c r="C1330">
        <v>310</v>
      </c>
      <c r="D1330"/>
      <c r="E1330" t="s">
        <v>37</v>
      </c>
      <c r="F1330" t="s">
        <v>38</v>
      </c>
      <c r="G1330">
        <v>1</v>
      </c>
      <c r="H1330">
        <v>44</v>
      </c>
      <c r="I1330" s="25">
        <v>18</v>
      </c>
      <c r="K1330" t="s">
        <v>56</v>
      </c>
      <c r="N1330" t="s">
        <v>40</v>
      </c>
      <c r="O1330">
        <v>55</v>
      </c>
      <c r="Q1330">
        <f t="shared" si="47"/>
        <v>2</v>
      </c>
      <c r="R1330">
        <v>1</v>
      </c>
      <c r="S1330">
        <v>0</v>
      </c>
      <c r="T1330">
        <v>0</v>
      </c>
      <c r="U1330">
        <v>0</v>
      </c>
      <c r="V1330">
        <v>2</v>
      </c>
      <c r="W1330">
        <v>0</v>
      </c>
      <c r="X1330" s="21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f t="shared" si="48"/>
        <v>128</v>
      </c>
      <c r="AP1330" t="s">
        <v>41</v>
      </c>
    </row>
    <row r="1331" spans="1:42">
      <c r="A1331" s="1">
        <v>43789</v>
      </c>
      <c r="B1331">
        <v>3</v>
      </c>
      <c r="C1331">
        <v>310</v>
      </c>
      <c r="D1331"/>
      <c r="E1331" t="s">
        <v>37</v>
      </c>
      <c r="F1331" t="s">
        <v>38</v>
      </c>
      <c r="G1331">
        <v>1</v>
      </c>
      <c r="H1331">
        <v>45</v>
      </c>
      <c r="I1331" s="25">
        <v>1</v>
      </c>
      <c r="K1331" t="s">
        <v>56</v>
      </c>
      <c r="N1331" t="s">
        <v>40</v>
      </c>
      <c r="O1331">
        <v>51</v>
      </c>
      <c r="Q1331">
        <f t="shared" si="47"/>
        <v>1</v>
      </c>
      <c r="R1331">
        <v>1</v>
      </c>
      <c r="S1331">
        <v>0</v>
      </c>
      <c r="T1331">
        <v>0</v>
      </c>
      <c r="U1331">
        <v>0</v>
      </c>
      <c r="V1331">
        <v>1</v>
      </c>
      <c r="W1331">
        <v>0</v>
      </c>
      <c r="X1331" s="2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f t="shared" si="48"/>
        <v>64</v>
      </c>
      <c r="AP1331" t="s">
        <v>41</v>
      </c>
    </row>
    <row r="1332" spans="1:42">
      <c r="A1332" s="1">
        <v>43789</v>
      </c>
      <c r="B1332">
        <v>3</v>
      </c>
      <c r="C1332">
        <v>310</v>
      </c>
      <c r="D1332"/>
      <c r="E1332" t="s">
        <v>37</v>
      </c>
      <c r="F1332" t="s">
        <v>38</v>
      </c>
      <c r="G1332">
        <v>1</v>
      </c>
      <c r="H1332">
        <v>46</v>
      </c>
      <c r="I1332" s="25">
        <v>100</v>
      </c>
      <c r="K1332" t="s">
        <v>62</v>
      </c>
      <c r="N1332" t="s">
        <v>40</v>
      </c>
      <c r="O1332">
        <v>87</v>
      </c>
      <c r="Q1332">
        <f t="shared" si="47"/>
        <v>3</v>
      </c>
      <c r="R1332">
        <v>1</v>
      </c>
      <c r="S1332">
        <v>0</v>
      </c>
      <c r="T1332">
        <v>0</v>
      </c>
      <c r="U1332">
        <v>0</v>
      </c>
      <c r="V1332">
        <v>3</v>
      </c>
      <c r="W1332">
        <v>0</v>
      </c>
      <c r="X1332" s="21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f t="shared" si="48"/>
        <v>192</v>
      </c>
      <c r="AP1332" t="s">
        <v>41</v>
      </c>
    </row>
    <row r="1333" spans="1:42">
      <c r="A1333" s="1">
        <v>43789</v>
      </c>
      <c r="B1333">
        <v>3</v>
      </c>
      <c r="C1333">
        <v>310</v>
      </c>
      <c r="D1333"/>
      <c r="E1333" t="s">
        <v>37</v>
      </c>
      <c r="F1333" t="s">
        <v>38</v>
      </c>
      <c r="G1333">
        <v>1</v>
      </c>
      <c r="H1333">
        <v>47</v>
      </c>
      <c r="I1333" s="25">
        <v>100</v>
      </c>
      <c r="K1333" t="s">
        <v>56</v>
      </c>
      <c r="N1333" t="s">
        <v>40</v>
      </c>
      <c r="O1333">
        <v>101</v>
      </c>
      <c r="Q1333">
        <f t="shared" si="47"/>
        <v>4</v>
      </c>
      <c r="R1333">
        <v>1</v>
      </c>
      <c r="S1333">
        <v>0</v>
      </c>
      <c r="T1333">
        <v>0</v>
      </c>
      <c r="U1333">
        <v>0</v>
      </c>
      <c r="V1333">
        <v>4</v>
      </c>
      <c r="W1333">
        <v>0</v>
      </c>
      <c r="X1333" s="21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f t="shared" si="48"/>
        <v>256</v>
      </c>
      <c r="AP1333" t="s">
        <v>41</v>
      </c>
    </row>
    <row r="1334" spans="1:42">
      <c r="A1334" s="1">
        <v>43789</v>
      </c>
      <c r="B1334">
        <v>3</v>
      </c>
      <c r="C1334">
        <v>310</v>
      </c>
      <c r="D1334"/>
      <c r="E1334" t="s">
        <v>37</v>
      </c>
      <c r="F1334" t="s">
        <v>38</v>
      </c>
      <c r="G1334">
        <v>1</v>
      </c>
      <c r="H1334">
        <v>48</v>
      </c>
      <c r="I1334" s="25">
        <v>500</v>
      </c>
      <c r="K1334" t="s">
        <v>62</v>
      </c>
      <c r="N1334" t="s">
        <v>40</v>
      </c>
      <c r="O1334">
        <v>60</v>
      </c>
      <c r="Q1334">
        <f t="shared" si="47"/>
        <v>2</v>
      </c>
      <c r="R1334">
        <v>1</v>
      </c>
      <c r="S1334">
        <v>0</v>
      </c>
      <c r="T1334">
        <v>0</v>
      </c>
      <c r="U1334">
        <v>0</v>
      </c>
      <c r="V1334">
        <v>2</v>
      </c>
      <c r="W1334">
        <v>0</v>
      </c>
      <c r="X1334" s="21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f t="shared" si="48"/>
        <v>128</v>
      </c>
      <c r="AP1334" t="s">
        <v>41</v>
      </c>
    </row>
    <row r="1335" spans="1:42">
      <c r="A1335" s="1">
        <v>43789</v>
      </c>
      <c r="B1335">
        <v>3</v>
      </c>
      <c r="C1335">
        <v>310</v>
      </c>
      <c r="D1335"/>
      <c r="E1335" t="s">
        <v>37</v>
      </c>
      <c r="F1335" t="s">
        <v>38</v>
      </c>
      <c r="G1335">
        <v>1</v>
      </c>
      <c r="H1335">
        <v>49</v>
      </c>
      <c r="I1335" s="25">
        <v>215</v>
      </c>
      <c r="K1335" t="s">
        <v>72</v>
      </c>
      <c r="N1335" t="s">
        <v>40</v>
      </c>
      <c r="O1335">
        <v>47</v>
      </c>
      <c r="Q1335">
        <f t="shared" si="47"/>
        <v>0</v>
      </c>
      <c r="R1335">
        <v>1</v>
      </c>
      <c r="S1335">
        <v>0</v>
      </c>
      <c r="T1335">
        <v>0</v>
      </c>
      <c r="U1335">
        <v>0</v>
      </c>
      <c r="V1335">
        <v>0</v>
      </c>
      <c r="W1335">
        <v>0</v>
      </c>
      <c r="X1335" s="21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f t="shared" si="48"/>
        <v>0</v>
      </c>
      <c r="AP1335" t="s">
        <v>41</v>
      </c>
    </row>
    <row r="1336" spans="1:42">
      <c r="A1336" s="1">
        <v>43789</v>
      </c>
      <c r="B1336">
        <v>3</v>
      </c>
      <c r="C1336">
        <v>310</v>
      </c>
      <c r="D1336"/>
      <c r="E1336" t="s">
        <v>37</v>
      </c>
      <c r="F1336" t="s">
        <v>38</v>
      </c>
      <c r="G1336">
        <v>1</v>
      </c>
      <c r="H1336">
        <v>50</v>
      </c>
      <c r="I1336" s="25">
        <v>568</v>
      </c>
      <c r="K1336" t="s">
        <v>62</v>
      </c>
      <c r="N1336" t="s">
        <v>40</v>
      </c>
      <c r="O1336">
        <v>44</v>
      </c>
      <c r="Q1336">
        <f t="shared" si="47"/>
        <v>2</v>
      </c>
      <c r="R1336">
        <v>1</v>
      </c>
      <c r="S1336">
        <v>0</v>
      </c>
      <c r="T1336">
        <v>0</v>
      </c>
      <c r="U1336">
        <v>0</v>
      </c>
      <c r="V1336">
        <v>2</v>
      </c>
      <c r="W1336">
        <v>0</v>
      </c>
      <c r="X1336" s="21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f t="shared" si="48"/>
        <v>128</v>
      </c>
      <c r="AP1336" t="s">
        <v>41</v>
      </c>
    </row>
    <row r="1337" spans="1:42">
      <c r="A1337" s="1">
        <v>43789</v>
      </c>
      <c r="B1337">
        <v>3</v>
      </c>
      <c r="C1337">
        <v>310</v>
      </c>
      <c r="D1337"/>
      <c r="E1337" t="s">
        <v>37</v>
      </c>
      <c r="F1337" t="s">
        <v>38</v>
      </c>
      <c r="G1337">
        <v>1</v>
      </c>
      <c r="H1337">
        <v>51</v>
      </c>
      <c r="I1337" s="25">
        <v>544</v>
      </c>
      <c r="K1337" t="s">
        <v>65</v>
      </c>
      <c r="N1337" t="s">
        <v>40</v>
      </c>
      <c r="O1337">
        <v>44</v>
      </c>
      <c r="Q1337">
        <f t="shared" si="47"/>
        <v>2</v>
      </c>
      <c r="R1337">
        <v>1</v>
      </c>
      <c r="S1337">
        <v>0</v>
      </c>
      <c r="T1337">
        <v>0</v>
      </c>
      <c r="U1337">
        <v>0</v>
      </c>
      <c r="V1337">
        <v>2</v>
      </c>
      <c r="W1337">
        <v>0</v>
      </c>
      <c r="X1337" s="21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f t="shared" si="48"/>
        <v>128</v>
      </c>
      <c r="AP1337" t="s">
        <v>41</v>
      </c>
    </row>
    <row r="1338" spans="1:42">
      <c r="A1338" s="1">
        <v>43789</v>
      </c>
      <c r="B1338">
        <v>3</v>
      </c>
      <c r="C1338">
        <v>310</v>
      </c>
      <c r="D1338"/>
      <c r="E1338" t="s">
        <v>37</v>
      </c>
      <c r="F1338" t="s">
        <v>38</v>
      </c>
      <c r="G1338">
        <v>1</v>
      </c>
      <c r="H1338">
        <v>52</v>
      </c>
      <c r="I1338" s="25">
        <v>531</v>
      </c>
      <c r="K1338" t="s">
        <v>65</v>
      </c>
      <c r="N1338" t="s">
        <v>40</v>
      </c>
      <c r="O1338">
        <v>40</v>
      </c>
      <c r="Q1338">
        <f t="shared" si="47"/>
        <v>0</v>
      </c>
      <c r="R1338">
        <v>1</v>
      </c>
      <c r="S1338">
        <v>0</v>
      </c>
      <c r="T1338">
        <v>0</v>
      </c>
      <c r="U1338">
        <v>0</v>
      </c>
      <c r="V1338">
        <v>0</v>
      </c>
      <c r="W1338">
        <v>0</v>
      </c>
      <c r="X1338" s="21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f t="shared" si="48"/>
        <v>0</v>
      </c>
      <c r="AP1338" t="s">
        <v>41</v>
      </c>
    </row>
    <row r="1339" spans="1:42">
      <c r="A1339" s="1">
        <v>43789</v>
      </c>
      <c r="B1339">
        <v>3</v>
      </c>
      <c r="C1339">
        <v>310</v>
      </c>
      <c r="D1339"/>
      <c r="E1339" t="s">
        <v>37</v>
      </c>
      <c r="F1339" t="s">
        <v>38</v>
      </c>
      <c r="G1339">
        <v>1</v>
      </c>
      <c r="H1339">
        <v>53</v>
      </c>
      <c r="I1339" s="25">
        <v>525</v>
      </c>
      <c r="K1339" t="s">
        <v>65</v>
      </c>
      <c r="N1339" t="s">
        <v>40</v>
      </c>
      <c r="O1339">
        <v>51</v>
      </c>
      <c r="Q1339">
        <f t="shared" si="47"/>
        <v>2</v>
      </c>
      <c r="R1339">
        <v>1</v>
      </c>
      <c r="S1339">
        <v>0</v>
      </c>
      <c r="T1339">
        <v>0</v>
      </c>
      <c r="U1339">
        <v>0</v>
      </c>
      <c r="V1339">
        <v>2</v>
      </c>
      <c r="W1339">
        <v>0</v>
      </c>
      <c r="X1339" s="21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f t="shared" si="48"/>
        <v>128</v>
      </c>
      <c r="AP1339" t="s">
        <v>41</v>
      </c>
    </row>
    <row r="1340" spans="1:42">
      <c r="A1340" s="1">
        <v>43789</v>
      </c>
      <c r="B1340">
        <v>3</v>
      </c>
      <c r="C1340">
        <v>310</v>
      </c>
      <c r="D1340"/>
      <c r="E1340" t="s">
        <v>37</v>
      </c>
      <c r="F1340" t="s">
        <v>38</v>
      </c>
      <c r="G1340">
        <v>1</v>
      </c>
      <c r="H1340">
        <v>54</v>
      </c>
      <c r="I1340" s="25">
        <v>415</v>
      </c>
      <c r="K1340" t="s">
        <v>65</v>
      </c>
      <c r="N1340" t="s">
        <v>40</v>
      </c>
      <c r="O1340">
        <v>51</v>
      </c>
      <c r="Q1340">
        <f t="shared" si="47"/>
        <v>2</v>
      </c>
      <c r="R1340">
        <v>1</v>
      </c>
      <c r="S1340">
        <v>0</v>
      </c>
      <c r="T1340">
        <v>0</v>
      </c>
      <c r="U1340">
        <v>0</v>
      </c>
      <c r="V1340">
        <v>2</v>
      </c>
      <c r="W1340">
        <v>0</v>
      </c>
      <c r="X1340" s="21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f t="shared" si="48"/>
        <v>128</v>
      </c>
      <c r="AP1340" t="s">
        <v>41</v>
      </c>
    </row>
    <row r="1341" spans="1:42">
      <c r="A1341" s="1">
        <v>43789</v>
      </c>
      <c r="B1341">
        <v>3</v>
      </c>
      <c r="C1341">
        <v>310</v>
      </c>
      <c r="D1341"/>
      <c r="E1341" t="s">
        <v>37</v>
      </c>
      <c r="F1341" t="s">
        <v>38</v>
      </c>
      <c r="G1341">
        <v>1</v>
      </c>
      <c r="H1341">
        <v>55</v>
      </c>
      <c r="I1341" s="25">
        <v>475</v>
      </c>
      <c r="K1341" t="s">
        <v>65</v>
      </c>
      <c r="N1341" t="s">
        <v>40</v>
      </c>
      <c r="O1341">
        <v>51</v>
      </c>
      <c r="Q1341">
        <f t="shared" si="47"/>
        <v>0</v>
      </c>
      <c r="R1341">
        <v>1</v>
      </c>
      <c r="S1341">
        <v>0</v>
      </c>
      <c r="T1341">
        <v>0</v>
      </c>
      <c r="U1341">
        <v>0</v>
      </c>
      <c r="V1341">
        <v>0</v>
      </c>
      <c r="W1341">
        <v>0</v>
      </c>
      <c r="X1341" s="2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f t="shared" si="48"/>
        <v>0</v>
      </c>
      <c r="AP1341" t="s">
        <v>41</v>
      </c>
    </row>
    <row r="1342" spans="1:42">
      <c r="A1342" s="1">
        <v>43789</v>
      </c>
      <c r="B1342">
        <v>3</v>
      </c>
      <c r="C1342">
        <v>310</v>
      </c>
      <c r="D1342"/>
      <c r="E1342" t="s">
        <v>37</v>
      </c>
      <c r="F1342" t="s">
        <v>38</v>
      </c>
      <c r="G1342">
        <v>1</v>
      </c>
      <c r="H1342">
        <v>56</v>
      </c>
      <c r="I1342" s="25">
        <v>530</v>
      </c>
      <c r="K1342" t="s">
        <v>58</v>
      </c>
      <c r="N1342" t="s">
        <v>40</v>
      </c>
      <c r="O1342">
        <v>91</v>
      </c>
      <c r="Q1342">
        <f t="shared" si="47"/>
        <v>1</v>
      </c>
      <c r="R1342">
        <v>1</v>
      </c>
      <c r="S1342">
        <v>0</v>
      </c>
      <c r="T1342">
        <v>0</v>
      </c>
      <c r="U1342">
        <v>0</v>
      </c>
      <c r="V1342">
        <v>1</v>
      </c>
      <c r="W1342">
        <v>0</v>
      </c>
      <c r="X1342" s="21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f t="shared" si="48"/>
        <v>64</v>
      </c>
      <c r="AP1342" t="s">
        <v>41</v>
      </c>
    </row>
    <row r="1343" spans="1:42">
      <c r="A1343" s="1">
        <v>43789</v>
      </c>
      <c r="B1343">
        <v>3</v>
      </c>
      <c r="C1343">
        <v>310</v>
      </c>
      <c r="D1343"/>
      <c r="E1343" t="s">
        <v>37</v>
      </c>
      <c r="F1343" t="s">
        <v>38</v>
      </c>
      <c r="G1343">
        <v>1</v>
      </c>
      <c r="H1343">
        <v>57</v>
      </c>
      <c r="I1343" s="25">
        <v>600</v>
      </c>
      <c r="K1343" t="s">
        <v>71</v>
      </c>
      <c r="N1343" t="s">
        <v>44</v>
      </c>
      <c r="O1343">
        <v>180</v>
      </c>
      <c r="Q1343">
        <f t="shared" si="47"/>
        <v>8</v>
      </c>
      <c r="R1343">
        <v>1</v>
      </c>
      <c r="S1343">
        <v>0</v>
      </c>
      <c r="T1343">
        <v>0</v>
      </c>
      <c r="U1343">
        <v>0</v>
      </c>
      <c r="V1343">
        <v>8</v>
      </c>
      <c r="W1343">
        <v>0</v>
      </c>
      <c r="X1343" s="21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f t="shared" si="48"/>
        <v>512</v>
      </c>
      <c r="AP1343" t="s">
        <v>41</v>
      </c>
    </row>
    <row r="1344" spans="1:42">
      <c r="A1344" s="1">
        <v>43789</v>
      </c>
      <c r="B1344">
        <v>3</v>
      </c>
      <c r="C1344">
        <v>310</v>
      </c>
      <c r="D1344"/>
      <c r="E1344" t="s">
        <v>37</v>
      </c>
      <c r="F1344" t="s">
        <v>38</v>
      </c>
      <c r="G1344">
        <v>1</v>
      </c>
      <c r="H1344">
        <v>58</v>
      </c>
      <c r="I1344" s="25">
        <v>563</v>
      </c>
      <c r="K1344" t="s">
        <v>68</v>
      </c>
      <c r="N1344" t="s">
        <v>40</v>
      </c>
      <c r="O1344">
        <v>43</v>
      </c>
      <c r="Q1344">
        <f t="shared" si="47"/>
        <v>1</v>
      </c>
      <c r="R1344">
        <v>1</v>
      </c>
      <c r="S1344">
        <v>0</v>
      </c>
      <c r="T1344">
        <v>0</v>
      </c>
      <c r="U1344">
        <v>1</v>
      </c>
      <c r="V1344">
        <v>0</v>
      </c>
      <c r="W1344">
        <v>0</v>
      </c>
      <c r="X1344" s="21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f t="shared" si="48"/>
        <v>32</v>
      </c>
      <c r="AP1344" t="s">
        <v>41</v>
      </c>
    </row>
    <row r="1345" spans="1:42">
      <c r="A1345" s="1">
        <v>43789</v>
      </c>
      <c r="B1345">
        <v>3</v>
      </c>
      <c r="C1345">
        <v>310</v>
      </c>
      <c r="D1345"/>
      <c r="E1345" t="s">
        <v>37</v>
      </c>
      <c r="F1345" t="s">
        <v>38</v>
      </c>
      <c r="G1345">
        <v>1</v>
      </c>
      <c r="H1345">
        <v>59</v>
      </c>
      <c r="I1345" s="25">
        <v>565</v>
      </c>
      <c r="K1345" t="s">
        <v>68</v>
      </c>
      <c r="N1345" t="s">
        <v>40</v>
      </c>
      <c r="O1345">
        <v>43</v>
      </c>
      <c r="Q1345">
        <f t="shared" si="47"/>
        <v>1</v>
      </c>
      <c r="R1345">
        <v>1</v>
      </c>
      <c r="S1345">
        <v>0</v>
      </c>
      <c r="T1345">
        <v>0</v>
      </c>
      <c r="U1345">
        <v>0</v>
      </c>
      <c r="V1345">
        <v>1</v>
      </c>
      <c r="W1345">
        <v>0</v>
      </c>
      <c r="X1345" s="21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f t="shared" si="48"/>
        <v>64</v>
      </c>
      <c r="AP1345" t="s">
        <v>41</v>
      </c>
    </row>
    <row r="1346" spans="1:42">
      <c r="A1346" s="1">
        <v>43789</v>
      </c>
      <c r="B1346">
        <v>3</v>
      </c>
      <c r="C1346">
        <v>310</v>
      </c>
      <c r="D1346"/>
      <c r="E1346" t="s">
        <v>37</v>
      </c>
      <c r="F1346" t="s">
        <v>38</v>
      </c>
      <c r="G1346">
        <v>1</v>
      </c>
      <c r="H1346">
        <v>60</v>
      </c>
      <c r="I1346" s="25">
        <v>475</v>
      </c>
      <c r="K1346" t="s">
        <v>58</v>
      </c>
      <c r="N1346" t="s">
        <v>40</v>
      </c>
      <c r="O1346">
        <v>43</v>
      </c>
      <c r="Q1346">
        <f t="shared" si="47"/>
        <v>1</v>
      </c>
      <c r="R1346">
        <v>1</v>
      </c>
      <c r="S1346">
        <v>0</v>
      </c>
      <c r="T1346">
        <v>0</v>
      </c>
      <c r="U1346">
        <v>0</v>
      </c>
      <c r="V1346">
        <v>1</v>
      </c>
      <c r="W1346">
        <v>0</v>
      </c>
      <c r="X1346" s="21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f t="shared" si="48"/>
        <v>64</v>
      </c>
      <c r="AP1346" t="s">
        <v>41</v>
      </c>
    </row>
    <row r="1347" spans="1:42">
      <c r="A1347" s="1">
        <v>43789</v>
      </c>
      <c r="B1347">
        <v>3</v>
      </c>
      <c r="C1347">
        <v>310</v>
      </c>
      <c r="D1347"/>
      <c r="E1347" t="s">
        <v>37</v>
      </c>
      <c r="F1347" t="s">
        <v>38</v>
      </c>
      <c r="G1347">
        <v>1</v>
      </c>
      <c r="H1347">
        <v>61</v>
      </c>
      <c r="I1347" s="25">
        <v>333</v>
      </c>
      <c r="K1347" t="s">
        <v>60</v>
      </c>
      <c r="N1347" t="s">
        <v>44</v>
      </c>
      <c r="O1347">
        <v>119</v>
      </c>
      <c r="Q1347">
        <f t="shared" si="47"/>
        <v>0</v>
      </c>
      <c r="R1347">
        <v>1</v>
      </c>
      <c r="S1347">
        <v>0</v>
      </c>
      <c r="T1347">
        <v>0</v>
      </c>
      <c r="U1347">
        <v>0</v>
      </c>
      <c r="V1347">
        <v>0</v>
      </c>
      <c r="W1347">
        <v>0</v>
      </c>
      <c r="X1347" s="21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f t="shared" si="48"/>
        <v>0</v>
      </c>
      <c r="AP1347" t="s">
        <v>41</v>
      </c>
    </row>
    <row r="1348" spans="1:42">
      <c r="A1348" s="1">
        <v>43789</v>
      </c>
      <c r="B1348">
        <v>3</v>
      </c>
      <c r="C1348">
        <v>310</v>
      </c>
      <c r="D1348"/>
      <c r="E1348" t="s">
        <v>37</v>
      </c>
      <c r="F1348" t="s">
        <v>38</v>
      </c>
      <c r="G1348">
        <v>1</v>
      </c>
      <c r="H1348">
        <v>62</v>
      </c>
      <c r="I1348" s="25">
        <v>400</v>
      </c>
      <c r="K1348" t="s">
        <v>58</v>
      </c>
      <c r="N1348" t="s">
        <v>44</v>
      </c>
      <c r="O1348">
        <v>119</v>
      </c>
      <c r="Q1348">
        <f t="shared" si="47"/>
        <v>13</v>
      </c>
      <c r="R1348">
        <v>1</v>
      </c>
      <c r="S1348">
        <v>0</v>
      </c>
      <c r="T1348">
        <v>0</v>
      </c>
      <c r="U1348">
        <v>0</v>
      </c>
      <c r="V1348">
        <v>13</v>
      </c>
      <c r="W1348">
        <v>0</v>
      </c>
      <c r="X1348" s="21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f t="shared" si="48"/>
        <v>832</v>
      </c>
      <c r="AP1348" t="s">
        <v>41</v>
      </c>
    </row>
    <row r="1349" spans="1:42">
      <c r="A1349" s="1">
        <v>43789</v>
      </c>
      <c r="B1349">
        <v>3</v>
      </c>
      <c r="C1349">
        <v>310</v>
      </c>
      <c r="D1349"/>
      <c r="E1349" t="s">
        <v>37</v>
      </c>
      <c r="F1349" t="s">
        <v>38</v>
      </c>
      <c r="G1349">
        <v>1</v>
      </c>
      <c r="H1349">
        <v>63</v>
      </c>
      <c r="I1349" s="25">
        <v>432</v>
      </c>
      <c r="K1349" t="s">
        <v>68</v>
      </c>
      <c r="N1349" t="s">
        <v>40</v>
      </c>
      <c r="O1349">
        <v>43</v>
      </c>
      <c r="Q1349">
        <f t="shared" si="47"/>
        <v>1</v>
      </c>
      <c r="R1349">
        <v>1</v>
      </c>
      <c r="S1349">
        <v>0</v>
      </c>
      <c r="T1349">
        <v>0</v>
      </c>
      <c r="U1349">
        <v>1</v>
      </c>
      <c r="V1349">
        <v>0</v>
      </c>
      <c r="W1349">
        <v>0</v>
      </c>
      <c r="X1349" s="21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f t="shared" si="48"/>
        <v>32</v>
      </c>
      <c r="AP1349" t="s">
        <v>41</v>
      </c>
    </row>
    <row r="1350" spans="1:42">
      <c r="A1350" s="1">
        <v>43789</v>
      </c>
      <c r="B1350">
        <v>3</v>
      </c>
      <c r="C1350">
        <v>310</v>
      </c>
      <c r="D1350"/>
      <c r="E1350" t="s">
        <v>37</v>
      </c>
      <c r="F1350" t="s">
        <v>38</v>
      </c>
      <c r="G1350">
        <v>1</v>
      </c>
      <c r="H1350">
        <v>64</v>
      </c>
      <c r="I1350" s="25">
        <v>201</v>
      </c>
      <c r="K1350" t="s">
        <v>56</v>
      </c>
      <c r="N1350" t="s">
        <v>40</v>
      </c>
      <c r="O1350">
        <v>93</v>
      </c>
      <c r="Q1350">
        <f t="shared" si="47"/>
        <v>5</v>
      </c>
      <c r="R1350">
        <v>1</v>
      </c>
      <c r="S1350">
        <v>0</v>
      </c>
      <c r="T1350">
        <v>0</v>
      </c>
      <c r="U1350">
        <v>0</v>
      </c>
      <c r="V1350">
        <v>5</v>
      </c>
      <c r="W1350">
        <v>0</v>
      </c>
      <c r="X1350" s="21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f t="shared" si="48"/>
        <v>320</v>
      </c>
      <c r="AP1350" t="s">
        <v>41</v>
      </c>
    </row>
    <row r="1351" spans="1:42">
      <c r="A1351" s="1">
        <v>43789</v>
      </c>
      <c r="B1351">
        <v>3</v>
      </c>
      <c r="C1351">
        <v>310</v>
      </c>
      <c r="D1351"/>
      <c r="E1351" t="s">
        <v>37</v>
      </c>
      <c r="F1351" t="s">
        <v>38</v>
      </c>
      <c r="G1351">
        <v>1</v>
      </c>
      <c r="H1351">
        <v>65</v>
      </c>
      <c r="I1351" s="25">
        <v>100</v>
      </c>
      <c r="K1351" t="s">
        <v>69</v>
      </c>
      <c r="N1351" t="s">
        <v>40</v>
      </c>
      <c r="O1351">
        <v>93</v>
      </c>
      <c r="Q1351">
        <f t="shared" si="47"/>
        <v>4</v>
      </c>
      <c r="R1351">
        <v>1</v>
      </c>
      <c r="S1351">
        <v>0</v>
      </c>
      <c r="T1351">
        <v>0</v>
      </c>
      <c r="U1351">
        <v>0</v>
      </c>
      <c r="V1351">
        <v>4</v>
      </c>
      <c r="W1351">
        <v>0</v>
      </c>
      <c r="X1351" s="2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f t="shared" si="48"/>
        <v>256</v>
      </c>
      <c r="AP1351" t="s">
        <v>41</v>
      </c>
    </row>
    <row r="1352" spans="1:42">
      <c r="A1352" s="1">
        <v>43789</v>
      </c>
      <c r="B1352">
        <v>3</v>
      </c>
      <c r="C1352">
        <v>310</v>
      </c>
      <c r="D1352"/>
      <c r="E1352" t="s">
        <v>37</v>
      </c>
      <c r="F1352" t="s">
        <v>38</v>
      </c>
      <c r="G1352">
        <v>1</v>
      </c>
      <c r="H1352">
        <v>66</v>
      </c>
      <c r="I1352" s="25">
        <v>230</v>
      </c>
      <c r="K1352" t="s">
        <v>56</v>
      </c>
      <c r="N1352" t="s">
        <v>40</v>
      </c>
      <c r="O1352">
        <v>31</v>
      </c>
      <c r="Q1352">
        <f t="shared" si="47"/>
        <v>1</v>
      </c>
      <c r="R1352">
        <v>1</v>
      </c>
      <c r="S1352">
        <v>0</v>
      </c>
      <c r="T1352">
        <v>0</v>
      </c>
      <c r="U1352">
        <v>0</v>
      </c>
      <c r="V1352">
        <v>1</v>
      </c>
      <c r="W1352">
        <v>0</v>
      </c>
      <c r="X1352" s="21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f t="shared" si="48"/>
        <v>64</v>
      </c>
      <c r="AP1352" t="s">
        <v>41</v>
      </c>
    </row>
    <row r="1353" spans="1:42">
      <c r="A1353" s="1">
        <v>43789</v>
      </c>
      <c r="B1353">
        <v>3</v>
      </c>
      <c r="C1353">
        <v>310</v>
      </c>
      <c r="D1353"/>
      <c r="E1353" t="s">
        <v>37</v>
      </c>
      <c r="F1353" t="s">
        <v>38</v>
      </c>
      <c r="G1353">
        <v>1</v>
      </c>
      <c r="H1353">
        <v>67</v>
      </c>
      <c r="I1353" s="25">
        <v>212</v>
      </c>
      <c r="K1353" t="s">
        <v>56</v>
      </c>
      <c r="N1353" t="s">
        <v>40</v>
      </c>
      <c r="O1353">
        <v>31</v>
      </c>
      <c r="Q1353">
        <f t="shared" si="47"/>
        <v>1</v>
      </c>
      <c r="R1353">
        <v>1</v>
      </c>
      <c r="S1353">
        <v>0</v>
      </c>
      <c r="T1353">
        <v>0</v>
      </c>
      <c r="U1353">
        <v>0</v>
      </c>
      <c r="V1353">
        <v>1</v>
      </c>
      <c r="W1353">
        <v>0</v>
      </c>
      <c r="X1353" s="21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f t="shared" si="48"/>
        <v>64</v>
      </c>
      <c r="AP1353" t="s">
        <v>41</v>
      </c>
    </row>
    <row r="1354" spans="1:42">
      <c r="A1354" s="1">
        <v>43789</v>
      </c>
      <c r="B1354">
        <v>3</v>
      </c>
      <c r="C1354">
        <v>310</v>
      </c>
      <c r="D1354"/>
      <c r="E1354" t="s">
        <v>37</v>
      </c>
      <c r="F1354" t="s">
        <v>38</v>
      </c>
      <c r="G1354">
        <v>1</v>
      </c>
      <c r="H1354">
        <v>68</v>
      </c>
      <c r="I1354" s="25">
        <v>242</v>
      </c>
      <c r="K1354" t="s">
        <v>56</v>
      </c>
      <c r="O1354">
        <v>45</v>
      </c>
      <c r="Q1354">
        <f t="shared" si="47"/>
        <v>0</v>
      </c>
      <c r="R1354">
        <v>1</v>
      </c>
      <c r="S1354">
        <v>0</v>
      </c>
      <c r="T1354">
        <v>0</v>
      </c>
      <c r="U1354">
        <v>0</v>
      </c>
      <c r="V1354">
        <v>0</v>
      </c>
      <c r="W1354">
        <v>0</v>
      </c>
      <c r="X1354" s="21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f t="shared" si="48"/>
        <v>0</v>
      </c>
      <c r="AP1354" t="s">
        <v>41</v>
      </c>
    </row>
    <row r="1355" spans="1:42">
      <c r="A1355" s="1">
        <v>43789</v>
      </c>
      <c r="B1355">
        <v>3</v>
      </c>
      <c r="C1355">
        <v>310</v>
      </c>
      <c r="D1355"/>
      <c r="E1355" t="s">
        <v>37</v>
      </c>
      <c r="F1355" t="s">
        <v>38</v>
      </c>
      <c r="G1355">
        <v>1</v>
      </c>
      <c r="H1355">
        <v>69</v>
      </c>
      <c r="I1355" s="25">
        <v>260</v>
      </c>
      <c r="K1355" t="s">
        <v>60</v>
      </c>
      <c r="N1355" t="s">
        <v>40</v>
      </c>
      <c r="O1355">
        <v>50</v>
      </c>
      <c r="Q1355">
        <f t="shared" si="47"/>
        <v>0</v>
      </c>
      <c r="R1355">
        <v>1</v>
      </c>
      <c r="S1355">
        <v>0</v>
      </c>
      <c r="T1355">
        <v>0</v>
      </c>
      <c r="U1355">
        <v>0</v>
      </c>
      <c r="V1355">
        <v>0</v>
      </c>
      <c r="W1355">
        <v>0</v>
      </c>
      <c r="X1355" s="21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f t="shared" si="48"/>
        <v>0</v>
      </c>
      <c r="AP1355" t="s">
        <v>41</v>
      </c>
    </row>
    <row r="1356" spans="1:42">
      <c r="A1356" s="1">
        <v>43789</v>
      </c>
      <c r="B1356">
        <v>3</v>
      </c>
      <c r="C1356">
        <v>310</v>
      </c>
      <c r="D1356"/>
      <c r="E1356" t="s">
        <v>37</v>
      </c>
      <c r="F1356" t="s">
        <v>38</v>
      </c>
      <c r="G1356">
        <v>1</v>
      </c>
      <c r="H1356">
        <v>70</v>
      </c>
      <c r="I1356" s="25">
        <v>311</v>
      </c>
      <c r="K1356" t="s">
        <v>56</v>
      </c>
      <c r="N1356" t="s">
        <v>40</v>
      </c>
      <c r="O1356">
        <v>52</v>
      </c>
      <c r="Q1356">
        <f t="shared" si="47"/>
        <v>1</v>
      </c>
      <c r="R1356">
        <v>1</v>
      </c>
      <c r="S1356">
        <v>0</v>
      </c>
      <c r="T1356">
        <v>0</v>
      </c>
      <c r="U1356">
        <v>0</v>
      </c>
      <c r="V1356">
        <v>1</v>
      </c>
      <c r="W1356">
        <v>0</v>
      </c>
      <c r="X1356" s="21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f t="shared" si="48"/>
        <v>64</v>
      </c>
      <c r="AP1356" t="s">
        <v>41</v>
      </c>
    </row>
    <row r="1357" spans="1:42">
      <c r="A1357" s="1">
        <v>43789</v>
      </c>
      <c r="B1357">
        <v>3</v>
      </c>
      <c r="C1357">
        <v>310</v>
      </c>
      <c r="D1357"/>
      <c r="E1357" t="s">
        <v>37</v>
      </c>
      <c r="F1357" t="s">
        <v>38</v>
      </c>
      <c r="G1357">
        <v>1</v>
      </c>
      <c r="H1357">
        <v>71</v>
      </c>
      <c r="I1357" s="25">
        <v>255</v>
      </c>
      <c r="K1357" t="s">
        <v>56</v>
      </c>
      <c r="N1357" t="s">
        <v>40</v>
      </c>
      <c r="O1357">
        <v>52</v>
      </c>
      <c r="Q1357">
        <f t="shared" si="47"/>
        <v>2</v>
      </c>
      <c r="R1357">
        <v>1</v>
      </c>
      <c r="S1357">
        <v>0</v>
      </c>
      <c r="T1357">
        <v>0</v>
      </c>
      <c r="U1357">
        <v>0</v>
      </c>
      <c r="V1357">
        <v>2</v>
      </c>
      <c r="W1357">
        <v>0</v>
      </c>
      <c r="X1357" s="21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f t="shared" si="48"/>
        <v>128</v>
      </c>
      <c r="AP1357" t="s">
        <v>41</v>
      </c>
    </row>
    <row r="1358" spans="1:42">
      <c r="A1358" s="1">
        <v>43789</v>
      </c>
      <c r="B1358">
        <v>3</v>
      </c>
      <c r="C1358">
        <v>310</v>
      </c>
      <c r="D1358"/>
      <c r="E1358" t="s">
        <v>37</v>
      </c>
      <c r="F1358" t="s">
        <v>38</v>
      </c>
      <c r="G1358">
        <v>1</v>
      </c>
      <c r="H1358">
        <v>72</v>
      </c>
      <c r="I1358" s="25">
        <v>295</v>
      </c>
      <c r="K1358" t="s">
        <v>56</v>
      </c>
      <c r="N1358" t="s">
        <v>40</v>
      </c>
      <c r="O1358">
        <v>52</v>
      </c>
      <c r="Q1358">
        <f t="shared" si="47"/>
        <v>1</v>
      </c>
      <c r="R1358">
        <v>1</v>
      </c>
      <c r="S1358">
        <v>0</v>
      </c>
      <c r="T1358">
        <v>0</v>
      </c>
      <c r="U1358">
        <v>0</v>
      </c>
      <c r="V1358">
        <v>1</v>
      </c>
      <c r="W1358">
        <v>0</v>
      </c>
      <c r="X1358" s="21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f t="shared" si="48"/>
        <v>64</v>
      </c>
      <c r="AP1358" t="s">
        <v>41</v>
      </c>
    </row>
    <row r="1359" spans="1:42">
      <c r="A1359" s="1">
        <v>43789</v>
      </c>
      <c r="B1359">
        <v>3</v>
      </c>
      <c r="C1359">
        <v>310</v>
      </c>
      <c r="D1359"/>
      <c r="E1359" t="s">
        <v>37</v>
      </c>
      <c r="F1359" t="s">
        <v>38</v>
      </c>
      <c r="G1359">
        <v>1</v>
      </c>
      <c r="H1359">
        <v>73</v>
      </c>
      <c r="I1359" s="25">
        <v>130</v>
      </c>
      <c r="K1359" t="s">
        <v>60</v>
      </c>
      <c r="N1359" t="s">
        <v>40</v>
      </c>
      <c r="O1359">
        <v>45</v>
      </c>
      <c r="Q1359">
        <f t="shared" si="47"/>
        <v>1</v>
      </c>
      <c r="R1359">
        <v>1</v>
      </c>
      <c r="S1359">
        <v>0</v>
      </c>
      <c r="T1359">
        <v>0</v>
      </c>
      <c r="U1359">
        <v>0</v>
      </c>
      <c r="V1359">
        <v>1</v>
      </c>
      <c r="W1359">
        <v>0</v>
      </c>
      <c r="X1359" s="21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f t="shared" si="48"/>
        <v>64</v>
      </c>
      <c r="AP1359" t="s">
        <v>41</v>
      </c>
    </row>
    <row r="1360" spans="1:42">
      <c r="A1360" s="1">
        <v>43789</v>
      </c>
      <c r="B1360">
        <v>3</v>
      </c>
      <c r="C1360">
        <v>310</v>
      </c>
      <c r="D1360"/>
      <c r="E1360" t="s">
        <v>37</v>
      </c>
      <c r="F1360" t="s">
        <v>38</v>
      </c>
      <c r="G1360">
        <v>1</v>
      </c>
      <c r="H1360">
        <v>74</v>
      </c>
      <c r="I1360" s="25">
        <v>75</v>
      </c>
      <c r="K1360" t="s">
        <v>60</v>
      </c>
      <c r="N1360" t="s">
        <v>40</v>
      </c>
      <c r="O1360">
        <v>61</v>
      </c>
      <c r="Q1360">
        <f t="shared" si="47"/>
        <v>2</v>
      </c>
      <c r="R1360">
        <v>1</v>
      </c>
      <c r="S1360">
        <v>0</v>
      </c>
      <c r="T1360">
        <v>0</v>
      </c>
      <c r="U1360">
        <v>0</v>
      </c>
      <c r="V1360">
        <v>2</v>
      </c>
      <c r="W1360">
        <v>0</v>
      </c>
      <c r="X1360" s="21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f t="shared" si="48"/>
        <v>128</v>
      </c>
      <c r="AP1360" t="s">
        <v>41</v>
      </c>
    </row>
    <row r="1361" spans="1:42">
      <c r="A1361" s="1">
        <v>43789</v>
      </c>
      <c r="B1361">
        <v>3</v>
      </c>
      <c r="C1361">
        <v>310</v>
      </c>
      <c r="D1361"/>
      <c r="E1361" t="s">
        <v>37</v>
      </c>
      <c r="F1361" t="s">
        <v>38</v>
      </c>
      <c r="G1361">
        <v>1</v>
      </c>
      <c r="H1361">
        <v>75</v>
      </c>
      <c r="I1361" s="25">
        <v>77</v>
      </c>
      <c r="K1361" t="s">
        <v>60</v>
      </c>
      <c r="N1361" t="s">
        <v>40</v>
      </c>
      <c r="O1361">
        <v>61</v>
      </c>
      <c r="Q1361">
        <f t="shared" si="47"/>
        <v>2</v>
      </c>
      <c r="R1361">
        <v>1</v>
      </c>
      <c r="S1361">
        <v>0</v>
      </c>
      <c r="T1361">
        <v>0</v>
      </c>
      <c r="U1361">
        <v>0</v>
      </c>
      <c r="V1361">
        <v>2</v>
      </c>
      <c r="W1361">
        <v>0</v>
      </c>
      <c r="X1361" s="2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f t="shared" si="48"/>
        <v>128</v>
      </c>
      <c r="AP1361" t="s">
        <v>41</v>
      </c>
    </row>
    <row r="1362" spans="1:42">
      <c r="A1362" s="1">
        <v>43789</v>
      </c>
      <c r="B1362">
        <v>3</v>
      </c>
      <c r="C1362">
        <v>310</v>
      </c>
      <c r="D1362"/>
      <c r="E1362" t="s">
        <v>37</v>
      </c>
      <c r="F1362" t="s">
        <v>38</v>
      </c>
      <c r="G1362">
        <v>1</v>
      </c>
      <c r="H1362">
        <v>76</v>
      </c>
      <c r="I1362" s="25">
        <v>22</v>
      </c>
      <c r="K1362" t="s">
        <v>60</v>
      </c>
      <c r="N1362" t="s">
        <v>40</v>
      </c>
      <c r="O1362">
        <v>38</v>
      </c>
      <c r="Q1362">
        <f t="shared" si="47"/>
        <v>1</v>
      </c>
      <c r="R1362">
        <v>1</v>
      </c>
      <c r="S1362">
        <v>0</v>
      </c>
      <c r="T1362">
        <v>0</v>
      </c>
      <c r="U1362">
        <v>0</v>
      </c>
      <c r="V1362">
        <v>1</v>
      </c>
      <c r="W1362">
        <v>0</v>
      </c>
      <c r="X1362" s="21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f t="shared" si="48"/>
        <v>64</v>
      </c>
      <c r="AP1362" t="s">
        <v>41</v>
      </c>
    </row>
    <row r="1363" spans="1:42">
      <c r="A1363" s="1">
        <v>43789</v>
      </c>
      <c r="B1363">
        <v>3</v>
      </c>
      <c r="C1363">
        <v>310</v>
      </c>
      <c r="D1363"/>
      <c r="E1363" t="s">
        <v>37</v>
      </c>
      <c r="F1363" t="s">
        <v>38</v>
      </c>
      <c r="G1363">
        <v>1</v>
      </c>
      <c r="H1363">
        <v>77</v>
      </c>
      <c r="I1363" s="25">
        <v>22</v>
      </c>
      <c r="K1363" t="s">
        <v>60</v>
      </c>
      <c r="N1363" t="s">
        <v>40</v>
      </c>
      <c r="O1363">
        <v>80</v>
      </c>
      <c r="Q1363">
        <f t="shared" si="47"/>
        <v>3</v>
      </c>
      <c r="R1363">
        <v>1</v>
      </c>
      <c r="S1363">
        <v>0</v>
      </c>
      <c r="T1363">
        <v>0</v>
      </c>
      <c r="U1363">
        <v>0</v>
      </c>
      <c r="V1363">
        <v>3</v>
      </c>
      <c r="W1363">
        <v>0</v>
      </c>
      <c r="X1363" s="21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f t="shared" si="48"/>
        <v>192</v>
      </c>
      <c r="AP1363" t="s">
        <v>41</v>
      </c>
    </row>
    <row r="1364" spans="1:42">
      <c r="A1364" s="1">
        <v>43789</v>
      </c>
      <c r="B1364">
        <v>3</v>
      </c>
      <c r="C1364">
        <v>310</v>
      </c>
      <c r="D1364"/>
      <c r="E1364" t="s">
        <v>37</v>
      </c>
      <c r="F1364" t="s">
        <v>38</v>
      </c>
      <c r="G1364">
        <v>1</v>
      </c>
      <c r="H1364">
        <v>78</v>
      </c>
      <c r="I1364" s="25">
        <v>111</v>
      </c>
      <c r="K1364" t="s">
        <v>69</v>
      </c>
      <c r="N1364" t="s">
        <v>40</v>
      </c>
      <c r="O1364">
        <v>142</v>
      </c>
      <c r="Q1364">
        <f t="shared" si="47"/>
        <v>8</v>
      </c>
      <c r="R1364">
        <v>1</v>
      </c>
      <c r="S1364">
        <v>0</v>
      </c>
      <c r="T1364">
        <v>0</v>
      </c>
      <c r="U1364">
        <v>0</v>
      </c>
      <c r="V1364">
        <v>8</v>
      </c>
      <c r="W1364">
        <v>0</v>
      </c>
      <c r="X1364" s="21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f t="shared" si="48"/>
        <v>512</v>
      </c>
      <c r="AP1364" t="s">
        <v>41</v>
      </c>
    </row>
    <row r="1365" spans="1:42">
      <c r="A1365" s="1">
        <v>43789</v>
      </c>
      <c r="B1365">
        <v>3</v>
      </c>
      <c r="C1365">
        <v>310</v>
      </c>
      <c r="D1365"/>
      <c r="E1365" t="s">
        <v>37</v>
      </c>
      <c r="F1365" t="s">
        <v>38</v>
      </c>
      <c r="G1365">
        <v>1</v>
      </c>
      <c r="H1365">
        <v>79</v>
      </c>
      <c r="I1365" s="25">
        <v>120</v>
      </c>
      <c r="K1365" t="s">
        <v>69</v>
      </c>
      <c r="N1365" t="s">
        <v>40</v>
      </c>
      <c r="O1365">
        <v>35</v>
      </c>
      <c r="Q1365">
        <f t="shared" si="47"/>
        <v>0</v>
      </c>
      <c r="R1365">
        <v>1</v>
      </c>
      <c r="S1365">
        <v>0</v>
      </c>
      <c r="T1365">
        <v>0</v>
      </c>
      <c r="U1365">
        <v>0</v>
      </c>
      <c r="V1365">
        <v>0</v>
      </c>
      <c r="W1365">
        <v>0</v>
      </c>
      <c r="X1365" s="21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f t="shared" si="48"/>
        <v>0</v>
      </c>
      <c r="AP1365" t="s">
        <v>41</v>
      </c>
    </row>
    <row r="1366" spans="1:42">
      <c r="A1366" s="1">
        <v>43789</v>
      </c>
      <c r="B1366">
        <v>3</v>
      </c>
      <c r="C1366">
        <v>310</v>
      </c>
      <c r="D1366"/>
      <c r="E1366" t="s">
        <v>37</v>
      </c>
      <c r="F1366" t="s">
        <v>38</v>
      </c>
      <c r="G1366">
        <v>1</v>
      </c>
      <c r="H1366">
        <v>80</v>
      </c>
      <c r="I1366" s="25">
        <v>200</v>
      </c>
      <c r="K1366" t="s">
        <v>69</v>
      </c>
      <c r="N1366" t="s">
        <v>40</v>
      </c>
      <c r="O1366">
        <v>48</v>
      </c>
      <c r="Q1366">
        <f t="shared" si="47"/>
        <v>3</v>
      </c>
      <c r="R1366">
        <v>1</v>
      </c>
      <c r="S1366">
        <v>0</v>
      </c>
      <c r="T1366">
        <v>0</v>
      </c>
      <c r="U1366">
        <v>0</v>
      </c>
      <c r="V1366">
        <v>3</v>
      </c>
      <c r="W1366">
        <v>0</v>
      </c>
      <c r="X1366" s="21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f t="shared" si="48"/>
        <v>192</v>
      </c>
      <c r="AP1366" t="s">
        <v>41</v>
      </c>
    </row>
    <row r="1367" spans="1:42">
      <c r="A1367" s="1">
        <v>43789</v>
      </c>
      <c r="B1367">
        <v>3</v>
      </c>
      <c r="C1367">
        <v>310</v>
      </c>
      <c r="D1367"/>
      <c r="E1367" t="s">
        <v>37</v>
      </c>
      <c r="F1367" t="s">
        <v>38</v>
      </c>
      <c r="G1367">
        <v>1</v>
      </c>
      <c r="H1367">
        <v>81</v>
      </c>
      <c r="I1367" s="25">
        <v>221</v>
      </c>
      <c r="K1367" t="s">
        <v>69</v>
      </c>
      <c r="N1367" t="s">
        <v>40</v>
      </c>
      <c r="O1367">
        <v>48</v>
      </c>
      <c r="Q1367">
        <f t="shared" si="47"/>
        <v>1</v>
      </c>
      <c r="R1367">
        <v>1</v>
      </c>
      <c r="S1367">
        <v>0</v>
      </c>
      <c r="T1367">
        <v>0</v>
      </c>
      <c r="U1367">
        <v>0</v>
      </c>
      <c r="V1367">
        <v>1</v>
      </c>
      <c r="W1367">
        <v>0</v>
      </c>
      <c r="X1367" s="21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f t="shared" si="48"/>
        <v>64</v>
      </c>
      <c r="AP1367" t="s">
        <v>41</v>
      </c>
    </row>
    <row r="1368" spans="1:42">
      <c r="A1368" s="1">
        <v>43789</v>
      </c>
      <c r="B1368">
        <v>3</v>
      </c>
      <c r="C1368">
        <v>310</v>
      </c>
      <c r="D1368"/>
      <c r="E1368" t="s">
        <v>37</v>
      </c>
      <c r="F1368" t="s">
        <v>38</v>
      </c>
      <c r="G1368">
        <v>1</v>
      </c>
      <c r="H1368">
        <v>82</v>
      </c>
      <c r="I1368" s="25">
        <v>201</v>
      </c>
      <c r="K1368" t="s">
        <v>69</v>
      </c>
      <c r="N1368" t="s">
        <v>40</v>
      </c>
      <c r="O1368">
        <v>48</v>
      </c>
      <c r="Q1368">
        <f t="shared" ref="Q1368:Q1431" si="49">SUM(S1368:AC1368)</f>
        <v>1</v>
      </c>
      <c r="R1368">
        <v>1</v>
      </c>
      <c r="S1368">
        <v>0</v>
      </c>
      <c r="T1368">
        <v>0</v>
      </c>
      <c r="U1368">
        <v>0</v>
      </c>
      <c r="V1368">
        <v>1</v>
      </c>
      <c r="W1368">
        <v>0</v>
      </c>
      <c r="X1368" s="21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f t="shared" ref="AH1368:AH1431" si="50">(S1368*16)+(T1368*20)+(U1368*32)+(V1368*64)+(W1368*96)</f>
        <v>64</v>
      </c>
      <c r="AP1368" t="s">
        <v>41</v>
      </c>
    </row>
    <row r="1369" spans="1:42">
      <c r="A1369" s="1">
        <v>43789</v>
      </c>
      <c r="B1369">
        <v>3</v>
      </c>
      <c r="C1369">
        <v>310</v>
      </c>
      <c r="D1369"/>
      <c r="E1369" t="s">
        <v>37</v>
      </c>
      <c r="F1369" t="s">
        <v>38</v>
      </c>
      <c r="G1369">
        <v>1</v>
      </c>
      <c r="H1369">
        <v>83</v>
      </c>
      <c r="I1369" s="25">
        <v>115</v>
      </c>
      <c r="K1369" t="s">
        <v>58</v>
      </c>
      <c r="N1369" t="s">
        <v>40</v>
      </c>
      <c r="O1369">
        <v>76</v>
      </c>
      <c r="Q1369">
        <f t="shared" si="49"/>
        <v>4</v>
      </c>
      <c r="R1369">
        <v>1</v>
      </c>
      <c r="S1369">
        <v>0</v>
      </c>
      <c r="T1369">
        <v>0</v>
      </c>
      <c r="U1369">
        <v>0</v>
      </c>
      <c r="V1369">
        <v>4</v>
      </c>
      <c r="W1369">
        <v>0</v>
      </c>
      <c r="X1369" s="21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f t="shared" si="50"/>
        <v>256</v>
      </c>
      <c r="AP1369" t="s">
        <v>41</v>
      </c>
    </row>
    <row r="1370" spans="1:42">
      <c r="A1370" s="1">
        <v>43789</v>
      </c>
      <c r="B1370">
        <v>3</v>
      </c>
      <c r="C1370">
        <v>310</v>
      </c>
      <c r="D1370"/>
      <c r="E1370" t="s">
        <v>37</v>
      </c>
      <c r="F1370" t="s">
        <v>38</v>
      </c>
      <c r="G1370">
        <v>1</v>
      </c>
      <c r="H1370">
        <v>84</v>
      </c>
      <c r="I1370" s="25">
        <v>119</v>
      </c>
      <c r="K1370" t="s">
        <v>58</v>
      </c>
      <c r="N1370" t="s">
        <v>40</v>
      </c>
      <c r="O1370">
        <v>50</v>
      </c>
      <c r="Q1370">
        <f t="shared" si="49"/>
        <v>2</v>
      </c>
      <c r="R1370">
        <v>1</v>
      </c>
      <c r="S1370">
        <v>0</v>
      </c>
      <c r="T1370">
        <v>0</v>
      </c>
      <c r="U1370">
        <v>0</v>
      </c>
      <c r="V1370">
        <v>2</v>
      </c>
      <c r="W1370">
        <v>0</v>
      </c>
      <c r="X1370" s="21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f t="shared" si="50"/>
        <v>128</v>
      </c>
      <c r="AP1370" t="s">
        <v>41</v>
      </c>
    </row>
    <row r="1371" spans="1:42">
      <c r="A1371" s="1">
        <v>43789</v>
      </c>
      <c r="B1371">
        <v>3</v>
      </c>
      <c r="C1371">
        <v>310</v>
      </c>
      <c r="D1371"/>
      <c r="E1371" t="s">
        <v>37</v>
      </c>
      <c r="F1371" t="s">
        <v>38</v>
      </c>
      <c r="G1371">
        <v>1</v>
      </c>
      <c r="H1371">
        <v>85</v>
      </c>
      <c r="I1371" s="25">
        <v>155</v>
      </c>
      <c r="K1371" t="s">
        <v>58</v>
      </c>
      <c r="N1371" t="s">
        <v>40</v>
      </c>
      <c r="O1371">
        <v>50</v>
      </c>
      <c r="Q1371">
        <f t="shared" si="49"/>
        <v>2</v>
      </c>
      <c r="R1371">
        <v>1</v>
      </c>
      <c r="S1371">
        <v>0</v>
      </c>
      <c r="T1371">
        <v>0</v>
      </c>
      <c r="U1371">
        <v>0</v>
      </c>
      <c r="V1371">
        <v>2</v>
      </c>
      <c r="W1371">
        <v>0</v>
      </c>
      <c r="X1371" s="2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f t="shared" si="50"/>
        <v>128</v>
      </c>
      <c r="AP1371" t="s">
        <v>41</v>
      </c>
    </row>
    <row r="1372" spans="1:42">
      <c r="A1372" s="1">
        <v>43789</v>
      </c>
      <c r="B1372">
        <v>3</v>
      </c>
      <c r="C1372">
        <v>310</v>
      </c>
      <c r="D1372"/>
      <c r="E1372" t="s">
        <v>37</v>
      </c>
      <c r="F1372" t="s">
        <v>38</v>
      </c>
      <c r="G1372">
        <v>1</v>
      </c>
      <c r="H1372">
        <v>86</v>
      </c>
      <c r="I1372" s="25" t="s">
        <v>89</v>
      </c>
      <c r="K1372" t="s">
        <v>71</v>
      </c>
      <c r="N1372" t="s">
        <v>40</v>
      </c>
      <c r="O1372">
        <v>63</v>
      </c>
      <c r="Q1372">
        <f t="shared" si="49"/>
        <v>2</v>
      </c>
      <c r="R1372">
        <v>1</v>
      </c>
      <c r="S1372">
        <v>0</v>
      </c>
      <c r="T1372">
        <v>0</v>
      </c>
      <c r="U1372">
        <v>0</v>
      </c>
      <c r="V1372">
        <v>2</v>
      </c>
      <c r="W1372">
        <v>0</v>
      </c>
      <c r="X1372" s="21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f t="shared" si="50"/>
        <v>128</v>
      </c>
      <c r="AP1372" t="s">
        <v>41</v>
      </c>
    </row>
    <row r="1373" spans="1:42">
      <c r="A1373" s="1">
        <v>43789</v>
      </c>
      <c r="B1373">
        <v>3</v>
      </c>
      <c r="C1373">
        <v>310</v>
      </c>
      <c r="D1373"/>
      <c r="E1373" t="s">
        <v>37</v>
      </c>
      <c r="F1373" t="s">
        <v>38</v>
      </c>
      <c r="G1373">
        <v>1</v>
      </c>
      <c r="H1373">
        <v>87</v>
      </c>
      <c r="I1373" s="25">
        <v>301</v>
      </c>
      <c r="K1373" t="s">
        <v>69</v>
      </c>
      <c r="N1373" t="s">
        <v>42</v>
      </c>
      <c r="O1373">
        <v>56</v>
      </c>
      <c r="Q1373">
        <f t="shared" si="49"/>
        <v>1</v>
      </c>
      <c r="R1373">
        <v>1</v>
      </c>
      <c r="S1373">
        <v>0</v>
      </c>
      <c r="T1373">
        <v>0</v>
      </c>
      <c r="U1373">
        <v>0</v>
      </c>
      <c r="V1373">
        <v>1</v>
      </c>
      <c r="W1373">
        <v>0</v>
      </c>
      <c r="X1373" s="21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f t="shared" si="50"/>
        <v>64</v>
      </c>
      <c r="AL1373" t="s">
        <v>45</v>
      </c>
      <c r="AP1373" t="s">
        <v>41</v>
      </c>
    </row>
    <row r="1374" spans="1:42">
      <c r="A1374" s="1">
        <v>43789</v>
      </c>
      <c r="B1374">
        <v>3</v>
      </c>
      <c r="C1374">
        <v>310</v>
      </c>
      <c r="D1374"/>
      <c r="E1374" t="s">
        <v>37</v>
      </c>
      <c r="F1374" t="s">
        <v>38</v>
      </c>
      <c r="G1374">
        <v>1</v>
      </c>
      <c r="H1374">
        <v>88</v>
      </c>
      <c r="I1374" s="25">
        <v>70</v>
      </c>
      <c r="K1374" t="s">
        <v>72</v>
      </c>
      <c r="N1374" t="s">
        <v>40</v>
      </c>
      <c r="O1374">
        <v>45</v>
      </c>
      <c r="Q1374">
        <f t="shared" si="49"/>
        <v>1</v>
      </c>
      <c r="R1374">
        <v>1</v>
      </c>
      <c r="S1374">
        <v>0</v>
      </c>
      <c r="T1374">
        <v>0</v>
      </c>
      <c r="U1374">
        <v>0</v>
      </c>
      <c r="V1374">
        <v>1</v>
      </c>
      <c r="W1374">
        <v>0</v>
      </c>
      <c r="X1374" s="21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f t="shared" si="50"/>
        <v>64</v>
      </c>
      <c r="AP1374" t="s">
        <v>41</v>
      </c>
    </row>
    <row r="1375" spans="1:42">
      <c r="A1375" s="1">
        <v>43789</v>
      </c>
      <c r="B1375">
        <v>3</v>
      </c>
      <c r="C1375">
        <v>310</v>
      </c>
      <c r="D1375"/>
      <c r="E1375" t="s">
        <v>37</v>
      </c>
      <c r="F1375" t="s">
        <v>38</v>
      </c>
      <c r="G1375">
        <v>1</v>
      </c>
      <c r="H1375">
        <v>89</v>
      </c>
      <c r="I1375" s="25">
        <v>351</v>
      </c>
      <c r="K1375" t="s">
        <v>56</v>
      </c>
      <c r="N1375" t="s">
        <v>40</v>
      </c>
      <c r="O1375">
        <v>63</v>
      </c>
      <c r="Q1375">
        <f t="shared" si="49"/>
        <v>1</v>
      </c>
      <c r="R1375">
        <v>1</v>
      </c>
      <c r="S1375">
        <v>0</v>
      </c>
      <c r="T1375">
        <v>0</v>
      </c>
      <c r="U1375">
        <v>0</v>
      </c>
      <c r="V1375">
        <v>1</v>
      </c>
      <c r="W1375">
        <v>0</v>
      </c>
      <c r="X1375" s="21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f t="shared" si="50"/>
        <v>64</v>
      </c>
      <c r="AP1375" t="s">
        <v>41</v>
      </c>
    </row>
    <row r="1376" spans="1:42">
      <c r="A1376" s="1">
        <v>43789</v>
      </c>
      <c r="B1376">
        <v>3</v>
      </c>
      <c r="C1376">
        <v>310</v>
      </c>
      <c r="D1376"/>
      <c r="E1376" t="s">
        <v>37</v>
      </c>
      <c r="F1376" t="s">
        <v>38</v>
      </c>
      <c r="G1376">
        <v>1</v>
      </c>
      <c r="H1376">
        <v>90</v>
      </c>
      <c r="I1376" s="25">
        <v>240</v>
      </c>
      <c r="K1376" t="s">
        <v>56</v>
      </c>
      <c r="N1376" t="s">
        <v>40</v>
      </c>
      <c r="O1376">
        <v>125</v>
      </c>
      <c r="Q1376">
        <f t="shared" si="49"/>
        <v>2</v>
      </c>
      <c r="R1376">
        <v>1</v>
      </c>
      <c r="S1376">
        <v>0</v>
      </c>
      <c r="T1376">
        <v>0</v>
      </c>
      <c r="U1376">
        <v>0</v>
      </c>
      <c r="V1376">
        <v>2</v>
      </c>
      <c r="W1376">
        <v>0</v>
      </c>
      <c r="X1376" s="21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f t="shared" si="50"/>
        <v>128</v>
      </c>
      <c r="AP1376" t="s">
        <v>41</v>
      </c>
    </row>
    <row r="1377" spans="1:42">
      <c r="A1377" s="1">
        <v>43789</v>
      </c>
      <c r="B1377">
        <v>3</v>
      </c>
      <c r="C1377">
        <v>310</v>
      </c>
      <c r="D1377"/>
      <c r="E1377" t="s">
        <v>37</v>
      </c>
      <c r="F1377" t="s">
        <v>38</v>
      </c>
      <c r="G1377">
        <v>1</v>
      </c>
      <c r="H1377">
        <v>91</v>
      </c>
      <c r="I1377" s="25">
        <v>456</v>
      </c>
      <c r="K1377" t="s">
        <v>71</v>
      </c>
      <c r="N1377" t="s">
        <v>40</v>
      </c>
      <c r="O1377">
        <v>45</v>
      </c>
      <c r="Q1377">
        <f t="shared" si="49"/>
        <v>2</v>
      </c>
      <c r="R1377">
        <v>1</v>
      </c>
      <c r="S1377">
        <v>0</v>
      </c>
      <c r="T1377">
        <v>0</v>
      </c>
      <c r="U1377">
        <v>0</v>
      </c>
      <c r="V1377">
        <v>2</v>
      </c>
      <c r="W1377">
        <v>0</v>
      </c>
      <c r="X1377" s="21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f t="shared" si="50"/>
        <v>128</v>
      </c>
      <c r="AP1377" t="s">
        <v>41</v>
      </c>
    </row>
    <row r="1378" spans="1:42">
      <c r="A1378" s="1">
        <v>43789</v>
      </c>
      <c r="B1378">
        <v>3</v>
      </c>
      <c r="C1378">
        <v>310</v>
      </c>
      <c r="D1378"/>
      <c r="E1378" t="s">
        <v>37</v>
      </c>
      <c r="F1378" t="s">
        <v>38</v>
      </c>
      <c r="G1378">
        <v>1</v>
      </c>
      <c r="H1378">
        <v>92</v>
      </c>
      <c r="I1378" s="25">
        <v>500</v>
      </c>
      <c r="K1378" t="s">
        <v>56</v>
      </c>
      <c r="N1378" t="s">
        <v>40</v>
      </c>
      <c r="O1378">
        <v>180</v>
      </c>
      <c r="Q1378">
        <f t="shared" si="49"/>
        <v>9</v>
      </c>
      <c r="R1378">
        <v>1</v>
      </c>
      <c r="S1378">
        <v>0</v>
      </c>
      <c r="T1378">
        <v>0</v>
      </c>
      <c r="U1378">
        <v>0</v>
      </c>
      <c r="V1378">
        <v>9</v>
      </c>
      <c r="W1378">
        <v>0</v>
      </c>
      <c r="X1378" s="21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f t="shared" si="50"/>
        <v>576</v>
      </c>
      <c r="AP1378" t="s">
        <v>41</v>
      </c>
    </row>
    <row r="1379" spans="1:42">
      <c r="A1379" s="1">
        <v>43789</v>
      </c>
      <c r="B1379">
        <v>3</v>
      </c>
      <c r="C1379">
        <v>310</v>
      </c>
      <c r="D1379"/>
      <c r="E1379" t="s">
        <v>37</v>
      </c>
      <c r="F1379" t="s">
        <v>38</v>
      </c>
      <c r="G1379">
        <v>1</v>
      </c>
      <c r="H1379">
        <v>93</v>
      </c>
      <c r="I1379" s="25">
        <v>300</v>
      </c>
      <c r="K1379" t="s">
        <v>71</v>
      </c>
      <c r="N1379" t="s">
        <v>40</v>
      </c>
      <c r="O1379">
        <v>45</v>
      </c>
      <c r="Q1379">
        <f t="shared" si="49"/>
        <v>2</v>
      </c>
      <c r="R1379">
        <v>1</v>
      </c>
      <c r="S1379">
        <v>0</v>
      </c>
      <c r="T1379">
        <v>0</v>
      </c>
      <c r="U1379">
        <v>0</v>
      </c>
      <c r="V1379">
        <v>2</v>
      </c>
      <c r="W1379">
        <v>0</v>
      </c>
      <c r="X1379" s="21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f t="shared" si="50"/>
        <v>128</v>
      </c>
      <c r="AP1379" t="s">
        <v>41</v>
      </c>
    </row>
    <row r="1380" spans="1:42">
      <c r="A1380" s="1">
        <v>43789</v>
      </c>
      <c r="B1380">
        <v>3</v>
      </c>
      <c r="C1380">
        <v>310</v>
      </c>
      <c r="D1380"/>
      <c r="E1380" t="s">
        <v>37</v>
      </c>
      <c r="F1380" t="s">
        <v>38</v>
      </c>
      <c r="G1380">
        <v>1</v>
      </c>
      <c r="H1380">
        <v>94</v>
      </c>
      <c r="I1380" s="25">
        <v>315</v>
      </c>
      <c r="K1380" t="s">
        <v>71</v>
      </c>
      <c r="N1380" t="s">
        <v>40</v>
      </c>
      <c r="O1380">
        <v>125</v>
      </c>
      <c r="Q1380">
        <f t="shared" si="49"/>
        <v>2</v>
      </c>
      <c r="R1380">
        <v>1</v>
      </c>
      <c r="S1380">
        <v>0</v>
      </c>
      <c r="T1380">
        <v>0</v>
      </c>
      <c r="U1380">
        <v>0</v>
      </c>
      <c r="V1380">
        <v>2</v>
      </c>
      <c r="W1380">
        <v>0</v>
      </c>
      <c r="X1380" s="21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f t="shared" si="50"/>
        <v>128</v>
      </c>
      <c r="AP1380" t="s">
        <v>41</v>
      </c>
    </row>
    <row r="1381" spans="1:42">
      <c r="A1381" s="1">
        <v>43789</v>
      </c>
      <c r="B1381">
        <v>3</v>
      </c>
      <c r="C1381">
        <v>310</v>
      </c>
      <c r="D1381"/>
      <c r="E1381" t="s">
        <v>37</v>
      </c>
      <c r="F1381" t="s">
        <v>38</v>
      </c>
      <c r="G1381">
        <v>1</v>
      </c>
      <c r="H1381">
        <v>95</v>
      </c>
      <c r="I1381" s="25">
        <v>56</v>
      </c>
      <c r="K1381" t="s">
        <v>82</v>
      </c>
      <c r="N1381" t="s">
        <v>40</v>
      </c>
      <c r="O1381">
        <v>90</v>
      </c>
      <c r="Q1381">
        <f t="shared" si="49"/>
        <v>2</v>
      </c>
      <c r="R1381">
        <v>1</v>
      </c>
      <c r="S1381">
        <v>0</v>
      </c>
      <c r="T1381">
        <v>0</v>
      </c>
      <c r="U1381">
        <v>1</v>
      </c>
      <c r="V1381">
        <v>1</v>
      </c>
      <c r="W1381">
        <v>0</v>
      </c>
      <c r="X1381" s="2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f t="shared" si="50"/>
        <v>96</v>
      </c>
      <c r="AP1381" t="s">
        <v>41</v>
      </c>
    </row>
    <row r="1382" spans="1:42">
      <c r="A1382" s="1">
        <v>43789</v>
      </c>
      <c r="B1382">
        <v>3</v>
      </c>
      <c r="C1382">
        <v>310</v>
      </c>
      <c r="D1382"/>
      <c r="E1382" t="s">
        <v>37</v>
      </c>
      <c r="F1382" t="s">
        <v>38</v>
      </c>
      <c r="G1382">
        <v>1</v>
      </c>
      <c r="H1382">
        <v>96</v>
      </c>
      <c r="I1382" s="25">
        <v>44</v>
      </c>
      <c r="K1382" t="s">
        <v>82</v>
      </c>
      <c r="N1382" t="s">
        <v>40</v>
      </c>
      <c r="O1382">
        <v>29</v>
      </c>
      <c r="Q1382">
        <f t="shared" si="49"/>
        <v>1</v>
      </c>
      <c r="R1382">
        <v>1</v>
      </c>
      <c r="S1382">
        <v>0</v>
      </c>
      <c r="T1382">
        <v>0</v>
      </c>
      <c r="U1382">
        <v>0</v>
      </c>
      <c r="V1382">
        <v>1</v>
      </c>
      <c r="W1382">
        <v>0</v>
      </c>
      <c r="X1382" s="21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f t="shared" si="50"/>
        <v>64</v>
      </c>
      <c r="AP1382" t="s">
        <v>41</v>
      </c>
    </row>
    <row r="1383" spans="1:42">
      <c r="A1383" s="1">
        <v>43789</v>
      </c>
      <c r="B1383">
        <v>3</v>
      </c>
      <c r="C1383">
        <v>310</v>
      </c>
      <c r="D1383"/>
      <c r="E1383" t="s">
        <v>37</v>
      </c>
      <c r="F1383" t="s">
        <v>38</v>
      </c>
      <c r="G1383">
        <v>1</v>
      </c>
      <c r="H1383">
        <v>97</v>
      </c>
      <c r="I1383" s="25">
        <v>52</v>
      </c>
      <c r="K1383" t="s">
        <v>82</v>
      </c>
      <c r="N1383" t="s">
        <v>40</v>
      </c>
      <c r="O1383">
        <v>29</v>
      </c>
      <c r="Q1383">
        <f t="shared" si="49"/>
        <v>1</v>
      </c>
      <c r="R1383">
        <v>1</v>
      </c>
      <c r="S1383">
        <v>0</v>
      </c>
      <c r="T1383">
        <v>0</v>
      </c>
      <c r="U1383">
        <v>0</v>
      </c>
      <c r="V1383">
        <v>1</v>
      </c>
      <c r="W1383">
        <v>0</v>
      </c>
      <c r="X1383" s="21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f t="shared" si="50"/>
        <v>64</v>
      </c>
      <c r="AP1383" t="s">
        <v>41</v>
      </c>
    </row>
    <row r="1384" spans="1:42">
      <c r="A1384" s="1">
        <v>43789</v>
      </c>
      <c r="B1384">
        <v>3</v>
      </c>
      <c r="C1384">
        <v>310</v>
      </c>
      <c r="D1384"/>
      <c r="E1384" t="s">
        <v>37</v>
      </c>
      <c r="F1384" t="s">
        <v>38</v>
      </c>
      <c r="G1384">
        <v>1</v>
      </c>
      <c r="H1384">
        <v>98</v>
      </c>
      <c r="I1384" s="25">
        <v>28</v>
      </c>
      <c r="K1384" t="s">
        <v>82</v>
      </c>
      <c r="N1384" t="s">
        <v>40</v>
      </c>
      <c r="O1384">
        <v>41</v>
      </c>
      <c r="Q1384">
        <f t="shared" si="49"/>
        <v>1</v>
      </c>
      <c r="R1384">
        <v>1</v>
      </c>
      <c r="S1384">
        <v>0</v>
      </c>
      <c r="T1384">
        <v>0</v>
      </c>
      <c r="U1384">
        <v>0</v>
      </c>
      <c r="V1384">
        <v>1</v>
      </c>
      <c r="W1384">
        <v>0</v>
      </c>
      <c r="X1384" s="21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f t="shared" si="50"/>
        <v>64</v>
      </c>
      <c r="AP1384" t="s">
        <v>41</v>
      </c>
    </row>
    <row r="1385" spans="1:42">
      <c r="A1385" s="1">
        <v>43789</v>
      </c>
      <c r="B1385">
        <v>3</v>
      </c>
      <c r="C1385">
        <v>310</v>
      </c>
      <c r="D1385"/>
      <c r="E1385" t="s">
        <v>37</v>
      </c>
      <c r="F1385" t="s">
        <v>38</v>
      </c>
      <c r="G1385">
        <v>1</v>
      </c>
      <c r="H1385">
        <v>99</v>
      </c>
      <c r="I1385" s="25">
        <v>22</v>
      </c>
      <c r="K1385" t="s">
        <v>82</v>
      </c>
      <c r="N1385" t="s">
        <v>40</v>
      </c>
      <c r="O1385">
        <v>41</v>
      </c>
      <c r="Q1385">
        <f t="shared" si="49"/>
        <v>1</v>
      </c>
      <c r="R1385">
        <v>1</v>
      </c>
      <c r="S1385">
        <v>0</v>
      </c>
      <c r="T1385">
        <v>0</v>
      </c>
      <c r="U1385">
        <v>0</v>
      </c>
      <c r="V1385">
        <v>1</v>
      </c>
      <c r="W1385">
        <v>0</v>
      </c>
      <c r="X1385" s="21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f t="shared" si="50"/>
        <v>64</v>
      </c>
      <c r="AP1385" t="s">
        <v>41</v>
      </c>
    </row>
    <row r="1386" spans="1:42">
      <c r="A1386" s="1">
        <v>43789</v>
      </c>
      <c r="B1386">
        <v>3</v>
      </c>
      <c r="C1386">
        <v>310</v>
      </c>
      <c r="D1386"/>
      <c r="E1386" t="s">
        <v>37</v>
      </c>
      <c r="F1386" t="s">
        <v>38</v>
      </c>
      <c r="G1386">
        <v>1</v>
      </c>
      <c r="H1386">
        <v>100</v>
      </c>
      <c r="I1386" s="25">
        <v>379</v>
      </c>
      <c r="K1386" t="s">
        <v>46</v>
      </c>
      <c r="N1386" t="s">
        <v>40</v>
      </c>
      <c r="O1386">
        <v>41</v>
      </c>
      <c r="Q1386">
        <f t="shared" si="49"/>
        <v>2</v>
      </c>
      <c r="R1386">
        <v>1</v>
      </c>
      <c r="S1386">
        <v>0</v>
      </c>
      <c r="T1386">
        <v>0</v>
      </c>
      <c r="U1386">
        <v>0</v>
      </c>
      <c r="V1386">
        <v>2</v>
      </c>
      <c r="W1386">
        <v>0</v>
      </c>
      <c r="X1386" s="21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f t="shared" si="50"/>
        <v>128</v>
      </c>
      <c r="AP1386" t="s">
        <v>41</v>
      </c>
    </row>
    <row r="1387" spans="1:42">
      <c r="A1387" s="1">
        <v>43789</v>
      </c>
      <c r="B1387">
        <v>3</v>
      </c>
      <c r="C1387">
        <v>310</v>
      </c>
      <c r="D1387"/>
      <c r="E1387" t="s">
        <v>37</v>
      </c>
      <c r="F1387" t="s">
        <v>38</v>
      </c>
      <c r="G1387">
        <v>1</v>
      </c>
      <c r="H1387">
        <v>101</v>
      </c>
      <c r="I1387" s="25">
        <v>310</v>
      </c>
      <c r="K1387" t="s">
        <v>39</v>
      </c>
      <c r="N1387" t="s">
        <v>40</v>
      </c>
      <c r="O1387">
        <v>45</v>
      </c>
      <c r="Q1387">
        <f t="shared" si="49"/>
        <v>2</v>
      </c>
      <c r="R1387">
        <v>1</v>
      </c>
      <c r="S1387">
        <v>0</v>
      </c>
      <c r="T1387">
        <v>0</v>
      </c>
      <c r="U1387">
        <v>2</v>
      </c>
      <c r="V1387">
        <v>0</v>
      </c>
      <c r="W1387">
        <v>0</v>
      </c>
      <c r="X1387" s="21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f t="shared" si="50"/>
        <v>64</v>
      </c>
      <c r="AP1387" t="s">
        <v>41</v>
      </c>
    </row>
    <row r="1388" spans="1:42">
      <c r="A1388" s="1">
        <v>43789</v>
      </c>
      <c r="B1388">
        <v>3</v>
      </c>
      <c r="C1388">
        <v>310</v>
      </c>
      <c r="D1388"/>
      <c r="E1388" t="s">
        <v>37</v>
      </c>
      <c r="F1388" t="s">
        <v>38</v>
      </c>
      <c r="G1388">
        <v>1</v>
      </c>
      <c r="H1388">
        <v>102</v>
      </c>
      <c r="I1388" s="25">
        <v>380</v>
      </c>
      <c r="K1388" t="s">
        <v>46</v>
      </c>
      <c r="N1388" t="s">
        <v>40</v>
      </c>
      <c r="O1388">
        <v>45</v>
      </c>
      <c r="Q1388">
        <f t="shared" si="49"/>
        <v>1</v>
      </c>
      <c r="R1388">
        <v>1</v>
      </c>
      <c r="S1388">
        <v>0</v>
      </c>
      <c r="T1388">
        <v>0</v>
      </c>
      <c r="U1388">
        <v>1</v>
      </c>
      <c r="V1388">
        <v>0</v>
      </c>
      <c r="W1388">
        <v>0</v>
      </c>
      <c r="X1388" s="21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f t="shared" si="50"/>
        <v>32</v>
      </c>
      <c r="AP1388" t="s">
        <v>41</v>
      </c>
    </row>
    <row r="1389" spans="1:42">
      <c r="A1389" s="1">
        <v>43789</v>
      </c>
      <c r="B1389">
        <v>3</v>
      </c>
      <c r="C1389">
        <v>310</v>
      </c>
      <c r="D1389"/>
      <c r="E1389" t="s">
        <v>37</v>
      </c>
      <c r="F1389" t="s">
        <v>38</v>
      </c>
      <c r="G1389">
        <v>1</v>
      </c>
      <c r="H1389">
        <v>103</v>
      </c>
      <c r="I1389" s="25">
        <v>44</v>
      </c>
      <c r="K1389" t="s">
        <v>71</v>
      </c>
      <c r="N1389" t="s">
        <v>40</v>
      </c>
      <c r="O1389">
        <v>42</v>
      </c>
      <c r="Q1389">
        <f t="shared" si="49"/>
        <v>1</v>
      </c>
      <c r="R1389">
        <v>1</v>
      </c>
      <c r="S1389">
        <v>0</v>
      </c>
      <c r="T1389">
        <v>0</v>
      </c>
      <c r="U1389">
        <v>0</v>
      </c>
      <c r="V1389">
        <v>1</v>
      </c>
      <c r="W1389">
        <v>0</v>
      </c>
      <c r="X1389" s="21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f t="shared" si="50"/>
        <v>64</v>
      </c>
      <c r="AP1389" t="s">
        <v>41</v>
      </c>
    </row>
    <row r="1390" spans="1:42">
      <c r="A1390" s="1">
        <v>43789</v>
      </c>
      <c r="B1390">
        <v>3</v>
      </c>
      <c r="C1390">
        <v>310</v>
      </c>
      <c r="D1390"/>
      <c r="E1390" t="s">
        <v>37</v>
      </c>
      <c r="F1390" t="s">
        <v>38</v>
      </c>
      <c r="G1390">
        <v>1</v>
      </c>
      <c r="H1390">
        <v>104</v>
      </c>
      <c r="I1390" s="25">
        <v>554</v>
      </c>
      <c r="K1390" t="s">
        <v>73</v>
      </c>
      <c r="N1390" t="s">
        <v>40</v>
      </c>
      <c r="O1390">
        <v>51</v>
      </c>
      <c r="Q1390">
        <f t="shared" si="49"/>
        <v>1</v>
      </c>
      <c r="R1390">
        <v>1</v>
      </c>
      <c r="S1390">
        <v>0</v>
      </c>
      <c r="T1390">
        <v>0</v>
      </c>
      <c r="U1390">
        <v>1</v>
      </c>
      <c r="V1390">
        <v>0</v>
      </c>
      <c r="W1390">
        <v>0</v>
      </c>
      <c r="X1390" s="21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f t="shared" si="50"/>
        <v>32</v>
      </c>
      <c r="AP1390" t="s">
        <v>41</v>
      </c>
    </row>
    <row r="1391" spans="1:42">
      <c r="A1391" s="1">
        <v>43789</v>
      </c>
      <c r="B1391">
        <v>3</v>
      </c>
      <c r="C1391">
        <v>310</v>
      </c>
      <c r="D1391"/>
      <c r="E1391" t="s">
        <v>37</v>
      </c>
      <c r="F1391" t="s">
        <v>38</v>
      </c>
      <c r="G1391">
        <v>1</v>
      </c>
      <c r="H1391">
        <v>105</v>
      </c>
      <c r="I1391" s="25">
        <v>435</v>
      </c>
      <c r="K1391" t="s">
        <v>73</v>
      </c>
      <c r="N1391" t="s">
        <v>40</v>
      </c>
      <c r="O1391">
        <v>61</v>
      </c>
      <c r="Q1391">
        <f t="shared" si="49"/>
        <v>2</v>
      </c>
      <c r="R1391">
        <v>1</v>
      </c>
      <c r="S1391">
        <v>0</v>
      </c>
      <c r="T1391">
        <v>0</v>
      </c>
      <c r="U1391">
        <v>0</v>
      </c>
      <c r="V1391">
        <v>2</v>
      </c>
      <c r="W1391">
        <v>0</v>
      </c>
      <c r="X1391" s="2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f t="shared" si="50"/>
        <v>128</v>
      </c>
      <c r="AP1391" t="s">
        <v>41</v>
      </c>
    </row>
    <row r="1392" spans="1:42">
      <c r="A1392" s="1">
        <v>43789</v>
      </c>
      <c r="B1392">
        <v>3</v>
      </c>
      <c r="C1392">
        <v>310</v>
      </c>
      <c r="D1392"/>
      <c r="E1392" t="s">
        <v>37</v>
      </c>
      <c r="F1392" t="s">
        <v>38</v>
      </c>
      <c r="G1392">
        <v>1</v>
      </c>
      <c r="H1392">
        <v>106</v>
      </c>
      <c r="I1392" s="25">
        <v>120</v>
      </c>
      <c r="K1392" t="s">
        <v>71</v>
      </c>
      <c r="N1392" t="s">
        <v>40</v>
      </c>
      <c r="O1392">
        <v>118</v>
      </c>
      <c r="Q1392">
        <f t="shared" si="49"/>
        <v>8</v>
      </c>
      <c r="R1392">
        <v>1</v>
      </c>
      <c r="S1392">
        <v>0</v>
      </c>
      <c r="T1392">
        <v>0</v>
      </c>
      <c r="U1392">
        <v>0</v>
      </c>
      <c r="V1392">
        <v>8</v>
      </c>
      <c r="W1392">
        <v>0</v>
      </c>
      <c r="X1392" s="21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f t="shared" si="50"/>
        <v>512</v>
      </c>
      <c r="AP1392" t="s">
        <v>41</v>
      </c>
    </row>
    <row r="1393" spans="1:42">
      <c r="A1393" s="1">
        <v>43789</v>
      </c>
      <c r="B1393">
        <v>3</v>
      </c>
      <c r="C1393">
        <v>310</v>
      </c>
      <c r="D1393"/>
      <c r="E1393" t="s">
        <v>37</v>
      </c>
      <c r="F1393" t="s">
        <v>38</v>
      </c>
      <c r="G1393">
        <v>1</v>
      </c>
      <c r="H1393">
        <v>107</v>
      </c>
      <c r="I1393" s="25">
        <v>44</v>
      </c>
      <c r="K1393" t="s">
        <v>71</v>
      </c>
      <c r="N1393" t="s">
        <v>40</v>
      </c>
      <c r="O1393">
        <v>136</v>
      </c>
      <c r="Q1393">
        <f t="shared" si="49"/>
        <v>8</v>
      </c>
      <c r="R1393">
        <v>1</v>
      </c>
      <c r="S1393">
        <v>0</v>
      </c>
      <c r="T1393">
        <v>0</v>
      </c>
      <c r="U1393">
        <v>0</v>
      </c>
      <c r="V1393">
        <v>8</v>
      </c>
      <c r="W1393">
        <v>0</v>
      </c>
      <c r="X1393" s="21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f t="shared" si="50"/>
        <v>512</v>
      </c>
      <c r="AP1393" t="s">
        <v>41</v>
      </c>
    </row>
    <row r="1394" spans="1:42">
      <c r="A1394" s="1">
        <v>43789</v>
      </c>
      <c r="B1394">
        <v>3</v>
      </c>
      <c r="C1394">
        <v>310</v>
      </c>
      <c r="D1394"/>
      <c r="E1394" t="s">
        <v>37</v>
      </c>
      <c r="F1394" t="s">
        <v>38</v>
      </c>
      <c r="G1394">
        <v>1</v>
      </c>
      <c r="H1394">
        <v>108</v>
      </c>
      <c r="I1394" s="25">
        <v>650</v>
      </c>
      <c r="K1394" t="s">
        <v>71</v>
      </c>
      <c r="N1394" t="s">
        <v>40</v>
      </c>
      <c r="O1394">
        <v>51</v>
      </c>
      <c r="Q1394">
        <f t="shared" si="49"/>
        <v>2</v>
      </c>
      <c r="R1394">
        <v>1</v>
      </c>
      <c r="S1394">
        <v>0</v>
      </c>
      <c r="T1394">
        <v>0</v>
      </c>
      <c r="U1394">
        <v>0</v>
      </c>
      <c r="V1394">
        <v>2</v>
      </c>
      <c r="W1394">
        <v>0</v>
      </c>
      <c r="X1394" s="21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f t="shared" si="50"/>
        <v>128</v>
      </c>
      <c r="AP1394" t="s">
        <v>41</v>
      </c>
    </row>
    <row r="1395" spans="1:42">
      <c r="A1395" s="1">
        <v>43789</v>
      </c>
      <c r="B1395">
        <v>3</v>
      </c>
      <c r="C1395">
        <v>310</v>
      </c>
      <c r="D1395"/>
      <c r="E1395" t="s">
        <v>37</v>
      </c>
      <c r="F1395" t="s">
        <v>38</v>
      </c>
      <c r="G1395">
        <v>1</v>
      </c>
      <c r="H1395">
        <v>109</v>
      </c>
      <c r="I1395" s="25">
        <v>658</v>
      </c>
      <c r="K1395" t="s">
        <v>71</v>
      </c>
      <c r="N1395" t="s">
        <v>40</v>
      </c>
      <c r="O1395">
        <v>51</v>
      </c>
      <c r="Q1395">
        <f t="shared" si="49"/>
        <v>1</v>
      </c>
      <c r="R1395">
        <v>1</v>
      </c>
      <c r="S1395">
        <v>0</v>
      </c>
      <c r="T1395">
        <v>0</v>
      </c>
      <c r="U1395">
        <v>0</v>
      </c>
      <c r="V1395">
        <v>1</v>
      </c>
      <c r="W1395">
        <v>0</v>
      </c>
      <c r="X1395" s="21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f t="shared" si="50"/>
        <v>64</v>
      </c>
      <c r="AP1395" t="s">
        <v>41</v>
      </c>
    </row>
    <row r="1396" spans="1:42">
      <c r="A1396" s="1">
        <v>43789</v>
      </c>
      <c r="B1396">
        <v>3</v>
      </c>
      <c r="C1396">
        <v>310</v>
      </c>
      <c r="D1396"/>
      <c r="E1396" t="s">
        <v>37</v>
      </c>
      <c r="F1396" t="s">
        <v>38</v>
      </c>
      <c r="G1396">
        <v>1</v>
      </c>
      <c r="H1396">
        <v>110</v>
      </c>
      <c r="I1396" s="25">
        <v>49</v>
      </c>
      <c r="K1396" t="s">
        <v>74</v>
      </c>
      <c r="N1396" t="s">
        <v>40</v>
      </c>
      <c r="O1396">
        <v>37</v>
      </c>
      <c r="Q1396">
        <f t="shared" si="49"/>
        <v>1</v>
      </c>
      <c r="R1396">
        <v>1</v>
      </c>
      <c r="S1396">
        <v>0</v>
      </c>
      <c r="T1396">
        <v>0</v>
      </c>
      <c r="U1396">
        <v>0</v>
      </c>
      <c r="V1396">
        <v>1</v>
      </c>
      <c r="W1396">
        <v>0</v>
      </c>
      <c r="X1396" s="21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f t="shared" si="50"/>
        <v>64</v>
      </c>
      <c r="AP1396" t="s">
        <v>41</v>
      </c>
    </row>
    <row r="1397" spans="1:42">
      <c r="A1397" s="1">
        <v>43789</v>
      </c>
      <c r="B1397">
        <v>3</v>
      </c>
      <c r="C1397">
        <v>310</v>
      </c>
      <c r="D1397"/>
      <c r="E1397" t="s">
        <v>37</v>
      </c>
      <c r="F1397" t="s">
        <v>38</v>
      </c>
      <c r="G1397">
        <v>1</v>
      </c>
      <c r="H1397">
        <v>111</v>
      </c>
      <c r="I1397" s="25">
        <v>1</v>
      </c>
      <c r="K1397" t="s">
        <v>471</v>
      </c>
      <c r="N1397" t="s">
        <v>40</v>
      </c>
      <c r="O1397">
        <v>55</v>
      </c>
      <c r="Q1397">
        <f t="shared" si="49"/>
        <v>1</v>
      </c>
      <c r="R1397">
        <v>1</v>
      </c>
      <c r="S1397">
        <v>0</v>
      </c>
      <c r="T1397">
        <v>0</v>
      </c>
      <c r="U1397">
        <v>0</v>
      </c>
      <c r="V1397">
        <v>1</v>
      </c>
      <c r="W1397">
        <v>0</v>
      </c>
      <c r="X1397" s="21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f t="shared" si="50"/>
        <v>64</v>
      </c>
      <c r="AP1397" t="s">
        <v>41</v>
      </c>
    </row>
    <row r="1398" spans="1:42">
      <c r="A1398" s="1">
        <v>43789</v>
      </c>
      <c r="B1398">
        <v>3</v>
      </c>
      <c r="C1398">
        <v>310</v>
      </c>
      <c r="D1398"/>
      <c r="E1398" t="s">
        <v>37</v>
      </c>
      <c r="F1398" t="s">
        <v>38</v>
      </c>
      <c r="G1398">
        <v>1</v>
      </c>
      <c r="H1398">
        <v>112</v>
      </c>
      <c r="I1398" s="25">
        <v>23</v>
      </c>
      <c r="K1398" t="s">
        <v>74</v>
      </c>
      <c r="N1398" t="s">
        <v>40</v>
      </c>
      <c r="O1398">
        <v>55</v>
      </c>
      <c r="Q1398">
        <f t="shared" si="49"/>
        <v>0</v>
      </c>
      <c r="R1398">
        <v>1</v>
      </c>
      <c r="S1398">
        <v>0</v>
      </c>
      <c r="T1398">
        <v>0</v>
      </c>
      <c r="U1398">
        <v>0</v>
      </c>
      <c r="V1398">
        <v>0</v>
      </c>
      <c r="W1398">
        <v>0</v>
      </c>
      <c r="X1398" s="21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f t="shared" si="50"/>
        <v>0</v>
      </c>
      <c r="AP1398" t="s">
        <v>41</v>
      </c>
    </row>
    <row r="1399" spans="1:42">
      <c r="A1399" s="1">
        <v>43789</v>
      </c>
      <c r="B1399">
        <v>3</v>
      </c>
      <c r="C1399">
        <v>310</v>
      </c>
      <c r="D1399"/>
      <c r="E1399" t="s">
        <v>37</v>
      </c>
      <c r="F1399" t="s">
        <v>38</v>
      </c>
      <c r="G1399">
        <v>1</v>
      </c>
      <c r="H1399">
        <v>113</v>
      </c>
      <c r="I1399" s="25">
        <v>222</v>
      </c>
      <c r="K1399" t="s">
        <v>50</v>
      </c>
      <c r="N1399" t="s">
        <v>40</v>
      </c>
      <c r="O1399">
        <v>50</v>
      </c>
      <c r="Q1399">
        <f t="shared" si="49"/>
        <v>1</v>
      </c>
      <c r="R1399">
        <v>1</v>
      </c>
      <c r="S1399">
        <v>0</v>
      </c>
      <c r="T1399">
        <v>0</v>
      </c>
      <c r="U1399">
        <v>1</v>
      </c>
      <c r="V1399">
        <v>0</v>
      </c>
      <c r="W1399">
        <v>0</v>
      </c>
      <c r="X1399" s="21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f t="shared" si="50"/>
        <v>32</v>
      </c>
      <c r="AP1399" t="s">
        <v>41</v>
      </c>
    </row>
    <row r="1400" spans="1:42">
      <c r="A1400" s="1">
        <v>43789</v>
      </c>
      <c r="B1400">
        <v>3</v>
      </c>
      <c r="C1400">
        <v>310</v>
      </c>
      <c r="D1400"/>
      <c r="E1400" t="s">
        <v>37</v>
      </c>
      <c r="F1400" t="s">
        <v>38</v>
      </c>
      <c r="G1400">
        <v>1</v>
      </c>
      <c r="H1400">
        <v>114</v>
      </c>
      <c r="I1400" s="25">
        <v>120</v>
      </c>
      <c r="K1400" t="s">
        <v>78</v>
      </c>
      <c r="N1400" t="s">
        <v>40</v>
      </c>
      <c r="O1400">
        <v>37</v>
      </c>
      <c r="Q1400">
        <f t="shared" si="49"/>
        <v>0</v>
      </c>
      <c r="R1400">
        <v>1</v>
      </c>
      <c r="S1400">
        <v>0</v>
      </c>
      <c r="T1400">
        <v>0</v>
      </c>
      <c r="U1400">
        <v>0</v>
      </c>
      <c r="V1400">
        <v>0</v>
      </c>
      <c r="W1400">
        <v>0</v>
      </c>
      <c r="X1400" s="21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f t="shared" si="50"/>
        <v>0</v>
      </c>
      <c r="AP1400" t="s">
        <v>41</v>
      </c>
    </row>
    <row r="1401" spans="1:42">
      <c r="A1401" s="1">
        <v>43789</v>
      </c>
      <c r="B1401">
        <v>3</v>
      </c>
      <c r="C1401">
        <v>310</v>
      </c>
      <c r="D1401"/>
      <c r="E1401" t="s">
        <v>37</v>
      </c>
      <c r="F1401" t="s">
        <v>38</v>
      </c>
      <c r="G1401">
        <v>1</v>
      </c>
      <c r="H1401">
        <v>115</v>
      </c>
      <c r="I1401" s="25">
        <v>77</v>
      </c>
      <c r="K1401" t="s">
        <v>78</v>
      </c>
      <c r="N1401" t="s">
        <v>40</v>
      </c>
      <c r="O1401">
        <v>37</v>
      </c>
      <c r="Q1401">
        <f t="shared" si="49"/>
        <v>1</v>
      </c>
      <c r="R1401">
        <v>1</v>
      </c>
      <c r="S1401">
        <v>0</v>
      </c>
      <c r="T1401">
        <v>0</v>
      </c>
      <c r="U1401">
        <v>0</v>
      </c>
      <c r="V1401">
        <v>1</v>
      </c>
      <c r="W1401">
        <v>0</v>
      </c>
      <c r="X1401" s="2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f t="shared" si="50"/>
        <v>64</v>
      </c>
      <c r="AP1401" t="s">
        <v>41</v>
      </c>
    </row>
    <row r="1402" spans="1:42">
      <c r="A1402" s="1">
        <v>43789</v>
      </c>
      <c r="B1402">
        <v>3</v>
      </c>
      <c r="C1402">
        <v>310</v>
      </c>
      <c r="D1402"/>
      <c r="E1402" t="s">
        <v>37</v>
      </c>
      <c r="F1402" t="s">
        <v>38</v>
      </c>
      <c r="G1402">
        <v>1</v>
      </c>
      <c r="H1402">
        <v>116</v>
      </c>
      <c r="I1402" s="25">
        <v>11</v>
      </c>
      <c r="K1402" t="s">
        <v>78</v>
      </c>
      <c r="N1402" t="s">
        <v>40</v>
      </c>
      <c r="O1402">
        <v>41</v>
      </c>
      <c r="Q1402">
        <f t="shared" si="49"/>
        <v>1</v>
      </c>
      <c r="R1402">
        <v>1</v>
      </c>
      <c r="S1402">
        <v>0</v>
      </c>
      <c r="T1402">
        <v>0</v>
      </c>
      <c r="U1402">
        <v>1</v>
      </c>
      <c r="V1402">
        <v>0</v>
      </c>
      <c r="W1402">
        <v>0</v>
      </c>
      <c r="X1402" s="21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f t="shared" si="50"/>
        <v>32</v>
      </c>
      <c r="AP1402" t="s">
        <v>41</v>
      </c>
    </row>
    <row r="1403" spans="1:42">
      <c r="A1403" s="1">
        <v>43789</v>
      </c>
      <c r="B1403">
        <v>3</v>
      </c>
      <c r="C1403">
        <v>310</v>
      </c>
      <c r="D1403"/>
      <c r="E1403" t="s">
        <v>37</v>
      </c>
      <c r="F1403" t="s">
        <v>38</v>
      </c>
      <c r="G1403">
        <v>1</v>
      </c>
      <c r="H1403">
        <v>117</v>
      </c>
      <c r="I1403" s="25">
        <v>27</v>
      </c>
      <c r="K1403" t="s">
        <v>78</v>
      </c>
      <c r="N1403" t="s">
        <v>40</v>
      </c>
      <c r="O1403">
        <v>41</v>
      </c>
      <c r="Q1403">
        <f t="shared" si="49"/>
        <v>2</v>
      </c>
      <c r="R1403">
        <v>1</v>
      </c>
      <c r="S1403">
        <v>0</v>
      </c>
      <c r="T1403">
        <v>0</v>
      </c>
      <c r="U1403">
        <v>0</v>
      </c>
      <c r="V1403">
        <v>2</v>
      </c>
      <c r="W1403">
        <v>0</v>
      </c>
      <c r="X1403" s="21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f t="shared" si="50"/>
        <v>128</v>
      </c>
      <c r="AP1403" t="s">
        <v>41</v>
      </c>
    </row>
    <row r="1404" spans="1:42">
      <c r="A1404" s="1">
        <v>43789</v>
      </c>
      <c r="B1404">
        <v>3</v>
      </c>
      <c r="C1404">
        <v>310</v>
      </c>
      <c r="D1404"/>
      <c r="E1404" t="s">
        <v>37</v>
      </c>
      <c r="F1404" t="s">
        <v>38</v>
      </c>
      <c r="G1404">
        <v>1</v>
      </c>
      <c r="H1404">
        <v>118</v>
      </c>
      <c r="I1404" s="25">
        <v>16</v>
      </c>
      <c r="K1404" t="s">
        <v>78</v>
      </c>
      <c r="N1404" t="s">
        <v>40</v>
      </c>
      <c r="O1404">
        <v>41</v>
      </c>
      <c r="Q1404">
        <f t="shared" si="49"/>
        <v>1</v>
      </c>
      <c r="R1404">
        <v>1</v>
      </c>
      <c r="S1404">
        <v>0</v>
      </c>
      <c r="T1404">
        <v>0</v>
      </c>
      <c r="U1404">
        <v>1</v>
      </c>
      <c r="V1404">
        <v>0</v>
      </c>
      <c r="W1404">
        <v>0</v>
      </c>
      <c r="X1404" s="21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f t="shared" si="50"/>
        <v>32</v>
      </c>
      <c r="AP1404" t="s">
        <v>41</v>
      </c>
    </row>
    <row r="1405" spans="1:42">
      <c r="A1405" s="1">
        <v>43789</v>
      </c>
      <c r="B1405">
        <v>3</v>
      </c>
      <c r="C1405">
        <v>310</v>
      </c>
      <c r="D1405"/>
      <c r="E1405" t="s">
        <v>37</v>
      </c>
      <c r="F1405" t="s">
        <v>38</v>
      </c>
      <c r="G1405">
        <v>1</v>
      </c>
      <c r="H1405">
        <v>119</v>
      </c>
      <c r="I1405" s="25">
        <v>35</v>
      </c>
      <c r="K1405" t="s">
        <v>39</v>
      </c>
      <c r="N1405" t="s">
        <v>40</v>
      </c>
      <c r="O1405">
        <v>49</v>
      </c>
      <c r="Q1405">
        <f t="shared" si="49"/>
        <v>2</v>
      </c>
      <c r="R1405">
        <v>1</v>
      </c>
      <c r="S1405">
        <v>0</v>
      </c>
      <c r="T1405">
        <v>0</v>
      </c>
      <c r="U1405">
        <v>0</v>
      </c>
      <c r="V1405">
        <v>2</v>
      </c>
      <c r="W1405">
        <v>0</v>
      </c>
      <c r="X1405" s="21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f t="shared" si="50"/>
        <v>128</v>
      </c>
      <c r="AP1405" t="s">
        <v>41</v>
      </c>
    </row>
    <row r="1406" spans="1:42">
      <c r="A1406" s="1">
        <v>43789</v>
      </c>
      <c r="B1406">
        <v>3</v>
      </c>
      <c r="C1406">
        <v>310</v>
      </c>
      <c r="D1406"/>
      <c r="E1406" t="s">
        <v>37</v>
      </c>
      <c r="F1406" t="s">
        <v>38</v>
      </c>
      <c r="G1406">
        <v>1</v>
      </c>
      <c r="H1406">
        <v>120</v>
      </c>
      <c r="I1406" s="25">
        <v>126</v>
      </c>
      <c r="K1406" t="s">
        <v>53</v>
      </c>
      <c r="N1406" t="s">
        <v>44</v>
      </c>
      <c r="O1406">
        <v>82</v>
      </c>
      <c r="Q1406">
        <f t="shared" si="49"/>
        <v>1</v>
      </c>
      <c r="R1406">
        <v>1</v>
      </c>
      <c r="S1406">
        <v>0</v>
      </c>
      <c r="T1406">
        <v>0</v>
      </c>
      <c r="U1406">
        <v>0</v>
      </c>
      <c r="V1406">
        <v>1</v>
      </c>
      <c r="W1406">
        <v>0</v>
      </c>
      <c r="X1406" s="21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f t="shared" si="50"/>
        <v>64</v>
      </c>
      <c r="AP1406" t="s">
        <v>41</v>
      </c>
    </row>
    <row r="1407" spans="1:42">
      <c r="A1407" s="1">
        <v>43789</v>
      </c>
      <c r="B1407">
        <v>3</v>
      </c>
      <c r="C1407">
        <v>310</v>
      </c>
      <c r="D1407"/>
      <c r="E1407" t="s">
        <v>37</v>
      </c>
      <c r="F1407" t="s">
        <v>38</v>
      </c>
      <c r="G1407">
        <v>1</v>
      </c>
      <c r="H1407">
        <v>121</v>
      </c>
      <c r="I1407" s="25">
        <v>250</v>
      </c>
      <c r="K1407" t="s">
        <v>48</v>
      </c>
      <c r="N1407" t="s">
        <v>44</v>
      </c>
      <c r="O1407">
        <v>82</v>
      </c>
      <c r="Q1407">
        <f t="shared" si="49"/>
        <v>1</v>
      </c>
      <c r="R1407">
        <v>1</v>
      </c>
      <c r="S1407">
        <v>0</v>
      </c>
      <c r="T1407">
        <v>0</v>
      </c>
      <c r="U1407">
        <v>0</v>
      </c>
      <c r="V1407">
        <v>1</v>
      </c>
      <c r="W1407">
        <v>0</v>
      </c>
      <c r="X1407" s="21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f t="shared" si="50"/>
        <v>64</v>
      </c>
      <c r="AP1407" t="s">
        <v>41</v>
      </c>
    </row>
    <row r="1408" spans="1:42">
      <c r="A1408" s="1">
        <v>43789</v>
      </c>
      <c r="B1408">
        <v>3</v>
      </c>
      <c r="C1408">
        <v>310</v>
      </c>
      <c r="D1408"/>
      <c r="E1408" t="s">
        <v>37</v>
      </c>
      <c r="F1408" t="s">
        <v>38</v>
      </c>
      <c r="G1408">
        <v>1</v>
      </c>
      <c r="H1408">
        <v>122</v>
      </c>
      <c r="I1408" s="25">
        <v>150</v>
      </c>
      <c r="K1408" t="s">
        <v>53</v>
      </c>
      <c r="N1408" t="s">
        <v>44</v>
      </c>
      <c r="O1408">
        <v>82</v>
      </c>
      <c r="Q1408">
        <f t="shared" si="49"/>
        <v>1</v>
      </c>
      <c r="R1408">
        <v>1</v>
      </c>
      <c r="S1408">
        <v>0</v>
      </c>
      <c r="T1408">
        <v>0</v>
      </c>
      <c r="U1408">
        <v>0</v>
      </c>
      <c r="V1408">
        <v>1</v>
      </c>
      <c r="W1408">
        <v>0</v>
      </c>
      <c r="X1408" s="21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f t="shared" si="50"/>
        <v>64</v>
      </c>
      <c r="AP1408" t="s">
        <v>41</v>
      </c>
    </row>
    <row r="1409" spans="1:42">
      <c r="A1409" s="1">
        <v>43789</v>
      </c>
      <c r="B1409">
        <v>3</v>
      </c>
      <c r="C1409">
        <v>310</v>
      </c>
      <c r="D1409"/>
      <c r="E1409" t="s">
        <v>37</v>
      </c>
      <c r="F1409" t="s">
        <v>38</v>
      </c>
      <c r="G1409">
        <v>1</v>
      </c>
      <c r="H1409">
        <v>123</v>
      </c>
      <c r="I1409" s="25">
        <v>101</v>
      </c>
      <c r="K1409" t="s">
        <v>53</v>
      </c>
      <c r="N1409" t="s">
        <v>40</v>
      </c>
      <c r="O1409">
        <v>45</v>
      </c>
      <c r="Q1409">
        <f t="shared" si="49"/>
        <v>1</v>
      </c>
      <c r="R1409">
        <v>1</v>
      </c>
      <c r="S1409">
        <v>0</v>
      </c>
      <c r="T1409">
        <v>0</v>
      </c>
      <c r="U1409">
        <v>0</v>
      </c>
      <c r="V1409">
        <v>1</v>
      </c>
      <c r="W1409">
        <v>0</v>
      </c>
      <c r="X1409" s="21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f t="shared" si="50"/>
        <v>64</v>
      </c>
      <c r="AP1409" t="s">
        <v>41</v>
      </c>
    </row>
    <row r="1410" spans="1:42">
      <c r="A1410" s="1">
        <v>43789</v>
      </c>
      <c r="B1410">
        <v>3</v>
      </c>
      <c r="C1410">
        <v>310</v>
      </c>
      <c r="D1410"/>
      <c r="E1410" t="s">
        <v>37</v>
      </c>
      <c r="F1410" t="s">
        <v>38</v>
      </c>
      <c r="G1410">
        <v>1</v>
      </c>
      <c r="H1410">
        <v>124</v>
      </c>
      <c r="I1410" s="25">
        <v>211</v>
      </c>
      <c r="K1410" t="s">
        <v>39</v>
      </c>
      <c r="N1410" t="s">
        <v>40</v>
      </c>
      <c r="O1410">
        <v>56</v>
      </c>
      <c r="Q1410">
        <f t="shared" si="49"/>
        <v>2</v>
      </c>
      <c r="R1410">
        <v>1</v>
      </c>
      <c r="S1410">
        <v>0</v>
      </c>
      <c r="T1410">
        <v>0</v>
      </c>
      <c r="U1410">
        <v>0</v>
      </c>
      <c r="V1410">
        <v>2</v>
      </c>
      <c r="W1410">
        <v>0</v>
      </c>
      <c r="X1410" s="21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f t="shared" si="50"/>
        <v>128</v>
      </c>
      <c r="AP1410" t="s">
        <v>41</v>
      </c>
    </row>
    <row r="1411" spans="1:42">
      <c r="A1411" s="1">
        <v>43789</v>
      </c>
      <c r="B1411">
        <v>3</v>
      </c>
      <c r="C1411">
        <v>310</v>
      </c>
      <c r="D1411"/>
      <c r="E1411" t="s">
        <v>37</v>
      </c>
      <c r="F1411" t="s">
        <v>38</v>
      </c>
      <c r="G1411">
        <v>1</v>
      </c>
      <c r="H1411">
        <v>125</v>
      </c>
      <c r="I1411" s="25">
        <v>212</v>
      </c>
      <c r="K1411" t="s">
        <v>49</v>
      </c>
      <c r="N1411" t="s">
        <v>40</v>
      </c>
      <c r="O1411">
        <v>32</v>
      </c>
      <c r="Q1411">
        <f t="shared" si="49"/>
        <v>1</v>
      </c>
      <c r="R1411">
        <v>1</v>
      </c>
      <c r="S1411">
        <v>0</v>
      </c>
      <c r="T1411">
        <v>0</v>
      </c>
      <c r="U1411">
        <v>1</v>
      </c>
      <c r="V1411">
        <v>0</v>
      </c>
      <c r="W1411">
        <v>0</v>
      </c>
      <c r="X1411" s="2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f t="shared" si="50"/>
        <v>32</v>
      </c>
      <c r="AP1411" t="s">
        <v>41</v>
      </c>
    </row>
    <row r="1412" spans="1:42">
      <c r="A1412" s="1">
        <v>43789</v>
      </c>
      <c r="B1412">
        <v>3</v>
      </c>
      <c r="C1412">
        <v>310</v>
      </c>
      <c r="D1412"/>
      <c r="E1412" t="s">
        <v>37</v>
      </c>
      <c r="F1412" t="s">
        <v>38</v>
      </c>
      <c r="G1412">
        <v>1</v>
      </c>
      <c r="H1412">
        <v>126</v>
      </c>
      <c r="I1412" s="25">
        <v>250</v>
      </c>
      <c r="K1412" t="s">
        <v>49</v>
      </c>
      <c r="N1412" t="s">
        <v>40</v>
      </c>
      <c r="O1412">
        <v>33</v>
      </c>
      <c r="Q1412">
        <f t="shared" si="49"/>
        <v>1</v>
      </c>
      <c r="R1412">
        <v>1</v>
      </c>
      <c r="S1412">
        <v>0</v>
      </c>
      <c r="T1412">
        <v>0</v>
      </c>
      <c r="U1412">
        <v>1</v>
      </c>
      <c r="V1412">
        <v>0</v>
      </c>
      <c r="W1412">
        <v>0</v>
      </c>
      <c r="X1412" s="21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f t="shared" si="50"/>
        <v>32</v>
      </c>
      <c r="AP1412" t="s">
        <v>41</v>
      </c>
    </row>
    <row r="1413" spans="1:42">
      <c r="A1413" s="1">
        <v>43789</v>
      </c>
      <c r="B1413">
        <v>3</v>
      </c>
      <c r="C1413">
        <v>310</v>
      </c>
      <c r="D1413"/>
      <c r="E1413" t="s">
        <v>37</v>
      </c>
      <c r="F1413" t="s">
        <v>38</v>
      </c>
      <c r="G1413">
        <v>1</v>
      </c>
      <c r="H1413">
        <v>127</v>
      </c>
      <c r="I1413" s="25">
        <v>1</v>
      </c>
      <c r="K1413" t="s">
        <v>80</v>
      </c>
      <c r="N1413" t="s">
        <v>40</v>
      </c>
      <c r="O1413">
        <v>55</v>
      </c>
      <c r="Q1413">
        <f t="shared" si="49"/>
        <v>2</v>
      </c>
      <c r="R1413">
        <v>1</v>
      </c>
      <c r="S1413">
        <v>0</v>
      </c>
      <c r="T1413">
        <v>0</v>
      </c>
      <c r="U1413">
        <v>0</v>
      </c>
      <c r="V1413">
        <v>2</v>
      </c>
      <c r="W1413">
        <v>0</v>
      </c>
      <c r="X1413" s="21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f t="shared" si="50"/>
        <v>128</v>
      </c>
      <c r="AP1413" t="s">
        <v>41</v>
      </c>
    </row>
    <row r="1414" spans="1:42">
      <c r="A1414" s="1">
        <v>43789</v>
      </c>
      <c r="B1414">
        <v>3</v>
      </c>
      <c r="C1414">
        <v>310</v>
      </c>
      <c r="D1414"/>
      <c r="E1414" t="s">
        <v>37</v>
      </c>
      <c r="F1414" t="s">
        <v>38</v>
      </c>
      <c r="G1414">
        <v>1</v>
      </c>
      <c r="H1414">
        <v>128</v>
      </c>
      <c r="I1414" s="25">
        <v>323</v>
      </c>
      <c r="K1414" t="s">
        <v>48</v>
      </c>
      <c r="N1414" t="s">
        <v>40</v>
      </c>
      <c r="O1414">
        <v>38</v>
      </c>
      <c r="Q1414">
        <f t="shared" si="49"/>
        <v>1</v>
      </c>
      <c r="R1414">
        <v>1</v>
      </c>
      <c r="S1414">
        <v>0</v>
      </c>
      <c r="T1414">
        <v>0</v>
      </c>
      <c r="U1414">
        <v>1</v>
      </c>
      <c r="V1414">
        <v>0</v>
      </c>
      <c r="W1414">
        <v>0</v>
      </c>
      <c r="X1414" s="21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f t="shared" si="50"/>
        <v>32</v>
      </c>
      <c r="AP1414" t="s">
        <v>41</v>
      </c>
    </row>
    <row r="1415" spans="1:42">
      <c r="A1415" s="1">
        <v>43789</v>
      </c>
      <c r="B1415">
        <v>3</v>
      </c>
      <c r="C1415">
        <v>310</v>
      </c>
      <c r="D1415"/>
      <c r="E1415" t="s">
        <v>37</v>
      </c>
      <c r="F1415" t="s">
        <v>38</v>
      </c>
      <c r="G1415">
        <v>1</v>
      </c>
      <c r="H1415">
        <v>129</v>
      </c>
      <c r="I1415" s="25">
        <v>466</v>
      </c>
      <c r="K1415" t="s">
        <v>46</v>
      </c>
      <c r="N1415" t="s">
        <v>40</v>
      </c>
      <c r="O1415">
        <v>30</v>
      </c>
      <c r="Q1415">
        <f t="shared" si="49"/>
        <v>2</v>
      </c>
      <c r="R1415">
        <v>1</v>
      </c>
      <c r="S1415">
        <v>0</v>
      </c>
      <c r="T1415">
        <v>0</v>
      </c>
      <c r="U1415">
        <v>0</v>
      </c>
      <c r="V1415">
        <v>2</v>
      </c>
      <c r="W1415">
        <v>0</v>
      </c>
      <c r="X1415" s="21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f t="shared" si="50"/>
        <v>128</v>
      </c>
      <c r="AP1415" t="s">
        <v>41</v>
      </c>
    </row>
    <row r="1416" spans="1:42">
      <c r="A1416" s="1">
        <v>43789</v>
      </c>
      <c r="B1416">
        <v>3</v>
      </c>
      <c r="C1416">
        <v>310</v>
      </c>
      <c r="D1416"/>
      <c r="E1416" t="s">
        <v>37</v>
      </c>
      <c r="F1416" t="s">
        <v>38</v>
      </c>
      <c r="G1416">
        <v>1</v>
      </c>
      <c r="H1416">
        <v>130</v>
      </c>
      <c r="I1416" s="25">
        <v>460</v>
      </c>
      <c r="K1416" t="s">
        <v>46</v>
      </c>
      <c r="N1416" t="s">
        <v>40</v>
      </c>
      <c r="O1416">
        <v>30</v>
      </c>
      <c r="Q1416">
        <f t="shared" si="49"/>
        <v>1</v>
      </c>
      <c r="R1416">
        <v>1</v>
      </c>
      <c r="S1416">
        <v>0</v>
      </c>
      <c r="T1416">
        <v>0</v>
      </c>
      <c r="U1416">
        <v>1</v>
      </c>
      <c r="V1416">
        <v>0</v>
      </c>
      <c r="W1416">
        <v>0</v>
      </c>
      <c r="X1416" s="21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f t="shared" si="50"/>
        <v>32</v>
      </c>
      <c r="AP1416" t="s">
        <v>41</v>
      </c>
    </row>
    <row r="1417" spans="1:42">
      <c r="A1417" s="1">
        <v>43789</v>
      </c>
      <c r="B1417">
        <v>3</v>
      </c>
      <c r="C1417">
        <v>310</v>
      </c>
      <c r="D1417"/>
      <c r="E1417" t="s">
        <v>37</v>
      </c>
      <c r="F1417" t="s">
        <v>38</v>
      </c>
      <c r="G1417">
        <v>1</v>
      </c>
      <c r="H1417">
        <v>131</v>
      </c>
      <c r="I1417" s="25">
        <v>453</v>
      </c>
      <c r="K1417" t="s">
        <v>46</v>
      </c>
      <c r="N1417" t="s">
        <v>40</v>
      </c>
      <c r="O1417">
        <v>60</v>
      </c>
      <c r="Q1417">
        <f t="shared" si="49"/>
        <v>1</v>
      </c>
      <c r="R1417">
        <v>1</v>
      </c>
      <c r="S1417">
        <v>0</v>
      </c>
      <c r="T1417">
        <v>0</v>
      </c>
      <c r="U1417">
        <v>1</v>
      </c>
      <c r="V1417">
        <v>0</v>
      </c>
      <c r="W1417">
        <v>0</v>
      </c>
      <c r="X1417" s="21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f t="shared" si="50"/>
        <v>32</v>
      </c>
      <c r="AP1417" t="s">
        <v>41</v>
      </c>
    </row>
    <row r="1418" spans="1:42">
      <c r="A1418" s="1">
        <v>43789</v>
      </c>
      <c r="B1418">
        <v>3</v>
      </c>
      <c r="C1418">
        <v>310</v>
      </c>
      <c r="D1418"/>
      <c r="E1418" t="s">
        <v>37</v>
      </c>
      <c r="F1418" t="s">
        <v>38</v>
      </c>
      <c r="G1418">
        <v>1</v>
      </c>
      <c r="H1418">
        <v>132</v>
      </c>
      <c r="I1418" s="25">
        <v>431</v>
      </c>
      <c r="K1418" t="s">
        <v>46</v>
      </c>
      <c r="N1418" t="s">
        <v>40</v>
      </c>
      <c r="O1418">
        <v>79</v>
      </c>
      <c r="Q1418">
        <f t="shared" si="49"/>
        <v>2</v>
      </c>
      <c r="R1418">
        <v>1</v>
      </c>
      <c r="S1418">
        <v>0</v>
      </c>
      <c r="T1418">
        <v>0</v>
      </c>
      <c r="U1418">
        <v>0</v>
      </c>
      <c r="V1418">
        <v>2</v>
      </c>
      <c r="W1418">
        <v>0</v>
      </c>
      <c r="X1418" s="21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f t="shared" si="50"/>
        <v>128</v>
      </c>
      <c r="AP1418" t="s">
        <v>41</v>
      </c>
    </row>
    <row r="1419" spans="1:42">
      <c r="A1419" s="1">
        <v>43789</v>
      </c>
      <c r="B1419">
        <v>3</v>
      </c>
      <c r="C1419">
        <v>310</v>
      </c>
      <c r="D1419"/>
      <c r="E1419" t="s">
        <v>37</v>
      </c>
      <c r="F1419" t="s">
        <v>38</v>
      </c>
      <c r="G1419">
        <v>1</v>
      </c>
      <c r="H1419">
        <v>133</v>
      </c>
      <c r="I1419" s="25">
        <v>27</v>
      </c>
      <c r="K1419" t="s">
        <v>81</v>
      </c>
      <c r="N1419" t="s">
        <v>40</v>
      </c>
      <c r="O1419">
        <v>46</v>
      </c>
      <c r="Q1419">
        <f t="shared" si="49"/>
        <v>1</v>
      </c>
      <c r="R1419">
        <v>1</v>
      </c>
      <c r="S1419">
        <v>0</v>
      </c>
      <c r="T1419">
        <v>0</v>
      </c>
      <c r="U1419">
        <v>0</v>
      </c>
      <c r="V1419">
        <v>1</v>
      </c>
      <c r="W1419">
        <v>0</v>
      </c>
      <c r="X1419" s="21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f t="shared" si="50"/>
        <v>64</v>
      </c>
      <c r="AP1419" t="s">
        <v>41</v>
      </c>
    </row>
    <row r="1420" spans="1:42">
      <c r="A1420" s="1">
        <v>43789</v>
      </c>
      <c r="B1420">
        <v>3</v>
      </c>
      <c r="C1420">
        <v>310</v>
      </c>
      <c r="D1420"/>
      <c r="E1420" t="s">
        <v>37</v>
      </c>
      <c r="F1420" t="s">
        <v>38</v>
      </c>
      <c r="G1420">
        <v>1</v>
      </c>
      <c r="H1420">
        <v>134</v>
      </c>
      <c r="I1420" s="25">
        <v>333</v>
      </c>
      <c r="K1420" t="s">
        <v>46</v>
      </c>
      <c r="N1420" t="s">
        <v>44</v>
      </c>
      <c r="O1420">
        <v>266</v>
      </c>
      <c r="Q1420">
        <f t="shared" si="49"/>
        <v>14</v>
      </c>
      <c r="R1420">
        <v>1</v>
      </c>
      <c r="S1420">
        <v>0</v>
      </c>
      <c r="T1420">
        <v>0</v>
      </c>
      <c r="U1420">
        <v>0</v>
      </c>
      <c r="V1420">
        <v>14</v>
      </c>
      <c r="W1420">
        <v>0</v>
      </c>
      <c r="X1420" s="21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f t="shared" si="50"/>
        <v>896</v>
      </c>
      <c r="AP1420" t="s">
        <v>41</v>
      </c>
    </row>
    <row r="1421" spans="1:42">
      <c r="A1421" s="1">
        <v>43789</v>
      </c>
      <c r="B1421">
        <v>3</v>
      </c>
      <c r="C1421">
        <v>310</v>
      </c>
      <c r="D1421"/>
      <c r="E1421" t="s">
        <v>37</v>
      </c>
      <c r="F1421" t="s">
        <v>38</v>
      </c>
      <c r="G1421">
        <v>1</v>
      </c>
      <c r="H1421">
        <v>135</v>
      </c>
      <c r="I1421" s="25">
        <v>155</v>
      </c>
      <c r="K1421" t="s">
        <v>71</v>
      </c>
      <c r="N1421" t="s">
        <v>40</v>
      </c>
      <c r="O1421">
        <v>90</v>
      </c>
      <c r="Q1421">
        <f t="shared" si="49"/>
        <v>2</v>
      </c>
      <c r="R1421">
        <v>1</v>
      </c>
      <c r="S1421">
        <v>0</v>
      </c>
      <c r="T1421">
        <v>0</v>
      </c>
      <c r="U1421">
        <v>0</v>
      </c>
      <c r="V1421">
        <v>2</v>
      </c>
      <c r="W1421">
        <v>0</v>
      </c>
      <c r="X1421" s="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f t="shared" si="50"/>
        <v>128</v>
      </c>
      <c r="AP1421" t="s">
        <v>41</v>
      </c>
    </row>
    <row r="1422" spans="1:42">
      <c r="A1422" s="1">
        <v>43789</v>
      </c>
      <c r="B1422">
        <v>3</v>
      </c>
      <c r="C1422">
        <v>310</v>
      </c>
      <c r="D1422"/>
      <c r="E1422" t="s">
        <v>37</v>
      </c>
      <c r="F1422" t="s">
        <v>38</v>
      </c>
      <c r="G1422">
        <v>1</v>
      </c>
      <c r="H1422">
        <v>136</v>
      </c>
      <c r="I1422" s="25">
        <v>101</v>
      </c>
      <c r="K1422" t="s">
        <v>472</v>
      </c>
      <c r="N1422" t="s">
        <v>40</v>
      </c>
      <c r="O1422">
        <v>120</v>
      </c>
      <c r="Q1422">
        <f t="shared" si="49"/>
        <v>6</v>
      </c>
      <c r="R1422">
        <v>1</v>
      </c>
      <c r="S1422">
        <v>0</v>
      </c>
      <c r="T1422">
        <v>0</v>
      </c>
      <c r="U1422">
        <v>0</v>
      </c>
      <c r="V1422">
        <v>6</v>
      </c>
      <c r="W1422">
        <v>0</v>
      </c>
      <c r="X1422" s="21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f t="shared" si="50"/>
        <v>384</v>
      </c>
      <c r="AP1422" t="s">
        <v>41</v>
      </c>
    </row>
    <row r="1423" spans="1:42">
      <c r="A1423" s="1">
        <v>43789</v>
      </c>
      <c r="B1423">
        <v>3</v>
      </c>
      <c r="C1423">
        <v>310</v>
      </c>
      <c r="D1423"/>
      <c r="E1423" t="s">
        <v>37</v>
      </c>
      <c r="F1423" t="s">
        <v>38</v>
      </c>
      <c r="G1423">
        <v>1</v>
      </c>
      <c r="H1423">
        <v>137</v>
      </c>
      <c r="I1423" s="25">
        <v>110</v>
      </c>
      <c r="K1423" t="s">
        <v>49</v>
      </c>
      <c r="N1423" t="s">
        <v>40</v>
      </c>
      <c r="O1423">
        <v>61</v>
      </c>
      <c r="Q1423">
        <f t="shared" si="49"/>
        <v>1</v>
      </c>
      <c r="R1423">
        <v>1</v>
      </c>
      <c r="S1423">
        <v>0</v>
      </c>
      <c r="T1423">
        <v>0</v>
      </c>
      <c r="U1423">
        <v>0</v>
      </c>
      <c r="V1423">
        <v>1</v>
      </c>
      <c r="W1423">
        <v>0</v>
      </c>
      <c r="X1423" s="21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f t="shared" si="50"/>
        <v>64</v>
      </c>
      <c r="AP1423" t="s">
        <v>41</v>
      </c>
    </row>
    <row r="1424" spans="1:42">
      <c r="A1424" s="1">
        <v>43789</v>
      </c>
      <c r="B1424">
        <v>3</v>
      </c>
      <c r="C1424">
        <v>310</v>
      </c>
      <c r="D1424"/>
      <c r="E1424" t="s">
        <v>37</v>
      </c>
      <c r="F1424" t="s">
        <v>38</v>
      </c>
      <c r="G1424">
        <v>1</v>
      </c>
      <c r="H1424">
        <v>138</v>
      </c>
      <c r="I1424" s="25">
        <v>240</v>
      </c>
      <c r="K1424" t="s">
        <v>39</v>
      </c>
      <c r="N1424" t="s">
        <v>40</v>
      </c>
      <c r="O1424">
        <v>69</v>
      </c>
      <c r="Q1424">
        <f t="shared" si="49"/>
        <v>3</v>
      </c>
      <c r="R1424">
        <v>1</v>
      </c>
      <c r="S1424">
        <v>0</v>
      </c>
      <c r="T1424">
        <v>0</v>
      </c>
      <c r="U1424">
        <v>0</v>
      </c>
      <c r="V1424">
        <v>3</v>
      </c>
      <c r="W1424">
        <v>0</v>
      </c>
      <c r="X1424" s="21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f t="shared" si="50"/>
        <v>192</v>
      </c>
      <c r="AL1424" t="s">
        <v>45</v>
      </c>
      <c r="AP1424" t="s">
        <v>41</v>
      </c>
    </row>
    <row r="1425" spans="1:42">
      <c r="A1425" s="1">
        <v>43789</v>
      </c>
      <c r="B1425">
        <v>3</v>
      </c>
      <c r="C1425">
        <v>310</v>
      </c>
      <c r="D1425"/>
      <c r="E1425" t="s">
        <v>37</v>
      </c>
      <c r="F1425" t="s">
        <v>38</v>
      </c>
      <c r="G1425">
        <v>1</v>
      </c>
      <c r="H1425">
        <v>139</v>
      </c>
      <c r="I1425" s="25">
        <v>240</v>
      </c>
      <c r="K1425" t="s">
        <v>39</v>
      </c>
      <c r="N1425" t="s">
        <v>40</v>
      </c>
      <c r="O1425">
        <v>69</v>
      </c>
      <c r="Q1425">
        <f t="shared" si="49"/>
        <v>2</v>
      </c>
      <c r="R1425">
        <v>1</v>
      </c>
      <c r="S1425">
        <v>0</v>
      </c>
      <c r="T1425">
        <v>0</v>
      </c>
      <c r="U1425">
        <v>0</v>
      </c>
      <c r="V1425">
        <v>2</v>
      </c>
      <c r="W1425">
        <v>0</v>
      </c>
      <c r="X1425" s="21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f t="shared" si="50"/>
        <v>128</v>
      </c>
      <c r="AL1425" t="s">
        <v>45</v>
      </c>
      <c r="AP1425" t="s">
        <v>41</v>
      </c>
    </row>
    <row r="1426" spans="1:42">
      <c r="A1426" s="1">
        <v>43789</v>
      </c>
      <c r="B1426">
        <v>3</v>
      </c>
      <c r="C1426">
        <v>310</v>
      </c>
      <c r="D1426"/>
      <c r="E1426" t="s">
        <v>37</v>
      </c>
      <c r="F1426" t="s">
        <v>38</v>
      </c>
      <c r="G1426">
        <v>1</v>
      </c>
      <c r="H1426">
        <v>140</v>
      </c>
      <c r="I1426" s="25">
        <v>264</v>
      </c>
      <c r="K1426" t="s">
        <v>39</v>
      </c>
      <c r="N1426" t="s">
        <v>40</v>
      </c>
      <c r="O1426">
        <v>68</v>
      </c>
      <c r="Q1426">
        <f t="shared" si="49"/>
        <v>2</v>
      </c>
      <c r="R1426">
        <v>1</v>
      </c>
      <c r="S1426">
        <v>0</v>
      </c>
      <c r="T1426">
        <v>0</v>
      </c>
      <c r="U1426">
        <v>0</v>
      </c>
      <c r="V1426">
        <v>2</v>
      </c>
      <c r="W1426">
        <v>0</v>
      </c>
      <c r="X1426" s="21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f t="shared" si="50"/>
        <v>128</v>
      </c>
      <c r="AP1426" t="s">
        <v>41</v>
      </c>
    </row>
    <row r="1427" spans="1:42">
      <c r="A1427" s="1">
        <v>43789</v>
      </c>
      <c r="B1427">
        <v>3</v>
      </c>
      <c r="C1427">
        <v>310</v>
      </c>
      <c r="D1427"/>
      <c r="E1427" t="s">
        <v>37</v>
      </c>
      <c r="F1427" t="s">
        <v>38</v>
      </c>
      <c r="G1427">
        <v>1</v>
      </c>
      <c r="H1427">
        <v>141</v>
      </c>
      <c r="I1427" s="25">
        <v>312</v>
      </c>
      <c r="K1427" t="s">
        <v>39</v>
      </c>
      <c r="O1427">
        <v>65</v>
      </c>
      <c r="Q1427">
        <f t="shared" si="49"/>
        <v>1</v>
      </c>
      <c r="R1427">
        <v>1</v>
      </c>
      <c r="S1427">
        <v>0</v>
      </c>
      <c r="T1427">
        <v>0</v>
      </c>
      <c r="U1427">
        <v>1</v>
      </c>
      <c r="V1427">
        <v>0</v>
      </c>
      <c r="W1427">
        <v>0</v>
      </c>
      <c r="X1427" s="21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f t="shared" si="50"/>
        <v>32</v>
      </c>
      <c r="AP1427" t="s">
        <v>41</v>
      </c>
    </row>
    <row r="1428" spans="1:42">
      <c r="A1428" s="1">
        <v>43789</v>
      </c>
      <c r="B1428">
        <v>3</v>
      </c>
      <c r="C1428">
        <v>310</v>
      </c>
      <c r="D1428"/>
      <c r="E1428" t="s">
        <v>37</v>
      </c>
      <c r="F1428" t="s">
        <v>38</v>
      </c>
      <c r="G1428">
        <v>1</v>
      </c>
      <c r="H1428">
        <v>142</v>
      </c>
      <c r="I1428" s="25">
        <v>322</v>
      </c>
      <c r="K1428" t="s">
        <v>39</v>
      </c>
      <c r="O1428">
        <v>65</v>
      </c>
      <c r="Q1428">
        <f t="shared" si="49"/>
        <v>1</v>
      </c>
      <c r="R1428">
        <v>1</v>
      </c>
      <c r="S1428">
        <v>0</v>
      </c>
      <c r="T1428">
        <v>0</v>
      </c>
      <c r="U1428">
        <v>0</v>
      </c>
      <c r="V1428">
        <v>1</v>
      </c>
      <c r="W1428">
        <v>0</v>
      </c>
      <c r="X1428" s="21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f t="shared" si="50"/>
        <v>64</v>
      </c>
      <c r="AP1428" t="s">
        <v>41</v>
      </c>
    </row>
    <row r="1429" spans="1:42">
      <c r="A1429" s="1">
        <v>43789</v>
      </c>
      <c r="B1429">
        <v>3</v>
      </c>
      <c r="C1429">
        <v>310</v>
      </c>
      <c r="D1429"/>
      <c r="E1429" t="s">
        <v>37</v>
      </c>
      <c r="F1429" t="s">
        <v>38</v>
      </c>
      <c r="G1429">
        <v>1</v>
      </c>
      <c r="H1429">
        <v>143</v>
      </c>
      <c r="I1429" s="25">
        <v>336</v>
      </c>
      <c r="K1429" t="s">
        <v>39</v>
      </c>
      <c r="O1429">
        <v>65</v>
      </c>
      <c r="Q1429">
        <f t="shared" si="49"/>
        <v>1</v>
      </c>
      <c r="R1429">
        <v>1</v>
      </c>
      <c r="S1429">
        <v>0</v>
      </c>
      <c r="T1429">
        <v>0</v>
      </c>
      <c r="U1429">
        <v>0</v>
      </c>
      <c r="V1429">
        <v>1</v>
      </c>
      <c r="W1429">
        <v>0</v>
      </c>
      <c r="X1429" s="21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f t="shared" si="50"/>
        <v>64</v>
      </c>
      <c r="AP1429" t="s">
        <v>41</v>
      </c>
    </row>
    <row r="1430" spans="1:42">
      <c r="A1430" s="1">
        <v>43789</v>
      </c>
      <c r="B1430">
        <v>3</v>
      </c>
      <c r="C1430">
        <v>310</v>
      </c>
      <c r="D1430"/>
      <c r="E1430" t="s">
        <v>37</v>
      </c>
      <c r="F1430" t="s">
        <v>38</v>
      </c>
      <c r="G1430">
        <v>1</v>
      </c>
      <c r="H1430">
        <v>144</v>
      </c>
      <c r="I1430" s="25">
        <v>346</v>
      </c>
      <c r="K1430" t="s">
        <v>39</v>
      </c>
      <c r="N1430" t="s">
        <v>40</v>
      </c>
      <c r="O1430">
        <v>43</v>
      </c>
      <c r="Q1430">
        <f t="shared" si="49"/>
        <v>4</v>
      </c>
      <c r="R1430">
        <v>1</v>
      </c>
      <c r="S1430">
        <v>0</v>
      </c>
      <c r="T1430">
        <v>0</v>
      </c>
      <c r="U1430">
        <v>0</v>
      </c>
      <c r="V1430">
        <v>4</v>
      </c>
      <c r="W1430">
        <v>0</v>
      </c>
      <c r="X1430" s="21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f t="shared" si="50"/>
        <v>256</v>
      </c>
      <c r="AP1430" t="s">
        <v>41</v>
      </c>
    </row>
    <row r="1431" spans="1:42">
      <c r="A1431" s="1">
        <v>43789</v>
      </c>
      <c r="B1431">
        <v>3</v>
      </c>
      <c r="C1431">
        <v>310</v>
      </c>
      <c r="D1431"/>
      <c r="E1431" t="s">
        <v>37</v>
      </c>
      <c r="F1431" t="s">
        <v>38</v>
      </c>
      <c r="G1431">
        <v>1</v>
      </c>
      <c r="H1431">
        <v>145</v>
      </c>
      <c r="I1431" s="25">
        <v>356</v>
      </c>
      <c r="K1431" t="s">
        <v>39</v>
      </c>
      <c r="N1431" t="s">
        <v>40</v>
      </c>
      <c r="O1431">
        <v>43</v>
      </c>
      <c r="Q1431">
        <f t="shared" si="49"/>
        <v>1</v>
      </c>
      <c r="R1431">
        <v>1</v>
      </c>
      <c r="S1431">
        <v>0</v>
      </c>
      <c r="T1431">
        <v>0</v>
      </c>
      <c r="U1431">
        <v>1</v>
      </c>
      <c r="V1431">
        <v>0</v>
      </c>
      <c r="W1431">
        <v>0</v>
      </c>
      <c r="X1431" s="2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f t="shared" si="50"/>
        <v>32</v>
      </c>
      <c r="AP1431" t="s">
        <v>41</v>
      </c>
    </row>
    <row r="1432" spans="1:42">
      <c r="A1432" s="1">
        <v>43789</v>
      </c>
      <c r="B1432">
        <v>3</v>
      </c>
      <c r="C1432">
        <v>310</v>
      </c>
      <c r="D1432"/>
      <c r="E1432" t="s">
        <v>37</v>
      </c>
      <c r="F1432" t="s">
        <v>38</v>
      </c>
      <c r="G1432">
        <v>1</v>
      </c>
      <c r="H1432">
        <v>146</v>
      </c>
      <c r="I1432" s="25">
        <v>415</v>
      </c>
      <c r="K1432" t="s">
        <v>39</v>
      </c>
      <c r="N1432" t="s">
        <v>40</v>
      </c>
      <c r="O1432">
        <v>165</v>
      </c>
      <c r="Q1432">
        <f t="shared" ref="Q1432:Q1495" si="51">SUM(S1432:AC1432)</f>
        <v>9</v>
      </c>
      <c r="R1432">
        <v>1</v>
      </c>
      <c r="S1432">
        <v>0</v>
      </c>
      <c r="T1432">
        <v>0</v>
      </c>
      <c r="U1432">
        <v>0</v>
      </c>
      <c r="V1432">
        <v>9</v>
      </c>
      <c r="W1432">
        <v>0</v>
      </c>
      <c r="X1432" s="21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f t="shared" ref="AH1432:AH1495" si="52">(S1432*16)+(T1432*20)+(U1432*32)+(V1432*64)+(W1432*96)</f>
        <v>576</v>
      </c>
      <c r="AP1432" t="s">
        <v>41</v>
      </c>
    </row>
    <row r="1433" spans="1:42">
      <c r="A1433" s="1">
        <v>43789</v>
      </c>
      <c r="B1433">
        <v>3</v>
      </c>
      <c r="C1433">
        <v>310</v>
      </c>
      <c r="D1433"/>
      <c r="E1433" t="s">
        <v>37</v>
      </c>
      <c r="F1433" t="s">
        <v>38</v>
      </c>
      <c r="G1433">
        <v>1</v>
      </c>
      <c r="H1433">
        <v>147</v>
      </c>
      <c r="I1433" s="25">
        <v>558</v>
      </c>
      <c r="K1433" t="s">
        <v>62</v>
      </c>
      <c r="N1433" t="s">
        <v>40</v>
      </c>
      <c r="O1433">
        <v>100</v>
      </c>
      <c r="Q1433">
        <f t="shared" si="51"/>
        <v>5</v>
      </c>
      <c r="R1433">
        <v>1</v>
      </c>
      <c r="S1433">
        <v>0</v>
      </c>
      <c r="T1433">
        <v>0</v>
      </c>
      <c r="U1433">
        <v>0</v>
      </c>
      <c r="V1433">
        <v>5</v>
      </c>
      <c r="W1433">
        <v>0</v>
      </c>
      <c r="X1433" s="21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f t="shared" si="52"/>
        <v>320</v>
      </c>
      <c r="AP1433" t="s">
        <v>41</v>
      </c>
    </row>
    <row r="1434" spans="1:42">
      <c r="A1434" s="1">
        <v>43789</v>
      </c>
      <c r="B1434">
        <v>3</v>
      </c>
      <c r="C1434">
        <v>310</v>
      </c>
      <c r="D1434"/>
      <c r="E1434" t="s">
        <v>37</v>
      </c>
      <c r="F1434" t="s">
        <v>38</v>
      </c>
      <c r="G1434">
        <v>1</v>
      </c>
      <c r="H1434">
        <v>148</v>
      </c>
      <c r="I1434" s="25">
        <v>405</v>
      </c>
      <c r="K1434" t="s">
        <v>58</v>
      </c>
      <c r="N1434" t="s">
        <v>40</v>
      </c>
      <c r="O1434">
        <v>40</v>
      </c>
      <c r="Q1434">
        <f t="shared" si="51"/>
        <v>1</v>
      </c>
      <c r="R1434">
        <v>1</v>
      </c>
      <c r="S1434">
        <v>0</v>
      </c>
      <c r="T1434">
        <v>0</v>
      </c>
      <c r="U1434">
        <v>1</v>
      </c>
      <c r="V1434">
        <v>0</v>
      </c>
      <c r="W1434">
        <v>0</v>
      </c>
      <c r="X1434" s="21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f t="shared" si="52"/>
        <v>32</v>
      </c>
      <c r="AP1434" t="s">
        <v>41</v>
      </c>
    </row>
    <row r="1435" spans="1:42">
      <c r="A1435" s="1">
        <v>43789</v>
      </c>
      <c r="B1435">
        <v>3</v>
      </c>
      <c r="C1435">
        <v>310</v>
      </c>
      <c r="D1435"/>
      <c r="E1435" t="s">
        <v>37</v>
      </c>
      <c r="F1435" t="s">
        <v>38</v>
      </c>
      <c r="G1435">
        <v>1</v>
      </c>
      <c r="H1435">
        <v>149</v>
      </c>
      <c r="I1435" s="25">
        <v>201</v>
      </c>
      <c r="K1435" t="s">
        <v>58</v>
      </c>
      <c r="N1435" t="s">
        <v>40</v>
      </c>
      <c r="O1435">
        <v>48</v>
      </c>
      <c r="Q1435">
        <f t="shared" si="51"/>
        <v>1</v>
      </c>
      <c r="R1435">
        <v>1</v>
      </c>
      <c r="S1435">
        <v>0</v>
      </c>
      <c r="T1435">
        <v>0</v>
      </c>
      <c r="U1435">
        <v>0</v>
      </c>
      <c r="V1435">
        <v>1</v>
      </c>
      <c r="W1435">
        <v>0</v>
      </c>
      <c r="X1435" s="21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f t="shared" si="52"/>
        <v>64</v>
      </c>
      <c r="AP1435" t="s">
        <v>41</v>
      </c>
    </row>
    <row r="1436" spans="1:42">
      <c r="A1436" s="1">
        <v>43789</v>
      </c>
      <c r="B1436">
        <v>3</v>
      </c>
      <c r="C1436">
        <v>310</v>
      </c>
      <c r="D1436"/>
      <c r="E1436" t="s">
        <v>37</v>
      </c>
      <c r="F1436" t="s">
        <v>38</v>
      </c>
      <c r="G1436">
        <v>1</v>
      </c>
      <c r="H1436">
        <v>150</v>
      </c>
      <c r="I1436" s="25">
        <v>340</v>
      </c>
      <c r="K1436" t="s">
        <v>69</v>
      </c>
      <c r="N1436" t="s">
        <v>40</v>
      </c>
      <c r="O1436">
        <v>43</v>
      </c>
      <c r="Q1436">
        <f t="shared" si="51"/>
        <v>1</v>
      </c>
      <c r="R1436">
        <v>1</v>
      </c>
      <c r="S1436">
        <v>0</v>
      </c>
      <c r="T1436">
        <v>0</v>
      </c>
      <c r="U1436">
        <v>0</v>
      </c>
      <c r="V1436">
        <v>1</v>
      </c>
      <c r="W1436">
        <v>0</v>
      </c>
      <c r="X1436" s="21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f t="shared" si="52"/>
        <v>64</v>
      </c>
      <c r="AP1436" t="s">
        <v>41</v>
      </c>
    </row>
    <row r="1437" spans="1:42">
      <c r="A1437" s="1">
        <v>43789</v>
      </c>
      <c r="B1437">
        <v>3</v>
      </c>
      <c r="C1437">
        <v>310</v>
      </c>
      <c r="D1437"/>
      <c r="E1437" t="s">
        <v>37</v>
      </c>
      <c r="F1437" t="s">
        <v>38</v>
      </c>
      <c r="G1437">
        <v>1</v>
      </c>
      <c r="H1437">
        <v>151</v>
      </c>
      <c r="I1437" s="25">
        <v>250</v>
      </c>
      <c r="K1437" t="s">
        <v>71</v>
      </c>
      <c r="N1437" t="s">
        <v>42</v>
      </c>
      <c r="O1437">
        <v>150</v>
      </c>
      <c r="Q1437">
        <f t="shared" si="51"/>
        <v>4</v>
      </c>
      <c r="R1437">
        <v>1</v>
      </c>
      <c r="S1437">
        <v>0</v>
      </c>
      <c r="T1437">
        <v>0</v>
      </c>
      <c r="U1437">
        <v>0</v>
      </c>
      <c r="V1437">
        <v>4</v>
      </c>
      <c r="W1437">
        <v>0</v>
      </c>
      <c r="X1437" s="21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f t="shared" si="52"/>
        <v>256</v>
      </c>
      <c r="AP1437" t="s">
        <v>41</v>
      </c>
    </row>
    <row r="1438" spans="1:42">
      <c r="A1438" s="1">
        <v>43795</v>
      </c>
      <c r="B1438">
        <v>2</v>
      </c>
      <c r="C1438">
        <v>205</v>
      </c>
      <c r="D1438">
        <v>10232</v>
      </c>
      <c r="E1438" t="s">
        <v>37</v>
      </c>
      <c r="F1438" t="s">
        <v>90</v>
      </c>
      <c r="H1438">
        <v>1</v>
      </c>
      <c r="I1438" s="25">
        <v>138</v>
      </c>
      <c r="K1438" t="s">
        <v>473</v>
      </c>
      <c r="N1438" t="s">
        <v>44</v>
      </c>
      <c r="P1438">
        <v>129</v>
      </c>
      <c r="Q1438">
        <f t="shared" si="51"/>
        <v>1</v>
      </c>
      <c r="R1438" t="s">
        <v>474</v>
      </c>
      <c r="S1438">
        <v>0</v>
      </c>
      <c r="T1438">
        <v>0</v>
      </c>
      <c r="U1438">
        <v>0</v>
      </c>
      <c r="V1438">
        <v>0</v>
      </c>
      <c r="W1438">
        <v>1</v>
      </c>
      <c r="X1438" s="21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f t="shared" si="52"/>
        <v>96</v>
      </c>
      <c r="AP1438" t="s">
        <v>41</v>
      </c>
    </row>
    <row r="1439" spans="1:42">
      <c r="A1439" s="1">
        <v>43795</v>
      </c>
      <c r="B1439">
        <v>2</v>
      </c>
      <c r="C1439">
        <v>205</v>
      </c>
      <c r="D1439">
        <v>10232</v>
      </c>
      <c r="E1439" t="s">
        <v>37</v>
      </c>
      <c r="F1439" t="s">
        <v>90</v>
      </c>
      <c r="H1439">
        <v>2</v>
      </c>
      <c r="I1439" s="25">
        <v>700</v>
      </c>
      <c r="K1439" t="s">
        <v>389</v>
      </c>
      <c r="N1439" t="s">
        <v>40</v>
      </c>
      <c r="P1439">
        <v>123</v>
      </c>
      <c r="Q1439">
        <f t="shared" si="51"/>
        <v>7</v>
      </c>
      <c r="R1439" t="s">
        <v>474</v>
      </c>
      <c r="S1439">
        <v>0</v>
      </c>
      <c r="T1439">
        <v>0</v>
      </c>
      <c r="U1439">
        <v>1</v>
      </c>
      <c r="V1439">
        <v>0</v>
      </c>
      <c r="W1439">
        <v>6</v>
      </c>
      <c r="X1439" s="21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f t="shared" si="52"/>
        <v>608</v>
      </c>
      <c r="AP1439" t="s">
        <v>41</v>
      </c>
    </row>
    <row r="1440" spans="1:42">
      <c r="A1440" s="1">
        <v>43795</v>
      </c>
      <c r="B1440">
        <v>2</v>
      </c>
      <c r="C1440">
        <v>205</v>
      </c>
      <c r="D1440">
        <v>10232</v>
      </c>
      <c r="E1440" t="s">
        <v>37</v>
      </c>
      <c r="F1440" t="s">
        <v>90</v>
      </c>
      <c r="H1440">
        <v>3</v>
      </c>
      <c r="I1440" s="25">
        <v>100</v>
      </c>
      <c r="K1440" t="s">
        <v>381</v>
      </c>
      <c r="N1440" t="s">
        <v>40</v>
      </c>
      <c r="P1440">
        <v>102</v>
      </c>
      <c r="Q1440">
        <f t="shared" si="51"/>
        <v>4</v>
      </c>
      <c r="R1440" t="s">
        <v>474</v>
      </c>
      <c r="S1440">
        <v>0</v>
      </c>
      <c r="T1440">
        <v>0</v>
      </c>
      <c r="U1440">
        <v>0</v>
      </c>
      <c r="V1440">
        <v>2</v>
      </c>
      <c r="W1440">
        <v>2</v>
      </c>
      <c r="X1440" s="21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f t="shared" si="52"/>
        <v>320</v>
      </c>
      <c r="AL1440" t="s">
        <v>475</v>
      </c>
      <c r="AP1440" t="s">
        <v>41</v>
      </c>
    </row>
    <row r="1441" spans="1:42">
      <c r="A1441" s="1">
        <v>43795</v>
      </c>
      <c r="B1441">
        <v>2</v>
      </c>
      <c r="C1441">
        <v>205</v>
      </c>
      <c r="D1441">
        <v>10232</v>
      </c>
      <c r="E1441" t="s">
        <v>37</v>
      </c>
      <c r="F1441" t="s">
        <v>90</v>
      </c>
      <c r="H1441">
        <v>4</v>
      </c>
      <c r="I1441" s="25">
        <v>0</v>
      </c>
      <c r="K1441" t="s">
        <v>476</v>
      </c>
      <c r="N1441" t="s">
        <v>44</v>
      </c>
      <c r="P1441">
        <v>182</v>
      </c>
      <c r="Q1441">
        <f t="shared" si="51"/>
        <v>8</v>
      </c>
      <c r="R1441" t="s">
        <v>474</v>
      </c>
      <c r="S1441">
        <v>0</v>
      </c>
      <c r="T1441">
        <v>0</v>
      </c>
      <c r="U1441">
        <v>0</v>
      </c>
      <c r="V1441">
        <v>3</v>
      </c>
      <c r="W1441">
        <v>5</v>
      </c>
      <c r="X1441" s="2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f t="shared" si="52"/>
        <v>672</v>
      </c>
      <c r="AL1441" t="s">
        <v>45</v>
      </c>
      <c r="AP1441" t="s">
        <v>41</v>
      </c>
    </row>
    <row r="1442" spans="1:42">
      <c r="A1442" s="1">
        <v>43795</v>
      </c>
      <c r="B1442">
        <v>2</v>
      </c>
      <c r="C1442">
        <v>205</v>
      </c>
      <c r="D1442">
        <v>10232</v>
      </c>
      <c r="E1442" t="s">
        <v>37</v>
      </c>
      <c r="F1442" t="s">
        <v>90</v>
      </c>
      <c r="H1442">
        <v>5</v>
      </c>
      <c r="I1442" s="25">
        <v>200</v>
      </c>
      <c r="K1442" t="s">
        <v>378</v>
      </c>
      <c r="N1442" t="s">
        <v>44</v>
      </c>
      <c r="P1442">
        <v>186</v>
      </c>
      <c r="Q1442">
        <f t="shared" si="51"/>
        <v>5</v>
      </c>
      <c r="R1442" t="s">
        <v>474</v>
      </c>
      <c r="S1442">
        <v>0</v>
      </c>
      <c r="T1442">
        <v>0</v>
      </c>
      <c r="U1442">
        <v>0</v>
      </c>
      <c r="V1442">
        <v>0</v>
      </c>
      <c r="W1442">
        <v>5</v>
      </c>
      <c r="X1442" s="21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f t="shared" si="52"/>
        <v>480</v>
      </c>
      <c r="AP1442" t="s">
        <v>41</v>
      </c>
    </row>
    <row r="1443" spans="1:42">
      <c r="A1443" s="1">
        <v>43795</v>
      </c>
      <c r="B1443">
        <v>2</v>
      </c>
      <c r="C1443">
        <v>205</v>
      </c>
      <c r="D1443">
        <v>10232</v>
      </c>
      <c r="E1443" t="s">
        <v>37</v>
      </c>
      <c r="F1443" t="s">
        <v>90</v>
      </c>
      <c r="H1443">
        <v>6</v>
      </c>
      <c r="I1443" s="25">
        <v>600</v>
      </c>
      <c r="K1443" t="s">
        <v>380</v>
      </c>
      <c r="N1443" t="s">
        <v>40</v>
      </c>
      <c r="P1443">
        <v>31</v>
      </c>
      <c r="Q1443">
        <f t="shared" si="51"/>
        <v>4</v>
      </c>
      <c r="R1443">
        <v>1</v>
      </c>
      <c r="S1443">
        <v>0</v>
      </c>
      <c r="T1443">
        <v>0</v>
      </c>
      <c r="U1443">
        <v>0</v>
      </c>
      <c r="V1443">
        <v>2</v>
      </c>
      <c r="W1443">
        <v>2</v>
      </c>
      <c r="X1443" s="21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f t="shared" si="52"/>
        <v>320</v>
      </c>
      <c r="AL1443" t="s">
        <v>477</v>
      </c>
      <c r="AP1443" t="s">
        <v>41</v>
      </c>
    </row>
    <row r="1444" spans="1:42">
      <c r="A1444" s="1">
        <v>43795</v>
      </c>
      <c r="B1444">
        <v>2</v>
      </c>
      <c r="C1444">
        <v>205</v>
      </c>
      <c r="D1444">
        <v>10232</v>
      </c>
      <c r="E1444" t="s">
        <v>37</v>
      </c>
      <c r="F1444" t="s">
        <v>90</v>
      </c>
      <c r="H1444">
        <v>7</v>
      </c>
      <c r="I1444" s="25">
        <v>700</v>
      </c>
      <c r="K1444" t="s">
        <v>380</v>
      </c>
      <c r="N1444" t="s">
        <v>40</v>
      </c>
      <c r="P1444">
        <v>95</v>
      </c>
      <c r="Q1444">
        <f t="shared" si="51"/>
        <v>7</v>
      </c>
      <c r="R1444" t="s">
        <v>474</v>
      </c>
      <c r="S1444">
        <v>0</v>
      </c>
      <c r="T1444">
        <v>0</v>
      </c>
      <c r="U1444">
        <v>0</v>
      </c>
      <c r="V1444">
        <v>0</v>
      </c>
      <c r="W1444">
        <v>7</v>
      </c>
      <c r="X1444" s="21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f t="shared" si="52"/>
        <v>672</v>
      </c>
      <c r="AP1444" t="s">
        <v>41</v>
      </c>
    </row>
    <row r="1445" spans="1:42">
      <c r="A1445" s="1">
        <v>43795</v>
      </c>
      <c r="B1445">
        <v>2</v>
      </c>
      <c r="C1445">
        <v>205</v>
      </c>
      <c r="D1445">
        <v>10232</v>
      </c>
      <c r="E1445" t="s">
        <v>37</v>
      </c>
      <c r="F1445" t="s">
        <v>90</v>
      </c>
      <c r="H1445">
        <v>8</v>
      </c>
      <c r="I1445" s="25"/>
      <c r="K1445" t="s">
        <v>478</v>
      </c>
      <c r="N1445" t="s">
        <v>42</v>
      </c>
      <c r="P1445">
        <v>317</v>
      </c>
      <c r="Q1445">
        <f t="shared" si="51"/>
        <v>11</v>
      </c>
      <c r="R1445" t="s">
        <v>474</v>
      </c>
      <c r="S1445">
        <v>0</v>
      </c>
      <c r="T1445">
        <v>0</v>
      </c>
      <c r="U1445">
        <v>0</v>
      </c>
      <c r="V1445">
        <v>0</v>
      </c>
      <c r="W1445">
        <v>11</v>
      </c>
      <c r="X1445" s="21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f t="shared" si="52"/>
        <v>1056</v>
      </c>
      <c r="AL1445" t="s">
        <v>479</v>
      </c>
      <c r="AP1445" t="s">
        <v>41</v>
      </c>
    </row>
    <row r="1446" spans="1:42">
      <c r="A1446" s="1">
        <v>43795</v>
      </c>
      <c r="B1446">
        <v>2</v>
      </c>
      <c r="C1446">
        <v>205</v>
      </c>
      <c r="D1446">
        <v>10232</v>
      </c>
      <c r="E1446" t="s">
        <v>37</v>
      </c>
      <c r="F1446" t="s">
        <v>90</v>
      </c>
      <c r="H1446">
        <v>9</v>
      </c>
      <c r="I1446" s="25">
        <v>300</v>
      </c>
      <c r="K1446" t="s">
        <v>378</v>
      </c>
      <c r="N1446" t="s">
        <v>42</v>
      </c>
      <c r="P1446">
        <v>408</v>
      </c>
      <c r="Q1446">
        <f t="shared" si="51"/>
        <v>18</v>
      </c>
      <c r="R1446" t="s">
        <v>474</v>
      </c>
      <c r="S1446">
        <v>0</v>
      </c>
      <c r="T1446">
        <v>0</v>
      </c>
      <c r="U1446">
        <v>0</v>
      </c>
      <c r="V1446">
        <v>3</v>
      </c>
      <c r="W1446">
        <v>15</v>
      </c>
      <c r="X1446" s="21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f t="shared" si="52"/>
        <v>1632</v>
      </c>
      <c r="AP1446" t="s">
        <v>41</v>
      </c>
    </row>
    <row r="1447" spans="1:42">
      <c r="A1447" s="1">
        <v>43795</v>
      </c>
      <c r="B1447">
        <v>2</v>
      </c>
      <c r="C1447">
        <v>205</v>
      </c>
      <c r="D1447">
        <v>10232</v>
      </c>
      <c r="E1447" t="s">
        <v>37</v>
      </c>
      <c r="F1447" t="s">
        <v>90</v>
      </c>
      <c r="H1447">
        <v>10</v>
      </c>
      <c r="I1447" s="25"/>
      <c r="K1447" t="s">
        <v>480</v>
      </c>
      <c r="N1447" t="s">
        <v>42</v>
      </c>
      <c r="P1447">
        <v>351</v>
      </c>
      <c r="Q1447">
        <f t="shared" si="51"/>
        <v>16</v>
      </c>
      <c r="R1447" t="s">
        <v>474</v>
      </c>
      <c r="S1447">
        <v>0</v>
      </c>
      <c r="T1447">
        <v>0</v>
      </c>
      <c r="U1447">
        <v>2</v>
      </c>
      <c r="V1447">
        <v>3</v>
      </c>
      <c r="W1447">
        <v>11</v>
      </c>
      <c r="X1447" s="21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f t="shared" si="52"/>
        <v>1312</v>
      </c>
      <c r="AP1447" t="s">
        <v>41</v>
      </c>
    </row>
    <row r="1448" spans="1:42">
      <c r="A1448" s="1">
        <v>43795</v>
      </c>
      <c r="B1448">
        <v>2</v>
      </c>
      <c r="C1448">
        <v>205</v>
      </c>
      <c r="D1448">
        <v>10232</v>
      </c>
      <c r="E1448" t="s">
        <v>37</v>
      </c>
      <c r="F1448" t="s">
        <v>90</v>
      </c>
      <c r="H1448">
        <v>11</v>
      </c>
      <c r="I1448" s="25">
        <v>50</v>
      </c>
      <c r="K1448" t="s">
        <v>481</v>
      </c>
      <c r="N1448" t="s">
        <v>40</v>
      </c>
      <c r="P1448">
        <v>65</v>
      </c>
      <c r="Q1448">
        <f t="shared" si="51"/>
        <v>2</v>
      </c>
      <c r="R1448" t="s">
        <v>474</v>
      </c>
      <c r="S1448">
        <v>0</v>
      </c>
      <c r="T1448">
        <v>0</v>
      </c>
      <c r="U1448">
        <v>0</v>
      </c>
      <c r="V1448">
        <v>0</v>
      </c>
      <c r="W1448">
        <v>2</v>
      </c>
      <c r="X1448" s="21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f t="shared" si="52"/>
        <v>192</v>
      </c>
      <c r="AP1448" t="s">
        <v>41</v>
      </c>
    </row>
    <row r="1449" spans="1:42">
      <c r="A1449" s="1">
        <v>43795</v>
      </c>
      <c r="B1449">
        <v>2</v>
      </c>
      <c r="C1449">
        <v>205</v>
      </c>
      <c r="D1449">
        <v>10232</v>
      </c>
      <c r="E1449" t="s">
        <v>37</v>
      </c>
      <c r="F1449" t="s">
        <v>90</v>
      </c>
      <c r="H1449">
        <v>12</v>
      </c>
      <c r="I1449" s="25"/>
      <c r="K1449" t="s">
        <v>482</v>
      </c>
      <c r="N1449" t="s">
        <v>42</v>
      </c>
      <c r="P1449">
        <v>202</v>
      </c>
      <c r="Q1449">
        <f t="shared" si="51"/>
        <v>5</v>
      </c>
      <c r="R1449" t="s">
        <v>474</v>
      </c>
      <c r="S1449">
        <v>0</v>
      </c>
      <c r="T1449">
        <v>0</v>
      </c>
      <c r="U1449">
        <v>0</v>
      </c>
      <c r="V1449">
        <v>4</v>
      </c>
      <c r="W1449">
        <v>1</v>
      </c>
      <c r="X1449" s="21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f t="shared" si="52"/>
        <v>352</v>
      </c>
      <c r="AP1449" t="s">
        <v>41</v>
      </c>
    </row>
    <row r="1450" spans="1:42">
      <c r="A1450" s="1">
        <v>43795</v>
      </c>
      <c r="B1450">
        <v>2</v>
      </c>
      <c r="C1450">
        <v>205</v>
      </c>
      <c r="D1450">
        <v>10232</v>
      </c>
      <c r="E1450" t="s">
        <v>37</v>
      </c>
      <c r="F1450" t="s">
        <v>90</v>
      </c>
      <c r="H1450">
        <v>13</v>
      </c>
      <c r="I1450" s="25">
        <v>400</v>
      </c>
      <c r="K1450" t="s">
        <v>106</v>
      </c>
      <c r="N1450" t="s">
        <v>42</v>
      </c>
      <c r="P1450">
        <v>490</v>
      </c>
      <c r="Q1450">
        <f t="shared" si="51"/>
        <v>25</v>
      </c>
      <c r="R1450" t="s">
        <v>474</v>
      </c>
      <c r="S1450">
        <v>0</v>
      </c>
      <c r="T1450">
        <v>0</v>
      </c>
      <c r="U1450">
        <v>9</v>
      </c>
      <c r="V1450">
        <v>8</v>
      </c>
      <c r="W1450">
        <v>8</v>
      </c>
      <c r="X1450" s="21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 t="s">
        <v>95</v>
      </c>
      <c r="AH1450">
        <f t="shared" si="52"/>
        <v>1568</v>
      </c>
      <c r="AL1450" t="s">
        <v>483</v>
      </c>
      <c r="AP1450" t="s">
        <v>41</v>
      </c>
    </row>
    <row r="1451" spans="1:42">
      <c r="A1451" s="1">
        <v>43795</v>
      </c>
      <c r="B1451">
        <v>2</v>
      </c>
      <c r="C1451">
        <v>205</v>
      </c>
      <c r="D1451">
        <v>10232</v>
      </c>
      <c r="E1451" t="s">
        <v>37</v>
      </c>
      <c r="F1451" t="s">
        <v>90</v>
      </c>
      <c r="H1451">
        <v>14</v>
      </c>
      <c r="I1451" s="25"/>
      <c r="K1451" t="s">
        <v>484</v>
      </c>
      <c r="N1451" t="s">
        <v>44</v>
      </c>
      <c r="P1451">
        <v>203</v>
      </c>
      <c r="Q1451">
        <f t="shared" si="51"/>
        <v>7</v>
      </c>
      <c r="R1451" t="s">
        <v>474</v>
      </c>
      <c r="S1451">
        <v>0</v>
      </c>
      <c r="T1451">
        <v>0</v>
      </c>
      <c r="U1451">
        <v>0</v>
      </c>
      <c r="V1451">
        <v>0</v>
      </c>
      <c r="W1451">
        <v>7</v>
      </c>
      <c r="X1451" s="2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f t="shared" si="52"/>
        <v>672</v>
      </c>
      <c r="AP1451" t="s">
        <v>41</v>
      </c>
    </row>
    <row r="1452" spans="1:42">
      <c r="A1452" s="1">
        <v>43795</v>
      </c>
      <c r="B1452">
        <v>2</v>
      </c>
      <c r="C1452">
        <v>205</v>
      </c>
      <c r="D1452">
        <v>10232</v>
      </c>
      <c r="E1452" t="s">
        <v>37</v>
      </c>
      <c r="F1452" t="s">
        <v>90</v>
      </c>
      <c r="H1452">
        <v>15</v>
      </c>
      <c r="I1452" s="25">
        <v>0</v>
      </c>
      <c r="K1452" t="s">
        <v>485</v>
      </c>
      <c r="N1452" t="s">
        <v>40</v>
      </c>
      <c r="P1452">
        <v>30</v>
      </c>
      <c r="Q1452">
        <f t="shared" si="51"/>
        <v>9</v>
      </c>
      <c r="R1452" t="s">
        <v>474</v>
      </c>
      <c r="S1452">
        <v>0</v>
      </c>
      <c r="T1452">
        <v>0</v>
      </c>
      <c r="U1452">
        <v>0</v>
      </c>
      <c r="V1452">
        <v>6</v>
      </c>
      <c r="W1452">
        <v>3</v>
      </c>
      <c r="X1452" s="21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f t="shared" si="52"/>
        <v>672</v>
      </c>
      <c r="AP1452" t="s">
        <v>41</v>
      </c>
    </row>
    <row r="1453" spans="1:42">
      <c r="A1453" s="1">
        <v>43795</v>
      </c>
      <c r="B1453">
        <v>2</v>
      </c>
      <c r="C1453">
        <v>205</v>
      </c>
      <c r="D1453">
        <v>10232</v>
      </c>
      <c r="E1453" t="s">
        <v>37</v>
      </c>
      <c r="F1453" t="s">
        <v>90</v>
      </c>
      <c r="H1453">
        <v>16</v>
      </c>
      <c r="I1453" s="25">
        <v>500</v>
      </c>
      <c r="K1453" t="s">
        <v>380</v>
      </c>
      <c r="M1453" t="s">
        <v>95</v>
      </c>
      <c r="N1453" t="s">
        <v>40</v>
      </c>
      <c r="P1453">
        <v>140</v>
      </c>
      <c r="Q1453">
        <f t="shared" si="51"/>
        <v>8</v>
      </c>
      <c r="R1453" t="s">
        <v>474</v>
      </c>
      <c r="S1453">
        <v>0</v>
      </c>
      <c r="T1453">
        <v>0</v>
      </c>
      <c r="U1453">
        <v>0</v>
      </c>
      <c r="V1453">
        <v>6</v>
      </c>
      <c r="W1453">
        <v>2</v>
      </c>
      <c r="X1453" s="21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f t="shared" si="52"/>
        <v>576</v>
      </c>
      <c r="AP1453" t="s">
        <v>41</v>
      </c>
    </row>
    <row r="1454" spans="1:42">
      <c r="A1454" s="1">
        <v>43795</v>
      </c>
      <c r="B1454">
        <v>2</v>
      </c>
      <c r="C1454">
        <v>205</v>
      </c>
      <c r="D1454">
        <v>10232</v>
      </c>
      <c r="E1454" t="s">
        <v>37</v>
      </c>
      <c r="F1454" t="s">
        <v>90</v>
      </c>
      <c r="H1454">
        <v>17</v>
      </c>
      <c r="I1454" s="25"/>
      <c r="K1454" t="s">
        <v>486</v>
      </c>
      <c r="N1454" t="s">
        <v>40</v>
      </c>
      <c r="P1454">
        <v>919</v>
      </c>
      <c r="Q1454">
        <f t="shared" si="51"/>
        <v>55</v>
      </c>
      <c r="R1454" t="s">
        <v>474</v>
      </c>
      <c r="S1454">
        <v>2</v>
      </c>
      <c r="T1454">
        <v>0</v>
      </c>
      <c r="U1454">
        <v>18</v>
      </c>
      <c r="V1454">
        <v>14</v>
      </c>
      <c r="W1454">
        <v>21</v>
      </c>
      <c r="X1454" s="21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f t="shared" si="52"/>
        <v>3520</v>
      </c>
      <c r="AP1454" t="s">
        <v>41</v>
      </c>
    </row>
    <row r="1455" spans="1:42">
      <c r="A1455" s="1">
        <v>43795</v>
      </c>
      <c r="B1455">
        <v>2</v>
      </c>
      <c r="C1455">
        <v>205</v>
      </c>
      <c r="D1455">
        <v>10232</v>
      </c>
      <c r="E1455" t="s">
        <v>37</v>
      </c>
      <c r="F1455" t="s">
        <v>90</v>
      </c>
      <c r="H1455">
        <v>18</v>
      </c>
      <c r="I1455" s="25"/>
      <c r="K1455" t="s">
        <v>487</v>
      </c>
      <c r="N1455" t="s">
        <v>40</v>
      </c>
      <c r="P1455">
        <v>271</v>
      </c>
      <c r="Q1455">
        <f t="shared" si="51"/>
        <v>15</v>
      </c>
      <c r="R1455" t="s">
        <v>474</v>
      </c>
      <c r="S1455">
        <v>0</v>
      </c>
      <c r="T1455">
        <v>0</v>
      </c>
      <c r="U1455">
        <v>0</v>
      </c>
      <c r="V1455">
        <v>2</v>
      </c>
      <c r="W1455">
        <v>13</v>
      </c>
      <c r="X1455" s="21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f t="shared" si="52"/>
        <v>1376</v>
      </c>
      <c r="AL1455" t="s">
        <v>488</v>
      </c>
      <c r="AP1455" t="s">
        <v>41</v>
      </c>
    </row>
    <row r="1456" spans="1:42">
      <c r="A1456" s="1">
        <v>43795</v>
      </c>
      <c r="B1456">
        <v>2</v>
      </c>
      <c r="C1456">
        <v>205</v>
      </c>
      <c r="D1456">
        <v>10232</v>
      </c>
      <c r="E1456" t="s">
        <v>37</v>
      </c>
      <c r="F1456" t="s">
        <v>90</v>
      </c>
      <c r="H1456">
        <v>19</v>
      </c>
      <c r="I1456" s="25">
        <v>0</v>
      </c>
      <c r="K1456" t="s">
        <v>397</v>
      </c>
      <c r="N1456" t="s">
        <v>42</v>
      </c>
      <c r="P1456">
        <v>300</v>
      </c>
      <c r="Q1456">
        <f t="shared" si="51"/>
        <v>14</v>
      </c>
      <c r="R1456" t="s">
        <v>474</v>
      </c>
      <c r="S1456">
        <v>1</v>
      </c>
      <c r="T1456">
        <v>0</v>
      </c>
      <c r="U1456">
        <v>2</v>
      </c>
      <c r="V1456">
        <v>0</v>
      </c>
      <c r="W1456">
        <v>11</v>
      </c>
      <c r="X1456" s="21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f t="shared" si="52"/>
        <v>1136</v>
      </c>
      <c r="AL1456" t="s">
        <v>489</v>
      </c>
      <c r="AP1456" t="s">
        <v>41</v>
      </c>
    </row>
    <row r="1457" spans="1:42">
      <c r="A1457" s="1">
        <v>43795</v>
      </c>
      <c r="B1457">
        <v>2</v>
      </c>
      <c r="C1457">
        <v>205</v>
      </c>
      <c r="D1457">
        <v>10232</v>
      </c>
      <c r="E1457" t="s">
        <v>37</v>
      </c>
      <c r="F1457" t="s">
        <v>90</v>
      </c>
      <c r="H1457">
        <v>20</v>
      </c>
      <c r="I1457" s="25">
        <v>200</v>
      </c>
      <c r="K1457" t="s">
        <v>380</v>
      </c>
      <c r="N1457" t="s">
        <v>44</v>
      </c>
      <c r="P1457">
        <v>316</v>
      </c>
      <c r="Q1457">
        <f t="shared" si="51"/>
        <v>8</v>
      </c>
      <c r="R1457" t="s">
        <v>474</v>
      </c>
      <c r="S1457">
        <v>0</v>
      </c>
      <c r="T1457">
        <v>0</v>
      </c>
      <c r="U1457">
        <v>0</v>
      </c>
      <c r="V1457">
        <v>0</v>
      </c>
      <c r="W1457">
        <v>8</v>
      </c>
      <c r="X1457" s="21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f t="shared" si="52"/>
        <v>768</v>
      </c>
      <c r="AP1457" t="s">
        <v>41</v>
      </c>
    </row>
    <row r="1458" spans="1:42">
      <c r="A1458" s="1">
        <v>43795</v>
      </c>
      <c r="B1458">
        <v>2</v>
      </c>
      <c r="C1458">
        <v>205</v>
      </c>
      <c r="D1458">
        <v>10232</v>
      </c>
      <c r="E1458" t="s">
        <v>37</v>
      </c>
      <c r="F1458" t="s">
        <v>90</v>
      </c>
      <c r="H1458">
        <v>21</v>
      </c>
      <c r="I1458" s="25">
        <v>500</v>
      </c>
      <c r="K1458" t="s">
        <v>107</v>
      </c>
      <c r="N1458" t="s">
        <v>40</v>
      </c>
      <c r="P1458">
        <v>90</v>
      </c>
      <c r="Q1458">
        <f t="shared" si="51"/>
        <v>4</v>
      </c>
      <c r="R1458" t="s">
        <v>474</v>
      </c>
      <c r="S1458">
        <v>0</v>
      </c>
      <c r="T1458">
        <v>0</v>
      </c>
      <c r="U1458">
        <v>2</v>
      </c>
      <c r="V1458">
        <v>2</v>
      </c>
      <c r="W1458">
        <v>0</v>
      </c>
      <c r="X1458" s="21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f t="shared" si="52"/>
        <v>192</v>
      </c>
      <c r="AP1458" t="s">
        <v>41</v>
      </c>
    </row>
    <row r="1459" spans="1:42">
      <c r="A1459" s="1">
        <v>43795</v>
      </c>
      <c r="B1459">
        <v>2</v>
      </c>
      <c r="C1459">
        <v>205</v>
      </c>
      <c r="D1459">
        <v>10232</v>
      </c>
      <c r="E1459" t="s">
        <v>37</v>
      </c>
      <c r="F1459" t="s">
        <v>90</v>
      </c>
      <c r="H1459">
        <v>22</v>
      </c>
      <c r="I1459" s="25">
        <v>0</v>
      </c>
      <c r="K1459" t="s">
        <v>490</v>
      </c>
      <c r="N1459" t="s">
        <v>42</v>
      </c>
      <c r="P1459">
        <v>582</v>
      </c>
      <c r="Q1459">
        <f t="shared" si="51"/>
        <v>15</v>
      </c>
      <c r="R1459" t="s">
        <v>474</v>
      </c>
      <c r="S1459">
        <v>0</v>
      </c>
      <c r="T1459">
        <v>0</v>
      </c>
      <c r="U1459">
        <v>0</v>
      </c>
      <c r="V1459">
        <v>0</v>
      </c>
      <c r="W1459">
        <v>15</v>
      </c>
      <c r="X1459" s="21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f t="shared" si="52"/>
        <v>1440</v>
      </c>
      <c r="AP1459" t="s">
        <v>41</v>
      </c>
    </row>
    <row r="1460" spans="1:42">
      <c r="A1460" s="1">
        <v>43795</v>
      </c>
      <c r="B1460">
        <v>2</v>
      </c>
      <c r="C1460">
        <v>205</v>
      </c>
      <c r="D1460">
        <v>10232</v>
      </c>
      <c r="E1460" t="s">
        <v>37</v>
      </c>
      <c r="F1460" t="s">
        <v>90</v>
      </c>
      <c r="H1460">
        <v>23</v>
      </c>
      <c r="I1460" s="25">
        <v>300</v>
      </c>
      <c r="K1460" t="s">
        <v>107</v>
      </c>
      <c r="P1460">
        <v>58</v>
      </c>
      <c r="Q1460">
        <f t="shared" si="51"/>
        <v>2</v>
      </c>
      <c r="R1460" t="s">
        <v>474</v>
      </c>
      <c r="S1460">
        <v>0</v>
      </c>
      <c r="T1460">
        <v>0</v>
      </c>
      <c r="U1460">
        <v>0</v>
      </c>
      <c r="V1460">
        <v>0</v>
      </c>
      <c r="W1460">
        <v>2</v>
      </c>
      <c r="X1460" s="21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f t="shared" si="52"/>
        <v>192</v>
      </c>
      <c r="AP1460" t="s">
        <v>41</v>
      </c>
    </row>
    <row r="1461" spans="1:42">
      <c r="A1461" s="1">
        <v>43795</v>
      </c>
      <c r="B1461">
        <v>2</v>
      </c>
      <c r="C1461">
        <v>205</v>
      </c>
      <c r="D1461">
        <v>10232</v>
      </c>
      <c r="E1461" t="s">
        <v>37</v>
      </c>
      <c r="F1461" t="s">
        <v>90</v>
      </c>
      <c r="H1461">
        <v>24</v>
      </c>
      <c r="I1461" s="25">
        <v>201</v>
      </c>
      <c r="K1461" t="s">
        <v>394</v>
      </c>
      <c r="N1461" t="s">
        <v>44</v>
      </c>
      <c r="P1461">
        <v>30</v>
      </c>
      <c r="Q1461">
        <f t="shared" si="51"/>
        <v>2</v>
      </c>
      <c r="R1461" t="s">
        <v>474</v>
      </c>
      <c r="S1461">
        <v>0</v>
      </c>
      <c r="T1461">
        <v>0</v>
      </c>
      <c r="U1461">
        <v>0</v>
      </c>
      <c r="V1461">
        <v>0</v>
      </c>
      <c r="W1461">
        <v>2</v>
      </c>
      <c r="X1461" s="2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f t="shared" si="52"/>
        <v>192</v>
      </c>
      <c r="AP1461" t="s">
        <v>41</v>
      </c>
    </row>
    <row r="1462" spans="1:42">
      <c r="A1462" s="1">
        <v>43795</v>
      </c>
      <c r="B1462">
        <v>2</v>
      </c>
      <c r="C1462">
        <v>205</v>
      </c>
      <c r="D1462">
        <v>10232</v>
      </c>
      <c r="E1462" t="s">
        <v>37</v>
      </c>
      <c r="F1462" t="s">
        <v>90</v>
      </c>
      <c r="H1462">
        <v>25</v>
      </c>
      <c r="I1462" s="25">
        <v>135</v>
      </c>
      <c r="K1462" t="s">
        <v>393</v>
      </c>
      <c r="N1462" t="s">
        <v>40</v>
      </c>
      <c r="P1462">
        <v>65</v>
      </c>
      <c r="Q1462">
        <f t="shared" si="51"/>
        <v>4</v>
      </c>
      <c r="R1462" t="s">
        <v>474</v>
      </c>
      <c r="S1462">
        <v>0</v>
      </c>
      <c r="T1462">
        <v>0</v>
      </c>
      <c r="U1462">
        <v>0</v>
      </c>
      <c r="V1462">
        <v>2</v>
      </c>
      <c r="W1462">
        <v>2</v>
      </c>
      <c r="X1462" s="21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f t="shared" si="52"/>
        <v>320</v>
      </c>
      <c r="AP1462" t="s">
        <v>41</v>
      </c>
    </row>
    <row r="1463" spans="1:42">
      <c r="A1463" s="1">
        <v>43795</v>
      </c>
      <c r="B1463">
        <v>2</v>
      </c>
      <c r="C1463">
        <v>205</v>
      </c>
      <c r="D1463">
        <v>10232</v>
      </c>
      <c r="E1463" t="s">
        <v>37</v>
      </c>
      <c r="F1463" t="s">
        <v>90</v>
      </c>
      <c r="H1463">
        <v>26</v>
      </c>
      <c r="I1463" s="25">
        <v>100</v>
      </c>
      <c r="K1463" t="s">
        <v>384</v>
      </c>
      <c r="N1463" t="s">
        <v>40</v>
      </c>
      <c r="P1463">
        <v>48</v>
      </c>
      <c r="Q1463">
        <f t="shared" si="51"/>
        <v>5</v>
      </c>
      <c r="R1463" t="s">
        <v>474</v>
      </c>
      <c r="S1463">
        <v>0</v>
      </c>
      <c r="T1463">
        <v>0</v>
      </c>
      <c r="U1463">
        <v>0</v>
      </c>
      <c r="V1463">
        <v>0</v>
      </c>
      <c r="W1463">
        <v>5</v>
      </c>
      <c r="X1463" s="21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f t="shared" si="52"/>
        <v>480</v>
      </c>
      <c r="AP1463" t="s">
        <v>41</v>
      </c>
    </row>
    <row r="1464" spans="1:42">
      <c r="A1464" s="1">
        <v>43795</v>
      </c>
      <c r="B1464">
        <v>2</v>
      </c>
      <c r="C1464">
        <v>205</v>
      </c>
      <c r="D1464">
        <v>10232</v>
      </c>
      <c r="E1464" t="s">
        <v>37</v>
      </c>
      <c r="F1464" t="s">
        <v>90</v>
      </c>
      <c r="H1464">
        <v>27</v>
      </c>
      <c r="I1464" s="25">
        <v>100</v>
      </c>
      <c r="K1464" t="s">
        <v>491</v>
      </c>
      <c r="N1464" t="s">
        <v>40</v>
      </c>
      <c r="P1464">
        <v>920</v>
      </c>
      <c r="Q1464">
        <f t="shared" si="51"/>
        <v>22</v>
      </c>
      <c r="R1464" t="s">
        <v>474</v>
      </c>
      <c r="S1464">
        <v>0</v>
      </c>
      <c r="T1464">
        <v>0</v>
      </c>
      <c r="U1464">
        <v>2</v>
      </c>
      <c r="V1464">
        <v>5</v>
      </c>
      <c r="W1464">
        <v>15</v>
      </c>
      <c r="X1464" s="21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f t="shared" si="52"/>
        <v>1824</v>
      </c>
      <c r="AP1464" t="s">
        <v>41</v>
      </c>
    </row>
    <row r="1465" spans="1:42">
      <c r="A1465" s="1">
        <v>43795</v>
      </c>
      <c r="B1465">
        <v>2</v>
      </c>
      <c r="C1465">
        <v>205</v>
      </c>
      <c r="D1465">
        <v>10232</v>
      </c>
      <c r="E1465" t="s">
        <v>37</v>
      </c>
      <c r="F1465" t="s">
        <v>90</v>
      </c>
      <c r="H1465">
        <v>28</v>
      </c>
      <c r="I1465" s="25">
        <v>100</v>
      </c>
      <c r="K1465" t="s">
        <v>386</v>
      </c>
      <c r="N1465" t="s">
        <v>40</v>
      </c>
      <c r="P1465">
        <v>212</v>
      </c>
      <c r="Q1465">
        <f t="shared" si="51"/>
        <v>10</v>
      </c>
      <c r="R1465">
        <v>1</v>
      </c>
      <c r="S1465">
        <v>0</v>
      </c>
      <c r="T1465">
        <v>0</v>
      </c>
      <c r="U1465">
        <v>0</v>
      </c>
      <c r="V1465">
        <v>6</v>
      </c>
      <c r="W1465">
        <v>4</v>
      </c>
      <c r="X1465" s="21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f t="shared" si="52"/>
        <v>768</v>
      </c>
      <c r="AL1465" t="s">
        <v>492</v>
      </c>
      <c r="AP1465" t="s">
        <v>41</v>
      </c>
    </row>
    <row r="1466" spans="1:42">
      <c r="A1466" s="1">
        <v>43795</v>
      </c>
      <c r="B1466">
        <v>2</v>
      </c>
      <c r="C1466">
        <v>205</v>
      </c>
      <c r="D1466">
        <v>10232</v>
      </c>
      <c r="E1466" t="s">
        <v>37</v>
      </c>
      <c r="F1466" t="s">
        <v>90</v>
      </c>
      <c r="H1466">
        <v>29</v>
      </c>
      <c r="I1466" s="25">
        <v>200</v>
      </c>
      <c r="K1466" t="s">
        <v>384</v>
      </c>
      <c r="N1466" t="s">
        <v>40</v>
      </c>
      <c r="P1466">
        <v>180</v>
      </c>
      <c r="Q1466">
        <f t="shared" si="51"/>
        <v>8</v>
      </c>
      <c r="R1466" t="s">
        <v>474</v>
      </c>
      <c r="S1466">
        <v>0</v>
      </c>
      <c r="T1466">
        <v>0</v>
      </c>
      <c r="U1466">
        <v>0</v>
      </c>
      <c r="V1466">
        <v>2</v>
      </c>
      <c r="W1466">
        <v>6</v>
      </c>
      <c r="X1466" s="21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f t="shared" si="52"/>
        <v>704</v>
      </c>
      <c r="AP1466" t="s">
        <v>41</v>
      </c>
    </row>
    <row r="1467" spans="1:42">
      <c r="A1467" s="1">
        <v>43795</v>
      </c>
      <c r="B1467">
        <v>2</v>
      </c>
      <c r="C1467">
        <v>205</v>
      </c>
      <c r="D1467">
        <v>10232</v>
      </c>
      <c r="E1467" t="s">
        <v>37</v>
      </c>
      <c r="F1467" t="s">
        <v>90</v>
      </c>
      <c r="H1467">
        <v>30</v>
      </c>
      <c r="I1467" s="25">
        <v>400</v>
      </c>
      <c r="K1467" t="s">
        <v>384</v>
      </c>
      <c r="N1467" t="s">
        <v>40</v>
      </c>
      <c r="P1467">
        <v>43</v>
      </c>
      <c r="Q1467">
        <f t="shared" si="51"/>
        <v>1</v>
      </c>
      <c r="R1467" t="s">
        <v>474</v>
      </c>
      <c r="S1467">
        <v>0</v>
      </c>
      <c r="T1467">
        <v>0</v>
      </c>
      <c r="U1467">
        <v>0</v>
      </c>
      <c r="V1467">
        <v>0</v>
      </c>
      <c r="W1467">
        <v>1</v>
      </c>
      <c r="X1467" s="21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f t="shared" si="52"/>
        <v>96</v>
      </c>
      <c r="AP1467" t="s">
        <v>41</v>
      </c>
    </row>
    <row r="1468" spans="1:42">
      <c r="A1468" s="1">
        <v>43795</v>
      </c>
      <c r="B1468">
        <v>2</v>
      </c>
      <c r="C1468">
        <v>205</v>
      </c>
      <c r="D1468">
        <v>10232</v>
      </c>
      <c r="E1468" t="s">
        <v>37</v>
      </c>
      <c r="F1468" t="s">
        <v>90</v>
      </c>
      <c r="H1468">
        <v>31</v>
      </c>
      <c r="I1468" s="25"/>
      <c r="K1468" t="s">
        <v>493</v>
      </c>
      <c r="N1468" t="s">
        <v>40</v>
      </c>
      <c r="P1468">
        <v>120</v>
      </c>
      <c r="Q1468">
        <f t="shared" si="51"/>
        <v>3</v>
      </c>
      <c r="R1468" t="s">
        <v>474</v>
      </c>
      <c r="S1468">
        <v>0</v>
      </c>
      <c r="T1468">
        <v>0</v>
      </c>
      <c r="U1468">
        <v>0</v>
      </c>
      <c r="V1468">
        <v>0</v>
      </c>
      <c r="W1468">
        <v>3</v>
      </c>
      <c r="X1468" s="21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f t="shared" si="52"/>
        <v>288</v>
      </c>
      <c r="AP1468" t="s">
        <v>41</v>
      </c>
    </row>
    <row r="1469" spans="1:42">
      <c r="A1469" s="1">
        <v>43795</v>
      </c>
      <c r="B1469">
        <v>2</v>
      </c>
      <c r="C1469">
        <v>205</v>
      </c>
      <c r="D1469">
        <v>10232</v>
      </c>
      <c r="E1469" t="s">
        <v>37</v>
      </c>
      <c r="F1469" t="s">
        <v>90</v>
      </c>
      <c r="H1469">
        <v>32</v>
      </c>
      <c r="I1469" s="25">
        <v>300</v>
      </c>
      <c r="K1469" t="s">
        <v>386</v>
      </c>
      <c r="P1469">
        <v>120</v>
      </c>
      <c r="Q1469">
        <f t="shared" si="51"/>
        <v>5</v>
      </c>
      <c r="R1469" t="s">
        <v>474</v>
      </c>
      <c r="S1469">
        <v>0</v>
      </c>
      <c r="T1469">
        <v>0</v>
      </c>
      <c r="U1469">
        <v>0</v>
      </c>
      <c r="V1469">
        <v>1</v>
      </c>
      <c r="W1469">
        <v>4</v>
      </c>
      <c r="X1469" s="21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f t="shared" si="52"/>
        <v>448</v>
      </c>
      <c r="AP1469" t="s">
        <v>41</v>
      </c>
    </row>
    <row r="1470" spans="1:42">
      <c r="A1470" s="1">
        <v>43795</v>
      </c>
      <c r="B1470">
        <v>2</v>
      </c>
      <c r="C1470">
        <v>205</v>
      </c>
      <c r="D1470">
        <v>10232</v>
      </c>
      <c r="E1470" t="s">
        <v>37</v>
      </c>
      <c r="F1470" t="s">
        <v>90</v>
      </c>
      <c r="H1470">
        <v>33</v>
      </c>
      <c r="I1470" s="25">
        <v>200</v>
      </c>
      <c r="K1470" t="s">
        <v>386</v>
      </c>
      <c r="N1470" t="s">
        <v>40</v>
      </c>
      <c r="P1470">
        <v>80</v>
      </c>
      <c r="Q1470">
        <f t="shared" si="51"/>
        <v>3</v>
      </c>
      <c r="R1470" t="s">
        <v>474</v>
      </c>
      <c r="S1470">
        <v>0</v>
      </c>
      <c r="T1470">
        <v>0</v>
      </c>
      <c r="U1470">
        <v>0</v>
      </c>
      <c r="V1470">
        <v>1</v>
      </c>
      <c r="W1470">
        <v>2</v>
      </c>
      <c r="X1470" s="21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f t="shared" si="52"/>
        <v>256</v>
      </c>
      <c r="AL1470" t="s">
        <v>494</v>
      </c>
      <c r="AP1470" t="s">
        <v>41</v>
      </c>
    </row>
    <row r="1471" spans="1:42">
      <c r="A1471" s="1">
        <v>43796</v>
      </c>
      <c r="B1471">
        <v>3</v>
      </c>
      <c r="C1471">
        <v>205</v>
      </c>
      <c r="D1471">
        <v>10232</v>
      </c>
      <c r="E1471" t="s">
        <v>37</v>
      </c>
      <c r="F1471" t="s">
        <v>90</v>
      </c>
      <c r="H1471">
        <v>1</v>
      </c>
      <c r="I1471" s="25">
        <v>600</v>
      </c>
      <c r="K1471" t="s">
        <v>389</v>
      </c>
      <c r="N1471" t="s">
        <v>40</v>
      </c>
      <c r="P1471">
        <v>71</v>
      </c>
      <c r="Q1471">
        <f t="shared" si="51"/>
        <v>3</v>
      </c>
      <c r="R1471" t="s">
        <v>474</v>
      </c>
      <c r="S1471">
        <v>0</v>
      </c>
      <c r="T1471">
        <v>0</v>
      </c>
      <c r="U1471">
        <v>1</v>
      </c>
      <c r="V1471">
        <v>0</v>
      </c>
      <c r="W1471">
        <v>2</v>
      </c>
      <c r="X1471" s="2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f t="shared" si="52"/>
        <v>224</v>
      </c>
      <c r="AP1471" t="s">
        <v>41</v>
      </c>
    </row>
    <row r="1472" spans="1:42">
      <c r="A1472" s="1">
        <v>43796</v>
      </c>
      <c r="B1472">
        <v>3</v>
      </c>
      <c r="C1472">
        <v>205</v>
      </c>
      <c r="D1472">
        <v>10232</v>
      </c>
      <c r="E1472" t="s">
        <v>37</v>
      </c>
      <c r="F1472" t="s">
        <v>90</v>
      </c>
      <c r="H1472">
        <v>2</v>
      </c>
      <c r="I1472" s="25">
        <v>500</v>
      </c>
      <c r="K1472" t="s">
        <v>389</v>
      </c>
      <c r="N1472" t="s">
        <v>40</v>
      </c>
      <c r="P1472">
        <v>97</v>
      </c>
      <c r="Q1472">
        <f t="shared" si="51"/>
        <v>5</v>
      </c>
      <c r="R1472" t="s">
        <v>474</v>
      </c>
      <c r="S1472">
        <v>0</v>
      </c>
      <c r="T1472">
        <v>0</v>
      </c>
      <c r="U1472">
        <v>2</v>
      </c>
      <c r="V1472">
        <v>0</v>
      </c>
      <c r="W1472">
        <v>3</v>
      </c>
      <c r="X1472" s="21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f t="shared" si="52"/>
        <v>352</v>
      </c>
      <c r="AP1472" t="s">
        <v>41</v>
      </c>
    </row>
    <row r="1473" spans="1:42">
      <c r="A1473" s="1">
        <v>43796</v>
      </c>
      <c r="B1473">
        <v>3</v>
      </c>
      <c r="C1473">
        <v>205</v>
      </c>
      <c r="D1473">
        <v>10232</v>
      </c>
      <c r="E1473" t="s">
        <v>37</v>
      </c>
      <c r="F1473" t="s">
        <v>90</v>
      </c>
      <c r="H1473">
        <v>3</v>
      </c>
      <c r="I1473" s="25">
        <v>0</v>
      </c>
      <c r="K1473" t="s">
        <v>482</v>
      </c>
      <c r="N1473" t="s">
        <v>42</v>
      </c>
      <c r="P1473">
        <v>390</v>
      </c>
      <c r="Q1473">
        <f t="shared" si="51"/>
        <v>11</v>
      </c>
      <c r="R1473" t="s">
        <v>474</v>
      </c>
      <c r="S1473">
        <v>0</v>
      </c>
      <c r="T1473">
        <v>0</v>
      </c>
      <c r="U1473">
        <v>0</v>
      </c>
      <c r="V1473">
        <v>0</v>
      </c>
      <c r="W1473">
        <v>11</v>
      </c>
      <c r="X1473" s="21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 t="s">
        <v>95</v>
      </c>
      <c r="AH1473">
        <f t="shared" si="52"/>
        <v>1056</v>
      </c>
      <c r="AL1473" t="s">
        <v>495</v>
      </c>
      <c r="AP1473" t="s">
        <v>41</v>
      </c>
    </row>
    <row r="1474" spans="1:42">
      <c r="A1474" s="1">
        <v>43796</v>
      </c>
      <c r="B1474">
        <v>3</v>
      </c>
      <c r="C1474">
        <v>205</v>
      </c>
      <c r="D1474">
        <v>10232</v>
      </c>
      <c r="E1474" t="s">
        <v>37</v>
      </c>
      <c r="F1474" t="s">
        <v>90</v>
      </c>
      <c r="H1474">
        <v>4</v>
      </c>
      <c r="I1474" s="25">
        <v>500</v>
      </c>
      <c r="K1474" t="s">
        <v>389</v>
      </c>
      <c r="N1474" t="s">
        <v>44</v>
      </c>
      <c r="P1474">
        <v>86</v>
      </c>
      <c r="Q1474">
        <f t="shared" si="51"/>
        <v>2</v>
      </c>
      <c r="R1474" t="s">
        <v>474</v>
      </c>
      <c r="S1474">
        <v>0</v>
      </c>
      <c r="T1474">
        <v>0</v>
      </c>
      <c r="U1474">
        <v>0</v>
      </c>
      <c r="V1474">
        <v>0</v>
      </c>
      <c r="W1474">
        <v>2</v>
      </c>
      <c r="X1474" s="21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f t="shared" si="52"/>
        <v>192</v>
      </c>
      <c r="AL1474" t="s">
        <v>470</v>
      </c>
      <c r="AP1474" t="s">
        <v>41</v>
      </c>
    </row>
    <row r="1475" spans="1:42">
      <c r="A1475" s="1">
        <v>43796</v>
      </c>
      <c r="B1475">
        <v>3</v>
      </c>
      <c r="C1475">
        <v>205</v>
      </c>
      <c r="D1475">
        <v>10232</v>
      </c>
      <c r="E1475" t="s">
        <v>37</v>
      </c>
      <c r="F1475" t="s">
        <v>90</v>
      </c>
      <c r="H1475">
        <v>6</v>
      </c>
      <c r="I1475" s="25">
        <v>400</v>
      </c>
      <c r="K1475" t="s">
        <v>106</v>
      </c>
      <c r="N1475" t="s">
        <v>40</v>
      </c>
      <c r="P1475">
        <v>124</v>
      </c>
      <c r="Q1475">
        <f t="shared" si="51"/>
        <v>9</v>
      </c>
      <c r="R1475" t="s">
        <v>474</v>
      </c>
      <c r="S1475">
        <v>0</v>
      </c>
      <c r="T1475">
        <v>0</v>
      </c>
      <c r="U1475">
        <v>2</v>
      </c>
      <c r="V1475">
        <v>3</v>
      </c>
      <c r="W1475">
        <v>4</v>
      </c>
      <c r="X1475" s="21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f t="shared" si="52"/>
        <v>640</v>
      </c>
      <c r="AP1475" t="s">
        <v>41</v>
      </c>
    </row>
    <row r="1476" spans="1:42">
      <c r="A1476" s="1">
        <v>43796</v>
      </c>
      <c r="B1476">
        <v>3</v>
      </c>
      <c r="C1476">
        <v>205</v>
      </c>
      <c r="D1476">
        <v>10232</v>
      </c>
      <c r="E1476" t="s">
        <v>37</v>
      </c>
      <c r="F1476" t="s">
        <v>90</v>
      </c>
      <c r="H1476">
        <v>7</v>
      </c>
      <c r="I1476" s="25"/>
      <c r="K1476" t="s">
        <v>484</v>
      </c>
      <c r="N1476" t="s">
        <v>44</v>
      </c>
      <c r="P1476">
        <v>78</v>
      </c>
      <c r="Q1476">
        <f t="shared" si="51"/>
        <v>0</v>
      </c>
      <c r="R1476">
        <v>1</v>
      </c>
      <c r="S1476">
        <v>0</v>
      </c>
      <c r="T1476">
        <v>0</v>
      </c>
      <c r="U1476">
        <v>0</v>
      </c>
      <c r="V1476">
        <v>0</v>
      </c>
      <c r="W1476">
        <v>0</v>
      </c>
      <c r="X1476" s="21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f t="shared" si="52"/>
        <v>0</v>
      </c>
      <c r="AL1476" t="s">
        <v>492</v>
      </c>
      <c r="AP1476" t="s">
        <v>41</v>
      </c>
    </row>
    <row r="1477" spans="1:42">
      <c r="A1477" s="1">
        <v>43796</v>
      </c>
      <c r="B1477">
        <v>3</v>
      </c>
      <c r="C1477">
        <v>205</v>
      </c>
      <c r="D1477">
        <v>10232</v>
      </c>
      <c r="E1477" t="s">
        <v>37</v>
      </c>
      <c r="F1477" t="s">
        <v>90</v>
      </c>
      <c r="H1477">
        <v>8</v>
      </c>
      <c r="I1477" s="25">
        <v>0</v>
      </c>
      <c r="K1477" t="s">
        <v>485</v>
      </c>
      <c r="N1477" t="s">
        <v>44</v>
      </c>
      <c r="P1477">
        <v>318</v>
      </c>
      <c r="Q1477">
        <f t="shared" si="51"/>
        <v>12</v>
      </c>
      <c r="R1477" t="s">
        <v>474</v>
      </c>
      <c r="S1477">
        <v>0</v>
      </c>
      <c r="T1477">
        <v>0</v>
      </c>
      <c r="U1477">
        <v>1</v>
      </c>
      <c r="V1477">
        <v>0</v>
      </c>
      <c r="W1477">
        <v>11</v>
      </c>
      <c r="X1477" s="21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f t="shared" si="52"/>
        <v>1088</v>
      </c>
      <c r="AP1477" t="s">
        <v>41</v>
      </c>
    </row>
    <row r="1478" spans="1:42">
      <c r="A1478" s="1">
        <v>43796</v>
      </c>
      <c r="B1478">
        <v>3</v>
      </c>
      <c r="C1478">
        <v>205</v>
      </c>
      <c r="D1478">
        <v>10232</v>
      </c>
      <c r="E1478" t="s">
        <v>37</v>
      </c>
      <c r="F1478" t="s">
        <v>90</v>
      </c>
      <c r="H1478">
        <v>9</v>
      </c>
      <c r="I1478" s="25">
        <v>200</v>
      </c>
      <c r="K1478" t="s">
        <v>378</v>
      </c>
      <c r="N1478" t="s">
        <v>42</v>
      </c>
      <c r="P1478">
        <v>166</v>
      </c>
      <c r="Q1478">
        <f t="shared" si="51"/>
        <v>5</v>
      </c>
      <c r="R1478" t="s">
        <v>474</v>
      </c>
      <c r="S1478">
        <v>0</v>
      </c>
      <c r="T1478">
        <v>0</v>
      </c>
      <c r="U1478">
        <v>0</v>
      </c>
      <c r="V1478">
        <v>2</v>
      </c>
      <c r="W1478">
        <v>3</v>
      </c>
      <c r="X1478" s="21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f t="shared" si="52"/>
        <v>416</v>
      </c>
      <c r="AP1478" t="s">
        <v>41</v>
      </c>
    </row>
    <row r="1479" spans="1:42">
      <c r="A1479" s="1">
        <v>43796</v>
      </c>
      <c r="B1479">
        <v>3</v>
      </c>
      <c r="C1479">
        <v>205</v>
      </c>
      <c r="D1479">
        <v>10232</v>
      </c>
      <c r="E1479" t="s">
        <v>37</v>
      </c>
      <c r="F1479" t="s">
        <v>90</v>
      </c>
      <c r="H1479">
        <v>10</v>
      </c>
      <c r="I1479" s="25">
        <v>600</v>
      </c>
      <c r="K1479" t="s">
        <v>380</v>
      </c>
      <c r="N1479" t="s">
        <v>40</v>
      </c>
      <c r="P1479">
        <v>59</v>
      </c>
      <c r="Q1479">
        <f t="shared" si="51"/>
        <v>3</v>
      </c>
      <c r="R1479" t="s">
        <v>474</v>
      </c>
      <c r="S1479">
        <v>0</v>
      </c>
      <c r="T1479">
        <v>0</v>
      </c>
      <c r="U1479">
        <v>0</v>
      </c>
      <c r="V1479">
        <v>0</v>
      </c>
      <c r="W1479">
        <v>3</v>
      </c>
      <c r="X1479" s="21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f t="shared" si="52"/>
        <v>288</v>
      </c>
      <c r="AP1479" t="s">
        <v>41</v>
      </c>
    </row>
    <row r="1480" spans="1:42">
      <c r="A1480" s="1">
        <v>43796</v>
      </c>
      <c r="B1480">
        <v>3</v>
      </c>
      <c r="C1480">
        <v>205</v>
      </c>
      <c r="D1480">
        <v>10232</v>
      </c>
      <c r="E1480" t="s">
        <v>37</v>
      </c>
      <c r="F1480" t="s">
        <v>90</v>
      </c>
      <c r="H1480">
        <v>11</v>
      </c>
      <c r="I1480" s="25" t="s">
        <v>496</v>
      </c>
      <c r="K1480" t="s">
        <v>381</v>
      </c>
      <c r="N1480" t="s">
        <v>42</v>
      </c>
      <c r="P1480">
        <v>385</v>
      </c>
      <c r="Q1480">
        <f t="shared" si="51"/>
        <v>7</v>
      </c>
      <c r="R1480" t="s">
        <v>474</v>
      </c>
      <c r="S1480">
        <v>0</v>
      </c>
      <c r="T1480">
        <v>0</v>
      </c>
      <c r="U1480">
        <v>0</v>
      </c>
      <c r="V1480">
        <v>1</v>
      </c>
      <c r="W1480">
        <v>6</v>
      </c>
      <c r="X1480" s="21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f t="shared" si="52"/>
        <v>640</v>
      </c>
      <c r="AP1480" t="s">
        <v>41</v>
      </c>
    </row>
    <row r="1481" spans="1:42">
      <c r="A1481" s="1">
        <v>43796</v>
      </c>
      <c r="B1481">
        <v>3</v>
      </c>
      <c r="C1481">
        <v>205</v>
      </c>
      <c r="D1481">
        <v>10232</v>
      </c>
      <c r="E1481" t="s">
        <v>37</v>
      </c>
      <c r="F1481" t="s">
        <v>90</v>
      </c>
      <c r="H1481">
        <v>12</v>
      </c>
      <c r="I1481" s="25">
        <v>100</v>
      </c>
      <c r="K1481" t="s">
        <v>381</v>
      </c>
      <c r="N1481" t="s">
        <v>40</v>
      </c>
      <c r="P1481">
        <v>160</v>
      </c>
      <c r="Q1481">
        <f t="shared" si="51"/>
        <v>7</v>
      </c>
      <c r="R1481" t="s">
        <v>474</v>
      </c>
      <c r="S1481">
        <v>0</v>
      </c>
      <c r="T1481">
        <v>0</v>
      </c>
      <c r="U1481">
        <v>0</v>
      </c>
      <c r="V1481">
        <v>2</v>
      </c>
      <c r="W1481">
        <v>5</v>
      </c>
      <c r="X1481" s="2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f t="shared" si="52"/>
        <v>608</v>
      </c>
      <c r="AP1481" t="s">
        <v>41</v>
      </c>
    </row>
    <row r="1482" spans="1:42">
      <c r="A1482" s="1">
        <v>43796</v>
      </c>
      <c r="B1482">
        <v>3</v>
      </c>
      <c r="C1482">
        <v>205</v>
      </c>
      <c r="D1482">
        <v>10232</v>
      </c>
      <c r="E1482" t="s">
        <v>37</v>
      </c>
      <c r="F1482" t="s">
        <v>90</v>
      </c>
      <c r="H1482">
        <v>13</v>
      </c>
      <c r="I1482" s="25">
        <v>700</v>
      </c>
      <c r="K1482" t="s">
        <v>380</v>
      </c>
      <c r="N1482" t="s">
        <v>42</v>
      </c>
      <c r="P1482">
        <v>208</v>
      </c>
      <c r="Q1482">
        <f t="shared" si="51"/>
        <v>6</v>
      </c>
      <c r="R1482" t="s">
        <v>474</v>
      </c>
      <c r="S1482">
        <v>0</v>
      </c>
      <c r="T1482">
        <v>0</v>
      </c>
      <c r="U1482">
        <v>0</v>
      </c>
      <c r="V1482">
        <v>0</v>
      </c>
      <c r="W1482">
        <v>6</v>
      </c>
      <c r="X1482" s="21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f t="shared" si="52"/>
        <v>576</v>
      </c>
      <c r="AP1482" t="s">
        <v>41</v>
      </c>
    </row>
    <row r="1483" spans="1:42">
      <c r="A1483" s="1">
        <v>43796</v>
      </c>
      <c r="B1483">
        <v>3</v>
      </c>
      <c r="C1483">
        <v>205</v>
      </c>
      <c r="D1483">
        <v>10232</v>
      </c>
      <c r="E1483" t="s">
        <v>37</v>
      </c>
      <c r="F1483" t="s">
        <v>90</v>
      </c>
      <c r="H1483">
        <v>14</v>
      </c>
      <c r="I1483" s="25">
        <v>700</v>
      </c>
      <c r="K1483" t="s">
        <v>389</v>
      </c>
      <c r="N1483" t="s">
        <v>40</v>
      </c>
      <c r="P1483">
        <v>116</v>
      </c>
      <c r="Q1483">
        <f t="shared" si="51"/>
        <v>5</v>
      </c>
      <c r="R1483" t="s">
        <v>474</v>
      </c>
      <c r="S1483">
        <v>0</v>
      </c>
      <c r="T1483">
        <v>0</v>
      </c>
      <c r="U1483">
        <v>0</v>
      </c>
      <c r="V1483">
        <v>0</v>
      </c>
      <c r="W1483">
        <v>5</v>
      </c>
      <c r="X1483" s="21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f t="shared" si="52"/>
        <v>480</v>
      </c>
      <c r="AP1483" t="s">
        <v>41</v>
      </c>
    </row>
    <row r="1484" spans="1:42">
      <c r="A1484" s="1">
        <v>43796</v>
      </c>
      <c r="B1484">
        <v>3</v>
      </c>
      <c r="C1484">
        <v>205</v>
      </c>
      <c r="D1484">
        <v>10232</v>
      </c>
      <c r="E1484" t="s">
        <v>37</v>
      </c>
      <c r="F1484" t="s">
        <v>90</v>
      </c>
      <c r="H1484">
        <v>15</v>
      </c>
      <c r="I1484" s="25"/>
      <c r="K1484" t="s">
        <v>478</v>
      </c>
      <c r="N1484" t="s">
        <v>42</v>
      </c>
      <c r="P1484">
        <v>441</v>
      </c>
      <c r="Q1484">
        <f t="shared" si="51"/>
        <v>11</v>
      </c>
      <c r="R1484" t="s">
        <v>474</v>
      </c>
      <c r="S1484">
        <v>0</v>
      </c>
      <c r="T1484">
        <v>0</v>
      </c>
      <c r="U1484">
        <v>0</v>
      </c>
      <c r="V1484">
        <v>0</v>
      </c>
      <c r="W1484">
        <v>11</v>
      </c>
      <c r="X1484" s="21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f t="shared" si="52"/>
        <v>1056</v>
      </c>
      <c r="AP1484" t="s">
        <v>41</v>
      </c>
    </row>
    <row r="1485" spans="1:42">
      <c r="A1485" s="1">
        <v>43796</v>
      </c>
      <c r="B1485">
        <v>3</v>
      </c>
      <c r="C1485">
        <v>205</v>
      </c>
      <c r="D1485">
        <v>10232</v>
      </c>
      <c r="E1485" t="s">
        <v>37</v>
      </c>
      <c r="F1485" t="s">
        <v>90</v>
      </c>
      <c r="H1485">
        <v>16</v>
      </c>
      <c r="I1485" s="25"/>
      <c r="K1485" t="s">
        <v>481</v>
      </c>
      <c r="P1485">
        <v>107</v>
      </c>
      <c r="Q1485">
        <f t="shared" si="51"/>
        <v>5</v>
      </c>
      <c r="R1485" t="s">
        <v>474</v>
      </c>
      <c r="S1485">
        <v>0</v>
      </c>
      <c r="T1485">
        <v>0</v>
      </c>
      <c r="U1485">
        <v>0</v>
      </c>
      <c r="V1485">
        <v>0</v>
      </c>
      <c r="W1485">
        <v>5</v>
      </c>
      <c r="X1485" s="21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f t="shared" si="52"/>
        <v>480</v>
      </c>
      <c r="AP1485" t="s">
        <v>41</v>
      </c>
    </row>
    <row r="1486" spans="1:42">
      <c r="A1486" s="1">
        <v>43796</v>
      </c>
      <c r="B1486">
        <v>3</v>
      </c>
      <c r="C1486">
        <v>205</v>
      </c>
      <c r="D1486">
        <v>10232</v>
      </c>
      <c r="E1486" t="s">
        <v>37</v>
      </c>
      <c r="F1486" t="s">
        <v>90</v>
      </c>
      <c r="H1486">
        <v>17</v>
      </c>
      <c r="I1486" s="25">
        <v>500</v>
      </c>
      <c r="K1486" t="s">
        <v>380</v>
      </c>
      <c r="N1486" t="s">
        <v>40</v>
      </c>
      <c r="P1486">
        <v>324</v>
      </c>
      <c r="Q1486">
        <f t="shared" si="51"/>
        <v>12</v>
      </c>
      <c r="R1486" t="s">
        <v>474</v>
      </c>
      <c r="S1486">
        <v>1</v>
      </c>
      <c r="T1486">
        <v>0</v>
      </c>
      <c r="U1486">
        <v>1</v>
      </c>
      <c r="V1486">
        <v>4</v>
      </c>
      <c r="W1486">
        <v>6</v>
      </c>
      <c r="X1486" s="21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f t="shared" si="52"/>
        <v>880</v>
      </c>
      <c r="AL1486" t="s">
        <v>497</v>
      </c>
      <c r="AP1486" t="s">
        <v>41</v>
      </c>
    </row>
    <row r="1487" spans="1:42">
      <c r="A1487" s="1">
        <v>43796</v>
      </c>
      <c r="B1487">
        <v>3</v>
      </c>
      <c r="C1487">
        <v>205</v>
      </c>
      <c r="D1487">
        <v>10232</v>
      </c>
      <c r="E1487" t="s">
        <v>37</v>
      </c>
      <c r="F1487" t="s">
        <v>90</v>
      </c>
      <c r="H1487">
        <v>18</v>
      </c>
      <c r="I1487" s="25">
        <v>0</v>
      </c>
      <c r="K1487" t="s">
        <v>486</v>
      </c>
      <c r="N1487" t="s">
        <v>40</v>
      </c>
      <c r="P1487">
        <v>79</v>
      </c>
      <c r="Q1487">
        <f t="shared" si="51"/>
        <v>4</v>
      </c>
      <c r="R1487">
        <v>1</v>
      </c>
      <c r="S1487">
        <v>0</v>
      </c>
      <c r="T1487">
        <v>0</v>
      </c>
      <c r="U1487">
        <v>0</v>
      </c>
      <c r="V1487">
        <v>1</v>
      </c>
      <c r="W1487">
        <v>3</v>
      </c>
      <c r="X1487" s="21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f t="shared" si="52"/>
        <v>352</v>
      </c>
      <c r="AL1487" t="s">
        <v>498</v>
      </c>
      <c r="AP1487" t="s">
        <v>41</v>
      </c>
    </row>
    <row r="1488" spans="1:42">
      <c r="A1488" s="1">
        <v>43796</v>
      </c>
      <c r="B1488">
        <v>3</v>
      </c>
      <c r="C1488">
        <v>205</v>
      </c>
      <c r="D1488">
        <v>10232</v>
      </c>
      <c r="E1488" t="s">
        <v>37</v>
      </c>
      <c r="F1488" t="s">
        <v>90</v>
      </c>
      <c r="H1488">
        <v>19</v>
      </c>
      <c r="I1488" s="25">
        <v>100</v>
      </c>
      <c r="K1488" t="s">
        <v>486</v>
      </c>
      <c r="N1488" t="s">
        <v>40</v>
      </c>
      <c r="P1488">
        <v>56</v>
      </c>
      <c r="Q1488">
        <f t="shared" si="51"/>
        <v>4</v>
      </c>
      <c r="R1488" t="s">
        <v>474</v>
      </c>
      <c r="S1488">
        <v>0</v>
      </c>
      <c r="T1488">
        <v>0</v>
      </c>
      <c r="U1488">
        <v>1</v>
      </c>
      <c r="V1488">
        <v>1</v>
      </c>
      <c r="W1488">
        <v>2</v>
      </c>
      <c r="X1488" s="21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f t="shared" si="52"/>
        <v>288</v>
      </c>
      <c r="AP1488" t="s">
        <v>41</v>
      </c>
    </row>
    <row r="1489" spans="1:42">
      <c r="A1489" s="1">
        <v>43796</v>
      </c>
      <c r="B1489">
        <v>3</v>
      </c>
      <c r="C1489">
        <v>205</v>
      </c>
      <c r="D1489">
        <v>10232</v>
      </c>
      <c r="E1489" t="s">
        <v>37</v>
      </c>
      <c r="F1489" t="s">
        <v>90</v>
      </c>
      <c r="H1489">
        <v>20</v>
      </c>
      <c r="I1489" s="25">
        <v>400</v>
      </c>
      <c r="K1489" t="s">
        <v>389</v>
      </c>
      <c r="N1489" t="s">
        <v>42</v>
      </c>
      <c r="P1489">
        <v>490</v>
      </c>
      <c r="Q1489">
        <f t="shared" si="51"/>
        <v>16</v>
      </c>
      <c r="R1489" t="s">
        <v>474</v>
      </c>
      <c r="S1489">
        <v>0</v>
      </c>
      <c r="T1489">
        <v>0</v>
      </c>
      <c r="U1489">
        <v>8</v>
      </c>
      <c r="V1489">
        <v>2</v>
      </c>
      <c r="W1489">
        <v>6</v>
      </c>
      <c r="X1489" s="21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f t="shared" si="52"/>
        <v>960</v>
      </c>
      <c r="AP1489" t="s">
        <v>41</v>
      </c>
    </row>
    <row r="1490" spans="1:42">
      <c r="A1490" s="1">
        <v>43796</v>
      </c>
      <c r="B1490">
        <v>3</v>
      </c>
      <c r="C1490">
        <v>205</v>
      </c>
      <c r="D1490">
        <v>10232</v>
      </c>
      <c r="E1490" t="s">
        <v>37</v>
      </c>
      <c r="F1490" t="s">
        <v>90</v>
      </c>
      <c r="H1490">
        <v>21</v>
      </c>
      <c r="I1490" s="25"/>
      <c r="K1490" t="s">
        <v>499</v>
      </c>
      <c r="N1490" t="s">
        <v>42</v>
      </c>
      <c r="P1490">
        <v>347</v>
      </c>
      <c r="Q1490">
        <f t="shared" si="51"/>
        <v>16</v>
      </c>
      <c r="R1490" t="s">
        <v>474</v>
      </c>
      <c r="S1490">
        <v>0</v>
      </c>
      <c r="T1490">
        <v>0</v>
      </c>
      <c r="U1490">
        <v>0</v>
      </c>
      <c r="V1490">
        <v>0</v>
      </c>
      <c r="W1490">
        <v>16</v>
      </c>
      <c r="X1490" s="21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f t="shared" si="52"/>
        <v>1536</v>
      </c>
      <c r="AP1490" t="s">
        <v>41</v>
      </c>
    </row>
    <row r="1491" spans="1:42">
      <c r="A1491" s="1">
        <v>43796</v>
      </c>
      <c r="B1491">
        <v>3</v>
      </c>
      <c r="C1491">
        <v>205</v>
      </c>
      <c r="D1491">
        <v>10232</v>
      </c>
      <c r="E1491" t="s">
        <v>37</v>
      </c>
      <c r="F1491" t="s">
        <v>90</v>
      </c>
      <c r="H1491">
        <v>22</v>
      </c>
      <c r="I1491" s="25">
        <v>200</v>
      </c>
      <c r="K1491" t="s">
        <v>380</v>
      </c>
      <c r="N1491" t="s">
        <v>40</v>
      </c>
      <c r="P1491">
        <v>95</v>
      </c>
      <c r="Q1491">
        <f t="shared" si="51"/>
        <v>6</v>
      </c>
      <c r="R1491" t="s">
        <v>474</v>
      </c>
      <c r="S1491">
        <v>0</v>
      </c>
      <c r="T1491">
        <v>0</v>
      </c>
      <c r="U1491">
        <v>0</v>
      </c>
      <c r="V1491">
        <v>0</v>
      </c>
      <c r="W1491">
        <v>6</v>
      </c>
      <c r="X1491" s="2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f t="shared" si="52"/>
        <v>576</v>
      </c>
      <c r="AP1491" t="s">
        <v>41</v>
      </c>
    </row>
    <row r="1492" spans="1:42">
      <c r="A1492" s="1">
        <v>43796</v>
      </c>
      <c r="B1492">
        <v>3</v>
      </c>
      <c r="C1492">
        <v>205</v>
      </c>
      <c r="D1492">
        <v>10232</v>
      </c>
      <c r="E1492" t="s">
        <v>37</v>
      </c>
      <c r="F1492" t="s">
        <v>90</v>
      </c>
      <c r="H1492">
        <v>23</v>
      </c>
      <c r="I1492" s="25">
        <v>300</v>
      </c>
      <c r="K1492" t="s">
        <v>403</v>
      </c>
      <c r="N1492" t="s">
        <v>44</v>
      </c>
      <c r="P1492">
        <v>326</v>
      </c>
      <c r="Q1492">
        <f t="shared" si="51"/>
        <v>5</v>
      </c>
      <c r="R1492" t="s">
        <v>474</v>
      </c>
      <c r="S1492">
        <v>0</v>
      </c>
      <c r="T1492">
        <v>0</v>
      </c>
      <c r="U1492">
        <v>0</v>
      </c>
      <c r="V1492">
        <v>0</v>
      </c>
      <c r="W1492">
        <v>5</v>
      </c>
      <c r="X1492" s="21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f t="shared" si="52"/>
        <v>480</v>
      </c>
      <c r="AP1492" t="s">
        <v>41</v>
      </c>
    </row>
    <row r="1493" spans="1:42">
      <c r="A1493" s="1">
        <v>43796</v>
      </c>
      <c r="B1493">
        <v>3</v>
      </c>
      <c r="C1493">
        <v>205</v>
      </c>
      <c r="D1493">
        <v>10232</v>
      </c>
      <c r="E1493" t="s">
        <v>37</v>
      </c>
      <c r="F1493" t="s">
        <v>90</v>
      </c>
      <c r="H1493">
        <v>24</v>
      </c>
      <c r="I1493" s="25"/>
      <c r="K1493" t="s">
        <v>107</v>
      </c>
      <c r="N1493" t="s">
        <v>42</v>
      </c>
      <c r="P1493">
        <v>371</v>
      </c>
      <c r="Q1493">
        <f t="shared" si="51"/>
        <v>11</v>
      </c>
      <c r="R1493" t="s">
        <v>474</v>
      </c>
      <c r="S1493">
        <v>0</v>
      </c>
      <c r="T1493">
        <v>0</v>
      </c>
      <c r="U1493">
        <v>0</v>
      </c>
      <c r="V1493">
        <v>1</v>
      </c>
      <c r="W1493">
        <v>10</v>
      </c>
      <c r="X1493" s="21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f t="shared" si="52"/>
        <v>1024</v>
      </c>
      <c r="AP1493" t="s">
        <v>41</v>
      </c>
    </row>
    <row r="1494" spans="1:42">
      <c r="A1494" s="1">
        <v>43796</v>
      </c>
      <c r="B1494">
        <v>3</v>
      </c>
      <c r="C1494">
        <v>205</v>
      </c>
      <c r="D1494">
        <v>10232</v>
      </c>
      <c r="E1494" t="s">
        <v>37</v>
      </c>
      <c r="F1494" t="s">
        <v>90</v>
      </c>
      <c r="H1494">
        <v>25</v>
      </c>
      <c r="I1494" s="25">
        <v>135</v>
      </c>
      <c r="K1494" t="s">
        <v>393</v>
      </c>
      <c r="N1494" t="s">
        <v>40</v>
      </c>
      <c r="P1494">
        <v>58</v>
      </c>
      <c r="Q1494">
        <f t="shared" si="51"/>
        <v>3</v>
      </c>
      <c r="R1494" t="s">
        <v>474</v>
      </c>
      <c r="S1494">
        <v>0</v>
      </c>
      <c r="T1494">
        <v>0</v>
      </c>
      <c r="U1494">
        <v>0</v>
      </c>
      <c r="V1494">
        <v>0</v>
      </c>
      <c r="W1494">
        <v>3</v>
      </c>
      <c r="X1494" s="21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f t="shared" si="52"/>
        <v>288</v>
      </c>
      <c r="AP1494" t="s">
        <v>41</v>
      </c>
    </row>
    <row r="1495" spans="1:42">
      <c r="A1495" s="1">
        <v>43796</v>
      </c>
      <c r="B1495">
        <v>3</v>
      </c>
      <c r="C1495">
        <v>205</v>
      </c>
      <c r="D1495">
        <v>10232</v>
      </c>
      <c r="E1495" t="s">
        <v>37</v>
      </c>
      <c r="F1495" t="s">
        <v>90</v>
      </c>
      <c r="H1495">
        <v>26</v>
      </c>
      <c r="I1495" s="25">
        <v>100</v>
      </c>
      <c r="K1495" t="s">
        <v>384</v>
      </c>
      <c r="N1495" t="s">
        <v>40</v>
      </c>
      <c r="P1495">
        <v>133</v>
      </c>
      <c r="Q1495">
        <f t="shared" si="51"/>
        <v>8</v>
      </c>
      <c r="R1495" t="s">
        <v>474</v>
      </c>
      <c r="S1495">
        <v>0</v>
      </c>
      <c r="T1495">
        <v>0</v>
      </c>
      <c r="U1495">
        <v>0</v>
      </c>
      <c r="V1495">
        <v>1</v>
      </c>
      <c r="W1495">
        <v>7</v>
      </c>
      <c r="X1495" s="21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f t="shared" si="52"/>
        <v>736</v>
      </c>
      <c r="AP1495" t="s">
        <v>41</v>
      </c>
    </row>
    <row r="1496" spans="1:42">
      <c r="A1496" s="1">
        <v>43796</v>
      </c>
      <c r="B1496">
        <v>3</v>
      </c>
      <c r="C1496">
        <v>205</v>
      </c>
      <c r="D1496">
        <v>10232</v>
      </c>
      <c r="E1496" t="s">
        <v>37</v>
      </c>
      <c r="F1496" t="s">
        <v>90</v>
      </c>
      <c r="H1496">
        <v>27</v>
      </c>
      <c r="I1496" s="25">
        <v>500</v>
      </c>
      <c r="K1496" t="s">
        <v>391</v>
      </c>
      <c r="N1496" t="s">
        <v>40</v>
      </c>
      <c r="P1496">
        <v>210</v>
      </c>
      <c r="Q1496">
        <f t="shared" ref="Q1496:Q1559" si="53">SUM(S1496:AC1496)</f>
        <v>9</v>
      </c>
      <c r="R1496" t="s">
        <v>474</v>
      </c>
      <c r="S1496">
        <v>0</v>
      </c>
      <c r="T1496">
        <v>0</v>
      </c>
      <c r="U1496">
        <v>0</v>
      </c>
      <c r="V1496">
        <v>2</v>
      </c>
      <c r="W1496">
        <v>7</v>
      </c>
      <c r="X1496" s="21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f t="shared" ref="AH1496:AH1559" si="54">(S1496*16)+(T1496*20)+(U1496*32)+(V1496*64)+(W1496*96)</f>
        <v>800</v>
      </c>
      <c r="AP1496" t="s">
        <v>41</v>
      </c>
    </row>
    <row r="1497" spans="1:42">
      <c r="A1497" s="1">
        <v>43796</v>
      </c>
      <c r="B1497">
        <v>3</v>
      </c>
      <c r="C1497">
        <v>205</v>
      </c>
      <c r="D1497">
        <v>10232</v>
      </c>
      <c r="E1497" t="s">
        <v>37</v>
      </c>
      <c r="F1497" t="s">
        <v>90</v>
      </c>
      <c r="H1497">
        <v>28</v>
      </c>
      <c r="I1497" s="25">
        <v>100</v>
      </c>
      <c r="K1497" t="s">
        <v>380</v>
      </c>
      <c r="N1497" t="s">
        <v>40</v>
      </c>
      <c r="P1497">
        <v>189</v>
      </c>
      <c r="Q1497">
        <f t="shared" si="53"/>
        <v>8</v>
      </c>
      <c r="R1497">
        <v>1</v>
      </c>
      <c r="S1497">
        <v>0</v>
      </c>
      <c r="T1497">
        <v>0</v>
      </c>
      <c r="U1497">
        <v>1</v>
      </c>
      <c r="V1497">
        <v>1</v>
      </c>
      <c r="W1497">
        <v>6</v>
      </c>
      <c r="X1497" s="21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f t="shared" si="54"/>
        <v>672</v>
      </c>
      <c r="AP1497" t="s">
        <v>41</v>
      </c>
    </row>
    <row r="1498" spans="1:42">
      <c r="A1498" s="1">
        <v>43796</v>
      </c>
      <c r="B1498">
        <v>3</v>
      </c>
      <c r="C1498">
        <v>205</v>
      </c>
      <c r="D1498">
        <v>10232</v>
      </c>
      <c r="E1498" t="s">
        <v>37</v>
      </c>
      <c r="F1498" t="s">
        <v>90</v>
      </c>
      <c r="H1498">
        <v>29</v>
      </c>
      <c r="I1498" s="25"/>
      <c r="K1498" t="s">
        <v>500</v>
      </c>
      <c r="N1498" t="s">
        <v>40</v>
      </c>
      <c r="P1498">
        <v>150</v>
      </c>
      <c r="Q1498">
        <f t="shared" si="53"/>
        <v>6</v>
      </c>
      <c r="R1498" t="s">
        <v>474</v>
      </c>
      <c r="S1498">
        <v>0</v>
      </c>
      <c r="T1498">
        <v>0</v>
      </c>
      <c r="U1498">
        <v>1</v>
      </c>
      <c r="V1498">
        <v>2</v>
      </c>
      <c r="W1498">
        <v>3</v>
      </c>
      <c r="X1498" s="21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f t="shared" si="54"/>
        <v>448</v>
      </c>
      <c r="AP1498" t="s">
        <v>41</v>
      </c>
    </row>
    <row r="1499" spans="1:42">
      <c r="A1499" s="1">
        <v>43796</v>
      </c>
      <c r="B1499">
        <v>3</v>
      </c>
      <c r="C1499">
        <v>205</v>
      </c>
      <c r="D1499">
        <v>10232</v>
      </c>
      <c r="E1499" t="s">
        <v>37</v>
      </c>
      <c r="F1499" t="s">
        <v>90</v>
      </c>
      <c r="H1499">
        <v>30</v>
      </c>
      <c r="I1499" s="25"/>
      <c r="K1499" t="s">
        <v>399</v>
      </c>
      <c r="N1499" t="s">
        <v>42</v>
      </c>
      <c r="P1499">
        <v>130</v>
      </c>
      <c r="Q1499">
        <f t="shared" si="53"/>
        <v>3</v>
      </c>
      <c r="R1499" t="s">
        <v>474</v>
      </c>
      <c r="S1499">
        <v>0</v>
      </c>
      <c r="T1499">
        <v>0</v>
      </c>
      <c r="U1499">
        <v>0</v>
      </c>
      <c r="V1499">
        <v>0</v>
      </c>
      <c r="W1499">
        <v>3</v>
      </c>
      <c r="X1499" s="21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f t="shared" si="54"/>
        <v>288</v>
      </c>
      <c r="AP1499" t="s">
        <v>41</v>
      </c>
    </row>
    <row r="1500" spans="1:42">
      <c r="A1500" s="1">
        <v>43796</v>
      </c>
      <c r="B1500">
        <v>3</v>
      </c>
      <c r="C1500">
        <v>205</v>
      </c>
      <c r="D1500">
        <v>10232</v>
      </c>
      <c r="E1500" t="s">
        <v>37</v>
      </c>
      <c r="F1500" t="s">
        <v>90</v>
      </c>
      <c r="H1500">
        <v>31</v>
      </c>
      <c r="I1500" s="25">
        <v>600</v>
      </c>
      <c r="K1500" t="s">
        <v>391</v>
      </c>
      <c r="N1500" t="s">
        <v>40</v>
      </c>
      <c r="P1500">
        <v>30</v>
      </c>
      <c r="Q1500">
        <f t="shared" si="53"/>
        <v>1</v>
      </c>
      <c r="R1500" t="s">
        <v>474</v>
      </c>
      <c r="S1500">
        <v>0</v>
      </c>
      <c r="T1500">
        <v>0</v>
      </c>
      <c r="U1500">
        <v>0</v>
      </c>
      <c r="V1500">
        <v>0</v>
      </c>
      <c r="W1500">
        <v>1</v>
      </c>
      <c r="X1500" s="21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f t="shared" si="54"/>
        <v>96</v>
      </c>
      <c r="AP1500" t="s">
        <v>41</v>
      </c>
    </row>
    <row r="1501" spans="1:42">
      <c r="A1501" s="1">
        <v>43796</v>
      </c>
      <c r="B1501">
        <v>3</v>
      </c>
      <c r="C1501">
        <v>205</v>
      </c>
      <c r="D1501">
        <v>10232</v>
      </c>
      <c r="E1501" t="s">
        <v>37</v>
      </c>
      <c r="F1501" t="s">
        <v>90</v>
      </c>
      <c r="H1501">
        <v>32</v>
      </c>
      <c r="I1501" s="25">
        <v>100</v>
      </c>
      <c r="K1501" t="s">
        <v>380</v>
      </c>
      <c r="N1501" t="s">
        <v>44</v>
      </c>
      <c r="P1501">
        <v>89</v>
      </c>
      <c r="Q1501">
        <f t="shared" si="53"/>
        <v>1</v>
      </c>
      <c r="R1501" t="s">
        <v>474</v>
      </c>
      <c r="S1501">
        <v>0</v>
      </c>
      <c r="T1501">
        <v>0</v>
      </c>
      <c r="U1501">
        <v>0</v>
      </c>
      <c r="V1501">
        <v>0</v>
      </c>
      <c r="W1501">
        <v>1</v>
      </c>
      <c r="X1501" s="2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f t="shared" si="54"/>
        <v>96</v>
      </c>
      <c r="AP1501" t="s">
        <v>41</v>
      </c>
    </row>
    <row r="1502" spans="1:42">
      <c r="A1502" s="1">
        <v>43796</v>
      </c>
      <c r="B1502">
        <v>3</v>
      </c>
      <c r="C1502">
        <v>205</v>
      </c>
      <c r="D1502">
        <v>10232</v>
      </c>
      <c r="E1502" t="s">
        <v>37</v>
      </c>
      <c r="F1502" t="s">
        <v>90</v>
      </c>
      <c r="H1502">
        <v>33</v>
      </c>
      <c r="I1502" s="25"/>
      <c r="K1502" t="s">
        <v>398</v>
      </c>
      <c r="N1502" t="s">
        <v>40</v>
      </c>
      <c r="P1502">
        <v>24</v>
      </c>
      <c r="Q1502">
        <f t="shared" si="53"/>
        <v>1</v>
      </c>
      <c r="R1502" t="s">
        <v>474</v>
      </c>
      <c r="S1502">
        <v>0</v>
      </c>
      <c r="T1502">
        <v>0</v>
      </c>
      <c r="U1502">
        <v>0</v>
      </c>
      <c r="V1502">
        <v>1</v>
      </c>
      <c r="W1502">
        <v>0</v>
      </c>
      <c r="X1502" s="21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f t="shared" si="54"/>
        <v>64</v>
      </c>
      <c r="AP1502" t="s">
        <v>41</v>
      </c>
    </row>
    <row r="1503" spans="1:42">
      <c r="A1503" s="1">
        <v>43796</v>
      </c>
      <c r="B1503">
        <v>3</v>
      </c>
      <c r="C1503">
        <v>205</v>
      </c>
      <c r="D1503">
        <v>10232</v>
      </c>
      <c r="E1503" t="s">
        <v>37</v>
      </c>
      <c r="F1503" t="s">
        <v>90</v>
      </c>
      <c r="H1503">
        <v>34</v>
      </c>
      <c r="I1503" s="25">
        <v>600</v>
      </c>
      <c r="K1503" t="s">
        <v>107</v>
      </c>
      <c r="N1503" t="s">
        <v>40</v>
      </c>
      <c r="P1503">
        <v>36</v>
      </c>
      <c r="Q1503">
        <f t="shared" si="53"/>
        <v>2</v>
      </c>
      <c r="R1503" t="s">
        <v>474</v>
      </c>
      <c r="S1503">
        <v>0</v>
      </c>
      <c r="T1503">
        <v>0</v>
      </c>
      <c r="U1503">
        <v>0</v>
      </c>
      <c r="V1503">
        <v>0</v>
      </c>
      <c r="W1503">
        <v>2</v>
      </c>
      <c r="X1503" s="21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f t="shared" si="54"/>
        <v>192</v>
      </c>
      <c r="AP1503" t="s">
        <v>41</v>
      </c>
    </row>
    <row r="1504" spans="1:42">
      <c r="A1504" s="1">
        <v>43796</v>
      </c>
      <c r="B1504">
        <v>3</v>
      </c>
      <c r="C1504">
        <v>205</v>
      </c>
      <c r="D1504">
        <v>10232</v>
      </c>
      <c r="E1504" t="s">
        <v>37</v>
      </c>
      <c r="F1504" t="s">
        <v>90</v>
      </c>
      <c r="H1504">
        <v>35</v>
      </c>
      <c r="I1504" s="25"/>
      <c r="K1504" t="s">
        <v>501</v>
      </c>
      <c r="N1504" t="s">
        <v>42</v>
      </c>
      <c r="P1504">
        <v>451</v>
      </c>
      <c r="Q1504">
        <f t="shared" si="53"/>
        <v>15</v>
      </c>
      <c r="R1504" t="s">
        <v>474</v>
      </c>
      <c r="S1504">
        <v>0</v>
      </c>
      <c r="T1504">
        <v>0</v>
      </c>
      <c r="U1504">
        <v>0</v>
      </c>
      <c r="V1504">
        <v>2</v>
      </c>
      <c r="W1504">
        <v>13</v>
      </c>
      <c r="X1504" s="21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f t="shared" si="54"/>
        <v>1376</v>
      </c>
      <c r="AP1504" t="s">
        <v>41</v>
      </c>
    </row>
    <row r="1505" spans="1:42">
      <c r="A1505" s="1">
        <v>43796</v>
      </c>
      <c r="B1505">
        <v>3</v>
      </c>
      <c r="C1505">
        <v>205</v>
      </c>
      <c r="D1505">
        <v>10232</v>
      </c>
      <c r="E1505" t="s">
        <v>37</v>
      </c>
      <c r="F1505" t="s">
        <v>90</v>
      </c>
      <c r="H1505">
        <v>36</v>
      </c>
      <c r="I1505" s="25">
        <v>600</v>
      </c>
      <c r="K1505" t="s">
        <v>394</v>
      </c>
      <c r="N1505" t="s">
        <v>40</v>
      </c>
      <c r="P1505">
        <v>80</v>
      </c>
      <c r="Q1505">
        <f t="shared" si="53"/>
        <v>5</v>
      </c>
      <c r="R1505" t="s">
        <v>474</v>
      </c>
      <c r="S1505">
        <v>0</v>
      </c>
      <c r="T1505">
        <v>0</v>
      </c>
      <c r="U1505">
        <v>0</v>
      </c>
      <c r="V1505">
        <v>0</v>
      </c>
      <c r="W1505">
        <v>5</v>
      </c>
      <c r="X1505" s="21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f t="shared" si="54"/>
        <v>480</v>
      </c>
      <c r="AL1505" t="s">
        <v>497</v>
      </c>
      <c r="AP1505" t="s">
        <v>41</v>
      </c>
    </row>
    <row r="1506" spans="1:42">
      <c r="A1506" s="1">
        <v>43796</v>
      </c>
      <c r="B1506">
        <v>3</v>
      </c>
      <c r="C1506">
        <v>205</v>
      </c>
      <c r="D1506">
        <v>10232</v>
      </c>
      <c r="E1506" t="s">
        <v>37</v>
      </c>
      <c r="F1506" t="s">
        <v>90</v>
      </c>
      <c r="H1506">
        <v>37</v>
      </c>
      <c r="I1506" s="25">
        <v>100</v>
      </c>
      <c r="K1506" t="s">
        <v>502</v>
      </c>
      <c r="N1506" t="s">
        <v>40</v>
      </c>
      <c r="P1506">
        <v>50</v>
      </c>
      <c r="Q1506">
        <f t="shared" si="53"/>
        <v>2</v>
      </c>
      <c r="R1506" t="s">
        <v>474</v>
      </c>
      <c r="S1506">
        <v>0</v>
      </c>
      <c r="T1506">
        <v>0</v>
      </c>
      <c r="U1506">
        <v>0</v>
      </c>
      <c r="V1506">
        <v>0</v>
      </c>
      <c r="W1506">
        <v>2</v>
      </c>
      <c r="X1506" s="21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f t="shared" si="54"/>
        <v>192</v>
      </c>
      <c r="AP1506" t="s">
        <v>41</v>
      </c>
    </row>
    <row r="1507" spans="1:42">
      <c r="A1507" s="1">
        <v>43796</v>
      </c>
      <c r="B1507">
        <v>3</v>
      </c>
      <c r="C1507">
        <v>205</v>
      </c>
      <c r="D1507">
        <v>10232</v>
      </c>
      <c r="E1507" t="s">
        <v>37</v>
      </c>
      <c r="F1507" t="s">
        <v>90</v>
      </c>
      <c r="H1507">
        <v>38</v>
      </c>
      <c r="I1507" s="25">
        <v>0</v>
      </c>
      <c r="K1507" t="s">
        <v>502</v>
      </c>
      <c r="P1507">
        <v>158</v>
      </c>
      <c r="Q1507">
        <f t="shared" si="53"/>
        <v>9</v>
      </c>
      <c r="R1507" t="s">
        <v>474</v>
      </c>
      <c r="S1507">
        <v>0</v>
      </c>
      <c r="T1507">
        <v>0</v>
      </c>
      <c r="U1507">
        <v>1</v>
      </c>
      <c r="V1507">
        <v>1</v>
      </c>
      <c r="W1507">
        <v>7</v>
      </c>
      <c r="X1507" s="21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f t="shared" si="54"/>
        <v>768</v>
      </c>
      <c r="AL1507" t="s">
        <v>489</v>
      </c>
      <c r="AP1507" t="s">
        <v>41</v>
      </c>
    </row>
    <row r="1508" spans="1:42">
      <c r="A1508" s="1">
        <v>43796</v>
      </c>
      <c r="B1508">
        <v>3</v>
      </c>
      <c r="C1508">
        <v>205</v>
      </c>
      <c r="D1508">
        <v>10232</v>
      </c>
      <c r="E1508" t="s">
        <v>37</v>
      </c>
      <c r="F1508" t="s">
        <v>90</v>
      </c>
      <c r="H1508">
        <v>39</v>
      </c>
      <c r="I1508" s="25">
        <v>0</v>
      </c>
      <c r="K1508" t="s">
        <v>403</v>
      </c>
      <c r="P1508">
        <v>52</v>
      </c>
      <c r="Q1508">
        <f t="shared" si="53"/>
        <v>5</v>
      </c>
      <c r="R1508" t="s">
        <v>474</v>
      </c>
      <c r="S1508">
        <v>0</v>
      </c>
      <c r="T1508">
        <v>0</v>
      </c>
      <c r="U1508">
        <v>1</v>
      </c>
      <c r="V1508">
        <v>2</v>
      </c>
      <c r="W1508">
        <v>2</v>
      </c>
      <c r="X1508" s="21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f t="shared" si="54"/>
        <v>352</v>
      </c>
      <c r="AP1508" t="s">
        <v>41</v>
      </c>
    </row>
    <row r="1509" spans="1:42">
      <c r="A1509" s="1">
        <v>43796</v>
      </c>
      <c r="B1509">
        <v>3</v>
      </c>
      <c r="C1509">
        <v>205</v>
      </c>
      <c r="D1509">
        <v>10232</v>
      </c>
      <c r="E1509" t="s">
        <v>37</v>
      </c>
      <c r="F1509" t="s">
        <v>90</v>
      </c>
      <c r="H1509">
        <v>40</v>
      </c>
      <c r="I1509" s="25">
        <v>100</v>
      </c>
      <c r="K1509" t="s">
        <v>491</v>
      </c>
      <c r="N1509" t="s">
        <v>40</v>
      </c>
      <c r="P1509">
        <v>297</v>
      </c>
      <c r="Q1509">
        <f t="shared" si="53"/>
        <v>17</v>
      </c>
      <c r="R1509" t="s">
        <v>474</v>
      </c>
      <c r="S1509">
        <v>0</v>
      </c>
      <c r="T1509">
        <v>0</v>
      </c>
      <c r="U1509">
        <v>2</v>
      </c>
      <c r="V1509">
        <v>1</v>
      </c>
      <c r="W1509">
        <v>14</v>
      </c>
      <c r="X1509" s="21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f t="shared" si="54"/>
        <v>1472</v>
      </c>
      <c r="AP1509" t="s">
        <v>41</v>
      </c>
    </row>
    <row r="1510" spans="1:42">
      <c r="A1510" s="1">
        <v>43796</v>
      </c>
      <c r="B1510">
        <v>3</v>
      </c>
      <c r="C1510">
        <v>205</v>
      </c>
      <c r="D1510">
        <v>10232</v>
      </c>
      <c r="E1510" t="s">
        <v>37</v>
      </c>
      <c r="F1510" t="s">
        <v>90</v>
      </c>
      <c r="H1510">
        <v>41</v>
      </c>
      <c r="I1510" s="25">
        <v>100</v>
      </c>
      <c r="K1510" t="s">
        <v>386</v>
      </c>
      <c r="N1510" t="s">
        <v>40</v>
      </c>
      <c r="P1510">
        <v>176</v>
      </c>
      <c r="Q1510">
        <f t="shared" si="53"/>
        <v>7</v>
      </c>
      <c r="R1510" t="s">
        <v>474</v>
      </c>
      <c r="S1510">
        <v>0</v>
      </c>
      <c r="T1510">
        <v>0</v>
      </c>
      <c r="U1510">
        <v>0</v>
      </c>
      <c r="V1510">
        <v>2</v>
      </c>
      <c r="W1510">
        <v>5</v>
      </c>
      <c r="X1510" s="21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f t="shared" si="54"/>
        <v>608</v>
      </c>
      <c r="AP1510" t="s">
        <v>41</v>
      </c>
    </row>
    <row r="1511" spans="1:42">
      <c r="A1511" s="1">
        <v>43787</v>
      </c>
      <c r="B1511">
        <v>1</v>
      </c>
      <c r="C1511">
        <v>506</v>
      </c>
      <c r="D1511">
        <v>11241</v>
      </c>
      <c r="E1511" t="s">
        <v>377</v>
      </c>
      <c r="F1511" t="s">
        <v>38</v>
      </c>
      <c r="H1511">
        <v>1</v>
      </c>
      <c r="I1511" s="25">
        <v>475</v>
      </c>
      <c r="K1511" t="s">
        <v>378</v>
      </c>
      <c r="N1511" t="s">
        <v>40</v>
      </c>
      <c r="O1511">
        <v>165</v>
      </c>
      <c r="Q1511">
        <f t="shared" si="53"/>
        <v>0</v>
      </c>
      <c r="R1511">
        <v>1</v>
      </c>
      <c r="S1511">
        <v>0</v>
      </c>
      <c r="T1511">
        <v>0</v>
      </c>
      <c r="U1511">
        <v>0</v>
      </c>
      <c r="V1511">
        <v>0</v>
      </c>
      <c r="W1511">
        <v>0</v>
      </c>
      <c r="X1511" s="2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f t="shared" si="54"/>
        <v>0</v>
      </c>
      <c r="AP1511" t="s">
        <v>41</v>
      </c>
    </row>
    <row r="1512" spans="1:42">
      <c r="A1512" s="1">
        <v>43787</v>
      </c>
      <c r="B1512">
        <v>1</v>
      </c>
      <c r="C1512">
        <v>506</v>
      </c>
      <c r="D1512">
        <v>11241</v>
      </c>
      <c r="E1512" t="s">
        <v>377</v>
      </c>
      <c r="F1512" t="s">
        <v>38</v>
      </c>
      <c r="H1512">
        <v>2</v>
      </c>
      <c r="I1512" s="25">
        <v>274</v>
      </c>
      <c r="K1512" t="s">
        <v>378</v>
      </c>
      <c r="N1512" t="s">
        <v>40</v>
      </c>
      <c r="O1512">
        <v>94</v>
      </c>
      <c r="Q1512">
        <f t="shared" si="53"/>
        <v>0</v>
      </c>
      <c r="R1512">
        <v>1</v>
      </c>
      <c r="S1512">
        <v>0</v>
      </c>
      <c r="T1512">
        <v>0</v>
      </c>
      <c r="U1512">
        <v>0</v>
      </c>
      <c r="V1512">
        <v>0</v>
      </c>
      <c r="W1512">
        <v>0</v>
      </c>
      <c r="X1512" s="21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f t="shared" si="54"/>
        <v>0</v>
      </c>
      <c r="AP1512" t="s">
        <v>41</v>
      </c>
    </row>
    <row r="1513" spans="1:42">
      <c r="A1513" s="1">
        <v>43787</v>
      </c>
      <c r="B1513">
        <v>1</v>
      </c>
      <c r="C1513">
        <v>506</v>
      </c>
      <c r="D1513">
        <v>11241</v>
      </c>
      <c r="E1513" t="s">
        <v>377</v>
      </c>
      <c r="F1513" t="s">
        <v>38</v>
      </c>
      <c r="H1513">
        <v>3</v>
      </c>
      <c r="I1513" s="25">
        <v>563</v>
      </c>
      <c r="K1513" t="s">
        <v>380</v>
      </c>
      <c r="N1513" t="s">
        <v>40</v>
      </c>
      <c r="O1513">
        <v>94</v>
      </c>
      <c r="Q1513">
        <f t="shared" si="53"/>
        <v>0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 s="21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f t="shared" si="54"/>
        <v>0</v>
      </c>
      <c r="AP1513" t="s">
        <v>41</v>
      </c>
    </row>
    <row r="1514" spans="1:42">
      <c r="A1514" s="1">
        <v>43787</v>
      </c>
      <c r="B1514">
        <v>1</v>
      </c>
      <c r="C1514">
        <v>506</v>
      </c>
      <c r="D1514">
        <v>11241</v>
      </c>
      <c r="E1514" t="s">
        <v>377</v>
      </c>
      <c r="F1514" t="s">
        <v>38</v>
      </c>
      <c r="H1514">
        <v>4</v>
      </c>
      <c r="I1514" s="25">
        <v>171</v>
      </c>
      <c r="K1514" t="s">
        <v>381</v>
      </c>
      <c r="N1514" t="s">
        <v>40</v>
      </c>
      <c r="O1514">
        <v>57</v>
      </c>
      <c r="Q1514">
        <f t="shared" si="53"/>
        <v>0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  <c r="X1514" s="21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f t="shared" si="54"/>
        <v>0</v>
      </c>
      <c r="AP1514" t="s">
        <v>41</v>
      </c>
    </row>
    <row r="1515" spans="1:42">
      <c r="A1515" s="1">
        <v>43787</v>
      </c>
      <c r="B1515">
        <v>1</v>
      </c>
      <c r="C1515">
        <v>506</v>
      </c>
      <c r="D1515">
        <v>11241</v>
      </c>
      <c r="E1515" t="s">
        <v>377</v>
      </c>
      <c r="F1515" t="s">
        <v>38</v>
      </c>
      <c r="H1515">
        <v>5</v>
      </c>
      <c r="I1515" s="25">
        <v>153</v>
      </c>
      <c r="K1515" t="s">
        <v>381</v>
      </c>
      <c r="N1515" t="s">
        <v>40</v>
      </c>
      <c r="O1515">
        <v>87</v>
      </c>
      <c r="Q1515">
        <f t="shared" si="53"/>
        <v>0</v>
      </c>
      <c r="R1515">
        <v>1</v>
      </c>
      <c r="S1515">
        <v>0</v>
      </c>
      <c r="T1515">
        <v>0</v>
      </c>
      <c r="U1515">
        <v>0</v>
      </c>
      <c r="V1515">
        <v>0</v>
      </c>
      <c r="W1515">
        <v>0</v>
      </c>
      <c r="X1515" s="21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f t="shared" si="54"/>
        <v>0</v>
      </c>
      <c r="AP1515" t="s">
        <v>41</v>
      </c>
    </row>
    <row r="1516" spans="1:42">
      <c r="A1516" s="1">
        <v>43787</v>
      </c>
      <c r="B1516">
        <v>1</v>
      </c>
      <c r="C1516">
        <v>506</v>
      </c>
      <c r="D1516">
        <v>11241</v>
      </c>
      <c r="E1516" t="s">
        <v>377</v>
      </c>
      <c r="F1516" t="s">
        <v>38</v>
      </c>
      <c r="H1516">
        <v>6</v>
      </c>
      <c r="I1516" s="25">
        <v>333</v>
      </c>
      <c r="K1516" t="s">
        <v>378</v>
      </c>
      <c r="N1516" t="s">
        <v>40</v>
      </c>
      <c r="O1516">
        <v>1440</v>
      </c>
      <c r="Q1516">
        <f t="shared" si="53"/>
        <v>0</v>
      </c>
      <c r="R1516">
        <v>1</v>
      </c>
      <c r="S1516">
        <v>0</v>
      </c>
      <c r="T1516">
        <v>0</v>
      </c>
      <c r="U1516">
        <v>0</v>
      </c>
      <c r="V1516">
        <v>0</v>
      </c>
      <c r="W1516">
        <v>0</v>
      </c>
      <c r="X1516" s="21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f t="shared" si="54"/>
        <v>0</v>
      </c>
      <c r="AL1516" t="s">
        <v>503</v>
      </c>
      <c r="AP1516" t="s">
        <v>41</v>
      </c>
    </row>
    <row r="1517" spans="1:42">
      <c r="A1517" s="1">
        <v>43787</v>
      </c>
      <c r="B1517">
        <v>1</v>
      </c>
      <c r="C1517">
        <v>506</v>
      </c>
      <c r="D1517">
        <v>11241</v>
      </c>
      <c r="E1517" t="s">
        <v>377</v>
      </c>
      <c r="F1517" t="s">
        <v>38</v>
      </c>
      <c r="H1517">
        <v>7</v>
      </c>
      <c r="I1517" s="25">
        <v>701</v>
      </c>
      <c r="K1517" t="s">
        <v>380</v>
      </c>
      <c r="N1517" t="s">
        <v>40</v>
      </c>
      <c r="O1517">
        <v>47</v>
      </c>
      <c r="Q1517">
        <f t="shared" si="53"/>
        <v>0</v>
      </c>
      <c r="R1517">
        <v>1</v>
      </c>
      <c r="S1517">
        <v>0</v>
      </c>
      <c r="T1517">
        <v>0</v>
      </c>
      <c r="U1517">
        <v>0</v>
      </c>
      <c r="V1517">
        <v>0</v>
      </c>
      <c r="W1517">
        <v>0</v>
      </c>
      <c r="X1517" s="21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f t="shared" si="54"/>
        <v>0</v>
      </c>
      <c r="AP1517" t="s">
        <v>41</v>
      </c>
    </row>
    <row r="1518" spans="1:42">
      <c r="A1518" s="1">
        <v>43787</v>
      </c>
      <c r="B1518">
        <v>1</v>
      </c>
      <c r="C1518">
        <v>506</v>
      </c>
      <c r="D1518">
        <v>11241</v>
      </c>
      <c r="E1518" t="s">
        <v>377</v>
      </c>
      <c r="F1518" t="s">
        <v>38</v>
      </c>
      <c r="H1518">
        <v>8</v>
      </c>
      <c r="I1518" s="25">
        <v>621</v>
      </c>
      <c r="K1518" t="s">
        <v>380</v>
      </c>
      <c r="N1518" t="s">
        <v>40</v>
      </c>
      <c r="O1518">
        <v>30</v>
      </c>
      <c r="Q1518">
        <f t="shared" si="53"/>
        <v>0</v>
      </c>
      <c r="R1518">
        <v>1</v>
      </c>
      <c r="S1518">
        <v>0</v>
      </c>
      <c r="T1518">
        <v>0</v>
      </c>
      <c r="U1518">
        <v>0</v>
      </c>
      <c r="V1518">
        <v>0</v>
      </c>
      <c r="W1518">
        <v>0</v>
      </c>
      <c r="X1518" s="21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f t="shared" si="54"/>
        <v>0</v>
      </c>
      <c r="AP1518" t="s">
        <v>41</v>
      </c>
    </row>
    <row r="1519" spans="1:42">
      <c r="A1519" s="1">
        <v>43787</v>
      </c>
      <c r="B1519">
        <v>1</v>
      </c>
      <c r="C1519">
        <v>506</v>
      </c>
      <c r="D1519">
        <v>11241</v>
      </c>
      <c r="E1519" t="s">
        <v>377</v>
      </c>
      <c r="F1519" t="s">
        <v>38</v>
      </c>
      <c r="H1519">
        <v>9</v>
      </c>
      <c r="I1519" s="25">
        <v>2</v>
      </c>
      <c r="K1519" t="s">
        <v>381</v>
      </c>
      <c r="N1519" t="s">
        <v>40</v>
      </c>
      <c r="O1519">
        <v>98</v>
      </c>
      <c r="Q1519">
        <f t="shared" si="53"/>
        <v>0</v>
      </c>
      <c r="R1519">
        <v>1</v>
      </c>
      <c r="S1519">
        <v>0</v>
      </c>
      <c r="T1519">
        <v>0</v>
      </c>
      <c r="U1519">
        <v>0</v>
      </c>
      <c r="V1519">
        <v>0</v>
      </c>
      <c r="W1519">
        <v>0</v>
      </c>
      <c r="X1519" s="21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f t="shared" si="54"/>
        <v>0</v>
      </c>
      <c r="AL1519" t="s">
        <v>497</v>
      </c>
      <c r="AP1519" t="s">
        <v>41</v>
      </c>
    </row>
    <row r="1520" spans="1:42">
      <c r="A1520" s="1">
        <v>43787</v>
      </c>
      <c r="B1520">
        <v>1</v>
      </c>
      <c r="C1520">
        <v>506</v>
      </c>
      <c r="D1520">
        <v>11241</v>
      </c>
      <c r="E1520" t="s">
        <v>377</v>
      </c>
      <c r="F1520" t="s">
        <v>38</v>
      </c>
      <c r="H1520">
        <v>10</v>
      </c>
      <c r="I1520" s="25">
        <v>580</v>
      </c>
      <c r="K1520" t="s">
        <v>504</v>
      </c>
      <c r="N1520" t="s">
        <v>40</v>
      </c>
      <c r="O1520">
        <v>76</v>
      </c>
      <c r="Q1520">
        <f t="shared" si="53"/>
        <v>0</v>
      </c>
      <c r="R1520">
        <v>1</v>
      </c>
      <c r="S1520">
        <v>0</v>
      </c>
      <c r="T1520">
        <v>0</v>
      </c>
      <c r="U1520">
        <v>0</v>
      </c>
      <c r="V1520">
        <v>0</v>
      </c>
      <c r="W1520">
        <v>0</v>
      </c>
      <c r="X1520" s="21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f t="shared" si="54"/>
        <v>0</v>
      </c>
      <c r="AP1520" t="s">
        <v>41</v>
      </c>
    </row>
    <row r="1521" spans="1:42">
      <c r="A1521" s="1">
        <v>43787</v>
      </c>
      <c r="B1521">
        <v>1</v>
      </c>
      <c r="C1521">
        <v>506</v>
      </c>
      <c r="D1521">
        <v>11241</v>
      </c>
      <c r="E1521" t="s">
        <v>377</v>
      </c>
      <c r="F1521" t="s">
        <v>38</v>
      </c>
      <c r="H1521">
        <v>11</v>
      </c>
      <c r="I1521" s="25">
        <v>345</v>
      </c>
      <c r="K1521" t="s">
        <v>384</v>
      </c>
      <c r="N1521" t="s">
        <v>44</v>
      </c>
      <c r="O1521">
        <v>262</v>
      </c>
      <c r="Q1521">
        <f t="shared" si="53"/>
        <v>0</v>
      </c>
      <c r="R1521">
        <v>1</v>
      </c>
      <c r="S1521">
        <v>0</v>
      </c>
      <c r="T1521">
        <v>0</v>
      </c>
      <c r="U1521">
        <v>0</v>
      </c>
      <c r="V1521">
        <v>0</v>
      </c>
      <c r="W1521">
        <v>0</v>
      </c>
      <c r="X1521" s="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f t="shared" si="54"/>
        <v>0</v>
      </c>
      <c r="AP1521" t="s">
        <v>41</v>
      </c>
    </row>
    <row r="1522" spans="1:42">
      <c r="A1522" s="1">
        <v>43787</v>
      </c>
      <c r="B1522">
        <v>1</v>
      </c>
      <c r="C1522">
        <v>506</v>
      </c>
      <c r="D1522">
        <v>11241</v>
      </c>
      <c r="E1522" t="s">
        <v>377</v>
      </c>
      <c r="F1522" t="s">
        <v>38</v>
      </c>
      <c r="H1522">
        <v>12</v>
      </c>
      <c r="I1522" s="25">
        <v>1</v>
      </c>
      <c r="K1522" t="s">
        <v>383</v>
      </c>
      <c r="N1522" t="s">
        <v>40</v>
      </c>
      <c r="O1522">
        <v>40</v>
      </c>
      <c r="Q1522">
        <f t="shared" si="53"/>
        <v>0</v>
      </c>
      <c r="R1522">
        <v>1</v>
      </c>
      <c r="S1522">
        <v>0</v>
      </c>
      <c r="T1522">
        <v>0</v>
      </c>
      <c r="U1522">
        <v>0</v>
      </c>
      <c r="V1522">
        <v>0</v>
      </c>
      <c r="W1522">
        <v>0</v>
      </c>
      <c r="X1522" s="21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f t="shared" si="54"/>
        <v>0</v>
      </c>
      <c r="AP1522" t="s">
        <v>41</v>
      </c>
    </row>
    <row r="1523" spans="1:42">
      <c r="A1523" s="1">
        <v>43787</v>
      </c>
      <c r="B1523">
        <v>1</v>
      </c>
      <c r="C1523">
        <v>506</v>
      </c>
      <c r="D1523">
        <v>11241</v>
      </c>
      <c r="E1523" t="s">
        <v>377</v>
      </c>
      <c r="F1523" t="s">
        <v>38</v>
      </c>
      <c r="H1523">
        <v>13</v>
      </c>
      <c r="I1523" s="25">
        <v>460</v>
      </c>
      <c r="K1523" t="s">
        <v>505</v>
      </c>
      <c r="N1523" t="s">
        <v>40</v>
      </c>
      <c r="O1523">
        <v>359</v>
      </c>
      <c r="Q1523">
        <f t="shared" si="53"/>
        <v>0</v>
      </c>
      <c r="R1523">
        <v>1</v>
      </c>
      <c r="S1523">
        <v>0</v>
      </c>
      <c r="T1523">
        <v>0</v>
      </c>
      <c r="U1523">
        <v>0</v>
      </c>
      <c r="V1523">
        <v>0</v>
      </c>
      <c r="W1523">
        <v>0</v>
      </c>
      <c r="X1523" s="21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f t="shared" si="54"/>
        <v>0</v>
      </c>
      <c r="AP1523" t="s">
        <v>41</v>
      </c>
    </row>
    <row r="1524" spans="1:42">
      <c r="A1524" s="1">
        <v>43787</v>
      </c>
      <c r="B1524">
        <v>1</v>
      </c>
      <c r="C1524">
        <v>506</v>
      </c>
      <c r="D1524">
        <v>11241</v>
      </c>
      <c r="E1524" t="s">
        <v>377</v>
      </c>
      <c r="F1524" t="s">
        <v>38</v>
      </c>
      <c r="H1524">
        <v>14</v>
      </c>
      <c r="I1524" s="25">
        <v>1</v>
      </c>
      <c r="K1524" t="s">
        <v>506</v>
      </c>
      <c r="N1524" t="s">
        <v>40</v>
      </c>
      <c r="O1524">
        <v>30</v>
      </c>
      <c r="Q1524">
        <f t="shared" si="53"/>
        <v>0</v>
      </c>
      <c r="R1524">
        <v>1</v>
      </c>
      <c r="S1524">
        <v>0</v>
      </c>
      <c r="T1524">
        <v>0</v>
      </c>
      <c r="U1524">
        <v>0</v>
      </c>
      <c r="V1524">
        <v>0</v>
      </c>
      <c r="W1524">
        <v>0</v>
      </c>
      <c r="X1524" s="21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f t="shared" si="54"/>
        <v>0</v>
      </c>
      <c r="AP1524" t="s">
        <v>41</v>
      </c>
    </row>
    <row r="1525" spans="1:42">
      <c r="A1525" s="1">
        <v>43787</v>
      </c>
      <c r="B1525">
        <v>1</v>
      </c>
      <c r="C1525">
        <v>506</v>
      </c>
      <c r="D1525">
        <v>11241</v>
      </c>
      <c r="E1525" t="s">
        <v>377</v>
      </c>
      <c r="F1525" t="s">
        <v>38</v>
      </c>
      <c r="H1525">
        <v>15</v>
      </c>
      <c r="I1525" s="25">
        <v>630</v>
      </c>
      <c r="K1525" t="s">
        <v>58</v>
      </c>
      <c r="N1525" t="s">
        <v>44</v>
      </c>
      <c r="O1525">
        <v>105</v>
      </c>
      <c r="Q1525">
        <f t="shared" si="53"/>
        <v>0</v>
      </c>
      <c r="R1525">
        <v>1</v>
      </c>
      <c r="S1525">
        <v>0</v>
      </c>
      <c r="T1525">
        <v>0</v>
      </c>
      <c r="U1525">
        <v>0</v>
      </c>
      <c r="V1525">
        <v>0</v>
      </c>
      <c r="W1525">
        <v>0</v>
      </c>
      <c r="X1525" s="21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f t="shared" si="54"/>
        <v>0</v>
      </c>
      <c r="AP1525" t="s">
        <v>41</v>
      </c>
    </row>
    <row r="1526" spans="1:42">
      <c r="A1526" s="1">
        <v>43787</v>
      </c>
      <c r="B1526">
        <v>1</v>
      </c>
      <c r="C1526">
        <v>506</v>
      </c>
      <c r="D1526">
        <v>11241</v>
      </c>
      <c r="E1526" t="s">
        <v>377</v>
      </c>
      <c r="F1526" t="s">
        <v>38</v>
      </c>
      <c r="H1526">
        <v>16</v>
      </c>
      <c r="I1526" s="25">
        <v>1</v>
      </c>
      <c r="K1526" t="s">
        <v>386</v>
      </c>
      <c r="N1526" t="s">
        <v>40</v>
      </c>
      <c r="O1526">
        <v>70</v>
      </c>
      <c r="Q1526">
        <f t="shared" si="53"/>
        <v>0</v>
      </c>
      <c r="R1526">
        <v>1</v>
      </c>
      <c r="S1526">
        <v>0</v>
      </c>
      <c r="T1526">
        <v>0</v>
      </c>
      <c r="U1526">
        <v>0</v>
      </c>
      <c r="V1526">
        <v>0</v>
      </c>
      <c r="W1526">
        <v>0</v>
      </c>
      <c r="X1526" s="21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f t="shared" si="54"/>
        <v>0</v>
      </c>
      <c r="AP1526" t="s">
        <v>41</v>
      </c>
    </row>
    <row r="1527" spans="1:42">
      <c r="A1527" s="1">
        <v>43787</v>
      </c>
      <c r="B1527">
        <v>1</v>
      </c>
      <c r="C1527">
        <v>506</v>
      </c>
      <c r="D1527">
        <v>11241</v>
      </c>
      <c r="E1527" t="s">
        <v>377</v>
      </c>
      <c r="F1527" t="s">
        <v>38</v>
      </c>
      <c r="H1527">
        <v>17</v>
      </c>
      <c r="I1527" s="25">
        <v>2</v>
      </c>
      <c r="K1527" t="s">
        <v>386</v>
      </c>
      <c r="N1527" t="s">
        <v>40</v>
      </c>
      <c r="O1527">
        <v>70</v>
      </c>
      <c r="Q1527">
        <f t="shared" si="53"/>
        <v>0</v>
      </c>
      <c r="R1527">
        <v>1</v>
      </c>
      <c r="S1527">
        <v>0</v>
      </c>
      <c r="T1527">
        <v>0</v>
      </c>
      <c r="U1527">
        <v>0</v>
      </c>
      <c r="V1527">
        <v>0</v>
      </c>
      <c r="W1527">
        <v>0</v>
      </c>
      <c r="X1527" s="21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f t="shared" si="54"/>
        <v>0</v>
      </c>
      <c r="AP1527" t="s">
        <v>41</v>
      </c>
    </row>
    <row r="1528" spans="1:42">
      <c r="A1528" s="1">
        <v>43787</v>
      </c>
      <c r="B1528">
        <v>1</v>
      </c>
      <c r="C1528">
        <v>506</v>
      </c>
      <c r="D1528">
        <v>11241</v>
      </c>
      <c r="E1528" t="s">
        <v>377</v>
      </c>
      <c r="F1528" t="s">
        <v>38</v>
      </c>
      <c r="H1528">
        <v>18</v>
      </c>
      <c r="I1528" s="25">
        <v>199</v>
      </c>
      <c r="K1528" t="s">
        <v>387</v>
      </c>
      <c r="N1528" t="s">
        <v>44</v>
      </c>
      <c r="O1528">
        <v>70</v>
      </c>
      <c r="Q1528">
        <f t="shared" si="53"/>
        <v>0</v>
      </c>
      <c r="R1528">
        <v>1</v>
      </c>
      <c r="S1528">
        <v>0</v>
      </c>
      <c r="T1528">
        <v>0</v>
      </c>
      <c r="U1528">
        <v>0</v>
      </c>
      <c r="V1528">
        <v>0</v>
      </c>
      <c r="W1528">
        <v>0</v>
      </c>
      <c r="X1528" s="21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f t="shared" si="54"/>
        <v>0</v>
      </c>
      <c r="AP1528" t="s">
        <v>41</v>
      </c>
    </row>
    <row r="1529" spans="1:42">
      <c r="A1529" s="1">
        <v>43787</v>
      </c>
      <c r="B1529">
        <v>1</v>
      </c>
      <c r="C1529">
        <v>506</v>
      </c>
      <c r="D1529">
        <v>11241</v>
      </c>
      <c r="E1529" t="s">
        <v>377</v>
      </c>
      <c r="F1529" t="s">
        <v>38</v>
      </c>
      <c r="H1529">
        <v>19</v>
      </c>
      <c r="I1529" s="25">
        <v>235</v>
      </c>
      <c r="K1529" t="s">
        <v>380</v>
      </c>
      <c r="N1529" t="s">
        <v>44</v>
      </c>
      <c r="O1529">
        <v>203</v>
      </c>
      <c r="Q1529">
        <f t="shared" si="53"/>
        <v>0</v>
      </c>
      <c r="R1529">
        <v>1</v>
      </c>
      <c r="S1529">
        <v>0</v>
      </c>
      <c r="T1529">
        <v>0</v>
      </c>
      <c r="U1529">
        <v>0</v>
      </c>
      <c r="V1529">
        <v>0</v>
      </c>
      <c r="W1529">
        <v>0</v>
      </c>
      <c r="X1529" s="21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f t="shared" si="54"/>
        <v>0</v>
      </c>
      <c r="AL1529" t="s">
        <v>507</v>
      </c>
      <c r="AP1529" t="s">
        <v>41</v>
      </c>
    </row>
    <row r="1530" spans="1:42">
      <c r="A1530" s="1">
        <v>43787</v>
      </c>
      <c r="B1530">
        <v>1</v>
      </c>
      <c r="C1530">
        <v>506</v>
      </c>
      <c r="D1530">
        <v>11241</v>
      </c>
      <c r="E1530" t="s">
        <v>377</v>
      </c>
      <c r="F1530" t="s">
        <v>38</v>
      </c>
      <c r="H1530">
        <v>20</v>
      </c>
      <c r="I1530" s="25">
        <v>600</v>
      </c>
      <c r="K1530" t="s">
        <v>389</v>
      </c>
      <c r="N1530" t="s">
        <v>44</v>
      </c>
      <c r="O1530">
        <v>115</v>
      </c>
      <c r="Q1530">
        <f t="shared" si="53"/>
        <v>0</v>
      </c>
      <c r="R1530">
        <v>1</v>
      </c>
      <c r="S1530">
        <v>0</v>
      </c>
      <c r="T1530">
        <v>0</v>
      </c>
      <c r="U1530">
        <v>0</v>
      </c>
      <c r="V1530">
        <v>0</v>
      </c>
      <c r="W1530">
        <v>0</v>
      </c>
      <c r="X1530" s="21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f t="shared" si="54"/>
        <v>0</v>
      </c>
      <c r="AP1530" t="s">
        <v>41</v>
      </c>
    </row>
    <row r="1531" spans="1:42">
      <c r="A1531" s="1">
        <v>43787</v>
      </c>
      <c r="B1531">
        <v>1</v>
      </c>
      <c r="C1531">
        <v>506</v>
      </c>
      <c r="D1531">
        <v>11241</v>
      </c>
      <c r="E1531" t="s">
        <v>377</v>
      </c>
      <c r="F1531" t="s">
        <v>38</v>
      </c>
      <c r="H1531">
        <v>21</v>
      </c>
      <c r="I1531" s="25">
        <v>1</v>
      </c>
      <c r="K1531" t="s">
        <v>388</v>
      </c>
      <c r="N1531" t="s">
        <v>44</v>
      </c>
      <c r="O1531">
        <v>180</v>
      </c>
      <c r="Q1531">
        <f t="shared" si="53"/>
        <v>0</v>
      </c>
      <c r="R1531">
        <v>1</v>
      </c>
      <c r="S1531">
        <v>0</v>
      </c>
      <c r="T1531">
        <v>0</v>
      </c>
      <c r="U1531">
        <v>0</v>
      </c>
      <c r="V1531">
        <v>0</v>
      </c>
      <c r="W1531">
        <v>0</v>
      </c>
      <c r="X1531" s="2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f t="shared" si="54"/>
        <v>0</v>
      </c>
      <c r="AP1531" t="s">
        <v>41</v>
      </c>
    </row>
    <row r="1532" spans="1:42">
      <c r="A1532" s="1">
        <v>43787</v>
      </c>
      <c r="B1532">
        <v>1</v>
      </c>
      <c r="C1532">
        <v>506</v>
      </c>
      <c r="D1532">
        <v>11241</v>
      </c>
      <c r="E1532" t="s">
        <v>377</v>
      </c>
      <c r="F1532" t="s">
        <v>38</v>
      </c>
      <c r="H1532">
        <v>22</v>
      </c>
      <c r="I1532" s="25">
        <v>715</v>
      </c>
      <c r="K1532" t="s">
        <v>383</v>
      </c>
      <c r="N1532" t="s">
        <v>40</v>
      </c>
      <c r="O1532">
        <v>80</v>
      </c>
      <c r="Q1532">
        <f t="shared" si="53"/>
        <v>0</v>
      </c>
      <c r="R1532">
        <v>1</v>
      </c>
      <c r="S1532">
        <v>0</v>
      </c>
      <c r="T1532">
        <v>0</v>
      </c>
      <c r="U1532">
        <v>0</v>
      </c>
      <c r="V1532">
        <v>0</v>
      </c>
      <c r="W1532">
        <v>0</v>
      </c>
      <c r="X1532" s="21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f t="shared" si="54"/>
        <v>0</v>
      </c>
      <c r="AP1532" t="s">
        <v>41</v>
      </c>
    </row>
    <row r="1533" spans="1:42">
      <c r="A1533" s="1">
        <v>43787</v>
      </c>
      <c r="B1533">
        <v>1</v>
      </c>
      <c r="C1533">
        <v>506</v>
      </c>
      <c r="D1533">
        <v>11241</v>
      </c>
      <c r="E1533" t="s">
        <v>377</v>
      </c>
      <c r="F1533" t="s">
        <v>38</v>
      </c>
      <c r="H1533">
        <v>23</v>
      </c>
      <c r="I1533" s="25">
        <v>360</v>
      </c>
      <c r="K1533" t="s">
        <v>389</v>
      </c>
      <c r="N1533" t="s">
        <v>44</v>
      </c>
      <c r="O1533">
        <v>45</v>
      </c>
      <c r="Q1533">
        <f t="shared" si="53"/>
        <v>0</v>
      </c>
      <c r="R1533">
        <v>1</v>
      </c>
      <c r="S1533">
        <v>0</v>
      </c>
      <c r="T1533">
        <v>0</v>
      </c>
      <c r="U1533">
        <v>0</v>
      </c>
      <c r="V1533">
        <v>0</v>
      </c>
      <c r="W1533">
        <v>0</v>
      </c>
      <c r="X1533" s="21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f t="shared" si="54"/>
        <v>0</v>
      </c>
      <c r="AP1533" t="s">
        <v>41</v>
      </c>
    </row>
    <row r="1534" spans="1:42">
      <c r="A1534" s="1">
        <v>43787</v>
      </c>
      <c r="B1534">
        <v>1</v>
      </c>
      <c r="C1534">
        <v>506</v>
      </c>
      <c r="D1534">
        <v>11241</v>
      </c>
      <c r="E1534" t="s">
        <v>377</v>
      </c>
      <c r="F1534" t="s">
        <v>38</v>
      </c>
      <c r="H1534">
        <v>24</v>
      </c>
      <c r="I1534" s="25">
        <v>795</v>
      </c>
      <c r="K1534" t="s">
        <v>107</v>
      </c>
      <c r="N1534" t="s">
        <v>40</v>
      </c>
      <c r="O1534">
        <v>86</v>
      </c>
      <c r="Q1534">
        <f t="shared" si="53"/>
        <v>0</v>
      </c>
      <c r="R1534">
        <v>1</v>
      </c>
      <c r="S1534">
        <v>0</v>
      </c>
      <c r="T1534">
        <v>0</v>
      </c>
      <c r="U1534">
        <v>0</v>
      </c>
      <c r="V1534">
        <v>0</v>
      </c>
      <c r="W1534">
        <v>0</v>
      </c>
      <c r="X1534" s="21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f t="shared" si="54"/>
        <v>0</v>
      </c>
      <c r="AL1534" t="s">
        <v>497</v>
      </c>
      <c r="AP1534" t="s">
        <v>41</v>
      </c>
    </row>
    <row r="1535" spans="1:42">
      <c r="A1535" s="1">
        <v>43787</v>
      </c>
      <c r="B1535">
        <v>1</v>
      </c>
      <c r="C1535">
        <v>506</v>
      </c>
      <c r="D1535">
        <v>11241</v>
      </c>
      <c r="E1535" t="s">
        <v>377</v>
      </c>
      <c r="F1535" t="s">
        <v>38</v>
      </c>
      <c r="H1535">
        <v>25</v>
      </c>
      <c r="I1535" s="25">
        <v>400</v>
      </c>
      <c r="K1535" t="s">
        <v>390</v>
      </c>
      <c r="N1535" t="s">
        <v>40</v>
      </c>
      <c r="P1535">
        <v>205</v>
      </c>
      <c r="Q1535">
        <f t="shared" si="53"/>
        <v>0</v>
      </c>
      <c r="R1535">
        <v>2</v>
      </c>
      <c r="S1535">
        <v>0</v>
      </c>
      <c r="T1535">
        <v>0</v>
      </c>
      <c r="U1535">
        <v>0</v>
      </c>
      <c r="V1535">
        <v>0</v>
      </c>
      <c r="W1535">
        <v>0</v>
      </c>
      <c r="X1535" s="21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f t="shared" si="54"/>
        <v>0</v>
      </c>
      <c r="AL1535" t="s">
        <v>45</v>
      </c>
      <c r="AP1535" t="s">
        <v>41</v>
      </c>
    </row>
    <row r="1536" spans="1:42">
      <c r="A1536" s="1">
        <v>43787</v>
      </c>
      <c r="B1536">
        <v>1</v>
      </c>
      <c r="C1536">
        <v>506</v>
      </c>
      <c r="D1536">
        <v>11241</v>
      </c>
      <c r="E1536" t="s">
        <v>377</v>
      </c>
      <c r="F1536" t="s">
        <v>38</v>
      </c>
      <c r="H1536">
        <v>26</v>
      </c>
      <c r="I1536" s="25">
        <v>875</v>
      </c>
      <c r="K1536" t="s">
        <v>391</v>
      </c>
      <c r="N1536" t="s">
        <v>40</v>
      </c>
      <c r="O1536">
        <v>45</v>
      </c>
      <c r="Q1536">
        <f t="shared" si="53"/>
        <v>0</v>
      </c>
      <c r="R1536">
        <v>1</v>
      </c>
      <c r="S1536">
        <v>0</v>
      </c>
      <c r="T1536">
        <v>0</v>
      </c>
      <c r="U1536">
        <v>0</v>
      </c>
      <c r="V1536">
        <v>0</v>
      </c>
      <c r="W1536">
        <v>0</v>
      </c>
      <c r="X1536" s="21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f t="shared" si="54"/>
        <v>0</v>
      </c>
      <c r="AP1536" t="s">
        <v>41</v>
      </c>
    </row>
    <row r="1537" spans="1:42">
      <c r="A1537" s="1">
        <v>43787</v>
      </c>
      <c r="B1537">
        <v>1</v>
      </c>
      <c r="C1537">
        <v>506</v>
      </c>
      <c r="D1537">
        <v>11241</v>
      </c>
      <c r="E1537" t="s">
        <v>377</v>
      </c>
      <c r="F1537" t="s">
        <v>38</v>
      </c>
      <c r="H1537">
        <v>27</v>
      </c>
      <c r="I1537" s="25">
        <v>888</v>
      </c>
      <c r="K1537" t="s">
        <v>391</v>
      </c>
      <c r="N1537" t="s">
        <v>44</v>
      </c>
      <c r="O1537">
        <v>80</v>
      </c>
      <c r="Q1537">
        <f t="shared" si="53"/>
        <v>0</v>
      </c>
      <c r="R1537">
        <v>1</v>
      </c>
      <c r="S1537">
        <v>0</v>
      </c>
      <c r="T1537">
        <v>0</v>
      </c>
      <c r="U1537">
        <v>0</v>
      </c>
      <c r="V1537">
        <v>0</v>
      </c>
      <c r="W1537">
        <v>0</v>
      </c>
      <c r="X1537" s="21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f t="shared" si="54"/>
        <v>0</v>
      </c>
      <c r="AP1537" t="s">
        <v>41</v>
      </c>
    </row>
    <row r="1538" spans="1:42">
      <c r="A1538" s="1">
        <v>43787</v>
      </c>
      <c r="B1538">
        <v>1</v>
      </c>
      <c r="C1538">
        <v>506</v>
      </c>
      <c r="D1538">
        <v>11241</v>
      </c>
      <c r="E1538" t="s">
        <v>377</v>
      </c>
      <c r="F1538" t="s">
        <v>38</v>
      </c>
      <c r="H1538">
        <v>28</v>
      </c>
      <c r="I1538" s="25">
        <v>925</v>
      </c>
      <c r="K1538" t="s">
        <v>394</v>
      </c>
      <c r="N1538" t="s">
        <v>40</v>
      </c>
      <c r="O1538">
        <v>111</v>
      </c>
      <c r="Q1538">
        <f t="shared" si="53"/>
        <v>0</v>
      </c>
      <c r="R1538">
        <v>1</v>
      </c>
      <c r="S1538">
        <v>0</v>
      </c>
      <c r="T1538">
        <v>0</v>
      </c>
      <c r="U1538">
        <v>0</v>
      </c>
      <c r="V1538">
        <v>0</v>
      </c>
      <c r="W1538">
        <v>0</v>
      </c>
      <c r="X1538" s="21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f t="shared" si="54"/>
        <v>0</v>
      </c>
      <c r="AP1538" t="s">
        <v>41</v>
      </c>
    </row>
    <row r="1539" spans="1:42">
      <c r="A1539" s="1">
        <v>43787</v>
      </c>
      <c r="B1539">
        <v>1</v>
      </c>
      <c r="C1539">
        <v>506</v>
      </c>
      <c r="D1539">
        <v>11241</v>
      </c>
      <c r="E1539" t="s">
        <v>377</v>
      </c>
      <c r="F1539" t="s">
        <v>38</v>
      </c>
      <c r="H1539">
        <v>29</v>
      </c>
      <c r="I1539" s="25">
        <v>455</v>
      </c>
      <c r="K1539" t="s">
        <v>500</v>
      </c>
      <c r="N1539" t="s">
        <v>40</v>
      </c>
      <c r="O1539">
        <v>95</v>
      </c>
      <c r="Q1539">
        <f t="shared" si="53"/>
        <v>0</v>
      </c>
      <c r="R1539">
        <v>1</v>
      </c>
      <c r="S1539">
        <v>0</v>
      </c>
      <c r="T1539">
        <v>0</v>
      </c>
      <c r="U1539">
        <v>0</v>
      </c>
      <c r="V1539">
        <v>0</v>
      </c>
      <c r="W1539">
        <v>0</v>
      </c>
      <c r="X1539" s="21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f t="shared" si="54"/>
        <v>0</v>
      </c>
      <c r="AP1539" t="s">
        <v>41</v>
      </c>
    </row>
    <row r="1540" spans="1:42">
      <c r="A1540" s="1">
        <v>43787</v>
      </c>
      <c r="B1540">
        <v>1</v>
      </c>
      <c r="C1540">
        <v>506</v>
      </c>
      <c r="D1540">
        <v>11241</v>
      </c>
      <c r="E1540" t="s">
        <v>377</v>
      </c>
      <c r="F1540" t="s">
        <v>38</v>
      </c>
      <c r="H1540">
        <v>30</v>
      </c>
      <c r="I1540" s="25">
        <v>1155</v>
      </c>
      <c r="K1540" t="s">
        <v>73</v>
      </c>
      <c r="N1540" t="s">
        <v>40</v>
      </c>
      <c r="O1540">
        <v>135</v>
      </c>
      <c r="Q1540">
        <f t="shared" si="53"/>
        <v>0</v>
      </c>
      <c r="R1540">
        <v>1</v>
      </c>
      <c r="S1540">
        <v>0</v>
      </c>
      <c r="T1540">
        <v>0</v>
      </c>
      <c r="U1540">
        <v>0</v>
      </c>
      <c r="V1540">
        <v>0</v>
      </c>
      <c r="W1540">
        <v>0</v>
      </c>
      <c r="X1540" s="21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f t="shared" si="54"/>
        <v>0</v>
      </c>
      <c r="AL1540" t="s">
        <v>508</v>
      </c>
      <c r="AP1540" t="s">
        <v>41</v>
      </c>
    </row>
    <row r="1541" spans="1:42">
      <c r="A1541" s="1">
        <v>43787</v>
      </c>
      <c r="B1541">
        <v>1</v>
      </c>
      <c r="C1541">
        <v>506</v>
      </c>
      <c r="D1541">
        <v>11241</v>
      </c>
      <c r="E1541" t="s">
        <v>377</v>
      </c>
      <c r="F1541" t="s">
        <v>38</v>
      </c>
      <c r="H1541">
        <v>31</v>
      </c>
      <c r="I1541" s="25">
        <v>1208</v>
      </c>
      <c r="K1541" t="s">
        <v>391</v>
      </c>
      <c r="N1541" t="s">
        <v>40</v>
      </c>
      <c r="O1541">
        <v>63</v>
      </c>
      <c r="Q1541">
        <f t="shared" si="53"/>
        <v>0</v>
      </c>
      <c r="R1541">
        <v>1</v>
      </c>
      <c r="S1541">
        <v>0</v>
      </c>
      <c r="T1541">
        <v>0</v>
      </c>
      <c r="U1541">
        <v>0</v>
      </c>
      <c r="V1541">
        <v>0</v>
      </c>
      <c r="W1541">
        <v>0</v>
      </c>
      <c r="X1541" s="2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f t="shared" si="54"/>
        <v>0</v>
      </c>
      <c r="AP1541" t="s">
        <v>41</v>
      </c>
    </row>
    <row r="1542" spans="1:42">
      <c r="A1542" s="1">
        <v>43787</v>
      </c>
      <c r="B1542">
        <v>1</v>
      </c>
      <c r="C1542">
        <v>506</v>
      </c>
      <c r="D1542">
        <v>11241</v>
      </c>
      <c r="E1542" t="s">
        <v>377</v>
      </c>
      <c r="F1542" t="s">
        <v>38</v>
      </c>
      <c r="H1542">
        <v>32</v>
      </c>
      <c r="I1542" s="25">
        <v>55</v>
      </c>
      <c r="K1542" t="s">
        <v>509</v>
      </c>
      <c r="N1542" t="s">
        <v>40</v>
      </c>
      <c r="O1542">
        <v>90</v>
      </c>
      <c r="Q1542">
        <f t="shared" si="53"/>
        <v>0</v>
      </c>
      <c r="R1542">
        <v>1</v>
      </c>
      <c r="S1542">
        <v>0</v>
      </c>
      <c r="T1542">
        <v>0</v>
      </c>
      <c r="U1542">
        <v>0</v>
      </c>
      <c r="V1542">
        <v>0</v>
      </c>
      <c r="W1542">
        <v>0</v>
      </c>
      <c r="X1542" s="21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f t="shared" si="54"/>
        <v>0</v>
      </c>
      <c r="AL1542" t="s">
        <v>379</v>
      </c>
      <c r="AP1542" t="s">
        <v>41</v>
      </c>
    </row>
    <row r="1543" spans="1:42">
      <c r="A1543" s="1">
        <v>43787</v>
      </c>
      <c r="B1543">
        <v>1</v>
      </c>
      <c r="C1543">
        <v>506</v>
      </c>
      <c r="D1543">
        <v>11241</v>
      </c>
      <c r="E1543" t="s">
        <v>377</v>
      </c>
      <c r="F1543" t="s">
        <v>38</v>
      </c>
      <c r="H1543">
        <v>33</v>
      </c>
      <c r="I1543" s="25">
        <v>500</v>
      </c>
      <c r="K1543" t="s">
        <v>509</v>
      </c>
      <c r="N1543" t="s">
        <v>40</v>
      </c>
      <c r="O1543">
        <v>83</v>
      </c>
      <c r="Q1543">
        <f t="shared" si="53"/>
        <v>0</v>
      </c>
      <c r="R1543">
        <v>1</v>
      </c>
      <c r="S1543">
        <v>0</v>
      </c>
      <c r="T1543">
        <v>0</v>
      </c>
      <c r="U1543">
        <v>0</v>
      </c>
      <c r="V1543">
        <v>0</v>
      </c>
      <c r="W1543">
        <v>0</v>
      </c>
      <c r="X1543" s="21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f t="shared" si="54"/>
        <v>0</v>
      </c>
      <c r="AP1543" t="s">
        <v>41</v>
      </c>
    </row>
    <row r="1544" spans="1:42">
      <c r="A1544" s="1">
        <v>43787</v>
      </c>
      <c r="B1544">
        <v>1</v>
      </c>
      <c r="C1544">
        <v>506</v>
      </c>
      <c r="D1544">
        <v>11241</v>
      </c>
      <c r="E1544" t="s">
        <v>377</v>
      </c>
      <c r="F1544" t="s">
        <v>38</v>
      </c>
      <c r="H1544">
        <v>34</v>
      </c>
      <c r="I1544" s="25">
        <v>985</v>
      </c>
      <c r="K1544" t="s">
        <v>378</v>
      </c>
      <c r="N1544" t="s">
        <v>42</v>
      </c>
      <c r="O1544">
        <v>135</v>
      </c>
      <c r="Q1544">
        <f t="shared" si="53"/>
        <v>0</v>
      </c>
      <c r="R1544">
        <v>1</v>
      </c>
      <c r="S1544">
        <v>0</v>
      </c>
      <c r="T1544">
        <v>0</v>
      </c>
      <c r="U1544">
        <v>0</v>
      </c>
      <c r="V1544">
        <v>0</v>
      </c>
      <c r="W1544">
        <v>0</v>
      </c>
      <c r="X1544" s="21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f t="shared" si="54"/>
        <v>0</v>
      </c>
      <c r="AP1544" t="s">
        <v>41</v>
      </c>
    </row>
    <row r="1545" spans="1:42">
      <c r="A1545" s="1">
        <v>43787</v>
      </c>
      <c r="B1545">
        <v>1</v>
      </c>
      <c r="C1545">
        <v>506</v>
      </c>
      <c r="D1545">
        <v>11241</v>
      </c>
      <c r="E1545" t="s">
        <v>377</v>
      </c>
      <c r="F1545" t="s">
        <v>38</v>
      </c>
      <c r="H1545">
        <v>35</v>
      </c>
      <c r="I1545" s="25">
        <v>998</v>
      </c>
      <c r="K1545" t="s">
        <v>378</v>
      </c>
      <c r="N1545" t="s">
        <v>40</v>
      </c>
      <c r="O1545">
        <v>145</v>
      </c>
      <c r="Q1545">
        <f t="shared" si="53"/>
        <v>0</v>
      </c>
      <c r="R1545">
        <v>1</v>
      </c>
      <c r="S1545">
        <v>0</v>
      </c>
      <c r="T1545">
        <v>0</v>
      </c>
      <c r="U1545">
        <v>0</v>
      </c>
      <c r="V1545">
        <v>0</v>
      </c>
      <c r="W1545">
        <v>0</v>
      </c>
      <c r="X1545" s="21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f t="shared" si="54"/>
        <v>0</v>
      </c>
      <c r="AP1545" t="s">
        <v>41</v>
      </c>
    </row>
    <row r="1546" spans="1:42">
      <c r="A1546" s="1">
        <v>43787</v>
      </c>
      <c r="B1546">
        <v>1</v>
      </c>
      <c r="C1546">
        <v>506</v>
      </c>
      <c r="D1546">
        <v>11241</v>
      </c>
      <c r="E1546" t="s">
        <v>377</v>
      </c>
      <c r="F1546" t="s">
        <v>38</v>
      </c>
      <c r="H1546">
        <v>36</v>
      </c>
      <c r="I1546" s="25">
        <v>303</v>
      </c>
      <c r="K1546" t="s">
        <v>380</v>
      </c>
      <c r="N1546" t="s">
        <v>40</v>
      </c>
      <c r="O1546">
        <v>89</v>
      </c>
      <c r="Q1546">
        <f t="shared" si="53"/>
        <v>0</v>
      </c>
      <c r="R1546">
        <v>1</v>
      </c>
      <c r="S1546">
        <v>0</v>
      </c>
      <c r="T1546">
        <v>0</v>
      </c>
      <c r="U1546">
        <v>0</v>
      </c>
      <c r="V1546">
        <v>0</v>
      </c>
      <c r="W1546">
        <v>0</v>
      </c>
      <c r="X1546" s="21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f t="shared" si="54"/>
        <v>0</v>
      </c>
      <c r="AP1546" t="s">
        <v>41</v>
      </c>
    </row>
    <row r="1547" spans="1:42">
      <c r="A1547" s="1">
        <v>43787</v>
      </c>
      <c r="B1547">
        <v>1</v>
      </c>
      <c r="C1547">
        <v>506</v>
      </c>
      <c r="D1547">
        <v>11241</v>
      </c>
      <c r="E1547" t="s">
        <v>377</v>
      </c>
      <c r="F1547" t="s">
        <v>38</v>
      </c>
      <c r="H1547">
        <v>37</v>
      </c>
      <c r="I1547" s="25">
        <v>215</v>
      </c>
      <c r="K1547" t="s">
        <v>387</v>
      </c>
      <c r="N1547" t="s">
        <v>44</v>
      </c>
      <c r="O1547">
        <v>250</v>
      </c>
      <c r="Q1547">
        <f t="shared" si="53"/>
        <v>0</v>
      </c>
      <c r="R1547">
        <v>1</v>
      </c>
      <c r="S1547">
        <v>0</v>
      </c>
      <c r="T1547">
        <v>0</v>
      </c>
      <c r="U1547">
        <v>0</v>
      </c>
      <c r="V1547">
        <v>0</v>
      </c>
      <c r="W1547">
        <v>0</v>
      </c>
      <c r="X1547" s="21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f t="shared" si="54"/>
        <v>0</v>
      </c>
      <c r="AP1547" t="s">
        <v>41</v>
      </c>
    </row>
    <row r="1548" spans="1:42">
      <c r="A1548" s="1">
        <v>43787</v>
      </c>
      <c r="B1548">
        <v>1</v>
      </c>
      <c r="C1548">
        <v>506</v>
      </c>
      <c r="D1548">
        <v>11241</v>
      </c>
      <c r="E1548" t="s">
        <v>377</v>
      </c>
      <c r="F1548" t="s">
        <v>38</v>
      </c>
      <c r="H1548">
        <v>38</v>
      </c>
      <c r="I1548" s="25">
        <v>181</v>
      </c>
      <c r="K1548" t="s">
        <v>387</v>
      </c>
      <c r="N1548" t="s">
        <v>44</v>
      </c>
      <c r="O1548">
        <v>213</v>
      </c>
      <c r="Q1548">
        <f t="shared" si="53"/>
        <v>0</v>
      </c>
      <c r="R1548">
        <v>1</v>
      </c>
      <c r="S1548">
        <v>0</v>
      </c>
      <c r="T1548">
        <v>0</v>
      </c>
      <c r="U1548">
        <v>0</v>
      </c>
      <c r="V1548">
        <v>0</v>
      </c>
      <c r="W1548">
        <v>0</v>
      </c>
      <c r="X1548" s="21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f t="shared" si="54"/>
        <v>0</v>
      </c>
      <c r="AP1548" t="s">
        <v>41</v>
      </c>
    </row>
    <row r="1549" spans="1:42">
      <c r="A1549" s="1">
        <v>43787</v>
      </c>
      <c r="B1549">
        <v>1</v>
      </c>
      <c r="C1549">
        <v>506</v>
      </c>
      <c r="D1549">
        <v>11241</v>
      </c>
      <c r="E1549" t="s">
        <v>377</v>
      </c>
      <c r="F1549" t="s">
        <v>38</v>
      </c>
      <c r="H1549">
        <v>39</v>
      </c>
      <c r="I1549" s="25">
        <v>250</v>
      </c>
      <c r="K1549" t="s">
        <v>391</v>
      </c>
      <c r="N1549" t="s">
        <v>44</v>
      </c>
      <c r="O1549">
        <v>125</v>
      </c>
      <c r="Q1549">
        <f t="shared" si="53"/>
        <v>0</v>
      </c>
      <c r="R1549">
        <v>1</v>
      </c>
      <c r="S1549">
        <v>0</v>
      </c>
      <c r="T1549">
        <v>0</v>
      </c>
      <c r="U1549">
        <v>0</v>
      </c>
      <c r="V1549">
        <v>0</v>
      </c>
      <c r="W1549">
        <v>0</v>
      </c>
      <c r="X1549" s="21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f t="shared" si="54"/>
        <v>0</v>
      </c>
      <c r="AP1549" t="s">
        <v>41</v>
      </c>
    </row>
    <row r="1550" spans="1:42">
      <c r="A1550" s="1">
        <v>43787</v>
      </c>
      <c r="B1550">
        <v>1</v>
      </c>
      <c r="C1550">
        <v>506</v>
      </c>
      <c r="D1550">
        <v>11241</v>
      </c>
      <c r="E1550" t="s">
        <v>377</v>
      </c>
      <c r="F1550" t="s">
        <v>38</v>
      </c>
      <c r="H1550">
        <v>40</v>
      </c>
      <c r="I1550" s="25">
        <v>301</v>
      </c>
      <c r="K1550" t="s">
        <v>391</v>
      </c>
      <c r="N1550" t="s">
        <v>40</v>
      </c>
      <c r="O1550">
        <v>105</v>
      </c>
      <c r="Q1550">
        <f t="shared" si="53"/>
        <v>0</v>
      </c>
      <c r="R1550">
        <v>1</v>
      </c>
      <c r="S1550">
        <v>0</v>
      </c>
      <c r="T1550">
        <v>0</v>
      </c>
      <c r="U1550">
        <v>0</v>
      </c>
      <c r="V1550">
        <v>0</v>
      </c>
      <c r="W1550">
        <v>0</v>
      </c>
      <c r="X1550" s="21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f t="shared" si="54"/>
        <v>0</v>
      </c>
      <c r="AP1550" t="s">
        <v>41</v>
      </c>
    </row>
    <row r="1551" spans="1:42">
      <c r="A1551" s="1">
        <v>43787</v>
      </c>
      <c r="B1551">
        <v>1</v>
      </c>
      <c r="C1551">
        <v>506</v>
      </c>
      <c r="D1551">
        <v>11241</v>
      </c>
      <c r="E1551" t="s">
        <v>377</v>
      </c>
      <c r="F1551" t="s">
        <v>38</v>
      </c>
      <c r="H1551">
        <v>41</v>
      </c>
      <c r="I1551" s="25">
        <v>201</v>
      </c>
      <c r="K1551" t="s">
        <v>394</v>
      </c>
      <c r="N1551" t="s">
        <v>44</v>
      </c>
      <c r="O1551">
        <v>245</v>
      </c>
      <c r="Q1551">
        <f t="shared" si="53"/>
        <v>0</v>
      </c>
      <c r="R1551">
        <v>1</v>
      </c>
      <c r="S1551">
        <v>0</v>
      </c>
      <c r="T1551">
        <v>0</v>
      </c>
      <c r="U1551">
        <v>0</v>
      </c>
      <c r="V1551">
        <v>0</v>
      </c>
      <c r="W1551">
        <v>0</v>
      </c>
      <c r="X1551" s="2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f t="shared" si="54"/>
        <v>0</v>
      </c>
      <c r="AP1551" t="s">
        <v>41</v>
      </c>
    </row>
    <row r="1552" spans="1:42">
      <c r="A1552" s="1">
        <v>43787</v>
      </c>
      <c r="B1552">
        <v>1</v>
      </c>
      <c r="C1552">
        <v>506</v>
      </c>
      <c r="D1552">
        <v>11241</v>
      </c>
      <c r="E1552" t="s">
        <v>377</v>
      </c>
      <c r="F1552" t="s">
        <v>38</v>
      </c>
      <c r="H1552">
        <v>42</v>
      </c>
      <c r="I1552" s="25">
        <v>123</v>
      </c>
      <c r="K1552" t="s">
        <v>394</v>
      </c>
      <c r="N1552" t="s">
        <v>40</v>
      </c>
      <c r="O1552">
        <v>109</v>
      </c>
      <c r="Q1552">
        <f t="shared" si="53"/>
        <v>0</v>
      </c>
      <c r="R1552">
        <v>1</v>
      </c>
      <c r="S1552">
        <v>0</v>
      </c>
      <c r="T1552">
        <v>0</v>
      </c>
      <c r="U1552">
        <v>0</v>
      </c>
      <c r="V1552">
        <v>0</v>
      </c>
      <c r="W1552">
        <v>0</v>
      </c>
      <c r="X1552" s="21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f t="shared" si="54"/>
        <v>0</v>
      </c>
      <c r="AP1552" t="s">
        <v>41</v>
      </c>
    </row>
    <row r="1553" spans="1:42">
      <c r="A1553" s="1">
        <v>43787</v>
      </c>
      <c r="B1553">
        <v>1</v>
      </c>
      <c r="C1553">
        <v>506</v>
      </c>
      <c r="D1553">
        <v>11241</v>
      </c>
      <c r="E1553" t="s">
        <v>377</v>
      </c>
      <c r="F1553" t="s">
        <v>38</v>
      </c>
      <c r="H1553">
        <v>43</v>
      </c>
      <c r="I1553" s="25">
        <v>100</v>
      </c>
      <c r="K1553" t="s">
        <v>384</v>
      </c>
      <c r="N1553" t="s">
        <v>40</v>
      </c>
      <c r="P1553">
        <v>135</v>
      </c>
      <c r="Q1553">
        <f t="shared" si="53"/>
        <v>0</v>
      </c>
      <c r="R1553">
        <v>3</v>
      </c>
      <c r="S1553">
        <v>0</v>
      </c>
      <c r="T1553">
        <v>0</v>
      </c>
      <c r="U1553">
        <v>0</v>
      </c>
      <c r="V1553">
        <v>0</v>
      </c>
      <c r="W1553">
        <v>0</v>
      </c>
      <c r="X1553" s="21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f t="shared" si="54"/>
        <v>0</v>
      </c>
      <c r="AP1553" t="s">
        <v>41</v>
      </c>
    </row>
    <row r="1554" spans="1:42">
      <c r="A1554" s="1">
        <v>43787</v>
      </c>
      <c r="B1554">
        <v>1</v>
      </c>
      <c r="C1554">
        <v>506</v>
      </c>
      <c r="D1554">
        <v>11241</v>
      </c>
      <c r="E1554" t="s">
        <v>377</v>
      </c>
      <c r="F1554" t="s">
        <v>38</v>
      </c>
      <c r="H1554">
        <v>44</v>
      </c>
      <c r="I1554" s="25">
        <v>201</v>
      </c>
      <c r="K1554" t="s">
        <v>384</v>
      </c>
      <c r="N1554" t="s">
        <v>44</v>
      </c>
      <c r="O1554">
        <v>91</v>
      </c>
      <c r="Q1554">
        <f t="shared" si="53"/>
        <v>0</v>
      </c>
      <c r="R1554">
        <v>1</v>
      </c>
      <c r="S1554">
        <v>0</v>
      </c>
      <c r="T1554">
        <v>0</v>
      </c>
      <c r="U1554">
        <v>0</v>
      </c>
      <c r="V1554">
        <v>0</v>
      </c>
      <c r="W1554">
        <v>0</v>
      </c>
      <c r="X1554" s="21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f t="shared" si="54"/>
        <v>0</v>
      </c>
      <c r="AP1554" t="s">
        <v>41</v>
      </c>
    </row>
    <row r="1555" spans="1:42">
      <c r="A1555" s="1">
        <v>43787</v>
      </c>
      <c r="B1555">
        <v>1</v>
      </c>
      <c r="C1555">
        <v>506</v>
      </c>
      <c r="D1555">
        <v>11241</v>
      </c>
      <c r="E1555" t="s">
        <v>377</v>
      </c>
      <c r="F1555" t="s">
        <v>38</v>
      </c>
      <c r="H1555">
        <v>45</v>
      </c>
      <c r="I1555" s="25">
        <v>221</v>
      </c>
      <c r="K1555" t="s">
        <v>384</v>
      </c>
      <c r="N1555" t="s">
        <v>44</v>
      </c>
      <c r="O1555">
        <v>61</v>
      </c>
      <c r="Q1555">
        <f t="shared" si="53"/>
        <v>0</v>
      </c>
      <c r="R1555">
        <v>1</v>
      </c>
      <c r="S1555">
        <v>0</v>
      </c>
      <c r="T1555">
        <v>0</v>
      </c>
      <c r="U1555">
        <v>0</v>
      </c>
      <c r="V1555">
        <v>0</v>
      </c>
      <c r="W1555">
        <v>0</v>
      </c>
      <c r="X1555" s="21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f t="shared" si="54"/>
        <v>0</v>
      </c>
      <c r="AP1555" t="s">
        <v>41</v>
      </c>
    </row>
    <row r="1556" spans="1:42">
      <c r="A1556" s="1">
        <v>43787</v>
      </c>
      <c r="B1556">
        <v>1</v>
      </c>
      <c r="C1556">
        <v>506</v>
      </c>
      <c r="D1556">
        <v>11241</v>
      </c>
      <c r="E1556" t="s">
        <v>377</v>
      </c>
      <c r="F1556" t="s">
        <v>38</v>
      </c>
      <c r="H1556">
        <v>46</v>
      </c>
      <c r="I1556" s="25">
        <v>2</v>
      </c>
      <c r="K1556" t="s">
        <v>107</v>
      </c>
      <c r="N1556" t="s">
        <v>44</v>
      </c>
      <c r="O1556">
        <v>112</v>
      </c>
      <c r="Q1556">
        <f t="shared" si="53"/>
        <v>0</v>
      </c>
      <c r="R1556">
        <v>1</v>
      </c>
      <c r="S1556">
        <v>0</v>
      </c>
      <c r="T1556">
        <v>0</v>
      </c>
      <c r="U1556">
        <v>0</v>
      </c>
      <c r="V1556">
        <v>0</v>
      </c>
      <c r="W1556">
        <v>0</v>
      </c>
      <c r="X1556" s="21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f t="shared" si="54"/>
        <v>0</v>
      </c>
      <c r="AP1556" t="s">
        <v>41</v>
      </c>
    </row>
    <row r="1557" spans="1:42">
      <c r="A1557" s="1">
        <v>43787</v>
      </c>
      <c r="B1557">
        <v>1</v>
      </c>
      <c r="C1557">
        <v>506</v>
      </c>
      <c r="D1557">
        <v>11241</v>
      </c>
      <c r="E1557" t="s">
        <v>377</v>
      </c>
      <c r="F1557" t="s">
        <v>38</v>
      </c>
      <c r="H1557">
        <v>47</v>
      </c>
      <c r="I1557" s="25">
        <v>333</v>
      </c>
      <c r="K1557" t="s">
        <v>383</v>
      </c>
      <c r="N1557" t="s">
        <v>40</v>
      </c>
      <c r="O1557">
        <v>99</v>
      </c>
      <c r="Q1557">
        <f t="shared" si="53"/>
        <v>0</v>
      </c>
      <c r="R1557">
        <v>1</v>
      </c>
      <c r="S1557">
        <v>0</v>
      </c>
      <c r="T1557">
        <v>0</v>
      </c>
      <c r="U1557">
        <v>0</v>
      </c>
      <c r="V1557">
        <v>0</v>
      </c>
      <c r="W1557">
        <v>0</v>
      </c>
      <c r="X1557" s="21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f t="shared" si="54"/>
        <v>0</v>
      </c>
      <c r="AP1557" t="s">
        <v>41</v>
      </c>
    </row>
    <row r="1558" spans="1:42">
      <c r="A1558" s="1">
        <v>43787</v>
      </c>
      <c r="B1558">
        <v>1</v>
      </c>
      <c r="C1558">
        <v>506</v>
      </c>
      <c r="D1558">
        <v>11241</v>
      </c>
      <c r="E1558" t="s">
        <v>377</v>
      </c>
      <c r="F1558" t="s">
        <v>38</v>
      </c>
      <c r="H1558">
        <v>48</v>
      </c>
      <c r="I1558" s="25">
        <v>405</v>
      </c>
      <c r="K1558" t="s">
        <v>391</v>
      </c>
      <c r="N1558" t="s">
        <v>44</v>
      </c>
      <c r="O1558">
        <v>185</v>
      </c>
      <c r="Q1558">
        <f t="shared" si="53"/>
        <v>0</v>
      </c>
      <c r="R1558">
        <v>1</v>
      </c>
      <c r="S1558">
        <v>0</v>
      </c>
      <c r="T1558">
        <v>0</v>
      </c>
      <c r="U1558">
        <v>0</v>
      </c>
      <c r="V1558">
        <v>0</v>
      </c>
      <c r="W1558">
        <v>0</v>
      </c>
      <c r="X1558" s="21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f t="shared" si="54"/>
        <v>0</v>
      </c>
      <c r="AL1558" t="s">
        <v>510</v>
      </c>
      <c r="AP1558" t="s">
        <v>41</v>
      </c>
    </row>
    <row r="1559" spans="1:42">
      <c r="A1559" s="1">
        <v>43787</v>
      </c>
      <c r="B1559">
        <v>1</v>
      </c>
      <c r="C1559">
        <v>506</v>
      </c>
      <c r="D1559">
        <v>11241</v>
      </c>
      <c r="E1559" t="s">
        <v>377</v>
      </c>
      <c r="F1559" t="s">
        <v>38</v>
      </c>
      <c r="H1559">
        <v>49</v>
      </c>
      <c r="I1559" s="25">
        <v>140</v>
      </c>
      <c r="K1559" t="s">
        <v>399</v>
      </c>
      <c r="N1559" t="s">
        <v>40</v>
      </c>
      <c r="O1559">
        <v>80</v>
      </c>
      <c r="Q1559">
        <f t="shared" si="53"/>
        <v>0</v>
      </c>
      <c r="R1559">
        <v>1</v>
      </c>
      <c r="S1559">
        <v>0</v>
      </c>
      <c r="T1559">
        <v>0</v>
      </c>
      <c r="U1559">
        <v>0</v>
      </c>
      <c r="V1559">
        <v>0</v>
      </c>
      <c r="W1559">
        <v>0</v>
      </c>
      <c r="X1559" s="21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f t="shared" si="54"/>
        <v>0</v>
      </c>
      <c r="AP1559" t="s">
        <v>41</v>
      </c>
    </row>
    <row r="1560" spans="1:42">
      <c r="A1560" s="1">
        <v>43787</v>
      </c>
      <c r="B1560">
        <v>1</v>
      </c>
      <c r="C1560">
        <v>506</v>
      </c>
      <c r="D1560">
        <v>11241</v>
      </c>
      <c r="E1560" t="s">
        <v>377</v>
      </c>
      <c r="F1560" t="s">
        <v>38</v>
      </c>
      <c r="H1560">
        <v>50</v>
      </c>
      <c r="I1560" s="25">
        <v>181</v>
      </c>
      <c r="K1560" t="s">
        <v>389</v>
      </c>
      <c r="N1560" t="s">
        <v>44</v>
      </c>
      <c r="O1560">
        <v>80</v>
      </c>
      <c r="Q1560">
        <f t="shared" ref="Q1560:Q1606" si="55">SUM(S1560:AC1560)</f>
        <v>0</v>
      </c>
      <c r="R1560">
        <v>1</v>
      </c>
      <c r="S1560">
        <v>0</v>
      </c>
      <c r="T1560">
        <v>0</v>
      </c>
      <c r="U1560">
        <v>0</v>
      </c>
      <c r="V1560">
        <v>0</v>
      </c>
      <c r="W1560">
        <v>0</v>
      </c>
      <c r="X1560" s="21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f t="shared" ref="AH1560:AH1606" si="56">(S1560*16)+(T1560*20)+(U1560*32)+(V1560*64)+(W1560*96)</f>
        <v>0</v>
      </c>
      <c r="AP1560" t="s">
        <v>41</v>
      </c>
    </row>
    <row r="1561" spans="1:42">
      <c r="A1561" s="1">
        <v>43787</v>
      </c>
      <c r="B1561">
        <v>1</v>
      </c>
      <c r="C1561">
        <v>506</v>
      </c>
      <c r="D1561">
        <v>11241</v>
      </c>
      <c r="E1561" t="s">
        <v>377</v>
      </c>
      <c r="F1561" t="s">
        <v>38</v>
      </c>
      <c r="H1561">
        <v>51</v>
      </c>
      <c r="I1561" s="25">
        <v>151</v>
      </c>
      <c r="K1561" t="s">
        <v>389</v>
      </c>
      <c r="N1561" t="s">
        <v>44</v>
      </c>
      <c r="O1561">
        <v>80</v>
      </c>
      <c r="Q1561">
        <f t="shared" si="55"/>
        <v>0</v>
      </c>
      <c r="R1561">
        <v>1</v>
      </c>
      <c r="S1561">
        <v>0</v>
      </c>
      <c r="T1561">
        <v>0</v>
      </c>
      <c r="U1561">
        <v>0</v>
      </c>
      <c r="V1561">
        <v>0</v>
      </c>
      <c r="W1561">
        <v>0</v>
      </c>
      <c r="X1561" s="2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f t="shared" si="56"/>
        <v>0</v>
      </c>
      <c r="AP1561" t="s">
        <v>41</v>
      </c>
    </row>
    <row r="1562" spans="1:42">
      <c r="A1562" s="1">
        <v>43787</v>
      </c>
      <c r="B1562">
        <v>1</v>
      </c>
      <c r="C1562">
        <v>506</v>
      </c>
      <c r="D1562">
        <v>11241</v>
      </c>
      <c r="E1562" t="s">
        <v>377</v>
      </c>
      <c r="F1562" t="s">
        <v>38</v>
      </c>
      <c r="H1562">
        <v>52</v>
      </c>
      <c r="I1562" s="25">
        <v>75</v>
      </c>
      <c r="K1562" t="s">
        <v>398</v>
      </c>
      <c r="N1562" t="s">
        <v>40</v>
      </c>
      <c r="O1562">
        <v>35</v>
      </c>
      <c r="Q1562">
        <f t="shared" si="55"/>
        <v>0</v>
      </c>
      <c r="R1562">
        <v>1</v>
      </c>
      <c r="S1562">
        <v>0</v>
      </c>
      <c r="T1562">
        <v>0</v>
      </c>
      <c r="U1562">
        <v>0</v>
      </c>
      <c r="V1562">
        <v>0</v>
      </c>
      <c r="W1562">
        <v>0</v>
      </c>
      <c r="X1562" s="21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f t="shared" si="56"/>
        <v>0</v>
      </c>
      <c r="AP1562" t="s">
        <v>41</v>
      </c>
    </row>
    <row r="1563" spans="1:42">
      <c r="A1563" s="1">
        <v>43787</v>
      </c>
      <c r="B1563">
        <v>1</v>
      </c>
      <c r="C1563">
        <v>506</v>
      </c>
      <c r="D1563">
        <v>11241</v>
      </c>
      <c r="E1563" t="s">
        <v>377</v>
      </c>
      <c r="F1563" t="s">
        <v>38</v>
      </c>
      <c r="H1563">
        <v>53</v>
      </c>
      <c r="I1563" s="25">
        <v>55</v>
      </c>
      <c r="K1563" t="s">
        <v>398</v>
      </c>
      <c r="N1563" t="s">
        <v>44</v>
      </c>
      <c r="O1563">
        <v>135</v>
      </c>
      <c r="Q1563">
        <f t="shared" si="55"/>
        <v>0</v>
      </c>
      <c r="R1563">
        <v>1</v>
      </c>
      <c r="S1563">
        <v>0</v>
      </c>
      <c r="T1563">
        <v>0</v>
      </c>
      <c r="U1563">
        <v>0</v>
      </c>
      <c r="V1563">
        <v>0</v>
      </c>
      <c r="W1563">
        <v>0</v>
      </c>
      <c r="X1563" s="21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f t="shared" si="56"/>
        <v>0</v>
      </c>
      <c r="AP1563" t="s">
        <v>41</v>
      </c>
    </row>
    <row r="1564" spans="1:42">
      <c r="A1564" s="1">
        <v>43787</v>
      </c>
      <c r="B1564">
        <v>1</v>
      </c>
      <c r="C1564">
        <v>506</v>
      </c>
      <c r="D1564">
        <v>11241</v>
      </c>
      <c r="E1564" t="s">
        <v>377</v>
      </c>
      <c r="F1564" t="s">
        <v>38</v>
      </c>
      <c r="H1564">
        <v>54</v>
      </c>
      <c r="I1564" s="25">
        <v>100</v>
      </c>
      <c r="K1564" t="s">
        <v>403</v>
      </c>
      <c r="N1564" t="s">
        <v>40</v>
      </c>
      <c r="O1564">
        <v>111</v>
      </c>
      <c r="Q1564">
        <f t="shared" si="55"/>
        <v>0</v>
      </c>
      <c r="R1564">
        <v>1</v>
      </c>
      <c r="S1564">
        <v>0</v>
      </c>
      <c r="T1564">
        <v>0</v>
      </c>
      <c r="U1564">
        <v>0</v>
      </c>
      <c r="V1564">
        <v>0</v>
      </c>
      <c r="W1564">
        <v>0</v>
      </c>
      <c r="X1564" s="21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f t="shared" si="56"/>
        <v>0</v>
      </c>
      <c r="AP1564" t="s">
        <v>41</v>
      </c>
    </row>
    <row r="1565" spans="1:42">
      <c r="A1565" s="1">
        <v>43787</v>
      </c>
      <c r="B1565">
        <v>1</v>
      </c>
      <c r="C1565">
        <v>506</v>
      </c>
      <c r="D1565">
        <v>11241</v>
      </c>
      <c r="E1565" t="s">
        <v>377</v>
      </c>
      <c r="F1565" t="s">
        <v>38</v>
      </c>
      <c r="H1565">
        <v>55</v>
      </c>
      <c r="I1565" s="25">
        <v>535</v>
      </c>
      <c r="K1565" t="s">
        <v>394</v>
      </c>
      <c r="N1565" t="s">
        <v>40</v>
      </c>
      <c r="O1565">
        <v>60</v>
      </c>
      <c r="Q1565">
        <f t="shared" si="55"/>
        <v>0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0</v>
      </c>
      <c r="X1565" s="21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f t="shared" si="56"/>
        <v>0</v>
      </c>
      <c r="AP1565" t="s">
        <v>41</v>
      </c>
    </row>
    <row r="1566" spans="1:42">
      <c r="A1566" s="1">
        <v>43787</v>
      </c>
      <c r="B1566">
        <v>1</v>
      </c>
      <c r="C1566">
        <v>506</v>
      </c>
      <c r="D1566">
        <v>11241</v>
      </c>
      <c r="E1566" t="s">
        <v>377</v>
      </c>
      <c r="F1566" t="s">
        <v>38</v>
      </c>
      <c r="H1566">
        <v>56</v>
      </c>
      <c r="I1566" s="25">
        <v>101</v>
      </c>
      <c r="K1566" t="s">
        <v>380</v>
      </c>
      <c r="N1566" t="s">
        <v>40</v>
      </c>
      <c r="O1566">
        <v>266</v>
      </c>
      <c r="Q1566">
        <f t="shared" si="55"/>
        <v>0</v>
      </c>
      <c r="R1566">
        <v>1</v>
      </c>
      <c r="S1566">
        <v>0</v>
      </c>
      <c r="T1566">
        <v>0</v>
      </c>
      <c r="U1566">
        <v>0</v>
      </c>
      <c r="V1566">
        <v>0</v>
      </c>
      <c r="W1566">
        <v>0</v>
      </c>
      <c r="X1566" s="21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f t="shared" si="56"/>
        <v>0</v>
      </c>
      <c r="AP1566" t="s">
        <v>41</v>
      </c>
    </row>
    <row r="1567" spans="1:42">
      <c r="A1567" s="1">
        <v>43787</v>
      </c>
      <c r="B1567">
        <v>1</v>
      </c>
      <c r="C1567">
        <v>506</v>
      </c>
      <c r="D1567">
        <v>11241</v>
      </c>
      <c r="E1567" t="s">
        <v>377</v>
      </c>
      <c r="F1567" t="s">
        <v>38</v>
      </c>
      <c r="H1567">
        <v>57</v>
      </c>
      <c r="I1567" s="25">
        <v>25</v>
      </c>
      <c r="K1567" t="s">
        <v>501</v>
      </c>
      <c r="N1567" t="s">
        <v>40</v>
      </c>
      <c r="O1567">
        <v>120</v>
      </c>
      <c r="Q1567">
        <f t="shared" si="55"/>
        <v>0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 s="21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f t="shared" si="56"/>
        <v>0</v>
      </c>
      <c r="AP1567" t="s">
        <v>41</v>
      </c>
    </row>
    <row r="1568" spans="1:42">
      <c r="A1568" s="1">
        <v>43787</v>
      </c>
      <c r="B1568">
        <v>1</v>
      </c>
      <c r="C1568">
        <v>506</v>
      </c>
      <c r="D1568">
        <v>11241</v>
      </c>
      <c r="E1568" t="s">
        <v>377</v>
      </c>
      <c r="F1568" t="s">
        <v>38</v>
      </c>
      <c r="H1568">
        <v>58</v>
      </c>
      <c r="I1568" s="25">
        <v>500</v>
      </c>
      <c r="K1568" t="s">
        <v>391</v>
      </c>
      <c r="N1568" t="s">
        <v>40</v>
      </c>
      <c r="O1568">
        <v>68</v>
      </c>
      <c r="Q1568">
        <f t="shared" si="55"/>
        <v>0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0</v>
      </c>
      <c r="X1568" s="21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f t="shared" si="56"/>
        <v>0</v>
      </c>
      <c r="AL1568" t="s">
        <v>511</v>
      </c>
      <c r="AP1568" t="s">
        <v>41</v>
      </c>
    </row>
    <row r="1569" spans="1:42">
      <c r="A1569" s="1">
        <v>43787</v>
      </c>
      <c r="B1569">
        <v>1</v>
      </c>
      <c r="C1569">
        <v>506</v>
      </c>
      <c r="D1569">
        <v>11241</v>
      </c>
      <c r="E1569" t="s">
        <v>377</v>
      </c>
      <c r="F1569" t="s">
        <v>38</v>
      </c>
      <c r="H1569">
        <v>59</v>
      </c>
      <c r="I1569" s="25">
        <v>425</v>
      </c>
      <c r="K1569" t="s">
        <v>394</v>
      </c>
      <c r="N1569" t="s">
        <v>40</v>
      </c>
      <c r="O1569">
        <v>68</v>
      </c>
      <c r="Q1569">
        <f t="shared" si="55"/>
        <v>0</v>
      </c>
      <c r="R1569">
        <v>1</v>
      </c>
      <c r="S1569">
        <v>0</v>
      </c>
      <c r="T1569">
        <v>0</v>
      </c>
      <c r="U1569">
        <v>0</v>
      </c>
      <c r="V1569">
        <v>0</v>
      </c>
      <c r="W1569">
        <v>0</v>
      </c>
      <c r="X1569" s="21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f t="shared" si="56"/>
        <v>0</v>
      </c>
      <c r="AP1569" t="s">
        <v>41</v>
      </c>
    </row>
    <row r="1570" spans="1:42">
      <c r="A1570" s="1">
        <v>43787</v>
      </c>
      <c r="B1570">
        <v>1</v>
      </c>
      <c r="C1570">
        <v>506</v>
      </c>
      <c r="D1570">
        <v>11241</v>
      </c>
      <c r="E1570" t="s">
        <v>377</v>
      </c>
      <c r="F1570" t="s">
        <v>38</v>
      </c>
      <c r="H1570">
        <v>60</v>
      </c>
      <c r="I1570" s="25">
        <v>400</v>
      </c>
      <c r="K1570" t="s">
        <v>391</v>
      </c>
      <c r="N1570" t="s">
        <v>40</v>
      </c>
      <c r="O1570">
        <v>58</v>
      </c>
      <c r="Q1570">
        <f t="shared" si="55"/>
        <v>0</v>
      </c>
      <c r="R1570">
        <v>1</v>
      </c>
      <c r="S1570">
        <v>0</v>
      </c>
      <c r="T1570">
        <v>0</v>
      </c>
      <c r="U1570">
        <v>0</v>
      </c>
      <c r="V1570">
        <v>0</v>
      </c>
      <c r="W1570">
        <v>0</v>
      </c>
      <c r="X1570" s="21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f t="shared" si="56"/>
        <v>0</v>
      </c>
      <c r="AP1570" t="s">
        <v>41</v>
      </c>
    </row>
    <row r="1571" spans="1:42">
      <c r="A1571" s="1">
        <v>43787</v>
      </c>
      <c r="B1571">
        <v>1</v>
      </c>
      <c r="C1571">
        <v>506</v>
      </c>
      <c r="D1571">
        <v>11241</v>
      </c>
      <c r="E1571" t="s">
        <v>377</v>
      </c>
      <c r="F1571" t="s">
        <v>38</v>
      </c>
      <c r="H1571">
        <v>61</v>
      </c>
      <c r="I1571" s="25">
        <v>201</v>
      </c>
      <c r="K1571" t="s">
        <v>389</v>
      </c>
      <c r="N1571" t="s">
        <v>40</v>
      </c>
      <c r="O1571">
        <v>100</v>
      </c>
      <c r="Q1571">
        <f t="shared" si="55"/>
        <v>0</v>
      </c>
      <c r="R1571">
        <v>1</v>
      </c>
      <c r="S1571">
        <v>0</v>
      </c>
      <c r="T1571">
        <v>0</v>
      </c>
      <c r="U1571">
        <v>0</v>
      </c>
      <c r="V1571">
        <v>0</v>
      </c>
      <c r="W1571">
        <v>0</v>
      </c>
      <c r="X1571" s="2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f t="shared" si="56"/>
        <v>0</v>
      </c>
      <c r="AP1571" t="s">
        <v>41</v>
      </c>
    </row>
    <row r="1572" spans="1:42">
      <c r="A1572" s="1">
        <v>43787</v>
      </c>
      <c r="B1572">
        <v>1</v>
      </c>
      <c r="C1572">
        <v>506</v>
      </c>
      <c r="D1572">
        <v>11241</v>
      </c>
      <c r="E1572" t="s">
        <v>377</v>
      </c>
      <c r="F1572" t="s">
        <v>38</v>
      </c>
      <c r="H1572">
        <v>62</v>
      </c>
      <c r="I1572" s="25">
        <v>737</v>
      </c>
      <c r="K1572" t="s">
        <v>389</v>
      </c>
      <c r="N1572" t="s">
        <v>44</v>
      </c>
      <c r="O1572">
        <v>331</v>
      </c>
      <c r="Q1572">
        <f t="shared" si="55"/>
        <v>0</v>
      </c>
      <c r="R1572">
        <v>1</v>
      </c>
      <c r="S1572">
        <v>0</v>
      </c>
      <c r="T1572">
        <v>0</v>
      </c>
      <c r="U1572">
        <v>0</v>
      </c>
      <c r="V1572">
        <v>0</v>
      </c>
      <c r="W1572">
        <v>0</v>
      </c>
      <c r="X1572" s="21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f t="shared" si="56"/>
        <v>0</v>
      </c>
      <c r="AL1572" t="s">
        <v>512</v>
      </c>
      <c r="AP1572" t="s">
        <v>41</v>
      </c>
    </row>
    <row r="1573" spans="1:42">
      <c r="A1573" s="1">
        <v>43787</v>
      </c>
      <c r="B1573">
        <v>1</v>
      </c>
      <c r="C1573">
        <v>506</v>
      </c>
      <c r="D1573">
        <v>11241</v>
      </c>
      <c r="E1573" t="s">
        <v>377</v>
      </c>
      <c r="F1573" t="s">
        <v>38</v>
      </c>
      <c r="H1573">
        <v>63</v>
      </c>
      <c r="I1573" s="25">
        <v>55</v>
      </c>
      <c r="K1573" t="s">
        <v>406</v>
      </c>
      <c r="N1573" t="s">
        <v>44</v>
      </c>
      <c r="O1573">
        <v>331</v>
      </c>
      <c r="Q1573">
        <f t="shared" si="55"/>
        <v>0</v>
      </c>
      <c r="R1573">
        <v>1</v>
      </c>
      <c r="S1573">
        <v>0</v>
      </c>
      <c r="T1573">
        <v>0</v>
      </c>
      <c r="U1573">
        <v>0</v>
      </c>
      <c r="V1573">
        <v>0</v>
      </c>
      <c r="W1573">
        <v>0</v>
      </c>
      <c r="X1573" s="21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f t="shared" si="56"/>
        <v>0</v>
      </c>
      <c r="AL1573" t="s">
        <v>513</v>
      </c>
      <c r="AP1573" t="s">
        <v>41</v>
      </c>
    </row>
    <row r="1574" spans="1:42">
      <c r="A1574" s="1">
        <v>43787</v>
      </c>
      <c r="B1574">
        <v>1</v>
      </c>
      <c r="C1574">
        <v>506</v>
      </c>
      <c r="D1574">
        <v>11241</v>
      </c>
      <c r="E1574" t="s">
        <v>377</v>
      </c>
      <c r="F1574" t="s">
        <v>38</v>
      </c>
      <c r="H1574">
        <v>64</v>
      </c>
      <c r="I1574" s="25">
        <v>680</v>
      </c>
      <c r="K1574" t="s">
        <v>107</v>
      </c>
      <c r="N1574" t="s">
        <v>44</v>
      </c>
      <c r="O1574">
        <v>293</v>
      </c>
      <c r="Q1574">
        <f t="shared" si="55"/>
        <v>0</v>
      </c>
      <c r="R1574">
        <v>1</v>
      </c>
      <c r="S1574">
        <v>0</v>
      </c>
      <c r="T1574">
        <v>0</v>
      </c>
      <c r="U1574">
        <v>0</v>
      </c>
      <c r="V1574">
        <v>0</v>
      </c>
      <c r="W1574">
        <v>0</v>
      </c>
      <c r="X1574" s="21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f t="shared" si="56"/>
        <v>0</v>
      </c>
      <c r="AL1574" t="s">
        <v>514</v>
      </c>
      <c r="AP1574" t="s">
        <v>41</v>
      </c>
    </row>
    <row r="1575" spans="1:42">
      <c r="A1575" s="1">
        <v>43787</v>
      </c>
      <c r="B1575">
        <v>1</v>
      </c>
      <c r="C1575">
        <v>506</v>
      </c>
      <c r="D1575">
        <v>11241</v>
      </c>
      <c r="E1575" t="s">
        <v>377</v>
      </c>
      <c r="F1575" t="s">
        <v>38</v>
      </c>
      <c r="H1575">
        <v>65</v>
      </c>
      <c r="I1575" s="25">
        <v>666</v>
      </c>
      <c r="K1575" t="s">
        <v>394</v>
      </c>
      <c r="N1575" t="s">
        <v>44</v>
      </c>
      <c r="O1575">
        <v>122</v>
      </c>
      <c r="Q1575">
        <f t="shared" si="55"/>
        <v>0</v>
      </c>
      <c r="R1575">
        <v>1</v>
      </c>
      <c r="S1575">
        <v>0</v>
      </c>
      <c r="T1575">
        <v>0</v>
      </c>
      <c r="U1575">
        <v>0</v>
      </c>
      <c r="V1575">
        <v>0</v>
      </c>
      <c r="W1575">
        <v>0</v>
      </c>
      <c r="X1575" s="21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f t="shared" si="56"/>
        <v>0</v>
      </c>
      <c r="AP1575" t="s">
        <v>41</v>
      </c>
    </row>
    <row r="1576" spans="1:42">
      <c r="A1576" s="1">
        <v>43787</v>
      </c>
      <c r="B1576">
        <v>1</v>
      </c>
      <c r="C1576">
        <v>506</v>
      </c>
      <c r="D1576">
        <v>11241</v>
      </c>
      <c r="E1576" t="s">
        <v>377</v>
      </c>
      <c r="F1576" t="s">
        <v>38</v>
      </c>
      <c r="H1576">
        <v>66</v>
      </c>
      <c r="I1576" s="25">
        <v>71</v>
      </c>
      <c r="K1576" t="s">
        <v>389</v>
      </c>
      <c r="N1576" t="s">
        <v>44</v>
      </c>
      <c r="O1576">
        <v>122</v>
      </c>
      <c r="Q1576">
        <f t="shared" si="55"/>
        <v>0</v>
      </c>
      <c r="R1576">
        <v>1</v>
      </c>
      <c r="S1576">
        <v>0</v>
      </c>
      <c r="T1576">
        <v>0</v>
      </c>
      <c r="U1576">
        <v>0</v>
      </c>
      <c r="V1576">
        <v>0</v>
      </c>
      <c r="W1576">
        <v>0</v>
      </c>
      <c r="X1576" s="21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f t="shared" si="56"/>
        <v>0</v>
      </c>
      <c r="AP1576" t="s">
        <v>41</v>
      </c>
    </row>
    <row r="1577" spans="1:42">
      <c r="A1577" s="1">
        <v>43787</v>
      </c>
      <c r="B1577">
        <v>1</v>
      </c>
      <c r="C1577">
        <v>506</v>
      </c>
      <c r="D1577">
        <v>11241</v>
      </c>
      <c r="E1577" t="s">
        <v>377</v>
      </c>
      <c r="F1577" t="s">
        <v>38</v>
      </c>
      <c r="H1577">
        <v>67</v>
      </c>
      <c r="I1577" s="25">
        <v>2</v>
      </c>
      <c r="K1577" t="s">
        <v>399</v>
      </c>
      <c r="N1577" t="s">
        <v>40</v>
      </c>
      <c r="O1577">
        <v>77</v>
      </c>
      <c r="Q1577">
        <f t="shared" si="55"/>
        <v>0</v>
      </c>
      <c r="R1577">
        <v>1</v>
      </c>
      <c r="S1577">
        <v>0</v>
      </c>
      <c r="T1577">
        <v>0</v>
      </c>
      <c r="U1577">
        <v>0</v>
      </c>
      <c r="V1577">
        <v>0</v>
      </c>
      <c r="W1577">
        <v>0</v>
      </c>
      <c r="X1577" s="21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f t="shared" si="56"/>
        <v>0</v>
      </c>
      <c r="AP1577" t="s">
        <v>41</v>
      </c>
    </row>
    <row r="1578" spans="1:42">
      <c r="A1578" s="1">
        <v>43787</v>
      </c>
      <c r="B1578">
        <v>1</v>
      </c>
      <c r="C1578">
        <v>506</v>
      </c>
      <c r="D1578">
        <v>11241</v>
      </c>
      <c r="E1578" t="s">
        <v>377</v>
      </c>
      <c r="F1578" t="s">
        <v>38</v>
      </c>
      <c r="H1578">
        <v>68</v>
      </c>
      <c r="I1578" s="25">
        <v>85</v>
      </c>
      <c r="K1578" t="s">
        <v>73</v>
      </c>
      <c r="N1578" t="s">
        <v>40</v>
      </c>
      <c r="O1578">
        <v>218</v>
      </c>
      <c r="Q1578">
        <f t="shared" si="55"/>
        <v>0</v>
      </c>
      <c r="R1578">
        <v>1</v>
      </c>
      <c r="S1578">
        <v>0</v>
      </c>
      <c r="T1578">
        <v>0</v>
      </c>
      <c r="U1578">
        <v>0</v>
      </c>
      <c r="V1578">
        <v>0</v>
      </c>
      <c r="W1578">
        <v>0</v>
      </c>
      <c r="X1578" s="21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f t="shared" si="56"/>
        <v>0</v>
      </c>
      <c r="AP1578" t="s">
        <v>41</v>
      </c>
    </row>
    <row r="1579" spans="1:42">
      <c r="A1579" s="1">
        <v>43787</v>
      </c>
      <c r="B1579">
        <v>1</v>
      </c>
      <c r="C1579">
        <v>506</v>
      </c>
      <c r="D1579">
        <v>11241</v>
      </c>
      <c r="E1579" t="s">
        <v>377</v>
      </c>
      <c r="F1579" t="s">
        <v>38</v>
      </c>
      <c r="H1579">
        <v>69</v>
      </c>
      <c r="I1579" s="25">
        <v>88</v>
      </c>
      <c r="K1579" t="s">
        <v>39</v>
      </c>
      <c r="N1579" t="s">
        <v>40</v>
      </c>
      <c r="O1579">
        <v>111</v>
      </c>
      <c r="Q1579">
        <f t="shared" si="55"/>
        <v>0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X1579" s="21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f t="shared" si="56"/>
        <v>0</v>
      </c>
      <c r="AP1579" t="s">
        <v>41</v>
      </c>
    </row>
    <row r="1580" spans="1:42">
      <c r="A1580" s="1">
        <v>43787</v>
      </c>
      <c r="B1580">
        <v>1</v>
      </c>
      <c r="C1580">
        <v>506</v>
      </c>
      <c r="D1580">
        <v>11241</v>
      </c>
      <c r="E1580" t="s">
        <v>377</v>
      </c>
      <c r="F1580" t="s">
        <v>38</v>
      </c>
      <c r="H1580">
        <v>70</v>
      </c>
      <c r="I1580" s="25">
        <v>55</v>
      </c>
      <c r="K1580" t="s">
        <v>50</v>
      </c>
      <c r="N1580" t="s">
        <v>44</v>
      </c>
      <c r="O1580">
        <v>190</v>
      </c>
      <c r="Q1580">
        <f t="shared" si="55"/>
        <v>0</v>
      </c>
      <c r="R1580">
        <v>1</v>
      </c>
      <c r="S1580">
        <v>0</v>
      </c>
      <c r="T1580">
        <v>0</v>
      </c>
      <c r="U1580">
        <v>0</v>
      </c>
      <c r="V1580">
        <v>0</v>
      </c>
      <c r="W1580">
        <v>0</v>
      </c>
      <c r="X1580" s="21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f t="shared" si="56"/>
        <v>0</v>
      </c>
      <c r="AL1580" t="s">
        <v>515</v>
      </c>
      <c r="AP1580" t="s">
        <v>41</v>
      </c>
    </row>
    <row r="1581" spans="1:42">
      <c r="A1581" s="1">
        <v>43787</v>
      </c>
      <c r="B1581">
        <v>1</v>
      </c>
      <c r="C1581">
        <v>506</v>
      </c>
      <c r="D1581">
        <v>11241</v>
      </c>
      <c r="E1581" t="s">
        <v>377</v>
      </c>
      <c r="F1581" t="s">
        <v>38</v>
      </c>
      <c r="H1581">
        <v>71</v>
      </c>
      <c r="I1581" s="25">
        <v>222</v>
      </c>
      <c r="K1581" t="s">
        <v>102</v>
      </c>
      <c r="N1581" t="s">
        <v>40</v>
      </c>
      <c r="O1581">
        <v>30</v>
      </c>
      <c r="Q1581">
        <f t="shared" si="55"/>
        <v>0</v>
      </c>
      <c r="R1581">
        <v>1</v>
      </c>
      <c r="S1581">
        <v>0</v>
      </c>
      <c r="T1581">
        <v>0</v>
      </c>
      <c r="U1581">
        <v>0</v>
      </c>
      <c r="V1581">
        <v>0</v>
      </c>
      <c r="W1581">
        <v>0</v>
      </c>
      <c r="X1581" s="2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f t="shared" si="56"/>
        <v>0</v>
      </c>
      <c r="AP1581" t="s">
        <v>41</v>
      </c>
    </row>
    <row r="1582" spans="1:42">
      <c r="A1582" s="1">
        <v>43787</v>
      </c>
      <c r="B1582">
        <v>1</v>
      </c>
      <c r="C1582">
        <v>506</v>
      </c>
      <c r="D1582">
        <v>11241</v>
      </c>
      <c r="E1582" t="s">
        <v>377</v>
      </c>
      <c r="F1582" t="s">
        <v>38</v>
      </c>
      <c r="H1582">
        <v>72</v>
      </c>
      <c r="I1582" s="25">
        <v>35</v>
      </c>
      <c r="K1582" t="s">
        <v>407</v>
      </c>
      <c r="N1582" t="s">
        <v>40</v>
      </c>
      <c r="O1582">
        <v>38</v>
      </c>
      <c r="Q1582">
        <f t="shared" si="55"/>
        <v>0</v>
      </c>
      <c r="R1582">
        <v>1</v>
      </c>
      <c r="S1582">
        <v>0</v>
      </c>
      <c r="T1582">
        <v>0</v>
      </c>
      <c r="U1582">
        <v>0</v>
      </c>
      <c r="V1582">
        <v>0</v>
      </c>
      <c r="W1582">
        <v>0</v>
      </c>
      <c r="X1582" s="21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f t="shared" si="56"/>
        <v>0</v>
      </c>
      <c r="AP1582" t="s">
        <v>41</v>
      </c>
    </row>
    <row r="1583" spans="1:42">
      <c r="A1583" s="1">
        <v>43787</v>
      </c>
      <c r="B1583">
        <v>1</v>
      </c>
      <c r="C1583">
        <v>506</v>
      </c>
      <c r="D1583">
        <v>11241</v>
      </c>
      <c r="E1583" t="s">
        <v>377</v>
      </c>
      <c r="F1583" t="s">
        <v>38</v>
      </c>
      <c r="H1583">
        <v>73</v>
      </c>
      <c r="I1583" s="25">
        <v>71</v>
      </c>
      <c r="K1583" t="s">
        <v>100</v>
      </c>
      <c r="N1583" t="s">
        <v>40</v>
      </c>
      <c r="O1583">
        <v>73</v>
      </c>
      <c r="Q1583">
        <f t="shared" si="55"/>
        <v>0</v>
      </c>
      <c r="R1583">
        <v>1</v>
      </c>
      <c r="S1583">
        <v>0</v>
      </c>
      <c r="T1583">
        <v>0</v>
      </c>
      <c r="U1583">
        <v>0</v>
      </c>
      <c r="V1583">
        <v>0</v>
      </c>
      <c r="W1583">
        <v>0</v>
      </c>
      <c r="X1583" s="21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f t="shared" si="56"/>
        <v>0</v>
      </c>
      <c r="AP1583" t="s">
        <v>41</v>
      </c>
    </row>
    <row r="1584" spans="1:42">
      <c r="A1584" s="1">
        <v>43787</v>
      </c>
      <c r="B1584">
        <v>1</v>
      </c>
      <c r="C1584">
        <v>506</v>
      </c>
      <c r="D1584">
        <v>11241</v>
      </c>
      <c r="E1584" t="s">
        <v>377</v>
      </c>
      <c r="F1584" t="s">
        <v>38</v>
      </c>
      <c r="H1584">
        <v>74</v>
      </c>
      <c r="I1584" s="25">
        <v>799</v>
      </c>
      <c r="K1584" t="s">
        <v>73</v>
      </c>
      <c r="N1584" t="s">
        <v>42</v>
      </c>
      <c r="O1584">
        <v>90</v>
      </c>
      <c r="Q1584">
        <f t="shared" si="55"/>
        <v>0</v>
      </c>
      <c r="R1584">
        <v>1</v>
      </c>
      <c r="S1584">
        <v>0</v>
      </c>
      <c r="T1584">
        <v>0</v>
      </c>
      <c r="U1584">
        <v>0</v>
      </c>
      <c r="V1584">
        <v>0</v>
      </c>
      <c r="W1584">
        <v>0</v>
      </c>
      <c r="X1584" s="21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f t="shared" si="56"/>
        <v>0</v>
      </c>
      <c r="AP1584" t="s">
        <v>41</v>
      </c>
    </row>
    <row r="1585" spans="1:42">
      <c r="A1585" s="1">
        <v>43787</v>
      </c>
      <c r="B1585">
        <v>1</v>
      </c>
      <c r="C1585">
        <v>506</v>
      </c>
      <c r="D1585">
        <v>11241</v>
      </c>
      <c r="E1585" t="s">
        <v>377</v>
      </c>
      <c r="F1585" t="s">
        <v>38</v>
      </c>
      <c r="H1585">
        <v>75</v>
      </c>
      <c r="I1585" s="25">
        <v>2212</v>
      </c>
      <c r="K1585" t="s">
        <v>406</v>
      </c>
      <c r="N1585" t="s">
        <v>42</v>
      </c>
      <c r="O1585">
        <v>150</v>
      </c>
      <c r="Q1585">
        <f t="shared" si="55"/>
        <v>0</v>
      </c>
      <c r="R1585">
        <v>1</v>
      </c>
      <c r="S1585">
        <v>0</v>
      </c>
      <c r="T1585">
        <v>0</v>
      </c>
      <c r="U1585">
        <v>0</v>
      </c>
      <c r="V1585">
        <v>0</v>
      </c>
      <c r="W1585">
        <v>0</v>
      </c>
      <c r="X1585" s="21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f t="shared" si="56"/>
        <v>0</v>
      </c>
      <c r="AP1585" t="s">
        <v>41</v>
      </c>
    </row>
    <row r="1586" spans="1:42">
      <c r="A1586" s="1">
        <v>43781</v>
      </c>
      <c r="B1586">
        <v>2</v>
      </c>
      <c r="C1586">
        <v>505</v>
      </c>
      <c r="D1586">
        <v>11241</v>
      </c>
      <c r="E1586" t="s">
        <v>377</v>
      </c>
      <c r="F1586" t="s">
        <v>436</v>
      </c>
      <c r="H1586">
        <v>1</v>
      </c>
      <c r="I1586" s="25">
        <v>85</v>
      </c>
      <c r="K1586" t="s">
        <v>380</v>
      </c>
      <c r="O1586">
        <v>93</v>
      </c>
      <c r="Q1586">
        <f t="shared" si="55"/>
        <v>0</v>
      </c>
      <c r="R1586">
        <v>1</v>
      </c>
      <c r="S1586">
        <v>0</v>
      </c>
      <c r="T1586">
        <v>0</v>
      </c>
      <c r="U1586">
        <v>0</v>
      </c>
      <c r="V1586">
        <v>0</v>
      </c>
      <c r="W1586">
        <v>0</v>
      </c>
      <c r="X1586" s="21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f t="shared" si="56"/>
        <v>0</v>
      </c>
      <c r="AP1586" t="s">
        <v>41</v>
      </c>
    </row>
    <row r="1587" spans="1:42">
      <c r="A1587" s="1">
        <v>43781</v>
      </c>
      <c r="B1587">
        <v>2</v>
      </c>
      <c r="C1587">
        <v>505</v>
      </c>
      <c r="D1587">
        <v>11241</v>
      </c>
      <c r="E1587" t="s">
        <v>377</v>
      </c>
      <c r="F1587" t="s">
        <v>436</v>
      </c>
      <c r="H1587">
        <v>2</v>
      </c>
      <c r="I1587" s="25">
        <v>536</v>
      </c>
      <c r="K1587" t="s">
        <v>394</v>
      </c>
      <c r="O1587">
        <v>131</v>
      </c>
      <c r="Q1587">
        <f t="shared" si="55"/>
        <v>0</v>
      </c>
      <c r="R1587">
        <v>1</v>
      </c>
      <c r="S1587">
        <v>0</v>
      </c>
      <c r="T1587">
        <v>0</v>
      </c>
      <c r="U1587">
        <v>0</v>
      </c>
      <c r="V1587">
        <v>0</v>
      </c>
      <c r="W1587">
        <v>0</v>
      </c>
      <c r="X1587" s="21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f t="shared" si="56"/>
        <v>0</v>
      </c>
      <c r="AP1587" t="s">
        <v>41</v>
      </c>
    </row>
    <row r="1588" spans="1:42">
      <c r="A1588" s="1">
        <v>43781</v>
      </c>
      <c r="B1588">
        <v>2</v>
      </c>
      <c r="C1588">
        <v>505</v>
      </c>
      <c r="D1588">
        <v>11241</v>
      </c>
      <c r="E1588" t="s">
        <v>377</v>
      </c>
      <c r="F1588" t="s">
        <v>436</v>
      </c>
      <c r="H1588">
        <v>3</v>
      </c>
      <c r="I1588" s="25">
        <v>455</v>
      </c>
      <c r="K1588" t="s">
        <v>73</v>
      </c>
      <c r="O1588">
        <v>137</v>
      </c>
      <c r="Q1588">
        <f t="shared" si="55"/>
        <v>0</v>
      </c>
      <c r="R1588">
        <v>1</v>
      </c>
      <c r="S1588">
        <v>0</v>
      </c>
      <c r="T1588">
        <v>0</v>
      </c>
      <c r="U1588">
        <v>0</v>
      </c>
      <c r="V1588">
        <v>0</v>
      </c>
      <c r="W1588">
        <v>0</v>
      </c>
      <c r="X1588" s="21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f t="shared" si="56"/>
        <v>0</v>
      </c>
      <c r="AP1588" t="s">
        <v>41</v>
      </c>
    </row>
    <row r="1589" spans="1:42">
      <c r="A1589" s="1">
        <v>43781</v>
      </c>
      <c r="B1589">
        <v>2</v>
      </c>
      <c r="C1589">
        <v>505</v>
      </c>
      <c r="D1589">
        <v>11241</v>
      </c>
      <c r="E1589" t="s">
        <v>377</v>
      </c>
      <c r="F1589" t="s">
        <v>436</v>
      </c>
      <c r="H1589">
        <v>4</v>
      </c>
      <c r="I1589" s="25">
        <v>45</v>
      </c>
      <c r="K1589" t="s">
        <v>387</v>
      </c>
      <c r="O1589">
        <v>185</v>
      </c>
      <c r="Q1589">
        <f t="shared" si="55"/>
        <v>0</v>
      </c>
      <c r="R1589">
        <v>1</v>
      </c>
      <c r="S1589">
        <v>0</v>
      </c>
      <c r="T1589">
        <v>0</v>
      </c>
      <c r="U1589">
        <v>0</v>
      </c>
      <c r="V1589">
        <v>0</v>
      </c>
      <c r="W1589">
        <v>0</v>
      </c>
      <c r="X1589" s="21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f t="shared" si="56"/>
        <v>0</v>
      </c>
      <c r="AP1589" t="s">
        <v>41</v>
      </c>
    </row>
    <row r="1590" spans="1:42">
      <c r="A1590" s="1">
        <v>43781</v>
      </c>
      <c r="B1590">
        <v>2</v>
      </c>
      <c r="C1590">
        <v>505</v>
      </c>
      <c r="D1590">
        <v>11241</v>
      </c>
      <c r="E1590" t="s">
        <v>377</v>
      </c>
      <c r="F1590" t="s">
        <v>436</v>
      </c>
      <c r="H1590">
        <v>5</v>
      </c>
      <c r="I1590" s="25">
        <v>100</v>
      </c>
      <c r="K1590" t="s">
        <v>56</v>
      </c>
      <c r="O1590">
        <v>80</v>
      </c>
      <c r="Q1590">
        <f t="shared" si="55"/>
        <v>0</v>
      </c>
      <c r="R1590">
        <v>1</v>
      </c>
      <c r="S1590">
        <v>0</v>
      </c>
      <c r="T1590">
        <v>0</v>
      </c>
      <c r="U1590">
        <v>0</v>
      </c>
      <c r="V1590">
        <v>0</v>
      </c>
      <c r="W1590">
        <v>0</v>
      </c>
      <c r="X1590" s="21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f t="shared" si="56"/>
        <v>0</v>
      </c>
      <c r="AP1590" t="s">
        <v>41</v>
      </c>
    </row>
    <row r="1591" spans="1:42">
      <c r="A1591" s="1">
        <v>43781</v>
      </c>
      <c r="B1591">
        <v>2</v>
      </c>
      <c r="C1591">
        <v>505</v>
      </c>
      <c r="D1591">
        <v>11241</v>
      </c>
      <c r="E1591" t="s">
        <v>377</v>
      </c>
      <c r="F1591" t="s">
        <v>436</v>
      </c>
      <c r="H1591">
        <v>6</v>
      </c>
      <c r="I1591" s="25">
        <v>353</v>
      </c>
      <c r="K1591" t="s">
        <v>62</v>
      </c>
      <c r="O1591">
        <v>300</v>
      </c>
      <c r="Q1591">
        <f t="shared" si="55"/>
        <v>0</v>
      </c>
      <c r="R1591">
        <v>1</v>
      </c>
      <c r="S1591">
        <v>0</v>
      </c>
      <c r="T1591">
        <v>0</v>
      </c>
      <c r="U1591">
        <v>0</v>
      </c>
      <c r="V1591">
        <v>0</v>
      </c>
      <c r="W1591">
        <v>0</v>
      </c>
      <c r="X1591" s="2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f t="shared" si="56"/>
        <v>0</v>
      </c>
      <c r="AL1591" t="s">
        <v>379</v>
      </c>
      <c r="AP1591" t="s">
        <v>41</v>
      </c>
    </row>
    <row r="1592" spans="1:42">
      <c r="A1592" s="1">
        <v>43781</v>
      </c>
      <c r="B1592">
        <v>2</v>
      </c>
      <c r="C1592">
        <v>505</v>
      </c>
      <c r="D1592">
        <v>11241</v>
      </c>
      <c r="E1592" t="s">
        <v>377</v>
      </c>
      <c r="F1592" t="s">
        <v>436</v>
      </c>
      <c r="H1592">
        <v>7</v>
      </c>
      <c r="I1592" s="25">
        <v>400</v>
      </c>
      <c r="K1592" t="s">
        <v>56</v>
      </c>
      <c r="O1592">
        <v>215</v>
      </c>
      <c r="Q1592">
        <f t="shared" si="55"/>
        <v>0</v>
      </c>
      <c r="R1592">
        <v>1</v>
      </c>
      <c r="S1592">
        <v>0</v>
      </c>
      <c r="T1592">
        <v>0</v>
      </c>
      <c r="U1592">
        <v>0</v>
      </c>
      <c r="V1592">
        <v>0</v>
      </c>
      <c r="W1592">
        <v>0</v>
      </c>
      <c r="X1592" s="21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f t="shared" si="56"/>
        <v>0</v>
      </c>
      <c r="AP1592" t="s">
        <v>41</v>
      </c>
    </row>
    <row r="1593" spans="1:42">
      <c r="A1593" s="1">
        <v>43781</v>
      </c>
      <c r="B1593">
        <v>2</v>
      </c>
      <c r="C1593">
        <v>505</v>
      </c>
      <c r="D1593">
        <v>11241</v>
      </c>
      <c r="E1593" t="s">
        <v>377</v>
      </c>
      <c r="F1593" t="s">
        <v>436</v>
      </c>
      <c r="H1593">
        <v>8</v>
      </c>
      <c r="I1593" s="25">
        <v>424</v>
      </c>
      <c r="K1593" t="s">
        <v>68</v>
      </c>
      <c r="O1593">
        <v>163</v>
      </c>
      <c r="Q1593">
        <f t="shared" si="55"/>
        <v>0</v>
      </c>
      <c r="R1593">
        <v>1</v>
      </c>
      <c r="S1593">
        <v>0</v>
      </c>
      <c r="T1593">
        <v>0</v>
      </c>
      <c r="U1593">
        <v>0</v>
      </c>
      <c r="V1593">
        <v>0</v>
      </c>
      <c r="W1593">
        <v>0</v>
      </c>
      <c r="X1593" s="21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f t="shared" si="56"/>
        <v>0</v>
      </c>
      <c r="AP1593" t="s">
        <v>41</v>
      </c>
    </row>
    <row r="1594" spans="1:42">
      <c r="A1594" s="1">
        <v>43781</v>
      </c>
      <c r="B1594">
        <v>2</v>
      </c>
      <c r="C1594">
        <v>505</v>
      </c>
      <c r="D1594">
        <v>11241</v>
      </c>
      <c r="E1594" t="s">
        <v>377</v>
      </c>
      <c r="F1594" t="s">
        <v>436</v>
      </c>
      <c r="H1594">
        <v>9</v>
      </c>
      <c r="I1594" s="25">
        <v>500</v>
      </c>
      <c r="K1594" t="s">
        <v>516</v>
      </c>
      <c r="N1594" t="s">
        <v>44</v>
      </c>
      <c r="O1594">
        <v>190</v>
      </c>
      <c r="Q1594">
        <f t="shared" si="55"/>
        <v>0</v>
      </c>
      <c r="R1594">
        <v>1</v>
      </c>
      <c r="S1594">
        <v>0</v>
      </c>
      <c r="T1594">
        <v>0</v>
      </c>
      <c r="U1594">
        <v>0</v>
      </c>
      <c r="V1594">
        <v>0</v>
      </c>
      <c r="W1594">
        <v>0</v>
      </c>
      <c r="X1594" s="21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f t="shared" si="56"/>
        <v>0</v>
      </c>
      <c r="AP1594" t="s">
        <v>41</v>
      </c>
    </row>
    <row r="1595" spans="1:42">
      <c r="A1595" s="1">
        <v>43781</v>
      </c>
      <c r="B1595">
        <v>2</v>
      </c>
      <c r="C1595">
        <v>505</v>
      </c>
      <c r="D1595">
        <v>11241</v>
      </c>
      <c r="E1595" t="s">
        <v>377</v>
      </c>
      <c r="F1595" t="s">
        <v>436</v>
      </c>
      <c r="H1595">
        <v>10</v>
      </c>
      <c r="I1595" s="25">
        <v>50</v>
      </c>
      <c r="K1595" t="s">
        <v>58</v>
      </c>
      <c r="O1595">
        <v>40</v>
      </c>
      <c r="Q1595">
        <f t="shared" si="55"/>
        <v>0</v>
      </c>
      <c r="R1595">
        <v>1</v>
      </c>
      <c r="S1595">
        <v>0</v>
      </c>
      <c r="T1595">
        <v>0</v>
      </c>
      <c r="U1595">
        <v>0</v>
      </c>
      <c r="V1595">
        <v>0</v>
      </c>
      <c r="W1595">
        <v>0</v>
      </c>
      <c r="X1595" s="21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f t="shared" si="56"/>
        <v>0</v>
      </c>
      <c r="AP1595" t="s">
        <v>41</v>
      </c>
    </row>
    <row r="1596" spans="1:42">
      <c r="A1596" s="1">
        <v>43781</v>
      </c>
      <c r="B1596">
        <v>2</v>
      </c>
      <c r="C1596">
        <v>505</v>
      </c>
      <c r="D1596">
        <v>11241</v>
      </c>
      <c r="E1596" t="s">
        <v>377</v>
      </c>
      <c r="F1596" t="s">
        <v>436</v>
      </c>
      <c r="H1596">
        <v>11</v>
      </c>
      <c r="I1596" s="25">
        <v>580</v>
      </c>
      <c r="K1596" t="s">
        <v>517</v>
      </c>
      <c r="N1596" t="s">
        <v>44</v>
      </c>
      <c r="O1596">
        <v>240</v>
      </c>
      <c r="Q1596">
        <f t="shared" si="55"/>
        <v>0</v>
      </c>
      <c r="R1596">
        <v>2</v>
      </c>
      <c r="S1596">
        <v>0</v>
      </c>
      <c r="T1596">
        <v>0</v>
      </c>
      <c r="U1596">
        <v>0</v>
      </c>
      <c r="V1596">
        <v>0</v>
      </c>
      <c r="W1596">
        <v>0</v>
      </c>
      <c r="X1596" s="21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f t="shared" si="56"/>
        <v>0</v>
      </c>
      <c r="AP1596" t="s">
        <v>41</v>
      </c>
    </row>
    <row r="1597" spans="1:42">
      <c r="A1597" s="1">
        <v>43781</v>
      </c>
      <c r="B1597">
        <v>2</v>
      </c>
      <c r="C1597">
        <v>505</v>
      </c>
      <c r="D1597">
        <v>11241</v>
      </c>
      <c r="E1597" t="s">
        <v>377</v>
      </c>
      <c r="F1597" t="s">
        <v>436</v>
      </c>
      <c r="H1597">
        <v>12</v>
      </c>
      <c r="I1597" s="25">
        <v>636</v>
      </c>
      <c r="K1597" t="s">
        <v>56</v>
      </c>
      <c r="N1597" t="s">
        <v>44</v>
      </c>
      <c r="O1597">
        <v>142</v>
      </c>
      <c r="Q1597">
        <f t="shared" si="55"/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 s="21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f t="shared" si="56"/>
        <v>0</v>
      </c>
      <c r="AP1597" t="s">
        <v>41</v>
      </c>
    </row>
    <row r="1598" spans="1:42">
      <c r="A1598" s="1">
        <v>43781</v>
      </c>
      <c r="B1598">
        <v>2</v>
      </c>
      <c r="C1598">
        <v>505</v>
      </c>
      <c r="D1598">
        <v>11241</v>
      </c>
      <c r="E1598" t="s">
        <v>377</v>
      </c>
      <c r="F1598" t="s">
        <v>436</v>
      </c>
      <c r="H1598">
        <v>13</v>
      </c>
      <c r="I1598" s="25">
        <v>450</v>
      </c>
      <c r="K1598" t="s">
        <v>49</v>
      </c>
      <c r="N1598" t="s">
        <v>40</v>
      </c>
      <c r="O1598">
        <v>770</v>
      </c>
      <c r="Q1598">
        <f t="shared" si="55"/>
        <v>0</v>
      </c>
      <c r="R1598">
        <v>1</v>
      </c>
      <c r="S1598">
        <v>0</v>
      </c>
      <c r="T1598">
        <v>0</v>
      </c>
      <c r="U1598">
        <v>0</v>
      </c>
      <c r="V1598">
        <v>0</v>
      </c>
      <c r="W1598">
        <v>0</v>
      </c>
      <c r="X1598" s="21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f t="shared" si="56"/>
        <v>0</v>
      </c>
      <c r="AL1598" t="s">
        <v>518</v>
      </c>
      <c r="AP1598" t="s">
        <v>41</v>
      </c>
    </row>
    <row r="1599" spans="1:42">
      <c r="A1599" s="1">
        <v>43781</v>
      </c>
      <c r="B1599">
        <v>2</v>
      </c>
      <c r="C1599">
        <v>505</v>
      </c>
      <c r="D1599">
        <v>11241</v>
      </c>
      <c r="E1599" t="s">
        <v>377</v>
      </c>
      <c r="F1599" t="s">
        <v>436</v>
      </c>
      <c r="H1599">
        <v>14</v>
      </c>
      <c r="I1599" s="25">
        <v>905</v>
      </c>
      <c r="K1599" t="s">
        <v>56</v>
      </c>
      <c r="N1599" t="s">
        <v>40</v>
      </c>
      <c r="O1599">
        <v>240</v>
      </c>
      <c r="Q1599">
        <f t="shared" si="55"/>
        <v>0</v>
      </c>
      <c r="R1599">
        <v>1</v>
      </c>
      <c r="S1599">
        <v>0</v>
      </c>
      <c r="T1599">
        <v>0</v>
      </c>
      <c r="U1599">
        <v>0</v>
      </c>
      <c r="V1599">
        <v>0</v>
      </c>
      <c r="W1599">
        <v>0</v>
      </c>
      <c r="X1599" s="21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f t="shared" si="56"/>
        <v>0</v>
      </c>
      <c r="AP1599" t="s">
        <v>41</v>
      </c>
    </row>
    <row r="1600" spans="1:42">
      <c r="A1600" s="1">
        <v>43781</v>
      </c>
      <c r="B1600">
        <v>2</v>
      </c>
      <c r="C1600">
        <v>505</v>
      </c>
      <c r="D1600">
        <v>11241</v>
      </c>
      <c r="E1600" t="s">
        <v>377</v>
      </c>
      <c r="F1600" t="s">
        <v>436</v>
      </c>
      <c r="H1600">
        <v>15</v>
      </c>
      <c r="I1600" s="25">
        <v>191</v>
      </c>
      <c r="K1600" t="s">
        <v>49</v>
      </c>
      <c r="O1600">
        <v>180</v>
      </c>
      <c r="Q1600">
        <f t="shared" si="55"/>
        <v>0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0</v>
      </c>
      <c r="X1600" s="21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f t="shared" si="56"/>
        <v>0</v>
      </c>
      <c r="AP1600" t="s">
        <v>41</v>
      </c>
    </row>
    <row r="1601" spans="1:42">
      <c r="A1601" s="1">
        <v>43781</v>
      </c>
      <c r="B1601">
        <v>2</v>
      </c>
      <c r="C1601">
        <v>505</v>
      </c>
      <c r="D1601">
        <v>11241</v>
      </c>
      <c r="E1601" t="s">
        <v>377</v>
      </c>
      <c r="F1601" t="s">
        <v>436</v>
      </c>
      <c r="H1601">
        <v>16</v>
      </c>
      <c r="I1601" s="25">
        <v>220</v>
      </c>
      <c r="K1601" t="s">
        <v>39</v>
      </c>
      <c r="N1601" t="s">
        <v>44</v>
      </c>
      <c r="O1601">
        <v>120</v>
      </c>
      <c r="Q1601">
        <f t="shared" si="55"/>
        <v>0</v>
      </c>
      <c r="R1601">
        <v>1</v>
      </c>
      <c r="S1601">
        <v>0</v>
      </c>
      <c r="T1601">
        <v>0</v>
      </c>
      <c r="U1601">
        <v>0</v>
      </c>
      <c r="V1601">
        <v>0</v>
      </c>
      <c r="W1601">
        <v>0</v>
      </c>
      <c r="X1601" s="2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f t="shared" si="56"/>
        <v>0</v>
      </c>
      <c r="AP1601" t="s">
        <v>41</v>
      </c>
    </row>
    <row r="1602" spans="1:42">
      <c r="A1602" s="1">
        <v>43781</v>
      </c>
      <c r="B1602">
        <v>2</v>
      </c>
      <c r="C1602">
        <v>505</v>
      </c>
      <c r="D1602">
        <v>11241</v>
      </c>
      <c r="E1602" t="s">
        <v>377</v>
      </c>
      <c r="F1602" t="s">
        <v>436</v>
      </c>
      <c r="H1602">
        <v>17</v>
      </c>
      <c r="I1602" s="25">
        <v>130</v>
      </c>
      <c r="K1602" t="s">
        <v>49</v>
      </c>
      <c r="N1602" t="s">
        <v>40</v>
      </c>
      <c r="O1602">
        <v>120</v>
      </c>
      <c r="Q1602">
        <f t="shared" si="55"/>
        <v>0</v>
      </c>
      <c r="R1602">
        <v>1</v>
      </c>
      <c r="S1602">
        <v>0</v>
      </c>
      <c r="T1602">
        <v>0</v>
      </c>
      <c r="U1602">
        <v>0</v>
      </c>
      <c r="V1602">
        <v>0</v>
      </c>
      <c r="W1602">
        <v>0</v>
      </c>
      <c r="X1602" s="21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f t="shared" si="56"/>
        <v>0</v>
      </c>
      <c r="AL1602" t="s">
        <v>519</v>
      </c>
      <c r="AP1602" t="s">
        <v>41</v>
      </c>
    </row>
    <row r="1603" spans="1:42">
      <c r="A1603" s="1">
        <v>43781</v>
      </c>
      <c r="B1603">
        <v>2</v>
      </c>
      <c r="C1603">
        <v>505</v>
      </c>
      <c r="D1603">
        <v>11241</v>
      </c>
      <c r="E1603" t="s">
        <v>377</v>
      </c>
      <c r="F1603" t="s">
        <v>436</v>
      </c>
      <c r="H1603">
        <v>18</v>
      </c>
      <c r="I1603" s="25"/>
      <c r="K1603" t="s">
        <v>61</v>
      </c>
      <c r="N1603" t="s">
        <v>40</v>
      </c>
      <c r="O1603">
        <v>39</v>
      </c>
      <c r="Q1603">
        <f t="shared" si="55"/>
        <v>0</v>
      </c>
      <c r="R1603">
        <v>1</v>
      </c>
      <c r="S1603">
        <v>0</v>
      </c>
      <c r="T1603">
        <v>0</v>
      </c>
      <c r="U1603">
        <v>0</v>
      </c>
      <c r="V1603">
        <v>0</v>
      </c>
      <c r="W1603">
        <v>0</v>
      </c>
      <c r="X1603" s="21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f t="shared" si="56"/>
        <v>0</v>
      </c>
      <c r="AP1603" t="s">
        <v>41</v>
      </c>
    </row>
    <row r="1604" spans="1:42">
      <c r="A1604" s="1">
        <v>43781</v>
      </c>
      <c r="B1604">
        <v>2</v>
      </c>
      <c r="C1604">
        <v>505</v>
      </c>
      <c r="D1604">
        <v>11241</v>
      </c>
      <c r="E1604" t="s">
        <v>377</v>
      </c>
      <c r="F1604" t="s">
        <v>436</v>
      </c>
      <c r="H1604">
        <v>19</v>
      </c>
      <c r="I1604" s="25">
        <v>191</v>
      </c>
      <c r="K1604" t="s">
        <v>399</v>
      </c>
      <c r="N1604" t="s">
        <v>40</v>
      </c>
      <c r="O1604">
        <v>106</v>
      </c>
      <c r="Q1604">
        <f t="shared" si="55"/>
        <v>0</v>
      </c>
      <c r="R1604">
        <v>1</v>
      </c>
      <c r="S1604">
        <v>0</v>
      </c>
      <c r="T1604">
        <v>0</v>
      </c>
      <c r="U1604">
        <v>0</v>
      </c>
      <c r="V1604">
        <v>0</v>
      </c>
      <c r="W1604">
        <v>0</v>
      </c>
      <c r="X1604" s="21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f t="shared" si="56"/>
        <v>0</v>
      </c>
      <c r="AP1604" t="s">
        <v>41</v>
      </c>
    </row>
    <row r="1605" spans="1:42">
      <c r="A1605" s="1">
        <v>43781</v>
      </c>
      <c r="B1605">
        <v>2</v>
      </c>
      <c r="C1605">
        <v>505</v>
      </c>
      <c r="D1605">
        <v>11241</v>
      </c>
      <c r="E1605" t="s">
        <v>377</v>
      </c>
      <c r="F1605" t="s">
        <v>436</v>
      </c>
      <c r="H1605">
        <v>20</v>
      </c>
      <c r="I1605" s="25">
        <v>301</v>
      </c>
      <c r="K1605" t="s">
        <v>473</v>
      </c>
      <c r="N1605" t="s">
        <v>40</v>
      </c>
      <c r="O1605">
        <v>362</v>
      </c>
      <c r="Q1605">
        <f t="shared" si="55"/>
        <v>0</v>
      </c>
      <c r="R1605">
        <v>1</v>
      </c>
      <c r="S1605">
        <v>0</v>
      </c>
      <c r="T1605">
        <v>0</v>
      </c>
      <c r="U1605">
        <v>0</v>
      </c>
      <c r="V1605">
        <v>0</v>
      </c>
      <c r="W1605">
        <v>0</v>
      </c>
      <c r="X1605" s="21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f t="shared" si="56"/>
        <v>0</v>
      </c>
      <c r="AP1605" t="s">
        <v>41</v>
      </c>
    </row>
    <row r="1606" spans="1:42">
      <c r="A1606" s="1">
        <v>43781</v>
      </c>
      <c r="B1606">
        <v>2</v>
      </c>
      <c r="C1606">
        <v>505</v>
      </c>
      <c r="D1606">
        <v>11241</v>
      </c>
      <c r="E1606" t="s">
        <v>377</v>
      </c>
      <c r="F1606" t="s">
        <v>436</v>
      </c>
      <c r="H1606">
        <v>21</v>
      </c>
      <c r="I1606" s="25">
        <v>255</v>
      </c>
      <c r="K1606" t="s">
        <v>473</v>
      </c>
      <c r="N1606" t="s">
        <v>40</v>
      </c>
      <c r="O1606">
        <v>255</v>
      </c>
      <c r="Q1606">
        <f t="shared" si="55"/>
        <v>0</v>
      </c>
      <c r="R1606">
        <v>1</v>
      </c>
      <c r="S1606">
        <v>0</v>
      </c>
      <c r="T1606">
        <v>0</v>
      </c>
      <c r="U1606">
        <v>0</v>
      </c>
      <c r="V1606">
        <v>0</v>
      </c>
      <c r="W1606">
        <v>0</v>
      </c>
      <c r="X1606" s="21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f t="shared" si="56"/>
        <v>0</v>
      </c>
      <c r="AP1606" t="s">
        <v>41</v>
      </c>
    </row>
    <row r="1607" spans="1:42">
      <c r="A1607" s="1">
        <v>43794</v>
      </c>
      <c r="B1607">
        <v>1</v>
      </c>
      <c r="C1607">
        <v>537</v>
      </c>
      <c r="D1607">
        <v>10222</v>
      </c>
      <c r="E1607" t="s">
        <v>37</v>
      </c>
      <c r="F1607" t="s">
        <v>520</v>
      </c>
      <c r="H1607">
        <v>1</v>
      </c>
      <c r="I1607" s="25">
        <v>225</v>
      </c>
      <c r="K1607" t="s">
        <v>407</v>
      </c>
      <c r="N1607" t="s">
        <v>40</v>
      </c>
      <c r="O1607">
        <v>30</v>
      </c>
      <c r="Q1607">
        <f t="shared" ref="Q1607:Q1657" si="57">SUM(S1607:AC1607)</f>
        <v>2</v>
      </c>
      <c r="R1607">
        <v>1</v>
      </c>
      <c r="S1607">
        <v>0</v>
      </c>
      <c r="T1607">
        <v>0</v>
      </c>
      <c r="U1607">
        <v>0</v>
      </c>
      <c r="V1607">
        <v>0</v>
      </c>
      <c r="W1607">
        <v>2</v>
      </c>
      <c r="X1607" s="21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f t="shared" ref="AH1607:AH1624" si="58">(S1607*16)+(T1607*20)+(U1607*32)+(V1607*64)+(W1607*96)</f>
        <v>192</v>
      </c>
      <c r="AP1607" t="s">
        <v>41</v>
      </c>
    </row>
    <row r="1608" spans="1:42">
      <c r="A1608" s="1">
        <v>43794</v>
      </c>
      <c r="B1608">
        <v>1</v>
      </c>
      <c r="C1608">
        <v>537</v>
      </c>
      <c r="D1608">
        <v>10222</v>
      </c>
      <c r="E1608" t="s">
        <v>37</v>
      </c>
      <c r="F1608" t="s">
        <v>520</v>
      </c>
      <c r="H1608">
        <v>2</v>
      </c>
      <c r="I1608" s="25">
        <v>161</v>
      </c>
      <c r="K1608" t="s">
        <v>407</v>
      </c>
      <c r="N1608" t="s">
        <v>40</v>
      </c>
      <c r="O1608">
        <v>30</v>
      </c>
      <c r="Q1608">
        <f t="shared" si="57"/>
        <v>1</v>
      </c>
      <c r="R1608">
        <v>1</v>
      </c>
      <c r="S1608">
        <v>0</v>
      </c>
      <c r="T1608">
        <v>0</v>
      </c>
      <c r="U1608">
        <v>0</v>
      </c>
      <c r="V1608">
        <v>0</v>
      </c>
      <c r="W1608">
        <v>1</v>
      </c>
      <c r="X1608" s="21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f t="shared" si="58"/>
        <v>96</v>
      </c>
      <c r="AP1608" t="s">
        <v>41</v>
      </c>
    </row>
    <row r="1609" spans="1:42">
      <c r="A1609" s="1">
        <v>43794</v>
      </c>
      <c r="B1609">
        <v>1</v>
      </c>
      <c r="C1609">
        <v>537</v>
      </c>
      <c r="D1609">
        <v>10222</v>
      </c>
      <c r="E1609" t="s">
        <v>37</v>
      </c>
      <c r="F1609" t="s">
        <v>520</v>
      </c>
      <c r="H1609">
        <v>3</v>
      </c>
      <c r="I1609" s="25">
        <v>225</v>
      </c>
      <c r="K1609" t="s">
        <v>407</v>
      </c>
      <c r="N1609" t="s">
        <v>40</v>
      </c>
      <c r="O1609">
        <v>30</v>
      </c>
      <c r="Q1609">
        <f t="shared" si="57"/>
        <v>2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2</v>
      </c>
      <c r="X1609" s="21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f t="shared" si="58"/>
        <v>192</v>
      </c>
      <c r="AP1609" t="s">
        <v>41</v>
      </c>
    </row>
    <row r="1610" spans="1:42">
      <c r="A1610" s="1">
        <v>43794</v>
      </c>
      <c r="B1610">
        <v>1</v>
      </c>
      <c r="C1610">
        <v>537</v>
      </c>
      <c r="D1610">
        <v>10222</v>
      </c>
      <c r="E1610" t="s">
        <v>37</v>
      </c>
      <c r="F1610" t="s">
        <v>520</v>
      </c>
      <c r="H1610">
        <v>4</v>
      </c>
      <c r="I1610" s="25">
        <v>220</v>
      </c>
      <c r="K1610" t="s">
        <v>98</v>
      </c>
      <c r="N1610" t="s">
        <v>40</v>
      </c>
      <c r="O1610">
        <v>30</v>
      </c>
      <c r="Q1610">
        <f t="shared" si="57"/>
        <v>1</v>
      </c>
      <c r="R1610">
        <v>1</v>
      </c>
      <c r="S1610">
        <v>0</v>
      </c>
      <c r="T1610">
        <v>0</v>
      </c>
      <c r="U1610">
        <v>0</v>
      </c>
      <c r="V1610">
        <v>0</v>
      </c>
      <c r="W1610">
        <v>1</v>
      </c>
      <c r="X1610" s="21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f t="shared" si="58"/>
        <v>96</v>
      </c>
      <c r="AP1610" t="s">
        <v>41</v>
      </c>
    </row>
    <row r="1611" spans="1:42">
      <c r="A1611" s="1">
        <v>43794</v>
      </c>
      <c r="B1611">
        <v>1</v>
      </c>
      <c r="C1611">
        <v>537</v>
      </c>
      <c r="D1611">
        <v>10222</v>
      </c>
      <c r="E1611" t="s">
        <v>37</v>
      </c>
      <c r="F1611" t="s">
        <v>520</v>
      </c>
      <c r="H1611">
        <v>5</v>
      </c>
      <c r="I1611" s="25">
        <v>150</v>
      </c>
      <c r="K1611" t="s">
        <v>407</v>
      </c>
      <c r="N1611" t="s">
        <v>40</v>
      </c>
      <c r="O1611">
        <v>59</v>
      </c>
      <c r="Q1611">
        <f t="shared" si="57"/>
        <v>1</v>
      </c>
      <c r="R1611">
        <v>1</v>
      </c>
      <c r="S1611">
        <v>0</v>
      </c>
      <c r="T1611">
        <v>0</v>
      </c>
      <c r="U1611">
        <v>0</v>
      </c>
      <c r="V1611">
        <v>0</v>
      </c>
      <c r="W1611">
        <v>1</v>
      </c>
      <c r="X1611" s="2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f t="shared" si="58"/>
        <v>96</v>
      </c>
      <c r="AP1611" t="s">
        <v>41</v>
      </c>
    </row>
    <row r="1612" spans="1:42">
      <c r="A1612" s="1">
        <v>43794</v>
      </c>
      <c r="B1612">
        <v>1</v>
      </c>
      <c r="C1612">
        <v>537</v>
      </c>
      <c r="D1612">
        <v>10222</v>
      </c>
      <c r="E1612" t="s">
        <v>37</v>
      </c>
      <c r="F1612" t="s">
        <v>520</v>
      </c>
      <c r="H1612">
        <v>6</v>
      </c>
      <c r="I1612" s="25">
        <v>133</v>
      </c>
      <c r="K1612" t="s">
        <v>98</v>
      </c>
      <c r="O1612">
        <v>32</v>
      </c>
      <c r="Q1612">
        <f t="shared" si="57"/>
        <v>1</v>
      </c>
      <c r="R1612">
        <v>1</v>
      </c>
      <c r="S1612">
        <v>0</v>
      </c>
      <c r="T1612">
        <v>0</v>
      </c>
      <c r="U1612">
        <v>0</v>
      </c>
      <c r="V1612">
        <v>0</v>
      </c>
      <c r="W1612">
        <v>1</v>
      </c>
      <c r="X1612" s="21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f t="shared" si="58"/>
        <v>96</v>
      </c>
      <c r="AP1612" t="s">
        <v>41</v>
      </c>
    </row>
    <row r="1613" spans="1:42">
      <c r="A1613" s="1">
        <v>43794</v>
      </c>
      <c r="B1613">
        <v>1</v>
      </c>
      <c r="C1613">
        <v>537</v>
      </c>
      <c r="D1613">
        <v>10222</v>
      </c>
      <c r="E1613" t="s">
        <v>37</v>
      </c>
      <c r="F1613" t="s">
        <v>520</v>
      </c>
      <c r="H1613">
        <v>7</v>
      </c>
      <c r="I1613" s="25">
        <v>132</v>
      </c>
      <c r="K1613" t="s">
        <v>98</v>
      </c>
      <c r="O1613">
        <v>32</v>
      </c>
      <c r="Q1613">
        <f t="shared" si="57"/>
        <v>1</v>
      </c>
      <c r="R1613">
        <v>1</v>
      </c>
      <c r="S1613">
        <v>0</v>
      </c>
      <c r="T1613">
        <v>0</v>
      </c>
      <c r="U1613">
        <v>0</v>
      </c>
      <c r="V1613">
        <v>0</v>
      </c>
      <c r="W1613">
        <v>1</v>
      </c>
      <c r="X1613" s="21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f t="shared" si="58"/>
        <v>96</v>
      </c>
      <c r="AP1613" t="s">
        <v>41</v>
      </c>
    </row>
    <row r="1614" spans="1:42">
      <c r="A1614" s="1">
        <v>43794</v>
      </c>
      <c r="B1614">
        <v>1</v>
      </c>
      <c r="C1614">
        <v>537</v>
      </c>
      <c r="D1614">
        <v>10222</v>
      </c>
      <c r="E1614" t="s">
        <v>37</v>
      </c>
      <c r="F1614" t="s">
        <v>520</v>
      </c>
      <c r="H1614">
        <v>8</v>
      </c>
      <c r="I1614" s="25">
        <v>121123</v>
      </c>
      <c r="K1614" t="s">
        <v>98</v>
      </c>
      <c r="N1614" t="s">
        <v>40</v>
      </c>
      <c r="O1614">
        <v>32</v>
      </c>
      <c r="Q1614">
        <f t="shared" si="57"/>
        <v>0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0</v>
      </c>
      <c r="X1614" s="21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f t="shared" si="58"/>
        <v>0</v>
      </c>
      <c r="AL1614" t="s">
        <v>521</v>
      </c>
      <c r="AP1614" t="s">
        <v>41</v>
      </c>
    </row>
    <row r="1615" spans="1:42">
      <c r="A1615" s="1">
        <v>43794</v>
      </c>
      <c r="B1615">
        <v>1</v>
      </c>
      <c r="C1615">
        <v>537</v>
      </c>
      <c r="D1615">
        <v>10222</v>
      </c>
      <c r="E1615" t="s">
        <v>37</v>
      </c>
      <c r="F1615" t="s">
        <v>520</v>
      </c>
      <c r="H1615">
        <v>9</v>
      </c>
      <c r="I1615" s="25">
        <v>760</v>
      </c>
      <c r="K1615" t="s">
        <v>73</v>
      </c>
      <c r="N1615" t="s">
        <v>44</v>
      </c>
      <c r="O1615">
        <v>90</v>
      </c>
      <c r="Q1615">
        <f t="shared" si="57"/>
        <v>2</v>
      </c>
      <c r="R1615">
        <v>1</v>
      </c>
      <c r="S1615">
        <v>0</v>
      </c>
      <c r="T1615">
        <v>0</v>
      </c>
      <c r="U1615">
        <v>0</v>
      </c>
      <c r="V1615">
        <v>2</v>
      </c>
      <c r="W1615">
        <v>0</v>
      </c>
      <c r="X1615" s="21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f t="shared" si="58"/>
        <v>128</v>
      </c>
      <c r="AP1615" t="s">
        <v>41</v>
      </c>
    </row>
    <row r="1616" spans="1:42">
      <c r="A1616" s="1">
        <v>43794</v>
      </c>
      <c r="B1616">
        <v>1</v>
      </c>
      <c r="C1616">
        <v>537</v>
      </c>
      <c r="D1616">
        <v>10222</v>
      </c>
      <c r="E1616" t="s">
        <v>37</v>
      </c>
      <c r="F1616" t="s">
        <v>520</v>
      </c>
      <c r="H1616">
        <v>10</v>
      </c>
      <c r="I1616" s="25">
        <v>760</v>
      </c>
      <c r="K1616" t="s">
        <v>73</v>
      </c>
      <c r="N1616" t="s">
        <v>44</v>
      </c>
      <c r="O1616">
        <v>90</v>
      </c>
      <c r="Q1616">
        <f t="shared" si="57"/>
        <v>6</v>
      </c>
      <c r="R1616">
        <v>1</v>
      </c>
      <c r="S1616">
        <v>0</v>
      </c>
      <c r="T1616">
        <v>0</v>
      </c>
      <c r="U1616">
        <v>0</v>
      </c>
      <c r="V1616">
        <v>0</v>
      </c>
      <c r="W1616">
        <v>6</v>
      </c>
      <c r="X1616" s="21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f t="shared" si="58"/>
        <v>576</v>
      </c>
      <c r="AP1616" t="s">
        <v>41</v>
      </c>
    </row>
    <row r="1617" spans="1:42">
      <c r="A1617" s="1">
        <v>43794</v>
      </c>
      <c r="B1617">
        <v>1</v>
      </c>
      <c r="C1617">
        <v>537</v>
      </c>
      <c r="D1617">
        <v>10222</v>
      </c>
      <c r="E1617" t="s">
        <v>37</v>
      </c>
      <c r="F1617" t="s">
        <v>520</v>
      </c>
      <c r="H1617">
        <v>11</v>
      </c>
      <c r="I1617" s="25">
        <v>26</v>
      </c>
      <c r="K1617" t="s">
        <v>98</v>
      </c>
      <c r="N1617" t="s">
        <v>40</v>
      </c>
      <c r="O1617">
        <v>90</v>
      </c>
      <c r="Q1617">
        <f t="shared" si="57"/>
        <v>4</v>
      </c>
      <c r="R1617">
        <v>1</v>
      </c>
      <c r="S1617">
        <v>0</v>
      </c>
      <c r="T1617">
        <v>0</v>
      </c>
      <c r="U1617">
        <v>0</v>
      </c>
      <c r="V1617">
        <v>4</v>
      </c>
      <c r="W1617">
        <v>0</v>
      </c>
      <c r="X1617" s="21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f t="shared" si="58"/>
        <v>256</v>
      </c>
      <c r="AP1617" t="s">
        <v>41</v>
      </c>
    </row>
    <row r="1618" spans="1:42">
      <c r="A1618" s="1">
        <v>43794</v>
      </c>
      <c r="B1618">
        <v>1</v>
      </c>
      <c r="C1618">
        <v>537</v>
      </c>
      <c r="D1618">
        <v>10222</v>
      </c>
      <c r="E1618" t="s">
        <v>37</v>
      </c>
      <c r="F1618" t="s">
        <v>520</v>
      </c>
      <c r="H1618">
        <v>12</v>
      </c>
      <c r="I1618" s="25">
        <v>20</v>
      </c>
      <c r="K1618" t="s">
        <v>98</v>
      </c>
      <c r="N1618" t="s">
        <v>40</v>
      </c>
      <c r="O1618">
        <v>90</v>
      </c>
      <c r="Q1618">
        <f t="shared" si="57"/>
        <v>0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0</v>
      </c>
      <c r="X1618" s="21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f t="shared" si="58"/>
        <v>0</v>
      </c>
      <c r="AP1618" t="s">
        <v>41</v>
      </c>
    </row>
    <row r="1619" spans="1:42">
      <c r="A1619" s="1">
        <v>43794</v>
      </c>
      <c r="B1619">
        <v>1</v>
      </c>
      <c r="C1619">
        <v>537</v>
      </c>
      <c r="D1619">
        <v>10222</v>
      </c>
      <c r="E1619" t="s">
        <v>37</v>
      </c>
      <c r="F1619" t="s">
        <v>520</v>
      </c>
      <c r="H1619">
        <v>13</v>
      </c>
      <c r="I1619" s="25">
        <v>150</v>
      </c>
      <c r="K1619" t="s">
        <v>50</v>
      </c>
      <c r="N1619" t="s">
        <v>44</v>
      </c>
      <c r="O1619">
        <v>90</v>
      </c>
      <c r="Q1619">
        <f t="shared" si="57"/>
        <v>5</v>
      </c>
      <c r="R1619">
        <v>1</v>
      </c>
      <c r="S1619">
        <v>0</v>
      </c>
      <c r="T1619">
        <v>0</v>
      </c>
      <c r="U1619">
        <v>0</v>
      </c>
      <c r="V1619">
        <v>0</v>
      </c>
      <c r="W1619">
        <v>5</v>
      </c>
      <c r="X1619" s="21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f t="shared" si="58"/>
        <v>480</v>
      </c>
      <c r="AP1619" t="s">
        <v>41</v>
      </c>
    </row>
    <row r="1620" spans="1:42">
      <c r="A1620" s="1">
        <v>43794</v>
      </c>
      <c r="B1620">
        <v>1</v>
      </c>
      <c r="C1620">
        <v>537</v>
      </c>
      <c r="D1620">
        <v>10222</v>
      </c>
      <c r="E1620" t="s">
        <v>37</v>
      </c>
      <c r="F1620" t="s">
        <v>520</v>
      </c>
      <c r="H1620">
        <v>14</v>
      </c>
      <c r="I1620" s="25">
        <v>1</v>
      </c>
      <c r="K1620" t="s">
        <v>98</v>
      </c>
      <c r="O1620">
        <v>90</v>
      </c>
      <c r="Q1620">
        <f t="shared" si="57"/>
        <v>0</v>
      </c>
      <c r="R1620">
        <v>1</v>
      </c>
      <c r="S1620">
        <v>0</v>
      </c>
      <c r="T1620">
        <v>0</v>
      </c>
      <c r="U1620">
        <v>0</v>
      </c>
      <c r="V1620">
        <v>0</v>
      </c>
      <c r="W1620">
        <v>0</v>
      </c>
      <c r="X1620" s="21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f t="shared" si="58"/>
        <v>0</v>
      </c>
      <c r="AP1620" t="s">
        <v>41</v>
      </c>
    </row>
    <row r="1621" spans="1:42">
      <c r="A1621" s="1">
        <v>43794</v>
      </c>
      <c r="B1621">
        <v>1</v>
      </c>
      <c r="C1621">
        <v>537</v>
      </c>
      <c r="D1621">
        <v>10222</v>
      </c>
      <c r="E1621" t="s">
        <v>37</v>
      </c>
      <c r="F1621" t="s">
        <v>520</v>
      </c>
      <c r="H1621">
        <v>15</v>
      </c>
      <c r="I1621" s="25">
        <v>774</v>
      </c>
      <c r="K1621" t="s">
        <v>73</v>
      </c>
      <c r="N1621" t="s">
        <v>40</v>
      </c>
      <c r="O1621">
        <v>45</v>
      </c>
      <c r="Q1621">
        <f t="shared" si="57"/>
        <v>0</v>
      </c>
      <c r="R1621">
        <v>1</v>
      </c>
      <c r="S1621">
        <v>0</v>
      </c>
      <c r="T1621">
        <v>0</v>
      </c>
      <c r="U1621">
        <v>0</v>
      </c>
      <c r="V1621">
        <v>0</v>
      </c>
      <c r="W1621">
        <v>0</v>
      </c>
      <c r="X1621" s="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f t="shared" si="58"/>
        <v>0</v>
      </c>
      <c r="AL1621" t="s">
        <v>522</v>
      </c>
      <c r="AP1621" t="s">
        <v>41</v>
      </c>
    </row>
    <row r="1622" spans="1:42">
      <c r="A1622" s="1">
        <v>43794</v>
      </c>
      <c r="B1622">
        <v>1</v>
      </c>
      <c r="C1622">
        <v>537</v>
      </c>
      <c r="D1622">
        <v>10222</v>
      </c>
      <c r="E1622" t="s">
        <v>37</v>
      </c>
      <c r="F1622" t="s">
        <v>520</v>
      </c>
      <c r="H1622">
        <v>16</v>
      </c>
      <c r="I1622" s="25">
        <v>780</v>
      </c>
      <c r="K1622" t="s">
        <v>73</v>
      </c>
      <c r="O1622">
        <v>45</v>
      </c>
      <c r="Q1622">
        <f t="shared" si="57"/>
        <v>0</v>
      </c>
      <c r="R1622">
        <v>1</v>
      </c>
      <c r="S1622">
        <v>0</v>
      </c>
      <c r="T1622">
        <v>0</v>
      </c>
      <c r="U1622">
        <v>0</v>
      </c>
      <c r="V1622">
        <v>0</v>
      </c>
      <c r="W1622">
        <v>0</v>
      </c>
      <c r="X1622" s="21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f t="shared" si="58"/>
        <v>0</v>
      </c>
      <c r="AL1622" t="s">
        <v>522</v>
      </c>
      <c r="AP1622" t="s">
        <v>41</v>
      </c>
    </row>
    <row r="1623" spans="1:42">
      <c r="A1623" s="1">
        <v>43794</v>
      </c>
      <c r="B1623">
        <v>1</v>
      </c>
      <c r="C1623">
        <v>537</v>
      </c>
      <c r="D1623">
        <v>10222</v>
      </c>
      <c r="E1623" t="s">
        <v>37</v>
      </c>
      <c r="F1623" t="s">
        <v>520</v>
      </c>
      <c r="H1623">
        <v>17</v>
      </c>
      <c r="I1623" s="25">
        <v>2</v>
      </c>
      <c r="K1623" t="s">
        <v>50</v>
      </c>
      <c r="N1623" t="s">
        <v>40</v>
      </c>
      <c r="O1623">
        <v>45</v>
      </c>
      <c r="Q1623">
        <f t="shared" si="57"/>
        <v>0</v>
      </c>
      <c r="R1623">
        <v>1</v>
      </c>
      <c r="S1623">
        <v>0</v>
      </c>
      <c r="T1623">
        <v>0</v>
      </c>
      <c r="U1623">
        <v>0</v>
      </c>
      <c r="V1623">
        <v>0</v>
      </c>
      <c r="W1623">
        <v>0</v>
      </c>
      <c r="X1623" s="21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f t="shared" si="58"/>
        <v>0</v>
      </c>
      <c r="AL1623" t="s">
        <v>523</v>
      </c>
      <c r="AP1623" t="s">
        <v>41</v>
      </c>
    </row>
    <row r="1624" spans="1:42">
      <c r="A1624" s="1">
        <v>43794</v>
      </c>
      <c r="B1624">
        <v>1</v>
      </c>
      <c r="C1624">
        <v>537</v>
      </c>
      <c r="D1624">
        <v>10222</v>
      </c>
      <c r="E1624" t="s">
        <v>37</v>
      </c>
      <c r="F1624" t="s">
        <v>520</v>
      </c>
      <c r="H1624">
        <v>18</v>
      </c>
      <c r="I1624" s="25">
        <v>900</v>
      </c>
      <c r="K1624" t="s">
        <v>73</v>
      </c>
      <c r="N1624" t="s">
        <v>40</v>
      </c>
      <c r="O1624">
        <v>59</v>
      </c>
      <c r="Q1624">
        <f t="shared" si="57"/>
        <v>0</v>
      </c>
      <c r="R1624">
        <v>1</v>
      </c>
      <c r="S1624">
        <v>0</v>
      </c>
      <c r="T1624">
        <v>0</v>
      </c>
      <c r="U1624">
        <v>0</v>
      </c>
      <c r="V1624">
        <v>0</v>
      </c>
      <c r="W1624">
        <v>0</v>
      </c>
      <c r="X1624" s="21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f t="shared" si="58"/>
        <v>0</v>
      </c>
      <c r="AL1624" t="s">
        <v>524</v>
      </c>
      <c r="AP1624" t="s">
        <v>41</v>
      </c>
    </row>
    <row r="1625" spans="1:42">
      <c r="A1625" s="1">
        <v>43794</v>
      </c>
      <c r="B1625">
        <v>1</v>
      </c>
      <c r="C1625">
        <v>537</v>
      </c>
      <c r="D1625">
        <v>10222</v>
      </c>
      <c r="E1625" t="s">
        <v>37</v>
      </c>
      <c r="F1625" t="s">
        <v>520</v>
      </c>
      <c r="H1625">
        <v>19</v>
      </c>
      <c r="I1625" s="25">
        <v>100</v>
      </c>
      <c r="K1625" t="s">
        <v>103</v>
      </c>
      <c r="N1625" t="s">
        <v>40</v>
      </c>
      <c r="O1625">
        <v>59</v>
      </c>
      <c r="Q1625">
        <f t="shared" si="57"/>
        <v>0</v>
      </c>
      <c r="R1625">
        <v>1</v>
      </c>
      <c r="S1625">
        <v>0</v>
      </c>
      <c r="T1625">
        <v>0</v>
      </c>
      <c r="U1625">
        <v>0</v>
      </c>
      <c r="V1625">
        <v>0</v>
      </c>
      <c r="W1625">
        <v>0</v>
      </c>
      <c r="X1625" s="21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L1625" t="s">
        <v>524</v>
      </c>
      <c r="AP1625" t="s">
        <v>41</v>
      </c>
    </row>
    <row r="1626" spans="1:42">
      <c r="A1626" s="1">
        <v>43794</v>
      </c>
      <c r="B1626">
        <v>1</v>
      </c>
      <c r="C1626">
        <v>537</v>
      </c>
      <c r="D1626">
        <v>10222</v>
      </c>
      <c r="E1626" t="s">
        <v>37</v>
      </c>
      <c r="F1626" t="s">
        <v>520</v>
      </c>
      <c r="H1626">
        <v>20</v>
      </c>
      <c r="I1626" s="25">
        <v>50</v>
      </c>
      <c r="K1626" t="s">
        <v>417</v>
      </c>
      <c r="N1626" t="s">
        <v>44</v>
      </c>
      <c r="O1626">
        <v>73</v>
      </c>
      <c r="Q1626">
        <f t="shared" si="57"/>
        <v>0</v>
      </c>
      <c r="R1626">
        <v>1</v>
      </c>
      <c r="S1626">
        <v>0</v>
      </c>
      <c r="T1626">
        <v>0</v>
      </c>
      <c r="U1626">
        <v>0</v>
      </c>
      <c r="V1626">
        <v>0</v>
      </c>
      <c r="W1626">
        <v>0</v>
      </c>
      <c r="X1626" s="21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L1626" t="s">
        <v>524</v>
      </c>
      <c r="AP1626" t="s">
        <v>41</v>
      </c>
    </row>
    <row r="1627" spans="1:42">
      <c r="A1627" s="1">
        <v>43794</v>
      </c>
      <c r="B1627">
        <v>1</v>
      </c>
      <c r="C1627">
        <v>537</v>
      </c>
      <c r="D1627">
        <v>10222</v>
      </c>
      <c r="E1627" t="s">
        <v>37</v>
      </c>
      <c r="F1627" t="s">
        <v>520</v>
      </c>
      <c r="H1627">
        <v>21</v>
      </c>
      <c r="I1627" s="25">
        <v>0</v>
      </c>
      <c r="K1627" t="s">
        <v>101</v>
      </c>
      <c r="N1627" t="s">
        <v>42</v>
      </c>
      <c r="P1627">
        <v>86</v>
      </c>
      <c r="Q1627">
        <f t="shared" si="57"/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 s="21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L1627" t="s">
        <v>524</v>
      </c>
      <c r="AP1627" t="s">
        <v>41</v>
      </c>
    </row>
    <row r="1628" spans="1:42">
      <c r="A1628" s="1">
        <v>43794</v>
      </c>
      <c r="B1628">
        <v>1</v>
      </c>
      <c r="C1628">
        <v>537</v>
      </c>
      <c r="D1628">
        <v>10222</v>
      </c>
      <c r="E1628" t="s">
        <v>37</v>
      </c>
      <c r="F1628" t="s">
        <v>520</v>
      </c>
      <c r="H1628">
        <v>22</v>
      </c>
      <c r="I1628" s="25">
        <v>200</v>
      </c>
      <c r="K1628" t="s">
        <v>101</v>
      </c>
      <c r="N1628" t="s">
        <v>44</v>
      </c>
      <c r="P1628">
        <v>67</v>
      </c>
      <c r="Q1628">
        <f t="shared" si="57"/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 s="21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L1628" t="s">
        <v>524</v>
      </c>
      <c r="AP1628" t="s">
        <v>41</v>
      </c>
    </row>
    <row r="1629" spans="1:42">
      <c r="A1629" s="1">
        <v>43794</v>
      </c>
      <c r="B1629">
        <v>1</v>
      </c>
      <c r="C1629">
        <v>537</v>
      </c>
      <c r="D1629">
        <v>10222</v>
      </c>
      <c r="E1629" t="s">
        <v>37</v>
      </c>
      <c r="F1629" t="s">
        <v>520</v>
      </c>
      <c r="H1629">
        <v>23</v>
      </c>
      <c r="I1629" s="25">
        <v>300</v>
      </c>
      <c r="K1629" t="s">
        <v>100</v>
      </c>
      <c r="N1629" t="s">
        <v>42</v>
      </c>
      <c r="P1629">
        <v>250</v>
      </c>
      <c r="Q1629">
        <f t="shared" si="57"/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 s="21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L1629" t="s">
        <v>524</v>
      </c>
      <c r="AP1629" t="s">
        <v>41</v>
      </c>
    </row>
    <row r="1630" spans="1:42">
      <c r="A1630" s="1">
        <v>43794</v>
      </c>
      <c r="B1630">
        <v>1</v>
      </c>
      <c r="C1630">
        <v>537</v>
      </c>
      <c r="D1630">
        <v>10222</v>
      </c>
      <c r="E1630" t="s">
        <v>37</v>
      </c>
      <c r="F1630" t="s">
        <v>520</v>
      </c>
      <c r="H1630">
        <v>24</v>
      </c>
      <c r="I1630" s="25">
        <v>400</v>
      </c>
      <c r="K1630" t="s">
        <v>103</v>
      </c>
      <c r="N1630" t="s">
        <v>42</v>
      </c>
      <c r="P1630">
        <v>624</v>
      </c>
      <c r="Q1630">
        <f t="shared" si="57"/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 s="21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L1630" t="s">
        <v>525</v>
      </c>
      <c r="AP1630" t="s">
        <v>41</v>
      </c>
    </row>
    <row r="1631" spans="1:42">
      <c r="A1631" s="1">
        <v>43794</v>
      </c>
      <c r="B1631">
        <v>1</v>
      </c>
      <c r="C1631">
        <v>537</v>
      </c>
      <c r="D1631">
        <v>10222</v>
      </c>
      <c r="E1631" t="s">
        <v>37</v>
      </c>
      <c r="F1631" t="s">
        <v>520</v>
      </c>
      <c r="H1631">
        <v>25</v>
      </c>
      <c r="I1631" s="25">
        <v>300</v>
      </c>
      <c r="K1631" t="s">
        <v>103</v>
      </c>
      <c r="N1631" t="s">
        <v>42</v>
      </c>
      <c r="P1631">
        <v>197</v>
      </c>
      <c r="Q1631">
        <f t="shared" si="57"/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 s="2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L1631" t="s">
        <v>524</v>
      </c>
      <c r="AP1631" t="s">
        <v>41</v>
      </c>
    </row>
    <row r="1632" spans="1:42">
      <c r="A1632" s="1">
        <v>43794</v>
      </c>
      <c r="B1632">
        <v>1</v>
      </c>
      <c r="C1632">
        <v>537</v>
      </c>
      <c r="D1632">
        <v>10222</v>
      </c>
      <c r="E1632" t="s">
        <v>37</v>
      </c>
      <c r="F1632" t="s">
        <v>520</v>
      </c>
      <c r="H1632">
        <v>26</v>
      </c>
      <c r="I1632" s="25">
        <v>200</v>
      </c>
      <c r="K1632" t="s">
        <v>103</v>
      </c>
      <c r="N1632" t="s">
        <v>42</v>
      </c>
      <c r="P1632">
        <v>110</v>
      </c>
      <c r="Q1632">
        <f t="shared" si="57"/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 s="21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L1632" t="s">
        <v>524</v>
      </c>
      <c r="AP1632" t="s">
        <v>41</v>
      </c>
    </row>
    <row r="1633" spans="1:42">
      <c r="A1633" s="1">
        <v>43794</v>
      </c>
      <c r="B1633">
        <v>1</v>
      </c>
      <c r="C1633">
        <v>537</v>
      </c>
      <c r="D1633">
        <v>10222</v>
      </c>
      <c r="E1633" t="s">
        <v>37</v>
      </c>
      <c r="F1633" t="s">
        <v>520</v>
      </c>
      <c r="H1633">
        <v>27</v>
      </c>
      <c r="I1633" s="25">
        <v>0</v>
      </c>
      <c r="K1633" t="s">
        <v>103</v>
      </c>
      <c r="P1633">
        <v>116</v>
      </c>
      <c r="Q1633">
        <f t="shared" si="57"/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 s="21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L1633" t="s">
        <v>524</v>
      </c>
      <c r="AP1633" t="s">
        <v>41</v>
      </c>
    </row>
    <row r="1634" spans="1:42">
      <c r="A1634" s="1">
        <v>43794</v>
      </c>
      <c r="B1634">
        <v>1</v>
      </c>
      <c r="C1634">
        <v>537</v>
      </c>
      <c r="D1634">
        <v>10222</v>
      </c>
      <c r="E1634" t="s">
        <v>37</v>
      </c>
      <c r="F1634" t="s">
        <v>520</v>
      </c>
      <c r="H1634">
        <v>28</v>
      </c>
      <c r="I1634" s="25">
        <v>0</v>
      </c>
      <c r="K1634" t="s">
        <v>96</v>
      </c>
      <c r="P1634">
        <v>415</v>
      </c>
      <c r="Q1634">
        <f t="shared" si="57"/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 s="21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L1634" t="s">
        <v>524</v>
      </c>
      <c r="AP1634" t="s">
        <v>41</v>
      </c>
    </row>
    <row r="1635" spans="1:42">
      <c r="A1635" s="1">
        <v>43794</v>
      </c>
      <c r="B1635">
        <v>1</v>
      </c>
      <c r="C1635">
        <v>537</v>
      </c>
      <c r="D1635">
        <v>10222</v>
      </c>
      <c r="E1635" t="s">
        <v>37</v>
      </c>
      <c r="F1635" t="s">
        <v>520</v>
      </c>
      <c r="H1635">
        <v>29</v>
      </c>
      <c r="I1635" s="25">
        <v>100</v>
      </c>
      <c r="K1635" t="s">
        <v>96</v>
      </c>
      <c r="P1635">
        <v>301</v>
      </c>
      <c r="Q1635">
        <f t="shared" si="57"/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 s="21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L1635" t="s">
        <v>524</v>
      </c>
      <c r="AP1635" t="s">
        <v>41</v>
      </c>
    </row>
    <row r="1636" spans="1:42">
      <c r="A1636" s="1">
        <v>43794</v>
      </c>
      <c r="B1636">
        <v>1</v>
      </c>
      <c r="C1636">
        <v>537</v>
      </c>
      <c r="D1636">
        <v>10222</v>
      </c>
      <c r="E1636" t="s">
        <v>37</v>
      </c>
      <c r="F1636" t="s">
        <v>520</v>
      </c>
      <c r="H1636">
        <v>30</v>
      </c>
      <c r="I1636" s="25">
        <v>200</v>
      </c>
      <c r="K1636" t="s">
        <v>94</v>
      </c>
      <c r="P1636">
        <v>235</v>
      </c>
      <c r="Q1636">
        <f t="shared" si="57"/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 s="21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L1636" t="s">
        <v>524</v>
      </c>
      <c r="AP1636" t="s">
        <v>41</v>
      </c>
    </row>
    <row r="1637" spans="1:42">
      <c r="A1637" s="1">
        <v>43794</v>
      </c>
      <c r="B1637">
        <v>1</v>
      </c>
      <c r="C1637">
        <v>537</v>
      </c>
      <c r="D1637">
        <v>10222</v>
      </c>
      <c r="E1637" t="s">
        <v>37</v>
      </c>
      <c r="F1637" t="s">
        <v>520</v>
      </c>
      <c r="H1637">
        <v>31</v>
      </c>
      <c r="I1637" s="25">
        <v>100</v>
      </c>
      <c r="K1637" t="s">
        <v>94</v>
      </c>
      <c r="P1637">
        <v>429</v>
      </c>
      <c r="Q1637">
        <f t="shared" si="57"/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 s="21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L1637" t="s">
        <v>524</v>
      </c>
      <c r="AP1637" t="s">
        <v>41</v>
      </c>
    </row>
    <row r="1638" spans="1:42">
      <c r="A1638" s="1">
        <v>43794</v>
      </c>
      <c r="B1638">
        <v>1</v>
      </c>
      <c r="C1638">
        <v>537</v>
      </c>
      <c r="D1638">
        <v>10222</v>
      </c>
      <c r="E1638" t="s">
        <v>37</v>
      </c>
      <c r="F1638" t="s">
        <v>520</v>
      </c>
      <c r="H1638">
        <v>32</v>
      </c>
      <c r="I1638" s="25">
        <v>0</v>
      </c>
      <c r="K1638" t="s">
        <v>94</v>
      </c>
      <c r="P1638">
        <v>80</v>
      </c>
      <c r="Q1638">
        <f t="shared" si="57"/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 s="21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L1638" t="s">
        <v>524</v>
      </c>
      <c r="AP1638" t="s">
        <v>41</v>
      </c>
    </row>
    <row r="1639" spans="1:42">
      <c r="A1639" s="1">
        <v>43794</v>
      </c>
      <c r="B1639">
        <v>1</v>
      </c>
      <c r="C1639">
        <v>537</v>
      </c>
      <c r="D1639">
        <v>10222</v>
      </c>
      <c r="E1639" t="s">
        <v>37</v>
      </c>
      <c r="F1639" t="s">
        <v>520</v>
      </c>
      <c r="H1639">
        <v>33</v>
      </c>
      <c r="I1639" s="25">
        <v>300</v>
      </c>
      <c r="K1639" t="s">
        <v>98</v>
      </c>
      <c r="O1639">
        <v>115</v>
      </c>
      <c r="Q1639">
        <f t="shared" si="57"/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 s="21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P1639" t="s">
        <v>41</v>
      </c>
    </row>
    <row r="1640" spans="1:42">
      <c r="A1640" s="1">
        <v>43794</v>
      </c>
      <c r="B1640">
        <v>1</v>
      </c>
      <c r="C1640">
        <v>537</v>
      </c>
      <c r="D1640">
        <v>10222</v>
      </c>
      <c r="E1640" t="s">
        <v>37</v>
      </c>
      <c r="F1640" t="s">
        <v>520</v>
      </c>
      <c r="H1640">
        <v>34</v>
      </c>
      <c r="I1640" s="25">
        <v>219</v>
      </c>
      <c r="K1640" t="s">
        <v>98</v>
      </c>
      <c r="O1640">
        <v>30</v>
      </c>
      <c r="Q1640">
        <f t="shared" si="57"/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 s="21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P1640" t="s">
        <v>41</v>
      </c>
    </row>
    <row r="1641" spans="1:42">
      <c r="A1641" s="1">
        <v>43794</v>
      </c>
      <c r="B1641">
        <v>1</v>
      </c>
      <c r="C1641">
        <v>537</v>
      </c>
      <c r="D1641">
        <v>10222</v>
      </c>
      <c r="E1641" t="s">
        <v>37</v>
      </c>
      <c r="F1641" t="s">
        <v>520</v>
      </c>
      <c r="H1641">
        <v>35</v>
      </c>
      <c r="I1641" s="25" t="s">
        <v>496</v>
      </c>
      <c r="K1641" t="s">
        <v>407</v>
      </c>
      <c r="P1641">
        <v>300</v>
      </c>
      <c r="Q1641">
        <f t="shared" si="57"/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 s="2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P1641" t="s">
        <v>41</v>
      </c>
    </row>
    <row r="1642" spans="1:42">
      <c r="A1642" s="1">
        <v>43794</v>
      </c>
      <c r="B1642">
        <v>1</v>
      </c>
      <c r="C1642">
        <v>537</v>
      </c>
      <c r="D1642">
        <v>10222</v>
      </c>
      <c r="E1642" t="s">
        <v>37</v>
      </c>
      <c r="F1642" t="s">
        <v>520</v>
      </c>
      <c r="H1642">
        <v>36</v>
      </c>
      <c r="I1642" s="25">
        <v>100</v>
      </c>
      <c r="K1642" t="s">
        <v>100</v>
      </c>
      <c r="P1642">
        <v>135</v>
      </c>
      <c r="Q1642">
        <f t="shared" si="57"/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 s="21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L1642" t="s">
        <v>526</v>
      </c>
      <c r="AP1642" t="s">
        <v>41</v>
      </c>
    </row>
    <row r="1643" spans="1:42">
      <c r="A1643" s="1">
        <v>43794</v>
      </c>
      <c r="B1643">
        <v>1</v>
      </c>
      <c r="C1643">
        <v>537</v>
      </c>
      <c r="D1643">
        <v>10222</v>
      </c>
      <c r="E1643" t="s">
        <v>37</v>
      </c>
      <c r="F1643" t="s">
        <v>520</v>
      </c>
      <c r="H1643">
        <v>37</v>
      </c>
      <c r="I1643" s="25">
        <v>200</v>
      </c>
      <c r="K1643" t="s">
        <v>100</v>
      </c>
      <c r="P1643">
        <v>187</v>
      </c>
      <c r="Q1643">
        <f t="shared" si="57"/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 s="21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L1643" t="s">
        <v>526</v>
      </c>
      <c r="AP1643" t="s">
        <v>41</v>
      </c>
    </row>
    <row r="1644" spans="1:42">
      <c r="A1644" s="1">
        <v>43794</v>
      </c>
      <c r="B1644">
        <v>1</v>
      </c>
      <c r="C1644">
        <v>537</v>
      </c>
      <c r="D1644">
        <v>10222</v>
      </c>
      <c r="E1644" t="s">
        <v>37</v>
      </c>
      <c r="F1644" t="s">
        <v>520</v>
      </c>
      <c r="H1644">
        <v>38</v>
      </c>
      <c r="I1644" s="25">
        <v>300</v>
      </c>
      <c r="K1644" t="s">
        <v>101</v>
      </c>
      <c r="P1644">
        <v>40</v>
      </c>
      <c r="Q1644">
        <f t="shared" si="57"/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 s="21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L1644" t="s">
        <v>437</v>
      </c>
      <c r="AP1644" t="s">
        <v>41</v>
      </c>
    </row>
    <row r="1645" spans="1:42">
      <c r="A1645" s="1">
        <v>43794</v>
      </c>
      <c r="B1645">
        <v>1</v>
      </c>
      <c r="C1645">
        <v>537</v>
      </c>
      <c r="D1645">
        <v>10222</v>
      </c>
      <c r="E1645" t="s">
        <v>37</v>
      </c>
      <c r="F1645" t="s">
        <v>520</v>
      </c>
      <c r="H1645">
        <v>39</v>
      </c>
      <c r="I1645" s="25">
        <v>400</v>
      </c>
      <c r="K1645" t="s">
        <v>101</v>
      </c>
      <c r="P1645">
        <v>106</v>
      </c>
      <c r="Q1645">
        <f t="shared" si="57"/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 s="21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L1645" t="s">
        <v>527</v>
      </c>
      <c r="AP1645" t="s">
        <v>41</v>
      </c>
    </row>
    <row r="1646" spans="1:42">
      <c r="A1646" s="1">
        <v>43794</v>
      </c>
      <c r="B1646">
        <v>1</v>
      </c>
      <c r="C1646">
        <v>537</v>
      </c>
      <c r="D1646">
        <v>10222</v>
      </c>
      <c r="E1646" t="s">
        <v>37</v>
      </c>
      <c r="F1646" t="s">
        <v>520</v>
      </c>
      <c r="H1646">
        <v>40</v>
      </c>
      <c r="I1646" s="25">
        <v>300</v>
      </c>
      <c r="K1646" t="s">
        <v>98</v>
      </c>
      <c r="O1646">
        <v>90</v>
      </c>
      <c r="Q1646">
        <f t="shared" si="57"/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 s="21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P1646" t="s">
        <v>41</v>
      </c>
    </row>
    <row r="1647" spans="1:42">
      <c r="A1647" s="1">
        <v>43794</v>
      </c>
      <c r="B1647">
        <v>1</v>
      </c>
      <c r="C1647">
        <v>537</v>
      </c>
      <c r="D1647">
        <v>10222</v>
      </c>
      <c r="E1647" t="s">
        <v>37</v>
      </c>
      <c r="F1647" t="s">
        <v>520</v>
      </c>
      <c r="H1647">
        <v>41</v>
      </c>
      <c r="I1647" s="25">
        <v>255</v>
      </c>
      <c r="K1647" t="s">
        <v>102</v>
      </c>
      <c r="O1647">
        <v>29</v>
      </c>
      <c r="Q1647">
        <f t="shared" si="57"/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 s="21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P1647" t="s">
        <v>41</v>
      </c>
    </row>
    <row r="1648" spans="1:42">
      <c r="A1648" s="1">
        <v>43794</v>
      </c>
      <c r="B1648">
        <v>1</v>
      </c>
      <c r="C1648">
        <v>537</v>
      </c>
      <c r="D1648">
        <v>10222</v>
      </c>
      <c r="E1648" t="s">
        <v>37</v>
      </c>
      <c r="F1648" t="s">
        <v>520</v>
      </c>
      <c r="H1648">
        <v>42</v>
      </c>
      <c r="I1648" s="25">
        <v>100</v>
      </c>
      <c r="K1648" t="s">
        <v>102</v>
      </c>
      <c r="P1648">
        <v>182</v>
      </c>
      <c r="Q1648">
        <f t="shared" si="57"/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 s="21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P1648" t="s">
        <v>41</v>
      </c>
    </row>
    <row r="1649" spans="1:42">
      <c r="A1649" s="1">
        <v>43794</v>
      </c>
      <c r="B1649">
        <v>1</v>
      </c>
      <c r="C1649">
        <v>537</v>
      </c>
      <c r="D1649">
        <v>10222</v>
      </c>
      <c r="E1649" t="s">
        <v>37</v>
      </c>
      <c r="F1649" t="s">
        <v>520</v>
      </c>
      <c r="H1649">
        <v>43</v>
      </c>
      <c r="I1649" s="25">
        <v>0</v>
      </c>
      <c r="K1649" t="s">
        <v>102</v>
      </c>
      <c r="P1649">
        <v>258</v>
      </c>
      <c r="Q1649">
        <f t="shared" si="57"/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 s="21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P1649" t="s">
        <v>41</v>
      </c>
    </row>
    <row r="1650" spans="1:42">
      <c r="A1650" s="1">
        <v>43794</v>
      </c>
      <c r="B1650">
        <v>1</v>
      </c>
      <c r="C1650">
        <v>537</v>
      </c>
      <c r="D1650">
        <v>10222</v>
      </c>
      <c r="E1650" t="s">
        <v>37</v>
      </c>
      <c r="F1650" t="s">
        <v>520</v>
      </c>
      <c r="H1650">
        <v>44</v>
      </c>
      <c r="I1650" s="25">
        <v>50</v>
      </c>
      <c r="K1650" t="s">
        <v>439</v>
      </c>
      <c r="O1650">
        <v>31</v>
      </c>
      <c r="Q1650">
        <f t="shared" si="57"/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 s="21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L1650" t="s">
        <v>470</v>
      </c>
      <c r="AP1650" t="s">
        <v>41</v>
      </c>
    </row>
    <row r="1651" spans="1:42">
      <c r="A1651" s="1">
        <v>43794</v>
      </c>
      <c r="B1651">
        <v>1</v>
      </c>
      <c r="C1651">
        <v>537</v>
      </c>
      <c r="D1651">
        <v>10222</v>
      </c>
      <c r="E1651" t="s">
        <v>37</v>
      </c>
      <c r="F1651" t="s">
        <v>520</v>
      </c>
      <c r="H1651">
        <v>45</v>
      </c>
      <c r="I1651" s="25">
        <v>1</v>
      </c>
      <c r="K1651" t="s">
        <v>407</v>
      </c>
      <c r="O1651">
        <v>65</v>
      </c>
      <c r="Q1651">
        <f t="shared" si="57"/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 s="2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P1651" t="s">
        <v>41</v>
      </c>
    </row>
    <row r="1652" spans="1:42">
      <c r="A1652" s="1">
        <v>43794</v>
      </c>
      <c r="B1652">
        <v>1</v>
      </c>
      <c r="C1652">
        <v>537</v>
      </c>
      <c r="D1652">
        <v>10222</v>
      </c>
      <c r="E1652" t="s">
        <v>37</v>
      </c>
      <c r="F1652" t="s">
        <v>520</v>
      </c>
      <c r="H1652">
        <v>46</v>
      </c>
      <c r="I1652" s="25">
        <v>232</v>
      </c>
      <c r="K1652" t="s">
        <v>98</v>
      </c>
      <c r="O1652">
        <v>124</v>
      </c>
      <c r="Q1652">
        <f t="shared" si="57"/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 s="21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P1652" t="s">
        <v>41</v>
      </c>
    </row>
    <row r="1653" spans="1:42">
      <c r="A1653" s="1">
        <v>43794</v>
      </c>
      <c r="B1653">
        <v>1</v>
      </c>
      <c r="C1653">
        <v>537</v>
      </c>
      <c r="D1653">
        <v>10222</v>
      </c>
      <c r="E1653" t="s">
        <v>37</v>
      </c>
      <c r="F1653" t="s">
        <v>520</v>
      </c>
      <c r="H1653">
        <v>47</v>
      </c>
      <c r="I1653" s="25">
        <v>300</v>
      </c>
      <c r="K1653" t="s">
        <v>407</v>
      </c>
      <c r="P1653">
        <v>124</v>
      </c>
      <c r="Q1653">
        <f t="shared" si="57"/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 s="21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P1653" t="s">
        <v>41</v>
      </c>
    </row>
    <row r="1654" spans="1:42">
      <c r="A1654" s="1">
        <v>43794</v>
      </c>
      <c r="B1654">
        <v>1</v>
      </c>
      <c r="C1654">
        <v>537</v>
      </c>
      <c r="D1654">
        <v>10222</v>
      </c>
      <c r="E1654" t="s">
        <v>37</v>
      </c>
      <c r="F1654" t="s">
        <v>520</v>
      </c>
      <c r="H1654">
        <v>48</v>
      </c>
      <c r="I1654" s="25">
        <v>100</v>
      </c>
      <c r="K1654" t="s">
        <v>98</v>
      </c>
      <c r="P1654">
        <v>73</v>
      </c>
      <c r="Q1654">
        <f t="shared" si="57"/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 s="21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P1654" t="s">
        <v>41</v>
      </c>
    </row>
    <row r="1655" spans="1:42">
      <c r="A1655" s="1">
        <v>43794</v>
      </c>
      <c r="B1655">
        <v>1</v>
      </c>
      <c r="C1655">
        <v>537</v>
      </c>
      <c r="D1655">
        <v>10222</v>
      </c>
      <c r="E1655" t="s">
        <v>37</v>
      </c>
      <c r="F1655" t="s">
        <v>520</v>
      </c>
      <c r="H1655">
        <v>49</v>
      </c>
      <c r="I1655" s="25">
        <v>100</v>
      </c>
      <c r="K1655" t="s">
        <v>74</v>
      </c>
      <c r="P1655">
        <v>309</v>
      </c>
      <c r="Q1655">
        <f t="shared" si="57"/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 s="21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P1655" t="s">
        <v>41</v>
      </c>
    </row>
    <row r="1656" spans="1:42">
      <c r="A1656" s="1">
        <v>43794</v>
      </c>
      <c r="B1656">
        <v>1</v>
      </c>
      <c r="C1656">
        <v>537</v>
      </c>
      <c r="D1656">
        <v>10222</v>
      </c>
      <c r="E1656" t="s">
        <v>37</v>
      </c>
      <c r="F1656" t="s">
        <v>520</v>
      </c>
      <c r="H1656">
        <v>50</v>
      </c>
      <c r="I1656" s="25">
        <v>0</v>
      </c>
      <c r="K1656" t="s">
        <v>50</v>
      </c>
      <c r="P1656">
        <v>70</v>
      </c>
      <c r="Q1656">
        <f t="shared" si="57"/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 s="21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P1656" t="s">
        <v>41</v>
      </c>
    </row>
    <row r="1657" spans="1:42">
      <c r="A1657" s="1">
        <v>43794</v>
      </c>
      <c r="B1657">
        <v>1</v>
      </c>
      <c r="C1657">
        <v>537</v>
      </c>
      <c r="D1657">
        <v>10222</v>
      </c>
      <c r="E1657" t="s">
        <v>37</v>
      </c>
      <c r="F1657" t="s">
        <v>520</v>
      </c>
      <c r="H1657">
        <v>51</v>
      </c>
      <c r="I1657" s="25">
        <v>800</v>
      </c>
      <c r="K1657" t="s">
        <v>73</v>
      </c>
      <c r="N1657" t="s">
        <v>44</v>
      </c>
      <c r="P1657">
        <v>376</v>
      </c>
      <c r="Q1657">
        <f t="shared" si="57"/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 s="21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L1657" t="s">
        <v>528</v>
      </c>
      <c r="AP1657" t="s">
        <v>41</v>
      </c>
    </row>
    <row r="1658" spans="1:42">
      <c r="A1658" s="1">
        <v>43794</v>
      </c>
      <c r="B1658">
        <v>1</v>
      </c>
      <c r="C1658">
        <v>537</v>
      </c>
      <c r="D1658">
        <v>10222</v>
      </c>
      <c r="E1658" t="s">
        <v>37</v>
      </c>
      <c r="F1658" t="s">
        <v>520</v>
      </c>
      <c r="H1658">
        <v>52</v>
      </c>
      <c r="I1658" s="25">
        <v>0</v>
      </c>
      <c r="K1658" t="s">
        <v>100</v>
      </c>
      <c r="P1658">
        <v>130</v>
      </c>
      <c r="Q1658">
        <f t="shared" ref="Q1658:Q1720" si="59">SUM(S1658:AC1658)</f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 s="21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P1658" t="s">
        <v>41</v>
      </c>
    </row>
    <row r="1659" spans="1:42">
      <c r="A1659" s="1">
        <v>43794</v>
      </c>
      <c r="B1659">
        <v>1</v>
      </c>
      <c r="C1659">
        <v>537</v>
      </c>
      <c r="D1659">
        <v>10222</v>
      </c>
      <c r="E1659" t="s">
        <v>37</v>
      </c>
      <c r="F1659" t="s">
        <v>520</v>
      </c>
      <c r="H1659">
        <v>53</v>
      </c>
      <c r="I1659" s="25">
        <v>300</v>
      </c>
      <c r="K1659" t="s">
        <v>50</v>
      </c>
      <c r="P1659">
        <v>105</v>
      </c>
      <c r="Q1659">
        <f t="shared" si="59"/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 s="21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P1659" t="s">
        <v>41</v>
      </c>
    </row>
    <row r="1660" spans="1:42">
      <c r="A1660" s="1">
        <v>43794</v>
      </c>
      <c r="B1660">
        <v>1</v>
      </c>
      <c r="C1660">
        <v>537</v>
      </c>
      <c r="D1660">
        <v>10222</v>
      </c>
      <c r="E1660" t="s">
        <v>37</v>
      </c>
      <c r="F1660" t="s">
        <v>520</v>
      </c>
      <c r="H1660">
        <v>54</v>
      </c>
      <c r="I1660" s="25">
        <v>200</v>
      </c>
      <c r="K1660" t="s">
        <v>50</v>
      </c>
      <c r="P1660">
        <v>215</v>
      </c>
      <c r="Q1660">
        <f t="shared" si="59"/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 s="21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P1660" t="s">
        <v>41</v>
      </c>
    </row>
    <row r="1661" spans="1:42">
      <c r="A1661" s="1">
        <v>43794</v>
      </c>
      <c r="B1661">
        <v>1</v>
      </c>
      <c r="C1661">
        <v>537</v>
      </c>
      <c r="D1661">
        <v>10222</v>
      </c>
      <c r="E1661" t="s">
        <v>37</v>
      </c>
      <c r="F1661" t="s">
        <v>520</v>
      </c>
      <c r="H1661">
        <v>55</v>
      </c>
      <c r="I1661" s="25"/>
      <c r="K1661" t="s">
        <v>78</v>
      </c>
      <c r="P1661">
        <v>215</v>
      </c>
      <c r="Q1661">
        <f t="shared" si="59"/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 s="2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P1661" t="s">
        <v>41</v>
      </c>
    </row>
    <row r="1662" spans="1:42">
      <c r="A1662" s="1">
        <v>43794</v>
      </c>
      <c r="B1662">
        <v>1</v>
      </c>
      <c r="C1662">
        <v>537</v>
      </c>
      <c r="D1662">
        <v>10222</v>
      </c>
      <c r="E1662" t="s">
        <v>37</v>
      </c>
      <c r="F1662" t="s">
        <v>520</v>
      </c>
      <c r="H1662">
        <v>56</v>
      </c>
      <c r="I1662" s="25">
        <v>400</v>
      </c>
      <c r="K1662" t="s">
        <v>49</v>
      </c>
      <c r="P1662">
        <v>296</v>
      </c>
      <c r="Q1662">
        <f t="shared" si="59"/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 s="21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P1662" t="s">
        <v>41</v>
      </c>
    </row>
    <row r="1663" spans="1:42">
      <c r="A1663" s="1">
        <v>43794</v>
      </c>
      <c r="B1663">
        <v>1</v>
      </c>
      <c r="C1663">
        <v>537</v>
      </c>
      <c r="D1663">
        <v>10222</v>
      </c>
      <c r="E1663" t="s">
        <v>37</v>
      </c>
      <c r="F1663" t="s">
        <v>520</v>
      </c>
      <c r="H1663">
        <v>57</v>
      </c>
      <c r="I1663" s="25">
        <v>500</v>
      </c>
      <c r="K1663" t="s">
        <v>49</v>
      </c>
      <c r="P1663">
        <v>293</v>
      </c>
      <c r="Q1663">
        <f t="shared" si="59"/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 s="21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P1663" t="s">
        <v>41</v>
      </c>
    </row>
    <row r="1664" spans="1:42">
      <c r="A1664" s="1">
        <v>43794</v>
      </c>
      <c r="B1664">
        <v>1</v>
      </c>
      <c r="C1664">
        <v>537</v>
      </c>
      <c r="D1664">
        <v>10222</v>
      </c>
      <c r="E1664" t="s">
        <v>37</v>
      </c>
      <c r="F1664" t="s">
        <v>520</v>
      </c>
      <c r="H1664">
        <v>58</v>
      </c>
      <c r="I1664" s="25">
        <v>410</v>
      </c>
      <c r="K1664" t="s">
        <v>102</v>
      </c>
      <c r="P1664">
        <v>220</v>
      </c>
      <c r="Q1664">
        <f t="shared" si="59"/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 s="21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P1664" t="s">
        <v>41</v>
      </c>
    </row>
    <row r="1665" spans="1:42">
      <c r="A1665" s="1">
        <v>43794</v>
      </c>
      <c r="B1665">
        <v>1</v>
      </c>
      <c r="C1665">
        <v>537</v>
      </c>
      <c r="D1665">
        <v>10222</v>
      </c>
      <c r="E1665" t="s">
        <v>37</v>
      </c>
      <c r="F1665" t="s">
        <v>520</v>
      </c>
      <c r="H1665">
        <v>59</v>
      </c>
      <c r="I1665" s="25">
        <v>500</v>
      </c>
      <c r="K1665" t="s">
        <v>53</v>
      </c>
      <c r="P1665">
        <v>235</v>
      </c>
      <c r="Q1665">
        <f t="shared" si="59"/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 s="21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P1665" t="s">
        <v>41</v>
      </c>
    </row>
    <row r="1666" spans="1:42">
      <c r="A1666" s="1">
        <v>43794</v>
      </c>
      <c r="B1666">
        <v>1</v>
      </c>
      <c r="C1666">
        <v>537</v>
      </c>
      <c r="D1666">
        <v>10222</v>
      </c>
      <c r="E1666" t="s">
        <v>37</v>
      </c>
      <c r="F1666" t="s">
        <v>520</v>
      </c>
      <c r="H1666">
        <v>60</v>
      </c>
      <c r="I1666" s="25">
        <v>400</v>
      </c>
      <c r="K1666" t="s">
        <v>53</v>
      </c>
      <c r="P1666">
        <v>477</v>
      </c>
      <c r="Q1666">
        <f t="shared" si="59"/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 s="21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P1666" t="s">
        <v>41</v>
      </c>
    </row>
    <row r="1667" spans="1:42">
      <c r="A1667" s="1">
        <v>43794</v>
      </c>
      <c r="B1667">
        <v>1</v>
      </c>
      <c r="C1667">
        <v>537</v>
      </c>
      <c r="D1667">
        <v>10222</v>
      </c>
      <c r="E1667" t="s">
        <v>37</v>
      </c>
      <c r="F1667" t="s">
        <v>520</v>
      </c>
      <c r="H1667">
        <v>61</v>
      </c>
      <c r="I1667" s="25">
        <v>300</v>
      </c>
      <c r="K1667" t="s">
        <v>53</v>
      </c>
      <c r="P1667">
        <v>183</v>
      </c>
      <c r="Q1667">
        <f t="shared" si="59"/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 s="21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P1667" t="s">
        <v>41</v>
      </c>
    </row>
    <row r="1668" spans="1:42">
      <c r="A1668" s="1">
        <v>43794</v>
      </c>
      <c r="B1668">
        <v>1</v>
      </c>
      <c r="C1668">
        <v>537</v>
      </c>
      <c r="D1668">
        <v>10222</v>
      </c>
      <c r="E1668" t="s">
        <v>37</v>
      </c>
      <c r="F1668" t="s">
        <v>520</v>
      </c>
      <c r="H1668">
        <v>62</v>
      </c>
      <c r="I1668" s="25">
        <v>200</v>
      </c>
      <c r="K1668" t="s">
        <v>53</v>
      </c>
      <c r="P1668">
        <v>491</v>
      </c>
      <c r="Q1668">
        <f t="shared" si="59"/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 s="21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P1668" t="s">
        <v>41</v>
      </c>
    </row>
    <row r="1669" spans="1:42">
      <c r="A1669" s="1">
        <v>43794</v>
      </c>
      <c r="B1669">
        <v>1</v>
      </c>
      <c r="C1669">
        <v>537</v>
      </c>
      <c r="D1669">
        <v>10222</v>
      </c>
      <c r="E1669" t="s">
        <v>37</v>
      </c>
      <c r="F1669" t="s">
        <v>520</v>
      </c>
      <c r="H1669">
        <v>63</v>
      </c>
      <c r="I1669" s="25">
        <v>170</v>
      </c>
      <c r="K1669" t="s">
        <v>74</v>
      </c>
      <c r="P1669">
        <v>139</v>
      </c>
      <c r="Q1669">
        <f t="shared" si="59"/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 s="21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P1669" t="s">
        <v>41</v>
      </c>
    </row>
    <row r="1670" spans="1:42">
      <c r="A1670" s="1">
        <v>43794</v>
      </c>
      <c r="B1670">
        <v>1</v>
      </c>
      <c r="C1670">
        <v>537</v>
      </c>
      <c r="D1670">
        <v>10222</v>
      </c>
      <c r="E1670" t="s">
        <v>37</v>
      </c>
      <c r="F1670" t="s">
        <v>520</v>
      </c>
      <c r="H1670">
        <v>64</v>
      </c>
      <c r="I1670" s="25">
        <v>200</v>
      </c>
      <c r="K1670" t="s">
        <v>74</v>
      </c>
      <c r="P1670">
        <v>135</v>
      </c>
      <c r="Q1670">
        <f t="shared" si="59"/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 s="21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P1670" t="s">
        <v>41</v>
      </c>
    </row>
    <row r="1671" spans="1:42">
      <c r="A1671" s="1">
        <v>43794</v>
      </c>
      <c r="B1671">
        <v>1</v>
      </c>
      <c r="C1671">
        <v>537</v>
      </c>
      <c r="D1671">
        <v>10222</v>
      </c>
      <c r="E1671" t="s">
        <v>37</v>
      </c>
      <c r="F1671" t="s">
        <v>520</v>
      </c>
      <c r="H1671">
        <v>65</v>
      </c>
      <c r="I1671" s="25">
        <v>300</v>
      </c>
      <c r="K1671" t="s">
        <v>74</v>
      </c>
      <c r="P1671">
        <v>386</v>
      </c>
      <c r="Q1671">
        <f t="shared" si="59"/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 s="2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P1671" t="s">
        <v>41</v>
      </c>
    </row>
    <row r="1672" spans="1:42">
      <c r="A1672" s="1">
        <v>43794</v>
      </c>
      <c r="B1672">
        <v>1</v>
      </c>
      <c r="C1672">
        <v>537</v>
      </c>
      <c r="D1672">
        <v>10222</v>
      </c>
      <c r="E1672" t="s">
        <v>37</v>
      </c>
      <c r="F1672" t="s">
        <v>520</v>
      </c>
      <c r="H1672">
        <v>66</v>
      </c>
      <c r="I1672" s="25">
        <v>300</v>
      </c>
      <c r="K1672" t="s">
        <v>102</v>
      </c>
      <c r="P1672">
        <v>295</v>
      </c>
      <c r="Q1672">
        <f t="shared" si="59"/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 s="21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P1672" t="s">
        <v>41</v>
      </c>
    </row>
    <row r="1673" spans="1:42">
      <c r="A1673" s="1">
        <v>43794</v>
      </c>
      <c r="B1673">
        <v>1</v>
      </c>
      <c r="C1673">
        <v>537</v>
      </c>
      <c r="D1673">
        <v>10222</v>
      </c>
      <c r="E1673" t="s">
        <v>37</v>
      </c>
      <c r="F1673" t="s">
        <v>520</v>
      </c>
      <c r="H1673">
        <v>67</v>
      </c>
      <c r="I1673" s="25">
        <v>500</v>
      </c>
      <c r="K1673" t="s">
        <v>407</v>
      </c>
      <c r="P1673">
        <v>270</v>
      </c>
      <c r="Q1673">
        <f t="shared" si="59"/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 s="21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P1673" t="s">
        <v>41</v>
      </c>
    </row>
    <row r="1674" spans="1:42">
      <c r="A1674" s="1">
        <v>43794</v>
      </c>
      <c r="B1674">
        <v>1</v>
      </c>
      <c r="C1674">
        <v>537</v>
      </c>
      <c r="D1674">
        <v>10222</v>
      </c>
      <c r="E1674" t="s">
        <v>37</v>
      </c>
      <c r="F1674" t="s">
        <v>520</v>
      </c>
      <c r="H1674">
        <v>68</v>
      </c>
      <c r="I1674" s="25">
        <v>400</v>
      </c>
      <c r="K1674" t="s">
        <v>407</v>
      </c>
      <c r="P1674">
        <v>270</v>
      </c>
      <c r="Q1674">
        <f t="shared" si="59"/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 s="21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P1674" t="s">
        <v>41</v>
      </c>
    </row>
    <row r="1675" spans="1:42">
      <c r="A1675" s="1">
        <v>43794</v>
      </c>
      <c r="B1675">
        <v>1</v>
      </c>
      <c r="C1675">
        <v>537</v>
      </c>
      <c r="D1675">
        <v>10222</v>
      </c>
      <c r="E1675" t="s">
        <v>37</v>
      </c>
      <c r="F1675" t="s">
        <v>520</v>
      </c>
      <c r="H1675">
        <v>69</v>
      </c>
      <c r="I1675" s="25">
        <v>300</v>
      </c>
      <c r="K1675" t="s">
        <v>407</v>
      </c>
      <c r="P1675">
        <v>270</v>
      </c>
      <c r="Q1675">
        <f t="shared" si="59"/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 s="21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P1675" t="s">
        <v>41</v>
      </c>
    </row>
    <row r="1676" spans="1:42">
      <c r="A1676" s="1">
        <v>43794</v>
      </c>
      <c r="B1676">
        <v>1</v>
      </c>
      <c r="C1676">
        <v>537</v>
      </c>
      <c r="D1676">
        <v>10222</v>
      </c>
      <c r="E1676" t="s">
        <v>37</v>
      </c>
      <c r="F1676" t="s">
        <v>520</v>
      </c>
      <c r="H1676">
        <v>70</v>
      </c>
      <c r="I1676" s="25">
        <v>200</v>
      </c>
      <c r="K1676" t="s">
        <v>407</v>
      </c>
      <c r="P1676">
        <v>270</v>
      </c>
      <c r="Q1676">
        <f t="shared" si="59"/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 s="21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P1676" t="s">
        <v>41</v>
      </c>
    </row>
    <row r="1677" spans="1:42">
      <c r="A1677" s="1">
        <v>43794</v>
      </c>
      <c r="B1677">
        <v>1</v>
      </c>
      <c r="C1677">
        <v>537</v>
      </c>
      <c r="D1677">
        <v>10222</v>
      </c>
      <c r="E1677" t="s">
        <v>37</v>
      </c>
      <c r="F1677" t="s">
        <v>520</v>
      </c>
      <c r="H1677">
        <v>1</v>
      </c>
      <c r="I1677" s="25">
        <v>798</v>
      </c>
      <c r="K1677" t="s">
        <v>529</v>
      </c>
      <c r="N1677" t="s">
        <v>44</v>
      </c>
      <c r="O1677">
        <v>78</v>
      </c>
      <c r="Q1677">
        <f t="shared" si="59"/>
        <v>1</v>
      </c>
      <c r="R1677">
        <v>1</v>
      </c>
      <c r="S1677">
        <v>0</v>
      </c>
      <c r="T1677">
        <v>0</v>
      </c>
      <c r="U1677">
        <v>0</v>
      </c>
      <c r="V1677">
        <v>0</v>
      </c>
      <c r="W1677">
        <v>0</v>
      </c>
      <c r="X1677" s="21">
        <v>0</v>
      </c>
      <c r="Y1677">
        <v>1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J1677" t="s">
        <v>51</v>
      </c>
      <c r="AK1677" t="s">
        <v>95</v>
      </c>
      <c r="AP1677" t="s">
        <v>41</v>
      </c>
    </row>
    <row r="1678" spans="1:42">
      <c r="A1678" s="1">
        <v>43794</v>
      </c>
      <c r="B1678">
        <v>1</v>
      </c>
      <c r="C1678">
        <v>537</v>
      </c>
      <c r="D1678">
        <v>10222</v>
      </c>
      <c r="E1678" t="s">
        <v>37</v>
      </c>
      <c r="F1678" t="s">
        <v>520</v>
      </c>
      <c r="H1678">
        <v>2</v>
      </c>
      <c r="I1678" s="25">
        <v>555</v>
      </c>
      <c r="K1678" t="s">
        <v>529</v>
      </c>
      <c r="N1678" t="s">
        <v>44</v>
      </c>
      <c r="O1678">
        <v>149</v>
      </c>
      <c r="Q1678">
        <f t="shared" si="59"/>
        <v>1</v>
      </c>
      <c r="R1678">
        <v>1</v>
      </c>
      <c r="S1678">
        <v>0</v>
      </c>
      <c r="T1678">
        <v>0</v>
      </c>
      <c r="U1678">
        <v>0</v>
      </c>
      <c r="V1678">
        <v>0</v>
      </c>
      <c r="W1678">
        <v>0</v>
      </c>
      <c r="X1678" s="21">
        <v>0</v>
      </c>
      <c r="Y1678">
        <v>1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J1678" t="s">
        <v>51</v>
      </c>
      <c r="AK1678" t="s">
        <v>95</v>
      </c>
      <c r="AL1678" t="s">
        <v>530</v>
      </c>
      <c r="AP1678" t="s">
        <v>41</v>
      </c>
    </row>
    <row r="1679" spans="1:42">
      <c r="A1679" s="1">
        <v>43794</v>
      </c>
      <c r="B1679">
        <v>1</v>
      </c>
      <c r="C1679">
        <v>537</v>
      </c>
      <c r="D1679">
        <v>10222</v>
      </c>
      <c r="E1679" t="s">
        <v>37</v>
      </c>
      <c r="F1679" t="s">
        <v>520</v>
      </c>
      <c r="H1679">
        <v>3</v>
      </c>
      <c r="I1679" s="25">
        <v>365</v>
      </c>
      <c r="K1679" t="s">
        <v>529</v>
      </c>
      <c r="N1679" t="s">
        <v>44</v>
      </c>
      <c r="O1679">
        <v>273</v>
      </c>
      <c r="Q1679">
        <f t="shared" si="59"/>
        <v>4</v>
      </c>
      <c r="R1679">
        <v>1</v>
      </c>
      <c r="S1679">
        <v>0</v>
      </c>
      <c r="T1679">
        <v>0</v>
      </c>
      <c r="U1679">
        <v>0</v>
      </c>
      <c r="V1679">
        <v>1</v>
      </c>
      <c r="W1679">
        <v>2</v>
      </c>
      <c r="X1679" s="21">
        <v>0</v>
      </c>
      <c r="Y1679">
        <v>0</v>
      </c>
      <c r="Z1679">
        <v>0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J1679" t="s">
        <v>51</v>
      </c>
      <c r="AK1679" t="s">
        <v>95</v>
      </c>
      <c r="AP1679" t="s">
        <v>41</v>
      </c>
    </row>
    <row r="1680" spans="1:42">
      <c r="A1680" s="1">
        <v>43794</v>
      </c>
      <c r="B1680">
        <v>1</v>
      </c>
      <c r="C1680">
        <v>537</v>
      </c>
      <c r="D1680">
        <v>10222</v>
      </c>
      <c r="E1680" t="s">
        <v>37</v>
      </c>
      <c r="F1680" t="s">
        <v>520</v>
      </c>
      <c r="H1680">
        <v>4</v>
      </c>
      <c r="I1680" s="25">
        <v>1360</v>
      </c>
      <c r="K1680" t="s">
        <v>383</v>
      </c>
      <c r="N1680" t="s">
        <v>44</v>
      </c>
      <c r="O1680">
        <v>231</v>
      </c>
      <c r="Q1680">
        <f t="shared" si="59"/>
        <v>1</v>
      </c>
      <c r="R1680">
        <v>1</v>
      </c>
      <c r="S1680">
        <v>0</v>
      </c>
      <c r="T1680">
        <v>0</v>
      </c>
      <c r="U1680">
        <v>0</v>
      </c>
      <c r="V1680">
        <v>0</v>
      </c>
      <c r="W1680">
        <v>0</v>
      </c>
      <c r="X1680" s="21">
        <v>0</v>
      </c>
      <c r="Y1680">
        <v>0</v>
      </c>
      <c r="Z1680">
        <v>0</v>
      </c>
      <c r="AA1680">
        <v>1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J1680" t="s">
        <v>51</v>
      </c>
      <c r="AK1680" t="s">
        <v>95</v>
      </c>
      <c r="AP1680" t="s">
        <v>41</v>
      </c>
    </row>
    <row r="1681" spans="1:42">
      <c r="A1681" s="1">
        <v>43794</v>
      </c>
      <c r="B1681">
        <v>1</v>
      </c>
      <c r="C1681">
        <v>537</v>
      </c>
      <c r="D1681">
        <v>10222</v>
      </c>
      <c r="E1681" t="s">
        <v>37</v>
      </c>
      <c r="F1681" t="s">
        <v>520</v>
      </c>
      <c r="H1681">
        <v>5</v>
      </c>
      <c r="I1681" s="25">
        <v>99</v>
      </c>
      <c r="K1681" t="s">
        <v>531</v>
      </c>
      <c r="N1681" t="s">
        <v>40</v>
      </c>
      <c r="O1681">
        <v>126</v>
      </c>
      <c r="Q1681">
        <f t="shared" si="59"/>
        <v>1</v>
      </c>
      <c r="R1681">
        <v>1</v>
      </c>
      <c r="S1681">
        <v>0</v>
      </c>
      <c r="T1681">
        <v>0</v>
      </c>
      <c r="U1681">
        <v>0</v>
      </c>
      <c r="V1681">
        <v>0</v>
      </c>
      <c r="W1681">
        <v>0</v>
      </c>
      <c r="X1681" s="21">
        <v>0</v>
      </c>
      <c r="Y1681">
        <v>0</v>
      </c>
      <c r="Z1681">
        <v>0</v>
      </c>
      <c r="AA1681">
        <v>1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P1681" t="s">
        <v>41</v>
      </c>
    </row>
    <row r="1682" spans="1:42">
      <c r="A1682" s="1">
        <v>43794</v>
      </c>
      <c r="B1682">
        <v>1</v>
      </c>
      <c r="C1682">
        <v>537</v>
      </c>
      <c r="D1682">
        <v>10222</v>
      </c>
      <c r="E1682" t="s">
        <v>37</v>
      </c>
      <c r="F1682" t="s">
        <v>520</v>
      </c>
      <c r="H1682">
        <v>6</v>
      </c>
      <c r="I1682" s="25">
        <v>1233</v>
      </c>
      <c r="K1682" t="s">
        <v>391</v>
      </c>
      <c r="N1682" t="s">
        <v>44</v>
      </c>
      <c r="O1682">
        <v>251</v>
      </c>
      <c r="Q1682">
        <f t="shared" si="59"/>
        <v>4</v>
      </c>
      <c r="R1682">
        <v>1</v>
      </c>
      <c r="S1682">
        <v>0</v>
      </c>
      <c r="T1682">
        <v>0</v>
      </c>
      <c r="U1682">
        <v>0</v>
      </c>
      <c r="V1682">
        <v>0</v>
      </c>
      <c r="W1682">
        <v>4</v>
      </c>
      <c r="X1682" s="21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P1682" t="s">
        <v>41</v>
      </c>
    </row>
    <row r="1683" spans="1:42">
      <c r="A1683" s="1">
        <v>43794</v>
      </c>
      <c r="B1683">
        <v>1</v>
      </c>
      <c r="C1683">
        <v>537</v>
      </c>
      <c r="D1683">
        <v>10222</v>
      </c>
      <c r="E1683" t="s">
        <v>37</v>
      </c>
      <c r="F1683" t="s">
        <v>520</v>
      </c>
      <c r="H1683">
        <v>7</v>
      </c>
      <c r="I1683" s="25">
        <v>750</v>
      </c>
      <c r="K1683" t="s">
        <v>397</v>
      </c>
      <c r="N1683" t="s">
        <v>40</v>
      </c>
      <c r="O1683">
        <v>93</v>
      </c>
      <c r="Q1683">
        <f t="shared" si="59"/>
        <v>1</v>
      </c>
      <c r="R1683">
        <v>1</v>
      </c>
      <c r="S1683">
        <v>0</v>
      </c>
      <c r="T1683">
        <v>0</v>
      </c>
      <c r="U1683">
        <v>0</v>
      </c>
      <c r="V1683">
        <v>0</v>
      </c>
      <c r="W1683">
        <v>0</v>
      </c>
      <c r="X1683" s="21">
        <v>0</v>
      </c>
      <c r="Y1683">
        <v>0</v>
      </c>
      <c r="Z1683">
        <v>0</v>
      </c>
      <c r="AA1683">
        <v>1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J1683" t="s">
        <v>51</v>
      </c>
      <c r="AK1683" t="s">
        <v>95</v>
      </c>
      <c r="AP1683" t="s">
        <v>41</v>
      </c>
    </row>
    <row r="1684" spans="1:42">
      <c r="A1684" s="1">
        <v>43794</v>
      </c>
      <c r="B1684">
        <v>1</v>
      </c>
      <c r="C1684">
        <v>537</v>
      </c>
      <c r="D1684">
        <v>10222</v>
      </c>
      <c r="E1684" t="s">
        <v>37</v>
      </c>
      <c r="F1684" t="s">
        <v>520</v>
      </c>
      <c r="H1684">
        <v>8</v>
      </c>
      <c r="I1684" s="25">
        <v>1350</v>
      </c>
      <c r="K1684" t="s">
        <v>391</v>
      </c>
      <c r="N1684" t="s">
        <v>40</v>
      </c>
      <c r="O1684">
        <v>93</v>
      </c>
      <c r="Q1684">
        <f t="shared" si="59"/>
        <v>1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0</v>
      </c>
      <c r="X1684" s="21">
        <v>0</v>
      </c>
      <c r="Y1684">
        <v>0</v>
      </c>
      <c r="Z1684">
        <v>0</v>
      </c>
      <c r="AA1684">
        <v>1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J1684" t="s">
        <v>51</v>
      </c>
      <c r="AK1684" t="s">
        <v>95</v>
      </c>
      <c r="AP1684" t="s">
        <v>41</v>
      </c>
    </row>
    <row r="1685" spans="1:42">
      <c r="A1685" s="1">
        <v>43794</v>
      </c>
      <c r="B1685">
        <v>1</v>
      </c>
      <c r="C1685">
        <v>537</v>
      </c>
      <c r="D1685">
        <v>10222</v>
      </c>
      <c r="E1685" t="s">
        <v>37</v>
      </c>
      <c r="F1685" t="s">
        <v>520</v>
      </c>
      <c r="H1685">
        <v>9</v>
      </c>
      <c r="I1685" s="25">
        <v>30</v>
      </c>
      <c r="K1685" t="s">
        <v>415</v>
      </c>
      <c r="N1685" t="s">
        <v>44</v>
      </c>
      <c r="O1685">
        <v>77</v>
      </c>
      <c r="Q1685">
        <f t="shared" si="59"/>
        <v>0</v>
      </c>
      <c r="R1685">
        <v>1</v>
      </c>
      <c r="S1685">
        <v>0</v>
      </c>
      <c r="T1685">
        <v>0</v>
      </c>
      <c r="U1685">
        <v>0</v>
      </c>
      <c r="V1685">
        <v>0</v>
      </c>
      <c r="W1685">
        <v>0</v>
      </c>
      <c r="X1685" s="21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L1685" t="s">
        <v>530</v>
      </c>
      <c r="AP1685" t="s">
        <v>41</v>
      </c>
    </row>
    <row r="1686" spans="1:42">
      <c r="A1686" s="1">
        <v>43794</v>
      </c>
      <c r="B1686">
        <v>1</v>
      </c>
      <c r="C1686">
        <v>537</v>
      </c>
      <c r="D1686">
        <v>10222</v>
      </c>
      <c r="E1686" t="s">
        <v>37</v>
      </c>
      <c r="F1686" t="s">
        <v>520</v>
      </c>
      <c r="H1686">
        <v>10</v>
      </c>
      <c r="I1686" s="25" t="s">
        <v>532</v>
      </c>
      <c r="K1686" t="s">
        <v>391</v>
      </c>
      <c r="N1686" t="s">
        <v>44</v>
      </c>
      <c r="O1686">
        <v>260</v>
      </c>
      <c r="Q1686">
        <f t="shared" si="59"/>
        <v>2</v>
      </c>
      <c r="R1686">
        <v>1</v>
      </c>
      <c r="S1686">
        <v>0</v>
      </c>
      <c r="T1686">
        <v>0</v>
      </c>
      <c r="U1686">
        <v>0</v>
      </c>
      <c r="V1686">
        <v>1</v>
      </c>
      <c r="W1686">
        <v>0</v>
      </c>
      <c r="X1686" s="21">
        <v>0</v>
      </c>
      <c r="Y1686">
        <v>1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J1686" t="s">
        <v>51</v>
      </c>
      <c r="AK1686" t="s">
        <v>95</v>
      </c>
      <c r="AP1686" t="s">
        <v>41</v>
      </c>
    </row>
    <row r="1687" spans="1:42">
      <c r="A1687" s="1">
        <v>43794</v>
      </c>
      <c r="B1687">
        <v>1</v>
      </c>
      <c r="C1687">
        <v>537</v>
      </c>
      <c r="D1687">
        <v>10222</v>
      </c>
      <c r="E1687" t="s">
        <v>37</v>
      </c>
      <c r="F1687" t="s">
        <v>520</v>
      </c>
      <c r="H1687">
        <v>11</v>
      </c>
      <c r="I1687" s="25">
        <v>317</v>
      </c>
      <c r="K1687" t="s">
        <v>533</v>
      </c>
      <c r="N1687" t="s">
        <v>44</v>
      </c>
      <c r="O1687">
        <v>246</v>
      </c>
      <c r="Q1687">
        <f t="shared" si="59"/>
        <v>5</v>
      </c>
      <c r="R1687">
        <v>1</v>
      </c>
      <c r="S1687">
        <v>0</v>
      </c>
      <c r="T1687">
        <v>0</v>
      </c>
      <c r="U1687">
        <v>0</v>
      </c>
      <c r="V1687">
        <v>0</v>
      </c>
      <c r="W1687">
        <v>4</v>
      </c>
      <c r="X1687" s="21">
        <v>0</v>
      </c>
      <c r="Y1687">
        <v>1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J1687" t="s">
        <v>51</v>
      </c>
      <c r="AK1687" t="s">
        <v>95</v>
      </c>
      <c r="AP1687" t="s">
        <v>41</v>
      </c>
    </row>
    <row r="1688" spans="1:42">
      <c r="A1688" s="1">
        <v>43794</v>
      </c>
      <c r="B1688">
        <v>1</v>
      </c>
      <c r="C1688">
        <v>537</v>
      </c>
      <c r="D1688">
        <v>10222</v>
      </c>
      <c r="E1688" t="s">
        <v>37</v>
      </c>
      <c r="F1688" t="s">
        <v>520</v>
      </c>
      <c r="H1688">
        <v>12</v>
      </c>
      <c r="I1688" s="25">
        <v>683</v>
      </c>
      <c r="K1688" t="s">
        <v>378</v>
      </c>
      <c r="N1688" t="s">
        <v>40</v>
      </c>
      <c r="O1688">
        <v>77</v>
      </c>
      <c r="Q1688">
        <f t="shared" si="59"/>
        <v>1</v>
      </c>
      <c r="R1688">
        <v>1</v>
      </c>
      <c r="S1688">
        <v>0</v>
      </c>
      <c r="T1688">
        <v>0</v>
      </c>
      <c r="U1688">
        <v>0</v>
      </c>
      <c r="V1688">
        <v>0</v>
      </c>
      <c r="W1688">
        <v>0</v>
      </c>
      <c r="X1688" s="21">
        <v>0</v>
      </c>
      <c r="Y1688">
        <v>0</v>
      </c>
      <c r="Z1688">
        <v>0</v>
      </c>
      <c r="AA1688">
        <v>1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J1688" t="s">
        <v>51</v>
      </c>
      <c r="AK1688" t="s">
        <v>95</v>
      </c>
      <c r="AP1688" t="s">
        <v>41</v>
      </c>
    </row>
    <row r="1689" spans="1:42">
      <c r="A1689" s="1">
        <v>43794</v>
      </c>
      <c r="B1689">
        <v>1</v>
      </c>
      <c r="C1689">
        <v>537</v>
      </c>
      <c r="D1689">
        <v>10222</v>
      </c>
      <c r="E1689" t="s">
        <v>37</v>
      </c>
      <c r="F1689" t="s">
        <v>520</v>
      </c>
      <c r="H1689">
        <v>13</v>
      </c>
      <c r="I1689" s="25">
        <v>1</v>
      </c>
      <c r="K1689" t="s">
        <v>534</v>
      </c>
      <c r="N1689" t="s">
        <v>44</v>
      </c>
      <c r="O1689">
        <v>357</v>
      </c>
      <c r="Q1689">
        <f t="shared" si="59"/>
        <v>7</v>
      </c>
      <c r="R1689">
        <v>1</v>
      </c>
      <c r="S1689">
        <v>0</v>
      </c>
      <c r="T1689">
        <v>0</v>
      </c>
      <c r="U1689">
        <v>0</v>
      </c>
      <c r="V1689">
        <v>0</v>
      </c>
      <c r="W1689">
        <v>7</v>
      </c>
      <c r="X1689" s="21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J1689" t="s">
        <v>51</v>
      </c>
      <c r="AK1689" t="s">
        <v>95</v>
      </c>
      <c r="AP1689" t="s">
        <v>41</v>
      </c>
    </row>
    <row r="1690" spans="1:42">
      <c r="A1690" s="1">
        <v>43794</v>
      </c>
      <c r="B1690">
        <v>1</v>
      </c>
      <c r="C1690">
        <v>537</v>
      </c>
      <c r="D1690">
        <v>10222</v>
      </c>
      <c r="E1690" t="s">
        <v>37</v>
      </c>
      <c r="F1690" t="s">
        <v>520</v>
      </c>
      <c r="H1690">
        <v>15</v>
      </c>
      <c r="I1690" s="25">
        <v>235</v>
      </c>
      <c r="K1690" t="s">
        <v>535</v>
      </c>
      <c r="N1690" t="s">
        <v>44</v>
      </c>
      <c r="O1690">
        <v>209</v>
      </c>
      <c r="Q1690">
        <f t="shared" si="59"/>
        <v>2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1</v>
      </c>
      <c r="X1690" s="21">
        <v>0</v>
      </c>
      <c r="Y1690">
        <v>0</v>
      </c>
      <c r="Z1690">
        <v>0</v>
      </c>
      <c r="AA1690">
        <v>1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J1690" t="s">
        <v>51</v>
      </c>
      <c r="AK1690" t="s">
        <v>95</v>
      </c>
      <c r="AP1690" t="s">
        <v>41</v>
      </c>
    </row>
    <row r="1691" spans="1:42">
      <c r="A1691" s="1">
        <v>43794</v>
      </c>
      <c r="B1691">
        <v>1</v>
      </c>
      <c r="C1691">
        <v>537</v>
      </c>
      <c r="D1691">
        <v>10222</v>
      </c>
      <c r="E1691" t="s">
        <v>37</v>
      </c>
      <c r="F1691" t="s">
        <v>520</v>
      </c>
      <c r="H1691">
        <v>16</v>
      </c>
      <c r="I1691" s="25">
        <v>135</v>
      </c>
      <c r="K1691" t="s">
        <v>381</v>
      </c>
      <c r="N1691" t="s">
        <v>44</v>
      </c>
      <c r="O1691">
        <v>140</v>
      </c>
      <c r="Q1691">
        <f t="shared" si="59"/>
        <v>3</v>
      </c>
      <c r="R1691">
        <v>1</v>
      </c>
      <c r="S1691">
        <v>0</v>
      </c>
      <c r="T1691">
        <v>0</v>
      </c>
      <c r="U1691">
        <v>0</v>
      </c>
      <c r="V1691">
        <v>0</v>
      </c>
      <c r="W1691">
        <v>0</v>
      </c>
      <c r="X1691" s="21">
        <v>0</v>
      </c>
      <c r="Y1691">
        <v>0</v>
      </c>
      <c r="Z1691">
        <v>0</v>
      </c>
      <c r="AA1691">
        <v>3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J1691" t="s">
        <v>51</v>
      </c>
      <c r="AK1691" t="s">
        <v>95</v>
      </c>
      <c r="AP1691" t="s">
        <v>41</v>
      </c>
    </row>
    <row r="1692" spans="1:42">
      <c r="A1692" s="1">
        <v>43794</v>
      </c>
      <c r="B1692">
        <v>1</v>
      </c>
      <c r="C1692">
        <v>537</v>
      </c>
      <c r="D1692">
        <v>10222</v>
      </c>
      <c r="E1692" t="s">
        <v>37</v>
      </c>
      <c r="F1692" t="s">
        <v>520</v>
      </c>
      <c r="H1692">
        <v>17</v>
      </c>
      <c r="I1692" s="25">
        <v>138</v>
      </c>
      <c r="K1692" t="s">
        <v>473</v>
      </c>
      <c r="N1692" t="s">
        <v>44</v>
      </c>
      <c r="O1692">
        <v>140</v>
      </c>
      <c r="Q1692">
        <f t="shared" si="59"/>
        <v>0</v>
      </c>
      <c r="R1692">
        <v>1</v>
      </c>
      <c r="S1692">
        <v>0</v>
      </c>
      <c r="T1692">
        <v>0</v>
      </c>
      <c r="U1692">
        <v>0</v>
      </c>
      <c r="V1692">
        <v>0</v>
      </c>
      <c r="W1692">
        <v>0</v>
      </c>
      <c r="X1692" s="21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J1692" t="s">
        <v>51</v>
      </c>
      <c r="AK1692" t="s">
        <v>95</v>
      </c>
      <c r="AP1692" t="s">
        <v>41</v>
      </c>
    </row>
    <row r="1693" spans="1:42">
      <c r="A1693" s="1">
        <v>43794</v>
      </c>
      <c r="B1693">
        <v>1</v>
      </c>
      <c r="C1693">
        <v>537</v>
      </c>
      <c r="D1693">
        <v>10222</v>
      </c>
      <c r="E1693" t="s">
        <v>37</v>
      </c>
      <c r="F1693" t="s">
        <v>520</v>
      </c>
      <c r="H1693">
        <v>18</v>
      </c>
      <c r="I1693" s="25">
        <v>139</v>
      </c>
      <c r="K1693" t="s">
        <v>381</v>
      </c>
      <c r="N1693" t="s">
        <v>44</v>
      </c>
      <c r="O1693">
        <v>140</v>
      </c>
      <c r="Q1693">
        <f t="shared" si="59"/>
        <v>0</v>
      </c>
      <c r="R1693">
        <v>1</v>
      </c>
      <c r="S1693">
        <v>0</v>
      </c>
      <c r="T1693">
        <v>0</v>
      </c>
      <c r="U1693">
        <v>0</v>
      </c>
      <c r="V1693">
        <v>0</v>
      </c>
      <c r="W1693">
        <v>0</v>
      </c>
      <c r="X1693" s="21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J1693" t="s">
        <v>51</v>
      </c>
      <c r="AK1693" t="s">
        <v>95</v>
      </c>
      <c r="AP1693" t="s">
        <v>41</v>
      </c>
    </row>
    <row r="1694" spans="1:42">
      <c r="A1694" s="1">
        <v>43794</v>
      </c>
      <c r="B1694">
        <v>1</v>
      </c>
      <c r="C1694">
        <v>537</v>
      </c>
      <c r="D1694">
        <v>10222</v>
      </c>
      <c r="E1694" t="s">
        <v>37</v>
      </c>
      <c r="F1694" t="s">
        <v>520</v>
      </c>
      <c r="H1694">
        <v>19</v>
      </c>
      <c r="I1694" s="25">
        <v>650</v>
      </c>
      <c r="K1694" t="s">
        <v>380</v>
      </c>
      <c r="N1694" t="s">
        <v>44</v>
      </c>
      <c r="O1694">
        <v>150</v>
      </c>
      <c r="Q1694">
        <f t="shared" si="59"/>
        <v>1</v>
      </c>
      <c r="R1694">
        <v>1</v>
      </c>
      <c r="S1694">
        <v>0</v>
      </c>
      <c r="T1694">
        <v>0</v>
      </c>
      <c r="U1694">
        <v>0</v>
      </c>
      <c r="V1694">
        <v>0</v>
      </c>
      <c r="W1694">
        <v>0</v>
      </c>
      <c r="X1694" s="21">
        <v>0</v>
      </c>
      <c r="Y1694">
        <v>1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J1694" t="s">
        <v>51</v>
      </c>
      <c r="AK1694" t="s">
        <v>95</v>
      </c>
      <c r="AP1694" t="s">
        <v>41</v>
      </c>
    </row>
    <row r="1695" spans="1:42">
      <c r="A1695" s="1">
        <v>43794</v>
      </c>
      <c r="B1695">
        <v>1</v>
      </c>
      <c r="C1695">
        <v>537</v>
      </c>
      <c r="D1695">
        <v>10222</v>
      </c>
      <c r="E1695" t="s">
        <v>37</v>
      </c>
      <c r="F1695" t="s">
        <v>520</v>
      </c>
      <c r="H1695">
        <v>20</v>
      </c>
      <c r="I1695" s="25">
        <v>25</v>
      </c>
      <c r="K1695" t="s">
        <v>536</v>
      </c>
      <c r="N1695" t="s">
        <v>44</v>
      </c>
      <c r="O1695">
        <v>258</v>
      </c>
      <c r="Q1695">
        <f t="shared" si="59"/>
        <v>2</v>
      </c>
      <c r="R1695">
        <v>1</v>
      </c>
      <c r="S1695">
        <v>0</v>
      </c>
      <c r="T1695">
        <v>0</v>
      </c>
      <c r="U1695">
        <v>0</v>
      </c>
      <c r="V1695">
        <v>0</v>
      </c>
      <c r="W1695">
        <v>0</v>
      </c>
      <c r="X1695" s="21">
        <v>0</v>
      </c>
      <c r="Y1695">
        <v>0</v>
      </c>
      <c r="Z1695">
        <v>0</v>
      </c>
      <c r="AA1695">
        <v>2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J1695" t="s">
        <v>51</v>
      </c>
      <c r="AK1695" t="s">
        <v>95</v>
      </c>
      <c r="AP1695" t="s">
        <v>41</v>
      </c>
    </row>
    <row r="1696" spans="1:42">
      <c r="A1696" s="1">
        <v>43794</v>
      </c>
      <c r="B1696">
        <v>1</v>
      </c>
      <c r="C1696">
        <v>537</v>
      </c>
      <c r="D1696">
        <v>10222</v>
      </c>
      <c r="E1696" t="s">
        <v>37</v>
      </c>
      <c r="F1696" t="s">
        <v>520</v>
      </c>
      <c r="H1696">
        <v>21</v>
      </c>
      <c r="I1696" s="25">
        <v>799</v>
      </c>
      <c r="K1696" t="s">
        <v>106</v>
      </c>
      <c r="N1696" t="s">
        <v>40</v>
      </c>
      <c r="O1696">
        <v>139</v>
      </c>
      <c r="Q1696">
        <f t="shared" si="59"/>
        <v>1</v>
      </c>
      <c r="R1696">
        <v>1</v>
      </c>
      <c r="S1696">
        <v>0</v>
      </c>
      <c r="T1696">
        <v>0</v>
      </c>
      <c r="U1696">
        <v>0</v>
      </c>
      <c r="V1696">
        <v>0</v>
      </c>
      <c r="W1696">
        <v>0</v>
      </c>
      <c r="X1696" s="21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J1696" t="s">
        <v>51</v>
      </c>
      <c r="AK1696" t="s">
        <v>52</v>
      </c>
      <c r="AP1696" t="s">
        <v>41</v>
      </c>
    </row>
    <row r="1697" spans="1:42">
      <c r="A1697" s="1">
        <v>43794</v>
      </c>
      <c r="B1697">
        <v>1</v>
      </c>
      <c r="C1697">
        <v>537</v>
      </c>
      <c r="D1697">
        <v>10222</v>
      </c>
      <c r="E1697" t="s">
        <v>37</v>
      </c>
      <c r="F1697" t="s">
        <v>520</v>
      </c>
      <c r="H1697">
        <v>22</v>
      </c>
      <c r="I1697" s="25">
        <v>151</v>
      </c>
      <c r="K1697" t="s">
        <v>390</v>
      </c>
      <c r="N1697" t="s">
        <v>44</v>
      </c>
      <c r="O1697">
        <v>336</v>
      </c>
      <c r="Q1697">
        <f t="shared" si="59"/>
        <v>1</v>
      </c>
      <c r="R1697">
        <v>1</v>
      </c>
      <c r="S1697">
        <v>0</v>
      </c>
      <c r="T1697">
        <v>0</v>
      </c>
      <c r="U1697">
        <v>0</v>
      </c>
      <c r="V1697">
        <v>0</v>
      </c>
      <c r="W1697">
        <v>0</v>
      </c>
      <c r="X1697" s="21">
        <v>0</v>
      </c>
      <c r="Y1697">
        <v>0</v>
      </c>
      <c r="Z1697">
        <v>0</v>
      </c>
      <c r="AA1697">
        <v>1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J1697" t="s">
        <v>51</v>
      </c>
      <c r="AK1697" t="s">
        <v>52</v>
      </c>
      <c r="AP1697" t="s">
        <v>41</v>
      </c>
    </row>
    <row r="1698" spans="1:42">
      <c r="A1698" s="1">
        <v>43794</v>
      </c>
      <c r="B1698">
        <v>1</v>
      </c>
      <c r="C1698">
        <v>537</v>
      </c>
      <c r="D1698">
        <v>10222</v>
      </c>
      <c r="E1698" t="s">
        <v>37</v>
      </c>
      <c r="F1698" t="s">
        <v>520</v>
      </c>
      <c r="H1698">
        <v>23</v>
      </c>
      <c r="I1698" s="25" t="s">
        <v>537</v>
      </c>
      <c r="K1698" t="s">
        <v>73</v>
      </c>
      <c r="N1698" t="s">
        <v>44</v>
      </c>
      <c r="O1698">
        <v>219</v>
      </c>
      <c r="Q1698">
        <f t="shared" si="59"/>
        <v>2</v>
      </c>
      <c r="R1698">
        <v>1</v>
      </c>
      <c r="S1698">
        <v>0</v>
      </c>
      <c r="T1698">
        <v>0</v>
      </c>
      <c r="U1698">
        <v>0</v>
      </c>
      <c r="V1698">
        <v>0</v>
      </c>
      <c r="W1698">
        <v>0</v>
      </c>
      <c r="X1698" s="21">
        <v>0</v>
      </c>
      <c r="Y1698">
        <v>0</v>
      </c>
      <c r="Z1698">
        <v>0</v>
      </c>
      <c r="AA1698">
        <v>2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P1698" t="s">
        <v>41</v>
      </c>
    </row>
    <row r="1699" spans="1:42">
      <c r="A1699" s="1">
        <v>43794</v>
      </c>
      <c r="B1699">
        <v>1</v>
      </c>
      <c r="C1699">
        <v>537</v>
      </c>
      <c r="D1699">
        <v>10222</v>
      </c>
      <c r="E1699" t="s">
        <v>37</v>
      </c>
      <c r="F1699" t="s">
        <v>520</v>
      </c>
      <c r="H1699">
        <v>24</v>
      </c>
      <c r="I1699" s="25">
        <v>111</v>
      </c>
      <c r="K1699" t="s">
        <v>101</v>
      </c>
      <c r="M1699" t="s">
        <v>95</v>
      </c>
      <c r="N1699" t="s">
        <v>44</v>
      </c>
      <c r="O1699">
        <v>135</v>
      </c>
      <c r="Q1699">
        <f t="shared" si="59"/>
        <v>0</v>
      </c>
      <c r="R1699">
        <v>1</v>
      </c>
      <c r="S1699">
        <v>0</v>
      </c>
      <c r="T1699">
        <v>0</v>
      </c>
      <c r="U1699">
        <v>0</v>
      </c>
      <c r="V1699">
        <v>0</v>
      </c>
      <c r="W1699">
        <v>0</v>
      </c>
      <c r="X1699" s="21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P1699" t="s">
        <v>41</v>
      </c>
    </row>
    <row r="1700" spans="1:42">
      <c r="A1700" s="1">
        <v>43794</v>
      </c>
      <c r="B1700">
        <v>1</v>
      </c>
      <c r="C1700">
        <v>537</v>
      </c>
      <c r="D1700">
        <v>10222</v>
      </c>
      <c r="E1700" t="s">
        <v>37</v>
      </c>
      <c r="F1700" t="s">
        <v>520</v>
      </c>
      <c r="H1700">
        <v>25</v>
      </c>
      <c r="I1700" s="25">
        <v>118</v>
      </c>
      <c r="K1700" t="s">
        <v>101</v>
      </c>
      <c r="M1700" t="s">
        <v>95</v>
      </c>
      <c r="N1700" t="s">
        <v>44</v>
      </c>
      <c r="O1700">
        <v>135</v>
      </c>
      <c r="Q1700">
        <f t="shared" si="59"/>
        <v>6</v>
      </c>
      <c r="R1700">
        <v>1</v>
      </c>
      <c r="S1700">
        <v>0</v>
      </c>
      <c r="T1700">
        <v>0</v>
      </c>
      <c r="U1700">
        <v>0</v>
      </c>
      <c r="V1700">
        <v>0</v>
      </c>
      <c r="W1700">
        <v>6</v>
      </c>
      <c r="X1700" s="21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P1700" t="s">
        <v>41</v>
      </c>
    </row>
    <row r="1701" spans="1:42">
      <c r="A1701" s="1">
        <v>43794</v>
      </c>
      <c r="B1701">
        <v>1</v>
      </c>
      <c r="C1701">
        <v>537</v>
      </c>
      <c r="D1701">
        <v>10222</v>
      </c>
      <c r="E1701" t="s">
        <v>37</v>
      </c>
      <c r="F1701" t="s">
        <v>520</v>
      </c>
      <c r="H1701">
        <v>26</v>
      </c>
      <c r="I1701" s="25">
        <v>144</v>
      </c>
      <c r="K1701" t="s">
        <v>101</v>
      </c>
      <c r="N1701" t="s">
        <v>44</v>
      </c>
      <c r="O1701">
        <v>150</v>
      </c>
      <c r="Q1701">
        <f t="shared" si="59"/>
        <v>2</v>
      </c>
      <c r="R1701">
        <v>1</v>
      </c>
      <c r="S1701">
        <v>0</v>
      </c>
      <c r="T1701">
        <v>0</v>
      </c>
      <c r="U1701">
        <v>1</v>
      </c>
      <c r="V1701">
        <v>1</v>
      </c>
      <c r="W1701">
        <v>0</v>
      </c>
      <c r="X1701" s="2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P1701" t="s">
        <v>41</v>
      </c>
    </row>
    <row r="1702" spans="1:42">
      <c r="A1702" s="1">
        <v>43794</v>
      </c>
      <c r="B1702">
        <v>1</v>
      </c>
      <c r="C1702">
        <v>537</v>
      </c>
      <c r="D1702">
        <v>10222</v>
      </c>
      <c r="E1702" t="s">
        <v>37</v>
      </c>
      <c r="F1702" t="s">
        <v>520</v>
      </c>
      <c r="H1702">
        <v>27</v>
      </c>
      <c r="I1702" s="25">
        <v>222</v>
      </c>
      <c r="K1702" t="s">
        <v>101</v>
      </c>
      <c r="M1702" t="s">
        <v>95</v>
      </c>
      <c r="N1702" t="s">
        <v>40</v>
      </c>
      <c r="O1702">
        <v>201</v>
      </c>
      <c r="Q1702">
        <f t="shared" si="59"/>
        <v>1</v>
      </c>
      <c r="R1702">
        <v>1</v>
      </c>
      <c r="S1702">
        <v>0</v>
      </c>
      <c r="T1702">
        <v>0</v>
      </c>
      <c r="U1702">
        <v>0</v>
      </c>
      <c r="V1702">
        <v>0</v>
      </c>
      <c r="W1702">
        <v>0</v>
      </c>
      <c r="X1702" s="21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P1702" t="s">
        <v>41</v>
      </c>
    </row>
    <row r="1703" spans="1:42">
      <c r="A1703" s="1">
        <v>43794</v>
      </c>
      <c r="B1703">
        <v>1</v>
      </c>
      <c r="C1703">
        <v>537</v>
      </c>
      <c r="D1703">
        <v>10222</v>
      </c>
      <c r="E1703" t="s">
        <v>37</v>
      </c>
      <c r="F1703" t="s">
        <v>520</v>
      </c>
      <c r="H1703">
        <v>28</v>
      </c>
      <c r="I1703" s="25">
        <v>225</v>
      </c>
      <c r="K1703" t="s">
        <v>101</v>
      </c>
      <c r="M1703" t="s">
        <v>95</v>
      </c>
      <c r="N1703" t="s">
        <v>44</v>
      </c>
      <c r="O1703">
        <v>201</v>
      </c>
      <c r="Q1703">
        <f t="shared" si="59"/>
        <v>2</v>
      </c>
      <c r="R1703">
        <v>1</v>
      </c>
      <c r="S1703">
        <v>0</v>
      </c>
      <c r="T1703">
        <v>0</v>
      </c>
      <c r="U1703">
        <v>0</v>
      </c>
      <c r="V1703">
        <v>0</v>
      </c>
      <c r="W1703">
        <v>2</v>
      </c>
      <c r="X1703" s="21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P1703" t="s">
        <v>41</v>
      </c>
    </row>
    <row r="1704" spans="1:42">
      <c r="A1704" s="1">
        <v>43794</v>
      </c>
      <c r="B1704">
        <v>1</v>
      </c>
      <c r="C1704">
        <v>537</v>
      </c>
      <c r="D1704">
        <v>10222</v>
      </c>
      <c r="E1704" t="s">
        <v>37</v>
      </c>
      <c r="F1704" t="s">
        <v>520</v>
      </c>
      <c r="H1704">
        <v>29</v>
      </c>
      <c r="I1704" s="25" t="s">
        <v>538</v>
      </c>
      <c r="K1704" t="s">
        <v>101</v>
      </c>
      <c r="N1704" t="s">
        <v>44</v>
      </c>
      <c r="O1704">
        <v>100</v>
      </c>
      <c r="Q1704">
        <f t="shared" si="59"/>
        <v>3</v>
      </c>
      <c r="R1704">
        <v>1</v>
      </c>
      <c r="S1704">
        <v>0</v>
      </c>
      <c r="T1704">
        <v>0</v>
      </c>
      <c r="U1704">
        <v>0</v>
      </c>
      <c r="V1704">
        <v>0</v>
      </c>
      <c r="W1704">
        <v>3</v>
      </c>
      <c r="X1704" s="21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P1704" t="s">
        <v>41</v>
      </c>
    </row>
    <row r="1705" spans="1:42">
      <c r="A1705" s="1">
        <v>43794</v>
      </c>
      <c r="B1705">
        <v>1</v>
      </c>
      <c r="C1705">
        <v>537</v>
      </c>
      <c r="D1705">
        <v>10222</v>
      </c>
      <c r="E1705" t="s">
        <v>37</v>
      </c>
      <c r="F1705" t="s">
        <v>520</v>
      </c>
      <c r="H1705">
        <v>30</v>
      </c>
      <c r="I1705" s="25">
        <v>375</v>
      </c>
      <c r="K1705" t="s">
        <v>101</v>
      </c>
      <c r="N1705" t="s">
        <v>40</v>
      </c>
      <c r="O1705">
        <v>100</v>
      </c>
      <c r="Q1705">
        <f t="shared" si="59"/>
        <v>1</v>
      </c>
      <c r="R1705">
        <v>1</v>
      </c>
      <c r="S1705">
        <v>0</v>
      </c>
      <c r="T1705">
        <v>0</v>
      </c>
      <c r="U1705">
        <v>0</v>
      </c>
      <c r="V1705">
        <v>1</v>
      </c>
      <c r="W1705">
        <v>0</v>
      </c>
      <c r="X1705" s="21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P1705" t="s">
        <v>41</v>
      </c>
    </row>
    <row r="1706" spans="1:42">
      <c r="A1706" s="1">
        <v>43794</v>
      </c>
      <c r="B1706">
        <v>1</v>
      </c>
      <c r="C1706">
        <v>537</v>
      </c>
      <c r="D1706">
        <v>10222</v>
      </c>
      <c r="E1706" t="s">
        <v>37</v>
      </c>
      <c r="F1706" t="s">
        <v>520</v>
      </c>
      <c r="H1706">
        <v>31</v>
      </c>
      <c r="I1706" s="25">
        <v>624</v>
      </c>
      <c r="K1706" t="s">
        <v>101</v>
      </c>
      <c r="N1706" t="s">
        <v>44</v>
      </c>
      <c r="O1706">
        <v>449</v>
      </c>
      <c r="Q1706">
        <f t="shared" si="59"/>
        <v>4</v>
      </c>
      <c r="R1706">
        <v>1</v>
      </c>
      <c r="S1706">
        <v>0</v>
      </c>
      <c r="T1706">
        <v>0</v>
      </c>
      <c r="U1706">
        <v>0</v>
      </c>
      <c r="V1706">
        <v>0</v>
      </c>
      <c r="W1706">
        <v>3</v>
      </c>
      <c r="X1706" s="21">
        <v>0</v>
      </c>
      <c r="Y1706">
        <v>0</v>
      </c>
      <c r="Z1706">
        <v>0</v>
      </c>
      <c r="AA1706">
        <v>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L1706" t="s">
        <v>54</v>
      </c>
      <c r="AP1706" t="s">
        <v>41</v>
      </c>
    </row>
    <row r="1707" spans="1:42">
      <c r="A1707" s="1">
        <v>43794</v>
      </c>
      <c r="B1707">
        <v>1</v>
      </c>
      <c r="C1707">
        <v>537</v>
      </c>
      <c r="D1707">
        <v>10222</v>
      </c>
      <c r="E1707" t="s">
        <v>37</v>
      </c>
      <c r="F1707" t="s">
        <v>520</v>
      </c>
      <c r="H1707">
        <v>32</v>
      </c>
      <c r="I1707" s="25">
        <v>1001</v>
      </c>
      <c r="K1707" t="s">
        <v>69</v>
      </c>
      <c r="N1707" t="s">
        <v>44</v>
      </c>
      <c r="O1707">
        <v>480</v>
      </c>
      <c r="Q1707">
        <f t="shared" si="59"/>
        <v>9</v>
      </c>
      <c r="R1707">
        <v>1</v>
      </c>
      <c r="S1707">
        <v>0</v>
      </c>
      <c r="T1707">
        <v>0</v>
      </c>
      <c r="U1707">
        <v>0</v>
      </c>
      <c r="V1707">
        <v>0</v>
      </c>
      <c r="W1707">
        <v>9</v>
      </c>
      <c r="X1707" s="21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P1707" t="s">
        <v>41</v>
      </c>
    </row>
    <row r="1708" spans="1:42">
      <c r="A1708" s="1">
        <v>43794</v>
      </c>
      <c r="B1708">
        <v>1</v>
      </c>
      <c r="C1708">
        <v>537</v>
      </c>
      <c r="D1708">
        <v>10222</v>
      </c>
      <c r="E1708" t="s">
        <v>37</v>
      </c>
      <c r="F1708" t="s">
        <v>520</v>
      </c>
      <c r="H1708">
        <v>33</v>
      </c>
      <c r="I1708" s="25">
        <v>599</v>
      </c>
      <c r="K1708" t="s">
        <v>53</v>
      </c>
      <c r="N1708" t="s">
        <v>40</v>
      </c>
      <c r="O1708">
        <v>65</v>
      </c>
      <c r="Q1708">
        <f t="shared" si="59"/>
        <v>1</v>
      </c>
      <c r="R1708">
        <v>1</v>
      </c>
      <c r="S1708">
        <v>0</v>
      </c>
      <c r="T1708">
        <v>0</v>
      </c>
      <c r="U1708">
        <v>0</v>
      </c>
      <c r="V1708">
        <v>0</v>
      </c>
      <c r="W1708">
        <v>1</v>
      </c>
      <c r="X1708" s="21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P1708" t="s">
        <v>41</v>
      </c>
    </row>
    <row r="1709" spans="1:42">
      <c r="A1709" s="1">
        <v>43794</v>
      </c>
      <c r="B1709">
        <v>1</v>
      </c>
      <c r="C1709">
        <v>537</v>
      </c>
      <c r="D1709">
        <v>10222</v>
      </c>
      <c r="E1709" t="s">
        <v>37</v>
      </c>
      <c r="F1709" t="s">
        <v>520</v>
      </c>
      <c r="H1709">
        <v>34</v>
      </c>
      <c r="I1709" s="25">
        <v>501</v>
      </c>
      <c r="K1709" t="s">
        <v>53</v>
      </c>
      <c r="N1709" t="s">
        <v>40</v>
      </c>
      <c r="O1709">
        <v>127</v>
      </c>
      <c r="Q1709">
        <f t="shared" si="59"/>
        <v>5</v>
      </c>
      <c r="R1709">
        <v>1</v>
      </c>
      <c r="S1709">
        <v>0</v>
      </c>
      <c r="T1709">
        <v>0</v>
      </c>
      <c r="U1709">
        <v>0</v>
      </c>
      <c r="V1709">
        <v>0</v>
      </c>
      <c r="W1709">
        <v>5</v>
      </c>
      <c r="X1709" s="21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P1709" t="s">
        <v>41</v>
      </c>
    </row>
    <row r="1710" spans="1:42">
      <c r="A1710" s="1">
        <v>43794</v>
      </c>
      <c r="B1710">
        <v>1</v>
      </c>
      <c r="C1710">
        <v>537</v>
      </c>
      <c r="D1710">
        <v>10222</v>
      </c>
      <c r="E1710" t="s">
        <v>37</v>
      </c>
      <c r="F1710" t="s">
        <v>520</v>
      </c>
      <c r="H1710">
        <v>35</v>
      </c>
      <c r="I1710" s="25">
        <v>545</v>
      </c>
      <c r="K1710" t="s">
        <v>53</v>
      </c>
      <c r="N1710" t="s">
        <v>40</v>
      </c>
      <c r="O1710">
        <v>127</v>
      </c>
      <c r="Q1710">
        <f t="shared" si="59"/>
        <v>4</v>
      </c>
      <c r="R1710">
        <v>1</v>
      </c>
      <c r="S1710">
        <v>0</v>
      </c>
      <c r="T1710">
        <v>0</v>
      </c>
      <c r="U1710">
        <v>0</v>
      </c>
      <c r="V1710">
        <v>0</v>
      </c>
      <c r="W1710">
        <v>4</v>
      </c>
      <c r="X1710" s="21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P1710" t="s">
        <v>41</v>
      </c>
    </row>
    <row r="1711" spans="1:42">
      <c r="A1711" s="1">
        <v>43794</v>
      </c>
      <c r="B1711">
        <v>1</v>
      </c>
      <c r="C1711">
        <v>537</v>
      </c>
      <c r="D1711">
        <v>10222</v>
      </c>
      <c r="E1711" t="s">
        <v>37</v>
      </c>
      <c r="F1711" t="s">
        <v>520</v>
      </c>
      <c r="H1711">
        <v>36</v>
      </c>
      <c r="I1711" s="25">
        <v>635</v>
      </c>
      <c r="K1711" t="s">
        <v>49</v>
      </c>
      <c r="N1711" t="s">
        <v>44</v>
      </c>
      <c r="O1711">
        <v>211</v>
      </c>
      <c r="Q1711">
        <f t="shared" si="59"/>
        <v>4</v>
      </c>
      <c r="R1711">
        <v>1</v>
      </c>
      <c r="S1711">
        <v>0</v>
      </c>
      <c r="T1711">
        <v>0</v>
      </c>
      <c r="U1711">
        <v>0</v>
      </c>
      <c r="V1711">
        <v>0</v>
      </c>
      <c r="W1711">
        <v>4</v>
      </c>
      <c r="X1711" s="2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P1711" t="s">
        <v>41</v>
      </c>
    </row>
    <row r="1712" spans="1:42">
      <c r="A1712" s="1">
        <v>43794</v>
      </c>
      <c r="B1712">
        <v>1</v>
      </c>
      <c r="C1712">
        <v>537</v>
      </c>
      <c r="D1712">
        <v>10222</v>
      </c>
      <c r="E1712" t="s">
        <v>37</v>
      </c>
      <c r="F1712" t="s">
        <v>520</v>
      </c>
      <c r="H1712">
        <v>37</v>
      </c>
      <c r="I1712" s="25">
        <v>445</v>
      </c>
      <c r="K1712" t="s">
        <v>442</v>
      </c>
      <c r="M1712" t="s">
        <v>95</v>
      </c>
      <c r="N1712" t="s">
        <v>44</v>
      </c>
      <c r="O1712">
        <v>290</v>
      </c>
      <c r="Q1712">
        <f t="shared" si="59"/>
        <v>3</v>
      </c>
      <c r="R1712">
        <v>1</v>
      </c>
      <c r="S1712">
        <v>0</v>
      </c>
      <c r="T1712">
        <v>0</v>
      </c>
      <c r="U1712">
        <v>0</v>
      </c>
      <c r="V1712">
        <v>0</v>
      </c>
      <c r="W1712">
        <v>1</v>
      </c>
      <c r="X1712" s="21">
        <v>0</v>
      </c>
      <c r="Y1712">
        <v>0</v>
      </c>
      <c r="Z1712">
        <v>2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P1712" t="s">
        <v>41</v>
      </c>
    </row>
    <row r="1713" spans="1:42">
      <c r="A1713" s="1">
        <v>43794</v>
      </c>
      <c r="B1713">
        <v>1</v>
      </c>
      <c r="C1713">
        <v>537</v>
      </c>
      <c r="D1713">
        <v>10222</v>
      </c>
      <c r="E1713" t="s">
        <v>37</v>
      </c>
      <c r="F1713" t="s">
        <v>520</v>
      </c>
      <c r="H1713">
        <v>38</v>
      </c>
      <c r="I1713" s="25">
        <v>438</v>
      </c>
      <c r="K1713" t="s">
        <v>74</v>
      </c>
      <c r="M1713" t="s">
        <v>95</v>
      </c>
      <c r="N1713" t="s">
        <v>44</v>
      </c>
      <c r="O1713">
        <v>290</v>
      </c>
      <c r="Q1713">
        <f t="shared" si="59"/>
        <v>1</v>
      </c>
      <c r="R1713">
        <v>1</v>
      </c>
      <c r="S1713">
        <v>0</v>
      </c>
      <c r="T1713">
        <v>0</v>
      </c>
      <c r="U1713">
        <v>0</v>
      </c>
      <c r="V1713">
        <v>0</v>
      </c>
      <c r="W1713">
        <v>1</v>
      </c>
      <c r="X1713" s="21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P1713" t="s">
        <v>41</v>
      </c>
    </row>
    <row r="1714" spans="1:42">
      <c r="A1714" s="1">
        <v>43794</v>
      </c>
      <c r="B1714">
        <v>1</v>
      </c>
      <c r="C1714">
        <v>537</v>
      </c>
      <c r="D1714">
        <v>10222</v>
      </c>
      <c r="E1714" t="s">
        <v>37</v>
      </c>
      <c r="F1714" t="s">
        <v>520</v>
      </c>
      <c r="H1714">
        <v>39</v>
      </c>
      <c r="I1714" s="25">
        <v>401</v>
      </c>
      <c r="K1714" t="s">
        <v>101</v>
      </c>
      <c r="O1714">
        <v>140</v>
      </c>
      <c r="Q1714">
        <f t="shared" si="59"/>
        <v>5</v>
      </c>
      <c r="R1714">
        <v>1</v>
      </c>
      <c r="S1714">
        <v>0</v>
      </c>
      <c r="T1714">
        <v>0</v>
      </c>
      <c r="U1714">
        <v>0</v>
      </c>
      <c r="V1714">
        <v>0</v>
      </c>
      <c r="W1714">
        <v>5</v>
      </c>
      <c r="X1714" s="21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P1714" t="s">
        <v>41</v>
      </c>
    </row>
    <row r="1715" spans="1:42">
      <c r="A1715" s="1">
        <v>43794</v>
      </c>
      <c r="B1715">
        <v>1</v>
      </c>
      <c r="C1715">
        <v>537</v>
      </c>
      <c r="D1715">
        <v>10222</v>
      </c>
      <c r="E1715" t="s">
        <v>37</v>
      </c>
      <c r="F1715" t="s">
        <v>520</v>
      </c>
      <c r="H1715">
        <v>40</v>
      </c>
      <c r="I1715" s="25">
        <v>201</v>
      </c>
      <c r="K1715" t="s">
        <v>100</v>
      </c>
      <c r="N1715" t="s">
        <v>40</v>
      </c>
      <c r="O1715">
        <v>43</v>
      </c>
      <c r="Q1715">
        <f t="shared" si="59"/>
        <v>1</v>
      </c>
      <c r="R1715">
        <v>1</v>
      </c>
      <c r="S1715">
        <v>0</v>
      </c>
      <c r="T1715">
        <v>0</v>
      </c>
      <c r="U1715">
        <v>1</v>
      </c>
      <c r="V1715">
        <v>0</v>
      </c>
      <c r="W1715">
        <v>0</v>
      </c>
      <c r="X1715" s="21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P1715" t="s">
        <v>41</v>
      </c>
    </row>
    <row r="1716" spans="1:42">
      <c r="A1716" s="1">
        <v>43794</v>
      </c>
      <c r="B1716">
        <v>1</v>
      </c>
      <c r="C1716">
        <v>537</v>
      </c>
      <c r="D1716">
        <v>10222</v>
      </c>
      <c r="E1716" t="s">
        <v>37</v>
      </c>
      <c r="F1716" t="s">
        <v>520</v>
      </c>
      <c r="H1716">
        <v>41</v>
      </c>
      <c r="I1716" s="25">
        <v>237</v>
      </c>
      <c r="K1716" t="s">
        <v>100</v>
      </c>
      <c r="N1716" t="s">
        <v>40</v>
      </c>
      <c r="O1716">
        <v>58</v>
      </c>
      <c r="Q1716">
        <f t="shared" si="59"/>
        <v>1</v>
      </c>
      <c r="R1716">
        <v>1</v>
      </c>
      <c r="S1716">
        <v>0</v>
      </c>
      <c r="T1716">
        <v>0</v>
      </c>
      <c r="U1716">
        <v>1</v>
      </c>
      <c r="V1716">
        <v>0</v>
      </c>
      <c r="W1716">
        <v>0</v>
      </c>
      <c r="X1716" s="21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L1716" t="s">
        <v>539</v>
      </c>
      <c r="AP1716" t="s">
        <v>41</v>
      </c>
    </row>
    <row r="1717" spans="1:42">
      <c r="A1717" s="1">
        <v>43794</v>
      </c>
      <c r="B1717">
        <v>1</v>
      </c>
      <c r="C1717">
        <v>537</v>
      </c>
      <c r="D1717">
        <v>10222</v>
      </c>
      <c r="E1717" t="s">
        <v>37</v>
      </c>
      <c r="F1717" t="s">
        <v>520</v>
      </c>
      <c r="H1717">
        <v>42</v>
      </c>
      <c r="I1717" s="25">
        <v>301</v>
      </c>
      <c r="K1717" t="s">
        <v>100</v>
      </c>
      <c r="N1717" t="s">
        <v>44</v>
      </c>
      <c r="O1717">
        <v>151</v>
      </c>
      <c r="Q1717">
        <f t="shared" si="59"/>
        <v>3</v>
      </c>
      <c r="R1717">
        <v>1</v>
      </c>
      <c r="S1717">
        <v>0</v>
      </c>
      <c r="T1717">
        <v>0</v>
      </c>
      <c r="U1717">
        <v>0</v>
      </c>
      <c r="V1717">
        <v>0</v>
      </c>
      <c r="W1717">
        <v>3</v>
      </c>
      <c r="X1717" s="21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P1717" t="s">
        <v>41</v>
      </c>
    </row>
    <row r="1718" spans="1:42">
      <c r="A1718" s="1">
        <v>43794</v>
      </c>
      <c r="B1718">
        <v>1</v>
      </c>
      <c r="C1718">
        <v>537</v>
      </c>
      <c r="D1718">
        <v>10222</v>
      </c>
      <c r="E1718" t="s">
        <v>37</v>
      </c>
      <c r="F1718" t="s">
        <v>520</v>
      </c>
      <c r="H1718">
        <v>43</v>
      </c>
      <c r="I1718" s="25">
        <v>370</v>
      </c>
      <c r="K1718" t="s">
        <v>100</v>
      </c>
      <c r="O1718">
        <v>277</v>
      </c>
      <c r="Q1718">
        <f t="shared" si="59"/>
        <v>2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2</v>
      </c>
      <c r="X1718" s="21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P1718" t="s">
        <v>41</v>
      </c>
    </row>
    <row r="1719" spans="1:42">
      <c r="A1719" s="1">
        <v>43794</v>
      </c>
      <c r="B1719">
        <v>1</v>
      </c>
      <c r="C1719">
        <v>537</v>
      </c>
      <c r="D1719">
        <v>10222</v>
      </c>
      <c r="E1719" t="s">
        <v>37</v>
      </c>
      <c r="F1719" t="s">
        <v>520</v>
      </c>
      <c r="H1719">
        <v>44</v>
      </c>
      <c r="I1719" s="25">
        <v>344</v>
      </c>
      <c r="K1719" t="s">
        <v>100</v>
      </c>
      <c r="O1719">
        <v>277</v>
      </c>
      <c r="Q1719">
        <f t="shared" si="59"/>
        <v>2</v>
      </c>
      <c r="R1719">
        <v>1</v>
      </c>
      <c r="S1719">
        <v>0</v>
      </c>
      <c r="T1719">
        <v>0</v>
      </c>
      <c r="U1719">
        <v>0</v>
      </c>
      <c r="V1719">
        <v>0</v>
      </c>
      <c r="W1719">
        <v>2</v>
      </c>
      <c r="X1719" s="21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P1719" t="s">
        <v>41</v>
      </c>
    </row>
    <row r="1720" spans="1:42">
      <c r="A1720" s="1">
        <v>43794</v>
      </c>
      <c r="B1720">
        <v>1</v>
      </c>
      <c r="C1720">
        <v>537</v>
      </c>
      <c r="D1720">
        <v>10222</v>
      </c>
      <c r="E1720" t="s">
        <v>37</v>
      </c>
      <c r="F1720" t="s">
        <v>520</v>
      </c>
      <c r="H1720">
        <v>45</v>
      </c>
      <c r="I1720" s="25">
        <v>601</v>
      </c>
      <c r="K1720" t="s">
        <v>98</v>
      </c>
      <c r="O1720">
        <v>261</v>
      </c>
      <c r="Q1720">
        <f t="shared" si="59"/>
        <v>2</v>
      </c>
      <c r="R1720">
        <v>1</v>
      </c>
      <c r="S1720">
        <v>0</v>
      </c>
      <c r="T1720">
        <v>0</v>
      </c>
      <c r="U1720">
        <v>0</v>
      </c>
      <c r="V1720">
        <v>0</v>
      </c>
      <c r="W1720">
        <v>0</v>
      </c>
      <c r="X1720" s="21">
        <v>0</v>
      </c>
      <c r="Y1720">
        <v>0</v>
      </c>
      <c r="Z1720">
        <v>0</v>
      </c>
      <c r="AA1720">
        <v>2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P1720" t="s">
        <v>41</v>
      </c>
    </row>
    <row r="1721" spans="1:42">
      <c r="A1721" s="1">
        <v>43794</v>
      </c>
      <c r="B1721">
        <v>1</v>
      </c>
      <c r="C1721">
        <v>537</v>
      </c>
      <c r="D1721">
        <v>10222</v>
      </c>
      <c r="E1721" t="s">
        <v>37</v>
      </c>
      <c r="F1721" t="s">
        <v>520</v>
      </c>
      <c r="H1721">
        <v>46</v>
      </c>
      <c r="I1721" s="25">
        <v>501</v>
      </c>
      <c r="K1721" t="s">
        <v>98</v>
      </c>
      <c r="O1721">
        <v>121</v>
      </c>
      <c r="Q1721">
        <f t="shared" ref="Q1721:Q1784" si="60">SUM(S1721:AC1721)</f>
        <v>2</v>
      </c>
      <c r="R1721">
        <v>1</v>
      </c>
      <c r="S1721">
        <v>0</v>
      </c>
      <c r="T1721">
        <v>0</v>
      </c>
      <c r="U1721">
        <v>0</v>
      </c>
      <c r="V1721">
        <v>0</v>
      </c>
      <c r="W1721">
        <v>2</v>
      </c>
      <c r="X1721" s="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L1721" t="s">
        <v>45</v>
      </c>
      <c r="AP1721" t="s">
        <v>41</v>
      </c>
    </row>
    <row r="1722" spans="1:42">
      <c r="A1722" s="1">
        <v>43838</v>
      </c>
      <c r="B1722">
        <v>3</v>
      </c>
      <c r="C1722">
        <v>243</v>
      </c>
      <c r="D1722">
        <v>14449</v>
      </c>
      <c r="E1722" t="s">
        <v>112</v>
      </c>
      <c r="F1722" t="s">
        <v>90</v>
      </c>
      <c r="G1722">
        <v>4</v>
      </c>
      <c r="H1722">
        <v>1</v>
      </c>
      <c r="I1722" s="25">
        <v>558</v>
      </c>
      <c r="K1722" t="s">
        <v>540</v>
      </c>
      <c r="L1722" t="s">
        <v>114</v>
      </c>
      <c r="M1722" t="s">
        <v>52</v>
      </c>
      <c r="N1722" t="s">
        <v>40</v>
      </c>
      <c r="O1722">
        <v>120</v>
      </c>
      <c r="Q1722">
        <f t="shared" si="60"/>
        <v>4</v>
      </c>
      <c r="S1722">
        <v>0</v>
      </c>
      <c r="T1722">
        <v>0</v>
      </c>
      <c r="U1722">
        <v>0</v>
      </c>
      <c r="V1722">
        <v>0</v>
      </c>
      <c r="W1722">
        <v>4</v>
      </c>
      <c r="X1722" s="21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J1722" t="s">
        <v>51</v>
      </c>
      <c r="AK1722" t="s">
        <v>52</v>
      </c>
      <c r="AP1722" t="s">
        <v>541</v>
      </c>
    </row>
    <row r="1723" spans="1:42">
      <c r="A1723" s="1">
        <v>43838</v>
      </c>
      <c r="B1723">
        <v>3</v>
      </c>
      <c r="C1723">
        <v>243</v>
      </c>
      <c r="D1723">
        <v>14449</v>
      </c>
      <c r="E1723" t="s">
        <v>112</v>
      </c>
      <c r="F1723" t="s">
        <v>90</v>
      </c>
      <c r="G1723">
        <v>4</v>
      </c>
      <c r="H1723">
        <v>2</v>
      </c>
      <c r="I1723" s="25">
        <v>106</v>
      </c>
      <c r="K1723" t="s">
        <v>542</v>
      </c>
      <c r="L1723" t="s">
        <v>114</v>
      </c>
      <c r="M1723" t="s">
        <v>52</v>
      </c>
      <c r="N1723" t="s">
        <v>40</v>
      </c>
      <c r="O1723">
        <v>82</v>
      </c>
      <c r="Q1723">
        <f t="shared" si="60"/>
        <v>5</v>
      </c>
      <c r="S1723">
        <v>0</v>
      </c>
      <c r="T1723">
        <v>0</v>
      </c>
      <c r="U1723">
        <v>0</v>
      </c>
      <c r="V1723">
        <v>3</v>
      </c>
      <c r="W1723">
        <v>2</v>
      </c>
      <c r="X1723" s="21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P1723" t="s">
        <v>541</v>
      </c>
    </row>
    <row r="1724" spans="1:42">
      <c r="A1724" s="1">
        <v>43838</v>
      </c>
      <c r="B1724">
        <v>3</v>
      </c>
      <c r="C1724">
        <v>243</v>
      </c>
      <c r="D1724">
        <v>14449</v>
      </c>
      <c r="E1724" t="s">
        <v>112</v>
      </c>
      <c r="F1724" t="s">
        <v>90</v>
      </c>
      <c r="G1724">
        <v>4</v>
      </c>
      <c r="H1724">
        <v>3</v>
      </c>
      <c r="I1724" s="25">
        <v>124</v>
      </c>
      <c r="K1724" t="s">
        <v>543</v>
      </c>
      <c r="L1724" t="s">
        <v>114</v>
      </c>
      <c r="M1724" t="s">
        <v>52</v>
      </c>
      <c r="N1724" t="s">
        <v>40</v>
      </c>
      <c r="O1724">
        <v>84</v>
      </c>
      <c r="Q1724">
        <f t="shared" si="60"/>
        <v>6</v>
      </c>
      <c r="S1724">
        <v>0</v>
      </c>
      <c r="T1724">
        <v>0</v>
      </c>
      <c r="U1724">
        <v>0</v>
      </c>
      <c r="V1724">
        <v>0</v>
      </c>
      <c r="W1724">
        <v>6</v>
      </c>
      <c r="X1724" s="21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P1724" t="s">
        <v>541</v>
      </c>
    </row>
    <row r="1725" spans="1:42">
      <c r="A1725" s="1">
        <v>43838</v>
      </c>
      <c r="B1725">
        <v>3</v>
      </c>
      <c r="C1725">
        <v>243</v>
      </c>
      <c r="D1725">
        <v>14449</v>
      </c>
      <c r="E1725" t="s">
        <v>112</v>
      </c>
      <c r="F1725" t="s">
        <v>90</v>
      </c>
      <c r="G1725">
        <v>4</v>
      </c>
      <c r="H1725">
        <v>4</v>
      </c>
      <c r="I1725" s="25">
        <v>100</v>
      </c>
      <c r="K1725" t="s">
        <v>543</v>
      </c>
      <c r="L1725" t="s">
        <v>114</v>
      </c>
      <c r="M1725" t="s">
        <v>52</v>
      </c>
      <c r="N1725" t="s">
        <v>40</v>
      </c>
      <c r="O1725">
        <v>81</v>
      </c>
      <c r="Q1725">
        <f t="shared" si="60"/>
        <v>4</v>
      </c>
      <c r="S1725">
        <v>2</v>
      </c>
      <c r="T1725">
        <v>0</v>
      </c>
      <c r="U1725">
        <v>0</v>
      </c>
      <c r="V1725">
        <v>2</v>
      </c>
      <c r="W1725">
        <v>0</v>
      </c>
      <c r="X1725" s="21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P1725" t="s">
        <v>541</v>
      </c>
    </row>
    <row r="1726" spans="1:42">
      <c r="A1726" s="1">
        <v>43838</v>
      </c>
      <c r="B1726">
        <v>3</v>
      </c>
      <c r="C1726">
        <v>243</v>
      </c>
      <c r="D1726">
        <v>14449</v>
      </c>
      <c r="E1726" t="s">
        <v>112</v>
      </c>
      <c r="F1726" t="s">
        <v>90</v>
      </c>
      <c r="G1726">
        <v>4</v>
      </c>
      <c r="H1726">
        <v>5</v>
      </c>
      <c r="I1726" s="25">
        <v>100</v>
      </c>
      <c r="K1726" t="s">
        <v>543</v>
      </c>
      <c r="L1726" t="s">
        <v>114</v>
      </c>
      <c r="M1726" t="s">
        <v>52</v>
      </c>
      <c r="N1726" t="s">
        <v>40</v>
      </c>
      <c r="O1726">
        <v>49</v>
      </c>
      <c r="Q1726">
        <f t="shared" si="60"/>
        <v>4</v>
      </c>
      <c r="S1726">
        <v>2</v>
      </c>
      <c r="T1726">
        <v>0</v>
      </c>
      <c r="U1726">
        <v>0</v>
      </c>
      <c r="V1726">
        <v>2</v>
      </c>
      <c r="W1726">
        <v>0</v>
      </c>
      <c r="X1726" s="21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P1726" t="s">
        <v>541</v>
      </c>
    </row>
    <row r="1727" spans="1:42">
      <c r="A1727" s="1">
        <v>43838</v>
      </c>
      <c r="B1727">
        <v>3</v>
      </c>
      <c r="C1727">
        <v>243</v>
      </c>
      <c r="D1727">
        <v>14449</v>
      </c>
      <c r="E1727" t="s">
        <v>112</v>
      </c>
      <c r="F1727" t="s">
        <v>90</v>
      </c>
      <c r="G1727">
        <v>4</v>
      </c>
      <c r="H1727">
        <v>6</v>
      </c>
      <c r="I1727" s="25">
        <v>100</v>
      </c>
      <c r="K1727" t="s">
        <v>543</v>
      </c>
      <c r="L1727" t="s">
        <v>114</v>
      </c>
      <c r="M1727" t="s">
        <v>52</v>
      </c>
      <c r="N1727" t="s">
        <v>40</v>
      </c>
      <c r="O1727">
        <v>49</v>
      </c>
      <c r="Q1727">
        <f t="shared" si="60"/>
        <v>4</v>
      </c>
      <c r="S1727">
        <v>2</v>
      </c>
      <c r="T1727">
        <v>0</v>
      </c>
      <c r="U1727">
        <v>0</v>
      </c>
      <c r="V1727">
        <v>2</v>
      </c>
      <c r="W1727">
        <v>0</v>
      </c>
      <c r="X1727" s="21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P1727" t="s">
        <v>541</v>
      </c>
    </row>
    <row r="1728" spans="1:42">
      <c r="A1728" s="1">
        <v>43838</v>
      </c>
      <c r="B1728">
        <v>3</v>
      </c>
      <c r="C1728">
        <v>243</v>
      </c>
      <c r="D1728">
        <v>14449</v>
      </c>
      <c r="E1728" t="s">
        <v>112</v>
      </c>
      <c r="F1728" t="s">
        <v>90</v>
      </c>
      <c r="G1728">
        <v>4</v>
      </c>
      <c r="H1728">
        <v>7</v>
      </c>
      <c r="I1728" s="25">
        <v>129</v>
      </c>
      <c r="K1728" t="s">
        <v>543</v>
      </c>
      <c r="L1728" t="s">
        <v>141</v>
      </c>
      <c r="M1728" t="s">
        <v>52</v>
      </c>
      <c r="N1728" t="s">
        <v>40</v>
      </c>
      <c r="O1728">
        <v>25</v>
      </c>
      <c r="Q1728">
        <f t="shared" si="60"/>
        <v>2</v>
      </c>
      <c r="S1728">
        <v>1</v>
      </c>
      <c r="T1728">
        <v>0</v>
      </c>
      <c r="U1728">
        <v>0</v>
      </c>
      <c r="V1728">
        <v>1</v>
      </c>
      <c r="W1728">
        <v>0</v>
      </c>
      <c r="X1728" s="21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P1728" t="s">
        <v>541</v>
      </c>
    </row>
    <row r="1729" spans="1:42">
      <c r="A1729" s="1">
        <v>43838</v>
      </c>
      <c r="B1729">
        <v>3</v>
      </c>
      <c r="C1729">
        <v>243</v>
      </c>
      <c r="D1729">
        <v>14449</v>
      </c>
      <c r="E1729" t="s">
        <v>112</v>
      </c>
      <c r="F1729" t="s">
        <v>90</v>
      </c>
      <c r="G1729">
        <v>4</v>
      </c>
      <c r="H1729">
        <v>8</v>
      </c>
      <c r="I1729" s="25">
        <v>169</v>
      </c>
      <c r="K1729" t="s">
        <v>543</v>
      </c>
      <c r="L1729" t="s">
        <v>141</v>
      </c>
      <c r="M1729" t="s">
        <v>52</v>
      </c>
      <c r="N1729" t="s">
        <v>40</v>
      </c>
      <c r="O1729">
        <v>80</v>
      </c>
      <c r="Q1729">
        <f t="shared" si="60"/>
        <v>4</v>
      </c>
      <c r="S1729">
        <v>2</v>
      </c>
      <c r="T1729">
        <v>0</v>
      </c>
      <c r="U1729">
        <v>0</v>
      </c>
      <c r="V1729">
        <v>1</v>
      </c>
      <c r="W1729">
        <v>1</v>
      </c>
      <c r="X1729" s="21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1</v>
      </c>
      <c r="AG1729">
        <v>0</v>
      </c>
      <c r="AP1729" t="s">
        <v>541</v>
      </c>
    </row>
    <row r="1730" spans="1:42">
      <c r="A1730" s="1">
        <v>43838</v>
      </c>
      <c r="B1730">
        <v>3</v>
      </c>
      <c r="C1730">
        <v>243</v>
      </c>
      <c r="D1730">
        <v>14449</v>
      </c>
      <c r="E1730" t="s">
        <v>112</v>
      </c>
      <c r="F1730" t="s">
        <v>90</v>
      </c>
      <c r="G1730">
        <v>4</v>
      </c>
      <c r="H1730">
        <v>9</v>
      </c>
      <c r="I1730" s="25">
        <v>127</v>
      </c>
      <c r="K1730" t="s">
        <v>543</v>
      </c>
      <c r="L1730" t="s">
        <v>141</v>
      </c>
      <c r="M1730" t="s">
        <v>52</v>
      </c>
      <c r="N1730" t="s">
        <v>40</v>
      </c>
      <c r="O1730">
        <v>135</v>
      </c>
      <c r="Q1730">
        <f t="shared" si="60"/>
        <v>3</v>
      </c>
      <c r="S1730">
        <v>2</v>
      </c>
      <c r="T1730">
        <v>0</v>
      </c>
      <c r="U1730">
        <v>0</v>
      </c>
      <c r="V1730">
        <v>1</v>
      </c>
      <c r="W1730">
        <v>0</v>
      </c>
      <c r="X1730" s="21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1</v>
      </c>
      <c r="AG1730">
        <v>0</v>
      </c>
      <c r="AP1730" t="s">
        <v>541</v>
      </c>
    </row>
    <row r="1731" spans="1:42">
      <c r="A1731" s="1">
        <v>43838</v>
      </c>
      <c r="B1731">
        <v>3</v>
      </c>
      <c r="C1731">
        <v>243</v>
      </c>
      <c r="D1731">
        <v>14449</v>
      </c>
      <c r="E1731" t="s">
        <v>112</v>
      </c>
      <c r="F1731" t="s">
        <v>90</v>
      </c>
      <c r="G1731">
        <v>4</v>
      </c>
      <c r="H1731">
        <v>10</v>
      </c>
      <c r="I1731" s="25">
        <v>151</v>
      </c>
      <c r="K1731" t="s">
        <v>540</v>
      </c>
      <c r="L1731" t="s">
        <v>141</v>
      </c>
      <c r="M1731" t="s">
        <v>52</v>
      </c>
      <c r="N1731" t="s">
        <v>44</v>
      </c>
      <c r="O1731">
        <v>152</v>
      </c>
      <c r="Q1731">
        <f t="shared" si="60"/>
        <v>2</v>
      </c>
      <c r="S1731">
        <v>0</v>
      </c>
      <c r="T1731">
        <v>0</v>
      </c>
      <c r="U1731">
        <v>0</v>
      </c>
      <c r="V1731">
        <v>0</v>
      </c>
      <c r="W1731">
        <v>2</v>
      </c>
      <c r="X1731" s="2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L1731" t="s">
        <v>544</v>
      </c>
      <c r="AP1731" t="s">
        <v>541</v>
      </c>
    </row>
    <row r="1732" spans="1:42">
      <c r="A1732" s="1">
        <v>43838</v>
      </c>
      <c r="B1732">
        <v>3</v>
      </c>
      <c r="C1732">
        <v>243</v>
      </c>
      <c r="D1732">
        <v>14449</v>
      </c>
      <c r="E1732" t="s">
        <v>112</v>
      </c>
      <c r="F1732" t="s">
        <v>90</v>
      </c>
      <c r="G1732">
        <v>4</v>
      </c>
      <c r="H1732">
        <v>11</v>
      </c>
      <c r="I1732" s="25">
        <v>100</v>
      </c>
      <c r="K1732" t="s">
        <v>545</v>
      </c>
      <c r="L1732" t="s">
        <v>114</v>
      </c>
      <c r="M1732" t="s">
        <v>52</v>
      </c>
      <c r="N1732" t="s">
        <v>40</v>
      </c>
      <c r="O1732">
        <v>67</v>
      </c>
      <c r="Q1732">
        <f t="shared" si="60"/>
        <v>9</v>
      </c>
      <c r="S1732">
        <v>0</v>
      </c>
      <c r="T1732">
        <v>0</v>
      </c>
      <c r="U1732">
        <v>0</v>
      </c>
      <c r="V1732">
        <v>4</v>
      </c>
      <c r="W1732">
        <v>5</v>
      </c>
      <c r="X1732" s="21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P1732" t="s">
        <v>541</v>
      </c>
    </row>
    <row r="1733" spans="1:42">
      <c r="A1733" s="1">
        <v>43838</v>
      </c>
      <c r="B1733">
        <v>3</v>
      </c>
      <c r="C1733">
        <v>243</v>
      </c>
      <c r="D1733">
        <v>14449</v>
      </c>
      <c r="E1733" t="s">
        <v>112</v>
      </c>
      <c r="F1733" t="s">
        <v>90</v>
      </c>
      <c r="G1733">
        <v>4</v>
      </c>
      <c r="H1733">
        <v>12</v>
      </c>
      <c r="I1733" s="25">
        <v>109</v>
      </c>
      <c r="K1733" t="s">
        <v>516</v>
      </c>
      <c r="L1733" t="s">
        <v>141</v>
      </c>
      <c r="M1733" t="s">
        <v>52</v>
      </c>
      <c r="N1733" t="s">
        <v>40</v>
      </c>
      <c r="O1733">
        <v>27</v>
      </c>
      <c r="Q1733">
        <f t="shared" si="60"/>
        <v>2</v>
      </c>
      <c r="S1733">
        <v>1</v>
      </c>
      <c r="T1733">
        <v>0</v>
      </c>
      <c r="U1733">
        <v>0</v>
      </c>
      <c r="V1733">
        <v>1</v>
      </c>
      <c r="W1733">
        <v>0</v>
      </c>
      <c r="X1733" s="21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P1733" t="s">
        <v>541</v>
      </c>
    </row>
    <row r="1734" spans="1:42">
      <c r="A1734" s="1">
        <v>43838</v>
      </c>
      <c r="B1734">
        <v>3</v>
      </c>
      <c r="C1734">
        <v>243</v>
      </c>
      <c r="D1734">
        <v>14449</v>
      </c>
      <c r="E1734" t="s">
        <v>112</v>
      </c>
      <c r="F1734" t="s">
        <v>90</v>
      </c>
      <c r="G1734">
        <v>4</v>
      </c>
      <c r="H1734">
        <v>13</v>
      </c>
      <c r="I1734" s="25">
        <v>100</v>
      </c>
      <c r="K1734" t="s">
        <v>516</v>
      </c>
      <c r="L1734" t="s">
        <v>114</v>
      </c>
      <c r="M1734" t="s">
        <v>52</v>
      </c>
      <c r="N1734" t="s">
        <v>40</v>
      </c>
      <c r="O1734">
        <v>26</v>
      </c>
      <c r="Q1734">
        <f t="shared" si="60"/>
        <v>2</v>
      </c>
      <c r="S1734">
        <v>1</v>
      </c>
      <c r="T1734">
        <v>0</v>
      </c>
      <c r="U1734">
        <v>0</v>
      </c>
      <c r="V1734">
        <v>1</v>
      </c>
      <c r="W1734">
        <v>0</v>
      </c>
      <c r="X1734" s="21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P1734" t="s">
        <v>541</v>
      </c>
    </row>
    <row r="1735" spans="1:42">
      <c r="A1735" s="1">
        <v>43838</v>
      </c>
      <c r="B1735">
        <v>3</v>
      </c>
      <c r="C1735">
        <v>243</v>
      </c>
      <c r="D1735">
        <v>14449</v>
      </c>
      <c r="E1735" t="s">
        <v>112</v>
      </c>
      <c r="F1735" t="s">
        <v>90</v>
      </c>
      <c r="G1735">
        <v>4</v>
      </c>
      <c r="H1735">
        <v>14</v>
      </c>
      <c r="I1735" s="25">
        <v>100</v>
      </c>
      <c r="K1735" t="s">
        <v>516</v>
      </c>
      <c r="L1735" t="s">
        <v>114</v>
      </c>
      <c r="M1735" t="s">
        <v>52</v>
      </c>
      <c r="N1735" t="s">
        <v>40</v>
      </c>
      <c r="O1735">
        <v>53</v>
      </c>
      <c r="Q1735">
        <f t="shared" si="60"/>
        <v>4</v>
      </c>
      <c r="S1735">
        <v>2</v>
      </c>
      <c r="T1735">
        <v>0</v>
      </c>
      <c r="U1735">
        <v>0</v>
      </c>
      <c r="V1735">
        <v>1</v>
      </c>
      <c r="W1735">
        <v>1</v>
      </c>
      <c r="X1735" s="21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P1735" t="s">
        <v>541</v>
      </c>
    </row>
    <row r="1736" spans="1:42">
      <c r="A1736" s="1">
        <v>43838</v>
      </c>
      <c r="B1736">
        <v>3</v>
      </c>
      <c r="C1736">
        <v>243</v>
      </c>
      <c r="D1736">
        <v>14449</v>
      </c>
      <c r="E1736" t="s">
        <v>112</v>
      </c>
      <c r="F1736" t="s">
        <v>90</v>
      </c>
      <c r="G1736">
        <v>4</v>
      </c>
      <c r="H1736">
        <v>15</v>
      </c>
      <c r="I1736" s="25">
        <v>100</v>
      </c>
      <c r="K1736" t="s">
        <v>516</v>
      </c>
      <c r="L1736" t="s">
        <v>114</v>
      </c>
      <c r="M1736" t="s">
        <v>52</v>
      </c>
      <c r="N1736" t="s">
        <v>40</v>
      </c>
      <c r="O1736">
        <v>38</v>
      </c>
      <c r="Q1736">
        <f t="shared" si="60"/>
        <v>2</v>
      </c>
      <c r="S1736">
        <v>1</v>
      </c>
      <c r="T1736">
        <v>0</v>
      </c>
      <c r="U1736">
        <v>0</v>
      </c>
      <c r="V1736">
        <v>1</v>
      </c>
      <c r="W1736">
        <v>0</v>
      </c>
      <c r="X1736" s="21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P1736" t="s">
        <v>541</v>
      </c>
    </row>
    <row r="1737" spans="1:42">
      <c r="A1737" s="1">
        <v>43838</v>
      </c>
      <c r="B1737">
        <v>3</v>
      </c>
      <c r="C1737">
        <v>243</v>
      </c>
      <c r="D1737">
        <v>14449</v>
      </c>
      <c r="E1737" t="s">
        <v>112</v>
      </c>
      <c r="F1737" t="s">
        <v>90</v>
      </c>
      <c r="G1737">
        <v>4</v>
      </c>
      <c r="H1737">
        <v>16</v>
      </c>
      <c r="I1737" s="25">
        <v>100</v>
      </c>
      <c r="K1737" t="s">
        <v>516</v>
      </c>
      <c r="L1737" t="s">
        <v>114</v>
      </c>
      <c r="M1737" t="s">
        <v>52</v>
      </c>
      <c r="N1737" t="s">
        <v>40</v>
      </c>
      <c r="O1737">
        <v>31</v>
      </c>
      <c r="Q1737">
        <f t="shared" si="60"/>
        <v>2</v>
      </c>
      <c r="S1737">
        <v>1</v>
      </c>
      <c r="T1737">
        <v>0</v>
      </c>
      <c r="U1737">
        <v>0</v>
      </c>
      <c r="V1737">
        <v>1</v>
      </c>
      <c r="W1737">
        <v>0</v>
      </c>
      <c r="X1737" s="21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P1737" t="s">
        <v>541</v>
      </c>
    </row>
    <row r="1738" spans="1:42">
      <c r="A1738" s="1">
        <v>43838</v>
      </c>
      <c r="B1738">
        <v>3</v>
      </c>
      <c r="C1738">
        <v>243</v>
      </c>
      <c r="D1738">
        <v>14449</v>
      </c>
      <c r="E1738" t="s">
        <v>112</v>
      </c>
      <c r="F1738" t="s">
        <v>90</v>
      </c>
      <c r="G1738">
        <v>4</v>
      </c>
      <c r="H1738">
        <v>17</v>
      </c>
      <c r="I1738" s="25"/>
      <c r="K1738" t="s">
        <v>546</v>
      </c>
      <c r="M1738" t="s">
        <v>52</v>
      </c>
      <c r="N1738" t="s">
        <v>40</v>
      </c>
      <c r="O1738">
        <v>76</v>
      </c>
      <c r="Q1738">
        <f t="shared" si="60"/>
        <v>4</v>
      </c>
      <c r="S1738">
        <v>0</v>
      </c>
      <c r="T1738">
        <v>0</v>
      </c>
      <c r="U1738">
        <v>0</v>
      </c>
      <c r="V1738">
        <v>0</v>
      </c>
      <c r="W1738">
        <v>4</v>
      </c>
      <c r="X1738" s="21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P1738" t="s">
        <v>541</v>
      </c>
    </row>
    <row r="1739" spans="1:42">
      <c r="A1739" s="1">
        <v>43838</v>
      </c>
      <c r="B1739">
        <v>3</v>
      </c>
      <c r="C1739">
        <v>243</v>
      </c>
      <c r="D1739">
        <v>14449</v>
      </c>
      <c r="E1739" t="s">
        <v>112</v>
      </c>
      <c r="F1739" t="s">
        <v>90</v>
      </c>
      <c r="G1739">
        <v>4</v>
      </c>
      <c r="H1739">
        <v>18</v>
      </c>
      <c r="I1739" s="25">
        <v>400</v>
      </c>
      <c r="K1739" t="s">
        <v>547</v>
      </c>
      <c r="L1739" t="s">
        <v>114</v>
      </c>
      <c r="M1739" t="s">
        <v>52</v>
      </c>
      <c r="N1739" t="s">
        <v>40</v>
      </c>
      <c r="O1739">
        <v>45</v>
      </c>
      <c r="Q1739">
        <f t="shared" si="60"/>
        <v>3</v>
      </c>
      <c r="S1739">
        <v>1</v>
      </c>
      <c r="T1739">
        <v>0</v>
      </c>
      <c r="U1739">
        <v>0</v>
      </c>
      <c r="V1739">
        <v>2</v>
      </c>
      <c r="W1739">
        <v>0</v>
      </c>
      <c r="X1739" s="21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P1739" t="s">
        <v>541</v>
      </c>
    </row>
    <row r="1740" spans="1:42">
      <c r="A1740" s="1">
        <v>43838</v>
      </c>
      <c r="B1740">
        <v>3</v>
      </c>
      <c r="C1740">
        <v>243</v>
      </c>
      <c r="D1740">
        <v>14449</v>
      </c>
      <c r="E1740" t="s">
        <v>112</v>
      </c>
      <c r="F1740" t="s">
        <v>90</v>
      </c>
      <c r="G1740">
        <v>4</v>
      </c>
      <c r="H1740">
        <v>19</v>
      </c>
      <c r="I1740" s="25">
        <v>400</v>
      </c>
      <c r="K1740" t="s">
        <v>547</v>
      </c>
      <c r="L1740" t="s">
        <v>114</v>
      </c>
      <c r="M1740" t="s">
        <v>52</v>
      </c>
      <c r="N1740" t="s">
        <v>40</v>
      </c>
      <c r="O1740">
        <v>43</v>
      </c>
      <c r="Q1740">
        <f t="shared" si="60"/>
        <v>4</v>
      </c>
      <c r="S1740">
        <v>2</v>
      </c>
      <c r="T1740">
        <v>0</v>
      </c>
      <c r="U1740">
        <v>0</v>
      </c>
      <c r="V1740">
        <v>1</v>
      </c>
      <c r="W1740">
        <v>1</v>
      </c>
      <c r="X1740" s="21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P1740" t="s">
        <v>541</v>
      </c>
    </row>
    <row r="1741" spans="1:42">
      <c r="A1741" s="1">
        <v>43838</v>
      </c>
      <c r="B1741">
        <v>3</v>
      </c>
      <c r="C1741">
        <v>243</v>
      </c>
      <c r="D1741">
        <v>14449</v>
      </c>
      <c r="E1741" t="s">
        <v>112</v>
      </c>
      <c r="F1741" t="s">
        <v>90</v>
      </c>
      <c r="G1741">
        <v>4</v>
      </c>
      <c r="H1741">
        <v>20</v>
      </c>
      <c r="I1741" s="25">
        <v>400</v>
      </c>
      <c r="K1741" t="s">
        <v>547</v>
      </c>
      <c r="L1741" t="s">
        <v>114</v>
      </c>
      <c r="M1741" t="s">
        <v>52</v>
      </c>
      <c r="N1741" t="s">
        <v>40</v>
      </c>
      <c r="O1741">
        <v>46</v>
      </c>
      <c r="Q1741">
        <f t="shared" si="60"/>
        <v>4</v>
      </c>
      <c r="S1741">
        <v>1</v>
      </c>
      <c r="T1741">
        <v>0</v>
      </c>
      <c r="U1741">
        <v>0</v>
      </c>
      <c r="V1741">
        <v>3</v>
      </c>
      <c r="W1741">
        <v>0</v>
      </c>
      <c r="X1741" s="2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P1741" t="s">
        <v>541</v>
      </c>
    </row>
    <row r="1742" spans="1:42">
      <c r="A1742" s="1">
        <v>43838</v>
      </c>
      <c r="B1742">
        <v>3</v>
      </c>
      <c r="C1742">
        <v>243</v>
      </c>
      <c r="D1742">
        <v>14449</v>
      </c>
      <c r="E1742" t="s">
        <v>112</v>
      </c>
      <c r="F1742" t="s">
        <v>90</v>
      </c>
      <c r="G1742">
        <v>4</v>
      </c>
      <c r="H1742">
        <v>21</v>
      </c>
      <c r="I1742" s="25">
        <v>991</v>
      </c>
      <c r="K1742" t="s">
        <v>548</v>
      </c>
      <c r="L1742" t="s">
        <v>141</v>
      </c>
      <c r="M1742" t="s">
        <v>52</v>
      </c>
      <c r="N1742" t="s">
        <v>40</v>
      </c>
      <c r="O1742">
        <v>85</v>
      </c>
      <c r="Q1742">
        <f t="shared" si="60"/>
        <v>5</v>
      </c>
      <c r="S1742">
        <v>0</v>
      </c>
      <c r="T1742">
        <v>0</v>
      </c>
      <c r="U1742">
        <v>0</v>
      </c>
      <c r="V1742">
        <v>5</v>
      </c>
      <c r="W1742">
        <v>0</v>
      </c>
      <c r="X1742" s="21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P1742" t="s">
        <v>541</v>
      </c>
    </row>
    <row r="1743" spans="1:42">
      <c r="A1743" s="1">
        <v>43838</v>
      </c>
      <c r="B1743">
        <v>3</v>
      </c>
      <c r="C1743">
        <v>243</v>
      </c>
      <c r="D1743">
        <v>14449</v>
      </c>
      <c r="E1743" t="s">
        <v>112</v>
      </c>
      <c r="F1743" t="s">
        <v>90</v>
      </c>
      <c r="G1743">
        <v>4</v>
      </c>
      <c r="H1743">
        <v>22</v>
      </c>
      <c r="I1743" s="25">
        <v>953</v>
      </c>
      <c r="K1743" t="s">
        <v>542</v>
      </c>
      <c r="L1743" t="s">
        <v>141</v>
      </c>
      <c r="M1743" t="s">
        <v>52</v>
      </c>
      <c r="N1743" t="s">
        <v>40</v>
      </c>
      <c r="O1743">
        <v>29</v>
      </c>
      <c r="Q1743">
        <f t="shared" si="60"/>
        <v>2</v>
      </c>
      <c r="S1743">
        <v>1</v>
      </c>
      <c r="T1743">
        <v>0</v>
      </c>
      <c r="U1743">
        <v>0</v>
      </c>
      <c r="V1743">
        <v>1</v>
      </c>
      <c r="W1743">
        <v>0</v>
      </c>
      <c r="X1743" s="21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P1743" t="s">
        <v>541</v>
      </c>
    </row>
    <row r="1744" spans="1:42">
      <c r="A1744" s="1">
        <v>43838</v>
      </c>
      <c r="B1744">
        <v>3</v>
      </c>
      <c r="C1744">
        <v>243</v>
      </c>
      <c r="D1744">
        <v>14449</v>
      </c>
      <c r="E1744" t="s">
        <v>112</v>
      </c>
      <c r="F1744" t="s">
        <v>90</v>
      </c>
      <c r="G1744">
        <v>4</v>
      </c>
      <c r="H1744">
        <v>23</v>
      </c>
      <c r="I1744" s="25">
        <v>953</v>
      </c>
      <c r="K1744" t="s">
        <v>542</v>
      </c>
      <c r="L1744" t="s">
        <v>141</v>
      </c>
      <c r="M1744" t="s">
        <v>52</v>
      </c>
      <c r="N1744" t="s">
        <v>40</v>
      </c>
      <c r="O1744">
        <v>22</v>
      </c>
      <c r="Q1744">
        <f t="shared" si="60"/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 s="21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P1744" t="s">
        <v>541</v>
      </c>
    </row>
    <row r="1745" spans="1:42">
      <c r="A1745" s="1">
        <v>43838</v>
      </c>
      <c r="B1745">
        <v>3</v>
      </c>
      <c r="C1745">
        <v>243</v>
      </c>
      <c r="D1745">
        <v>14449</v>
      </c>
      <c r="E1745" t="s">
        <v>112</v>
      </c>
      <c r="F1745" t="s">
        <v>90</v>
      </c>
      <c r="G1745">
        <v>4</v>
      </c>
      <c r="H1745">
        <v>24</v>
      </c>
      <c r="I1745" s="25">
        <v>953</v>
      </c>
      <c r="K1745" t="s">
        <v>542</v>
      </c>
      <c r="L1745" t="s">
        <v>141</v>
      </c>
      <c r="M1745" t="s">
        <v>52</v>
      </c>
      <c r="N1745" t="s">
        <v>40</v>
      </c>
      <c r="O1745">
        <v>32</v>
      </c>
      <c r="Q1745">
        <f t="shared" si="60"/>
        <v>2</v>
      </c>
      <c r="S1745">
        <v>1</v>
      </c>
      <c r="T1745">
        <v>0</v>
      </c>
      <c r="U1745">
        <v>0</v>
      </c>
      <c r="V1745">
        <v>1</v>
      </c>
      <c r="W1745">
        <v>0</v>
      </c>
      <c r="X1745" s="21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P1745" t="s">
        <v>541</v>
      </c>
    </row>
    <row r="1746" spans="1:42">
      <c r="A1746" s="1">
        <v>43838</v>
      </c>
      <c r="B1746">
        <v>3</v>
      </c>
      <c r="C1746">
        <v>243</v>
      </c>
      <c r="D1746">
        <v>14449</v>
      </c>
      <c r="E1746" t="s">
        <v>112</v>
      </c>
      <c r="F1746" t="s">
        <v>90</v>
      </c>
      <c r="G1746">
        <v>4</v>
      </c>
      <c r="H1746">
        <v>25</v>
      </c>
      <c r="I1746" s="25">
        <v>953</v>
      </c>
      <c r="K1746" t="s">
        <v>542</v>
      </c>
      <c r="L1746" t="s">
        <v>141</v>
      </c>
      <c r="M1746" t="s">
        <v>52</v>
      </c>
      <c r="N1746" t="s">
        <v>40</v>
      </c>
      <c r="O1746">
        <v>29</v>
      </c>
      <c r="Q1746">
        <f t="shared" si="60"/>
        <v>2</v>
      </c>
      <c r="S1746">
        <v>1</v>
      </c>
      <c r="T1746">
        <v>0</v>
      </c>
      <c r="U1746">
        <v>0</v>
      </c>
      <c r="V1746">
        <v>1</v>
      </c>
      <c r="W1746">
        <v>0</v>
      </c>
      <c r="X1746" s="21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P1746" t="s">
        <v>541</v>
      </c>
    </row>
    <row r="1747" spans="1:42">
      <c r="A1747" s="1">
        <v>43838</v>
      </c>
      <c r="B1747">
        <v>3</v>
      </c>
      <c r="C1747">
        <v>243</v>
      </c>
      <c r="D1747">
        <v>14449</v>
      </c>
      <c r="E1747" t="s">
        <v>112</v>
      </c>
      <c r="F1747" t="s">
        <v>90</v>
      </c>
      <c r="G1747">
        <v>4</v>
      </c>
      <c r="H1747">
        <v>26</v>
      </c>
      <c r="I1747" s="25">
        <v>953</v>
      </c>
      <c r="K1747" t="s">
        <v>542</v>
      </c>
      <c r="L1747" t="s">
        <v>141</v>
      </c>
      <c r="M1747" t="s">
        <v>52</v>
      </c>
      <c r="N1747" t="s">
        <v>40</v>
      </c>
      <c r="O1747">
        <v>59</v>
      </c>
      <c r="Q1747">
        <f t="shared" si="60"/>
        <v>2</v>
      </c>
      <c r="S1747">
        <v>0</v>
      </c>
      <c r="T1747">
        <v>0</v>
      </c>
      <c r="U1747">
        <v>0</v>
      </c>
      <c r="V1747">
        <v>1</v>
      </c>
      <c r="W1747">
        <v>1</v>
      </c>
      <c r="X1747" s="21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P1747" t="s">
        <v>541</v>
      </c>
    </row>
    <row r="1748" spans="1:42">
      <c r="A1748" s="1">
        <v>43838</v>
      </c>
      <c r="B1748">
        <v>3</v>
      </c>
      <c r="C1748">
        <v>243</v>
      </c>
      <c r="D1748">
        <v>14449</v>
      </c>
      <c r="E1748" t="s">
        <v>112</v>
      </c>
      <c r="F1748" t="s">
        <v>90</v>
      </c>
      <c r="G1748">
        <v>4</v>
      </c>
      <c r="H1748">
        <v>27</v>
      </c>
      <c r="I1748" s="25">
        <v>953</v>
      </c>
      <c r="K1748" t="s">
        <v>542</v>
      </c>
      <c r="L1748" t="s">
        <v>141</v>
      </c>
      <c r="M1748" t="s">
        <v>52</v>
      </c>
      <c r="N1748" t="s">
        <v>40</v>
      </c>
      <c r="O1748">
        <v>24</v>
      </c>
      <c r="Q1748">
        <f t="shared" si="60"/>
        <v>2</v>
      </c>
      <c r="S1748">
        <v>1</v>
      </c>
      <c r="T1748">
        <v>0</v>
      </c>
      <c r="U1748">
        <v>0</v>
      </c>
      <c r="V1748">
        <v>1</v>
      </c>
      <c r="W1748">
        <v>0</v>
      </c>
      <c r="X1748" s="21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P1748" t="s">
        <v>541</v>
      </c>
    </row>
    <row r="1749" spans="1:42">
      <c r="A1749" s="1">
        <v>43838</v>
      </c>
      <c r="B1749">
        <v>3</v>
      </c>
      <c r="C1749">
        <v>243</v>
      </c>
      <c r="D1749">
        <v>14449</v>
      </c>
      <c r="E1749" t="s">
        <v>112</v>
      </c>
      <c r="F1749" t="s">
        <v>90</v>
      </c>
      <c r="G1749">
        <v>4</v>
      </c>
      <c r="H1749">
        <v>28</v>
      </c>
      <c r="I1749" s="25">
        <v>953</v>
      </c>
      <c r="K1749" t="s">
        <v>542</v>
      </c>
      <c r="L1749" t="s">
        <v>141</v>
      </c>
      <c r="M1749" t="s">
        <v>52</v>
      </c>
      <c r="N1749" t="s">
        <v>40</v>
      </c>
      <c r="O1749">
        <v>26</v>
      </c>
      <c r="Q1749">
        <f t="shared" si="60"/>
        <v>2</v>
      </c>
      <c r="S1749">
        <v>1</v>
      </c>
      <c r="T1749">
        <v>0</v>
      </c>
      <c r="U1749">
        <v>0</v>
      </c>
      <c r="V1749">
        <v>1</v>
      </c>
      <c r="W1749">
        <v>0</v>
      </c>
      <c r="X1749" s="21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P1749" t="s">
        <v>541</v>
      </c>
    </row>
    <row r="1750" spans="1:42">
      <c r="A1750" s="1">
        <v>43838</v>
      </c>
      <c r="B1750">
        <v>3</v>
      </c>
      <c r="C1750">
        <v>243</v>
      </c>
      <c r="D1750">
        <v>14449</v>
      </c>
      <c r="E1750" t="s">
        <v>112</v>
      </c>
      <c r="F1750" t="s">
        <v>90</v>
      </c>
      <c r="G1750">
        <v>4</v>
      </c>
      <c r="H1750">
        <v>29</v>
      </c>
      <c r="I1750" s="25">
        <v>955</v>
      </c>
      <c r="K1750" t="s">
        <v>542</v>
      </c>
      <c r="L1750" t="s">
        <v>141</v>
      </c>
      <c r="M1750" t="s">
        <v>52</v>
      </c>
      <c r="N1750" t="s">
        <v>40</v>
      </c>
      <c r="O1750">
        <v>59</v>
      </c>
      <c r="Q1750">
        <f t="shared" si="60"/>
        <v>4</v>
      </c>
      <c r="S1750">
        <v>2</v>
      </c>
      <c r="T1750">
        <v>0</v>
      </c>
      <c r="U1750">
        <v>0</v>
      </c>
      <c r="V1750">
        <v>2</v>
      </c>
      <c r="W1750">
        <v>0</v>
      </c>
      <c r="X1750" s="21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P1750" t="s">
        <v>541</v>
      </c>
    </row>
    <row r="1751" spans="1:42">
      <c r="A1751" s="1">
        <v>43838</v>
      </c>
      <c r="B1751">
        <v>3</v>
      </c>
      <c r="C1751">
        <v>243</v>
      </c>
      <c r="D1751">
        <v>14449</v>
      </c>
      <c r="E1751" t="s">
        <v>112</v>
      </c>
      <c r="F1751" t="s">
        <v>90</v>
      </c>
      <c r="G1751">
        <v>4</v>
      </c>
      <c r="H1751">
        <v>30</v>
      </c>
      <c r="I1751" s="25">
        <v>961</v>
      </c>
      <c r="K1751" t="s">
        <v>542</v>
      </c>
      <c r="L1751" t="s">
        <v>141</v>
      </c>
      <c r="M1751" t="s">
        <v>52</v>
      </c>
      <c r="N1751" t="s">
        <v>40</v>
      </c>
      <c r="O1751">
        <v>40</v>
      </c>
      <c r="Q1751">
        <f t="shared" si="60"/>
        <v>2</v>
      </c>
      <c r="S1751">
        <v>1</v>
      </c>
      <c r="T1751">
        <v>0</v>
      </c>
      <c r="U1751">
        <v>0</v>
      </c>
      <c r="V1751">
        <v>1</v>
      </c>
      <c r="W1751">
        <v>0</v>
      </c>
      <c r="X1751" s="2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P1751" t="s">
        <v>541</v>
      </c>
    </row>
    <row r="1752" spans="1:42">
      <c r="A1752" s="1">
        <v>43838</v>
      </c>
      <c r="B1752">
        <v>3</v>
      </c>
      <c r="C1752">
        <v>243</v>
      </c>
      <c r="D1752">
        <v>14449</v>
      </c>
      <c r="E1752" t="s">
        <v>112</v>
      </c>
      <c r="F1752" t="s">
        <v>90</v>
      </c>
      <c r="G1752">
        <v>4</v>
      </c>
      <c r="H1752">
        <v>31</v>
      </c>
      <c r="I1752" s="25">
        <v>961</v>
      </c>
      <c r="K1752" t="s">
        <v>542</v>
      </c>
      <c r="L1752" t="s">
        <v>141</v>
      </c>
      <c r="M1752" t="s">
        <v>52</v>
      </c>
      <c r="N1752" t="s">
        <v>40</v>
      </c>
      <c r="O1752">
        <v>30</v>
      </c>
      <c r="Q1752">
        <f t="shared" si="60"/>
        <v>2</v>
      </c>
      <c r="S1752">
        <v>1</v>
      </c>
      <c r="T1752">
        <v>0</v>
      </c>
      <c r="U1752">
        <v>0</v>
      </c>
      <c r="V1752">
        <v>1</v>
      </c>
      <c r="W1752">
        <v>0</v>
      </c>
      <c r="X1752" s="21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P1752" t="s">
        <v>541</v>
      </c>
    </row>
    <row r="1753" spans="1:42">
      <c r="A1753" s="1">
        <v>43838</v>
      </c>
      <c r="B1753">
        <v>3</v>
      </c>
      <c r="C1753">
        <v>243</v>
      </c>
      <c r="D1753">
        <v>14449</v>
      </c>
      <c r="E1753" t="s">
        <v>112</v>
      </c>
      <c r="F1753" t="s">
        <v>90</v>
      </c>
      <c r="G1753">
        <v>4</v>
      </c>
      <c r="H1753">
        <v>32</v>
      </c>
      <c r="I1753" s="25">
        <v>1238</v>
      </c>
      <c r="K1753" t="s">
        <v>549</v>
      </c>
      <c r="L1753" t="s">
        <v>114</v>
      </c>
      <c r="M1753" t="s">
        <v>52</v>
      </c>
      <c r="N1753" t="s">
        <v>40</v>
      </c>
      <c r="O1753">
        <v>148</v>
      </c>
      <c r="Q1753">
        <f t="shared" si="60"/>
        <v>8</v>
      </c>
      <c r="S1753">
        <v>4</v>
      </c>
      <c r="T1753">
        <v>0</v>
      </c>
      <c r="U1753">
        <v>0</v>
      </c>
      <c r="V1753">
        <v>4</v>
      </c>
      <c r="W1753">
        <v>0</v>
      </c>
      <c r="X1753" s="21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L1753" t="s">
        <v>550</v>
      </c>
      <c r="AP1753" t="s">
        <v>541</v>
      </c>
    </row>
    <row r="1754" spans="1:42">
      <c r="A1754" s="1">
        <v>43838</v>
      </c>
      <c r="B1754">
        <v>3</v>
      </c>
      <c r="C1754">
        <v>243</v>
      </c>
      <c r="D1754">
        <v>14449</v>
      </c>
      <c r="E1754" t="s">
        <v>112</v>
      </c>
      <c r="F1754" t="s">
        <v>90</v>
      </c>
      <c r="G1754">
        <v>4</v>
      </c>
      <c r="H1754">
        <v>33</v>
      </c>
      <c r="I1754" s="25">
        <v>1238</v>
      </c>
      <c r="K1754" t="s">
        <v>549</v>
      </c>
      <c r="L1754" t="s">
        <v>114</v>
      </c>
      <c r="M1754" t="s">
        <v>52</v>
      </c>
      <c r="N1754" t="s">
        <v>40</v>
      </c>
      <c r="O1754">
        <v>177</v>
      </c>
      <c r="Q1754">
        <f t="shared" si="60"/>
        <v>5</v>
      </c>
      <c r="S1754">
        <v>2</v>
      </c>
      <c r="T1754">
        <v>0</v>
      </c>
      <c r="U1754">
        <v>0</v>
      </c>
      <c r="V1754">
        <v>3</v>
      </c>
      <c r="W1754">
        <v>0</v>
      </c>
      <c r="X1754" s="21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P1754" t="s">
        <v>541</v>
      </c>
    </row>
    <row r="1755" spans="1:42">
      <c r="A1755" s="1">
        <v>43838</v>
      </c>
      <c r="B1755">
        <v>3</v>
      </c>
      <c r="C1755">
        <v>243</v>
      </c>
      <c r="D1755">
        <v>14449</v>
      </c>
      <c r="E1755" t="s">
        <v>112</v>
      </c>
      <c r="F1755" t="s">
        <v>90</v>
      </c>
      <c r="G1755">
        <v>4</v>
      </c>
      <c r="H1755">
        <v>34</v>
      </c>
      <c r="I1755" s="25">
        <v>1211</v>
      </c>
      <c r="K1755" t="s">
        <v>549</v>
      </c>
      <c r="L1755" t="s">
        <v>141</v>
      </c>
      <c r="M1755" t="s">
        <v>52</v>
      </c>
      <c r="N1755" t="s">
        <v>40</v>
      </c>
      <c r="O1755">
        <v>182</v>
      </c>
      <c r="Q1755">
        <f t="shared" si="60"/>
        <v>7</v>
      </c>
      <c r="S1755">
        <v>4</v>
      </c>
      <c r="T1755">
        <v>0</v>
      </c>
      <c r="U1755">
        <v>0</v>
      </c>
      <c r="V1755">
        <v>3</v>
      </c>
      <c r="W1755">
        <v>0</v>
      </c>
      <c r="X1755" s="21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P1755" t="s">
        <v>541</v>
      </c>
    </row>
    <row r="1756" spans="1:42">
      <c r="A1756" s="1">
        <v>43838</v>
      </c>
      <c r="B1756">
        <v>3</v>
      </c>
      <c r="C1756">
        <v>243</v>
      </c>
      <c r="D1756">
        <v>14449</v>
      </c>
      <c r="E1756" t="s">
        <v>112</v>
      </c>
      <c r="F1756" t="s">
        <v>90</v>
      </c>
      <c r="G1756">
        <v>4</v>
      </c>
      <c r="H1756">
        <v>35</v>
      </c>
      <c r="I1756" s="25">
        <v>1253</v>
      </c>
      <c r="K1756" t="s">
        <v>551</v>
      </c>
      <c r="L1756" t="s">
        <v>141</v>
      </c>
      <c r="M1756" t="s">
        <v>52</v>
      </c>
      <c r="N1756" t="s">
        <v>40</v>
      </c>
      <c r="O1756">
        <v>38</v>
      </c>
      <c r="Q1756">
        <f t="shared" si="60"/>
        <v>2</v>
      </c>
      <c r="S1756">
        <v>1</v>
      </c>
      <c r="T1756">
        <v>0</v>
      </c>
      <c r="U1756">
        <v>0</v>
      </c>
      <c r="V1756">
        <v>1</v>
      </c>
      <c r="W1756">
        <v>0</v>
      </c>
      <c r="X1756" s="21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P1756" t="s">
        <v>541</v>
      </c>
    </row>
    <row r="1757" spans="1:42">
      <c r="A1757" s="1">
        <v>43838</v>
      </c>
      <c r="B1757">
        <v>3</v>
      </c>
      <c r="C1757">
        <v>243</v>
      </c>
      <c r="D1757">
        <v>14449</v>
      </c>
      <c r="E1757" t="s">
        <v>112</v>
      </c>
      <c r="F1757" t="s">
        <v>90</v>
      </c>
      <c r="G1757">
        <v>4</v>
      </c>
      <c r="H1757">
        <v>36</v>
      </c>
      <c r="I1757" s="25">
        <v>1254</v>
      </c>
      <c r="K1757" t="s">
        <v>551</v>
      </c>
      <c r="L1757" t="s">
        <v>114</v>
      </c>
      <c r="M1757" t="s">
        <v>52</v>
      </c>
      <c r="N1757" t="s">
        <v>40</v>
      </c>
      <c r="O1757">
        <v>32</v>
      </c>
      <c r="Q1757">
        <f t="shared" si="60"/>
        <v>2</v>
      </c>
      <c r="S1757">
        <v>1</v>
      </c>
      <c r="T1757">
        <v>0</v>
      </c>
      <c r="U1757">
        <v>0</v>
      </c>
      <c r="V1757">
        <v>1</v>
      </c>
      <c r="W1757">
        <v>0</v>
      </c>
      <c r="X1757" s="21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P1757" t="s">
        <v>541</v>
      </c>
    </row>
    <row r="1758" spans="1:42">
      <c r="A1758" s="1">
        <v>43838</v>
      </c>
      <c r="B1758">
        <v>3</v>
      </c>
      <c r="C1758">
        <v>243</v>
      </c>
      <c r="D1758">
        <v>14449</v>
      </c>
      <c r="E1758" t="s">
        <v>112</v>
      </c>
      <c r="F1758" t="s">
        <v>90</v>
      </c>
      <c r="G1758">
        <v>4</v>
      </c>
      <c r="H1758">
        <v>37</v>
      </c>
      <c r="I1758" s="25">
        <v>1254</v>
      </c>
      <c r="K1758" t="s">
        <v>551</v>
      </c>
      <c r="L1758" t="s">
        <v>114</v>
      </c>
      <c r="M1758" t="s">
        <v>52</v>
      </c>
      <c r="N1758" t="s">
        <v>40</v>
      </c>
      <c r="O1758">
        <v>32</v>
      </c>
      <c r="Q1758">
        <f t="shared" si="60"/>
        <v>2</v>
      </c>
      <c r="S1758">
        <v>1</v>
      </c>
      <c r="T1758">
        <v>0</v>
      </c>
      <c r="U1758">
        <v>0</v>
      </c>
      <c r="V1758">
        <v>1</v>
      </c>
      <c r="W1758">
        <v>0</v>
      </c>
      <c r="X1758" s="21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P1758" t="s">
        <v>541</v>
      </c>
    </row>
    <row r="1759" spans="1:42">
      <c r="A1759" s="1">
        <v>43838</v>
      </c>
      <c r="B1759">
        <v>3</v>
      </c>
      <c r="C1759">
        <v>243</v>
      </c>
      <c r="D1759">
        <v>14449</v>
      </c>
      <c r="E1759" t="s">
        <v>112</v>
      </c>
      <c r="F1759" t="s">
        <v>90</v>
      </c>
      <c r="G1759">
        <v>4</v>
      </c>
      <c r="H1759">
        <v>38</v>
      </c>
      <c r="I1759" s="25">
        <v>1255</v>
      </c>
      <c r="K1759" t="s">
        <v>551</v>
      </c>
      <c r="L1759" t="s">
        <v>141</v>
      </c>
      <c r="M1759" t="s">
        <v>52</v>
      </c>
      <c r="N1759" t="s">
        <v>40</v>
      </c>
      <c r="O1759">
        <v>51</v>
      </c>
      <c r="Q1759">
        <f t="shared" si="60"/>
        <v>2</v>
      </c>
      <c r="S1759">
        <v>1</v>
      </c>
      <c r="T1759">
        <v>0</v>
      </c>
      <c r="U1759">
        <v>0</v>
      </c>
      <c r="V1759">
        <v>1</v>
      </c>
      <c r="W1759">
        <v>0</v>
      </c>
      <c r="X1759" s="21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P1759" t="s">
        <v>541</v>
      </c>
    </row>
    <row r="1760" spans="1:42">
      <c r="A1760" s="1">
        <v>43838</v>
      </c>
      <c r="B1760">
        <v>3</v>
      </c>
      <c r="C1760">
        <v>243</v>
      </c>
      <c r="D1760">
        <v>14449</v>
      </c>
      <c r="E1760" t="s">
        <v>112</v>
      </c>
      <c r="F1760" t="s">
        <v>90</v>
      </c>
      <c r="G1760">
        <v>4</v>
      </c>
      <c r="H1760">
        <v>39</v>
      </c>
      <c r="I1760" s="25">
        <v>1256</v>
      </c>
      <c r="K1760" t="s">
        <v>551</v>
      </c>
      <c r="L1760" t="s">
        <v>114</v>
      </c>
      <c r="M1760" t="s">
        <v>52</v>
      </c>
      <c r="N1760" t="s">
        <v>40</v>
      </c>
      <c r="O1760">
        <v>25</v>
      </c>
      <c r="Q1760">
        <f t="shared" si="60"/>
        <v>2</v>
      </c>
      <c r="S1760">
        <v>1</v>
      </c>
      <c r="T1760">
        <v>0</v>
      </c>
      <c r="U1760">
        <v>0</v>
      </c>
      <c r="V1760">
        <v>1</v>
      </c>
      <c r="W1760">
        <v>0</v>
      </c>
      <c r="X1760" s="21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P1760" t="s">
        <v>541</v>
      </c>
    </row>
    <row r="1761" spans="1:42">
      <c r="A1761" s="1">
        <v>43838</v>
      </c>
      <c r="B1761">
        <v>3</v>
      </c>
      <c r="C1761">
        <v>243</v>
      </c>
      <c r="D1761">
        <v>14449</v>
      </c>
      <c r="E1761" t="s">
        <v>112</v>
      </c>
      <c r="F1761" t="s">
        <v>90</v>
      </c>
      <c r="G1761">
        <v>4</v>
      </c>
      <c r="H1761">
        <v>40</v>
      </c>
      <c r="I1761" s="25">
        <v>1256</v>
      </c>
      <c r="K1761" t="s">
        <v>551</v>
      </c>
      <c r="L1761" t="s">
        <v>114</v>
      </c>
      <c r="M1761" t="s">
        <v>52</v>
      </c>
      <c r="N1761" t="s">
        <v>40</v>
      </c>
      <c r="O1761">
        <v>28</v>
      </c>
      <c r="Q1761">
        <f t="shared" si="60"/>
        <v>2</v>
      </c>
      <c r="S1761">
        <v>1</v>
      </c>
      <c r="T1761">
        <v>0</v>
      </c>
      <c r="U1761">
        <v>0</v>
      </c>
      <c r="V1761">
        <v>1</v>
      </c>
      <c r="W1761">
        <v>0</v>
      </c>
      <c r="X1761" s="2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P1761" t="s">
        <v>541</v>
      </c>
    </row>
    <row r="1762" spans="1:42">
      <c r="A1762" s="1">
        <v>43838</v>
      </c>
      <c r="B1762">
        <v>3</v>
      </c>
      <c r="C1762">
        <v>243</v>
      </c>
      <c r="D1762">
        <v>14449</v>
      </c>
      <c r="E1762" t="s">
        <v>112</v>
      </c>
      <c r="F1762" t="s">
        <v>90</v>
      </c>
      <c r="G1762">
        <v>4</v>
      </c>
      <c r="H1762">
        <v>41</v>
      </c>
      <c r="I1762" s="25">
        <v>1258</v>
      </c>
      <c r="K1762" t="s">
        <v>551</v>
      </c>
      <c r="L1762" t="s">
        <v>114</v>
      </c>
      <c r="M1762" t="s">
        <v>52</v>
      </c>
      <c r="N1762" t="s">
        <v>40</v>
      </c>
      <c r="O1762">
        <v>126</v>
      </c>
      <c r="Q1762">
        <f t="shared" si="60"/>
        <v>7</v>
      </c>
      <c r="S1762">
        <v>3</v>
      </c>
      <c r="T1762">
        <v>0</v>
      </c>
      <c r="U1762">
        <v>0</v>
      </c>
      <c r="V1762">
        <v>3</v>
      </c>
      <c r="W1762">
        <v>1</v>
      </c>
      <c r="X1762" s="21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P1762" t="s">
        <v>541</v>
      </c>
    </row>
    <row r="1763" spans="1:42">
      <c r="A1763" s="1">
        <v>43838</v>
      </c>
      <c r="B1763">
        <v>3</v>
      </c>
      <c r="C1763">
        <v>243</v>
      </c>
      <c r="D1763">
        <v>14449</v>
      </c>
      <c r="E1763" t="s">
        <v>112</v>
      </c>
      <c r="F1763" t="s">
        <v>90</v>
      </c>
      <c r="G1763">
        <v>4</v>
      </c>
      <c r="H1763">
        <v>42</v>
      </c>
      <c r="I1763" s="25">
        <v>1278</v>
      </c>
      <c r="K1763" t="s">
        <v>552</v>
      </c>
      <c r="L1763" t="s">
        <v>114</v>
      </c>
      <c r="M1763" t="s">
        <v>52</v>
      </c>
      <c r="N1763" t="s">
        <v>40</v>
      </c>
      <c r="O1763">
        <v>41</v>
      </c>
      <c r="Q1763">
        <f t="shared" si="60"/>
        <v>4</v>
      </c>
      <c r="S1763">
        <v>2</v>
      </c>
      <c r="T1763">
        <v>0</v>
      </c>
      <c r="U1763">
        <v>0</v>
      </c>
      <c r="V1763">
        <v>1</v>
      </c>
      <c r="W1763">
        <v>1</v>
      </c>
      <c r="X1763" s="21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P1763" t="s">
        <v>541</v>
      </c>
    </row>
    <row r="1764" spans="1:42">
      <c r="A1764" s="1">
        <v>43838</v>
      </c>
      <c r="B1764">
        <v>3</v>
      </c>
      <c r="C1764">
        <v>243</v>
      </c>
      <c r="D1764">
        <v>14449</v>
      </c>
      <c r="E1764" t="s">
        <v>112</v>
      </c>
      <c r="F1764" t="s">
        <v>90</v>
      </c>
      <c r="G1764">
        <v>4</v>
      </c>
      <c r="H1764">
        <v>43</v>
      </c>
      <c r="I1764" s="25">
        <v>1278</v>
      </c>
      <c r="K1764" t="s">
        <v>552</v>
      </c>
      <c r="L1764" t="s">
        <v>114</v>
      </c>
      <c r="M1764" t="s">
        <v>52</v>
      </c>
      <c r="N1764" t="s">
        <v>40</v>
      </c>
      <c r="O1764">
        <v>113</v>
      </c>
      <c r="Q1764">
        <f t="shared" si="60"/>
        <v>6</v>
      </c>
      <c r="S1764">
        <v>3</v>
      </c>
      <c r="T1764">
        <v>0</v>
      </c>
      <c r="U1764">
        <v>0</v>
      </c>
      <c r="V1764">
        <v>3</v>
      </c>
      <c r="W1764">
        <v>0</v>
      </c>
      <c r="X1764" s="21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P1764" t="s">
        <v>541</v>
      </c>
    </row>
    <row r="1765" spans="1:42">
      <c r="A1765" s="1">
        <v>43838</v>
      </c>
      <c r="B1765">
        <v>3</v>
      </c>
      <c r="C1765">
        <v>243</v>
      </c>
      <c r="D1765">
        <v>14449</v>
      </c>
      <c r="E1765" t="s">
        <v>112</v>
      </c>
      <c r="F1765" t="s">
        <v>90</v>
      </c>
      <c r="G1765">
        <v>4</v>
      </c>
      <c r="H1765">
        <v>44</v>
      </c>
      <c r="I1765" s="25">
        <v>1278</v>
      </c>
      <c r="K1765" t="s">
        <v>552</v>
      </c>
      <c r="L1765" t="s">
        <v>114</v>
      </c>
      <c r="M1765" t="s">
        <v>52</v>
      </c>
      <c r="N1765" t="s">
        <v>40</v>
      </c>
      <c r="O1765">
        <v>69</v>
      </c>
      <c r="Q1765">
        <f t="shared" si="60"/>
        <v>4</v>
      </c>
      <c r="S1765">
        <v>2</v>
      </c>
      <c r="T1765">
        <v>0</v>
      </c>
      <c r="U1765">
        <v>0</v>
      </c>
      <c r="V1765">
        <v>2</v>
      </c>
      <c r="W1765">
        <v>0</v>
      </c>
      <c r="X1765" s="21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P1765" t="s">
        <v>541</v>
      </c>
    </row>
    <row r="1766" spans="1:42">
      <c r="A1766" s="1">
        <v>43838</v>
      </c>
      <c r="B1766">
        <v>3</v>
      </c>
      <c r="C1766">
        <v>243</v>
      </c>
      <c r="D1766">
        <v>14449</v>
      </c>
      <c r="E1766" t="s">
        <v>112</v>
      </c>
      <c r="F1766" t="s">
        <v>90</v>
      </c>
      <c r="G1766">
        <v>4</v>
      </c>
      <c r="H1766">
        <v>45</v>
      </c>
      <c r="I1766" s="25">
        <v>1278</v>
      </c>
      <c r="K1766" t="s">
        <v>552</v>
      </c>
      <c r="L1766" t="s">
        <v>114</v>
      </c>
      <c r="M1766" t="s">
        <v>52</v>
      </c>
      <c r="N1766" t="s">
        <v>40</v>
      </c>
      <c r="O1766">
        <v>125</v>
      </c>
      <c r="Q1766">
        <f t="shared" si="60"/>
        <v>8</v>
      </c>
      <c r="S1766">
        <v>4</v>
      </c>
      <c r="T1766">
        <v>0</v>
      </c>
      <c r="U1766">
        <v>0</v>
      </c>
      <c r="V1766">
        <v>4</v>
      </c>
      <c r="W1766">
        <v>0</v>
      </c>
      <c r="X1766" s="21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P1766" t="s">
        <v>541</v>
      </c>
    </row>
    <row r="1767" spans="1:42">
      <c r="A1767" s="1">
        <v>43838</v>
      </c>
      <c r="B1767">
        <v>3</v>
      </c>
      <c r="C1767">
        <v>243</v>
      </c>
      <c r="D1767">
        <v>14449</v>
      </c>
      <c r="E1767" t="s">
        <v>112</v>
      </c>
      <c r="F1767" t="s">
        <v>90</v>
      </c>
      <c r="G1767">
        <v>4</v>
      </c>
      <c r="H1767">
        <v>46</v>
      </c>
      <c r="I1767" s="25">
        <v>1278</v>
      </c>
      <c r="K1767" t="s">
        <v>552</v>
      </c>
      <c r="L1767" t="s">
        <v>114</v>
      </c>
      <c r="M1767" t="s">
        <v>52</v>
      </c>
      <c r="N1767" t="s">
        <v>40</v>
      </c>
      <c r="O1767">
        <v>65</v>
      </c>
      <c r="Q1767">
        <f t="shared" si="60"/>
        <v>4</v>
      </c>
      <c r="S1767">
        <v>2</v>
      </c>
      <c r="T1767">
        <v>0</v>
      </c>
      <c r="U1767">
        <v>0</v>
      </c>
      <c r="V1767">
        <v>2</v>
      </c>
      <c r="W1767">
        <v>0</v>
      </c>
      <c r="X1767" s="21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P1767" t="s">
        <v>541</v>
      </c>
    </row>
    <row r="1768" spans="1:42">
      <c r="A1768" s="1">
        <v>43838</v>
      </c>
      <c r="B1768">
        <v>3</v>
      </c>
      <c r="C1768">
        <v>243</v>
      </c>
      <c r="D1768">
        <v>14449</v>
      </c>
      <c r="E1768" t="s">
        <v>112</v>
      </c>
      <c r="F1768" t="s">
        <v>90</v>
      </c>
      <c r="G1768">
        <v>4</v>
      </c>
      <c r="H1768">
        <v>47</v>
      </c>
      <c r="I1768" s="25">
        <v>1263</v>
      </c>
      <c r="K1768" t="s">
        <v>553</v>
      </c>
      <c r="L1768" t="s">
        <v>141</v>
      </c>
      <c r="M1768" t="s">
        <v>52</v>
      </c>
      <c r="N1768" t="s">
        <v>40</v>
      </c>
      <c r="O1768">
        <v>17</v>
      </c>
      <c r="Q1768">
        <f t="shared" si="60"/>
        <v>1</v>
      </c>
      <c r="S1768">
        <v>0</v>
      </c>
      <c r="T1768">
        <v>0</v>
      </c>
      <c r="U1768">
        <v>0</v>
      </c>
      <c r="V1768">
        <v>1</v>
      </c>
      <c r="W1768">
        <v>0</v>
      </c>
      <c r="X1768" s="21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P1768" t="s">
        <v>541</v>
      </c>
    </row>
    <row r="1769" spans="1:42">
      <c r="A1769" s="1">
        <v>43838</v>
      </c>
      <c r="B1769">
        <v>3</v>
      </c>
      <c r="C1769">
        <v>243</v>
      </c>
      <c r="D1769">
        <v>14449</v>
      </c>
      <c r="E1769" t="s">
        <v>112</v>
      </c>
      <c r="F1769" t="s">
        <v>90</v>
      </c>
      <c r="G1769">
        <v>4</v>
      </c>
      <c r="H1769">
        <v>48</v>
      </c>
      <c r="I1769" s="25">
        <v>1266</v>
      </c>
      <c r="K1769" t="s">
        <v>553</v>
      </c>
      <c r="L1769" t="s">
        <v>114</v>
      </c>
      <c r="M1769" t="s">
        <v>52</v>
      </c>
      <c r="N1769" t="s">
        <v>40</v>
      </c>
      <c r="O1769">
        <v>36</v>
      </c>
      <c r="Q1769">
        <f t="shared" si="60"/>
        <v>2</v>
      </c>
      <c r="S1769">
        <v>2</v>
      </c>
      <c r="T1769">
        <v>0</v>
      </c>
      <c r="U1769">
        <v>0</v>
      </c>
      <c r="V1769">
        <v>0</v>
      </c>
      <c r="W1769">
        <v>0</v>
      </c>
      <c r="X1769" s="21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P1769" t="s">
        <v>541</v>
      </c>
    </row>
    <row r="1770" spans="1:42">
      <c r="A1770" s="1">
        <v>43838</v>
      </c>
      <c r="B1770">
        <v>3</v>
      </c>
      <c r="C1770">
        <v>243</v>
      </c>
      <c r="D1770">
        <v>14449</v>
      </c>
      <c r="E1770" t="s">
        <v>112</v>
      </c>
      <c r="F1770" t="s">
        <v>90</v>
      </c>
      <c r="G1770">
        <v>4</v>
      </c>
      <c r="H1770">
        <v>49</v>
      </c>
      <c r="I1770" s="25">
        <v>1270</v>
      </c>
      <c r="K1770" t="s">
        <v>553</v>
      </c>
      <c r="L1770" t="s">
        <v>114</v>
      </c>
      <c r="M1770" t="s">
        <v>52</v>
      </c>
      <c r="N1770" t="s">
        <v>40</v>
      </c>
      <c r="O1770">
        <v>75</v>
      </c>
      <c r="Q1770">
        <f t="shared" si="60"/>
        <v>5</v>
      </c>
      <c r="S1770">
        <v>3</v>
      </c>
      <c r="T1770">
        <v>0</v>
      </c>
      <c r="U1770">
        <v>0</v>
      </c>
      <c r="V1770">
        <v>2</v>
      </c>
      <c r="W1770">
        <v>0</v>
      </c>
      <c r="X1770" s="21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P1770" t="s">
        <v>541</v>
      </c>
    </row>
    <row r="1771" spans="1:42">
      <c r="A1771" s="1">
        <v>43838</v>
      </c>
      <c r="B1771">
        <v>3</v>
      </c>
      <c r="C1771">
        <v>243</v>
      </c>
      <c r="D1771">
        <v>14449</v>
      </c>
      <c r="E1771" t="s">
        <v>112</v>
      </c>
      <c r="F1771" t="s">
        <v>90</v>
      </c>
      <c r="G1771">
        <v>4</v>
      </c>
      <c r="H1771">
        <v>50</v>
      </c>
      <c r="I1771" s="25">
        <v>1270</v>
      </c>
      <c r="K1771" t="s">
        <v>553</v>
      </c>
      <c r="L1771" t="s">
        <v>141</v>
      </c>
      <c r="M1771" t="s">
        <v>52</v>
      </c>
      <c r="N1771" t="s">
        <v>40</v>
      </c>
      <c r="O1771">
        <v>50</v>
      </c>
      <c r="Q1771">
        <f t="shared" si="60"/>
        <v>4</v>
      </c>
      <c r="S1771">
        <v>2</v>
      </c>
      <c r="T1771">
        <v>0</v>
      </c>
      <c r="U1771">
        <v>0</v>
      </c>
      <c r="V1771">
        <v>2</v>
      </c>
      <c r="W1771">
        <v>0</v>
      </c>
      <c r="X1771" s="2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P1771" t="s">
        <v>541</v>
      </c>
    </row>
    <row r="1772" spans="1:42">
      <c r="A1772" s="1">
        <v>43838</v>
      </c>
      <c r="B1772">
        <v>3</v>
      </c>
      <c r="C1772">
        <v>243</v>
      </c>
      <c r="D1772">
        <v>14449</v>
      </c>
      <c r="E1772" t="s">
        <v>112</v>
      </c>
      <c r="F1772" t="s">
        <v>90</v>
      </c>
      <c r="G1772">
        <v>4</v>
      </c>
      <c r="H1772">
        <v>51</v>
      </c>
      <c r="I1772" s="25">
        <v>1289</v>
      </c>
      <c r="K1772" t="s">
        <v>553</v>
      </c>
      <c r="L1772" t="s">
        <v>141</v>
      </c>
      <c r="M1772" t="s">
        <v>52</v>
      </c>
      <c r="N1772" t="s">
        <v>40</v>
      </c>
      <c r="O1772">
        <v>37</v>
      </c>
      <c r="Q1772">
        <f t="shared" si="60"/>
        <v>2</v>
      </c>
      <c r="S1772">
        <v>1</v>
      </c>
      <c r="T1772">
        <v>0</v>
      </c>
      <c r="U1772">
        <v>0</v>
      </c>
      <c r="V1772">
        <v>1</v>
      </c>
      <c r="W1772">
        <v>0</v>
      </c>
      <c r="X1772" s="21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P1772" t="s">
        <v>541</v>
      </c>
    </row>
    <row r="1773" spans="1:42">
      <c r="A1773" s="1">
        <v>43838</v>
      </c>
      <c r="B1773">
        <v>3</v>
      </c>
      <c r="C1773">
        <v>243</v>
      </c>
      <c r="D1773">
        <v>14449</v>
      </c>
      <c r="E1773" t="s">
        <v>112</v>
      </c>
      <c r="F1773" t="s">
        <v>90</v>
      </c>
      <c r="G1773">
        <v>4</v>
      </c>
      <c r="H1773">
        <v>52</v>
      </c>
      <c r="I1773" s="25">
        <v>1289</v>
      </c>
      <c r="K1773" t="s">
        <v>553</v>
      </c>
      <c r="L1773" t="s">
        <v>114</v>
      </c>
      <c r="M1773" t="s">
        <v>52</v>
      </c>
      <c r="N1773" t="s">
        <v>40</v>
      </c>
      <c r="O1773">
        <v>26</v>
      </c>
      <c r="Q1773">
        <f t="shared" si="60"/>
        <v>2</v>
      </c>
      <c r="S1773">
        <v>1</v>
      </c>
      <c r="T1773">
        <v>0</v>
      </c>
      <c r="U1773">
        <v>0</v>
      </c>
      <c r="V1773">
        <v>1</v>
      </c>
      <c r="W1773">
        <v>0</v>
      </c>
      <c r="X1773" s="21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P1773" t="s">
        <v>541</v>
      </c>
    </row>
    <row r="1774" spans="1:42">
      <c r="A1774" s="1">
        <v>43838</v>
      </c>
      <c r="B1774">
        <v>3</v>
      </c>
      <c r="C1774">
        <v>243</v>
      </c>
      <c r="D1774">
        <v>14449</v>
      </c>
      <c r="E1774" t="s">
        <v>112</v>
      </c>
      <c r="F1774" t="s">
        <v>90</v>
      </c>
      <c r="G1774">
        <v>4</v>
      </c>
      <c r="H1774">
        <v>53</v>
      </c>
      <c r="I1774" s="25">
        <v>1290</v>
      </c>
      <c r="K1774" t="s">
        <v>553</v>
      </c>
      <c r="L1774" t="s">
        <v>114</v>
      </c>
      <c r="M1774" t="s">
        <v>52</v>
      </c>
      <c r="N1774" t="s">
        <v>40</v>
      </c>
      <c r="O1774">
        <v>27</v>
      </c>
      <c r="Q1774">
        <f t="shared" si="60"/>
        <v>2</v>
      </c>
      <c r="S1774">
        <v>1</v>
      </c>
      <c r="T1774">
        <v>0</v>
      </c>
      <c r="U1774">
        <v>0</v>
      </c>
      <c r="V1774">
        <v>1</v>
      </c>
      <c r="W1774">
        <v>0</v>
      </c>
      <c r="X1774" s="21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P1774" t="s">
        <v>541</v>
      </c>
    </row>
    <row r="1775" spans="1:42">
      <c r="A1775" s="1">
        <v>43838</v>
      </c>
      <c r="B1775">
        <v>3</v>
      </c>
      <c r="C1775">
        <v>243</v>
      </c>
      <c r="D1775">
        <v>14449</v>
      </c>
      <c r="E1775" t="s">
        <v>112</v>
      </c>
      <c r="F1775" t="s">
        <v>90</v>
      </c>
      <c r="G1775">
        <v>4</v>
      </c>
      <c r="H1775">
        <v>54</v>
      </c>
      <c r="I1775" s="25">
        <v>1290</v>
      </c>
      <c r="K1775" t="s">
        <v>553</v>
      </c>
      <c r="L1775" t="s">
        <v>141</v>
      </c>
      <c r="M1775" t="s">
        <v>52</v>
      </c>
      <c r="N1775" t="s">
        <v>40</v>
      </c>
      <c r="O1775">
        <v>29</v>
      </c>
      <c r="Q1775">
        <f t="shared" si="60"/>
        <v>2</v>
      </c>
      <c r="S1775">
        <v>1</v>
      </c>
      <c r="T1775">
        <v>0</v>
      </c>
      <c r="U1775">
        <v>0</v>
      </c>
      <c r="V1775">
        <v>1</v>
      </c>
      <c r="W1775">
        <v>0</v>
      </c>
      <c r="X1775" s="21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P1775" t="s">
        <v>541</v>
      </c>
    </row>
    <row r="1776" spans="1:42">
      <c r="A1776" s="1">
        <v>43838</v>
      </c>
      <c r="B1776">
        <v>3</v>
      </c>
      <c r="C1776">
        <v>243</v>
      </c>
      <c r="D1776">
        <v>14449</v>
      </c>
      <c r="E1776" t="s">
        <v>112</v>
      </c>
      <c r="F1776" t="s">
        <v>90</v>
      </c>
      <c r="G1776">
        <v>4</v>
      </c>
      <c r="H1776">
        <v>55</v>
      </c>
      <c r="I1776" s="25">
        <v>1291</v>
      </c>
      <c r="K1776" t="s">
        <v>553</v>
      </c>
      <c r="L1776" t="s">
        <v>141</v>
      </c>
      <c r="M1776" t="s">
        <v>52</v>
      </c>
      <c r="N1776" t="s">
        <v>40</v>
      </c>
      <c r="O1776">
        <v>34</v>
      </c>
      <c r="Q1776">
        <f t="shared" si="60"/>
        <v>2</v>
      </c>
      <c r="S1776">
        <v>1</v>
      </c>
      <c r="T1776">
        <v>0</v>
      </c>
      <c r="U1776">
        <v>0</v>
      </c>
      <c r="V1776">
        <v>1</v>
      </c>
      <c r="W1776">
        <v>0</v>
      </c>
      <c r="X1776" s="21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P1776" t="s">
        <v>541</v>
      </c>
    </row>
    <row r="1777" spans="1:42">
      <c r="A1777" s="1">
        <v>43838</v>
      </c>
      <c r="B1777">
        <v>3</v>
      </c>
      <c r="C1777">
        <v>243</v>
      </c>
      <c r="D1777">
        <v>14449</v>
      </c>
      <c r="E1777" t="s">
        <v>112</v>
      </c>
      <c r="F1777" t="s">
        <v>90</v>
      </c>
      <c r="G1777">
        <v>4</v>
      </c>
      <c r="H1777">
        <v>56</v>
      </c>
      <c r="I1777" s="25">
        <v>1291</v>
      </c>
      <c r="K1777" t="s">
        <v>553</v>
      </c>
      <c r="L1777" t="s">
        <v>141</v>
      </c>
      <c r="M1777" t="s">
        <v>52</v>
      </c>
      <c r="N1777" t="s">
        <v>40</v>
      </c>
      <c r="O1777">
        <v>24</v>
      </c>
      <c r="Q1777">
        <f t="shared" si="60"/>
        <v>2</v>
      </c>
      <c r="S1777">
        <v>1</v>
      </c>
      <c r="T1777">
        <v>0</v>
      </c>
      <c r="U1777">
        <v>0</v>
      </c>
      <c r="V1777">
        <v>1</v>
      </c>
      <c r="W1777">
        <v>0</v>
      </c>
      <c r="X1777" s="21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P1777" t="s">
        <v>541</v>
      </c>
    </row>
    <row r="1778" spans="1:42">
      <c r="A1778" s="1">
        <v>43838</v>
      </c>
      <c r="B1778">
        <v>3</v>
      </c>
      <c r="C1778">
        <v>243</v>
      </c>
      <c r="D1778">
        <v>14449</v>
      </c>
      <c r="E1778" t="s">
        <v>112</v>
      </c>
      <c r="F1778" t="s">
        <v>90</v>
      </c>
      <c r="G1778">
        <v>4</v>
      </c>
      <c r="H1778">
        <v>57</v>
      </c>
      <c r="I1778" s="25">
        <v>1293</v>
      </c>
      <c r="K1778" t="s">
        <v>553</v>
      </c>
      <c r="L1778" t="s">
        <v>141</v>
      </c>
      <c r="M1778" t="s">
        <v>52</v>
      </c>
      <c r="N1778" t="s">
        <v>40</v>
      </c>
      <c r="O1778">
        <v>31</v>
      </c>
      <c r="Q1778">
        <f t="shared" si="60"/>
        <v>2</v>
      </c>
      <c r="S1778">
        <v>1</v>
      </c>
      <c r="T1778">
        <v>0</v>
      </c>
      <c r="U1778">
        <v>0</v>
      </c>
      <c r="V1778">
        <v>1</v>
      </c>
      <c r="W1778">
        <v>0</v>
      </c>
      <c r="X1778" s="21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P1778" t="s">
        <v>541</v>
      </c>
    </row>
    <row r="1779" spans="1:42">
      <c r="A1779" s="1">
        <v>43838</v>
      </c>
      <c r="B1779">
        <v>3</v>
      </c>
      <c r="C1779">
        <v>243</v>
      </c>
      <c r="D1779">
        <v>14449</v>
      </c>
      <c r="E1779" t="s">
        <v>112</v>
      </c>
      <c r="F1779" t="s">
        <v>90</v>
      </c>
      <c r="G1779">
        <v>4</v>
      </c>
      <c r="H1779">
        <v>58</v>
      </c>
      <c r="I1779" s="25">
        <v>1293</v>
      </c>
      <c r="K1779" t="s">
        <v>553</v>
      </c>
      <c r="L1779" t="s">
        <v>141</v>
      </c>
      <c r="M1779" t="s">
        <v>52</v>
      </c>
      <c r="N1779" t="s">
        <v>40</v>
      </c>
      <c r="O1779">
        <v>32</v>
      </c>
      <c r="Q1779">
        <f t="shared" si="60"/>
        <v>2</v>
      </c>
      <c r="S1779">
        <v>1</v>
      </c>
      <c r="T1779">
        <v>0</v>
      </c>
      <c r="U1779">
        <v>0</v>
      </c>
      <c r="V1779">
        <v>1</v>
      </c>
      <c r="W1779">
        <v>0</v>
      </c>
      <c r="X1779" s="21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P1779" t="s">
        <v>541</v>
      </c>
    </row>
    <row r="1780" spans="1:42">
      <c r="A1780" s="1">
        <v>43838</v>
      </c>
      <c r="B1780">
        <v>3</v>
      </c>
      <c r="C1780">
        <v>243</v>
      </c>
      <c r="D1780">
        <v>14449</v>
      </c>
      <c r="E1780" t="s">
        <v>112</v>
      </c>
      <c r="F1780" t="s">
        <v>90</v>
      </c>
      <c r="G1780">
        <v>4</v>
      </c>
      <c r="H1780">
        <v>59</v>
      </c>
      <c r="I1780" s="25">
        <v>1294</v>
      </c>
      <c r="K1780" t="s">
        <v>553</v>
      </c>
      <c r="L1780" t="s">
        <v>114</v>
      </c>
      <c r="M1780" t="s">
        <v>52</v>
      </c>
      <c r="N1780" t="s">
        <v>40</v>
      </c>
      <c r="O1780">
        <v>29</v>
      </c>
      <c r="Q1780">
        <f t="shared" si="60"/>
        <v>2</v>
      </c>
      <c r="S1780">
        <v>1</v>
      </c>
      <c r="T1780">
        <v>0</v>
      </c>
      <c r="U1780">
        <v>0</v>
      </c>
      <c r="V1780">
        <v>1</v>
      </c>
      <c r="W1780">
        <v>0</v>
      </c>
      <c r="X1780" s="21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P1780" t="s">
        <v>541</v>
      </c>
    </row>
    <row r="1781" spans="1:42">
      <c r="A1781" s="1">
        <v>43838</v>
      </c>
      <c r="B1781">
        <v>3</v>
      </c>
      <c r="C1781">
        <v>243</v>
      </c>
      <c r="D1781">
        <v>14449</v>
      </c>
      <c r="E1781" t="s">
        <v>112</v>
      </c>
      <c r="F1781" t="s">
        <v>90</v>
      </c>
      <c r="G1781">
        <v>4</v>
      </c>
      <c r="H1781">
        <v>60</v>
      </c>
      <c r="I1781" s="25">
        <v>1294</v>
      </c>
      <c r="K1781" t="s">
        <v>553</v>
      </c>
      <c r="L1781" t="s">
        <v>114</v>
      </c>
      <c r="M1781" t="s">
        <v>52</v>
      </c>
      <c r="N1781" t="s">
        <v>40</v>
      </c>
      <c r="O1781">
        <v>42</v>
      </c>
      <c r="Q1781">
        <f t="shared" si="60"/>
        <v>2</v>
      </c>
      <c r="S1781">
        <v>1</v>
      </c>
      <c r="T1781">
        <v>0</v>
      </c>
      <c r="U1781">
        <v>0</v>
      </c>
      <c r="V1781">
        <v>1</v>
      </c>
      <c r="W1781">
        <v>0</v>
      </c>
      <c r="X1781" s="2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P1781" t="s">
        <v>541</v>
      </c>
    </row>
    <row r="1782" spans="1:42">
      <c r="A1782" s="1">
        <v>43838</v>
      </c>
      <c r="B1782">
        <v>3</v>
      </c>
      <c r="C1782">
        <v>243</v>
      </c>
      <c r="D1782">
        <v>14449</v>
      </c>
      <c r="E1782" t="s">
        <v>112</v>
      </c>
      <c r="F1782" t="s">
        <v>90</v>
      </c>
      <c r="G1782">
        <v>4</v>
      </c>
      <c r="H1782">
        <v>61</v>
      </c>
      <c r="I1782" s="25">
        <v>1295</v>
      </c>
      <c r="K1782" t="s">
        <v>553</v>
      </c>
      <c r="L1782" t="s">
        <v>141</v>
      </c>
      <c r="M1782" t="s">
        <v>52</v>
      </c>
      <c r="N1782" t="s">
        <v>40</v>
      </c>
      <c r="O1782">
        <v>19</v>
      </c>
      <c r="Q1782">
        <f t="shared" si="60"/>
        <v>2</v>
      </c>
      <c r="S1782">
        <v>1</v>
      </c>
      <c r="T1782">
        <v>0</v>
      </c>
      <c r="U1782">
        <v>0</v>
      </c>
      <c r="V1782">
        <v>1</v>
      </c>
      <c r="W1782">
        <v>0</v>
      </c>
      <c r="X1782" s="21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P1782" t="s">
        <v>541</v>
      </c>
    </row>
    <row r="1783" spans="1:42">
      <c r="A1783" s="1">
        <v>43838</v>
      </c>
      <c r="B1783">
        <v>3</v>
      </c>
      <c r="C1783">
        <v>243</v>
      </c>
      <c r="D1783">
        <v>14449</v>
      </c>
      <c r="E1783" t="s">
        <v>112</v>
      </c>
      <c r="F1783" t="s">
        <v>90</v>
      </c>
      <c r="G1783">
        <v>4</v>
      </c>
      <c r="H1783">
        <v>62</v>
      </c>
      <c r="I1783" s="25">
        <v>1295</v>
      </c>
      <c r="K1783" t="s">
        <v>553</v>
      </c>
      <c r="L1783" t="s">
        <v>141</v>
      </c>
      <c r="M1783" t="s">
        <v>52</v>
      </c>
      <c r="N1783" t="s">
        <v>40</v>
      </c>
      <c r="O1783">
        <v>45</v>
      </c>
      <c r="Q1783">
        <f t="shared" si="60"/>
        <v>2</v>
      </c>
      <c r="S1783">
        <v>1</v>
      </c>
      <c r="T1783">
        <v>0</v>
      </c>
      <c r="U1783">
        <v>0</v>
      </c>
      <c r="V1783">
        <v>1</v>
      </c>
      <c r="W1783">
        <v>0</v>
      </c>
      <c r="X1783" s="21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P1783" t="s">
        <v>541</v>
      </c>
    </row>
    <row r="1784" spans="1:42">
      <c r="A1784" s="1">
        <v>43838</v>
      </c>
      <c r="B1784">
        <v>3</v>
      </c>
      <c r="C1784">
        <v>243</v>
      </c>
      <c r="D1784">
        <v>14449</v>
      </c>
      <c r="E1784" t="s">
        <v>112</v>
      </c>
      <c r="F1784" t="s">
        <v>90</v>
      </c>
      <c r="G1784">
        <v>4</v>
      </c>
      <c r="H1784">
        <v>63</v>
      </c>
      <c r="I1784" s="25">
        <v>1297</v>
      </c>
      <c r="K1784" t="s">
        <v>553</v>
      </c>
      <c r="L1784" t="s">
        <v>141</v>
      </c>
      <c r="M1784" t="s">
        <v>52</v>
      </c>
      <c r="N1784" t="s">
        <v>40</v>
      </c>
      <c r="O1784">
        <v>18</v>
      </c>
      <c r="Q1784">
        <f t="shared" si="60"/>
        <v>2</v>
      </c>
      <c r="S1784">
        <v>1</v>
      </c>
      <c r="T1784">
        <v>0</v>
      </c>
      <c r="U1784">
        <v>0</v>
      </c>
      <c r="V1784">
        <v>1</v>
      </c>
      <c r="W1784">
        <v>0</v>
      </c>
      <c r="X1784" s="21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P1784" t="s">
        <v>541</v>
      </c>
    </row>
    <row r="1785" spans="1:42">
      <c r="A1785" s="1">
        <v>43838</v>
      </c>
      <c r="B1785">
        <v>3</v>
      </c>
      <c r="C1785">
        <v>243</v>
      </c>
      <c r="D1785">
        <v>14449</v>
      </c>
      <c r="E1785" t="s">
        <v>112</v>
      </c>
      <c r="F1785" t="s">
        <v>90</v>
      </c>
      <c r="G1785">
        <v>4</v>
      </c>
      <c r="H1785">
        <v>64</v>
      </c>
      <c r="I1785" s="25">
        <v>1297</v>
      </c>
      <c r="K1785" t="s">
        <v>553</v>
      </c>
      <c r="L1785" t="s">
        <v>141</v>
      </c>
      <c r="M1785" t="s">
        <v>52</v>
      </c>
      <c r="N1785" t="s">
        <v>40</v>
      </c>
      <c r="O1785">
        <v>19</v>
      </c>
      <c r="Q1785">
        <f t="shared" ref="Q1785:Q1848" si="61">SUM(S1785:AC1785)</f>
        <v>2</v>
      </c>
      <c r="S1785">
        <v>1</v>
      </c>
      <c r="T1785">
        <v>0</v>
      </c>
      <c r="U1785">
        <v>0</v>
      </c>
      <c r="V1785">
        <v>1</v>
      </c>
      <c r="W1785">
        <v>0</v>
      </c>
      <c r="X1785" s="21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P1785" t="s">
        <v>541</v>
      </c>
    </row>
    <row r="1786" spans="1:42">
      <c r="A1786" s="1">
        <v>43838</v>
      </c>
      <c r="B1786">
        <v>3</v>
      </c>
      <c r="C1786">
        <v>243</v>
      </c>
      <c r="D1786">
        <v>14449</v>
      </c>
      <c r="E1786" t="s">
        <v>112</v>
      </c>
      <c r="F1786" t="s">
        <v>90</v>
      </c>
      <c r="G1786">
        <v>4</v>
      </c>
      <c r="H1786">
        <v>65</v>
      </c>
      <c r="I1786" s="25">
        <v>1298</v>
      </c>
      <c r="K1786" t="s">
        <v>553</v>
      </c>
      <c r="L1786" t="s">
        <v>114</v>
      </c>
      <c r="M1786" t="s">
        <v>52</v>
      </c>
      <c r="N1786" t="s">
        <v>40</v>
      </c>
      <c r="O1786">
        <v>22</v>
      </c>
      <c r="Q1786">
        <f t="shared" si="61"/>
        <v>2</v>
      </c>
      <c r="S1786">
        <v>1</v>
      </c>
      <c r="T1786">
        <v>0</v>
      </c>
      <c r="U1786">
        <v>0</v>
      </c>
      <c r="V1786">
        <v>1</v>
      </c>
      <c r="W1786">
        <v>0</v>
      </c>
      <c r="X1786" s="21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P1786" t="s">
        <v>541</v>
      </c>
    </row>
    <row r="1787" spans="1:42">
      <c r="A1787" s="1">
        <v>43838</v>
      </c>
      <c r="B1787">
        <v>3</v>
      </c>
      <c r="C1787">
        <v>243</v>
      </c>
      <c r="D1787">
        <v>14449</v>
      </c>
      <c r="E1787" t="s">
        <v>112</v>
      </c>
      <c r="F1787" t="s">
        <v>90</v>
      </c>
      <c r="G1787">
        <v>4</v>
      </c>
      <c r="H1787">
        <v>66</v>
      </c>
      <c r="I1787" s="25">
        <v>1298</v>
      </c>
      <c r="K1787" t="s">
        <v>553</v>
      </c>
      <c r="L1787" t="s">
        <v>114</v>
      </c>
      <c r="M1787" t="s">
        <v>52</v>
      </c>
      <c r="N1787" t="s">
        <v>40</v>
      </c>
      <c r="O1787">
        <v>17</v>
      </c>
      <c r="Q1787">
        <f t="shared" si="61"/>
        <v>2</v>
      </c>
      <c r="S1787">
        <v>1</v>
      </c>
      <c r="T1787">
        <v>0</v>
      </c>
      <c r="U1787">
        <v>0</v>
      </c>
      <c r="V1787">
        <v>1</v>
      </c>
      <c r="W1787">
        <v>0</v>
      </c>
      <c r="X1787" s="21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P1787" t="s">
        <v>541</v>
      </c>
    </row>
    <row r="1788" spans="1:42">
      <c r="A1788" s="1">
        <v>43838</v>
      </c>
      <c r="B1788">
        <v>3</v>
      </c>
      <c r="C1788">
        <v>243</v>
      </c>
      <c r="D1788">
        <v>14449</v>
      </c>
      <c r="E1788" t="s">
        <v>112</v>
      </c>
      <c r="F1788" t="s">
        <v>90</v>
      </c>
      <c r="G1788">
        <v>4</v>
      </c>
      <c r="H1788">
        <v>67</v>
      </c>
      <c r="I1788" s="25">
        <v>1226</v>
      </c>
      <c r="K1788" t="s">
        <v>554</v>
      </c>
      <c r="L1788" t="s">
        <v>114</v>
      </c>
      <c r="M1788" t="s">
        <v>52</v>
      </c>
      <c r="N1788" t="s">
        <v>40</v>
      </c>
      <c r="O1788">
        <v>39</v>
      </c>
      <c r="Q1788">
        <f t="shared" si="61"/>
        <v>2</v>
      </c>
      <c r="S1788">
        <v>1</v>
      </c>
      <c r="T1788">
        <v>0</v>
      </c>
      <c r="U1788">
        <v>0</v>
      </c>
      <c r="V1788">
        <v>1</v>
      </c>
      <c r="W1788">
        <v>0</v>
      </c>
      <c r="X1788" s="21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P1788" t="s">
        <v>541</v>
      </c>
    </row>
    <row r="1789" spans="1:42">
      <c r="A1789" s="1">
        <v>43838</v>
      </c>
      <c r="B1789">
        <v>3</v>
      </c>
      <c r="C1789">
        <v>243</v>
      </c>
      <c r="D1789">
        <v>14449</v>
      </c>
      <c r="E1789" t="s">
        <v>112</v>
      </c>
      <c r="F1789" t="s">
        <v>90</v>
      </c>
      <c r="G1789">
        <v>4</v>
      </c>
      <c r="H1789">
        <v>68</v>
      </c>
      <c r="I1789" s="25">
        <v>1239</v>
      </c>
      <c r="K1789" t="s">
        <v>554</v>
      </c>
      <c r="L1789" t="s">
        <v>141</v>
      </c>
      <c r="M1789" t="s">
        <v>52</v>
      </c>
      <c r="N1789" t="s">
        <v>40</v>
      </c>
      <c r="O1789">
        <v>22</v>
      </c>
      <c r="Q1789">
        <f t="shared" si="61"/>
        <v>2</v>
      </c>
      <c r="S1789">
        <v>1</v>
      </c>
      <c r="T1789">
        <v>0</v>
      </c>
      <c r="U1789">
        <v>0</v>
      </c>
      <c r="V1789">
        <v>1</v>
      </c>
      <c r="W1789">
        <v>0</v>
      </c>
      <c r="X1789" s="21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P1789" t="s">
        <v>541</v>
      </c>
    </row>
    <row r="1790" spans="1:42">
      <c r="A1790" s="1">
        <v>43838</v>
      </c>
      <c r="B1790">
        <v>3</v>
      </c>
      <c r="C1790">
        <v>243</v>
      </c>
      <c r="D1790">
        <v>14449</v>
      </c>
      <c r="E1790" t="s">
        <v>112</v>
      </c>
      <c r="F1790" t="s">
        <v>90</v>
      </c>
      <c r="G1790">
        <v>4</v>
      </c>
      <c r="H1790">
        <v>69</v>
      </c>
      <c r="I1790" s="25">
        <v>1277</v>
      </c>
      <c r="K1790" t="s">
        <v>554</v>
      </c>
      <c r="L1790" t="s">
        <v>141</v>
      </c>
      <c r="M1790" t="s">
        <v>52</v>
      </c>
      <c r="N1790" t="s">
        <v>40</v>
      </c>
      <c r="O1790">
        <v>158</v>
      </c>
      <c r="Q1790">
        <f t="shared" si="61"/>
        <v>6</v>
      </c>
      <c r="S1790">
        <v>2</v>
      </c>
      <c r="T1790">
        <v>0</v>
      </c>
      <c r="U1790">
        <v>0</v>
      </c>
      <c r="V1790">
        <v>4</v>
      </c>
      <c r="W1790">
        <v>0</v>
      </c>
      <c r="X1790" s="21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P1790" t="s">
        <v>541</v>
      </c>
    </row>
    <row r="1791" spans="1:42">
      <c r="A1791" s="1">
        <v>43838</v>
      </c>
      <c r="B1791">
        <v>3</v>
      </c>
      <c r="C1791">
        <v>243</v>
      </c>
      <c r="D1791">
        <v>14449</v>
      </c>
      <c r="E1791" t="s">
        <v>112</v>
      </c>
      <c r="F1791" t="s">
        <v>90</v>
      </c>
      <c r="G1791">
        <v>4</v>
      </c>
      <c r="H1791">
        <v>70</v>
      </c>
      <c r="I1791" s="25">
        <v>1277</v>
      </c>
      <c r="K1791" t="s">
        <v>554</v>
      </c>
      <c r="L1791" t="s">
        <v>141</v>
      </c>
      <c r="M1791" t="s">
        <v>52</v>
      </c>
      <c r="N1791" t="s">
        <v>40</v>
      </c>
      <c r="O1791">
        <v>35</v>
      </c>
      <c r="Q1791">
        <f t="shared" si="61"/>
        <v>2</v>
      </c>
      <c r="S1791">
        <v>1</v>
      </c>
      <c r="T1791">
        <v>0</v>
      </c>
      <c r="U1791">
        <v>0</v>
      </c>
      <c r="V1791">
        <v>1</v>
      </c>
      <c r="W1791">
        <v>0</v>
      </c>
      <c r="X1791" s="2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P1791" t="s">
        <v>541</v>
      </c>
    </row>
    <row r="1792" spans="1:42">
      <c r="A1792" s="1">
        <v>43838</v>
      </c>
      <c r="B1792">
        <v>3</v>
      </c>
      <c r="C1792">
        <v>243</v>
      </c>
      <c r="D1792">
        <v>14449</v>
      </c>
      <c r="E1792" t="s">
        <v>112</v>
      </c>
      <c r="F1792" t="s">
        <v>90</v>
      </c>
      <c r="G1792">
        <v>4</v>
      </c>
      <c r="H1792">
        <v>71</v>
      </c>
      <c r="I1792" s="25">
        <v>1277</v>
      </c>
      <c r="K1792" t="s">
        <v>554</v>
      </c>
      <c r="L1792" t="s">
        <v>141</v>
      </c>
      <c r="M1792" t="s">
        <v>52</v>
      </c>
      <c r="N1792" t="s">
        <v>40</v>
      </c>
      <c r="O1792">
        <v>40</v>
      </c>
      <c r="Q1792">
        <f t="shared" si="61"/>
        <v>4</v>
      </c>
      <c r="S1792">
        <v>2</v>
      </c>
      <c r="T1792">
        <v>0</v>
      </c>
      <c r="U1792">
        <v>0</v>
      </c>
      <c r="V1792">
        <v>2</v>
      </c>
      <c r="W1792">
        <v>0</v>
      </c>
      <c r="X1792" s="21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P1792" t="s">
        <v>541</v>
      </c>
    </row>
    <row r="1793" spans="1:42">
      <c r="A1793" s="1">
        <v>43838</v>
      </c>
      <c r="B1793">
        <v>3</v>
      </c>
      <c r="C1793">
        <v>243</v>
      </c>
      <c r="D1793">
        <v>14449</v>
      </c>
      <c r="E1793" t="s">
        <v>112</v>
      </c>
      <c r="F1793" t="s">
        <v>90</v>
      </c>
      <c r="G1793">
        <v>4</v>
      </c>
      <c r="H1793">
        <v>72</v>
      </c>
      <c r="I1793" s="25">
        <v>1274</v>
      </c>
      <c r="K1793" t="s">
        <v>554</v>
      </c>
      <c r="L1793" t="s">
        <v>114</v>
      </c>
      <c r="M1793" t="s">
        <v>52</v>
      </c>
      <c r="N1793" t="s">
        <v>40</v>
      </c>
      <c r="O1793">
        <v>25</v>
      </c>
      <c r="Q1793">
        <f t="shared" si="61"/>
        <v>2</v>
      </c>
      <c r="S1793">
        <v>1</v>
      </c>
      <c r="T1793">
        <v>0</v>
      </c>
      <c r="U1793">
        <v>0</v>
      </c>
      <c r="V1793">
        <v>1</v>
      </c>
      <c r="W1793">
        <v>0</v>
      </c>
      <c r="X1793" s="21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P1793" t="s">
        <v>541</v>
      </c>
    </row>
    <row r="1794" spans="1:42">
      <c r="A1794" s="1">
        <v>43838</v>
      </c>
      <c r="B1794">
        <v>3</v>
      </c>
      <c r="C1794">
        <v>243</v>
      </c>
      <c r="D1794">
        <v>14449</v>
      </c>
      <c r="E1794" t="s">
        <v>112</v>
      </c>
      <c r="F1794" t="s">
        <v>90</v>
      </c>
      <c r="G1794">
        <v>4</v>
      </c>
      <c r="H1794">
        <v>73</v>
      </c>
      <c r="I1794" s="25">
        <v>1273</v>
      </c>
      <c r="K1794" t="s">
        <v>554</v>
      </c>
      <c r="L1794" t="s">
        <v>141</v>
      </c>
      <c r="M1794" t="s">
        <v>52</v>
      </c>
      <c r="N1794" t="s">
        <v>40</v>
      </c>
      <c r="O1794">
        <v>63</v>
      </c>
      <c r="Q1794">
        <f t="shared" si="61"/>
        <v>4</v>
      </c>
      <c r="S1794">
        <v>2</v>
      </c>
      <c r="T1794">
        <v>0</v>
      </c>
      <c r="U1794">
        <v>0</v>
      </c>
      <c r="V1794">
        <v>2</v>
      </c>
      <c r="W1794">
        <v>0</v>
      </c>
      <c r="X1794" s="21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P1794" t="s">
        <v>541</v>
      </c>
    </row>
    <row r="1795" spans="1:42">
      <c r="A1795" s="1">
        <v>43838</v>
      </c>
      <c r="B1795">
        <v>3</v>
      </c>
      <c r="C1795">
        <v>243</v>
      </c>
      <c r="D1795">
        <v>14449</v>
      </c>
      <c r="E1795" t="s">
        <v>112</v>
      </c>
      <c r="F1795" t="s">
        <v>90</v>
      </c>
      <c r="G1795">
        <v>4</v>
      </c>
      <c r="H1795">
        <v>74</v>
      </c>
      <c r="I1795" s="25">
        <v>1272</v>
      </c>
      <c r="K1795" t="s">
        <v>554</v>
      </c>
      <c r="L1795" t="s">
        <v>114</v>
      </c>
      <c r="M1795" t="s">
        <v>52</v>
      </c>
      <c r="N1795" t="s">
        <v>40</v>
      </c>
      <c r="O1795">
        <v>50</v>
      </c>
      <c r="Q1795">
        <f t="shared" si="61"/>
        <v>3</v>
      </c>
      <c r="S1795">
        <v>1</v>
      </c>
      <c r="T1795">
        <v>0</v>
      </c>
      <c r="U1795">
        <v>0</v>
      </c>
      <c r="V1795">
        <v>2</v>
      </c>
      <c r="W1795">
        <v>0</v>
      </c>
      <c r="X1795" s="21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P1795" t="s">
        <v>541</v>
      </c>
    </row>
    <row r="1796" spans="1:42">
      <c r="A1796" s="1">
        <v>43838</v>
      </c>
      <c r="B1796">
        <v>3</v>
      </c>
      <c r="C1796">
        <v>243</v>
      </c>
      <c r="D1796">
        <v>14449</v>
      </c>
      <c r="E1796" t="s">
        <v>112</v>
      </c>
      <c r="F1796" t="s">
        <v>90</v>
      </c>
      <c r="G1796">
        <v>4</v>
      </c>
      <c r="H1796">
        <v>75</v>
      </c>
      <c r="I1796" s="25">
        <v>1268</v>
      </c>
      <c r="K1796" t="s">
        <v>554</v>
      </c>
      <c r="L1796" t="s">
        <v>114</v>
      </c>
      <c r="M1796" t="s">
        <v>52</v>
      </c>
      <c r="N1796" t="s">
        <v>40</v>
      </c>
      <c r="O1796">
        <v>35</v>
      </c>
      <c r="Q1796">
        <f t="shared" si="61"/>
        <v>4</v>
      </c>
      <c r="S1796">
        <v>2</v>
      </c>
      <c r="T1796">
        <v>0</v>
      </c>
      <c r="U1796">
        <v>0</v>
      </c>
      <c r="V1796">
        <v>2</v>
      </c>
      <c r="W1796">
        <v>0</v>
      </c>
      <c r="X1796" s="21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P1796" t="s">
        <v>541</v>
      </c>
    </row>
    <row r="1797" spans="1:42">
      <c r="A1797" s="1">
        <v>43838</v>
      </c>
      <c r="B1797">
        <v>3</v>
      </c>
      <c r="C1797">
        <v>243</v>
      </c>
      <c r="D1797">
        <v>14449</v>
      </c>
      <c r="E1797" t="s">
        <v>112</v>
      </c>
      <c r="F1797" t="s">
        <v>90</v>
      </c>
      <c r="G1797">
        <v>4</v>
      </c>
      <c r="H1797">
        <v>76</v>
      </c>
      <c r="I1797" s="25">
        <v>1265</v>
      </c>
      <c r="K1797" t="s">
        <v>554</v>
      </c>
      <c r="L1797" t="s">
        <v>141</v>
      </c>
      <c r="M1797" t="s">
        <v>52</v>
      </c>
      <c r="N1797" t="s">
        <v>40</v>
      </c>
      <c r="O1797">
        <v>74</v>
      </c>
      <c r="Q1797">
        <f t="shared" si="61"/>
        <v>3</v>
      </c>
      <c r="S1797">
        <v>1</v>
      </c>
      <c r="T1797">
        <v>0</v>
      </c>
      <c r="U1797">
        <v>0</v>
      </c>
      <c r="V1797">
        <v>2</v>
      </c>
      <c r="W1797">
        <v>0</v>
      </c>
      <c r="X1797" s="21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P1797" t="s">
        <v>541</v>
      </c>
    </row>
    <row r="1798" spans="1:42">
      <c r="A1798" s="1">
        <v>43838</v>
      </c>
      <c r="B1798">
        <v>3</v>
      </c>
      <c r="C1798">
        <v>243</v>
      </c>
      <c r="D1798">
        <v>14449</v>
      </c>
      <c r="E1798" t="s">
        <v>112</v>
      </c>
      <c r="F1798" t="s">
        <v>90</v>
      </c>
      <c r="G1798">
        <v>4</v>
      </c>
      <c r="H1798">
        <v>77</v>
      </c>
      <c r="I1798" s="25">
        <v>1262</v>
      </c>
      <c r="K1798" t="s">
        <v>554</v>
      </c>
      <c r="L1798" t="s">
        <v>114</v>
      </c>
      <c r="M1798" t="s">
        <v>52</v>
      </c>
      <c r="N1798" t="s">
        <v>40</v>
      </c>
      <c r="O1798">
        <v>24</v>
      </c>
      <c r="Q1798">
        <f t="shared" si="61"/>
        <v>2</v>
      </c>
      <c r="S1798">
        <v>1</v>
      </c>
      <c r="T1798">
        <v>0</v>
      </c>
      <c r="U1798">
        <v>0</v>
      </c>
      <c r="V1798">
        <v>1</v>
      </c>
      <c r="W1798">
        <v>0</v>
      </c>
      <c r="X1798" s="21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P1798" t="s">
        <v>541</v>
      </c>
    </row>
    <row r="1799" spans="1:42">
      <c r="A1799" s="1">
        <v>43838</v>
      </c>
      <c r="B1799">
        <v>3</v>
      </c>
      <c r="C1799">
        <v>243</v>
      </c>
      <c r="D1799">
        <v>14449</v>
      </c>
      <c r="E1799" t="s">
        <v>112</v>
      </c>
      <c r="F1799" t="s">
        <v>90</v>
      </c>
      <c r="G1799">
        <v>4</v>
      </c>
      <c r="H1799">
        <v>78</v>
      </c>
      <c r="I1799" s="25">
        <v>1264</v>
      </c>
      <c r="K1799" t="s">
        <v>554</v>
      </c>
      <c r="L1799" t="s">
        <v>114</v>
      </c>
      <c r="M1799" t="s">
        <v>52</v>
      </c>
      <c r="N1799" t="s">
        <v>40</v>
      </c>
      <c r="O1799">
        <v>53</v>
      </c>
      <c r="Q1799">
        <f t="shared" si="61"/>
        <v>4</v>
      </c>
      <c r="S1799">
        <v>2</v>
      </c>
      <c r="T1799">
        <v>0</v>
      </c>
      <c r="U1799">
        <v>0</v>
      </c>
      <c r="V1799">
        <v>2</v>
      </c>
      <c r="W1799">
        <v>0</v>
      </c>
      <c r="X1799" s="21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P1799" t="s">
        <v>541</v>
      </c>
    </row>
    <row r="1800" spans="1:42">
      <c r="A1800" s="1">
        <v>43838</v>
      </c>
      <c r="B1800">
        <v>3</v>
      </c>
      <c r="C1800">
        <v>243</v>
      </c>
      <c r="D1800">
        <v>14449</v>
      </c>
      <c r="E1800" t="s">
        <v>112</v>
      </c>
      <c r="F1800" t="s">
        <v>90</v>
      </c>
      <c r="G1800">
        <v>4</v>
      </c>
      <c r="H1800">
        <v>79</v>
      </c>
      <c r="I1800" s="25">
        <v>1261</v>
      </c>
      <c r="K1800" t="s">
        <v>554</v>
      </c>
      <c r="L1800" t="s">
        <v>141</v>
      </c>
      <c r="M1800" t="s">
        <v>52</v>
      </c>
      <c r="N1800" t="s">
        <v>40</v>
      </c>
      <c r="O1800">
        <v>39</v>
      </c>
      <c r="Q1800">
        <f t="shared" si="61"/>
        <v>2</v>
      </c>
      <c r="S1800">
        <v>1</v>
      </c>
      <c r="T1800">
        <v>0</v>
      </c>
      <c r="U1800">
        <v>0</v>
      </c>
      <c r="V1800">
        <v>1</v>
      </c>
      <c r="W1800">
        <v>0</v>
      </c>
      <c r="X1800" s="21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P1800" t="s">
        <v>541</v>
      </c>
    </row>
    <row r="1801" spans="1:42">
      <c r="A1801" s="1">
        <v>43838</v>
      </c>
      <c r="B1801">
        <v>3</v>
      </c>
      <c r="C1801">
        <v>243</v>
      </c>
      <c r="D1801">
        <v>14449</v>
      </c>
      <c r="E1801" t="s">
        <v>112</v>
      </c>
      <c r="F1801" t="s">
        <v>90</v>
      </c>
      <c r="G1801">
        <v>4</v>
      </c>
      <c r="H1801">
        <v>80</v>
      </c>
      <c r="I1801" s="25">
        <v>1217</v>
      </c>
      <c r="K1801" t="s">
        <v>554</v>
      </c>
      <c r="L1801" t="s">
        <v>141</v>
      </c>
      <c r="M1801" t="s">
        <v>52</v>
      </c>
      <c r="N1801" t="s">
        <v>40</v>
      </c>
      <c r="O1801">
        <v>47</v>
      </c>
      <c r="Q1801">
        <f t="shared" si="61"/>
        <v>3</v>
      </c>
      <c r="S1801">
        <v>1</v>
      </c>
      <c r="T1801">
        <v>0</v>
      </c>
      <c r="U1801">
        <v>0</v>
      </c>
      <c r="V1801">
        <v>2</v>
      </c>
      <c r="W1801">
        <v>0</v>
      </c>
      <c r="X1801" s="2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P1801" t="s">
        <v>541</v>
      </c>
    </row>
    <row r="1802" spans="1:42">
      <c r="A1802" s="1">
        <v>43838</v>
      </c>
      <c r="B1802">
        <v>3</v>
      </c>
      <c r="C1802">
        <v>243</v>
      </c>
      <c r="D1802">
        <v>14449</v>
      </c>
      <c r="E1802" t="s">
        <v>112</v>
      </c>
      <c r="F1802" t="s">
        <v>90</v>
      </c>
      <c r="G1802">
        <v>4</v>
      </c>
      <c r="H1802">
        <v>81</v>
      </c>
      <c r="I1802" s="25">
        <v>1300</v>
      </c>
      <c r="K1802" t="s">
        <v>555</v>
      </c>
      <c r="L1802" t="s">
        <v>114</v>
      </c>
      <c r="M1802" t="s">
        <v>52</v>
      </c>
      <c r="N1802" t="s">
        <v>40</v>
      </c>
      <c r="O1802">
        <v>34</v>
      </c>
      <c r="Q1802">
        <f t="shared" si="61"/>
        <v>2</v>
      </c>
      <c r="S1802">
        <v>0</v>
      </c>
      <c r="T1802">
        <v>0</v>
      </c>
      <c r="U1802">
        <v>0</v>
      </c>
      <c r="V1802">
        <v>2</v>
      </c>
      <c r="W1802">
        <v>0</v>
      </c>
      <c r="X1802" s="21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P1802" t="s">
        <v>541</v>
      </c>
    </row>
    <row r="1803" spans="1:42">
      <c r="A1803" s="1">
        <v>43838</v>
      </c>
      <c r="B1803">
        <v>3</v>
      </c>
      <c r="C1803">
        <v>243</v>
      </c>
      <c r="D1803">
        <v>14449</v>
      </c>
      <c r="E1803" t="s">
        <v>112</v>
      </c>
      <c r="F1803" t="s">
        <v>90</v>
      </c>
      <c r="G1803">
        <v>4</v>
      </c>
      <c r="H1803">
        <v>82</v>
      </c>
      <c r="I1803" s="25">
        <v>1300</v>
      </c>
      <c r="K1803" t="s">
        <v>555</v>
      </c>
      <c r="L1803" t="s">
        <v>114</v>
      </c>
      <c r="M1803" t="s">
        <v>52</v>
      </c>
      <c r="N1803" t="s">
        <v>40</v>
      </c>
      <c r="O1803">
        <v>32</v>
      </c>
      <c r="Q1803">
        <f t="shared" si="61"/>
        <v>2</v>
      </c>
      <c r="S1803">
        <v>0</v>
      </c>
      <c r="T1803">
        <v>0</v>
      </c>
      <c r="U1803">
        <v>0</v>
      </c>
      <c r="V1803">
        <v>2</v>
      </c>
      <c r="W1803">
        <v>0</v>
      </c>
      <c r="X1803" s="21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P1803" t="s">
        <v>541</v>
      </c>
    </row>
    <row r="1804" spans="1:42">
      <c r="A1804" s="1">
        <v>43838</v>
      </c>
      <c r="B1804">
        <v>3</v>
      </c>
      <c r="C1804">
        <v>243</v>
      </c>
      <c r="D1804">
        <v>14449</v>
      </c>
      <c r="E1804" t="s">
        <v>112</v>
      </c>
      <c r="F1804" t="s">
        <v>90</v>
      </c>
      <c r="G1804">
        <v>4</v>
      </c>
      <c r="H1804">
        <v>83</v>
      </c>
      <c r="I1804" s="25">
        <v>1300</v>
      </c>
      <c r="K1804" t="s">
        <v>555</v>
      </c>
      <c r="L1804" t="s">
        <v>114</v>
      </c>
      <c r="M1804" t="s">
        <v>52</v>
      </c>
      <c r="N1804" t="s">
        <v>40</v>
      </c>
      <c r="O1804">
        <v>20</v>
      </c>
      <c r="Q1804">
        <f t="shared" si="61"/>
        <v>5</v>
      </c>
      <c r="S1804">
        <v>2</v>
      </c>
      <c r="T1804">
        <v>0</v>
      </c>
      <c r="U1804">
        <v>0</v>
      </c>
      <c r="V1804">
        <v>3</v>
      </c>
      <c r="W1804">
        <v>0</v>
      </c>
      <c r="X1804" s="21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P1804" t="s">
        <v>541</v>
      </c>
    </row>
    <row r="1805" spans="1:42">
      <c r="A1805" s="1">
        <v>43838</v>
      </c>
      <c r="B1805">
        <v>3</v>
      </c>
      <c r="C1805">
        <v>243</v>
      </c>
      <c r="D1805">
        <v>14449</v>
      </c>
      <c r="E1805" t="s">
        <v>112</v>
      </c>
      <c r="F1805" t="s">
        <v>90</v>
      </c>
      <c r="G1805">
        <v>4</v>
      </c>
      <c r="H1805">
        <v>84</v>
      </c>
      <c r="I1805" s="25">
        <v>1300</v>
      </c>
      <c r="K1805" t="s">
        <v>555</v>
      </c>
      <c r="L1805" t="s">
        <v>114</v>
      </c>
      <c r="M1805" t="s">
        <v>52</v>
      </c>
      <c r="N1805" t="s">
        <v>40</v>
      </c>
      <c r="O1805">
        <v>106</v>
      </c>
      <c r="Q1805">
        <f t="shared" si="61"/>
        <v>5</v>
      </c>
      <c r="S1805">
        <v>0</v>
      </c>
      <c r="T1805">
        <v>0</v>
      </c>
      <c r="U1805">
        <v>0</v>
      </c>
      <c r="V1805">
        <v>0</v>
      </c>
      <c r="W1805">
        <v>5</v>
      </c>
      <c r="X1805" s="21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P1805" t="s">
        <v>541</v>
      </c>
    </row>
    <row r="1806" spans="1:42">
      <c r="A1806" s="1">
        <v>43838</v>
      </c>
      <c r="B1806">
        <v>3</v>
      </c>
      <c r="C1806">
        <v>243</v>
      </c>
      <c r="D1806">
        <v>14449</v>
      </c>
      <c r="E1806" t="s">
        <v>112</v>
      </c>
      <c r="F1806" t="s">
        <v>90</v>
      </c>
      <c r="G1806">
        <v>4</v>
      </c>
      <c r="H1806">
        <v>85</v>
      </c>
      <c r="I1806" s="25">
        <v>1328</v>
      </c>
      <c r="K1806" t="s">
        <v>555</v>
      </c>
      <c r="L1806" t="s">
        <v>114</v>
      </c>
      <c r="M1806" t="s">
        <v>52</v>
      </c>
      <c r="N1806" t="s">
        <v>40</v>
      </c>
      <c r="O1806">
        <v>56</v>
      </c>
      <c r="Q1806">
        <f t="shared" si="61"/>
        <v>2</v>
      </c>
      <c r="S1806">
        <v>1</v>
      </c>
      <c r="T1806">
        <v>0</v>
      </c>
      <c r="U1806">
        <v>0</v>
      </c>
      <c r="V1806">
        <v>1</v>
      </c>
      <c r="W1806">
        <v>0</v>
      </c>
      <c r="X1806" s="21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P1806" t="s">
        <v>541</v>
      </c>
    </row>
    <row r="1807" spans="1:42">
      <c r="A1807" s="1">
        <v>43838</v>
      </c>
      <c r="B1807">
        <v>3</v>
      </c>
      <c r="C1807">
        <v>243</v>
      </c>
      <c r="D1807">
        <v>14449</v>
      </c>
      <c r="E1807" t="s">
        <v>112</v>
      </c>
      <c r="F1807" t="s">
        <v>90</v>
      </c>
      <c r="G1807">
        <v>4</v>
      </c>
      <c r="H1807">
        <v>86</v>
      </c>
      <c r="I1807" s="25">
        <v>1326</v>
      </c>
      <c r="K1807" t="s">
        <v>555</v>
      </c>
      <c r="L1807" t="s">
        <v>114</v>
      </c>
      <c r="M1807" t="s">
        <v>52</v>
      </c>
      <c r="N1807" t="s">
        <v>40</v>
      </c>
      <c r="O1807">
        <v>61</v>
      </c>
      <c r="Q1807">
        <f t="shared" si="61"/>
        <v>4</v>
      </c>
      <c r="S1807">
        <v>2</v>
      </c>
      <c r="T1807">
        <v>0</v>
      </c>
      <c r="U1807">
        <v>0</v>
      </c>
      <c r="V1807">
        <v>2</v>
      </c>
      <c r="W1807">
        <v>0</v>
      </c>
      <c r="X1807" s="21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P1807" t="s">
        <v>541</v>
      </c>
    </row>
    <row r="1808" spans="1:42">
      <c r="A1808" s="1">
        <v>43838</v>
      </c>
      <c r="B1808">
        <v>3</v>
      </c>
      <c r="C1808">
        <v>243</v>
      </c>
      <c r="D1808">
        <v>14449</v>
      </c>
      <c r="E1808" t="s">
        <v>112</v>
      </c>
      <c r="F1808" t="s">
        <v>90</v>
      </c>
      <c r="G1808">
        <v>4</v>
      </c>
      <c r="H1808">
        <v>87</v>
      </c>
      <c r="I1808" s="25">
        <v>1324</v>
      </c>
      <c r="K1808" t="s">
        <v>555</v>
      </c>
      <c r="L1808" t="s">
        <v>114</v>
      </c>
      <c r="M1808" t="s">
        <v>52</v>
      </c>
      <c r="N1808" t="s">
        <v>40</v>
      </c>
      <c r="O1808">
        <v>58</v>
      </c>
      <c r="Q1808">
        <f t="shared" si="61"/>
        <v>4</v>
      </c>
      <c r="S1808">
        <v>2</v>
      </c>
      <c r="T1808">
        <v>0</v>
      </c>
      <c r="U1808">
        <v>0</v>
      </c>
      <c r="V1808">
        <v>2</v>
      </c>
      <c r="W1808">
        <v>0</v>
      </c>
      <c r="X1808" s="21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P1808" t="s">
        <v>541</v>
      </c>
    </row>
    <row r="1809" spans="1:42">
      <c r="A1809" s="1">
        <v>43838</v>
      </c>
      <c r="B1809">
        <v>3</v>
      </c>
      <c r="C1809">
        <v>243</v>
      </c>
      <c r="D1809">
        <v>14449</v>
      </c>
      <c r="E1809" t="s">
        <v>112</v>
      </c>
      <c r="F1809" t="s">
        <v>90</v>
      </c>
      <c r="G1809">
        <v>4</v>
      </c>
      <c r="H1809">
        <v>88</v>
      </c>
      <c r="I1809" s="25">
        <v>1320</v>
      </c>
      <c r="K1809" t="s">
        <v>555</v>
      </c>
      <c r="L1809" t="s">
        <v>114</v>
      </c>
      <c r="M1809" t="s">
        <v>52</v>
      </c>
      <c r="N1809" t="s">
        <v>40</v>
      </c>
      <c r="O1809">
        <v>60</v>
      </c>
      <c r="Q1809">
        <f t="shared" si="61"/>
        <v>4</v>
      </c>
      <c r="S1809">
        <v>2</v>
      </c>
      <c r="T1809">
        <v>0</v>
      </c>
      <c r="U1809">
        <v>0</v>
      </c>
      <c r="V1809">
        <v>2</v>
      </c>
      <c r="W1809">
        <v>0</v>
      </c>
      <c r="X1809" s="21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P1809" t="s">
        <v>541</v>
      </c>
    </row>
    <row r="1810" spans="1:42">
      <c r="A1810" s="1">
        <v>43838</v>
      </c>
      <c r="B1810">
        <v>3</v>
      </c>
      <c r="C1810">
        <v>243</v>
      </c>
      <c r="D1810">
        <v>14449</v>
      </c>
      <c r="E1810" t="s">
        <v>112</v>
      </c>
      <c r="F1810" t="s">
        <v>90</v>
      </c>
      <c r="G1810">
        <v>4</v>
      </c>
      <c r="H1810">
        <v>89</v>
      </c>
      <c r="I1810" s="25">
        <v>1310</v>
      </c>
      <c r="K1810" t="s">
        <v>555</v>
      </c>
      <c r="L1810" t="s">
        <v>114</v>
      </c>
      <c r="M1810" t="s">
        <v>52</v>
      </c>
      <c r="N1810" t="s">
        <v>40</v>
      </c>
      <c r="O1810">
        <v>3</v>
      </c>
      <c r="Q1810">
        <f t="shared" si="61"/>
        <v>2</v>
      </c>
      <c r="S1810">
        <v>1</v>
      </c>
      <c r="T1810">
        <v>0</v>
      </c>
      <c r="U1810">
        <v>0</v>
      </c>
      <c r="V1810">
        <v>1</v>
      </c>
      <c r="W1810">
        <v>0</v>
      </c>
      <c r="X1810" s="21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P1810" t="s">
        <v>541</v>
      </c>
    </row>
    <row r="1811" spans="1:42">
      <c r="A1811" s="1">
        <v>43838</v>
      </c>
      <c r="B1811">
        <v>3</v>
      </c>
      <c r="C1811">
        <v>243</v>
      </c>
      <c r="D1811">
        <v>14449</v>
      </c>
      <c r="E1811" t="s">
        <v>112</v>
      </c>
      <c r="F1811" t="s">
        <v>90</v>
      </c>
      <c r="G1811">
        <v>4</v>
      </c>
      <c r="H1811">
        <v>90</v>
      </c>
      <c r="I1811" s="25">
        <v>1308</v>
      </c>
      <c r="K1811" t="s">
        <v>555</v>
      </c>
      <c r="L1811" t="s">
        <v>114</v>
      </c>
      <c r="M1811" t="s">
        <v>52</v>
      </c>
      <c r="N1811" t="s">
        <v>40</v>
      </c>
      <c r="O1811">
        <v>61</v>
      </c>
      <c r="Q1811">
        <f t="shared" si="61"/>
        <v>4</v>
      </c>
      <c r="S1811">
        <v>2</v>
      </c>
      <c r="T1811">
        <v>0</v>
      </c>
      <c r="U1811">
        <v>0</v>
      </c>
      <c r="V1811">
        <v>2</v>
      </c>
      <c r="W1811">
        <v>0</v>
      </c>
      <c r="X1811" s="2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P1811" t="s">
        <v>541</v>
      </c>
    </row>
    <row r="1812" spans="1:42">
      <c r="A1812" s="1">
        <v>43838</v>
      </c>
      <c r="B1812">
        <v>3</v>
      </c>
      <c r="C1812">
        <v>243</v>
      </c>
      <c r="D1812">
        <v>14449</v>
      </c>
      <c r="E1812" t="s">
        <v>112</v>
      </c>
      <c r="F1812" t="s">
        <v>90</v>
      </c>
      <c r="G1812">
        <v>4</v>
      </c>
      <c r="H1812">
        <v>91</v>
      </c>
      <c r="I1812" s="25">
        <v>1308</v>
      </c>
      <c r="K1812" t="s">
        <v>555</v>
      </c>
      <c r="L1812" t="s">
        <v>114</v>
      </c>
      <c r="M1812" t="s">
        <v>52</v>
      </c>
      <c r="N1812" t="s">
        <v>40</v>
      </c>
      <c r="O1812">
        <v>110</v>
      </c>
      <c r="Q1812">
        <f t="shared" si="61"/>
        <v>8</v>
      </c>
      <c r="S1812">
        <v>4</v>
      </c>
      <c r="T1812">
        <v>0</v>
      </c>
      <c r="U1812">
        <v>0</v>
      </c>
      <c r="V1812">
        <v>4</v>
      </c>
      <c r="W1812">
        <v>0</v>
      </c>
      <c r="X1812" s="21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P1812" t="s">
        <v>541</v>
      </c>
    </row>
    <row r="1813" spans="1:42">
      <c r="A1813" s="1">
        <v>43838</v>
      </c>
      <c r="B1813">
        <v>3</v>
      </c>
      <c r="C1813">
        <v>243</v>
      </c>
      <c r="D1813">
        <v>14449</v>
      </c>
      <c r="E1813" t="s">
        <v>112</v>
      </c>
      <c r="F1813" t="s">
        <v>90</v>
      </c>
      <c r="G1813">
        <v>4</v>
      </c>
      <c r="H1813">
        <v>92</v>
      </c>
      <c r="I1813" s="25">
        <v>1304</v>
      </c>
      <c r="K1813" t="s">
        <v>555</v>
      </c>
      <c r="L1813" t="s">
        <v>114</v>
      </c>
      <c r="M1813" t="s">
        <v>52</v>
      </c>
      <c r="N1813" t="s">
        <v>40</v>
      </c>
      <c r="O1813">
        <v>58</v>
      </c>
      <c r="Q1813">
        <f t="shared" si="61"/>
        <v>5</v>
      </c>
      <c r="S1813">
        <v>2</v>
      </c>
      <c r="T1813">
        <v>0</v>
      </c>
      <c r="U1813">
        <v>0</v>
      </c>
      <c r="V1813">
        <v>3</v>
      </c>
      <c r="W1813">
        <v>0</v>
      </c>
      <c r="X1813" s="21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P1813" t="s">
        <v>541</v>
      </c>
    </row>
    <row r="1814" spans="1:42">
      <c r="A1814" s="1">
        <v>43838</v>
      </c>
      <c r="B1814">
        <v>3</v>
      </c>
      <c r="C1814">
        <v>243</v>
      </c>
      <c r="D1814">
        <v>14449</v>
      </c>
      <c r="E1814" t="s">
        <v>112</v>
      </c>
      <c r="F1814" t="s">
        <v>90</v>
      </c>
      <c r="G1814">
        <v>4</v>
      </c>
      <c r="H1814">
        <v>93</v>
      </c>
      <c r="I1814" s="25">
        <v>1302</v>
      </c>
      <c r="K1814" t="s">
        <v>555</v>
      </c>
      <c r="L1814" t="s">
        <v>114</v>
      </c>
      <c r="M1814" t="s">
        <v>52</v>
      </c>
      <c r="N1814" t="s">
        <v>40</v>
      </c>
      <c r="O1814">
        <v>32</v>
      </c>
      <c r="Q1814">
        <f t="shared" si="61"/>
        <v>2</v>
      </c>
      <c r="S1814">
        <v>1</v>
      </c>
      <c r="T1814">
        <v>0</v>
      </c>
      <c r="U1814">
        <v>0</v>
      </c>
      <c r="V1814">
        <v>1</v>
      </c>
      <c r="W1814">
        <v>0</v>
      </c>
      <c r="X1814" s="21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P1814" t="s">
        <v>541</v>
      </c>
    </row>
    <row r="1815" spans="1:42">
      <c r="A1815" s="1">
        <v>43838</v>
      </c>
      <c r="B1815">
        <v>3</v>
      </c>
      <c r="C1815">
        <v>243</v>
      </c>
      <c r="D1815">
        <v>14449</v>
      </c>
      <c r="E1815" t="s">
        <v>112</v>
      </c>
      <c r="F1815" t="s">
        <v>90</v>
      </c>
      <c r="G1815">
        <v>4</v>
      </c>
      <c r="H1815">
        <v>94</v>
      </c>
      <c r="I1815" s="25">
        <v>1300</v>
      </c>
      <c r="K1815" t="s">
        <v>555</v>
      </c>
      <c r="L1815" t="s">
        <v>114</v>
      </c>
      <c r="M1815" t="s">
        <v>52</v>
      </c>
      <c r="N1815" t="s">
        <v>40</v>
      </c>
      <c r="O1815">
        <v>25</v>
      </c>
      <c r="Q1815">
        <f t="shared" si="61"/>
        <v>2</v>
      </c>
      <c r="S1815">
        <v>1</v>
      </c>
      <c r="T1815">
        <v>0</v>
      </c>
      <c r="U1815">
        <v>0</v>
      </c>
      <c r="V1815">
        <v>1</v>
      </c>
      <c r="W1815">
        <v>0</v>
      </c>
      <c r="X1815" s="21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P1815" t="s">
        <v>541</v>
      </c>
    </row>
    <row r="1816" spans="1:42">
      <c r="A1816" s="1">
        <v>43838</v>
      </c>
      <c r="B1816">
        <v>3</v>
      </c>
      <c r="C1816">
        <v>243</v>
      </c>
      <c r="D1816">
        <v>14449</v>
      </c>
      <c r="E1816" t="s">
        <v>112</v>
      </c>
      <c r="F1816" t="s">
        <v>90</v>
      </c>
      <c r="G1816">
        <v>4</v>
      </c>
      <c r="H1816">
        <v>95</v>
      </c>
      <c r="I1816" s="25">
        <v>1300</v>
      </c>
      <c r="K1816" t="s">
        <v>555</v>
      </c>
      <c r="L1816" t="s">
        <v>114</v>
      </c>
      <c r="M1816" t="s">
        <v>52</v>
      </c>
      <c r="N1816" t="s">
        <v>40</v>
      </c>
      <c r="O1816">
        <v>28</v>
      </c>
      <c r="Q1816">
        <f t="shared" si="61"/>
        <v>2</v>
      </c>
      <c r="S1816">
        <v>1</v>
      </c>
      <c r="T1816">
        <v>0</v>
      </c>
      <c r="U1816">
        <v>0</v>
      </c>
      <c r="V1816">
        <v>1</v>
      </c>
      <c r="W1816">
        <v>0</v>
      </c>
      <c r="X1816" s="21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P1816" t="s">
        <v>541</v>
      </c>
    </row>
    <row r="1817" spans="1:42">
      <c r="A1817" s="1">
        <v>43838</v>
      </c>
      <c r="B1817">
        <v>3</v>
      </c>
      <c r="C1817">
        <v>243</v>
      </c>
      <c r="D1817">
        <v>14449</v>
      </c>
      <c r="E1817" t="s">
        <v>112</v>
      </c>
      <c r="F1817" t="s">
        <v>90</v>
      </c>
      <c r="G1817">
        <v>4</v>
      </c>
      <c r="H1817">
        <v>96</v>
      </c>
      <c r="I1817" s="25">
        <v>1414</v>
      </c>
      <c r="K1817" t="s">
        <v>516</v>
      </c>
      <c r="L1817" t="s">
        <v>114</v>
      </c>
      <c r="M1817" t="s">
        <v>52</v>
      </c>
      <c r="N1817" t="s">
        <v>40</v>
      </c>
      <c r="O1817">
        <v>62</v>
      </c>
      <c r="Q1817">
        <f t="shared" si="61"/>
        <v>4</v>
      </c>
      <c r="S1817">
        <v>2</v>
      </c>
      <c r="T1817">
        <v>0</v>
      </c>
      <c r="U1817">
        <v>0</v>
      </c>
      <c r="V1817">
        <v>2</v>
      </c>
      <c r="W1817">
        <v>0</v>
      </c>
      <c r="X1817" s="21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P1817" t="s">
        <v>541</v>
      </c>
    </row>
    <row r="1818" spans="1:42">
      <c r="A1818" s="1">
        <v>43838</v>
      </c>
      <c r="B1818">
        <v>3</v>
      </c>
      <c r="C1818">
        <v>243</v>
      </c>
      <c r="D1818">
        <v>14449</v>
      </c>
      <c r="E1818" t="s">
        <v>112</v>
      </c>
      <c r="F1818" t="s">
        <v>90</v>
      </c>
      <c r="G1818">
        <v>4</v>
      </c>
      <c r="H1818">
        <v>97</v>
      </c>
      <c r="I1818" s="25">
        <v>1414</v>
      </c>
      <c r="K1818" t="s">
        <v>516</v>
      </c>
      <c r="L1818" t="s">
        <v>114</v>
      </c>
      <c r="M1818" t="s">
        <v>52</v>
      </c>
      <c r="N1818" t="s">
        <v>40</v>
      </c>
      <c r="O1818">
        <v>82</v>
      </c>
      <c r="Q1818">
        <f t="shared" si="61"/>
        <v>4</v>
      </c>
      <c r="S1818">
        <v>2</v>
      </c>
      <c r="T1818">
        <v>0</v>
      </c>
      <c r="U1818">
        <v>0</v>
      </c>
      <c r="V1818">
        <v>2</v>
      </c>
      <c r="W1818">
        <v>0</v>
      </c>
      <c r="X1818" s="21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P1818" t="s">
        <v>541</v>
      </c>
    </row>
    <row r="1819" spans="1:42">
      <c r="A1819" s="1">
        <v>43838</v>
      </c>
      <c r="B1819">
        <v>3</v>
      </c>
      <c r="C1819">
        <v>243</v>
      </c>
      <c r="D1819">
        <v>14449</v>
      </c>
      <c r="E1819" t="s">
        <v>112</v>
      </c>
      <c r="F1819" t="s">
        <v>90</v>
      </c>
      <c r="G1819">
        <v>4</v>
      </c>
      <c r="H1819">
        <v>98</v>
      </c>
      <c r="I1819" s="25">
        <v>1416</v>
      </c>
      <c r="K1819" t="s">
        <v>516</v>
      </c>
      <c r="L1819" t="s">
        <v>114</v>
      </c>
      <c r="M1819" t="s">
        <v>52</v>
      </c>
      <c r="N1819" t="s">
        <v>40</v>
      </c>
      <c r="O1819">
        <v>78</v>
      </c>
      <c r="Q1819">
        <f t="shared" si="61"/>
        <v>4</v>
      </c>
      <c r="S1819">
        <v>2</v>
      </c>
      <c r="T1819">
        <v>0</v>
      </c>
      <c r="U1819">
        <v>0</v>
      </c>
      <c r="V1819">
        <v>2</v>
      </c>
      <c r="W1819">
        <v>0</v>
      </c>
      <c r="X1819" s="21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P1819" t="s">
        <v>541</v>
      </c>
    </row>
    <row r="1820" spans="1:42">
      <c r="A1820" s="1">
        <v>43838</v>
      </c>
      <c r="B1820">
        <v>3</v>
      </c>
      <c r="C1820">
        <v>243</v>
      </c>
      <c r="D1820">
        <v>14449</v>
      </c>
      <c r="E1820" t="s">
        <v>112</v>
      </c>
      <c r="F1820" t="s">
        <v>90</v>
      </c>
      <c r="G1820">
        <v>4</v>
      </c>
      <c r="H1820">
        <v>99</v>
      </c>
      <c r="I1820" s="25">
        <v>1418</v>
      </c>
      <c r="K1820" t="s">
        <v>516</v>
      </c>
      <c r="L1820" t="s">
        <v>114</v>
      </c>
      <c r="M1820" t="s">
        <v>52</v>
      </c>
      <c r="N1820" t="s">
        <v>40</v>
      </c>
      <c r="O1820">
        <v>54</v>
      </c>
      <c r="Q1820">
        <f t="shared" si="61"/>
        <v>4</v>
      </c>
      <c r="S1820">
        <v>2</v>
      </c>
      <c r="T1820">
        <v>0</v>
      </c>
      <c r="U1820">
        <v>0</v>
      </c>
      <c r="V1820">
        <v>2</v>
      </c>
      <c r="W1820">
        <v>0</v>
      </c>
      <c r="X1820" s="21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P1820" t="s">
        <v>541</v>
      </c>
    </row>
    <row r="1821" spans="1:42">
      <c r="A1821" s="1">
        <v>43838</v>
      </c>
      <c r="B1821">
        <v>3</v>
      </c>
      <c r="C1821">
        <v>243</v>
      </c>
      <c r="D1821">
        <v>14449</v>
      </c>
      <c r="E1821" t="s">
        <v>112</v>
      </c>
      <c r="F1821" t="s">
        <v>90</v>
      </c>
      <c r="G1821">
        <v>4</v>
      </c>
      <c r="H1821">
        <v>100</v>
      </c>
      <c r="I1821" s="25">
        <v>1420</v>
      </c>
      <c r="K1821" t="s">
        <v>516</v>
      </c>
      <c r="L1821" t="s">
        <v>114</v>
      </c>
      <c r="M1821" t="s">
        <v>52</v>
      </c>
      <c r="N1821" t="s">
        <v>40</v>
      </c>
      <c r="O1821">
        <v>175</v>
      </c>
      <c r="Q1821">
        <f t="shared" si="61"/>
        <v>10</v>
      </c>
      <c r="S1821">
        <v>5</v>
      </c>
      <c r="T1821">
        <v>0</v>
      </c>
      <c r="U1821">
        <v>0</v>
      </c>
      <c r="V1821">
        <v>5</v>
      </c>
      <c r="W1821">
        <v>0</v>
      </c>
      <c r="X1821" s="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P1821" t="s">
        <v>541</v>
      </c>
    </row>
    <row r="1822" spans="1:42">
      <c r="A1822" s="1">
        <v>43838</v>
      </c>
      <c r="B1822">
        <v>3</v>
      </c>
      <c r="C1822">
        <v>243</v>
      </c>
      <c r="D1822">
        <v>14449</v>
      </c>
      <c r="E1822" t="s">
        <v>112</v>
      </c>
      <c r="F1822" t="s">
        <v>90</v>
      </c>
      <c r="G1822">
        <v>4</v>
      </c>
      <c r="H1822">
        <v>101</v>
      </c>
      <c r="I1822" s="25">
        <v>1818</v>
      </c>
      <c r="K1822" t="s">
        <v>556</v>
      </c>
      <c r="L1822" t="s">
        <v>114</v>
      </c>
      <c r="M1822" t="s">
        <v>52</v>
      </c>
      <c r="N1822" t="s">
        <v>40</v>
      </c>
      <c r="O1822">
        <v>150</v>
      </c>
      <c r="Q1822">
        <f t="shared" si="61"/>
        <v>4</v>
      </c>
      <c r="S1822">
        <v>0</v>
      </c>
      <c r="T1822">
        <v>0</v>
      </c>
      <c r="U1822">
        <v>0</v>
      </c>
      <c r="V1822">
        <v>0</v>
      </c>
      <c r="W1822">
        <v>4</v>
      </c>
      <c r="X1822" s="21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P1822" t="s">
        <v>541</v>
      </c>
    </row>
    <row r="1823" spans="1:42">
      <c r="A1823" s="1">
        <v>43838</v>
      </c>
      <c r="B1823">
        <v>3</v>
      </c>
      <c r="C1823">
        <v>243</v>
      </c>
      <c r="D1823">
        <v>14449</v>
      </c>
      <c r="E1823" t="s">
        <v>112</v>
      </c>
      <c r="F1823" t="s">
        <v>90</v>
      </c>
      <c r="G1823">
        <v>4</v>
      </c>
      <c r="H1823">
        <v>102</v>
      </c>
      <c r="I1823" s="25">
        <v>1815</v>
      </c>
      <c r="K1823" t="s">
        <v>557</v>
      </c>
      <c r="L1823" t="s">
        <v>141</v>
      </c>
      <c r="M1823" t="s">
        <v>52</v>
      </c>
      <c r="N1823" t="s">
        <v>40</v>
      </c>
      <c r="O1823">
        <v>38</v>
      </c>
      <c r="Q1823">
        <f t="shared" si="61"/>
        <v>2</v>
      </c>
      <c r="S1823">
        <v>0</v>
      </c>
      <c r="T1823">
        <v>0</v>
      </c>
      <c r="U1823">
        <v>0</v>
      </c>
      <c r="V1823">
        <v>1</v>
      </c>
      <c r="W1823">
        <v>1</v>
      </c>
      <c r="X1823" s="21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P1823" t="s">
        <v>541</v>
      </c>
    </row>
    <row r="1824" spans="1:42">
      <c r="A1824" s="1">
        <v>43838</v>
      </c>
      <c r="B1824">
        <v>3</v>
      </c>
      <c r="C1824">
        <v>243</v>
      </c>
      <c r="D1824">
        <v>14449</v>
      </c>
      <c r="E1824" t="s">
        <v>112</v>
      </c>
      <c r="F1824" t="s">
        <v>90</v>
      </c>
      <c r="G1824">
        <v>4</v>
      </c>
      <c r="H1824">
        <v>103</v>
      </c>
      <c r="I1824" s="25">
        <v>1815</v>
      </c>
      <c r="K1824" t="s">
        <v>557</v>
      </c>
      <c r="L1824" t="s">
        <v>141</v>
      </c>
      <c r="M1824" t="s">
        <v>52</v>
      </c>
      <c r="N1824" t="s">
        <v>40</v>
      </c>
      <c r="O1824">
        <v>17</v>
      </c>
      <c r="Q1824">
        <f t="shared" si="61"/>
        <v>1</v>
      </c>
      <c r="S1824">
        <v>0</v>
      </c>
      <c r="T1824">
        <v>0</v>
      </c>
      <c r="U1824">
        <v>0</v>
      </c>
      <c r="V1824">
        <v>1</v>
      </c>
      <c r="W1824">
        <v>0</v>
      </c>
      <c r="X1824" s="21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P1824" t="s">
        <v>541</v>
      </c>
    </row>
    <row r="1825" spans="1:42">
      <c r="A1825" s="1">
        <v>43838</v>
      </c>
      <c r="B1825">
        <v>3</v>
      </c>
      <c r="C1825">
        <v>243</v>
      </c>
      <c r="D1825">
        <v>14449</v>
      </c>
      <c r="E1825" t="s">
        <v>112</v>
      </c>
      <c r="F1825" t="s">
        <v>90</v>
      </c>
      <c r="G1825">
        <v>4</v>
      </c>
      <c r="H1825">
        <v>104</v>
      </c>
      <c r="I1825" s="25">
        <v>1800</v>
      </c>
      <c r="K1825" t="s">
        <v>557</v>
      </c>
      <c r="L1825" t="s">
        <v>114</v>
      </c>
      <c r="M1825" t="s">
        <v>52</v>
      </c>
      <c r="N1825" t="s">
        <v>40</v>
      </c>
      <c r="O1825">
        <v>78</v>
      </c>
      <c r="Q1825">
        <f t="shared" si="61"/>
        <v>4</v>
      </c>
      <c r="S1825">
        <v>2</v>
      </c>
      <c r="T1825">
        <v>0</v>
      </c>
      <c r="U1825">
        <v>0</v>
      </c>
      <c r="V1825">
        <v>1</v>
      </c>
      <c r="W1825">
        <v>1</v>
      </c>
      <c r="X1825" s="21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P1825" t="s">
        <v>541</v>
      </c>
    </row>
    <row r="1826" spans="1:42">
      <c r="A1826" s="1">
        <v>43838</v>
      </c>
      <c r="B1826">
        <v>3</v>
      </c>
      <c r="C1826">
        <v>243</v>
      </c>
      <c r="D1826">
        <v>14449</v>
      </c>
      <c r="E1826" t="s">
        <v>112</v>
      </c>
      <c r="F1826" t="s">
        <v>90</v>
      </c>
      <c r="G1826">
        <v>4</v>
      </c>
      <c r="H1826">
        <v>105</v>
      </c>
      <c r="I1826" s="25">
        <v>1813</v>
      </c>
      <c r="K1826" t="s">
        <v>557</v>
      </c>
      <c r="L1826" t="s">
        <v>141</v>
      </c>
      <c r="M1826" t="s">
        <v>52</v>
      </c>
      <c r="N1826" t="s">
        <v>40</v>
      </c>
      <c r="O1826">
        <v>125</v>
      </c>
      <c r="Q1826">
        <f t="shared" si="61"/>
        <v>4</v>
      </c>
      <c r="S1826">
        <v>2</v>
      </c>
      <c r="T1826">
        <v>0</v>
      </c>
      <c r="U1826">
        <v>0</v>
      </c>
      <c r="V1826">
        <v>1</v>
      </c>
      <c r="W1826">
        <v>1</v>
      </c>
      <c r="X1826" s="21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P1826" t="s">
        <v>541</v>
      </c>
    </row>
    <row r="1827" spans="1:42">
      <c r="A1827" s="1">
        <v>43838</v>
      </c>
      <c r="B1827">
        <v>3</v>
      </c>
      <c r="C1827">
        <v>243</v>
      </c>
      <c r="D1827">
        <v>14449</v>
      </c>
      <c r="E1827" t="s">
        <v>112</v>
      </c>
      <c r="F1827" t="s">
        <v>90</v>
      </c>
      <c r="G1827">
        <v>4</v>
      </c>
      <c r="H1827">
        <v>106</v>
      </c>
      <c r="I1827" s="25">
        <v>1812</v>
      </c>
      <c r="K1827" t="s">
        <v>557</v>
      </c>
      <c r="L1827" t="s">
        <v>114</v>
      </c>
      <c r="M1827" t="s">
        <v>52</v>
      </c>
      <c r="N1827" t="s">
        <v>40</v>
      </c>
      <c r="O1827">
        <v>50</v>
      </c>
      <c r="Q1827">
        <f t="shared" si="61"/>
        <v>4</v>
      </c>
      <c r="S1827">
        <v>2</v>
      </c>
      <c r="T1827">
        <v>0</v>
      </c>
      <c r="U1827">
        <v>0</v>
      </c>
      <c r="V1827">
        <v>2</v>
      </c>
      <c r="W1827">
        <v>0</v>
      </c>
      <c r="X1827" s="21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P1827" t="s">
        <v>541</v>
      </c>
    </row>
    <row r="1828" spans="1:42">
      <c r="A1828" s="1">
        <v>43838</v>
      </c>
      <c r="B1828">
        <v>3</v>
      </c>
      <c r="C1828">
        <v>243</v>
      </c>
      <c r="D1828">
        <v>14449</v>
      </c>
      <c r="E1828" t="s">
        <v>112</v>
      </c>
      <c r="F1828" t="s">
        <v>90</v>
      </c>
      <c r="G1828">
        <v>4</v>
      </c>
      <c r="H1828">
        <v>107</v>
      </c>
      <c r="I1828" s="25">
        <v>1811</v>
      </c>
      <c r="K1828" t="s">
        <v>557</v>
      </c>
      <c r="L1828" t="s">
        <v>141</v>
      </c>
      <c r="M1828" t="s">
        <v>52</v>
      </c>
      <c r="N1828" t="s">
        <v>40</v>
      </c>
      <c r="O1828">
        <v>31</v>
      </c>
      <c r="Q1828">
        <f t="shared" si="61"/>
        <v>2</v>
      </c>
      <c r="S1828">
        <v>1</v>
      </c>
      <c r="T1828">
        <v>0</v>
      </c>
      <c r="U1828">
        <v>0</v>
      </c>
      <c r="V1828">
        <v>1</v>
      </c>
      <c r="W1828">
        <v>0</v>
      </c>
      <c r="X1828" s="21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P1828" t="s">
        <v>541</v>
      </c>
    </row>
    <row r="1829" spans="1:42">
      <c r="A1829" s="1">
        <v>43838</v>
      </c>
      <c r="B1829">
        <v>3</v>
      </c>
      <c r="C1829">
        <v>243</v>
      </c>
      <c r="D1829">
        <v>14449</v>
      </c>
      <c r="E1829" t="s">
        <v>112</v>
      </c>
      <c r="F1829" t="s">
        <v>90</v>
      </c>
      <c r="G1829">
        <v>4</v>
      </c>
      <c r="H1829">
        <v>108</v>
      </c>
      <c r="I1829" s="25">
        <v>1800</v>
      </c>
      <c r="K1829" t="s">
        <v>557</v>
      </c>
      <c r="L1829" t="s">
        <v>114</v>
      </c>
      <c r="M1829" t="s">
        <v>52</v>
      </c>
      <c r="N1829" t="s">
        <v>40</v>
      </c>
      <c r="O1829">
        <v>25</v>
      </c>
      <c r="Q1829">
        <f t="shared" si="61"/>
        <v>2</v>
      </c>
      <c r="S1829">
        <v>1</v>
      </c>
      <c r="T1829">
        <v>0</v>
      </c>
      <c r="U1829">
        <v>0</v>
      </c>
      <c r="V1829">
        <v>1</v>
      </c>
      <c r="W1829">
        <v>0</v>
      </c>
      <c r="X1829" s="21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P1829" t="s">
        <v>541</v>
      </c>
    </row>
    <row r="1830" spans="1:42">
      <c r="A1830" s="1">
        <v>43838</v>
      </c>
      <c r="B1830">
        <v>3</v>
      </c>
      <c r="C1830">
        <v>243</v>
      </c>
      <c r="D1830">
        <v>14449</v>
      </c>
      <c r="E1830" t="s">
        <v>112</v>
      </c>
      <c r="F1830" t="s">
        <v>90</v>
      </c>
      <c r="G1830">
        <v>4</v>
      </c>
      <c r="H1830">
        <v>109</v>
      </c>
      <c r="I1830" s="25">
        <v>1800</v>
      </c>
      <c r="K1830" t="s">
        <v>557</v>
      </c>
      <c r="L1830" t="s">
        <v>114</v>
      </c>
      <c r="M1830" t="s">
        <v>52</v>
      </c>
      <c r="N1830" t="s">
        <v>40</v>
      </c>
      <c r="O1830">
        <v>45</v>
      </c>
      <c r="Q1830">
        <f t="shared" si="61"/>
        <v>3</v>
      </c>
      <c r="S1830">
        <v>0</v>
      </c>
      <c r="T1830">
        <v>0</v>
      </c>
      <c r="U1830">
        <v>0</v>
      </c>
      <c r="V1830">
        <v>1</v>
      </c>
      <c r="W1830">
        <v>2</v>
      </c>
      <c r="X1830" s="21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P1830" t="s">
        <v>541</v>
      </c>
    </row>
    <row r="1831" spans="1:42">
      <c r="A1831" s="1">
        <v>43838</v>
      </c>
      <c r="B1831">
        <v>3</v>
      </c>
      <c r="C1831">
        <v>243</v>
      </c>
      <c r="D1831">
        <v>14449</v>
      </c>
      <c r="E1831" t="s">
        <v>112</v>
      </c>
      <c r="F1831" t="s">
        <v>90</v>
      </c>
      <c r="G1831">
        <v>4</v>
      </c>
      <c r="H1831">
        <v>110</v>
      </c>
      <c r="I1831" s="25">
        <v>1842</v>
      </c>
      <c r="K1831" t="s">
        <v>557</v>
      </c>
      <c r="L1831" t="s">
        <v>114</v>
      </c>
      <c r="M1831" t="s">
        <v>52</v>
      </c>
      <c r="N1831" t="s">
        <v>40</v>
      </c>
      <c r="O1831">
        <v>33</v>
      </c>
      <c r="Q1831">
        <f t="shared" si="61"/>
        <v>2</v>
      </c>
      <c r="S1831">
        <v>1</v>
      </c>
      <c r="T1831">
        <v>0</v>
      </c>
      <c r="U1831">
        <v>0</v>
      </c>
      <c r="V1831">
        <v>1</v>
      </c>
      <c r="W1831">
        <v>0</v>
      </c>
      <c r="X1831" s="2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P1831" t="s">
        <v>541</v>
      </c>
    </row>
    <row r="1832" spans="1:42">
      <c r="A1832" s="1">
        <v>43838</v>
      </c>
      <c r="B1832">
        <v>3</v>
      </c>
      <c r="C1832">
        <v>243</v>
      </c>
      <c r="D1832">
        <v>14449</v>
      </c>
      <c r="E1832" t="s">
        <v>112</v>
      </c>
      <c r="F1832" t="s">
        <v>90</v>
      </c>
      <c r="G1832">
        <v>4</v>
      </c>
      <c r="H1832">
        <v>111</v>
      </c>
      <c r="I1832" s="25">
        <v>1843</v>
      </c>
      <c r="K1832" t="s">
        <v>557</v>
      </c>
      <c r="L1832" t="s">
        <v>141</v>
      </c>
      <c r="M1832" t="s">
        <v>52</v>
      </c>
      <c r="N1832" t="s">
        <v>40</v>
      </c>
      <c r="O1832">
        <v>65</v>
      </c>
      <c r="Q1832">
        <f t="shared" si="61"/>
        <v>4</v>
      </c>
      <c r="S1832">
        <v>2</v>
      </c>
      <c r="T1832">
        <v>0</v>
      </c>
      <c r="U1832">
        <v>0</v>
      </c>
      <c r="V1832">
        <v>2</v>
      </c>
      <c r="W1832">
        <v>0</v>
      </c>
      <c r="X1832" s="21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P1832" t="s">
        <v>541</v>
      </c>
    </row>
    <row r="1833" spans="1:42">
      <c r="A1833" s="1">
        <v>43838</v>
      </c>
      <c r="B1833">
        <v>3</v>
      </c>
      <c r="C1833">
        <v>243</v>
      </c>
      <c r="D1833">
        <v>14449</v>
      </c>
      <c r="E1833" t="s">
        <v>112</v>
      </c>
      <c r="F1833" t="s">
        <v>90</v>
      </c>
      <c r="G1833">
        <v>4</v>
      </c>
      <c r="H1833">
        <v>112</v>
      </c>
      <c r="I1833" s="25">
        <v>1845</v>
      </c>
      <c r="K1833" t="s">
        <v>557</v>
      </c>
      <c r="L1833" t="s">
        <v>141</v>
      </c>
      <c r="M1833" t="s">
        <v>52</v>
      </c>
      <c r="N1833" t="s">
        <v>40</v>
      </c>
      <c r="O1833">
        <v>123</v>
      </c>
      <c r="Q1833">
        <f t="shared" si="61"/>
        <v>4</v>
      </c>
      <c r="S1833">
        <v>2</v>
      </c>
      <c r="T1833">
        <v>0</v>
      </c>
      <c r="U1833">
        <v>0</v>
      </c>
      <c r="V1833">
        <v>2</v>
      </c>
      <c r="W1833">
        <v>0</v>
      </c>
      <c r="X1833" s="21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P1833" t="s">
        <v>541</v>
      </c>
    </row>
    <row r="1834" spans="1:42">
      <c r="A1834" s="1">
        <v>43838</v>
      </c>
      <c r="B1834">
        <v>3</v>
      </c>
      <c r="C1834">
        <v>243</v>
      </c>
      <c r="D1834">
        <v>14449</v>
      </c>
      <c r="E1834" t="s">
        <v>112</v>
      </c>
      <c r="F1834" t="s">
        <v>90</v>
      </c>
      <c r="G1834">
        <v>4</v>
      </c>
      <c r="H1834">
        <v>113</v>
      </c>
      <c r="I1834" s="25">
        <v>1847</v>
      </c>
      <c r="K1834" t="s">
        <v>557</v>
      </c>
      <c r="L1834" t="s">
        <v>141</v>
      </c>
      <c r="M1834" t="s">
        <v>52</v>
      </c>
      <c r="N1834" t="s">
        <v>40</v>
      </c>
      <c r="O1834">
        <v>78</v>
      </c>
      <c r="Q1834">
        <f t="shared" si="61"/>
        <v>4</v>
      </c>
      <c r="S1834">
        <v>2</v>
      </c>
      <c r="T1834">
        <v>0</v>
      </c>
      <c r="U1834">
        <v>0</v>
      </c>
      <c r="V1834">
        <v>2</v>
      </c>
      <c r="W1834">
        <v>0</v>
      </c>
      <c r="X1834" s="21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P1834" t="s">
        <v>541</v>
      </c>
    </row>
    <row r="1835" spans="1:42">
      <c r="A1835" s="1">
        <v>43838</v>
      </c>
      <c r="B1835">
        <v>3</v>
      </c>
      <c r="C1835">
        <v>243</v>
      </c>
      <c r="D1835">
        <v>14449</v>
      </c>
      <c r="E1835" t="s">
        <v>112</v>
      </c>
      <c r="F1835" t="s">
        <v>90</v>
      </c>
      <c r="G1835">
        <v>4</v>
      </c>
      <c r="H1835">
        <v>114</v>
      </c>
      <c r="I1835" s="25">
        <v>1806</v>
      </c>
      <c r="K1835" t="s">
        <v>557</v>
      </c>
      <c r="L1835" t="s">
        <v>114</v>
      </c>
      <c r="M1835" t="s">
        <v>52</v>
      </c>
      <c r="N1835" t="s">
        <v>40</v>
      </c>
      <c r="O1835">
        <v>16</v>
      </c>
      <c r="Q1835">
        <f t="shared" si="61"/>
        <v>1</v>
      </c>
      <c r="S1835">
        <v>0</v>
      </c>
      <c r="T1835">
        <v>0</v>
      </c>
      <c r="U1835">
        <v>0</v>
      </c>
      <c r="V1835">
        <v>1</v>
      </c>
      <c r="W1835">
        <v>0</v>
      </c>
      <c r="X1835" s="21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P1835" t="s">
        <v>541</v>
      </c>
    </row>
    <row r="1836" spans="1:42">
      <c r="A1836" s="1">
        <v>43838</v>
      </c>
      <c r="B1836">
        <v>3</v>
      </c>
      <c r="C1836">
        <v>243</v>
      </c>
      <c r="D1836">
        <v>14449</v>
      </c>
      <c r="E1836" t="s">
        <v>112</v>
      </c>
      <c r="F1836" t="s">
        <v>90</v>
      </c>
      <c r="G1836">
        <v>4</v>
      </c>
      <c r="H1836">
        <v>115</v>
      </c>
      <c r="I1836" s="25">
        <v>1806</v>
      </c>
      <c r="K1836" t="s">
        <v>557</v>
      </c>
      <c r="L1836" t="s">
        <v>114</v>
      </c>
      <c r="M1836" t="s">
        <v>52</v>
      </c>
      <c r="N1836" t="s">
        <v>40</v>
      </c>
      <c r="O1836">
        <v>18</v>
      </c>
      <c r="Q1836">
        <f t="shared" si="61"/>
        <v>1</v>
      </c>
      <c r="S1836">
        <v>0</v>
      </c>
      <c r="T1836">
        <v>0</v>
      </c>
      <c r="U1836">
        <v>0</v>
      </c>
      <c r="V1836">
        <v>1</v>
      </c>
      <c r="W1836">
        <v>0</v>
      </c>
      <c r="X1836" s="21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P1836" t="s">
        <v>541</v>
      </c>
    </row>
    <row r="1837" spans="1:42">
      <c r="A1837" s="1">
        <v>43838</v>
      </c>
      <c r="B1837">
        <v>3</v>
      </c>
      <c r="C1837">
        <v>243</v>
      </c>
      <c r="D1837">
        <v>14449</v>
      </c>
      <c r="E1837" t="s">
        <v>112</v>
      </c>
      <c r="F1837" t="s">
        <v>90</v>
      </c>
      <c r="G1837">
        <v>4</v>
      </c>
      <c r="H1837">
        <v>116</v>
      </c>
      <c r="I1837" s="25">
        <v>1800</v>
      </c>
      <c r="K1837" t="s">
        <v>557</v>
      </c>
      <c r="L1837" t="s">
        <v>114</v>
      </c>
      <c r="M1837" t="s">
        <v>52</v>
      </c>
      <c r="N1837" t="s">
        <v>40</v>
      </c>
      <c r="O1837">
        <v>174</v>
      </c>
      <c r="Q1837">
        <f t="shared" si="61"/>
        <v>6</v>
      </c>
      <c r="S1837">
        <v>0</v>
      </c>
      <c r="T1837">
        <v>0</v>
      </c>
      <c r="U1837">
        <v>0</v>
      </c>
      <c r="V1837">
        <v>0</v>
      </c>
      <c r="W1837">
        <v>6</v>
      </c>
      <c r="X1837" s="21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L1837" t="s">
        <v>558</v>
      </c>
      <c r="AP1837" t="s">
        <v>541</v>
      </c>
    </row>
    <row r="1838" spans="1:42">
      <c r="A1838" s="1">
        <v>43838</v>
      </c>
      <c r="B1838">
        <v>3</v>
      </c>
      <c r="C1838">
        <v>243</v>
      </c>
      <c r="D1838">
        <v>14449</v>
      </c>
      <c r="E1838" t="s">
        <v>112</v>
      </c>
      <c r="F1838" t="s">
        <v>90</v>
      </c>
      <c r="G1838">
        <v>4</v>
      </c>
      <c r="H1838">
        <v>117</v>
      </c>
      <c r="I1838" s="25">
        <v>1443</v>
      </c>
      <c r="K1838" t="s">
        <v>559</v>
      </c>
      <c r="L1838" t="s">
        <v>141</v>
      </c>
      <c r="M1838" t="s">
        <v>95</v>
      </c>
      <c r="N1838" t="s">
        <v>40</v>
      </c>
      <c r="O1838">
        <v>522</v>
      </c>
      <c r="Q1838">
        <f t="shared" si="61"/>
        <v>28</v>
      </c>
      <c r="S1838">
        <v>13</v>
      </c>
      <c r="T1838">
        <v>0</v>
      </c>
      <c r="U1838">
        <v>0</v>
      </c>
      <c r="V1838">
        <v>15</v>
      </c>
      <c r="W1838">
        <v>0</v>
      </c>
      <c r="X1838" s="21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P1838" t="s">
        <v>541</v>
      </c>
    </row>
    <row r="1839" spans="1:42">
      <c r="A1839" s="1">
        <v>43838</v>
      </c>
      <c r="B1839">
        <v>3</v>
      </c>
      <c r="C1839">
        <v>243</v>
      </c>
      <c r="D1839">
        <v>14449</v>
      </c>
      <c r="E1839" t="s">
        <v>112</v>
      </c>
      <c r="F1839" t="s">
        <v>90</v>
      </c>
      <c r="G1839">
        <v>4</v>
      </c>
      <c r="H1839">
        <v>118</v>
      </c>
      <c r="I1839" s="25">
        <v>1432</v>
      </c>
      <c r="K1839" t="s">
        <v>559</v>
      </c>
      <c r="L1839" t="s">
        <v>114</v>
      </c>
      <c r="M1839" t="s">
        <v>52</v>
      </c>
      <c r="N1839" t="s">
        <v>40</v>
      </c>
      <c r="O1839">
        <v>440</v>
      </c>
      <c r="Q1839">
        <f t="shared" si="61"/>
        <v>4</v>
      </c>
      <c r="S1839">
        <v>2</v>
      </c>
      <c r="T1839">
        <v>0</v>
      </c>
      <c r="U1839">
        <v>0</v>
      </c>
      <c r="V1839">
        <v>1</v>
      </c>
      <c r="W1839">
        <v>1</v>
      </c>
      <c r="X1839" s="21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P1839" t="s">
        <v>541</v>
      </c>
    </row>
    <row r="1840" spans="1:42">
      <c r="A1840" s="1">
        <v>43838</v>
      </c>
      <c r="B1840">
        <v>3</v>
      </c>
      <c r="C1840">
        <v>243</v>
      </c>
      <c r="D1840">
        <v>14449</v>
      </c>
      <c r="E1840" t="s">
        <v>112</v>
      </c>
      <c r="F1840" t="s">
        <v>90</v>
      </c>
      <c r="G1840">
        <v>4</v>
      </c>
      <c r="H1840">
        <v>119</v>
      </c>
      <c r="I1840" s="25">
        <v>1425</v>
      </c>
      <c r="K1840" t="s">
        <v>560</v>
      </c>
      <c r="L1840" t="s">
        <v>141</v>
      </c>
      <c r="M1840" t="s">
        <v>52</v>
      </c>
      <c r="N1840" t="s">
        <v>40</v>
      </c>
      <c r="O1840">
        <v>80</v>
      </c>
      <c r="Q1840">
        <f t="shared" si="61"/>
        <v>4</v>
      </c>
      <c r="S1840">
        <v>2</v>
      </c>
      <c r="T1840">
        <v>0</v>
      </c>
      <c r="U1840">
        <v>0</v>
      </c>
      <c r="V1840">
        <v>1</v>
      </c>
      <c r="W1840">
        <v>1</v>
      </c>
      <c r="X1840" s="21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P1840" t="s">
        <v>541</v>
      </c>
    </row>
    <row r="1841" spans="1:42">
      <c r="A1841" s="1">
        <v>43838</v>
      </c>
      <c r="B1841">
        <v>3</v>
      </c>
      <c r="C1841">
        <v>243</v>
      </c>
      <c r="D1841">
        <v>14449</v>
      </c>
      <c r="E1841" t="s">
        <v>112</v>
      </c>
      <c r="F1841" t="s">
        <v>90</v>
      </c>
      <c r="G1841">
        <v>4</v>
      </c>
      <c r="H1841">
        <v>120</v>
      </c>
      <c r="I1841" s="25">
        <v>1423</v>
      </c>
      <c r="K1841" t="s">
        <v>560</v>
      </c>
      <c r="L1841" t="s">
        <v>141</v>
      </c>
      <c r="M1841" t="s">
        <v>52</v>
      </c>
      <c r="N1841" t="s">
        <v>40</v>
      </c>
      <c r="O1841">
        <v>73</v>
      </c>
      <c r="Q1841">
        <f t="shared" si="61"/>
        <v>4</v>
      </c>
      <c r="S1841">
        <v>2</v>
      </c>
      <c r="T1841">
        <v>0</v>
      </c>
      <c r="U1841">
        <v>0</v>
      </c>
      <c r="V1841">
        <v>2</v>
      </c>
      <c r="W1841">
        <v>0</v>
      </c>
      <c r="X1841" s="2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P1841" t="s">
        <v>541</v>
      </c>
    </row>
    <row r="1842" spans="1:42">
      <c r="A1842" s="1">
        <v>43838</v>
      </c>
      <c r="B1842">
        <v>3</v>
      </c>
      <c r="C1842">
        <v>243</v>
      </c>
      <c r="D1842">
        <v>14449</v>
      </c>
      <c r="E1842" t="s">
        <v>112</v>
      </c>
      <c r="F1842" t="s">
        <v>90</v>
      </c>
      <c r="G1842">
        <v>4</v>
      </c>
      <c r="H1842">
        <v>121</v>
      </c>
      <c r="I1842" s="25">
        <v>1423</v>
      </c>
      <c r="K1842" t="s">
        <v>560</v>
      </c>
      <c r="L1842" t="s">
        <v>141</v>
      </c>
      <c r="M1842" t="s">
        <v>52</v>
      </c>
      <c r="N1842" t="s">
        <v>40</v>
      </c>
      <c r="O1842">
        <v>40</v>
      </c>
      <c r="Q1842">
        <f t="shared" si="61"/>
        <v>3</v>
      </c>
      <c r="S1842">
        <v>2</v>
      </c>
      <c r="T1842">
        <v>0</v>
      </c>
      <c r="U1842">
        <v>0</v>
      </c>
      <c r="V1842">
        <v>1</v>
      </c>
      <c r="W1842">
        <v>0</v>
      </c>
      <c r="X1842" s="21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P1842" t="s">
        <v>541</v>
      </c>
    </row>
    <row r="1843" spans="1:42">
      <c r="A1843" s="1">
        <v>43838</v>
      </c>
      <c r="B1843">
        <v>3</v>
      </c>
      <c r="C1843">
        <v>243</v>
      </c>
      <c r="D1843">
        <v>14449</v>
      </c>
      <c r="E1843" t="s">
        <v>112</v>
      </c>
      <c r="F1843" t="s">
        <v>90</v>
      </c>
      <c r="G1843">
        <v>4</v>
      </c>
      <c r="H1843">
        <v>122</v>
      </c>
      <c r="I1843" s="25">
        <v>1421</v>
      </c>
      <c r="K1843" t="s">
        <v>560</v>
      </c>
      <c r="L1843" t="s">
        <v>141</v>
      </c>
      <c r="M1843" t="s">
        <v>52</v>
      </c>
      <c r="N1843" t="s">
        <v>40</v>
      </c>
      <c r="O1843">
        <v>25</v>
      </c>
      <c r="Q1843">
        <f t="shared" si="61"/>
        <v>2</v>
      </c>
      <c r="S1843">
        <v>1</v>
      </c>
      <c r="T1843">
        <v>0</v>
      </c>
      <c r="U1843">
        <v>0</v>
      </c>
      <c r="V1843">
        <v>1</v>
      </c>
      <c r="W1843">
        <v>0</v>
      </c>
      <c r="X1843" s="21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P1843" t="s">
        <v>541</v>
      </c>
    </row>
    <row r="1844" spans="1:42">
      <c r="A1844" s="1">
        <v>43838</v>
      </c>
      <c r="B1844">
        <v>3</v>
      </c>
      <c r="C1844">
        <v>243</v>
      </c>
      <c r="D1844">
        <v>14449</v>
      </c>
      <c r="E1844" t="s">
        <v>112</v>
      </c>
      <c r="F1844" t="s">
        <v>90</v>
      </c>
      <c r="G1844">
        <v>4</v>
      </c>
      <c r="H1844">
        <v>123</v>
      </c>
      <c r="I1844" s="25">
        <v>1421</v>
      </c>
      <c r="K1844" t="s">
        <v>560</v>
      </c>
      <c r="L1844" t="s">
        <v>141</v>
      </c>
      <c r="M1844" t="s">
        <v>52</v>
      </c>
      <c r="N1844" t="s">
        <v>40</v>
      </c>
      <c r="O1844">
        <v>102</v>
      </c>
      <c r="Q1844">
        <f t="shared" si="61"/>
        <v>4</v>
      </c>
      <c r="S1844">
        <v>2</v>
      </c>
      <c r="T1844">
        <v>0</v>
      </c>
      <c r="U1844">
        <v>0</v>
      </c>
      <c r="V1844">
        <v>2</v>
      </c>
      <c r="W1844">
        <v>0</v>
      </c>
      <c r="X1844" s="21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L1844" t="s">
        <v>561</v>
      </c>
      <c r="AP1844" t="s">
        <v>541</v>
      </c>
    </row>
    <row r="1845" spans="1:42">
      <c r="A1845" s="1">
        <v>43838</v>
      </c>
      <c r="B1845">
        <v>3</v>
      </c>
      <c r="C1845">
        <v>243</v>
      </c>
      <c r="D1845">
        <v>14449</v>
      </c>
      <c r="E1845" t="s">
        <v>112</v>
      </c>
      <c r="F1845" t="s">
        <v>90</v>
      </c>
      <c r="G1845">
        <v>4</v>
      </c>
      <c r="H1845">
        <v>124</v>
      </c>
      <c r="I1845" s="25">
        <v>1419</v>
      </c>
      <c r="K1845" t="s">
        <v>560</v>
      </c>
      <c r="L1845" t="s">
        <v>141</v>
      </c>
      <c r="M1845" t="s">
        <v>52</v>
      </c>
      <c r="N1845" t="s">
        <v>40</v>
      </c>
      <c r="O1845">
        <v>138</v>
      </c>
      <c r="Q1845">
        <f t="shared" si="61"/>
        <v>9</v>
      </c>
      <c r="S1845">
        <v>5</v>
      </c>
      <c r="T1845">
        <v>0</v>
      </c>
      <c r="U1845">
        <v>0</v>
      </c>
      <c r="V1845">
        <v>4</v>
      </c>
      <c r="W1845">
        <v>0</v>
      </c>
      <c r="X1845" s="21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P1845" t="s">
        <v>541</v>
      </c>
    </row>
    <row r="1846" spans="1:42">
      <c r="A1846" s="1">
        <v>43838</v>
      </c>
      <c r="B1846">
        <v>3</v>
      </c>
      <c r="C1846">
        <v>243</v>
      </c>
      <c r="D1846">
        <v>14449</v>
      </c>
      <c r="E1846" t="s">
        <v>112</v>
      </c>
      <c r="F1846" t="s">
        <v>90</v>
      </c>
      <c r="G1846">
        <v>4</v>
      </c>
      <c r="H1846">
        <v>125</v>
      </c>
      <c r="I1846" s="25">
        <v>1417</v>
      </c>
      <c r="K1846" t="s">
        <v>560</v>
      </c>
      <c r="L1846" t="s">
        <v>141</v>
      </c>
      <c r="M1846" t="s">
        <v>52</v>
      </c>
      <c r="N1846" t="s">
        <v>40</v>
      </c>
      <c r="O1846">
        <v>63</v>
      </c>
      <c r="Q1846">
        <f t="shared" si="61"/>
        <v>4</v>
      </c>
      <c r="S1846">
        <v>2</v>
      </c>
      <c r="T1846">
        <v>0</v>
      </c>
      <c r="U1846">
        <v>0</v>
      </c>
      <c r="V1846">
        <v>2</v>
      </c>
      <c r="W1846">
        <v>0</v>
      </c>
      <c r="X1846" s="21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P1846" t="s">
        <v>541</v>
      </c>
    </row>
    <row r="1847" spans="1:42">
      <c r="A1847" s="1">
        <v>43838</v>
      </c>
      <c r="B1847">
        <v>3</v>
      </c>
      <c r="C1847">
        <v>243</v>
      </c>
      <c r="D1847">
        <v>14449</v>
      </c>
      <c r="E1847" t="s">
        <v>112</v>
      </c>
      <c r="F1847" t="s">
        <v>90</v>
      </c>
      <c r="G1847">
        <v>4</v>
      </c>
      <c r="H1847">
        <v>126</v>
      </c>
      <c r="I1847" s="25">
        <v>1415</v>
      </c>
      <c r="K1847" t="s">
        <v>560</v>
      </c>
      <c r="L1847" t="s">
        <v>141</v>
      </c>
      <c r="M1847" t="s">
        <v>52</v>
      </c>
      <c r="N1847" t="s">
        <v>40</v>
      </c>
      <c r="O1847">
        <v>65</v>
      </c>
      <c r="Q1847">
        <f t="shared" si="61"/>
        <v>4</v>
      </c>
      <c r="S1847">
        <v>2</v>
      </c>
      <c r="T1847">
        <v>0</v>
      </c>
      <c r="U1847">
        <v>0</v>
      </c>
      <c r="V1847">
        <v>2</v>
      </c>
      <c r="W1847">
        <v>0</v>
      </c>
      <c r="X1847" s="21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P1847" t="s">
        <v>541</v>
      </c>
    </row>
    <row r="1848" spans="1:42">
      <c r="A1848" s="1">
        <v>43838</v>
      </c>
      <c r="B1848">
        <v>3</v>
      </c>
      <c r="C1848">
        <v>243</v>
      </c>
      <c r="D1848">
        <v>14449</v>
      </c>
      <c r="E1848" t="s">
        <v>112</v>
      </c>
      <c r="F1848" t="s">
        <v>90</v>
      </c>
      <c r="G1848">
        <v>4</v>
      </c>
      <c r="H1848">
        <v>127</v>
      </c>
      <c r="I1848" s="25">
        <v>1415</v>
      </c>
      <c r="K1848" t="s">
        <v>560</v>
      </c>
      <c r="L1848" t="s">
        <v>141</v>
      </c>
      <c r="M1848" t="s">
        <v>52</v>
      </c>
      <c r="N1848" t="s">
        <v>40</v>
      </c>
      <c r="O1848">
        <v>40</v>
      </c>
      <c r="Q1848">
        <f t="shared" si="61"/>
        <v>2</v>
      </c>
      <c r="S1848">
        <v>1</v>
      </c>
      <c r="T1848">
        <v>0</v>
      </c>
      <c r="U1848">
        <v>0</v>
      </c>
      <c r="V1848">
        <v>1</v>
      </c>
      <c r="W1848">
        <v>0</v>
      </c>
      <c r="X1848" s="21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P1848" t="s">
        <v>541</v>
      </c>
    </row>
    <row r="1849" spans="1:42">
      <c r="A1849" s="1">
        <v>43838</v>
      </c>
      <c r="B1849">
        <v>3</v>
      </c>
      <c r="C1849">
        <v>243</v>
      </c>
      <c r="D1849">
        <v>14449</v>
      </c>
      <c r="E1849" t="s">
        <v>112</v>
      </c>
      <c r="F1849" t="s">
        <v>90</v>
      </c>
      <c r="G1849">
        <v>4</v>
      </c>
      <c r="H1849">
        <v>128</v>
      </c>
      <c r="I1849" s="25">
        <v>1413</v>
      </c>
      <c r="K1849" t="s">
        <v>560</v>
      </c>
      <c r="L1849" t="s">
        <v>141</v>
      </c>
      <c r="M1849" t="s">
        <v>52</v>
      </c>
      <c r="N1849" t="s">
        <v>40</v>
      </c>
      <c r="O1849">
        <v>93</v>
      </c>
      <c r="Q1849">
        <f t="shared" ref="Q1849:Q1912" si="62">SUM(S1849:AC1849)</f>
        <v>4</v>
      </c>
      <c r="S1849">
        <v>2</v>
      </c>
      <c r="T1849">
        <v>0</v>
      </c>
      <c r="U1849">
        <v>0</v>
      </c>
      <c r="V1849">
        <v>2</v>
      </c>
      <c r="W1849">
        <v>0</v>
      </c>
      <c r="X1849" s="21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P1849" t="s">
        <v>541</v>
      </c>
    </row>
    <row r="1850" spans="1:42">
      <c r="A1850" s="1">
        <v>43838</v>
      </c>
      <c r="B1850">
        <v>3</v>
      </c>
      <c r="C1850">
        <v>243</v>
      </c>
      <c r="D1850">
        <v>14449</v>
      </c>
      <c r="E1850" t="s">
        <v>112</v>
      </c>
      <c r="F1850" t="s">
        <v>90</v>
      </c>
      <c r="G1850">
        <v>4</v>
      </c>
      <c r="H1850">
        <v>129</v>
      </c>
      <c r="I1850" s="25">
        <v>1430</v>
      </c>
      <c r="K1850" t="s">
        <v>560</v>
      </c>
      <c r="L1850" t="s">
        <v>114</v>
      </c>
      <c r="M1850" t="s">
        <v>52</v>
      </c>
      <c r="N1850" t="s">
        <v>40</v>
      </c>
      <c r="O1850">
        <v>228</v>
      </c>
      <c r="Q1850">
        <f t="shared" si="62"/>
        <v>3</v>
      </c>
      <c r="S1850">
        <v>0</v>
      </c>
      <c r="T1850">
        <v>0</v>
      </c>
      <c r="U1850">
        <v>0</v>
      </c>
      <c r="V1850">
        <v>0</v>
      </c>
      <c r="W1850">
        <v>3</v>
      </c>
      <c r="X1850" s="21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1</v>
      </c>
      <c r="AG1850">
        <v>0</v>
      </c>
      <c r="AP1850" t="s">
        <v>541</v>
      </c>
    </row>
    <row r="1851" spans="1:42">
      <c r="A1851" s="1">
        <v>43838</v>
      </c>
      <c r="B1851">
        <v>3</v>
      </c>
      <c r="C1851">
        <v>243</v>
      </c>
      <c r="D1851">
        <v>14449</v>
      </c>
      <c r="E1851" t="s">
        <v>112</v>
      </c>
      <c r="F1851" t="s">
        <v>90</v>
      </c>
      <c r="G1851">
        <v>4</v>
      </c>
      <c r="H1851">
        <v>130</v>
      </c>
      <c r="I1851" s="25">
        <v>1411</v>
      </c>
      <c r="K1851" t="s">
        <v>516</v>
      </c>
      <c r="L1851" t="s">
        <v>141</v>
      </c>
      <c r="M1851" t="s">
        <v>52</v>
      </c>
      <c r="N1851" t="s">
        <v>40</v>
      </c>
      <c r="O1851">
        <v>70</v>
      </c>
      <c r="Q1851">
        <f t="shared" si="62"/>
        <v>4</v>
      </c>
      <c r="S1851">
        <v>2</v>
      </c>
      <c r="T1851">
        <v>0</v>
      </c>
      <c r="U1851">
        <v>0</v>
      </c>
      <c r="V1851">
        <v>2</v>
      </c>
      <c r="W1851">
        <v>0</v>
      </c>
      <c r="X1851" s="2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P1851" t="s">
        <v>541</v>
      </c>
    </row>
    <row r="1852" spans="1:42">
      <c r="A1852" s="1">
        <v>43838</v>
      </c>
      <c r="B1852">
        <v>3</v>
      </c>
      <c r="C1852">
        <v>243</v>
      </c>
      <c r="D1852">
        <v>14449</v>
      </c>
      <c r="E1852" t="s">
        <v>112</v>
      </c>
      <c r="F1852" t="s">
        <v>90</v>
      </c>
      <c r="G1852">
        <v>4</v>
      </c>
      <c r="H1852">
        <v>131</v>
      </c>
      <c r="I1852" s="25">
        <v>1409</v>
      </c>
      <c r="K1852" t="s">
        <v>516</v>
      </c>
      <c r="L1852" t="s">
        <v>141</v>
      </c>
      <c r="M1852" t="s">
        <v>52</v>
      </c>
      <c r="N1852" t="s">
        <v>40</v>
      </c>
      <c r="O1852">
        <v>62</v>
      </c>
      <c r="Q1852">
        <f t="shared" si="62"/>
        <v>4</v>
      </c>
      <c r="S1852">
        <v>2</v>
      </c>
      <c r="T1852">
        <v>0</v>
      </c>
      <c r="U1852">
        <v>0</v>
      </c>
      <c r="V1852">
        <v>2</v>
      </c>
      <c r="W1852">
        <v>0</v>
      </c>
      <c r="X1852" s="21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P1852" t="s">
        <v>541</v>
      </c>
    </row>
    <row r="1853" spans="1:42">
      <c r="A1853" s="1">
        <v>43838</v>
      </c>
      <c r="B1853">
        <v>3</v>
      </c>
      <c r="C1853">
        <v>243</v>
      </c>
      <c r="D1853">
        <v>14449</v>
      </c>
      <c r="E1853" t="s">
        <v>112</v>
      </c>
      <c r="F1853" t="s">
        <v>90</v>
      </c>
      <c r="G1853">
        <v>4</v>
      </c>
      <c r="H1853">
        <v>132</v>
      </c>
      <c r="I1853" s="25">
        <v>1407</v>
      </c>
      <c r="K1853" t="s">
        <v>516</v>
      </c>
      <c r="L1853" t="s">
        <v>141</v>
      </c>
      <c r="M1853" t="s">
        <v>52</v>
      </c>
      <c r="N1853" t="s">
        <v>40</v>
      </c>
      <c r="O1853">
        <v>68</v>
      </c>
      <c r="Q1853">
        <f t="shared" si="62"/>
        <v>4</v>
      </c>
      <c r="S1853">
        <v>2</v>
      </c>
      <c r="T1853">
        <v>0</v>
      </c>
      <c r="U1853">
        <v>0</v>
      </c>
      <c r="V1853">
        <v>2</v>
      </c>
      <c r="W1853">
        <v>0</v>
      </c>
      <c r="X1853" s="21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P1853" t="s">
        <v>541</v>
      </c>
    </row>
    <row r="1854" spans="1:42">
      <c r="A1854" s="1">
        <v>43838</v>
      </c>
      <c r="B1854">
        <v>3</v>
      </c>
      <c r="C1854">
        <v>243</v>
      </c>
      <c r="D1854">
        <v>14449</v>
      </c>
      <c r="E1854" t="s">
        <v>112</v>
      </c>
      <c r="F1854" t="s">
        <v>90</v>
      </c>
      <c r="G1854">
        <v>4</v>
      </c>
      <c r="H1854">
        <v>133</v>
      </c>
      <c r="I1854" s="25">
        <v>1405</v>
      </c>
      <c r="K1854" t="s">
        <v>516</v>
      </c>
      <c r="L1854" t="s">
        <v>141</v>
      </c>
      <c r="M1854" t="s">
        <v>52</v>
      </c>
      <c r="N1854" t="s">
        <v>40</v>
      </c>
      <c r="O1854">
        <v>72</v>
      </c>
      <c r="Q1854">
        <f t="shared" si="62"/>
        <v>4</v>
      </c>
      <c r="S1854">
        <v>2</v>
      </c>
      <c r="T1854">
        <v>0</v>
      </c>
      <c r="U1854">
        <v>0</v>
      </c>
      <c r="V1854">
        <v>2</v>
      </c>
      <c r="W1854">
        <v>0</v>
      </c>
      <c r="X1854" s="21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P1854" t="s">
        <v>541</v>
      </c>
    </row>
    <row r="1855" spans="1:42">
      <c r="A1855" s="1">
        <v>43838</v>
      </c>
      <c r="B1855">
        <v>3</v>
      </c>
      <c r="C1855">
        <v>243</v>
      </c>
      <c r="D1855">
        <v>14449</v>
      </c>
      <c r="E1855" t="s">
        <v>112</v>
      </c>
      <c r="F1855" t="s">
        <v>90</v>
      </c>
      <c r="G1855">
        <v>4</v>
      </c>
      <c r="H1855">
        <v>134</v>
      </c>
      <c r="I1855" s="25">
        <v>1403</v>
      </c>
      <c r="K1855" t="s">
        <v>516</v>
      </c>
      <c r="L1855" t="s">
        <v>141</v>
      </c>
      <c r="M1855" t="s">
        <v>52</v>
      </c>
      <c r="N1855" t="s">
        <v>40</v>
      </c>
      <c r="O1855">
        <v>59</v>
      </c>
      <c r="Q1855">
        <f t="shared" si="62"/>
        <v>4</v>
      </c>
      <c r="S1855">
        <v>2</v>
      </c>
      <c r="T1855">
        <v>0</v>
      </c>
      <c r="U1855">
        <v>0</v>
      </c>
      <c r="V1855">
        <v>0</v>
      </c>
      <c r="W1855">
        <v>2</v>
      </c>
      <c r="X1855" s="21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P1855" t="s">
        <v>541</v>
      </c>
    </row>
    <row r="1856" spans="1:42">
      <c r="A1856" s="1">
        <v>43838</v>
      </c>
      <c r="B1856">
        <v>3</v>
      </c>
      <c r="C1856">
        <v>243</v>
      </c>
      <c r="D1856">
        <v>14449</v>
      </c>
      <c r="E1856" t="s">
        <v>112</v>
      </c>
      <c r="F1856" t="s">
        <v>90</v>
      </c>
      <c r="G1856">
        <v>4</v>
      </c>
      <c r="H1856">
        <v>135</v>
      </c>
      <c r="I1856" s="25">
        <v>1401</v>
      </c>
      <c r="K1856" t="s">
        <v>516</v>
      </c>
      <c r="L1856" t="s">
        <v>141</v>
      </c>
      <c r="M1856" t="s">
        <v>52</v>
      </c>
      <c r="N1856" t="s">
        <v>40</v>
      </c>
      <c r="O1856">
        <v>56</v>
      </c>
      <c r="Q1856">
        <f t="shared" si="62"/>
        <v>4</v>
      </c>
      <c r="S1856">
        <v>2</v>
      </c>
      <c r="T1856">
        <v>0</v>
      </c>
      <c r="U1856">
        <v>0</v>
      </c>
      <c r="V1856">
        <v>2</v>
      </c>
      <c r="W1856">
        <v>0</v>
      </c>
      <c r="X1856" s="21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P1856" t="s">
        <v>541</v>
      </c>
    </row>
    <row r="1857" spans="1:42">
      <c r="A1857" s="1">
        <v>43838</v>
      </c>
      <c r="B1857">
        <v>3</v>
      </c>
      <c r="C1857">
        <v>243</v>
      </c>
      <c r="D1857">
        <v>14449</v>
      </c>
      <c r="E1857" t="s">
        <v>112</v>
      </c>
      <c r="F1857" t="s">
        <v>90</v>
      </c>
      <c r="G1857">
        <v>4</v>
      </c>
      <c r="H1857">
        <v>136</v>
      </c>
      <c r="I1857" s="25">
        <v>402</v>
      </c>
      <c r="K1857" t="s">
        <v>516</v>
      </c>
      <c r="L1857" t="s">
        <v>114</v>
      </c>
      <c r="M1857" t="s">
        <v>52</v>
      </c>
      <c r="N1857" t="s">
        <v>40</v>
      </c>
      <c r="O1857">
        <v>17</v>
      </c>
      <c r="Q1857">
        <f t="shared" si="62"/>
        <v>1</v>
      </c>
      <c r="S1857">
        <v>0</v>
      </c>
      <c r="T1857">
        <v>0</v>
      </c>
      <c r="U1857">
        <v>0</v>
      </c>
      <c r="V1857">
        <v>1</v>
      </c>
      <c r="W1857">
        <v>0</v>
      </c>
      <c r="X1857" s="21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P1857" t="s">
        <v>541</v>
      </c>
    </row>
    <row r="1858" spans="1:42">
      <c r="A1858" s="1">
        <v>43838</v>
      </c>
      <c r="B1858">
        <v>3</v>
      </c>
      <c r="C1858">
        <v>243</v>
      </c>
      <c r="D1858">
        <v>14449</v>
      </c>
      <c r="E1858" t="s">
        <v>112</v>
      </c>
      <c r="F1858" t="s">
        <v>90</v>
      </c>
      <c r="G1858">
        <v>4</v>
      </c>
      <c r="H1858">
        <v>137</v>
      </c>
      <c r="I1858" s="25">
        <v>402</v>
      </c>
      <c r="K1858" t="s">
        <v>516</v>
      </c>
      <c r="L1858" t="s">
        <v>114</v>
      </c>
      <c r="M1858" t="s">
        <v>52</v>
      </c>
      <c r="N1858" t="s">
        <v>40</v>
      </c>
      <c r="O1858">
        <v>72</v>
      </c>
      <c r="Q1858">
        <f t="shared" si="62"/>
        <v>4</v>
      </c>
      <c r="S1858">
        <v>2</v>
      </c>
      <c r="T1858">
        <v>0</v>
      </c>
      <c r="U1858">
        <v>0</v>
      </c>
      <c r="V1858">
        <v>2</v>
      </c>
      <c r="W1858">
        <v>0</v>
      </c>
      <c r="X1858" s="21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P1858" t="s">
        <v>541</v>
      </c>
    </row>
    <row r="1859" spans="1:42">
      <c r="A1859" s="1">
        <v>43838</v>
      </c>
      <c r="B1859">
        <v>3</v>
      </c>
      <c r="C1859">
        <v>243</v>
      </c>
      <c r="D1859">
        <v>14449</v>
      </c>
      <c r="E1859" t="s">
        <v>112</v>
      </c>
      <c r="F1859" t="s">
        <v>90</v>
      </c>
      <c r="G1859">
        <v>4</v>
      </c>
      <c r="H1859">
        <v>138</v>
      </c>
      <c r="I1859" s="25">
        <v>404</v>
      </c>
      <c r="K1859" t="s">
        <v>516</v>
      </c>
      <c r="L1859" t="s">
        <v>114</v>
      </c>
      <c r="M1859" t="s">
        <v>52</v>
      </c>
      <c r="N1859" t="s">
        <v>40</v>
      </c>
      <c r="O1859">
        <v>80</v>
      </c>
      <c r="Q1859">
        <f t="shared" si="62"/>
        <v>4</v>
      </c>
      <c r="S1859">
        <v>2</v>
      </c>
      <c r="T1859">
        <v>0</v>
      </c>
      <c r="U1859">
        <v>0</v>
      </c>
      <c r="V1859">
        <v>2</v>
      </c>
      <c r="W1859">
        <v>0</v>
      </c>
      <c r="X1859" s="21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P1859" t="s">
        <v>541</v>
      </c>
    </row>
    <row r="1860" spans="1:42">
      <c r="A1860" s="1">
        <v>43838</v>
      </c>
      <c r="B1860">
        <v>3</v>
      </c>
      <c r="C1860">
        <v>243</v>
      </c>
      <c r="D1860">
        <v>14449</v>
      </c>
      <c r="E1860" t="s">
        <v>112</v>
      </c>
      <c r="F1860" t="s">
        <v>90</v>
      </c>
      <c r="G1860">
        <v>4</v>
      </c>
      <c r="H1860">
        <v>139</v>
      </c>
      <c r="I1860" s="25">
        <v>406</v>
      </c>
      <c r="K1860" t="s">
        <v>516</v>
      </c>
      <c r="L1860" t="s">
        <v>114</v>
      </c>
      <c r="M1860" t="s">
        <v>52</v>
      </c>
      <c r="N1860" t="s">
        <v>40</v>
      </c>
      <c r="O1860">
        <v>43</v>
      </c>
      <c r="Q1860">
        <f t="shared" si="62"/>
        <v>2</v>
      </c>
      <c r="S1860">
        <v>1</v>
      </c>
      <c r="T1860">
        <v>0</v>
      </c>
      <c r="U1860">
        <v>0</v>
      </c>
      <c r="V1860">
        <v>1</v>
      </c>
      <c r="W1860">
        <v>0</v>
      </c>
      <c r="X1860" s="21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P1860" t="s">
        <v>541</v>
      </c>
    </row>
    <row r="1861" spans="1:42">
      <c r="A1861" s="1">
        <v>43838</v>
      </c>
      <c r="B1861">
        <v>3</v>
      </c>
      <c r="C1861">
        <v>243</v>
      </c>
      <c r="D1861">
        <v>14449</v>
      </c>
      <c r="E1861" t="s">
        <v>112</v>
      </c>
      <c r="F1861" t="s">
        <v>90</v>
      </c>
      <c r="G1861">
        <v>4</v>
      </c>
      <c r="H1861">
        <v>140</v>
      </c>
      <c r="I1861" s="25">
        <v>411</v>
      </c>
      <c r="K1861" t="s">
        <v>516</v>
      </c>
      <c r="L1861" t="s">
        <v>141</v>
      </c>
      <c r="M1861" t="s">
        <v>52</v>
      </c>
      <c r="N1861" t="s">
        <v>40</v>
      </c>
      <c r="O1861">
        <v>93</v>
      </c>
      <c r="Q1861">
        <f t="shared" si="62"/>
        <v>5</v>
      </c>
      <c r="S1861">
        <v>2</v>
      </c>
      <c r="T1861">
        <v>0</v>
      </c>
      <c r="U1861">
        <v>0</v>
      </c>
      <c r="V1861">
        <v>2</v>
      </c>
      <c r="W1861">
        <v>1</v>
      </c>
      <c r="X1861" s="2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P1861" t="s">
        <v>541</v>
      </c>
    </row>
    <row r="1862" spans="1:42">
      <c r="A1862" s="1">
        <v>43838</v>
      </c>
      <c r="B1862">
        <v>3</v>
      </c>
      <c r="C1862">
        <v>243</v>
      </c>
      <c r="D1862">
        <v>14449</v>
      </c>
      <c r="E1862" t="s">
        <v>112</v>
      </c>
      <c r="F1862" t="s">
        <v>90</v>
      </c>
      <c r="G1862">
        <v>4</v>
      </c>
      <c r="H1862">
        <v>141</v>
      </c>
      <c r="I1862" s="25">
        <v>413</v>
      </c>
      <c r="K1862" t="s">
        <v>516</v>
      </c>
      <c r="L1862" t="s">
        <v>141</v>
      </c>
      <c r="M1862" t="s">
        <v>52</v>
      </c>
      <c r="N1862" t="s">
        <v>40</v>
      </c>
      <c r="O1862">
        <v>64</v>
      </c>
      <c r="Q1862">
        <f t="shared" si="62"/>
        <v>4</v>
      </c>
      <c r="S1862">
        <v>2</v>
      </c>
      <c r="T1862">
        <v>0</v>
      </c>
      <c r="U1862">
        <v>0</v>
      </c>
      <c r="V1862">
        <v>2</v>
      </c>
      <c r="W1862">
        <v>0</v>
      </c>
      <c r="X1862" s="21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P1862" t="s">
        <v>541</v>
      </c>
    </row>
    <row r="1863" spans="1:42">
      <c r="A1863" s="1">
        <v>43838</v>
      </c>
      <c r="B1863">
        <v>3</v>
      </c>
      <c r="C1863">
        <v>243</v>
      </c>
      <c r="D1863">
        <v>14449</v>
      </c>
      <c r="E1863" t="s">
        <v>112</v>
      </c>
      <c r="F1863" t="s">
        <v>90</v>
      </c>
      <c r="G1863">
        <v>4</v>
      </c>
      <c r="H1863">
        <v>142</v>
      </c>
      <c r="I1863" s="25">
        <v>417</v>
      </c>
      <c r="K1863" t="s">
        <v>516</v>
      </c>
      <c r="L1863" t="s">
        <v>141</v>
      </c>
      <c r="M1863" t="s">
        <v>52</v>
      </c>
      <c r="N1863" t="s">
        <v>40</v>
      </c>
      <c r="O1863">
        <v>34</v>
      </c>
      <c r="Q1863">
        <f t="shared" si="62"/>
        <v>2</v>
      </c>
      <c r="S1863">
        <v>1</v>
      </c>
      <c r="T1863">
        <v>0</v>
      </c>
      <c r="U1863">
        <v>0</v>
      </c>
      <c r="V1863">
        <v>1</v>
      </c>
      <c r="W1863">
        <v>0</v>
      </c>
      <c r="X1863" s="21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P1863" t="s">
        <v>541</v>
      </c>
    </row>
    <row r="1864" spans="1:42">
      <c r="A1864" s="1">
        <v>43838</v>
      </c>
      <c r="B1864">
        <v>3</v>
      </c>
      <c r="C1864">
        <v>243</v>
      </c>
      <c r="D1864">
        <v>14449</v>
      </c>
      <c r="E1864" t="s">
        <v>112</v>
      </c>
      <c r="F1864" t="s">
        <v>90</v>
      </c>
      <c r="G1864">
        <v>4</v>
      </c>
      <c r="H1864">
        <v>143</v>
      </c>
      <c r="I1864" s="25">
        <v>419</v>
      </c>
      <c r="K1864" t="s">
        <v>516</v>
      </c>
      <c r="L1864" t="s">
        <v>141</v>
      </c>
      <c r="M1864" t="s">
        <v>52</v>
      </c>
      <c r="N1864" t="s">
        <v>40</v>
      </c>
      <c r="O1864">
        <v>36</v>
      </c>
      <c r="Q1864">
        <f t="shared" si="62"/>
        <v>2</v>
      </c>
      <c r="S1864">
        <v>1</v>
      </c>
      <c r="T1864">
        <v>0</v>
      </c>
      <c r="U1864">
        <v>0</v>
      </c>
      <c r="V1864">
        <v>1</v>
      </c>
      <c r="W1864">
        <v>0</v>
      </c>
      <c r="X1864" s="21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P1864" t="s">
        <v>541</v>
      </c>
    </row>
    <row r="1865" spans="1:42">
      <c r="A1865" s="1">
        <v>43838</v>
      </c>
      <c r="B1865">
        <v>3</v>
      </c>
      <c r="C1865">
        <v>243</v>
      </c>
      <c r="D1865">
        <v>14449</v>
      </c>
      <c r="E1865" t="s">
        <v>112</v>
      </c>
      <c r="F1865" t="s">
        <v>90</v>
      </c>
      <c r="G1865">
        <v>4</v>
      </c>
      <c r="H1865">
        <v>144</v>
      </c>
      <c r="I1865" s="25">
        <v>419</v>
      </c>
      <c r="K1865" t="s">
        <v>516</v>
      </c>
      <c r="L1865" t="s">
        <v>141</v>
      </c>
      <c r="M1865" t="s">
        <v>52</v>
      </c>
      <c r="N1865" t="s">
        <v>40</v>
      </c>
      <c r="O1865">
        <v>45</v>
      </c>
      <c r="Q1865">
        <f t="shared" si="62"/>
        <v>2</v>
      </c>
      <c r="S1865">
        <v>1</v>
      </c>
      <c r="T1865">
        <v>0</v>
      </c>
      <c r="U1865">
        <v>0</v>
      </c>
      <c r="V1865">
        <v>1</v>
      </c>
      <c r="W1865">
        <v>0</v>
      </c>
      <c r="X1865" s="21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P1865" t="s">
        <v>541</v>
      </c>
    </row>
    <row r="1866" spans="1:42">
      <c r="A1866" s="1">
        <v>43838</v>
      </c>
      <c r="B1866">
        <v>3</v>
      </c>
      <c r="C1866">
        <v>243</v>
      </c>
      <c r="D1866">
        <v>14449</v>
      </c>
      <c r="E1866" t="s">
        <v>112</v>
      </c>
      <c r="F1866" t="s">
        <v>90</v>
      </c>
      <c r="G1866">
        <v>4</v>
      </c>
      <c r="H1866">
        <v>145</v>
      </c>
      <c r="I1866" s="25">
        <v>421</v>
      </c>
      <c r="K1866" t="s">
        <v>516</v>
      </c>
      <c r="L1866" t="s">
        <v>141</v>
      </c>
      <c r="M1866" t="s">
        <v>52</v>
      </c>
      <c r="N1866" t="s">
        <v>40</v>
      </c>
      <c r="O1866">
        <v>37</v>
      </c>
      <c r="Q1866">
        <f t="shared" si="62"/>
        <v>2</v>
      </c>
      <c r="S1866">
        <v>1</v>
      </c>
      <c r="T1866">
        <v>0</v>
      </c>
      <c r="U1866">
        <v>0</v>
      </c>
      <c r="V1866">
        <v>0</v>
      </c>
      <c r="W1866">
        <v>1</v>
      </c>
      <c r="X1866" s="21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P1866" t="s">
        <v>541</v>
      </c>
    </row>
    <row r="1867" spans="1:42">
      <c r="A1867" s="1">
        <v>43838</v>
      </c>
      <c r="B1867">
        <v>3</v>
      </c>
      <c r="C1867">
        <v>243</v>
      </c>
      <c r="D1867">
        <v>14449</v>
      </c>
      <c r="E1867" t="s">
        <v>112</v>
      </c>
      <c r="F1867" t="s">
        <v>90</v>
      </c>
      <c r="G1867">
        <v>4</v>
      </c>
      <c r="H1867">
        <v>146</v>
      </c>
      <c r="I1867" s="25">
        <v>421</v>
      </c>
      <c r="K1867" t="s">
        <v>516</v>
      </c>
      <c r="L1867" t="s">
        <v>141</v>
      </c>
      <c r="M1867" t="s">
        <v>52</v>
      </c>
      <c r="N1867" t="s">
        <v>40</v>
      </c>
      <c r="O1867">
        <v>40</v>
      </c>
      <c r="Q1867">
        <f t="shared" si="62"/>
        <v>2</v>
      </c>
      <c r="S1867">
        <v>1</v>
      </c>
      <c r="T1867">
        <v>0</v>
      </c>
      <c r="U1867">
        <v>0</v>
      </c>
      <c r="V1867">
        <v>1</v>
      </c>
      <c r="W1867">
        <v>0</v>
      </c>
      <c r="X1867" s="21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P1867" t="s">
        <v>541</v>
      </c>
    </row>
    <row r="1868" spans="1:42">
      <c r="A1868" s="1">
        <v>43838</v>
      </c>
      <c r="B1868">
        <v>3</v>
      </c>
      <c r="C1868">
        <v>243</v>
      </c>
      <c r="D1868">
        <v>14449</v>
      </c>
      <c r="E1868" t="s">
        <v>112</v>
      </c>
      <c r="F1868" t="s">
        <v>90</v>
      </c>
      <c r="G1868">
        <v>4</v>
      </c>
      <c r="H1868">
        <v>147</v>
      </c>
      <c r="I1868" s="25">
        <v>423</v>
      </c>
      <c r="K1868" t="s">
        <v>516</v>
      </c>
      <c r="L1868" t="s">
        <v>141</v>
      </c>
      <c r="M1868" t="s">
        <v>52</v>
      </c>
      <c r="N1868" t="s">
        <v>40</v>
      </c>
      <c r="O1868">
        <v>113</v>
      </c>
      <c r="Q1868">
        <f t="shared" si="62"/>
        <v>4</v>
      </c>
      <c r="S1868">
        <v>2</v>
      </c>
      <c r="T1868">
        <v>0</v>
      </c>
      <c r="U1868">
        <v>0</v>
      </c>
      <c r="V1868">
        <v>2</v>
      </c>
      <c r="W1868">
        <v>0</v>
      </c>
      <c r="X1868" s="21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L1868" t="s">
        <v>562</v>
      </c>
      <c r="AP1868" t="s">
        <v>541</v>
      </c>
    </row>
    <row r="1869" spans="1:42">
      <c r="A1869" s="1">
        <v>43838</v>
      </c>
      <c r="B1869">
        <v>3</v>
      </c>
      <c r="C1869">
        <v>243</v>
      </c>
      <c r="D1869">
        <v>14449</v>
      </c>
      <c r="E1869" t="s">
        <v>112</v>
      </c>
      <c r="F1869" t="s">
        <v>90</v>
      </c>
      <c r="G1869">
        <v>4</v>
      </c>
      <c r="H1869">
        <v>148</v>
      </c>
      <c r="I1869" s="25">
        <v>424</v>
      </c>
      <c r="K1869" t="s">
        <v>516</v>
      </c>
      <c r="L1869" t="s">
        <v>114</v>
      </c>
      <c r="M1869" t="s">
        <v>52</v>
      </c>
      <c r="N1869" t="s">
        <v>40</v>
      </c>
      <c r="O1869">
        <v>43</v>
      </c>
      <c r="Q1869">
        <f t="shared" si="62"/>
        <v>4</v>
      </c>
      <c r="S1869">
        <v>2</v>
      </c>
      <c r="T1869">
        <v>0</v>
      </c>
      <c r="U1869">
        <v>0</v>
      </c>
      <c r="V1869">
        <v>2</v>
      </c>
      <c r="W1869">
        <v>0</v>
      </c>
      <c r="X1869" s="21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P1869" t="s">
        <v>541</v>
      </c>
    </row>
    <row r="1870" spans="1:42">
      <c r="A1870" s="1">
        <v>43838</v>
      </c>
      <c r="B1870">
        <v>3</v>
      </c>
      <c r="C1870">
        <v>243</v>
      </c>
      <c r="D1870">
        <v>14449</v>
      </c>
      <c r="E1870" t="s">
        <v>112</v>
      </c>
      <c r="F1870" t="s">
        <v>90</v>
      </c>
      <c r="G1870">
        <v>4</v>
      </c>
      <c r="H1870">
        <v>149</v>
      </c>
      <c r="I1870" s="25">
        <v>422</v>
      </c>
      <c r="K1870" t="s">
        <v>516</v>
      </c>
      <c r="L1870" t="s">
        <v>114</v>
      </c>
      <c r="M1870" t="s">
        <v>52</v>
      </c>
      <c r="N1870" t="s">
        <v>40</v>
      </c>
      <c r="O1870">
        <v>54</v>
      </c>
      <c r="Q1870">
        <f t="shared" si="62"/>
        <v>4</v>
      </c>
      <c r="S1870">
        <v>2</v>
      </c>
      <c r="T1870">
        <v>0</v>
      </c>
      <c r="U1870">
        <v>0</v>
      </c>
      <c r="V1870">
        <v>2</v>
      </c>
      <c r="W1870">
        <v>0</v>
      </c>
      <c r="X1870" s="21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P1870" t="s">
        <v>541</v>
      </c>
    </row>
    <row r="1871" spans="1:42">
      <c r="A1871" s="1">
        <v>43838</v>
      </c>
      <c r="B1871">
        <v>3</v>
      </c>
      <c r="C1871">
        <v>243</v>
      </c>
      <c r="D1871">
        <v>14449</v>
      </c>
      <c r="E1871" t="s">
        <v>112</v>
      </c>
      <c r="F1871" t="s">
        <v>90</v>
      </c>
      <c r="G1871">
        <v>4</v>
      </c>
      <c r="H1871">
        <v>150</v>
      </c>
      <c r="I1871" s="25">
        <v>420</v>
      </c>
      <c r="K1871" t="s">
        <v>516</v>
      </c>
      <c r="L1871" t="s">
        <v>114</v>
      </c>
      <c r="M1871" t="s">
        <v>52</v>
      </c>
      <c r="N1871" t="s">
        <v>40</v>
      </c>
      <c r="O1871">
        <v>22</v>
      </c>
      <c r="Q1871">
        <f t="shared" si="62"/>
        <v>2</v>
      </c>
      <c r="S1871">
        <v>1</v>
      </c>
      <c r="T1871">
        <v>0</v>
      </c>
      <c r="U1871">
        <v>0</v>
      </c>
      <c r="V1871">
        <v>1</v>
      </c>
      <c r="W1871">
        <v>0</v>
      </c>
      <c r="X1871" s="2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P1871" t="s">
        <v>541</v>
      </c>
    </row>
    <row r="1872" spans="1:42">
      <c r="A1872" s="1">
        <v>43838</v>
      </c>
      <c r="B1872">
        <v>3</v>
      </c>
      <c r="C1872">
        <v>243</v>
      </c>
      <c r="D1872">
        <v>14449</v>
      </c>
      <c r="E1872" t="s">
        <v>112</v>
      </c>
      <c r="F1872" t="s">
        <v>90</v>
      </c>
      <c r="G1872">
        <v>4</v>
      </c>
      <c r="H1872">
        <v>151</v>
      </c>
      <c r="I1872" s="25">
        <v>420</v>
      </c>
      <c r="K1872" t="s">
        <v>516</v>
      </c>
      <c r="L1872" t="s">
        <v>114</v>
      </c>
      <c r="M1872" t="s">
        <v>52</v>
      </c>
      <c r="N1872" t="s">
        <v>40</v>
      </c>
      <c r="O1872">
        <v>59</v>
      </c>
      <c r="Q1872">
        <f t="shared" si="62"/>
        <v>5</v>
      </c>
      <c r="S1872">
        <v>3</v>
      </c>
      <c r="T1872">
        <v>0</v>
      </c>
      <c r="U1872">
        <v>0</v>
      </c>
      <c r="V1872">
        <v>2</v>
      </c>
      <c r="W1872">
        <v>0</v>
      </c>
      <c r="X1872" s="21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0</v>
      </c>
      <c r="AP1872" t="s">
        <v>541</v>
      </c>
    </row>
    <row r="1873" spans="1:42">
      <c r="A1873" s="1">
        <v>43838</v>
      </c>
      <c r="B1873">
        <v>3</v>
      </c>
      <c r="C1873">
        <v>243</v>
      </c>
      <c r="D1873">
        <v>14449</v>
      </c>
      <c r="E1873" t="s">
        <v>112</v>
      </c>
      <c r="F1873" t="s">
        <v>90</v>
      </c>
      <c r="G1873">
        <v>4</v>
      </c>
      <c r="H1873">
        <v>152</v>
      </c>
      <c r="I1873" s="25">
        <v>414</v>
      </c>
      <c r="K1873" t="s">
        <v>516</v>
      </c>
      <c r="L1873" t="s">
        <v>114</v>
      </c>
      <c r="M1873" t="s">
        <v>52</v>
      </c>
      <c r="N1873" t="s">
        <v>40</v>
      </c>
      <c r="O1873">
        <v>64</v>
      </c>
      <c r="Q1873">
        <f t="shared" si="62"/>
        <v>4</v>
      </c>
      <c r="S1873">
        <v>2</v>
      </c>
      <c r="T1873">
        <v>0</v>
      </c>
      <c r="U1873">
        <v>0</v>
      </c>
      <c r="V1873">
        <v>2</v>
      </c>
      <c r="W1873">
        <v>0</v>
      </c>
      <c r="X1873" s="21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P1873" t="s">
        <v>541</v>
      </c>
    </row>
    <row r="1874" spans="1:42">
      <c r="A1874" s="1">
        <v>43838</v>
      </c>
      <c r="B1874">
        <v>3</v>
      </c>
      <c r="C1874">
        <v>243</v>
      </c>
      <c r="D1874">
        <v>14449</v>
      </c>
      <c r="E1874" t="s">
        <v>112</v>
      </c>
      <c r="F1874" t="s">
        <v>90</v>
      </c>
      <c r="G1874">
        <v>4</v>
      </c>
      <c r="H1874">
        <v>153</v>
      </c>
      <c r="I1874" s="25">
        <v>412</v>
      </c>
      <c r="K1874" t="s">
        <v>516</v>
      </c>
      <c r="L1874" t="s">
        <v>114</v>
      </c>
      <c r="M1874" t="s">
        <v>52</v>
      </c>
      <c r="N1874" t="s">
        <v>40</v>
      </c>
      <c r="O1874">
        <v>44</v>
      </c>
      <c r="Q1874">
        <f t="shared" si="62"/>
        <v>3</v>
      </c>
      <c r="S1874">
        <v>1</v>
      </c>
      <c r="T1874">
        <v>0</v>
      </c>
      <c r="U1874">
        <v>0</v>
      </c>
      <c r="V1874">
        <v>1</v>
      </c>
      <c r="W1874">
        <v>1</v>
      </c>
      <c r="X1874" s="21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P1874" t="s">
        <v>541</v>
      </c>
    </row>
    <row r="1875" spans="1:42">
      <c r="A1875" s="1">
        <v>43838</v>
      </c>
      <c r="B1875">
        <v>3</v>
      </c>
      <c r="C1875">
        <v>243</v>
      </c>
      <c r="D1875">
        <v>14449</v>
      </c>
      <c r="E1875" t="s">
        <v>112</v>
      </c>
      <c r="F1875" t="s">
        <v>90</v>
      </c>
      <c r="G1875">
        <v>4</v>
      </c>
      <c r="H1875">
        <v>154</v>
      </c>
      <c r="I1875" s="25">
        <v>410</v>
      </c>
      <c r="K1875" t="s">
        <v>516</v>
      </c>
      <c r="L1875" t="s">
        <v>114</v>
      </c>
      <c r="M1875" t="s">
        <v>52</v>
      </c>
      <c r="N1875" t="s">
        <v>40</v>
      </c>
      <c r="O1875">
        <v>32</v>
      </c>
      <c r="Q1875">
        <f t="shared" si="62"/>
        <v>2</v>
      </c>
      <c r="S1875">
        <v>1</v>
      </c>
      <c r="T1875">
        <v>0</v>
      </c>
      <c r="U1875">
        <v>0</v>
      </c>
      <c r="V1875">
        <v>1</v>
      </c>
      <c r="W1875">
        <v>0</v>
      </c>
      <c r="X1875" s="21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P1875" t="s">
        <v>541</v>
      </c>
    </row>
    <row r="1876" spans="1:42">
      <c r="A1876" s="1">
        <v>43838</v>
      </c>
      <c r="B1876">
        <v>3</v>
      </c>
      <c r="C1876">
        <v>243</v>
      </c>
      <c r="D1876">
        <v>14449</v>
      </c>
      <c r="E1876" t="s">
        <v>112</v>
      </c>
      <c r="F1876" t="s">
        <v>90</v>
      </c>
      <c r="G1876">
        <v>4</v>
      </c>
      <c r="H1876">
        <v>155</v>
      </c>
      <c r="I1876" s="25">
        <v>345</v>
      </c>
      <c r="K1876" t="s">
        <v>563</v>
      </c>
      <c r="L1876" t="s">
        <v>141</v>
      </c>
      <c r="M1876" t="s">
        <v>52</v>
      </c>
      <c r="N1876" t="s">
        <v>40</v>
      </c>
      <c r="O1876">
        <v>42</v>
      </c>
      <c r="Q1876">
        <f t="shared" si="62"/>
        <v>2</v>
      </c>
      <c r="S1876">
        <v>0</v>
      </c>
      <c r="T1876">
        <v>0</v>
      </c>
      <c r="U1876">
        <v>0</v>
      </c>
      <c r="V1876">
        <v>1</v>
      </c>
      <c r="W1876">
        <v>1</v>
      </c>
      <c r="X1876" s="21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P1876" t="s">
        <v>541</v>
      </c>
    </row>
    <row r="1877" spans="1:42">
      <c r="A1877" s="1">
        <v>43838</v>
      </c>
      <c r="B1877">
        <v>3</v>
      </c>
      <c r="C1877">
        <v>243</v>
      </c>
      <c r="D1877">
        <v>14449</v>
      </c>
      <c r="E1877" t="s">
        <v>112</v>
      </c>
      <c r="F1877" t="s">
        <v>90</v>
      </c>
      <c r="G1877">
        <v>4</v>
      </c>
      <c r="H1877">
        <v>156</v>
      </c>
      <c r="I1877" s="25">
        <v>345</v>
      </c>
      <c r="K1877" t="s">
        <v>563</v>
      </c>
      <c r="L1877" t="s">
        <v>141</v>
      </c>
      <c r="M1877" t="s">
        <v>52</v>
      </c>
      <c r="N1877" t="s">
        <v>40</v>
      </c>
      <c r="O1877">
        <v>29</v>
      </c>
      <c r="Q1877">
        <f t="shared" si="62"/>
        <v>2</v>
      </c>
      <c r="S1877">
        <v>1</v>
      </c>
      <c r="T1877">
        <v>0</v>
      </c>
      <c r="U1877">
        <v>0</v>
      </c>
      <c r="V1877">
        <v>0</v>
      </c>
      <c r="W1877">
        <v>1</v>
      </c>
      <c r="X1877" s="21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P1877" t="s">
        <v>541</v>
      </c>
    </row>
    <row r="1878" spans="1:42">
      <c r="A1878" s="1">
        <v>43838</v>
      </c>
      <c r="B1878">
        <v>3</v>
      </c>
      <c r="C1878">
        <v>243</v>
      </c>
      <c r="D1878">
        <v>14449</v>
      </c>
      <c r="E1878" t="s">
        <v>112</v>
      </c>
      <c r="F1878" t="s">
        <v>90</v>
      </c>
      <c r="G1878">
        <v>4</v>
      </c>
      <c r="H1878">
        <v>157</v>
      </c>
      <c r="I1878" s="25">
        <v>344</v>
      </c>
      <c r="K1878" t="s">
        <v>563</v>
      </c>
      <c r="L1878" t="s">
        <v>114</v>
      </c>
      <c r="M1878" t="s">
        <v>52</v>
      </c>
      <c r="N1878" t="s">
        <v>40</v>
      </c>
      <c r="O1878">
        <v>27</v>
      </c>
      <c r="Q1878">
        <f t="shared" si="62"/>
        <v>2</v>
      </c>
      <c r="S1878">
        <v>0</v>
      </c>
      <c r="T1878">
        <v>0</v>
      </c>
      <c r="U1878">
        <v>0</v>
      </c>
      <c r="V1878">
        <v>2</v>
      </c>
      <c r="W1878">
        <v>0</v>
      </c>
      <c r="X1878" s="21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P1878" t="s">
        <v>541</v>
      </c>
    </row>
    <row r="1879" spans="1:42">
      <c r="A1879" s="1">
        <v>43838</v>
      </c>
      <c r="B1879">
        <v>3</v>
      </c>
      <c r="C1879">
        <v>243</v>
      </c>
      <c r="D1879">
        <v>14449</v>
      </c>
      <c r="E1879" t="s">
        <v>112</v>
      </c>
      <c r="F1879" t="s">
        <v>90</v>
      </c>
      <c r="G1879">
        <v>4</v>
      </c>
      <c r="H1879">
        <v>158</v>
      </c>
      <c r="I1879" s="25">
        <v>344</v>
      </c>
      <c r="K1879" t="s">
        <v>563</v>
      </c>
      <c r="L1879" t="s">
        <v>114</v>
      </c>
      <c r="M1879" t="s">
        <v>52</v>
      </c>
      <c r="N1879" t="s">
        <v>40</v>
      </c>
      <c r="O1879">
        <v>35</v>
      </c>
      <c r="Q1879">
        <f t="shared" si="62"/>
        <v>2</v>
      </c>
      <c r="S1879">
        <v>1</v>
      </c>
      <c r="T1879">
        <v>0</v>
      </c>
      <c r="U1879">
        <v>0</v>
      </c>
      <c r="V1879">
        <v>0</v>
      </c>
      <c r="W1879">
        <v>1</v>
      </c>
      <c r="X1879" s="21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P1879" t="s">
        <v>541</v>
      </c>
    </row>
    <row r="1880" spans="1:42">
      <c r="A1880" s="1">
        <v>43838</v>
      </c>
      <c r="B1880">
        <v>3</v>
      </c>
      <c r="C1880">
        <v>243</v>
      </c>
      <c r="D1880">
        <v>14449</v>
      </c>
      <c r="E1880" t="s">
        <v>112</v>
      </c>
      <c r="F1880" t="s">
        <v>90</v>
      </c>
      <c r="G1880">
        <v>4</v>
      </c>
      <c r="H1880">
        <v>159</v>
      </c>
      <c r="I1880" s="25">
        <v>343</v>
      </c>
      <c r="K1880" t="s">
        <v>563</v>
      </c>
      <c r="L1880" t="s">
        <v>141</v>
      </c>
      <c r="M1880" t="s">
        <v>52</v>
      </c>
      <c r="N1880" t="s">
        <v>40</v>
      </c>
      <c r="O1880">
        <v>27</v>
      </c>
      <c r="Q1880">
        <f t="shared" si="62"/>
        <v>2</v>
      </c>
      <c r="S1880">
        <v>1</v>
      </c>
      <c r="T1880">
        <v>0</v>
      </c>
      <c r="U1880">
        <v>0</v>
      </c>
      <c r="V1880">
        <v>1</v>
      </c>
      <c r="W1880">
        <v>0</v>
      </c>
      <c r="X1880" s="21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P1880" t="s">
        <v>541</v>
      </c>
    </row>
    <row r="1881" spans="1:42">
      <c r="A1881" s="1">
        <v>43838</v>
      </c>
      <c r="B1881">
        <v>3</v>
      </c>
      <c r="C1881">
        <v>243</v>
      </c>
      <c r="D1881">
        <v>14449</v>
      </c>
      <c r="E1881" t="s">
        <v>112</v>
      </c>
      <c r="F1881" t="s">
        <v>90</v>
      </c>
      <c r="G1881">
        <v>4</v>
      </c>
      <c r="H1881">
        <v>160</v>
      </c>
      <c r="I1881" s="25">
        <v>342</v>
      </c>
      <c r="K1881" t="s">
        <v>563</v>
      </c>
      <c r="L1881" t="s">
        <v>114</v>
      </c>
      <c r="M1881" t="s">
        <v>52</v>
      </c>
      <c r="N1881" t="s">
        <v>40</v>
      </c>
      <c r="O1881">
        <v>24</v>
      </c>
      <c r="Q1881">
        <f t="shared" si="62"/>
        <v>3</v>
      </c>
      <c r="S1881">
        <v>0</v>
      </c>
      <c r="T1881">
        <v>0</v>
      </c>
      <c r="U1881">
        <v>0</v>
      </c>
      <c r="V1881">
        <v>3</v>
      </c>
      <c r="W1881">
        <v>0</v>
      </c>
      <c r="X1881" s="2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P1881" t="s">
        <v>541</v>
      </c>
    </row>
    <row r="1882" spans="1:42">
      <c r="A1882" s="1">
        <v>43838</v>
      </c>
      <c r="B1882">
        <v>3</v>
      </c>
      <c r="C1882">
        <v>243</v>
      </c>
      <c r="D1882">
        <v>14449</v>
      </c>
      <c r="E1882" t="s">
        <v>112</v>
      </c>
      <c r="F1882" t="s">
        <v>90</v>
      </c>
      <c r="G1882">
        <v>4</v>
      </c>
      <c r="H1882">
        <v>161</v>
      </c>
      <c r="I1882" s="25">
        <v>340</v>
      </c>
      <c r="K1882" t="s">
        <v>563</v>
      </c>
      <c r="L1882" t="s">
        <v>114</v>
      </c>
      <c r="M1882" t="s">
        <v>52</v>
      </c>
      <c r="N1882" t="s">
        <v>40</v>
      </c>
      <c r="O1882">
        <v>70</v>
      </c>
      <c r="Q1882">
        <f t="shared" si="62"/>
        <v>4</v>
      </c>
      <c r="S1882">
        <v>1</v>
      </c>
      <c r="T1882">
        <v>0</v>
      </c>
      <c r="U1882">
        <v>0</v>
      </c>
      <c r="V1882">
        <v>2</v>
      </c>
      <c r="W1882">
        <v>1</v>
      </c>
      <c r="X1882" s="21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P1882" t="s">
        <v>541</v>
      </c>
    </row>
    <row r="1883" spans="1:42">
      <c r="A1883" s="1">
        <v>43838</v>
      </c>
      <c r="B1883">
        <v>3</v>
      </c>
      <c r="C1883">
        <v>243</v>
      </c>
      <c r="D1883">
        <v>14449</v>
      </c>
      <c r="E1883" t="s">
        <v>112</v>
      </c>
      <c r="F1883" t="s">
        <v>90</v>
      </c>
      <c r="G1883">
        <v>4</v>
      </c>
      <c r="H1883">
        <v>162</v>
      </c>
      <c r="I1883" s="25">
        <v>339</v>
      </c>
      <c r="K1883" t="s">
        <v>563</v>
      </c>
      <c r="L1883" t="s">
        <v>141</v>
      </c>
      <c r="M1883" t="s">
        <v>52</v>
      </c>
      <c r="N1883" t="s">
        <v>40</v>
      </c>
      <c r="O1883">
        <v>45</v>
      </c>
      <c r="Q1883">
        <f t="shared" si="62"/>
        <v>2</v>
      </c>
      <c r="S1883">
        <v>0</v>
      </c>
      <c r="T1883">
        <v>0</v>
      </c>
      <c r="U1883">
        <v>0</v>
      </c>
      <c r="V1883">
        <v>2</v>
      </c>
      <c r="W1883">
        <v>0</v>
      </c>
      <c r="X1883" s="21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P1883" t="s">
        <v>541</v>
      </c>
    </row>
    <row r="1884" spans="1:42">
      <c r="A1884" s="1">
        <v>43838</v>
      </c>
      <c r="B1884">
        <v>3</v>
      </c>
      <c r="C1884">
        <v>243</v>
      </c>
      <c r="D1884">
        <v>14449</v>
      </c>
      <c r="E1884" t="s">
        <v>112</v>
      </c>
      <c r="F1884" t="s">
        <v>90</v>
      </c>
      <c r="G1884">
        <v>4</v>
      </c>
      <c r="H1884">
        <v>163</v>
      </c>
      <c r="I1884" s="25">
        <v>338</v>
      </c>
      <c r="K1884" t="s">
        <v>563</v>
      </c>
      <c r="L1884" t="s">
        <v>114</v>
      </c>
      <c r="M1884" t="s">
        <v>52</v>
      </c>
      <c r="N1884" t="s">
        <v>40</v>
      </c>
      <c r="O1884">
        <v>30</v>
      </c>
      <c r="Q1884">
        <f t="shared" si="62"/>
        <v>2</v>
      </c>
      <c r="S1884">
        <v>0</v>
      </c>
      <c r="T1884">
        <v>0</v>
      </c>
      <c r="U1884">
        <v>0</v>
      </c>
      <c r="V1884">
        <v>1</v>
      </c>
      <c r="W1884">
        <v>1</v>
      </c>
      <c r="X1884" s="21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P1884" t="s">
        <v>541</v>
      </c>
    </row>
    <row r="1885" spans="1:42">
      <c r="A1885" s="1">
        <v>43838</v>
      </c>
      <c r="B1885">
        <v>3</v>
      </c>
      <c r="C1885">
        <v>243</v>
      </c>
      <c r="D1885">
        <v>14449</v>
      </c>
      <c r="E1885" t="s">
        <v>112</v>
      </c>
      <c r="F1885" t="s">
        <v>90</v>
      </c>
      <c r="G1885">
        <v>4</v>
      </c>
      <c r="H1885">
        <v>164</v>
      </c>
      <c r="I1885" s="25">
        <v>338</v>
      </c>
      <c r="K1885" t="s">
        <v>563</v>
      </c>
      <c r="L1885" t="s">
        <v>114</v>
      </c>
      <c r="M1885" t="s">
        <v>52</v>
      </c>
      <c r="N1885" t="s">
        <v>40</v>
      </c>
      <c r="O1885">
        <v>22</v>
      </c>
      <c r="Q1885">
        <f t="shared" si="62"/>
        <v>2</v>
      </c>
      <c r="S1885">
        <v>1</v>
      </c>
      <c r="T1885">
        <v>0</v>
      </c>
      <c r="U1885">
        <v>0</v>
      </c>
      <c r="V1885">
        <v>1</v>
      </c>
      <c r="W1885">
        <v>0</v>
      </c>
      <c r="X1885" s="21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P1885" t="s">
        <v>541</v>
      </c>
    </row>
    <row r="1886" spans="1:42">
      <c r="A1886" s="1">
        <v>43838</v>
      </c>
      <c r="B1886">
        <v>3</v>
      </c>
      <c r="C1886">
        <v>243</v>
      </c>
      <c r="D1886">
        <v>14449</v>
      </c>
      <c r="E1886" t="s">
        <v>112</v>
      </c>
      <c r="F1886" t="s">
        <v>90</v>
      </c>
      <c r="G1886">
        <v>4</v>
      </c>
      <c r="H1886">
        <v>165</v>
      </c>
      <c r="I1886" s="25">
        <v>337</v>
      </c>
      <c r="K1886" t="s">
        <v>563</v>
      </c>
      <c r="L1886" t="s">
        <v>141</v>
      </c>
      <c r="M1886" t="s">
        <v>52</v>
      </c>
      <c r="N1886" t="s">
        <v>40</v>
      </c>
      <c r="O1886">
        <v>10</v>
      </c>
      <c r="Q1886">
        <f t="shared" si="62"/>
        <v>2</v>
      </c>
      <c r="S1886">
        <v>1</v>
      </c>
      <c r="T1886">
        <v>0</v>
      </c>
      <c r="U1886">
        <v>0</v>
      </c>
      <c r="V1886">
        <v>1</v>
      </c>
      <c r="W1886">
        <v>0</v>
      </c>
      <c r="X1886" s="21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P1886" t="s">
        <v>541</v>
      </c>
    </row>
    <row r="1887" spans="1:42">
      <c r="A1887" s="1">
        <v>43838</v>
      </c>
      <c r="B1887">
        <v>3</v>
      </c>
      <c r="C1887">
        <v>243</v>
      </c>
      <c r="D1887">
        <v>14449</v>
      </c>
      <c r="E1887" t="s">
        <v>112</v>
      </c>
      <c r="F1887" t="s">
        <v>90</v>
      </c>
      <c r="G1887">
        <v>4</v>
      </c>
      <c r="H1887">
        <v>166</v>
      </c>
      <c r="I1887" s="25">
        <v>336</v>
      </c>
      <c r="K1887" t="s">
        <v>563</v>
      </c>
      <c r="L1887" t="s">
        <v>114</v>
      </c>
      <c r="M1887" t="s">
        <v>52</v>
      </c>
      <c r="N1887" t="s">
        <v>40</v>
      </c>
      <c r="O1887">
        <v>102</v>
      </c>
      <c r="Q1887">
        <f t="shared" si="62"/>
        <v>4</v>
      </c>
      <c r="S1887">
        <v>2</v>
      </c>
      <c r="T1887">
        <v>0</v>
      </c>
      <c r="U1887">
        <v>0</v>
      </c>
      <c r="V1887">
        <v>1</v>
      </c>
      <c r="W1887">
        <v>1</v>
      </c>
      <c r="X1887" s="21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1</v>
      </c>
      <c r="AG1887">
        <v>0</v>
      </c>
      <c r="AP1887" t="s">
        <v>541</v>
      </c>
    </row>
    <row r="1888" spans="1:42">
      <c r="A1888" s="1">
        <v>43838</v>
      </c>
      <c r="B1888">
        <v>3</v>
      </c>
      <c r="C1888">
        <v>243</v>
      </c>
      <c r="D1888">
        <v>14449</v>
      </c>
      <c r="E1888" t="s">
        <v>112</v>
      </c>
      <c r="F1888" t="s">
        <v>90</v>
      </c>
      <c r="G1888">
        <v>4</v>
      </c>
      <c r="H1888">
        <v>167</v>
      </c>
      <c r="I1888" s="25">
        <v>335</v>
      </c>
      <c r="K1888" t="s">
        <v>563</v>
      </c>
      <c r="L1888" t="s">
        <v>141</v>
      </c>
      <c r="M1888" t="s">
        <v>52</v>
      </c>
      <c r="N1888" t="s">
        <v>40</v>
      </c>
      <c r="O1888">
        <v>35</v>
      </c>
      <c r="Q1888">
        <f t="shared" si="62"/>
        <v>2</v>
      </c>
      <c r="S1888">
        <v>1</v>
      </c>
      <c r="T1888">
        <v>0</v>
      </c>
      <c r="U1888">
        <v>0</v>
      </c>
      <c r="V1888">
        <v>1</v>
      </c>
      <c r="W1888">
        <v>0</v>
      </c>
      <c r="X1888" s="21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P1888" t="s">
        <v>541</v>
      </c>
    </row>
    <row r="1889" spans="1:42">
      <c r="A1889" s="1">
        <v>43838</v>
      </c>
      <c r="B1889">
        <v>3</v>
      </c>
      <c r="C1889">
        <v>243</v>
      </c>
      <c r="D1889">
        <v>14449</v>
      </c>
      <c r="E1889" t="s">
        <v>112</v>
      </c>
      <c r="F1889" t="s">
        <v>90</v>
      </c>
      <c r="G1889">
        <v>4</v>
      </c>
      <c r="H1889">
        <v>168</v>
      </c>
      <c r="I1889" s="25">
        <v>334</v>
      </c>
      <c r="K1889" t="s">
        <v>563</v>
      </c>
      <c r="L1889" t="s">
        <v>114</v>
      </c>
      <c r="M1889" t="s">
        <v>52</v>
      </c>
      <c r="N1889" t="s">
        <v>40</v>
      </c>
      <c r="O1889">
        <v>27</v>
      </c>
      <c r="Q1889">
        <f t="shared" si="62"/>
        <v>2</v>
      </c>
      <c r="S1889">
        <v>1</v>
      </c>
      <c r="T1889">
        <v>0</v>
      </c>
      <c r="U1889">
        <v>0</v>
      </c>
      <c r="V1889">
        <v>1</v>
      </c>
      <c r="W1889">
        <v>0</v>
      </c>
      <c r="X1889" s="21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P1889" t="s">
        <v>541</v>
      </c>
    </row>
    <row r="1890" spans="1:42">
      <c r="A1890" s="1">
        <v>43838</v>
      </c>
      <c r="B1890">
        <v>3</v>
      </c>
      <c r="C1890">
        <v>243</v>
      </c>
      <c r="D1890">
        <v>14449</v>
      </c>
      <c r="E1890" t="s">
        <v>112</v>
      </c>
      <c r="F1890" t="s">
        <v>90</v>
      </c>
      <c r="G1890">
        <v>4</v>
      </c>
      <c r="H1890">
        <v>169</v>
      </c>
      <c r="I1890" s="25">
        <v>333</v>
      </c>
      <c r="K1890" t="s">
        <v>563</v>
      </c>
      <c r="L1890" t="s">
        <v>141</v>
      </c>
      <c r="M1890" t="s">
        <v>52</v>
      </c>
      <c r="N1890" t="s">
        <v>40</v>
      </c>
      <c r="O1890">
        <v>83</v>
      </c>
      <c r="Q1890">
        <f t="shared" si="62"/>
        <v>2</v>
      </c>
      <c r="S1890">
        <v>1</v>
      </c>
      <c r="T1890">
        <v>0</v>
      </c>
      <c r="U1890">
        <v>0</v>
      </c>
      <c r="V1890">
        <v>0</v>
      </c>
      <c r="W1890">
        <v>1</v>
      </c>
      <c r="X1890" s="21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L1890" t="s">
        <v>550</v>
      </c>
      <c r="AP1890" t="s">
        <v>541</v>
      </c>
    </row>
    <row r="1891" spans="1:42">
      <c r="A1891" s="1">
        <v>43838</v>
      </c>
      <c r="B1891">
        <v>3</v>
      </c>
      <c r="C1891">
        <v>243</v>
      </c>
      <c r="D1891">
        <v>14449</v>
      </c>
      <c r="E1891" t="s">
        <v>112</v>
      </c>
      <c r="F1891" t="s">
        <v>90</v>
      </c>
      <c r="G1891">
        <v>4</v>
      </c>
      <c r="H1891">
        <v>170</v>
      </c>
      <c r="I1891" s="25">
        <v>332</v>
      </c>
      <c r="K1891" t="s">
        <v>563</v>
      </c>
      <c r="L1891" t="s">
        <v>114</v>
      </c>
      <c r="M1891" t="s">
        <v>52</v>
      </c>
      <c r="N1891" t="s">
        <v>40</v>
      </c>
      <c r="O1891">
        <v>32</v>
      </c>
      <c r="Q1891">
        <f t="shared" si="62"/>
        <v>2</v>
      </c>
      <c r="S1891">
        <v>1</v>
      </c>
      <c r="T1891">
        <v>0</v>
      </c>
      <c r="U1891">
        <v>0</v>
      </c>
      <c r="V1891">
        <v>1</v>
      </c>
      <c r="W1891">
        <v>0</v>
      </c>
      <c r="X1891" s="2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P1891" t="s">
        <v>541</v>
      </c>
    </row>
    <row r="1892" spans="1:42">
      <c r="A1892" s="1">
        <v>43838</v>
      </c>
      <c r="B1892">
        <v>3</v>
      </c>
      <c r="C1892">
        <v>243</v>
      </c>
      <c r="D1892">
        <v>14449</v>
      </c>
      <c r="E1892" t="s">
        <v>112</v>
      </c>
      <c r="F1892" t="s">
        <v>90</v>
      </c>
      <c r="G1892">
        <v>4</v>
      </c>
      <c r="H1892">
        <v>171</v>
      </c>
      <c r="I1892" s="25">
        <v>331</v>
      </c>
      <c r="K1892" t="s">
        <v>563</v>
      </c>
      <c r="L1892" t="s">
        <v>564</v>
      </c>
      <c r="M1892" t="s">
        <v>52</v>
      </c>
      <c r="N1892" t="s">
        <v>40</v>
      </c>
      <c r="O1892">
        <v>71</v>
      </c>
      <c r="Q1892">
        <f t="shared" si="62"/>
        <v>2</v>
      </c>
      <c r="S1892">
        <v>1</v>
      </c>
      <c r="T1892">
        <v>0</v>
      </c>
      <c r="U1892">
        <v>0</v>
      </c>
      <c r="V1892">
        <v>1</v>
      </c>
      <c r="W1892">
        <v>0</v>
      </c>
      <c r="X1892" s="21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L1892" t="s">
        <v>550</v>
      </c>
      <c r="AP1892" t="s">
        <v>541</v>
      </c>
    </row>
    <row r="1893" spans="1:42">
      <c r="A1893" s="1">
        <v>43838</v>
      </c>
      <c r="B1893">
        <v>3</v>
      </c>
      <c r="C1893">
        <v>243</v>
      </c>
      <c r="D1893">
        <v>14449</v>
      </c>
      <c r="E1893" t="s">
        <v>112</v>
      </c>
      <c r="F1893" t="s">
        <v>90</v>
      </c>
      <c r="G1893">
        <v>4</v>
      </c>
      <c r="H1893">
        <v>172</v>
      </c>
      <c r="I1893" s="25">
        <v>328</v>
      </c>
      <c r="K1893" t="s">
        <v>563</v>
      </c>
      <c r="L1893" t="s">
        <v>114</v>
      </c>
      <c r="M1893" t="s">
        <v>52</v>
      </c>
      <c r="N1893" t="s">
        <v>40</v>
      </c>
      <c r="O1893">
        <v>68</v>
      </c>
      <c r="Q1893">
        <f t="shared" si="62"/>
        <v>4</v>
      </c>
      <c r="S1893">
        <v>2</v>
      </c>
      <c r="T1893">
        <v>0</v>
      </c>
      <c r="U1893">
        <v>0</v>
      </c>
      <c r="V1893">
        <v>2</v>
      </c>
      <c r="W1893">
        <v>0</v>
      </c>
      <c r="X1893" s="21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P1893" t="s">
        <v>541</v>
      </c>
    </row>
    <row r="1894" spans="1:42">
      <c r="A1894" s="1">
        <v>43838</v>
      </c>
      <c r="B1894">
        <v>3</v>
      </c>
      <c r="C1894">
        <v>243</v>
      </c>
      <c r="D1894">
        <v>14449</v>
      </c>
      <c r="E1894" t="s">
        <v>112</v>
      </c>
      <c r="F1894" t="s">
        <v>90</v>
      </c>
      <c r="G1894">
        <v>4</v>
      </c>
      <c r="H1894">
        <v>173</v>
      </c>
      <c r="I1894" s="25">
        <v>329</v>
      </c>
      <c r="K1894" t="s">
        <v>563</v>
      </c>
      <c r="L1894" t="s">
        <v>564</v>
      </c>
      <c r="M1894" t="s">
        <v>52</v>
      </c>
      <c r="N1894" t="s">
        <v>40</v>
      </c>
      <c r="O1894">
        <v>42</v>
      </c>
      <c r="Q1894">
        <f t="shared" si="62"/>
        <v>4</v>
      </c>
      <c r="S1894">
        <v>2</v>
      </c>
      <c r="T1894">
        <v>0</v>
      </c>
      <c r="U1894">
        <v>0</v>
      </c>
      <c r="V1894">
        <v>2</v>
      </c>
      <c r="W1894">
        <v>0</v>
      </c>
      <c r="X1894" s="21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P1894" t="s">
        <v>541</v>
      </c>
    </row>
    <row r="1895" spans="1:42">
      <c r="A1895" s="1">
        <v>43838</v>
      </c>
      <c r="B1895">
        <v>3</v>
      </c>
      <c r="C1895">
        <v>243</v>
      </c>
      <c r="D1895">
        <v>14449</v>
      </c>
      <c r="E1895" t="s">
        <v>112</v>
      </c>
      <c r="F1895" t="s">
        <v>90</v>
      </c>
      <c r="G1895">
        <v>4</v>
      </c>
      <c r="H1895">
        <v>174</v>
      </c>
      <c r="I1895" s="25">
        <v>328</v>
      </c>
      <c r="K1895" t="s">
        <v>563</v>
      </c>
      <c r="L1895" t="s">
        <v>114</v>
      </c>
      <c r="M1895" t="s">
        <v>52</v>
      </c>
      <c r="N1895" t="s">
        <v>40</v>
      </c>
      <c r="O1895">
        <v>58</v>
      </c>
      <c r="Q1895">
        <f t="shared" si="62"/>
        <v>4</v>
      </c>
      <c r="S1895">
        <v>2</v>
      </c>
      <c r="T1895">
        <v>0</v>
      </c>
      <c r="U1895">
        <v>0</v>
      </c>
      <c r="V1895">
        <v>2</v>
      </c>
      <c r="W1895">
        <v>0</v>
      </c>
      <c r="X1895" s="21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P1895" t="s">
        <v>541</v>
      </c>
    </row>
    <row r="1896" spans="1:42">
      <c r="A1896" s="1">
        <v>43838</v>
      </c>
      <c r="B1896">
        <v>3</v>
      </c>
      <c r="C1896">
        <v>243</v>
      </c>
      <c r="D1896">
        <v>14449</v>
      </c>
      <c r="E1896" t="s">
        <v>112</v>
      </c>
      <c r="F1896" t="s">
        <v>90</v>
      </c>
      <c r="G1896">
        <v>4</v>
      </c>
      <c r="H1896">
        <v>175</v>
      </c>
      <c r="I1896" s="25">
        <v>327</v>
      </c>
      <c r="K1896" t="s">
        <v>563</v>
      </c>
      <c r="L1896" t="s">
        <v>141</v>
      </c>
      <c r="M1896" t="s">
        <v>52</v>
      </c>
      <c r="N1896" t="s">
        <v>40</v>
      </c>
      <c r="O1896">
        <v>66</v>
      </c>
      <c r="Q1896">
        <f t="shared" si="62"/>
        <v>4</v>
      </c>
      <c r="S1896">
        <v>2</v>
      </c>
      <c r="T1896">
        <v>0</v>
      </c>
      <c r="U1896">
        <v>0</v>
      </c>
      <c r="V1896">
        <v>2</v>
      </c>
      <c r="W1896">
        <v>0</v>
      </c>
      <c r="X1896" s="21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P1896" t="s">
        <v>541</v>
      </c>
    </row>
    <row r="1897" spans="1:42">
      <c r="A1897" s="1">
        <v>43838</v>
      </c>
      <c r="B1897">
        <v>3</v>
      </c>
      <c r="C1897">
        <v>243</v>
      </c>
      <c r="D1897">
        <v>14449</v>
      </c>
      <c r="E1897" t="s">
        <v>112</v>
      </c>
      <c r="F1897" t="s">
        <v>90</v>
      </c>
      <c r="G1897">
        <v>4</v>
      </c>
      <c r="H1897">
        <v>176</v>
      </c>
      <c r="I1897" s="25">
        <v>326</v>
      </c>
      <c r="K1897" t="s">
        <v>563</v>
      </c>
      <c r="L1897" t="s">
        <v>114</v>
      </c>
      <c r="M1897" t="s">
        <v>52</v>
      </c>
      <c r="N1897" t="s">
        <v>40</v>
      </c>
      <c r="O1897">
        <v>70</v>
      </c>
      <c r="Q1897">
        <f t="shared" si="62"/>
        <v>4</v>
      </c>
      <c r="S1897">
        <v>2</v>
      </c>
      <c r="T1897">
        <v>0</v>
      </c>
      <c r="U1897">
        <v>0</v>
      </c>
      <c r="V1897">
        <v>2</v>
      </c>
      <c r="W1897">
        <v>0</v>
      </c>
      <c r="X1897" s="21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P1897" t="s">
        <v>541</v>
      </c>
    </row>
    <row r="1898" spans="1:42">
      <c r="A1898" s="1">
        <v>43838</v>
      </c>
      <c r="B1898">
        <v>3</v>
      </c>
      <c r="C1898">
        <v>243</v>
      </c>
      <c r="D1898">
        <v>14449</v>
      </c>
      <c r="E1898" t="s">
        <v>112</v>
      </c>
      <c r="F1898" t="s">
        <v>90</v>
      </c>
      <c r="G1898">
        <v>4</v>
      </c>
      <c r="H1898">
        <v>177</v>
      </c>
      <c r="I1898" s="25">
        <v>325</v>
      </c>
      <c r="K1898" t="s">
        <v>563</v>
      </c>
      <c r="L1898" t="s">
        <v>141</v>
      </c>
      <c r="M1898" t="s">
        <v>52</v>
      </c>
      <c r="N1898" t="s">
        <v>40</v>
      </c>
      <c r="O1898">
        <v>61</v>
      </c>
      <c r="Q1898">
        <f t="shared" si="62"/>
        <v>4</v>
      </c>
      <c r="S1898">
        <v>2</v>
      </c>
      <c r="T1898">
        <v>0</v>
      </c>
      <c r="U1898">
        <v>0</v>
      </c>
      <c r="V1898">
        <v>2</v>
      </c>
      <c r="W1898">
        <v>0</v>
      </c>
      <c r="X1898" s="21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P1898" t="s">
        <v>541</v>
      </c>
    </row>
    <row r="1899" spans="1:42">
      <c r="A1899" s="1">
        <v>43839</v>
      </c>
      <c r="B1899">
        <v>4</v>
      </c>
      <c r="C1899">
        <v>244</v>
      </c>
      <c r="D1899">
        <v>14449</v>
      </c>
      <c r="E1899" t="s">
        <v>112</v>
      </c>
      <c r="F1899" t="s">
        <v>90</v>
      </c>
      <c r="G1899">
        <v>4</v>
      </c>
      <c r="H1899">
        <v>1</v>
      </c>
      <c r="I1899" s="25">
        <v>401</v>
      </c>
      <c r="K1899" t="s">
        <v>565</v>
      </c>
      <c r="L1899" t="s">
        <v>141</v>
      </c>
      <c r="M1899" t="s">
        <v>52</v>
      </c>
      <c r="N1899" t="s">
        <v>40</v>
      </c>
      <c r="O1899">
        <v>169</v>
      </c>
      <c r="Q1899">
        <f t="shared" si="62"/>
        <v>5</v>
      </c>
      <c r="S1899">
        <v>0</v>
      </c>
      <c r="T1899">
        <v>0</v>
      </c>
      <c r="U1899">
        <v>0</v>
      </c>
      <c r="V1899">
        <v>3</v>
      </c>
      <c r="W1899">
        <v>2</v>
      </c>
      <c r="X1899" s="21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J1899" t="s">
        <v>51</v>
      </c>
      <c r="AK1899" t="s">
        <v>52</v>
      </c>
      <c r="AP1899" t="s">
        <v>541</v>
      </c>
    </row>
    <row r="1900" spans="1:42">
      <c r="A1900" s="1">
        <v>43839</v>
      </c>
      <c r="B1900">
        <v>4</v>
      </c>
      <c r="C1900">
        <v>244</v>
      </c>
      <c r="D1900">
        <v>14449</v>
      </c>
      <c r="E1900" t="s">
        <v>112</v>
      </c>
      <c r="F1900" t="s">
        <v>90</v>
      </c>
      <c r="G1900">
        <v>4</v>
      </c>
      <c r="H1900">
        <v>2</v>
      </c>
      <c r="I1900" s="25">
        <v>300</v>
      </c>
      <c r="K1900" t="s">
        <v>566</v>
      </c>
      <c r="L1900" t="s">
        <v>141</v>
      </c>
      <c r="M1900" t="s">
        <v>52</v>
      </c>
      <c r="N1900" t="s">
        <v>40</v>
      </c>
      <c r="O1900">
        <v>69</v>
      </c>
      <c r="Q1900">
        <f t="shared" si="62"/>
        <v>6</v>
      </c>
      <c r="S1900">
        <v>0</v>
      </c>
      <c r="T1900">
        <v>0</v>
      </c>
      <c r="U1900">
        <v>0</v>
      </c>
      <c r="V1900">
        <v>2</v>
      </c>
      <c r="W1900">
        <v>4</v>
      </c>
      <c r="X1900" s="21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J1900" t="s">
        <v>51</v>
      </c>
      <c r="AK1900" t="s">
        <v>52</v>
      </c>
      <c r="AP1900" t="s">
        <v>541</v>
      </c>
    </row>
    <row r="1901" spans="1:42">
      <c r="A1901" s="1">
        <v>43839</v>
      </c>
      <c r="B1901">
        <v>4</v>
      </c>
      <c r="C1901">
        <v>244</v>
      </c>
      <c r="D1901">
        <v>14449</v>
      </c>
      <c r="E1901" t="s">
        <v>112</v>
      </c>
      <c r="F1901" t="s">
        <v>90</v>
      </c>
      <c r="G1901">
        <v>4</v>
      </c>
      <c r="H1901">
        <v>3</v>
      </c>
      <c r="I1901" s="25">
        <v>600</v>
      </c>
      <c r="K1901" t="s">
        <v>56</v>
      </c>
      <c r="L1901" t="s">
        <v>141</v>
      </c>
      <c r="M1901" t="s">
        <v>52</v>
      </c>
      <c r="N1901" t="s">
        <v>40</v>
      </c>
      <c r="O1901">
        <v>74</v>
      </c>
      <c r="Q1901">
        <f t="shared" si="62"/>
        <v>3</v>
      </c>
      <c r="S1901">
        <v>0</v>
      </c>
      <c r="T1901">
        <v>0</v>
      </c>
      <c r="U1901">
        <v>3</v>
      </c>
      <c r="V1901">
        <v>0</v>
      </c>
      <c r="W1901">
        <v>0</v>
      </c>
      <c r="X1901" s="2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J1901" t="s">
        <v>51</v>
      </c>
      <c r="AK1901" t="s">
        <v>52</v>
      </c>
      <c r="AP1901" t="s">
        <v>541</v>
      </c>
    </row>
    <row r="1902" spans="1:42">
      <c r="A1902" s="1">
        <v>43839</v>
      </c>
      <c r="B1902">
        <v>4</v>
      </c>
      <c r="C1902">
        <v>244</v>
      </c>
      <c r="D1902">
        <v>14449</v>
      </c>
      <c r="E1902" t="s">
        <v>112</v>
      </c>
      <c r="F1902" t="s">
        <v>90</v>
      </c>
      <c r="G1902">
        <v>4</v>
      </c>
      <c r="H1902">
        <v>4</v>
      </c>
      <c r="I1902" s="25">
        <v>400</v>
      </c>
      <c r="K1902" t="s">
        <v>566</v>
      </c>
      <c r="L1902" t="s">
        <v>141</v>
      </c>
      <c r="M1902" t="s">
        <v>52</v>
      </c>
      <c r="N1902" t="s">
        <v>40</v>
      </c>
      <c r="O1902">
        <v>25</v>
      </c>
      <c r="Q1902">
        <f t="shared" si="62"/>
        <v>2</v>
      </c>
      <c r="S1902">
        <v>0</v>
      </c>
      <c r="T1902">
        <v>0</v>
      </c>
      <c r="U1902">
        <v>2</v>
      </c>
      <c r="V1902">
        <v>0</v>
      </c>
      <c r="W1902">
        <v>0</v>
      </c>
      <c r="X1902" s="21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J1902" t="s">
        <v>51</v>
      </c>
      <c r="AK1902" t="s">
        <v>52</v>
      </c>
      <c r="AP1902" t="s">
        <v>541</v>
      </c>
    </row>
    <row r="1903" spans="1:42">
      <c r="A1903" s="1">
        <v>43839</v>
      </c>
      <c r="B1903">
        <v>4</v>
      </c>
      <c r="C1903">
        <v>244</v>
      </c>
      <c r="D1903">
        <v>14449</v>
      </c>
      <c r="E1903" t="s">
        <v>112</v>
      </c>
      <c r="F1903" t="s">
        <v>90</v>
      </c>
      <c r="G1903">
        <v>4</v>
      </c>
      <c r="H1903">
        <v>5</v>
      </c>
      <c r="I1903" s="25">
        <v>600</v>
      </c>
      <c r="K1903" t="s">
        <v>567</v>
      </c>
      <c r="L1903" t="s">
        <v>141</v>
      </c>
      <c r="M1903" t="s">
        <v>52</v>
      </c>
      <c r="N1903" t="s">
        <v>40</v>
      </c>
      <c r="O1903">
        <v>250</v>
      </c>
      <c r="Q1903">
        <f t="shared" si="62"/>
        <v>8</v>
      </c>
      <c r="S1903">
        <v>0</v>
      </c>
      <c r="T1903">
        <v>0</v>
      </c>
      <c r="U1903">
        <v>0</v>
      </c>
      <c r="V1903">
        <v>0</v>
      </c>
      <c r="W1903">
        <v>8</v>
      </c>
      <c r="X1903" s="21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J1903" t="s">
        <v>51</v>
      </c>
      <c r="AK1903" t="s">
        <v>52</v>
      </c>
      <c r="AP1903" t="s">
        <v>541</v>
      </c>
    </row>
    <row r="1904" spans="1:42">
      <c r="A1904" s="1">
        <v>43839</v>
      </c>
      <c r="B1904">
        <v>4</v>
      </c>
      <c r="C1904">
        <v>244</v>
      </c>
      <c r="D1904">
        <v>14449</v>
      </c>
      <c r="E1904" t="s">
        <v>112</v>
      </c>
      <c r="F1904" t="s">
        <v>90</v>
      </c>
      <c r="G1904">
        <v>4</v>
      </c>
      <c r="H1904">
        <v>6</v>
      </c>
      <c r="I1904" s="25">
        <v>950</v>
      </c>
      <c r="K1904" t="s">
        <v>567</v>
      </c>
      <c r="L1904" t="s">
        <v>141</v>
      </c>
      <c r="M1904" t="s">
        <v>52</v>
      </c>
      <c r="N1904" t="s">
        <v>40</v>
      </c>
      <c r="O1904">
        <v>23</v>
      </c>
      <c r="Q1904">
        <f t="shared" si="62"/>
        <v>2</v>
      </c>
      <c r="S1904">
        <v>0</v>
      </c>
      <c r="T1904">
        <v>0</v>
      </c>
      <c r="U1904">
        <v>0</v>
      </c>
      <c r="V1904">
        <v>1</v>
      </c>
      <c r="W1904">
        <v>1</v>
      </c>
      <c r="X1904" s="21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J1904" t="s">
        <v>51</v>
      </c>
      <c r="AK1904" t="s">
        <v>52</v>
      </c>
      <c r="AP1904" t="s">
        <v>541</v>
      </c>
    </row>
    <row r="1905" spans="1:42">
      <c r="A1905" s="1">
        <v>43839</v>
      </c>
      <c r="B1905">
        <v>4</v>
      </c>
      <c r="C1905">
        <v>244</v>
      </c>
      <c r="D1905">
        <v>14449</v>
      </c>
      <c r="E1905" t="s">
        <v>112</v>
      </c>
      <c r="F1905" t="s">
        <v>90</v>
      </c>
      <c r="G1905">
        <v>4</v>
      </c>
      <c r="H1905">
        <v>7</v>
      </c>
      <c r="I1905" s="25">
        <v>811</v>
      </c>
      <c r="K1905" t="s">
        <v>568</v>
      </c>
      <c r="L1905" t="s">
        <v>141</v>
      </c>
      <c r="M1905" t="s">
        <v>52</v>
      </c>
      <c r="N1905" t="s">
        <v>40</v>
      </c>
      <c r="O1905">
        <v>41</v>
      </c>
      <c r="Q1905">
        <f t="shared" si="62"/>
        <v>2</v>
      </c>
      <c r="S1905">
        <v>0</v>
      </c>
      <c r="T1905">
        <v>0</v>
      </c>
      <c r="U1905">
        <v>0</v>
      </c>
      <c r="V1905">
        <v>0</v>
      </c>
      <c r="W1905">
        <v>2</v>
      </c>
      <c r="X1905" s="21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J1905" t="s">
        <v>51</v>
      </c>
      <c r="AK1905" t="s">
        <v>52</v>
      </c>
      <c r="AP1905" t="s">
        <v>541</v>
      </c>
    </row>
    <row r="1906" spans="1:42">
      <c r="A1906" s="1">
        <v>43839</v>
      </c>
      <c r="B1906">
        <v>4</v>
      </c>
      <c r="C1906">
        <v>244</v>
      </c>
      <c r="D1906">
        <v>14449</v>
      </c>
      <c r="E1906" t="s">
        <v>112</v>
      </c>
      <c r="F1906" t="s">
        <v>90</v>
      </c>
      <c r="G1906">
        <v>4</v>
      </c>
      <c r="H1906">
        <v>8</v>
      </c>
      <c r="I1906" s="25">
        <v>800</v>
      </c>
      <c r="K1906" t="s">
        <v>568</v>
      </c>
      <c r="L1906" t="s">
        <v>141</v>
      </c>
      <c r="M1906" t="s">
        <v>52</v>
      </c>
      <c r="N1906" t="s">
        <v>40</v>
      </c>
      <c r="O1906">
        <v>39</v>
      </c>
      <c r="Q1906">
        <f t="shared" si="62"/>
        <v>2</v>
      </c>
      <c r="S1906">
        <v>0</v>
      </c>
      <c r="T1906">
        <v>0</v>
      </c>
      <c r="U1906">
        <v>1</v>
      </c>
      <c r="V1906">
        <v>1</v>
      </c>
      <c r="W1906">
        <v>0</v>
      </c>
      <c r="X1906" s="21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J1906" t="s">
        <v>51</v>
      </c>
      <c r="AK1906" t="s">
        <v>52</v>
      </c>
      <c r="AP1906" t="s">
        <v>541</v>
      </c>
    </row>
    <row r="1907" spans="1:42">
      <c r="A1907" s="1">
        <v>43839</v>
      </c>
      <c r="B1907">
        <v>4</v>
      </c>
      <c r="C1907">
        <v>244</v>
      </c>
      <c r="D1907">
        <v>14449</v>
      </c>
      <c r="E1907" t="s">
        <v>112</v>
      </c>
      <c r="F1907" t="s">
        <v>90</v>
      </c>
      <c r="G1907">
        <v>4</v>
      </c>
      <c r="H1907">
        <v>9</v>
      </c>
      <c r="I1907" s="25">
        <v>810</v>
      </c>
      <c r="K1907" t="s">
        <v>569</v>
      </c>
      <c r="L1907" t="s">
        <v>141</v>
      </c>
      <c r="M1907" t="s">
        <v>52</v>
      </c>
      <c r="N1907" t="s">
        <v>40</v>
      </c>
      <c r="O1907">
        <v>24</v>
      </c>
      <c r="Q1907">
        <f t="shared" si="62"/>
        <v>1</v>
      </c>
      <c r="S1907">
        <v>0</v>
      </c>
      <c r="T1907">
        <v>0</v>
      </c>
      <c r="U1907">
        <v>0</v>
      </c>
      <c r="V1907">
        <v>1</v>
      </c>
      <c r="W1907">
        <v>0</v>
      </c>
      <c r="X1907" s="21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J1907" t="s">
        <v>51</v>
      </c>
      <c r="AK1907" t="s">
        <v>52</v>
      </c>
      <c r="AP1907" t="s">
        <v>541</v>
      </c>
    </row>
    <row r="1908" spans="1:42">
      <c r="A1908" s="1">
        <v>43839</v>
      </c>
      <c r="B1908">
        <v>4</v>
      </c>
      <c r="C1908">
        <v>244</v>
      </c>
      <c r="D1908">
        <v>14449</v>
      </c>
      <c r="E1908" t="s">
        <v>112</v>
      </c>
      <c r="F1908" t="s">
        <v>90</v>
      </c>
      <c r="G1908">
        <v>4</v>
      </c>
      <c r="H1908">
        <v>10</v>
      </c>
      <c r="I1908" s="25">
        <v>800</v>
      </c>
      <c r="K1908" t="s">
        <v>569</v>
      </c>
      <c r="L1908" t="s">
        <v>141</v>
      </c>
      <c r="M1908" t="s">
        <v>52</v>
      </c>
      <c r="N1908" t="s">
        <v>40</v>
      </c>
      <c r="O1908">
        <v>38</v>
      </c>
      <c r="Q1908">
        <f t="shared" si="62"/>
        <v>2</v>
      </c>
      <c r="S1908">
        <v>0</v>
      </c>
      <c r="T1908">
        <v>0</v>
      </c>
      <c r="U1908">
        <v>0</v>
      </c>
      <c r="V1908">
        <v>0</v>
      </c>
      <c r="W1908">
        <v>2</v>
      </c>
      <c r="X1908" s="21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J1908" t="s">
        <v>51</v>
      </c>
      <c r="AK1908" t="s">
        <v>52</v>
      </c>
      <c r="AP1908" t="s">
        <v>541</v>
      </c>
    </row>
    <row r="1909" spans="1:42">
      <c r="A1909" s="1">
        <v>43839</v>
      </c>
      <c r="B1909">
        <v>4</v>
      </c>
      <c r="C1909">
        <v>244</v>
      </c>
      <c r="D1909">
        <v>14449</v>
      </c>
      <c r="E1909" t="s">
        <v>112</v>
      </c>
      <c r="F1909" t="s">
        <v>90</v>
      </c>
      <c r="G1909">
        <v>4</v>
      </c>
      <c r="H1909">
        <v>11</v>
      </c>
      <c r="I1909" s="25">
        <v>800</v>
      </c>
      <c r="K1909" t="s">
        <v>569</v>
      </c>
      <c r="L1909" t="s">
        <v>141</v>
      </c>
      <c r="M1909" t="s">
        <v>52</v>
      </c>
      <c r="N1909" t="s">
        <v>40</v>
      </c>
      <c r="O1909">
        <v>118</v>
      </c>
      <c r="Q1909">
        <f t="shared" si="62"/>
        <v>7</v>
      </c>
      <c r="S1909">
        <v>0</v>
      </c>
      <c r="T1909">
        <v>0</v>
      </c>
      <c r="U1909">
        <v>0</v>
      </c>
      <c r="V1909">
        <v>0</v>
      </c>
      <c r="W1909">
        <v>7</v>
      </c>
      <c r="X1909" s="21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J1909" t="s">
        <v>51</v>
      </c>
      <c r="AK1909" t="s">
        <v>52</v>
      </c>
      <c r="AP1909" t="s">
        <v>541</v>
      </c>
    </row>
    <row r="1910" spans="1:42">
      <c r="A1910" s="1">
        <v>43839</v>
      </c>
      <c r="B1910">
        <v>4</v>
      </c>
      <c r="C1910">
        <v>244</v>
      </c>
      <c r="D1910">
        <v>14449</v>
      </c>
      <c r="E1910" t="s">
        <v>112</v>
      </c>
      <c r="F1910" t="s">
        <v>90</v>
      </c>
      <c r="G1910">
        <v>4</v>
      </c>
      <c r="H1910">
        <v>12</v>
      </c>
      <c r="I1910" s="25">
        <v>800</v>
      </c>
      <c r="K1910" t="s">
        <v>565</v>
      </c>
      <c r="L1910" t="s">
        <v>141</v>
      </c>
      <c r="M1910" t="s">
        <v>52</v>
      </c>
      <c r="N1910" t="s">
        <v>40</v>
      </c>
      <c r="O1910">
        <v>25</v>
      </c>
      <c r="Q1910">
        <f t="shared" si="62"/>
        <v>1</v>
      </c>
      <c r="S1910">
        <v>0</v>
      </c>
      <c r="T1910">
        <v>0</v>
      </c>
      <c r="U1910">
        <v>0</v>
      </c>
      <c r="V1910">
        <v>1</v>
      </c>
      <c r="W1910">
        <v>0</v>
      </c>
      <c r="X1910" s="21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J1910" t="s">
        <v>51</v>
      </c>
      <c r="AK1910" t="s">
        <v>52</v>
      </c>
      <c r="AP1910" t="s">
        <v>541</v>
      </c>
    </row>
    <row r="1911" spans="1:42">
      <c r="A1911" s="1">
        <v>43839</v>
      </c>
      <c r="B1911">
        <v>4</v>
      </c>
      <c r="C1911">
        <v>244</v>
      </c>
      <c r="D1911">
        <v>14449</v>
      </c>
      <c r="E1911" t="s">
        <v>112</v>
      </c>
      <c r="F1911" t="s">
        <v>90</v>
      </c>
      <c r="G1911">
        <v>4</v>
      </c>
      <c r="H1911">
        <v>13</v>
      </c>
      <c r="I1911" s="25">
        <v>849</v>
      </c>
      <c r="K1911" t="s">
        <v>565</v>
      </c>
      <c r="L1911" t="s">
        <v>141</v>
      </c>
      <c r="M1911" t="s">
        <v>52</v>
      </c>
      <c r="N1911" t="s">
        <v>40</v>
      </c>
      <c r="O1911">
        <v>44</v>
      </c>
      <c r="Q1911">
        <f t="shared" si="62"/>
        <v>3</v>
      </c>
      <c r="S1911">
        <v>0</v>
      </c>
      <c r="T1911">
        <v>0</v>
      </c>
      <c r="U1911">
        <v>0</v>
      </c>
      <c r="V1911">
        <v>1</v>
      </c>
      <c r="W1911">
        <v>2</v>
      </c>
      <c r="X1911" s="2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J1911" t="s">
        <v>51</v>
      </c>
      <c r="AK1911" t="s">
        <v>52</v>
      </c>
      <c r="AP1911" t="s">
        <v>541</v>
      </c>
    </row>
    <row r="1912" spans="1:42">
      <c r="A1912" s="1">
        <v>43839</v>
      </c>
      <c r="B1912">
        <v>4</v>
      </c>
      <c r="C1912">
        <v>244</v>
      </c>
      <c r="D1912">
        <v>14449</v>
      </c>
      <c r="E1912" t="s">
        <v>112</v>
      </c>
      <c r="F1912" t="s">
        <v>90</v>
      </c>
      <c r="G1912">
        <v>4</v>
      </c>
      <c r="H1912">
        <v>14</v>
      </c>
      <c r="I1912" s="25">
        <v>900</v>
      </c>
      <c r="K1912" t="s">
        <v>565</v>
      </c>
      <c r="L1912" t="s">
        <v>141</v>
      </c>
      <c r="M1912" t="s">
        <v>52</v>
      </c>
      <c r="N1912" t="s">
        <v>40</v>
      </c>
      <c r="O1912">
        <v>51</v>
      </c>
      <c r="Q1912">
        <f t="shared" si="62"/>
        <v>3</v>
      </c>
      <c r="S1912">
        <v>0</v>
      </c>
      <c r="T1912">
        <v>0</v>
      </c>
      <c r="U1912">
        <v>1</v>
      </c>
      <c r="V1912">
        <v>2</v>
      </c>
      <c r="W1912">
        <v>0</v>
      </c>
      <c r="X1912" s="21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J1912" t="s">
        <v>51</v>
      </c>
      <c r="AK1912" t="s">
        <v>52</v>
      </c>
      <c r="AP1912" t="s">
        <v>541</v>
      </c>
    </row>
    <row r="1913" spans="1:42">
      <c r="A1913" s="1">
        <v>43839</v>
      </c>
      <c r="B1913">
        <v>4</v>
      </c>
      <c r="C1913">
        <v>244</v>
      </c>
      <c r="D1913">
        <v>14449</v>
      </c>
      <c r="E1913" t="s">
        <v>112</v>
      </c>
      <c r="F1913" t="s">
        <v>90</v>
      </c>
      <c r="G1913">
        <v>4</v>
      </c>
      <c r="H1913">
        <v>15</v>
      </c>
      <c r="I1913" s="25">
        <v>900</v>
      </c>
      <c r="K1913" t="s">
        <v>565</v>
      </c>
      <c r="L1913" t="s">
        <v>141</v>
      </c>
      <c r="M1913" t="s">
        <v>52</v>
      </c>
      <c r="N1913" t="s">
        <v>40</v>
      </c>
      <c r="O1913">
        <v>98</v>
      </c>
      <c r="Q1913">
        <f t="shared" ref="Q1913:Q1976" si="63">SUM(S1913:AC1913)</f>
        <v>8</v>
      </c>
      <c r="S1913">
        <v>0</v>
      </c>
      <c r="T1913">
        <v>0</v>
      </c>
      <c r="U1913">
        <v>0</v>
      </c>
      <c r="V1913">
        <v>2</v>
      </c>
      <c r="W1913">
        <v>6</v>
      </c>
      <c r="X1913" s="21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J1913" t="s">
        <v>51</v>
      </c>
      <c r="AK1913" t="s">
        <v>52</v>
      </c>
      <c r="AP1913" t="s">
        <v>541</v>
      </c>
    </row>
    <row r="1914" spans="1:42">
      <c r="A1914" s="1">
        <v>43839</v>
      </c>
      <c r="B1914">
        <v>4</v>
      </c>
      <c r="C1914">
        <v>244</v>
      </c>
      <c r="D1914">
        <v>14449</v>
      </c>
      <c r="E1914" t="s">
        <v>112</v>
      </c>
      <c r="F1914" t="s">
        <v>90</v>
      </c>
      <c r="G1914">
        <v>4</v>
      </c>
      <c r="H1914">
        <v>16</v>
      </c>
      <c r="I1914" s="25">
        <v>1238</v>
      </c>
      <c r="K1914" t="s">
        <v>570</v>
      </c>
      <c r="L1914" t="s">
        <v>141</v>
      </c>
      <c r="M1914" t="s">
        <v>52</v>
      </c>
      <c r="N1914" t="s">
        <v>40</v>
      </c>
      <c r="O1914">
        <v>87</v>
      </c>
      <c r="Q1914">
        <f t="shared" si="63"/>
        <v>6</v>
      </c>
      <c r="S1914">
        <v>0</v>
      </c>
      <c r="T1914">
        <v>0</v>
      </c>
      <c r="U1914">
        <v>1</v>
      </c>
      <c r="V1914">
        <v>5</v>
      </c>
      <c r="W1914">
        <v>0</v>
      </c>
      <c r="X1914" s="21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J1914" t="s">
        <v>51</v>
      </c>
      <c r="AK1914" t="s">
        <v>52</v>
      </c>
      <c r="AP1914" t="s">
        <v>541</v>
      </c>
    </row>
    <row r="1915" spans="1:42">
      <c r="A1915" s="1">
        <v>43839</v>
      </c>
      <c r="B1915">
        <v>4</v>
      </c>
      <c r="C1915">
        <v>244</v>
      </c>
      <c r="D1915">
        <v>14449</v>
      </c>
      <c r="E1915" t="s">
        <v>112</v>
      </c>
      <c r="F1915" t="s">
        <v>90</v>
      </c>
      <c r="G1915">
        <v>4</v>
      </c>
      <c r="H1915">
        <v>17</v>
      </c>
      <c r="I1915" s="25">
        <v>1238</v>
      </c>
      <c r="K1915" t="s">
        <v>570</v>
      </c>
      <c r="L1915" t="s">
        <v>141</v>
      </c>
      <c r="M1915" t="s">
        <v>95</v>
      </c>
      <c r="N1915" t="s">
        <v>40</v>
      </c>
      <c r="O1915">
        <v>177</v>
      </c>
      <c r="Q1915">
        <f t="shared" si="63"/>
        <v>9</v>
      </c>
      <c r="S1915">
        <v>0</v>
      </c>
      <c r="T1915">
        <v>0</v>
      </c>
      <c r="U1915">
        <v>3</v>
      </c>
      <c r="V1915">
        <v>6</v>
      </c>
      <c r="W1915">
        <v>0</v>
      </c>
      <c r="X1915" s="21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J1915" t="s">
        <v>51</v>
      </c>
      <c r="AK1915" t="s">
        <v>52</v>
      </c>
      <c r="AP1915" t="s">
        <v>541</v>
      </c>
    </row>
    <row r="1916" spans="1:42">
      <c r="A1916" s="1">
        <v>43839</v>
      </c>
      <c r="B1916">
        <v>4</v>
      </c>
      <c r="C1916">
        <v>244</v>
      </c>
      <c r="D1916">
        <v>14449</v>
      </c>
      <c r="E1916" t="s">
        <v>112</v>
      </c>
      <c r="F1916" t="s">
        <v>90</v>
      </c>
      <c r="G1916">
        <v>4</v>
      </c>
      <c r="H1916">
        <v>18</v>
      </c>
      <c r="I1916" s="25">
        <v>1237</v>
      </c>
      <c r="K1916" t="s">
        <v>570</v>
      </c>
      <c r="L1916" t="s">
        <v>141</v>
      </c>
      <c r="M1916" t="s">
        <v>95</v>
      </c>
      <c r="N1916" t="s">
        <v>40</v>
      </c>
      <c r="O1916">
        <v>198</v>
      </c>
      <c r="Q1916">
        <f t="shared" si="63"/>
        <v>16</v>
      </c>
      <c r="S1916">
        <v>0</v>
      </c>
      <c r="T1916">
        <v>0</v>
      </c>
      <c r="U1916">
        <v>6</v>
      </c>
      <c r="V1916">
        <v>10</v>
      </c>
      <c r="W1916">
        <v>0</v>
      </c>
      <c r="X1916" s="21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J1916" t="s">
        <v>51</v>
      </c>
      <c r="AK1916" t="s">
        <v>52</v>
      </c>
      <c r="AP1916" t="s">
        <v>541</v>
      </c>
    </row>
    <row r="1917" spans="1:42">
      <c r="A1917" s="1">
        <v>43839</v>
      </c>
      <c r="B1917">
        <v>4</v>
      </c>
      <c r="C1917">
        <v>244</v>
      </c>
      <c r="D1917">
        <v>14449</v>
      </c>
      <c r="E1917" t="s">
        <v>112</v>
      </c>
      <c r="F1917" t="s">
        <v>90</v>
      </c>
      <c r="G1917">
        <v>4</v>
      </c>
      <c r="H1917">
        <v>19</v>
      </c>
      <c r="I1917" s="25">
        <v>1239</v>
      </c>
      <c r="K1917" t="s">
        <v>570</v>
      </c>
      <c r="L1917" t="s">
        <v>141</v>
      </c>
      <c r="M1917" t="s">
        <v>52</v>
      </c>
      <c r="N1917" t="s">
        <v>40</v>
      </c>
      <c r="O1917">
        <v>96</v>
      </c>
      <c r="Q1917">
        <f t="shared" si="63"/>
        <v>8</v>
      </c>
      <c r="S1917">
        <v>0</v>
      </c>
      <c r="T1917">
        <v>0</v>
      </c>
      <c r="U1917">
        <v>3</v>
      </c>
      <c r="V1917">
        <v>5</v>
      </c>
      <c r="W1917">
        <v>0</v>
      </c>
      <c r="X1917" s="21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J1917" t="s">
        <v>51</v>
      </c>
      <c r="AK1917" t="s">
        <v>52</v>
      </c>
      <c r="AP1917" t="s">
        <v>541</v>
      </c>
    </row>
    <row r="1918" spans="1:42">
      <c r="A1918" s="1">
        <v>43839</v>
      </c>
      <c r="B1918">
        <v>4</v>
      </c>
      <c r="C1918">
        <v>244</v>
      </c>
      <c r="D1918">
        <v>14449</v>
      </c>
      <c r="E1918" t="s">
        <v>112</v>
      </c>
      <c r="F1918" t="s">
        <v>90</v>
      </c>
      <c r="G1918">
        <v>4</v>
      </c>
      <c r="H1918">
        <v>20</v>
      </c>
      <c r="I1918" s="25">
        <v>1240</v>
      </c>
      <c r="K1918" t="s">
        <v>570</v>
      </c>
      <c r="L1918" t="s">
        <v>141</v>
      </c>
      <c r="M1918" t="s">
        <v>52</v>
      </c>
      <c r="N1918" t="s">
        <v>40</v>
      </c>
      <c r="O1918">
        <v>53</v>
      </c>
      <c r="Q1918">
        <f t="shared" si="63"/>
        <v>4</v>
      </c>
      <c r="S1918">
        <v>0</v>
      </c>
      <c r="T1918">
        <v>0</v>
      </c>
      <c r="U1918">
        <v>2</v>
      </c>
      <c r="V1918">
        <v>2</v>
      </c>
      <c r="W1918">
        <v>0</v>
      </c>
      <c r="X1918" s="21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J1918" t="s">
        <v>51</v>
      </c>
      <c r="AK1918" t="s">
        <v>52</v>
      </c>
      <c r="AP1918" t="s">
        <v>541</v>
      </c>
    </row>
    <row r="1919" spans="1:42">
      <c r="A1919" s="1">
        <v>43839</v>
      </c>
      <c r="B1919">
        <v>4</v>
      </c>
      <c r="C1919">
        <v>244</v>
      </c>
      <c r="D1919">
        <v>14449</v>
      </c>
      <c r="E1919" t="s">
        <v>112</v>
      </c>
      <c r="F1919" t="s">
        <v>90</v>
      </c>
      <c r="G1919">
        <v>4</v>
      </c>
      <c r="H1919">
        <v>21</v>
      </c>
      <c r="I1919" s="25">
        <v>1242</v>
      </c>
      <c r="K1919" t="s">
        <v>570</v>
      </c>
      <c r="L1919" t="s">
        <v>141</v>
      </c>
      <c r="M1919" t="s">
        <v>95</v>
      </c>
      <c r="N1919" t="s">
        <v>40</v>
      </c>
      <c r="O1919">
        <v>93</v>
      </c>
      <c r="Q1919">
        <f t="shared" si="63"/>
        <v>6</v>
      </c>
      <c r="S1919">
        <v>0</v>
      </c>
      <c r="T1919">
        <v>0</v>
      </c>
      <c r="U1919">
        <v>3</v>
      </c>
      <c r="V1919">
        <v>3</v>
      </c>
      <c r="W1919">
        <v>0</v>
      </c>
      <c r="X1919" s="21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J1919" t="s">
        <v>51</v>
      </c>
      <c r="AK1919" t="s">
        <v>52</v>
      </c>
      <c r="AP1919" t="s">
        <v>541</v>
      </c>
    </row>
    <row r="1920" spans="1:42">
      <c r="A1920" s="1">
        <v>43839</v>
      </c>
      <c r="B1920">
        <v>4</v>
      </c>
      <c r="C1920">
        <v>244</v>
      </c>
      <c r="D1920">
        <v>14449</v>
      </c>
      <c r="E1920" t="s">
        <v>112</v>
      </c>
      <c r="F1920" t="s">
        <v>90</v>
      </c>
      <c r="G1920">
        <v>4</v>
      </c>
      <c r="H1920">
        <v>22</v>
      </c>
      <c r="I1920" s="25">
        <v>1241</v>
      </c>
      <c r="K1920" t="s">
        <v>570</v>
      </c>
      <c r="L1920" t="s">
        <v>141</v>
      </c>
      <c r="M1920" t="s">
        <v>52</v>
      </c>
      <c r="N1920" t="s">
        <v>40</v>
      </c>
      <c r="O1920">
        <v>40</v>
      </c>
      <c r="Q1920">
        <f t="shared" si="63"/>
        <v>4</v>
      </c>
      <c r="S1920">
        <v>0</v>
      </c>
      <c r="T1920">
        <v>0</v>
      </c>
      <c r="U1920">
        <v>2</v>
      </c>
      <c r="V1920">
        <v>2</v>
      </c>
      <c r="W1920">
        <v>0</v>
      </c>
      <c r="X1920" s="21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J1920" t="s">
        <v>51</v>
      </c>
      <c r="AK1920" t="s">
        <v>52</v>
      </c>
      <c r="AP1920" t="s">
        <v>541</v>
      </c>
    </row>
    <row r="1921" spans="1:42">
      <c r="A1921" s="1">
        <v>43839</v>
      </c>
      <c r="B1921">
        <v>4</v>
      </c>
      <c r="C1921">
        <v>244</v>
      </c>
      <c r="D1921">
        <v>14449</v>
      </c>
      <c r="E1921" t="s">
        <v>112</v>
      </c>
      <c r="F1921" t="s">
        <v>90</v>
      </c>
      <c r="G1921">
        <v>4</v>
      </c>
      <c r="H1921">
        <v>23</v>
      </c>
      <c r="I1921" s="25">
        <v>1241</v>
      </c>
      <c r="K1921" t="s">
        <v>570</v>
      </c>
      <c r="L1921" t="s">
        <v>141</v>
      </c>
      <c r="M1921" t="s">
        <v>95</v>
      </c>
      <c r="N1921" t="s">
        <v>40</v>
      </c>
      <c r="O1921">
        <v>114</v>
      </c>
      <c r="Q1921">
        <f t="shared" si="63"/>
        <v>10</v>
      </c>
      <c r="S1921">
        <v>0</v>
      </c>
      <c r="T1921">
        <v>0</v>
      </c>
      <c r="U1921">
        <v>4</v>
      </c>
      <c r="V1921">
        <v>6</v>
      </c>
      <c r="W1921">
        <v>0</v>
      </c>
      <c r="X1921" s="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J1921" t="s">
        <v>51</v>
      </c>
      <c r="AK1921" t="s">
        <v>52</v>
      </c>
      <c r="AP1921" t="s">
        <v>541</v>
      </c>
    </row>
    <row r="1922" spans="1:42">
      <c r="A1922" s="1">
        <v>43839</v>
      </c>
      <c r="B1922">
        <v>4</v>
      </c>
      <c r="C1922">
        <v>244</v>
      </c>
      <c r="D1922">
        <v>14449</v>
      </c>
      <c r="E1922" t="s">
        <v>112</v>
      </c>
      <c r="F1922" t="s">
        <v>90</v>
      </c>
      <c r="G1922">
        <v>4</v>
      </c>
      <c r="H1922">
        <v>24</v>
      </c>
      <c r="I1922" s="25">
        <v>1243</v>
      </c>
      <c r="K1922" t="s">
        <v>570</v>
      </c>
      <c r="L1922" t="s">
        <v>141</v>
      </c>
      <c r="M1922" t="s">
        <v>52</v>
      </c>
      <c r="N1922" t="s">
        <v>40</v>
      </c>
      <c r="O1922">
        <v>49</v>
      </c>
      <c r="Q1922">
        <f t="shared" si="63"/>
        <v>4</v>
      </c>
      <c r="S1922">
        <v>0</v>
      </c>
      <c r="T1922">
        <v>0</v>
      </c>
      <c r="U1922">
        <v>2</v>
      </c>
      <c r="V1922">
        <v>2</v>
      </c>
      <c r="W1922">
        <v>0</v>
      </c>
      <c r="X1922" s="21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J1922" t="s">
        <v>51</v>
      </c>
      <c r="AK1922" t="s">
        <v>52</v>
      </c>
      <c r="AP1922" t="s">
        <v>541</v>
      </c>
    </row>
    <row r="1923" spans="1:42">
      <c r="A1923" s="1">
        <v>43839</v>
      </c>
      <c r="B1923">
        <v>4</v>
      </c>
      <c r="C1923">
        <v>244</v>
      </c>
      <c r="D1923">
        <v>14449</v>
      </c>
      <c r="E1923" t="s">
        <v>112</v>
      </c>
      <c r="F1923" t="s">
        <v>90</v>
      </c>
      <c r="G1923">
        <v>4</v>
      </c>
      <c r="H1923">
        <v>25</v>
      </c>
      <c r="I1923" s="25">
        <v>1244</v>
      </c>
      <c r="K1923" t="s">
        <v>570</v>
      </c>
      <c r="L1923" t="s">
        <v>141</v>
      </c>
      <c r="M1923" t="s">
        <v>95</v>
      </c>
      <c r="N1923" t="s">
        <v>40</v>
      </c>
      <c r="O1923">
        <v>118</v>
      </c>
      <c r="Q1923">
        <f t="shared" si="63"/>
        <v>9</v>
      </c>
      <c r="S1923">
        <v>0</v>
      </c>
      <c r="T1923">
        <v>0</v>
      </c>
      <c r="U1923">
        <v>3</v>
      </c>
      <c r="V1923">
        <v>6</v>
      </c>
      <c r="W1923">
        <v>0</v>
      </c>
      <c r="X1923" s="21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J1923" t="s">
        <v>51</v>
      </c>
      <c r="AK1923" t="s">
        <v>52</v>
      </c>
      <c r="AP1923" t="s">
        <v>541</v>
      </c>
    </row>
    <row r="1924" spans="1:42">
      <c r="A1924" s="1">
        <v>43839</v>
      </c>
      <c r="B1924">
        <v>4</v>
      </c>
      <c r="C1924">
        <v>244</v>
      </c>
      <c r="D1924">
        <v>14449</v>
      </c>
      <c r="E1924" t="s">
        <v>112</v>
      </c>
      <c r="F1924" t="s">
        <v>90</v>
      </c>
      <c r="G1924">
        <v>4</v>
      </c>
      <c r="H1924">
        <v>26</v>
      </c>
      <c r="I1924" s="25">
        <v>1245</v>
      </c>
      <c r="K1924" t="s">
        <v>570</v>
      </c>
      <c r="L1924" t="s">
        <v>141</v>
      </c>
      <c r="M1924" t="s">
        <v>95</v>
      </c>
      <c r="N1924" t="s">
        <v>40</v>
      </c>
      <c r="O1924">
        <v>142</v>
      </c>
      <c r="Q1924">
        <f t="shared" si="63"/>
        <v>8</v>
      </c>
      <c r="S1924">
        <v>0</v>
      </c>
      <c r="T1924">
        <v>0</v>
      </c>
      <c r="U1924">
        <v>2</v>
      </c>
      <c r="V1924">
        <v>6</v>
      </c>
      <c r="W1924">
        <v>0</v>
      </c>
      <c r="X1924" s="21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J1924" t="s">
        <v>51</v>
      </c>
      <c r="AK1924" t="s">
        <v>52</v>
      </c>
      <c r="AP1924" t="s">
        <v>541</v>
      </c>
    </row>
    <row r="1925" spans="1:42">
      <c r="A1925" s="1">
        <v>43839</v>
      </c>
      <c r="B1925">
        <v>4</v>
      </c>
      <c r="C1925">
        <v>244</v>
      </c>
      <c r="D1925">
        <v>14449</v>
      </c>
      <c r="E1925" t="s">
        <v>112</v>
      </c>
      <c r="F1925" t="s">
        <v>90</v>
      </c>
      <c r="G1925">
        <v>4</v>
      </c>
      <c r="H1925">
        <v>27</v>
      </c>
      <c r="I1925" s="25">
        <v>1245</v>
      </c>
      <c r="K1925" t="s">
        <v>570</v>
      </c>
      <c r="L1925" t="s">
        <v>141</v>
      </c>
      <c r="M1925" t="s">
        <v>95</v>
      </c>
      <c r="N1925" t="s">
        <v>40</v>
      </c>
      <c r="O1925">
        <v>132</v>
      </c>
      <c r="Q1925">
        <f t="shared" si="63"/>
        <v>10</v>
      </c>
      <c r="S1925">
        <v>0</v>
      </c>
      <c r="T1925">
        <v>0</v>
      </c>
      <c r="U1925">
        <v>0</v>
      </c>
      <c r="V1925">
        <v>10</v>
      </c>
      <c r="W1925">
        <v>0</v>
      </c>
      <c r="X1925" s="21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J1925" t="s">
        <v>51</v>
      </c>
      <c r="AK1925" t="s">
        <v>52</v>
      </c>
      <c r="AP1925" t="s">
        <v>541</v>
      </c>
    </row>
    <row r="1926" spans="1:42">
      <c r="A1926" s="1">
        <v>43839</v>
      </c>
      <c r="B1926">
        <v>4</v>
      </c>
      <c r="C1926">
        <v>244</v>
      </c>
      <c r="D1926">
        <v>14449</v>
      </c>
      <c r="E1926" t="s">
        <v>112</v>
      </c>
      <c r="F1926" t="s">
        <v>90</v>
      </c>
      <c r="G1926">
        <v>4</v>
      </c>
      <c r="H1926">
        <v>28</v>
      </c>
      <c r="I1926" s="25">
        <v>1227</v>
      </c>
      <c r="K1926" t="s">
        <v>570</v>
      </c>
      <c r="L1926" t="s">
        <v>141</v>
      </c>
      <c r="M1926" t="s">
        <v>95</v>
      </c>
      <c r="N1926" t="s">
        <v>40</v>
      </c>
      <c r="O1926">
        <v>136</v>
      </c>
      <c r="Q1926">
        <f t="shared" si="63"/>
        <v>10</v>
      </c>
      <c r="S1926">
        <v>0</v>
      </c>
      <c r="T1926">
        <v>0</v>
      </c>
      <c r="U1926">
        <v>3</v>
      </c>
      <c r="V1926">
        <v>7</v>
      </c>
      <c r="W1926">
        <v>0</v>
      </c>
      <c r="X1926" s="21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J1926" t="s">
        <v>51</v>
      </c>
      <c r="AK1926" t="s">
        <v>52</v>
      </c>
      <c r="AP1926" t="s">
        <v>541</v>
      </c>
    </row>
    <row r="1927" spans="1:42">
      <c r="A1927" s="1">
        <v>43839</v>
      </c>
      <c r="B1927">
        <v>4</v>
      </c>
      <c r="C1927">
        <v>244</v>
      </c>
      <c r="D1927">
        <v>14449</v>
      </c>
      <c r="E1927" t="s">
        <v>112</v>
      </c>
      <c r="F1927" t="s">
        <v>90</v>
      </c>
      <c r="G1927">
        <v>4</v>
      </c>
      <c r="H1927">
        <v>29</v>
      </c>
      <c r="I1927" s="25">
        <v>1234</v>
      </c>
      <c r="K1927" t="s">
        <v>570</v>
      </c>
      <c r="L1927" t="s">
        <v>141</v>
      </c>
      <c r="M1927" t="s">
        <v>95</v>
      </c>
      <c r="N1927" t="s">
        <v>40</v>
      </c>
      <c r="O1927">
        <v>185</v>
      </c>
      <c r="Q1927">
        <f t="shared" si="63"/>
        <v>11</v>
      </c>
      <c r="S1927">
        <v>0</v>
      </c>
      <c r="T1927">
        <v>0</v>
      </c>
      <c r="U1927">
        <v>2</v>
      </c>
      <c r="V1927">
        <v>9</v>
      </c>
      <c r="W1927">
        <v>0</v>
      </c>
      <c r="X1927" s="21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J1927" t="s">
        <v>51</v>
      </c>
      <c r="AK1927" t="s">
        <v>52</v>
      </c>
      <c r="AP1927" t="s">
        <v>541</v>
      </c>
    </row>
    <row r="1928" spans="1:42">
      <c r="A1928" s="1">
        <v>43839</v>
      </c>
      <c r="B1928">
        <v>4</v>
      </c>
      <c r="C1928">
        <v>244</v>
      </c>
      <c r="D1928">
        <v>14449</v>
      </c>
      <c r="E1928" t="s">
        <v>112</v>
      </c>
      <c r="F1928" t="s">
        <v>90</v>
      </c>
      <c r="G1928">
        <v>4</v>
      </c>
      <c r="H1928">
        <v>30</v>
      </c>
      <c r="I1928" s="25">
        <v>1232</v>
      </c>
      <c r="K1928" t="s">
        <v>570</v>
      </c>
      <c r="L1928" t="s">
        <v>141</v>
      </c>
      <c r="M1928" t="s">
        <v>95</v>
      </c>
      <c r="N1928" t="s">
        <v>40</v>
      </c>
      <c r="O1928">
        <v>177</v>
      </c>
      <c r="Q1928">
        <f t="shared" si="63"/>
        <v>12</v>
      </c>
      <c r="S1928">
        <v>0</v>
      </c>
      <c r="T1928">
        <v>0</v>
      </c>
      <c r="U1928">
        <v>0</v>
      </c>
      <c r="V1928">
        <v>12</v>
      </c>
      <c r="W1928">
        <v>0</v>
      </c>
      <c r="X1928" s="21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J1928" t="s">
        <v>51</v>
      </c>
      <c r="AK1928" t="s">
        <v>52</v>
      </c>
      <c r="AP1928" t="s">
        <v>541</v>
      </c>
    </row>
    <row r="1929" spans="1:42">
      <c r="A1929" s="1">
        <v>43839</v>
      </c>
      <c r="B1929">
        <v>4</v>
      </c>
      <c r="C1929">
        <v>244</v>
      </c>
      <c r="D1929">
        <v>14449</v>
      </c>
      <c r="E1929" t="s">
        <v>112</v>
      </c>
      <c r="F1929" t="s">
        <v>90</v>
      </c>
      <c r="G1929">
        <v>4</v>
      </c>
      <c r="H1929">
        <v>31</v>
      </c>
      <c r="I1929" s="25">
        <v>1228</v>
      </c>
      <c r="K1929" t="s">
        <v>570</v>
      </c>
      <c r="L1929" t="s">
        <v>141</v>
      </c>
      <c r="M1929" t="s">
        <v>95</v>
      </c>
      <c r="N1929" t="s">
        <v>40</v>
      </c>
      <c r="O1929">
        <v>123</v>
      </c>
      <c r="Q1929">
        <f t="shared" si="63"/>
        <v>8</v>
      </c>
      <c r="S1929">
        <v>0</v>
      </c>
      <c r="T1929">
        <v>0</v>
      </c>
      <c r="U1929">
        <v>2</v>
      </c>
      <c r="V1929">
        <v>6</v>
      </c>
      <c r="W1929">
        <v>0</v>
      </c>
      <c r="X1929" s="21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J1929" t="s">
        <v>51</v>
      </c>
      <c r="AK1929" t="s">
        <v>52</v>
      </c>
      <c r="AP1929" t="s">
        <v>541</v>
      </c>
    </row>
    <row r="1930" spans="1:42">
      <c r="A1930" s="1">
        <v>43839</v>
      </c>
      <c r="B1930">
        <v>4</v>
      </c>
      <c r="C1930">
        <v>244</v>
      </c>
      <c r="D1930">
        <v>14449</v>
      </c>
      <c r="E1930" t="s">
        <v>112</v>
      </c>
      <c r="F1930" t="s">
        <v>90</v>
      </c>
      <c r="G1930">
        <v>4</v>
      </c>
      <c r="H1930">
        <v>32</v>
      </c>
      <c r="I1930" s="25">
        <v>1226</v>
      </c>
      <c r="K1930" t="s">
        <v>571</v>
      </c>
      <c r="L1930" t="s">
        <v>141</v>
      </c>
      <c r="M1930" t="s">
        <v>52</v>
      </c>
      <c r="N1930" t="s">
        <v>40</v>
      </c>
      <c r="O1930">
        <v>60</v>
      </c>
      <c r="Q1930">
        <f t="shared" si="63"/>
        <v>5</v>
      </c>
      <c r="S1930">
        <v>0</v>
      </c>
      <c r="T1930">
        <v>0</v>
      </c>
      <c r="U1930">
        <v>2</v>
      </c>
      <c r="V1930">
        <v>3</v>
      </c>
      <c r="W1930">
        <v>0</v>
      </c>
      <c r="X1930" s="21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J1930" t="s">
        <v>51</v>
      </c>
      <c r="AK1930" t="s">
        <v>52</v>
      </c>
      <c r="AP1930" t="s">
        <v>541</v>
      </c>
    </row>
    <row r="1931" spans="1:42">
      <c r="A1931" s="1">
        <v>43839</v>
      </c>
      <c r="B1931">
        <v>4</v>
      </c>
      <c r="C1931">
        <v>244</v>
      </c>
      <c r="D1931">
        <v>14449</v>
      </c>
      <c r="E1931" t="s">
        <v>112</v>
      </c>
      <c r="F1931" t="s">
        <v>90</v>
      </c>
      <c r="G1931">
        <v>4</v>
      </c>
      <c r="H1931">
        <v>33</v>
      </c>
      <c r="I1931" s="25">
        <v>1214</v>
      </c>
      <c r="K1931" t="s">
        <v>571</v>
      </c>
      <c r="L1931" t="s">
        <v>141</v>
      </c>
      <c r="M1931" t="s">
        <v>52</v>
      </c>
      <c r="N1931" t="s">
        <v>40</v>
      </c>
      <c r="O1931">
        <v>34</v>
      </c>
      <c r="Q1931">
        <f t="shared" si="63"/>
        <v>2</v>
      </c>
      <c r="S1931">
        <v>0</v>
      </c>
      <c r="T1931">
        <v>0</v>
      </c>
      <c r="U1931">
        <v>1</v>
      </c>
      <c r="V1931">
        <v>1</v>
      </c>
      <c r="W1931">
        <v>0</v>
      </c>
      <c r="X1931" s="2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J1931" t="s">
        <v>51</v>
      </c>
      <c r="AK1931" t="s">
        <v>52</v>
      </c>
      <c r="AP1931" t="s">
        <v>541</v>
      </c>
    </row>
    <row r="1932" spans="1:42">
      <c r="A1932" s="1">
        <v>43839</v>
      </c>
      <c r="B1932">
        <v>4</v>
      </c>
      <c r="C1932">
        <v>244</v>
      </c>
      <c r="D1932">
        <v>14449</v>
      </c>
      <c r="E1932" t="s">
        <v>112</v>
      </c>
      <c r="F1932" t="s">
        <v>90</v>
      </c>
      <c r="G1932">
        <v>4</v>
      </c>
      <c r="H1932">
        <v>34</v>
      </c>
      <c r="I1932" s="25">
        <v>1205</v>
      </c>
      <c r="K1932" t="s">
        <v>571</v>
      </c>
      <c r="L1932" t="s">
        <v>141</v>
      </c>
      <c r="M1932" t="s">
        <v>52</v>
      </c>
      <c r="N1932" t="s">
        <v>40</v>
      </c>
      <c r="O1932">
        <v>35</v>
      </c>
      <c r="Q1932">
        <f t="shared" si="63"/>
        <v>3</v>
      </c>
      <c r="S1932">
        <v>0</v>
      </c>
      <c r="T1932">
        <v>0</v>
      </c>
      <c r="U1932">
        <v>3</v>
      </c>
      <c r="V1932">
        <v>0</v>
      </c>
      <c r="W1932">
        <v>0</v>
      </c>
      <c r="X1932" s="21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J1932" t="s">
        <v>51</v>
      </c>
      <c r="AK1932" t="s">
        <v>52</v>
      </c>
      <c r="AP1932" t="s">
        <v>541</v>
      </c>
    </row>
    <row r="1933" spans="1:42">
      <c r="A1933" s="1">
        <v>43839</v>
      </c>
      <c r="B1933">
        <v>4</v>
      </c>
      <c r="C1933">
        <v>244</v>
      </c>
      <c r="D1933">
        <v>14449</v>
      </c>
      <c r="E1933" t="s">
        <v>112</v>
      </c>
      <c r="F1933" t="s">
        <v>90</v>
      </c>
      <c r="G1933">
        <v>4</v>
      </c>
      <c r="H1933">
        <v>35</v>
      </c>
      <c r="I1933" s="25">
        <v>1205</v>
      </c>
      <c r="K1933" t="s">
        <v>571</v>
      </c>
      <c r="L1933" t="s">
        <v>141</v>
      </c>
      <c r="M1933" t="s">
        <v>52</v>
      </c>
      <c r="N1933" t="s">
        <v>40</v>
      </c>
      <c r="O1933">
        <v>54</v>
      </c>
      <c r="Q1933">
        <f t="shared" si="63"/>
        <v>4</v>
      </c>
      <c r="S1933">
        <v>0</v>
      </c>
      <c r="T1933">
        <v>0</v>
      </c>
      <c r="U1933">
        <v>2</v>
      </c>
      <c r="V1933">
        <v>2</v>
      </c>
      <c r="W1933">
        <v>0</v>
      </c>
      <c r="X1933" s="21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J1933" t="s">
        <v>51</v>
      </c>
      <c r="AK1933" t="s">
        <v>52</v>
      </c>
      <c r="AP1933" t="s">
        <v>541</v>
      </c>
    </row>
    <row r="1934" spans="1:42">
      <c r="A1934" s="1">
        <v>43839</v>
      </c>
      <c r="B1934">
        <v>4</v>
      </c>
      <c r="C1934">
        <v>244</v>
      </c>
      <c r="D1934">
        <v>14449</v>
      </c>
      <c r="E1934" t="s">
        <v>112</v>
      </c>
      <c r="F1934" t="s">
        <v>90</v>
      </c>
      <c r="G1934">
        <v>4</v>
      </c>
      <c r="H1934">
        <v>36</v>
      </c>
      <c r="I1934" s="25">
        <v>1203</v>
      </c>
      <c r="K1934" t="s">
        <v>571</v>
      </c>
      <c r="L1934" t="s">
        <v>141</v>
      </c>
      <c r="M1934" t="s">
        <v>52</v>
      </c>
      <c r="N1934" t="s">
        <v>40</v>
      </c>
      <c r="O1934">
        <v>77</v>
      </c>
      <c r="Q1934">
        <f t="shared" si="63"/>
        <v>6</v>
      </c>
      <c r="S1934">
        <v>0</v>
      </c>
      <c r="T1934">
        <v>0</v>
      </c>
      <c r="U1934">
        <v>4</v>
      </c>
      <c r="V1934">
        <v>2</v>
      </c>
      <c r="W1934">
        <v>0</v>
      </c>
      <c r="X1934" s="21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J1934" t="s">
        <v>51</v>
      </c>
      <c r="AK1934" t="s">
        <v>52</v>
      </c>
      <c r="AP1934" t="s">
        <v>541</v>
      </c>
    </row>
    <row r="1935" spans="1:42">
      <c r="A1935" s="1">
        <v>43839</v>
      </c>
      <c r="B1935">
        <v>4</v>
      </c>
      <c r="C1935">
        <v>244</v>
      </c>
      <c r="D1935">
        <v>14449</v>
      </c>
      <c r="E1935" t="s">
        <v>112</v>
      </c>
      <c r="F1935" t="s">
        <v>90</v>
      </c>
      <c r="G1935">
        <v>4</v>
      </c>
      <c r="H1935">
        <v>37</v>
      </c>
      <c r="I1935" s="25">
        <v>1201</v>
      </c>
      <c r="K1935" t="s">
        <v>571</v>
      </c>
      <c r="L1935" t="s">
        <v>141</v>
      </c>
      <c r="M1935" t="s">
        <v>52</v>
      </c>
      <c r="N1935" t="s">
        <v>40</v>
      </c>
      <c r="O1935">
        <v>39</v>
      </c>
      <c r="Q1935">
        <f t="shared" si="63"/>
        <v>4</v>
      </c>
      <c r="S1935">
        <v>0</v>
      </c>
      <c r="T1935">
        <v>0</v>
      </c>
      <c r="U1935">
        <v>3</v>
      </c>
      <c r="V1935">
        <v>1</v>
      </c>
      <c r="W1935">
        <v>0</v>
      </c>
      <c r="X1935" s="21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J1935" t="s">
        <v>51</v>
      </c>
      <c r="AK1935" t="s">
        <v>52</v>
      </c>
      <c r="AP1935" t="s">
        <v>541</v>
      </c>
    </row>
    <row r="1936" spans="1:42">
      <c r="A1936" s="1">
        <v>43839</v>
      </c>
      <c r="B1936">
        <v>4</v>
      </c>
      <c r="C1936">
        <v>244</v>
      </c>
      <c r="D1936">
        <v>14449</v>
      </c>
      <c r="E1936" t="s">
        <v>112</v>
      </c>
      <c r="F1936" t="s">
        <v>90</v>
      </c>
      <c r="G1936">
        <v>4</v>
      </c>
      <c r="H1936">
        <v>38</v>
      </c>
      <c r="I1936" s="25">
        <v>1220</v>
      </c>
      <c r="K1936" t="s">
        <v>571</v>
      </c>
      <c r="L1936" t="s">
        <v>141</v>
      </c>
      <c r="M1936" t="s">
        <v>95</v>
      </c>
      <c r="N1936" t="s">
        <v>40</v>
      </c>
      <c r="O1936">
        <v>51</v>
      </c>
      <c r="Q1936">
        <f t="shared" si="63"/>
        <v>7</v>
      </c>
      <c r="S1936">
        <v>0</v>
      </c>
      <c r="T1936">
        <v>0</v>
      </c>
      <c r="U1936">
        <v>4</v>
      </c>
      <c r="V1936">
        <v>3</v>
      </c>
      <c r="W1936">
        <v>0</v>
      </c>
      <c r="X1936" s="21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J1936" t="s">
        <v>51</v>
      </c>
      <c r="AK1936" t="s">
        <v>52</v>
      </c>
      <c r="AP1936" t="s">
        <v>541</v>
      </c>
    </row>
    <row r="1937" spans="1:42">
      <c r="A1937" s="1">
        <v>43839</v>
      </c>
      <c r="B1937">
        <v>4</v>
      </c>
      <c r="C1937">
        <v>244</v>
      </c>
      <c r="D1937">
        <v>14449</v>
      </c>
      <c r="E1937" t="s">
        <v>112</v>
      </c>
      <c r="F1937" t="s">
        <v>90</v>
      </c>
      <c r="G1937">
        <v>4</v>
      </c>
      <c r="H1937">
        <v>39</v>
      </c>
      <c r="I1937" s="25">
        <v>1201</v>
      </c>
      <c r="K1937" t="s">
        <v>571</v>
      </c>
      <c r="L1937" t="s">
        <v>141</v>
      </c>
      <c r="M1937" t="s">
        <v>52</v>
      </c>
      <c r="N1937" t="s">
        <v>40</v>
      </c>
      <c r="O1937">
        <v>26</v>
      </c>
      <c r="Q1937">
        <f t="shared" si="63"/>
        <v>3</v>
      </c>
      <c r="S1937">
        <v>0</v>
      </c>
      <c r="T1937">
        <v>0</v>
      </c>
      <c r="U1937">
        <v>1</v>
      </c>
      <c r="V1937">
        <v>2</v>
      </c>
      <c r="W1937">
        <v>0</v>
      </c>
      <c r="X1937" s="21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J1937" t="s">
        <v>51</v>
      </c>
      <c r="AK1937" t="s">
        <v>52</v>
      </c>
      <c r="AP1937" t="s">
        <v>541</v>
      </c>
    </row>
    <row r="1938" spans="1:42">
      <c r="A1938" s="1">
        <v>43839</v>
      </c>
      <c r="B1938">
        <v>4</v>
      </c>
      <c r="C1938">
        <v>244</v>
      </c>
      <c r="D1938">
        <v>14449</v>
      </c>
      <c r="E1938" t="s">
        <v>112</v>
      </c>
      <c r="F1938" t="s">
        <v>90</v>
      </c>
      <c r="G1938">
        <v>4</v>
      </c>
      <c r="H1938">
        <v>40</v>
      </c>
      <c r="I1938" s="25">
        <v>1201</v>
      </c>
      <c r="K1938" t="s">
        <v>571</v>
      </c>
      <c r="L1938" t="s">
        <v>141</v>
      </c>
      <c r="M1938" t="s">
        <v>52</v>
      </c>
      <c r="N1938" t="s">
        <v>40</v>
      </c>
      <c r="O1938">
        <v>54</v>
      </c>
      <c r="Q1938">
        <f t="shared" si="63"/>
        <v>4</v>
      </c>
      <c r="S1938">
        <v>0</v>
      </c>
      <c r="T1938">
        <v>0</v>
      </c>
      <c r="U1938">
        <v>2</v>
      </c>
      <c r="V1938">
        <v>2</v>
      </c>
      <c r="W1938">
        <v>0</v>
      </c>
      <c r="X1938" s="21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J1938" t="s">
        <v>51</v>
      </c>
      <c r="AK1938" t="s">
        <v>52</v>
      </c>
      <c r="AP1938" t="s">
        <v>541</v>
      </c>
    </row>
    <row r="1939" spans="1:42">
      <c r="A1939" s="1">
        <v>43839</v>
      </c>
      <c r="B1939">
        <v>4</v>
      </c>
      <c r="C1939">
        <v>244</v>
      </c>
      <c r="D1939">
        <v>14449</v>
      </c>
      <c r="E1939" t="s">
        <v>112</v>
      </c>
      <c r="F1939" t="s">
        <v>90</v>
      </c>
      <c r="G1939">
        <v>4</v>
      </c>
      <c r="H1939">
        <v>41</v>
      </c>
      <c r="I1939" s="25">
        <v>1220</v>
      </c>
      <c r="K1939" t="s">
        <v>571</v>
      </c>
      <c r="L1939" t="s">
        <v>141</v>
      </c>
      <c r="M1939" t="s">
        <v>52</v>
      </c>
      <c r="N1939" t="s">
        <v>40</v>
      </c>
      <c r="O1939">
        <v>65</v>
      </c>
      <c r="Q1939">
        <f t="shared" si="63"/>
        <v>3</v>
      </c>
      <c r="S1939">
        <v>0</v>
      </c>
      <c r="T1939">
        <v>0</v>
      </c>
      <c r="U1939">
        <v>1</v>
      </c>
      <c r="V1939">
        <v>2</v>
      </c>
      <c r="W1939">
        <v>0</v>
      </c>
      <c r="X1939" s="21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J1939" t="s">
        <v>51</v>
      </c>
      <c r="AK1939" t="s">
        <v>52</v>
      </c>
      <c r="AP1939" t="s">
        <v>541</v>
      </c>
    </row>
    <row r="1940" spans="1:42">
      <c r="A1940" s="1">
        <v>43839</v>
      </c>
      <c r="B1940">
        <v>4</v>
      </c>
      <c r="C1940">
        <v>244</v>
      </c>
      <c r="D1940">
        <v>14449</v>
      </c>
      <c r="E1940" t="s">
        <v>112</v>
      </c>
      <c r="F1940" t="s">
        <v>90</v>
      </c>
      <c r="G1940">
        <v>4</v>
      </c>
      <c r="H1940">
        <v>42</v>
      </c>
      <c r="I1940" s="25">
        <v>1220</v>
      </c>
      <c r="K1940" t="s">
        <v>571</v>
      </c>
      <c r="L1940" t="s">
        <v>141</v>
      </c>
      <c r="M1940" t="s">
        <v>52</v>
      </c>
      <c r="N1940" t="s">
        <v>40</v>
      </c>
      <c r="O1940">
        <v>28</v>
      </c>
      <c r="Q1940">
        <f t="shared" si="63"/>
        <v>2</v>
      </c>
      <c r="S1940">
        <v>0</v>
      </c>
      <c r="T1940">
        <v>0</v>
      </c>
      <c r="U1940">
        <v>1</v>
      </c>
      <c r="V1940">
        <v>1</v>
      </c>
      <c r="W1940">
        <v>0</v>
      </c>
      <c r="X1940" s="21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J1940" t="s">
        <v>51</v>
      </c>
      <c r="AK1940" t="s">
        <v>52</v>
      </c>
      <c r="AP1940" t="s">
        <v>541</v>
      </c>
    </row>
    <row r="1941" spans="1:42">
      <c r="A1941" s="1">
        <v>43839</v>
      </c>
      <c r="B1941">
        <v>4</v>
      </c>
      <c r="C1941">
        <v>244</v>
      </c>
      <c r="D1941">
        <v>14449</v>
      </c>
      <c r="E1941" t="s">
        <v>112</v>
      </c>
      <c r="F1941" t="s">
        <v>90</v>
      </c>
      <c r="G1941">
        <v>4</v>
      </c>
      <c r="H1941">
        <v>43</v>
      </c>
      <c r="I1941" s="25">
        <v>1220</v>
      </c>
      <c r="K1941" t="s">
        <v>571</v>
      </c>
      <c r="L1941" t="s">
        <v>141</v>
      </c>
      <c r="M1941" t="s">
        <v>52</v>
      </c>
      <c r="N1941" t="s">
        <v>40</v>
      </c>
      <c r="O1941">
        <v>40</v>
      </c>
      <c r="Q1941">
        <f t="shared" si="63"/>
        <v>3</v>
      </c>
      <c r="S1941">
        <v>0</v>
      </c>
      <c r="T1941">
        <v>0</v>
      </c>
      <c r="U1941">
        <v>1</v>
      </c>
      <c r="V1941">
        <v>2</v>
      </c>
      <c r="W1941">
        <v>0</v>
      </c>
      <c r="X1941" s="2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J1941" t="s">
        <v>51</v>
      </c>
      <c r="AK1941" t="s">
        <v>52</v>
      </c>
      <c r="AP1941" t="s">
        <v>541</v>
      </c>
    </row>
    <row r="1942" spans="1:42">
      <c r="A1942" s="1">
        <v>43839</v>
      </c>
      <c r="B1942">
        <v>4</v>
      </c>
      <c r="C1942">
        <v>244</v>
      </c>
      <c r="D1942">
        <v>14449</v>
      </c>
      <c r="E1942" t="s">
        <v>112</v>
      </c>
      <c r="F1942" t="s">
        <v>90</v>
      </c>
      <c r="G1942">
        <v>4</v>
      </c>
      <c r="H1942">
        <v>44</v>
      </c>
      <c r="I1942" s="25">
        <v>1224</v>
      </c>
      <c r="K1942" t="s">
        <v>571</v>
      </c>
      <c r="L1942" t="s">
        <v>141</v>
      </c>
      <c r="M1942" t="s">
        <v>52</v>
      </c>
      <c r="N1942" t="s">
        <v>40</v>
      </c>
      <c r="O1942">
        <v>67</v>
      </c>
      <c r="Q1942">
        <f t="shared" si="63"/>
        <v>5</v>
      </c>
      <c r="S1942">
        <v>0</v>
      </c>
      <c r="T1942">
        <v>0</v>
      </c>
      <c r="U1942">
        <v>2</v>
      </c>
      <c r="V1942">
        <v>3</v>
      </c>
      <c r="W1942">
        <v>0</v>
      </c>
      <c r="X1942" s="21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J1942" t="s">
        <v>51</v>
      </c>
      <c r="AK1942" t="s">
        <v>52</v>
      </c>
      <c r="AP1942" t="s">
        <v>541</v>
      </c>
    </row>
    <row r="1943" spans="1:42">
      <c r="A1943" s="1">
        <v>43839</v>
      </c>
      <c r="B1943">
        <v>4</v>
      </c>
      <c r="C1943">
        <v>244</v>
      </c>
      <c r="D1943">
        <v>14449</v>
      </c>
      <c r="E1943" t="s">
        <v>112</v>
      </c>
      <c r="F1943" t="s">
        <v>90</v>
      </c>
      <c r="G1943">
        <v>4</v>
      </c>
      <c r="H1943">
        <v>45</v>
      </c>
      <c r="I1943" s="25">
        <v>1224</v>
      </c>
      <c r="K1943" t="s">
        <v>571</v>
      </c>
      <c r="L1943" t="s">
        <v>141</v>
      </c>
      <c r="M1943" t="s">
        <v>52</v>
      </c>
      <c r="N1943" t="s">
        <v>40</v>
      </c>
      <c r="O1943">
        <v>48</v>
      </c>
      <c r="Q1943">
        <f t="shared" si="63"/>
        <v>4</v>
      </c>
      <c r="S1943">
        <v>0</v>
      </c>
      <c r="T1943">
        <v>0</v>
      </c>
      <c r="U1943">
        <v>1</v>
      </c>
      <c r="V1943">
        <v>3</v>
      </c>
      <c r="W1943">
        <v>0</v>
      </c>
      <c r="X1943" s="21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J1943" t="s">
        <v>51</v>
      </c>
      <c r="AK1943" t="s">
        <v>52</v>
      </c>
      <c r="AP1943" t="s">
        <v>541</v>
      </c>
    </row>
    <row r="1944" spans="1:42">
      <c r="A1944" s="1">
        <v>43839</v>
      </c>
      <c r="B1944">
        <v>4</v>
      </c>
      <c r="C1944">
        <v>244</v>
      </c>
      <c r="D1944">
        <v>14449</v>
      </c>
      <c r="E1944" t="s">
        <v>112</v>
      </c>
      <c r="F1944" t="s">
        <v>90</v>
      </c>
      <c r="G1944">
        <v>4</v>
      </c>
      <c r="H1944">
        <v>46</v>
      </c>
      <c r="I1944" s="25">
        <v>1226</v>
      </c>
      <c r="K1944" t="s">
        <v>571</v>
      </c>
      <c r="L1944" t="s">
        <v>141</v>
      </c>
      <c r="M1944" t="s">
        <v>52</v>
      </c>
      <c r="N1944" t="s">
        <v>40</v>
      </c>
      <c r="O1944">
        <v>27</v>
      </c>
      <c r="Q1944">
        <f t="shared" si="63"/>
        <v>2</v>
      </c>
      <c r="S1944">
        <v>0</v>
      </c>
      <c r="T1944">
        <v>0</v>
      </c>
      <c r="U1944">
        <v>1</v>
      </c>
      <c r="V1944">
        <v>1</v>
      </c>
      <c r="W1944">
        <v>0</v>
      </c>
      <c r="X1944" s="21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J1944" t="s">
        <v>51</v>
      </c>
      <c r="AK1944" t="s">
        <v>52</v>
      </c>
      <c r="AP1944" t="s">
        <v>541</v>
      </c>
    </row>
    <row r="1945" spans="1:42">
      <c r="A1945" s="1">
        <v>43839</v>
      </c>
      <c r="B1945">
        <v>4</v>
      </c>
      <c r="C1945">
        <v>244</v>
      </c>
      <c r="D1945">
        <v>14449</v>
      </c>
      <c r="E1945" t="s">
        <v>112</v>
      </c>
      <c r="F1945" t="s">
        <v>90</v>
      </c>
      <c r="G1945">
        <v>4</v>
      </c>
      <c r="H1945">
        <v>47</v>
      </c>
      <c r="I1945" s="25">
        <v>1226</v>
      </c>
      <c r="K1945" t="s">
        <v>571</v>
      </c>
      <c r="L1945" t="s">
        <v>141</v>
      </c>
      <c r="M1945" t="s">
        <v>52</v>
      </c>
      <c r="N1945" t="s">
        <v>40</v>
      </c>
      <c r="O1945">
        <v>22</v>
      </c>
      <c r="Q1945">
        <f t="shared" si="63"/>
        <v>2</v>
      </c>
      <c r="S1945">
        <v>0</v>
      </c>
      <c r="T1945">
        <v>0</v>
      </c>
      <c r="U1945">
        <v>1</v>
      </c>
      <c r="V1945">
        <v>1</v>
      </c>
      <c r="W1945">
        <v>0</v>
      </c>
      <c r="X1945" s="21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J1945" t="s">
        <v>51</v>
      </c>
      <c r="AK1945" t="s">
        <v>52</v>
      </c>
      <c r="AP1945" t="s">
        <v>541</v>
      </c>
    </row>
    <row r="1946" spans="1:42">
      <c r="A1946" s="1">
        <v>43839</v>
      </c>
      <c r="B1946">
        <v>4</v>
      </c>
      <c r="C1946">
        <v>244</v>
      </c>
      <c r="D1946">
        <v>14449</v>
      </c>
      <c r="E1946" t="s">
        <v>112</v>
      </c>
      <c r="F1946" t="s">
        <v>90</v>
      </c>
      <c r="G1946">
        <v>4</v>
      </c>
      <c r="H1946">
        <v>48</v>
      </c>
      <c r="I1946" s="25">
        <v>1226</v>
      </c>
      <c r="K1946" t="s">
        <v>571</v>
      </c>
      <c r="L1946" t="s">
        <v>141</v>
      </c>
      <c r="M1946" t="s">
        <v>52</v>
      </c>
      <c r="N1946" t="s">
        <v>40</v>
      </c>
      <c r="O1946">
        <v>42</v>
      </c>
      <c r="Q1946">
        <f t="shared" si="63"/>
        <v>4</v>
      </c>
      <c r="S1946">
        <v>0</v>
      </c>
      <c r="T1946">
        <v>0</v>
      </c>
      <c r="U1946">
        <v>2</v>
      </c>
      <c r="V1946">
        <v>2</v>
      </c>
      <c r="W1946">
        <v>0</v>
      </c>
      <c r="X1946" s="21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J1946" t="s">
        <v>51</v>
      </c>
      <c r="AK1946" t="s">
        <v>52</v>
      </c>
      <c r="AP1946" t="s">
        <v>541</v>
      </c>
    </row>
    <row r="1947" spans="1:42">
      <c r="A1947" s="1">
        <v>43839</v>
      </c>
      <c r="B1947">
        <v>4</v>
      </c>
      <c r="C1947">
        <v>244</v>
      </c>
      <c r="D1947">
        <v>14449</v>
      </c>
      <c r="E1947" t="s">
        <v>112</v>
      </c>
      <c r="F1947" t="s">
        <v>90</v>
      </c>
      <c r="G1947">
        <v>4</v>
      </c>
      <c r="H1947">
        <v>49</v>
      </c>
      <c r="I1947" s="25">
        <v>1226</v>
      </c>
      <c r="K1947" t="s">
        <v>571</v>
      </c>
      <c r="L1947" t="s">
        <v>141</v>
      </c>
      <c r="M1947" t="s">
        <v>52</v>
      </c>
      <c r="N1947" t="s">
        <v>40</v>
      </c>
      <c r="O1947">
        <v>48</v>
      </c>
      <c r="Q1947">
        <f t="shared" si="63"/>
        <v>6</v>
      </c>
      <c r="S1947">
        <v>0</v>
      </c>
      <c r="T1947">
        <v>0</v>
      </c>
      <c r="U1947">
        <v>3</v>
      </c>
      <c r="V1947">
        <v>3</v>
      </c>
      <c r="W1947">
        <v>0</v>
      </c>
      <c r="X1947" s="21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J1947" t="s">
        <v>51</v>
      </c>
      <c r="AK1947" t="s">
        <v>52</v>
      </c>
      <c r="AP1947" t="s">
        <v>541</v>
      </c>
    </row>
    <row r="1948" spans="1:42">
      <c r="A1948" s="1">
        <v>43839</v>
      </c>
      <c r="B1948">
        <v>4</v>
      </c>
      <c r="C1948">
        <v>244</v>
      </c>
      <c r="D1948">
        <v>14449</v>
      </c>
      <c r="E1948" t="s">
        <v>112</v>
      </c>
      <c r="F1948" t="s">
        <v>90</v>
      </c>
      <c r="G1948">
        <v>4</v>
      </c>
      <c r="H1948">
        <v>50</v>
      </c>
      <c r="I1948" s="25">
        <v>1202</v>
      </c>
      <c r="K1948" t="s">
        <v>548</v>
      </c>
      <c r="L1948" t="s">
        <v>141</v>
      </c>
      <c r="M1948" t="s">
        <v>52</v>
      </c>
      <c r="N1948" t="s">
        <v>40</v>
      </c>
      <c r="O1948">
        <v>243</v>
      </c>
      <c r="Q1948">
        <f t="shared" si="63"/>
        <v>11</v>
      </c>
      <c r="S1948">
        <v>0</v>
      </c>
      <c r="T1948">
        <v>0</v>
      </c>
      <c r="U1948">
        <v>3</v>
      </c>
      <c r="V1948">
        <v>5</v>
      </c>
      <c r="W1948">
        <v>3</v>
      </c>
      <c r="X1948" s="21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J1948" t="s">
        <v>51</v>
      </c>
      <c r="AK1948" t="s">
        <v>52</v>
      </c>
      <c r="AP1948" t="s">
        <v>541</v>
      </c>
    </row>
    <row r="1949" spans="1:42">
      <c r="A1949" s="1">
        <v>43839</v>
      </c>
      <c r="B1949">
        <v>4</v>
      </c>
      <c r="C1949">
        <v>244</v>
      </c>
      <c r="D1949">
        <v>14449</v>
      </c>
      <c r="E1949" t="s">
        <v>112</v>
      </c>
      <c r="F1949" t="s">
        <v>90</v>
      </c>
      <c r="G1949">
        <v>4</v>
      </c>
      <c r="H1949">
        <v>51</v>
      </c>
      <c r="I1949" s="25">
        <v>1204</v>
      </c>
      <c r="K1949" t="s">
        <v>548</v>
      </c>
      <c r="L1949" t="s">
        <v>141</v>
      </c>
      <c r="M1949" t="s">
        <v>52</v>
      </c>
      <c r="N1949" t="s">
        <v>40</v>
      </c>
      <c r="O1949">
        <v>56</v>
      </c>
      <c r="Q1949">
        <f t="shared" si="63"/>
        <v>5</v>
      </c>
      <c r="S1949">
        <v>0</v>
      </c>
      <c r="T1949">
        <v>0</v>
      </c>
      <c r="U1949">
        <v>3</v>
      </c>
      <c r="V1949">
        <v>2</v>
      </c>
      <c r="W1949">
        <v>0</v>
      </c>
      <c r="X1949" s="21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J1949" t="s">
        <v>51</v>
      </c>
      <c r="AK1949" t="s">
        <v>52</v>
      </c>
      <c r="AP1949" t="s">
        <v>541</v>
      </c>
    </row>
    <row r="1950" spans="1:42">
      <c r="A1950" s="1">
        <v>43839</v>
      </c>
      <c r="B1950">
        <v>4</v>
      </c>
      <c r="C1950">
        <v>244</v>
      </c>
      <c r="D1950">
        <v>14449</v>
      </c>
      <c r="E1950" t="s">
        <v>112</v>
      </c>
      <c r="F1950" t="s">
        <v>90</v>
      </c>
      <c r="G1950">
        <v>4</v>
      </c>
      <c r="H1950">
        <v>52</v>
      </c>
      <c r="I1950" s="25">
        <v>1206</v>
      </c>
      <c r="K1950" t="s">
        <v>548</v>
      </c>
      <c r="L1950" t="s">
        <v>141</v>
      </c>
      <c r="M1950" t="s">
        <v>52</v>
      </c>
      <c r="N1950" t="s">
        <v>40</v>
      </c>
      <c r="O1950">
        <v>40</v>
      </c>
      <c r="Q1950">
        <f t="shared" si="63"/>
        <v>4</v>
      </c>
      <c r="S1950">
        <v>0</v>
      </c>
      <c r="T1950">
        <v>0</v>
      </c>
      <c r="U1950">
        <v>2</v>
      </c>
      <c r="V1950">
        <v>2</v>
      </c>
      <c r="W1950">
        <v>0</v>
      </c>
      <c r="X1950" s="21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J1950" t="s">
        <v>51</v>
      </c>
      <c r="AK1950" t="s">
        <v>52</v>
      </c>
      <c r="AP1950" t="s">
        <v>541</v>
      </c>
    </row>
    <row r="1951" spans="1:42">
      <c r="A1951" s="1">
        <v>43839</v>
      </c>
      <c r="B1951">
        <v>4</v>
      </c>
      <c r="C1951">
        <v>244</v>
      </c>
      <c r="D1951">
        <v>14449</v>
      </c>
      <c r="E1951" t="s">
        <v>112</v>
      </c>
      <c r="F1951" t="s">
        <v>90</v>
      </c>
      <c r="G1951">
        <v>4</v>
      </c>
      <c r="H1951">
        <v>53</v>
      </c>
      <c r="I1951" s="25">
        <v>1219</v>
      </c>
      <c r="K1951" t="s">
        <v>548</v>
      </c>
      <c r="L1951" t="s">
        <v>141</v>
      </c>
      <c r="M1951" t="s">
        <v>52</v>
      </c>
      <c r="N1951" t="s">
        <v>40</v>
      </c>
      <c r="O1951">
        <v>78</v>
      </c>
      <c r="Q1951">
        <f t="shared" si="63"/>
        <v>5</v>
      </c>
      <c r="S1951">
        <v>0</v>
      </c>
      <c r="T1951">
        <v>0</v>
      </c>
      <c r="U1951">
        <v>3</v>
      </c>
      <c r="V1951">
        <v>2</v>
      </c>
      <c r="W1951">
        <v>0</v>
      </c>
      <c r="X1951" s="2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J1951" t="s">
        <v>51</v>
      </c>
      <c r="AK1951" t="s">
        <v>52</v>
      </c>
      <c r="AP1951" t="s">
        <v>541</v>
      </c>
    </row>
    <row r="1952" spans="1:42">
      <c r="A1952" s="1">
        <v>43839</v>
      </c>
      <c r="B1952">
        <v>4</v>
      </c>
      <c r="C1952">
        <v>244</v>
      </c>
      <c r="D1952">
        <v>14449</v>
      </c>
      <c r="E1952" t="s">
        <v>112</v>
      </c>
      <c r="F1952" t="s">
        <v>90</v>
      </c>
      <c r="G1952">
        <v>4</v>
      </c>
      <c r="H1952">
        <v>54</v>
      </c>
      <c r="I1952" s="25">
        <v>1219</v>
      </c>
      <c r="K1952" t="s">
        <v>548</v>
      </c>
      <c r="L1952" t="s">
        <v>141</v>
      </c>
      <c r="M1952" t="s">
        <v>95</v>
      </c>
      <c r="N1952" t="s">
        <v>40</v>
      </c>
      <c r="O1952">
        <v>75</v>
      </c>
      <c r="Q1952">
        <f t="shared" si="63"/>
        <v>10</v>
      </c>
      <c r="S1952">
        <v>0</v>
      </c>
      <c r="T1952">
        <v>0</v>
      </c>
      <c r="U1952">
        <v>3</v>
      </c>
      <c r="V1952">
        <v>7</v>
      </c>
      <c r="W1952">
        <v>0</v>
      </c>
      <c r="X1952" s="21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J1952" t="s">
        <v>51</v>
      </c>
      <c r="AK1952" t="s">
        <v>52</v>
      </c>
      <c r="AP1952" t="s">
        <v>541</v>
      </c>
    </row>
    <row r="1953" spans="1:42">
      <c r="A1953" s="1">
        <v>43839</v>
      </c>
      <c r="B1953">
        <v>4</v>
      </c>
      <c r="C1953">
        <v>244</v>
      </c>
      <c r="D1953">
        <v>14449</v>
      </c>
      <c r="E1953" t="s">
        <v>112</v>
      </c>
      <c r="F1953" t="s">
        <v>90</v>
      </c>
      <c r="G1953">
        <v>4</v>
      </c>
      <c r="H1953">
        <v>55</v>
      </c>
      <c r="I1953" s="25">
        <v>1208</v>
      </c>
      <c r="K1953" t="s">
        <v>548</v>
      </c>
      <c r="L1953" t="s">
        <v>141</v>
      </c>
      <c r="M1953" t="s">
        <v>52</v>
      </c>
      <c r="N1953" t="s">
        <v>40</v>
      </c>
      <c r="O1953">
        <v>54</v>
      </c>
      <c r="Q1953">
        <f t="shared" si="63"/>
        <v>4</v>
      </c>
      <c r="S1953">
        <v>0</v>
      </c>
      <c r="T1953">
        <v>0</v>
      </c>
      <c r="U1953">
        <v>1</v>
      </c>
      <c r="V1953">
        <v>3</v>
      </c>
      <c r="W1953">
        <v>0</v>
      </c>
      <c r="X1953" s="21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J1953" t="s">
        <v>51</v>
      </c>
      <c r="AK1953" t="s">
        <v>52</v>
      </c>
      <c r="AP1953" t="s">
        <v>541</v>
      </c>
    </row>
    <row r="1954" spans="1:42">
      <c r="A1954" s="1">
        <v>43839</v>
      </c>
      <c r="B1954">
        <v>4</v>
      </c>
      <c r="C1954">
        <v>244</v>
      </c>
      <c r="D1954">
        <v>14449</v>
      </c>
      <c r="E1954" t="s">
        <v>112</v>
      </c>
      <c r="F1954" t="s">
        <v>90</v>
      </c>
      <c r="G1954">
        <v>4</v>
      </c>
      <c r="H1954">
        <v>56</v>
      </c>
      <c r="I1954" s="25">
        <v>1221</v>
      </c>
      <c r="K1954" t="s">
        <v>548</v>
      </c>
      <c r="L1954" t="s">
        <v>141</v>
      </c>
      <c r="M1954" t="s">
        <v>52</v>
      </c>
      <c r="N1954" t="s">
        <v>40</v>
      </c>
      <c r="O1954">
        <v>88</v>
      </c>
      <c r="Q1954">
        <f t="shared" si="63"/>
        <v>6</v>
      </c>
      <c r="S1954">
        <v>0</v>
      </c>
      <c r="T1954">
        <v>0</v>
      </c>
      <c r="U1954">
        <v>1</v>
      </c>
      <c r="V1954">
        <v>5</v>
      </c>
      <c r="W1954">
        <v>0</v>
      </c>
      <c r="X1954" s="21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J1954" t="s">
        <v>51</v>
      </c>
      <c r="AK1954" t="s">
        <v>52</v>
      </c>
      <c r="AP1954" t="s">
        <v>541</v>
      </c>
    </row>
    <row r="1955" spans="1:42">
      <c r="A1955" s="1">
        <v>43839</v>
      </c>
      <c r="B1955">
        <v>4</v>
      </c>
      <c r="C1955">
        <v>244</v>
      </c>
      <c r="D1955">
        <v>14449</v>
      </c>
      <c r="E1955" t="s">
        <v>112</v>
      </c>
      <c r="F1955" t="s">
        <v>90</v>
      </c>
      <c r="G1955">
        <v>4</v>
      </c>
      <c r="H1955">
        <v>57</v>
      </c>
      <c r="I1955" s="25">
        <v>1221</v>
      </c>
      <c r="K1955" t="s">
        <v>548</v>
      </c>
      <c r="L1955" t="s">
        <v>141</v>
      </c>
      <c r="M1955" t="s">
        <v>52</v>
      </c>
      <c r="N1955" t="s">
        <v>40</v>
      </c>
      <c r="O1955">
        <v>39</v>
      </c>
      <c r="Q1955">
        <f t="shared" si="63"/>
        <v>2</v>
      </c>
      <c r="S1955">
        <v>0</v>
      </c>
      <c r="T1955">
        <v>0</v>
      </c>
      <c r="U1955">
        <v>1</v>
      </c>
      <c r="V1955">
        <v>1</v>
      </c>
      <c r="W1955">
        <v>0</v>
      </c>
      <c r="X1955" s="21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J1955" t="s">
        <v>51</v>
      </c>
      <c r="AK1955" t="s">
        <v>52</v>
      </c>
      <c r="AP1955" t="s">
        <v>541</v>
      </c>
    </row>
    <row r="1956" spans="1:42">
      <c r="A1956" s="1">
        <v>43839</v>
      </c>
      <c r="B1956">
        <v>4</v>
      </c>
      <c r="C1956">
        <v>244</v>
      </c>
      <c r="D1956">
        <v>14449</v>
      </c>
      <c r="E1956" t="s">
        <v>112</v>
      </c>
      <c r="F1956" t="s">
        <v>90</v>
      </c>
      <c r="G1956">
        <v>4</v>
      </c>
      <c r="H1956">
        <v>58</v>
      </c>
      <c r="I1956" s="25">
        <v>1223</v>
      </c>
      <c r="K1956" t="s">
        <v>548</v>
      </c>
      <c r="L1956" t="s">
        <v>141</v>
      </c>
      <c r="M1956" t="s">
        <v>52</v>
      </c>
      <c r="N1956" t="s">
        <v>40</v>
      </c>
      <c r="O1956">
        <v>73</v>
      </c>
      <c r="Q1956">
        <f t="shared" si="63"/>
        <v>5</v>
      </c>
      <c r="S1956">
        <v>0</v>
      </c>
      <c r="T1956">
        <v>0</v>
      </c>
      <c r="U1956">
        <v>3</v>
      </c>
      <c r="V1956">
        <v>2</v>
      </c>
      <c r="W1956">
        <v>0</v>
      </c>
      <c r="X1956" s="21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J1956" t="s">
        <v>51</v>
      </c>
      <c r="AK1956" t="s">
        <v>52</v>
      </c>
      <c r="AP1956" t="s">
        <v>541</v>
      </c>
    </row>
    <row r="1957" spans="1:42">
      <c r="A1957" s="1">
        <v>43839</v>
      </c>
      <c r="B1957">
        <v>4</v>
      </c>
      <c r="C1957">
        <v>244</v>
      </c>
      <c r="D1957">
        <v>14449</v>
      </c>
      <c r="E1957" t="s">
        <v>112</v>
      </c>
      <c r="F1957" t="s">
        <v>90</v>
      </c>
      <c r="G1957">
        <v>4</v>
      </c>
      <c r="H1957">
        <v>59</v>
      </c>
      <c r="I1957" s="25">
        <v>1221</v>
      </c>
      <c r="K1957" t="s">
        <v>548</v>
      </c>
      <c r="L1957" t="s">
        <v>141</v>
      </c>
      <c r="M1957" t="s">
        <v>52</v>
      </c>
      <c r="N1957" t="s">
        <v>40</v>
      </c>
      <c r="O1957">
        <v>59</v>
      </c>
      <c r="Q1957">
        <f t="shared" si="63"/>
        <v>6</v>
      </c>
      <c r="S1957">
        <v>0</v>
      </c>
      <c r="T1957">
        <v>0</v>
      </c>
      <c r="U1957">
        <v>3</v>
      </c>
      <c r="V1957">
        <v>3</v>
      </c>
      <c r="W1957">
        <v>0</v>
      </c>
      <c r="X1957" s="21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J1957" t="s">
        <v>51</v>
      </c>
      <c r="AK1957" t="s">
        <v>52</v>
      </c>
      <c r="AP1957" t="s">
        <v>541</v>
      </c>
    </row>
    <row r="1958" spans="1:42">
      <c r="A1958" s="1">
        <v>43839</v>
      </c>
      <c r="B1958">
        <v>4</v>
      </c>
      <c r="C1958">
        <v>244</v>
      </c>
      <c r="D1958">
        <v>14449</v>
      </c>
      <c r="E1958" t="s">
        <v>112</v>
      </c>
      <c r="F1958" t="s">
        <v>90</v>
      </c>
      <c r="G1958">
        <v>4</v>
      </c>
      <c r="H1958">
        <v>60</v>
      </c>
      <c r="I1958" s="25">
        <v>1250</v>
      </c>
      <c r="K1958" t="s">
        <v>572</v>
      </c>
      <c r="L1958" t="s">
        <v>141</v>
      </c>
      <c r="M1958" t="s">
        <v>52</v>
      </c>
      <c r="N1958" t="s">
        <v>40</v>
      </c>
      <c r="O1958">
        <v>28</v>
      </c>
      <c r="Q1958">
        <f t="shared" si="63"/>
        <v>2</v>
      </c>
      <c r="S1958">
        <v>0</v>
      </c>
      <c r="T1958">
        <v>0</v>
      </c>
      <c r="U1958">
        <v>1</v>
      </c>
      <c r="V1958">
        <v>1</v>
      </c>
      <c r="W1958">
        <v>0</v>
      </c>
      <c r="X1958" s="21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J1958" t="s">
        <v>51</v>
      </c>
      <c r="AK1958" t="s">
        <v>52</v>
      </c>
      <c r="AP1958" t="s">
        <v>541</v>
      </c>
    </row>
    <row r="1959" spans="1:42">
      <c r="A1959" s="1">
        <v>43839</v>
      </c>
      <c r="B1959">
        <v>4</v>
      </c>
      <c r="C1959">
        <v>244</v>
      </c>
      <c r="D1959">
        <v>14449</v>
      </c>
      <c r="E1959" t="s">
        <v>112</v>
      </c>
      <c r="F1959" t="s">
        <v>90</v>
      </c>
      <c r="G1959">
        <v>4</v>
      </c>
      <c r="H1959">
        <v>61</v>
      </c>
      <c r="I1959" s="25">
        <v>1250</v>
      </c>
      <c r="K1959" t="s">
        <v>572</v>
      </c>
      <c r="L1959" t="s">
        <v>141</v>
      </c>
      <c r="M1959" t="s">
        <v>52</v>
      </c>
      <c r="N1959" t="s">
        <v>40</v>
      </c>
      <c r="O1959">
        <v>39</v>
      </c>
      <c r="Q1959">
        <f t="shared" si="63"/>
        <v>4</v>
      </c>
      <c r="S1959">
        <v>0</v>
      </c>
      <c r="T1959">
        <v>0</v>
      </c>
      <c r="U1959">
        <v>2</v>
      </c>
      <c r="V1959">
        <v>2</v>
      </c>
      <c r="W1959">
        <v>0</v>
      </c>
      <c r="X1959" s="21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J1959" t="s">
        <v>51</v>
      </c>
      <c r="AK1959" t="s">
        <v>52</v>
      </c>
      <c r="AP1959" t="s">
        <v>541</v>
      </c>
    </row>
    <row r="1960" spans="1:42">
      <c r="A1960" s="1">
        <v>43839</v>
      </c>
      <c r="B1960">
        <v>4</v>
      </c>
      <c r="C1960">
        <v>244</v>
      </c>
      <c r="D1960">
        <v>14449</v>
      </c>
      <c r="E1960" t="s">
        <v>112</v>
      </c>
      <c r="F1960" t="s">
        <v>90</v>
      </c>
      <c r="G1960">
        <v>4</v>
      </c>
      <c r="H1960">
        <v>62</v>
      </c>
      <c r="I1960" s="25">
        <v>1247</v>
      </c>
      <c r="K1960" t="s">
        <v>572</v>
      </c>
      <c r="L1960" t="s">
        <v>141</v>
      </c>
      <c r="M1960" t="s">
        <v>52</v>
      </c>
      <c r="N1960" t="s">
        <v>40</v>
      </c>
      <c r="O1960">
        <v>55</v>
      </c>
      <c r="Q1960">
        <f t="shared" si="63"/>
        <v>5</v>
      </c>
      <c r="S1960">
        <v>0</v>
      </c>
      <c r="T1960">
        <v>0</v>
      </c>
      <c r="U1960">
        <v>3</v>
      </c>
      <c r="V1960">
        <v>2</v>
      </c>
      <c r="W1960">
        <v>0</v>
      </c>
      <c r="X1960" s="21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J1960" t="s">
        <v>51</v>
      </c>
      <c r="AK1960" t="s">
        <v>52</v>
      </c>
      <c r="AP1960" t="s">
        <v>541</v>
      </c>
    </row>
    <row r="1961" spans="1:42">
      <c r="A1961" s="1">
        <v>43839</v>
      </c>
      <c r="B1961">
        <v>4</v>
      </c>
      <c r="C1961">
        <v>244</v>
      </c>
      <c r="D1961">
        <v>14449</v>
      </c>
      <c r="E1961" t="s">
        <v>112</v>
      </c>
      <c r="F1961" t="s">
        <v>90</v>
      </c>
      <c r="G1961">
        <v>4</v>
      </c>
      <c r="H1961">
        <v>63</v>
      </c>
      <c r="I1961" s="25">
        <v>1247</v>
      </c>
      <c r="K1961" t="s">
        <v>572</v>
      </c>
      <c r="L1961" t="s">
        <v>141</v>
      </c>
      <c r="M1961" t="s">
        <v>52</v>
      </c>
      <c r="N1961" t="s">
        <v>40</v>
      </c>
      <c r="O1961">
        <v>49</v>
      </c>
      <c r="Q1961">
        <f t="shared" si="63"/>
        <v>4</v>
      </c>
      <c r="S1961">
        <v>0</v>
      </c>
      <c r="T1961">
        <v>0</v>
      </c>
      <c r="U1961">
        <v>2</v>
      </c>
      <c r="V1961">
        <v>2</v>
      </c>
      <c r="W1961">
        <v>0</v>
      </c>
      <c r="X1961" s="2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J1961" t="s">
        <v>51</v>
      </c>
      <c r="AK1961" t="s">
        <v>52</v>
      </c>
      <c r="AP1961" t="s">
        <v>541</v>
      </c>
    </row>
    <row r="1962" spans="1:42">
      <c r="A1962" s="1">
        <v>43839</v>
      </c>
      <c r="B1962">
        <v>4</v>
      </c>
      <c r="C1962">
        <v>244</v>
      </c>
      <c r="D1962">
        <v>14449</v>
      </c>
      <c r="E1962" t="s">
        <v>112</v>
      </c>
      <c r="F1962" t="s">
        <v>90</v>
      </c>
      <c r="G1962">
        <v>4</v>
      </c>
      <c r="H1962">
        <v>64</v>
      </c>
      <c r="I1962" s="25">
        <v>1252</v>
      </c>
      <c r="K1962" t="s">
        <v>572</v>
      </c>
      <c r="L1962" t="s">
        <v>141</v>
      </c>
      <c r="M1962" t="s">
        <v>52</v>
      </c>
      <c r="N1962" t="s">
        <v>40</v>
      </c>
      <c r="O1962">
        <v>56</v>
      </c>
      <c r="Q1962">
        <f t="shared" si="63"/>
        <v>4</v>
      </c>
      <c r="S1962">
        <v>0</v>
      </c>
      <c r="T1962">
        <v>0</v>
      </c>
      <c r="U1962">
        <v>2</v>
      </c>
      <c r="V1962">
        <v>2</v>
      </c>
      <c r="W1962">
        <v>0</v>
      </c>
      <c r="X1962" s="21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J1962" t="s">
        <v>51</v>
      </c>
      <c r="AK1962" t="s">
        <v>52</v>
      </c>
      <c r="AP1962" t="s">
        <v>541</v>
      </c>
    </row>
    <row r="1963" spans="1:42">
      <c r="A1963" s="1">
        <v>43839</v>
      </c>
      <c r="B1963">
        <v>4</v>
      </c>
      <c r="C1963">
        <v>244</v>
      </c>
      <c r="D1963">
        <v>14449</v>
      </c>
      <c r="E1963" t="s">
        <v>112</v>
      </c>
      <c r="F1963" t="s">
        <v>90</v>
      </c>
      <c r="G1963">
        <v>4</v>
      </c>
      <c r="H1963">
        <v>65</v>
      </c>
      <c r="I1963" s="25">
        <v>1252</v>
      </c>
      <c r="K1963" t="s">
        <v>572</v>
      </c>
      <c r="L1963" t="s">
        <v>141</v>
      </c>
      <c r="M1963" t="s">
        <v>52</v>
      </c>
      <c r="N1963" t="s">
        <v>40</v>
      </c>
      <c r="O1963">
        <v>78</v>
      </c>
      <c r="Q1963">
        <f t="shared" si="63"/>
        <v>7</v>
      </c>
      <c r="S1963">
        <v>0</v>
      </c>
      <c r="T1963">
        <v>0</v>
      </c>
      <c r="U1963">
        <v>3</v>
      </c>
      <c r="V1963">
        <v>4</v>
      </c>
      <c r="W1963">
        <v>0</v>
      </c>
      <c r="X1963" s="21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J1963" t="s">
        <v>51</v>
      </c>
      <c r="AK1963" t="s">
        <v>52</v>
      </c>
      <c r="AP1963" t="s">
        <v>541</v>
      </c>
    </row>
    <row r="1964" spans="1:42">
      <c r="A1964" s="1">
        <v>43839</v>
      </c>
      <c r="B1964">
        <v>4</v>
      </c>
      <c r="C1964">
        <v>244</v>
      </c>
      <c r="D1964">
        <v>14449</v>
      </c>
      <c r="E1964" t="s">
        <v>112</v>
      </c>
      <c r="F1964" t="s">
        <v>90</v>
      </c>
      <c r="G1964">
        <v>4</v>
      </c>
      <c r="H1964">
        <v>66</v>
      </c>
      <c r="I1964" s="25">
        <v>1253</v>
      </c>
      <c r="K1964" t="s">
        <v>572</v>
      </c>
      <c r="L1964" t="s">
        <v>141</v>
      </c>
      <c r="M1964" t="s">
        <v>52</v>
      </c>
      <c r="N1964" t="s">
        <v>40</v>
      </c>
      <c r="O1964">
        <v>81</v>
      </c>
      <c r="Q1964">
        <f t="shared" si="63"/>
        <v>6</v>
      </c>
      <c r="S1964">
        <v>0</v>
      </c>
      <c r="T1964">
        <v>0</v>
      </c>
      <c r="U1964">
        <v>3</v>
      </c>
      <c r="V1964">
        <v>3</v>
      </c>
      <c r="W1964">
        <v>0</v>
      </c>
      <c r="X1964" s="21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J1964" t="s">
        <v>51</v>
      </c>
      <c r="AK1964" t="s">
        <v>52</v>
      </c>
      <c r="AP1964" t="s">
        <v>541</v>
      </c>
    </row>
    <row r="1965" spans="1:42">
      <c r="A1965" s="1">
        <v>43839</v>
      </c>
      <c r="B1965">
        <v>4</v>
      </c>
      <c r="C1965">
        <v>244</v>
      </c>
      <c r="D1965">
        <v>14449</v>
      </c>
      <c r="E1965" t="s">
        <v>112</v>
      </c>
      <c r="F1965" t="s">
        <v>90</v>
      </c>
      <c r="G1965">
        <v>4</v>
      </c>
      <c r="H1965">
        <v>67</v>
      </c>
      <c r="I1965" s="25">
        <v>1253</v>
      </c>
      <c r="K1965" t="s">
        <v>572</v>
      </c>
      <c r="L1965" t="s">
        <v>141</v>
      </c>
      <c r="M1965" t="s">
        <v>52</v>
      </c>
      <c r="N1965" t="s">
        <v>40</v>
      </c>
      <c r="O1965">
        <v>16</v>
      </c>
      <c r="Q1965">
        <f t="shared" si="63"/>
        <v>1</v>
      </c>
      <c r="S1965">
        <v>0</v>
      </c>
      <c r="T1965">
        <v>0</v>
      </c>
      <c r="U1965">
        <v>0</v>
      </c>
      <c r="V1965">
        <v>1</v>
      </c>
      <c r="W1965">
        <v>0</v>
      </c>
      <c r="X1965" s="21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J1965" t="s">
        <v>51</v>
      </c>
      <c r="AK1965" t="s">
        <v>52</v>
      </c>
      <c r="AP1965" t="s">
        <v>541</v>
      </c>
    </row>
    <row r="1966" spans="1:42">
      <c r="A1966" s="1">
        <v>43839</v>
      </c>
      <c r="B1966">
        <v>4</v>
      </c>
      <c r="C1966">
        <v>244</v>
      </c>
      <c r="D1966">
        <v>14449</v>
      </c>
      <c r="E1966" t="s">
        <v>112</v>
      </c>
      <c r="F1966" t="s">
        <v>90</v>
      </c>
      <c r="G1966">
        <v>4</v>
      </c>
      <c r="H1966">
        <v>68</v>
      </c>
      <c r="I1966" s="25">
        <v>1253</v>
      </c>
      <c r="K1966" t="s">
        <v>572</v>
      </c>
      <c r="L1966" t="s">
        <v>141</v>
      </c>
      <c r="M1966" t="s">
        <v>52</v>
      </c>
      <c r="N1966" t="s">
        <v>40</v>
      </c>
      <c r="O1966">
        <v>71</v>
      </c>
      <c r="Q1966">
        <f t="shared" si="63"/>
        <v>4</v>
      </c>
      <c r="S1966">
        <v>0</v>
      </c>
      <c r="T1966">
        <v>0</v>
      </c>
      <c r="U1966">
        <v>2</v>
      </c>
      <c r="V1966">
        <v>2</v>
      </c>
      <c r="W1966">
        <v>0</v>
      </c>
      <c r="X1966" s="21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J1966" t="s">
        <v>51</v>
      </c>
      <c r="AK1966" t="s">
        <v>52</v>
      </c>
      <c r="AP1966" t="s">
        <v>541</v>
      </c>
    </row>
    <row r="1967" spans="1:42">
      <c r="A1967" s="1">
        <v>43839</v>
      </c>
      <c r="B1967">
        <v>4</v>
      </c>
      <c r="C1967">
        <v>244</v>
      </c>
      <c r="D1967">
        <v>14449</v>
      </c>
      <c r="E1967" t="s">
        <v>112</v>
      </c>
      <c r="F1967" t="s">
        <v>90</v>
      </c>
      <c r="G1967">
        <v>4</v>
      </c>
      <c r="H1967">
        <v>69</v>
      </c>
      <c r="I1967" s="25">
        <v>1251</v>
      </c>
      <c r="K1967" t="s">
        <v>572</v>
      </c>
      <c r="L1967" t="s">
        <v>141</v>
      </c>
      <c r="M1967" t="s">
        <v>52</v>
      </c>
      <c r="N1967" t="s">
        <v>40</v>
      </c>
      <c r="O1967">
        <v>81</v>
      </c>
      <c r="Q1967">
        <f t="shared" si="63"/>
        <v>4</v>
      </c>
      <c r="S1967">
        <v>0</v>
      </c>
      <c r="T1967">
        <v>0</v>
      </c>
      <c r="U1967">
        <v>2</v>
      </c>
      <c r="V1967">
        <v>2</v>
      </c>
      <c r="W1967">
        <v>0</v>
      </c>
      <c r="X1967" s="21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J1967" t="s">
        <v>51</v>
      </c>
      <c r="AK1967" t="s">
        <v>52</v>
      </c>
      <c r="AP1967" t="s">
        <v>541</v>
      </c>
    </row>
    <row r="1968" spans="1:42">
      <c r="A1968" s="1">
        <v>43839</v>
      </c>
      <c r="B1968">
        <v>4</v>
      </c>
      <c r="C1968">
        <v>244</v>
      </c>
      <c r="D1968">
        <v>14449</v>
      </c>
      <c r="E1968" t="s">
        <v>112</v>
      </c>
      <c r="F1968" t="s">
        <v>90</v>
      </c>
      <c r="G1968">
        <v>4</v>
      </c>
      <c r="H1968">
        <v>70</v>
      </c>
      <c r="I1968" s="25">
        <v>1147</v>
      </c>
      <c r="K1968" t="s">
        <v>573</v>
      </c>
      <c r="L1968" t="s">
        <v>141</v>
      </c>
      <c r="M1968" t="s">
        <v>52</v>
      </c>
      <c r="N1968" t="s">
        <v>40</v>
      </c>
      <c r="O1968">
        <v>81</v>
      </c>
      <c r="Q1968">
        <f t="shared" si="63"/>
        <v>6</v>
      </c>
      <c r="S1968">
        <v>0</v>
      </c>
      <c r="T1968">
        <v>0</v>
      </c>
      <c r="U1968">
        <v>3</v>
      </c>
      <c r="V1968">
        <v>3</v>
      </c>
      <c r="W1968">
        <v>0</v>
      </c>
      <c r="X1968" s="21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J1968" t="s">
        <v>51</v>
      </c>
      <c r="AK1968" t="s">
        <v>52</v>
      </c>
      <c r="AP1968" t="s">
        <v>541</v>
      </c>
    </row>
    <row r="1969" spans="1:42">
      <c r="A1969" s="1">
        <v>43839</v>
      </c>
      <c r="B1969">
        <v>4</v>
      </c>
      <c r="C1969">
        <v>244</v>
      </c>
      <c r="D1969">
        <v>14449</v>
      </c>
      <c r="E1969" t="s">
        <v>112</v>
      </c>
      <c r="F1969" t="s">
        <v>90</v>
      </c>
      <c r="G1969">
        <v>4</v>
      </c>
      <c r="H1969">
        <v>71</v>
      </c>
      <c r="I1969" s="25">
        <v>1147</v>
      </c>
      <c r="K1969" t="s">
        <v>573</v>
      </c>
      <c r="L1969" t="s">
        <v>141</v>
      </c>
      <c r="M1969" t="s">
        <v>52</v>
      </c>
      <c r="N1969" t="s">
        <v>40</v>
      </c>
      <c r="O1969">
        <v>69</v>
      </c>
      <c r="Q1969">
        <f t="shared" si="63"/>
        <v>4</v>
      </c>
      <c r="S1969">
        <v>0</v>
      </c>
      <c r="T1969">
        <v>0</v>
      </c>
      <c r="U1969">
        <v>2</v>
      </c>
      <c r="V1969">
        <v>2</v>
      </c>
      <c r="W1969">
        <v>0</v>
      </c>
      <c r="X1969" s="21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J1969" t="s">
        <v>51</v>
      </c>
      <c r="AK1969" t="s">
        <v>52</v>
      </c>
      <c r="AP1969" t="s">
        <v>541</v>
      </c>
    </row>
    <row r="1970" spans="1:42">
      <c r="A1970" s="1">
        <v>43839</v>
      </c>
      <c r="B1970">
        <v>4</v>
      </c>
      <c r="C1970">
        <v>244</v>
      </c>
      <c r="D1970">
        <v>14449</v>
      </c>
      <c r="E1970" t="s">
        <v>112</v>
      </c>
      <c r="F1970" t="s">
        <v>90</v>
      </c>
      <c r="G1970">
        <v>4</v>
      </c>
      <c r="H1970">
        <v>72</v>
      </c>
      <c r="I1970" s="25">
        <v>1147</v>
      </c>
      <c r="K1970" t="s">
        <v>573</v>
      </c>
      <c r="L1970" t="s">
        <v>141</v>
      </c>
      <c r="M1970" t="s">
        <v>95</v>
      </c>
      <c r="N1970" t="s">
        <v>40</v>
      </c>
      <c r="O1970">
        <v>107</v>
      </c>
      <c r="Q1970">
        <f t="shared" si="63"/>
        <v>6</v>
      </c>
      <c r="S1970">
        <v>0</v>
      </c>
      <c r="T1970">
        <v>0</v>
      </c>
      <c r="U1970">
        <v>3</v>
      </c>
      <c r="V1970">
        <v>3</v>
      </c>
      <c r="W1970">
        <v>0</v>
      </c>
      <c r="X1970" s="21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J1970" t="s">
        <v>51</v>
      </c>
      <c r="AK1970" t="s">
        <v>52</v>
      </c>
      <c r="AP1970" t="s">
        <v>541</v>
      </c>
    </row>
    <row r="1971" spans="1:42">
      <c r="A1971" s="1">
        <v>43839</v>
      </c>
      <c r="B1971">
        <v>4</v>
      </c>
      <c r="C1971">
        <v>244</v>
      </c>
      <c r="D1971">
        <v>14449</v>
      </c>
      <c r="E1971" t="s">
        <v>112</v>
      </c>
      <c r="F1971" t="s">
        <v>90</v>
      </c>
      <c r="G1971">
        <v>4</v>
      </c>
      <c r="H1971">
        <v>73</v>
      </c>
      <c r="I1971" s="25">
        <v>1145</v>
      </c>
      <c r="K1971" t="s">
        <v>573</v>
      </c>
      <c r="L1971" t="s">
        <v>141</v>
      </c>
      <c r="M1971" t="s">
        <v>52</v>
      </c>
      <c r="N1971" t="s">
        <v>40</v>
      </c>
      <c r="O1971">
        <v>111</v>
      </c>
      <c r="Q1971">
        <f t="shared" si="63"/>
        <v>9</v>
      </c>
      <c r="S1971">
        <v>0</v>
      </c>
      <c r="T1971">
        <v>0</v>
      </c>
      <c r="U1971">
        <v>3</v>
      </c>
      <c r="V1971">
        <v>6</v>
      </c>
      <c r="W1971">
        <v>0</v>
      </c>
      <c r="X1971" s="2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J1971" t="s">
        <v>51</v>
      </c>
      <c r="AK1971" t="s">
        <v>52</v>
      </c>
      <c r="AP1971" t="s">
        <v>541</v>
      </c>
    </row>
    <row r="1972" spans="1:42">
      <c r="A1972" s="1">
        <v>43839</v>
      </c>
      <c r="B1972">
        <v>4</v>
      </c>
      <c r="C1972">
        <v>244</v>
      </c>
      <c r="D1972">
        <v>14449</v>
      </c>
      <c r="E1972" t="s">
        <v>112</v>
      </c>
      <c r="F1972" t="s">
        <v>90</v>
      </c>
      <c r="G1972">
        <v>4</v>
      </c>
      <c r="H1972">
        <v>74</v>
      </c>
      <c r="I1972" s="25">
        <v>1141</v>
      </c>
      <c r="K1972" t="s">
        <v>573</v>
      </c>
      <c r="L1972" t="s">
        <v>141</v>
      </c>
      <c r="M1972" t="s">
        <v>95</v>
      </c>
      <c r="N1972" t="s">
        <v>40</v>
      </c>
      <c r="O1972">
        <v>355</v>
      </c>
      <c r="Q1972">
        <f t="shared" si="63"/>
        <v>16</v>
      </c>
      <c r="S1972">
        <v>0</v>
      </c>
      <c r="T1972">
        <v>0</v>
      </c>
      <c r="U1972">
        <v>6</v>
      </c>
      <c r="V1972">
        <v>10</v>
      </c>
      <c r="W1972">
        <v>0</v>
      </c>
      <c r="X1972" s="21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J1972" t="s">
        <v>51</v>
      </c>
      <c r="AK1972" t="s">
        <v>52</v>
      </c>
      <c r="AP1972" t="s">
        <v>541</v>
      </c>
    </row>
    <row r="1973" spans="1:42">
      <c r="A1973" s="1">
        <v>43839</v>
      </c>
      <c r="B1973">
        <v>4</v>
      </c>
      <c r="C1973">
        <v>244</v>
      </c>
      <c r="D1973">
        <v>14449</v>
      </c>
      <c r="E1973" t="s">
        <v>112</v>
      </c>
      <c r="F1973" t="s">
        <v>90</v>
      </c>
      <c r="G1973">
        <v>4</v>
      </c>
      <c r="H1973">
        <v>75</v>
      </c>
      <c r="I1973" s="25">
        <v>1139</v>
      </c>
      <c r="K1973" t="s">
        <v>573</v>
      </c>
      <c r="L1973" t="s">
        <v>141</v>
      </c>
      <c r="M1973" t="s">
        <v>52</v>
      </c>
      <c r="N1973" t="s">
        <v>40</v>
      </c>
      <c r="O1973">
        <v>167</v>
      </c>
      <c r="Q1973">
        <f t="shared" si="63"/>
        <v>8</v>
      </c>
      <c r="S1973">
        <v>0</v>
      </c>
      <c r="T1973">
        <v>0</v>
      </c>
      <c r="U1973">
        <v>4</v>
      </c>
      <c r="V1973">
        <v>4</v>
      </c>
      <c r="W1973">
        <v>0</v>
      </c>
      <c r="X1973" s="21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J1973" t="s">
        <v>51</v>
      </c>
      <c r="AK1973" t="s">
        <v>52</v>
      </c>
      <c r="AP1973" t="s">
        <v>541</v>
      </c>
    </row>
    <row r="1974" spans="1:42">
      <c r="A1974" s="1">
        <v>43839</v>
      </c>
      <c r="B1974">
        <v>4</v>
      </c>
      <c r="C1974">
        <v>244</v>
      </c>
      <c r="D1974">
        <v>14449</v>
      </c>
      <c r="E1974" t="s">
        <v>112</v>
      </c>
      <c r="F1974" t="s">
        <v>90</v>
      </c>
      <c r="G1974">
        <v>4</v>
      </c>
      <c r="H1974">
        <v>76</v>
      </c>
      <c r="I1974" s="25">
        <v>1139</v>
      </c>
      <c r="K1974" t="s">
        <v>573</v>
      </c>
      <c r="L1974" t="s">
        <v>141</v>
      </c>
      <c r="M1974" t="s">
        <v>52</v>
      </c>
      <c r="N1974" t="s">
        <v>40</v>
      </c>
      <c r="O1974">
        <v>79</v>
      </c>
      <c r="Q1974">
        <f t="shared" si="63"/>
        <v>4</v>
      </c>
      <c r="S1974">
        <v>0</v>
      </c>
      <c r="T1974">
        <v>0</v>
      </c>
      <c r="U1974">
        <v>2</v>
      </c>
      <c r="V1974">
        <v>2</v>
      </c>
      <c r="W1974">
        <v>0</v>
      </c>
      <c r="X1974" s="21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J1974" t="s">
        <v>51</v>
      </c>
      <c r="AK1974" t="s">
        <v>52</v>
      </c>
      <c r="AP1974" t="s">
        <v>541</v>
      </c>
    </row>
    <row r="1975" spans="1:42">
      <c r="A1975" s="1">
        <v>43839</v>
      </c>
      <c r="B1975">
        <v>4</v>
      </c>
      <c r="C1975">
        <v>244</v>
      </c>
      <c r="D1975">
        <v>14449</v>
      </c>
      <c r="E1975" t="s">
        <v>112</v>
      </c>
      <c r="F1975" t="s">
        <v>90</v>
      </c>
      <c r="G1975">
        <v>4</v>
      </c>
      <c r="H1975">
        <v>77</v>
      </c>
      <c r="I1975" s="25">
        <v>1139</v>
      </c>
      <c r="K1975" t="s">
        <v>573</v>
      </c>
      <c r="L1975" t="s">
        <v>141</v>
      </c>
      <c r="M1975" t="s">
        <v>52</v>
      </c>
      <c r="N1975" t="s">
        <v>40</v>
      </c>
      <c r="O1975">
        <v>65</v>
      </c>
      <c r="Q1975">
        <f t="shared" si="63"/>
        <v>4</v>
      </c>
      <c r="S1975">
        <v>0</v>
      </c>
      <c r="T1975">
        <v>0</v>
      </c>
      <c r="U1975">
        <v>2</v>
      </c>
      <c r="V1975">
        <v>2</v>
      </c>
      <c r="W1975">
        <v>0</v>
      </c>
      <c r="X1975" s="21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J1975" t="s">
        <v>51</v>
      </c>
      <c r="AK1975" t="s">
        <v>52</v>
      </c>
      <c r="AP1975" t="s">
        <v>541</v>
      </c>
    </row>
    <row r="1976" spans="1:42">
      <c r="A1976" s="1">
        <v>43839</v>
      </c>
      <c r="B1976">
        <v>4</v>
      </c>
      <c r="C1976">
        <v>244</v>
      </c>
      <c r="D1976">
        <v>14449</v>
      </c>
      <c r="E1976" t="s">
        <v>112</v>
      </c>
      <c r="F1976" t="s">
        <v>90</v>
      </c>
      <c r="G1976">
        <v>4</v>
      </c>
      <c r="H1976">
        <v>78</v>
      </c>
      <c r="I1976" s="25">
        <v>1139</v>
      </c>
      <c r="K1976" t="s">
        <v>573</v>
      </c>
      <c r="L1976" t="s">
        <v>141</v>
      </c>
      <c r="M1976" t="s">
        <v>52</v>
      </c>
      <c r="N1976" t="s">
        <v>40</v>
      </c>
      <c r="O1976">
        <v>30</v>
      </c>
      <c r="Q1976">
        <f t="shared" si="63"/>
        <v>2</v>
      </c>
      <c r="S1976">
        <v>0</v>
      </c>
      <c r="T1976">
        <v>0</v>
      </c>
      <c r="U1976">
        <v>1</v>
      </c>
      <c r="V1976">
        <v>1</v>
      </c>
      <c r="W1976">
        <v>0</v>
      </c>
      <c r="X1976" s="21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J1976" t="s">
        <v>51</v>
      </c>
      <c r="AK1976" t="s">
        <v>52</v>
      </c>
      <c r="AP1976" t="s">
        <v>541</v>
      </c>
    </row>
    <row r="1977" spans="1:42">
      <c r="A1977" s="1">
        <v>43839</v>
      </c>
      <c r="B1977">
        <v>4</v>
      </c>
      <c r="C1977">
        <v>244</v>
      </c>
      <c r="D1977">
        <v>14449</v>
      </c>
      <c r="E1977" t="s">
        <v>112</v>
      </c>
      <c r="F1977" t="s">
        <v>90</v>
      </c>
      <c r="G1977">
        <v>4</v>
      </c>
      <c r="H1977">
        <v>79</v>
      </c>
      <c r="I1977" s="25">
        <v>1120</v>
      </c>
      <c r="K1977" t="s">
        <v>574</v>
      </c>
      <c r="L1977" t="s">
        <v>141</v>
      </c>
      <c r="M1977" t="s">
        <v>52</v>
      </c>
      <c r="N1977" t="s">
        <v>40</v>
      </c>
      <c r="O1977">
        <v>83</v>
      </c>
      <c r="Q1977">
        <f t="shared" ref="Q1977:Q2040" si="64">SUM(S1977:AC1977)</f>
        <v>7</v>
      </c>
      <c r="S1977">
        <v>0</v>
      </c>
      <c r="T1977">
        <v>0</v>
      </c>
      <c r="U1977">
        <v>4</v>
      </c>
      <c r="V1977">
        <v>3</v>
      </c>
      <c r="W1977">
        <v>0</v>
      </c>
      <c r="X1977" s="21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J1977" t="s">
        <v>51</v>
      </c>
      <c r="AK1977" t="s">
        <v>52</v>
      </c>
      <c r="AP1977" t="s">
        <v>541</v>
      </c>
    </row>
    <row r="1978" spans="1:42">
      <c r="A1978" s="1">
        <v>43839</v>
      </c>
      <c r="B1978">
        <v>4</v>
      </c>
      <c r="C1978">
        <v>244</v>
      </c>
      <c r="D1978">
        <v>14449</v>
      </c>
      <c r="E1978" t="s">
        <v>112</v>
      </c>
      <c r="F1978" t="s">
        <v>90</v>
      </c>
      <c r="G1978">
        <v>4</v>
      </c>
      <c r="H1978">
        <v>80</v>
      </c>
      <c r="I1978" s="25">
        <v>1121</v>
      </c>
      <c r="K1978" t="s">
        <v>574</v>
      </c>
      <c r="L1978" t="s">
        <v>141</v>
      </c>
      <c r="M1978" t="s">
        <v>52</v>
      </c>
      <c r="N1978" t="s">
        <v>40</v>
      </c>
      <c r="O1978">
        <v>53</v>
      </c>
      <c r="Q1978">
        <f t="shared" si="64"/>
        <v>3</v>
      </c>
      <c r="S1978">
        <v>0</v>
      </c>
      <c r="T1978">
        <v>0</v>
      </c>
      <c r="U1978">
        <v>1</v>
      </c>
      <c r="V1978">
        <v>2</v>
      </c>
      <c r="W1978">
        <v>0</v>
      </c>
      <c r="X1978" s="21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J1978" t="s">
        <v>51</v>
      </c>
      <c r="AK1978" t="s">
        <v>52</v>
      </c>
      <c r="AP1978" t="s">
        <v>541</v>
      </c>
    </row>
    <row r="1979" spans="1:42">
      <c r="A1979" s="1">
        <v>43839</v>
      </c>
      <c r="B1979">
        <v>4</v>
      </c>
      <c r="C1979">
        <v>244</v>
      </c>
      <c r="D1979">
        <v>14449</v>
      </c>
      <c r="E1979" t="s">
        <v>112</v>
      </c>
      <c r="F1979" t="s">
        <v>90</v>
      </c>
      <c r="G1979">
        <v>4</v>
      </c>
      <c r="H1979">
        <v>81</v>
      </c>
      <c r="I1979" s="25">
        <v>1122</v>
      </c>
      <c r="K1979" t="s">
        <v>574</v>
      </c>
      <c r="L1979" t="s">
        <v>141</v>
      </c>
      <c r="M1979" t="s">
        <v>52</v>
      </c>
      <c r="N1979" t="s">
        <v>40</v>
      </c>
      <c r="O1979">
        <v>76</v>
      </c>
      <c r="Q1979">
        <f t="shared" si="64"/>
        <v>5</v>
      </c>
      <c r="S1979">
        <v>0</v>
      </c>
      <c r="T1979">
        <v>0</v>
      </c>
      <c r="U1979">
        <v>1</v>
      </c>
      <c r="V1979">
        <v>4</v>
      </c>
      <c r="W1979">
        <v>0</v>
      </c>
      <c r="X1979" s="21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J1979" t="s">
        <v>51</v>
      </c>
      <c r="AK1979" t="s">
        <v>52</v>
      </c>
      <c r="AP1979" t="s">
        <v>541</v>
      </c>
    </row>
    <row r="1980" spans="1:42">
      <c r="A1980" s="1">
        <v>43839</v>
      </c>
      <c r="B1980">
        <v>4</v>
      </c>
      <c r="C1980">
        <v>244</v>
      </c>
      <c r="D1980">
        <v>14449</v>
      </c>
      <c r="E1980" t="s">
        <v>112</v>
      </c>
      <c r="F1980" t="s">
        <v>90</v>
      </c>
      <c r="G1980">
        <v>4</v>
      </c>
      <c r="H1980">
        <v>82</v>
      </c>
      <c r="I1980" s="25">
        <v>1124</v>
      </c>
      <c r="K1980" t="s">
        <v>574</v>
      </c>
      <c r="L1980" t="s">
        <v>141</v>
      </c>
      <c r="M1980" t="s">
        <v>52</v>
      </c>
      <c r="N1980" t="s">
        <v>40</v>
      </c>
      <c r="O1980">
        <v>55</v>
      </c>
      <c r="Q1980">
        <f t="shared" si="64"/>
        <v>4</v>
      </c>
      <c r="S1980">
        <v>0</v>
      </c>
      <c r="T1980">
        <v>0</v>
      </c>
      <c r="U1980">
        <v>1</v>
      </c>
      <c r="V1980">
        <v>3</v>
      </c>
      <c r="W1980">
        <v>0</v>
      </c>
      <c r="X1980" s="21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J1980" t="s">
        <v>51</v>
      </c>
      <c r="AK1980" t="s">
        <v>52</v>
      </c>
      <c r="AP1980" t="s">
        <v>541</v>
      </c>
    </row>
    <row r="1981" spans="1:42">
      <c r="A1981" s="1">
        <v>43839</v>
      </c>
      <c r="B1981">
        <v>4</v>
      </c>
      <c r="C1981">
        <v>244</v>
      </c>
      <c r="D1981">
        <v>14449</v>
      </c>
      <c r="E1981" t="s">
        <v>112</v>
      </c>
      <c r="F1981" t="s">
        <v>90</v>
      </c>
      <c r="G1981">
        <v>4</v>
      </c>
      <c r="H1981">
        <v>83</v>
      </c>
      <c r="I1981" s="25">
        <v>1128</v>
      </c>
      <c r="K1981" t="s">
        <v>574</v>
      </c>
      <c r="L1981" t="s">
        <v>141</v>
      </c>
      <c r="M1981" t="s">
        <v>52</v>
      </c>
      <c r="N1981" t="s">
        <v>40</v>
      </c>
      <c r="O1981">
        <v>124</v>
      </c>
      <c r="Q1981">
        <f t="shared" si="64"/>
        <v>6</v>
      </c>
      <c r="S1981">
        <v>0</v>
      </c>
      <c r="T1981">
        <v>0</v>
      </c>
      <c r="U1981">
        <v>3</v>
      </c>
      <c r="V1981">
        <v>3</v>
      </c>
      <c r="W1981">
        <v>0</v>
      </c>
      <c r="X1981" s="2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J1981" t="s">
        <v>51</v>
      </c>
      <c r="AK1981" t="s">
        <v>52</v>
      </c>
      <c r="AP1981" t="s">
        <v>541</v>
      </c>
    </row>
    <row r="1982" spans="1:42">
      <c r="A1982" s="1">
        <v>43839</v>
      </c>
      <c r="B1982">
        <v>4</v>
      </c>
      <c r="C1982">
        <v>244</v>
      </c>
      <c r="D1982">
        <v>14449</v>
      </c>
      <c r="E1982" t="s">
        <v>112</v>
      </c>
      <c r="F1982" t="s">
        <v>90</v>
      </c>
      <c r="G1982">
        <v>4</v>
      </c>
      <c r="H1982">
        <v>84</v>
      </c>
      <c r="I1982" s="25">
        <v>1390</v>
      </c>
      <c r="K1982" t="s">
        <v>575</v>
      </c>
      <c r="L1982" t="s">
        <v>141</v>
      </c>
      <c r="M1982" t="s">
        <v>95</v>
      </c>
      <c r="N1982" t="s">
        <v>40</v>
      </c>
      <c r="O1982">
        <v>194</v>
      </c>
      <c r="Q1982">
        <f t="shared" si="64"/>
        <v>12</v>
      </c>
      <c r="S1982">
        <v>0</v>
      </c>
      <c r="T1982">
        <v>0</v>
      </c>
      <c r="U1982">
        <v>5</v>
      </c>
      <c r="V1982">
        <v>7</v>
      </c>
      <c r="W1982">
        <v>0</v>
      </c>
      <c r="X1982" s="21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J1982" t="s">
        <v>51</v>
      </c>
      <c r="AK1982" t="s">
        <v>52</v>
      </c>
      <c r="AP1982" t="s">
        <v>541</v>
      </c>
    </row>
    <row r="1983" spans="1:42">
      <c r="A1983" s="1">
        <v>43839</v>
      </c>
      <c r="B1983">
        <v>4</v>
      </c>
      <c r="C1983">
        <v>244</v>
      </c>
      <c r="D1983">
        <v>14449</v>
      </c>
      <c r="E1983" t="s">
        <v>112</v>
      </c>
      <c r="F1983" t="s">
        <v>90</v>
      </c>
      <c r="G1983">
        <v>4</v>
      </c>
      <c r="H1983">
        <v>85</v>
      </c>
      <c r="I1983" s="25">
        <v>1397</v>
      </c>
      <c r="K1983" t="s">
        <v>575</v>
      </c>
      <c r="L1983" t="s">
        <v>141</v>
      </c>
      <c r="M1983" t="s">
        <v>95</v>
      </c>
      <c r="N1983" t="s">
        <v>40</v>
      </c>
      <c r="O1983">
        <v>71</v>
      </c>
      <c r="Q1983">
        <f t="shared" si="64"/>
        <v>5</v>
      </c>
      <c r="S1983">
        <v>0</v>
      </c>
      <c r="T1983">
        <v>0</v>
      </c>
      <c r="U1983">
        <v>2</v>
      </c>
      <c r="V1983">
        <v>3</v>
      </c>
      <c r="W1983">
        <v>0</v>
      </c>
      <c r="X1983" s="21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J1983" t="s">
        <v>51</v>
      </c>
      <c r="AK1983" t="s">
        <v>52</v>
      </c>
      <c r="AP1983" t="s">
        <v>541</v>
      </c>
    </row>
    <row r="1984" spans="1:42">
      <c r="A1984" s="1">
        <v>43839</v>
      </c>
      <c r="B1984">
        <v>4</v>
      </c>
      <c r="C1984">
        <v>244</v>
      </c>
      <c r="D1984">
        <v>14449</v>
      </c>
      <c r="E1984" t="s">
        <v>112</v>
      </c>
      <c r="F1984" t="s">
        <v>90</v>
      </c>
      <c r="G1984">
        <v>4</v>
      </c>
      <c r="H1984">
        <v>86</v>
      </c>
      <c r="I1984" s="25">
        <v>1397</v>
      </c>
      <c r="K1984" t="s">
        <v>575</v>
      </c>
      <c r="L1984" t="s">
        <v>141</v>
      </c>
      <c r="M1984" t="s">
        <v>95</v>
      </c>
      <c r="N1984" t="s">
        <v>40</v>
      </c>
      <c r="O1984">
        <v>150</v>
      </c>
      <c r="Q1984">
        <f t="shared" si="64"/>
        <v>12</v>
      </c>
      <c r="S1984">
        <v>0</v>
      </c>
      <c r="T1984">
        <v>0</v>
      </c>
      <c r="U1984">
        <v>6</v>
      </c>
      <c r="V1984">
        <v>6</v>
      </c>
      <c r="W1984">
        <v>0</v>
      </c>
      <c r="X1984" s="21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J1984" t="s">
        <v>51</v>
      </c>
      <c r="AK1984" t="s">
        <v>52</v>
      </c>
      <c r="AP1984" t="s">
        <v>541</v>
      </c>
    </row>
    <row r="1985" spans="1:42">
      <c r="A1985" s="1">
        <v>43839</v>
      </c>
      <c r="B1985">
        <v>4</v>
      </c>
      <c r="C1985">
        <v>244</v>
      </c>
      <c r="D1985">
        <v>14449</v>
      </c>
      <c r="E1985" t="s">
        <v>112</v>
      </c>
      <c r="F1985" t="s">
        <v>90</v>
      </c>
      <c r="G1985">
        <v>4</v>
      </c>
      <c r="H1985">
        <v>87</v>
      </c>
      <c r="I1985" s="25">
        <v>1397</v>
      </c>
      <c r="K1985" t="s">
        <v>575</v>
      </c>
      <c r="L1985" t="s">
        <v>141</v>
      </c>
      <c r="M1985" t="s">
        <v>95</v>
      </c>
      <c r="N1985" t="s">
        <v>40</v>
      </c>
      <c r="O1985">
        <v>122</v>
      </c>
      <c r="Q1985">
        <f t="shared" si="64"/>
        <v>10</v>
      </c>
      <c r="S1985">
        <v>0</v>
      </c>
      <c r="T1985">
        <v>0</v>
      </c>
      <c r="U1985">
        <v>3</v>
      </c>
      <c r="V1985">
        <v>7</v>
      </c>
      <c r="W1985">
        <v>0</v>
      </c>
      <c r="X1985" s="21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J1985" t="s">
        <v>51</v>
      </c>
      <c r="AK1985" t="s">
        <v>52</v>
      </c>
      <c r="AP1985" t="s">
        <v>541</v>
      </c>
    </row>
    <row r="1986" spans="1:42">
      <c r="A1986" s="1">
        <v>43839</v>
      </c>
      <c r="B1986">
        <v>4</v>
      </c>
      <c r="C1986">
        <v>244</v>
      </c>
      <c r="D1986">
        <v>14449</v>
      </c>
      <c r="E1986" t="s">
        <v>112</v>
      </c>
      <c r="F1986" t="s">
        <v>90</v>
      </c>
      <c r="G1986">
        <v>4</v>
      </c>
      <c r="H1986">
        <v>88</v>
      </c>
      <c r="I1986" s="25">
        <v>1397</v>
      </c>
      <c r="K1986" t="s">
        <v>575</v>
      </c>
      <c r="L1986" t="s">
        <v>141</v>
      </c>
      <c r="M1986" t="s">
        <v>52</v>
      </c>
      <c r="N1986" t="s">
        <v>40</v>
      </c>
      <c r="O1986">
        <v>75</v>
      </c>
      <c r="Q1986">
        <f t="shared" si="64"/>
        <v>5</v>
      </c>
      <c r="S1986">
        <v>0</v>
      </c>
      <c r="T1986">
        <v>0</v>
      </c>
      <c r="U1986">
        <v>2</v>
      </c>
      <c r="V1986">
        <v>3</v>
      </c>
      <c r="W1986">
        <v>0</v>
      </c>
      <c r="X1986" s="21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J1986" t="s">
        <v>51</v>
      </c>
      <c r="AK1986" t="s">
        <v>52</v>
      </c>
      <c r="AP1986" t="s">
        <v>541</v>
      </c>
    </row>
    <row r="1987" spans="1:42">
      <c r="A1987" s="1">
        <v>43839</v>
      </c>
      <c r="B1987">
        <v>4</v>
      </c>
      <c r="C1987">
        <v>244</v>
      </c>
      <c r="D1987">
        <v>14449</v>
      </c>
      <c r="E1987" t="s">
        <v>112</v>
      </c>
      <c r="F1987" t="s">
        <v>90</v>
      </c>
      <c r="G1987">
        <v>4</v>
      </c>
      <c r="H1987">
        <v>89</v>
      </c>
      <c r="I1987" s="25">
        <v>1420</v>
      </c>
      <c r="K1987" t="s">
        <v>575</v>
      </c>
      <c r="L1987" t="s">
        <v>141</v>
      </c>
      <c r="M1987" t="s">
        <v>95</v>
      </c>
      <c r="N1987" t="s">
        <v>40</v>
      </c>
      <c r="O1987">
        <v>153</v>
      </c>
      <c r="Q1987">
        <f t="shared" si="64"/>
        <v>8</v>
      </c>
      <c r="S1987">
        <v>0</v>
      </c>
      <c r="T1987">
        <v>0</v>
      </c>
      <c r="U1987">
        <v>4</v>
      </c>
      <c r="V1987">
        <v>4</v>
      </c>
      <c r="W1987">
        <v>0</v>
      </c>
      <c r="X1987" s="21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J1987" t="s">
        <v>51</v>
      </c>
      <c r="AK1987" t="s">
        <v>52</v>
      </c>
      <c r="AP1987" t="s">
        <v>541</v>
      </c>
    </row>
    <row r="1988" spans="1:42">
      <c r="A1988" s="1">
        <v>43839</v>
      </c>
      <c r="B1988">
        <v>4</v>
      </c>
      <c r="C1988">
        <v>244</v>
      </c>
      <c r="D1988">
        <v>14449</v>
      </c>
      <c r="E1988" t="s">
        <v>112</v>
      </c>
      <c r="F1988" t="s">
        <v>90</v>
      </c>
      <c r="G1988">
        <v>4</v>
      </c>
      <c r="H1988">
        <v>90</v>
      </c>
      <c r="I1988" s="25">
        <v>1440</v>
      </c>
      <c r="K1988" t="s">
        <v>575</v>
      </c>
      <c r="L1988" t="s">
        <v>141</v>
      </c>
      <c r="M1988" t="s">
        <v>95</v>
      </c>
      <c r="N1988" t="s">
        <v>40</v>
      </c>
      <c r="O1988">
        <v>147</v>
      </c>
      <c r="Q1988">
        <f t="shared" si="64"/>
        <v>8</v>
      </c>
      <c r="S1988">
        <v>0</v>
      </c>
      <c r="T1988">
        <v>0</v>
      </c>
      <c r="U1988">
        <v>4</v>
      </c>
      <c r="V1988">
        <v>4</v>
      </c>
      <c r="W1988">
        <v>0</v>
      </c>
      <c r="X1988" s="21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J1988" t="s">
        <v>51</v>
      </c>
      <c r="AK1988" t="s">
        <v>52</v>
      </c>
      <c r="AP1988" t="s">
        <v>541</v>
      </c>
    </row>
    <row r="1989" spans="1:42">
      <c r="A1989" s="1">
        <v>43839</v>
      </c>
      <c r="B1989">
        <v>4</v>
      </c>
      <c r="C1989">
        <v>244</v>
      </c>
      <c r="D1989">
        <v>14449</v>
      </c>
      <c r="E1989" t="s">
        <v>112</v>
      </c>
      <c r="F1989" t="s">
        <v>90</v>
      </c>
      <c r="G1989">
        <v>4</v>
      </c>
      <c r="H1989">
        <v>91</v>
      </c>
      <c r="I1989" s="25">
        <v>1440</v>
      </c>
      <c r="K1989" t="s">
        <v>575</v>
      </c>
      <c r="L1989" t="s">
        <v>141</v>
      </c>
      <c r="M1989" t="s">
        <v>95</v>
      </c>
      <c r="N1989" t="s">
        <v>40</v>
      </c>
      <c r="O1989">
        <v>197</v>
      </c>
      <c r="Q1989">
        <f t="shared" si="64"/>
        <v>12</v>
      </c>
      <c r="S1989">
        <v>0</v>
      </c>
      <c r="T1989">
        <v>0</v>
      </c>
      <c r="U1989">
        <v>5</v>
      </c>
      <c r="V1989">
        <v>7</v>
      </c>
      <c r="W1989">
        <v>0</v>
      </c>
      <c r="X1989" s="21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J1989" t="s">
        <v>51</v>
      </c>
      <c r="AK1989" t="s">
        <v>52</v>
      </c>
      <c r="AP1989" t="s">
        <v>541</v>
      </c>
    </row>
    <row r="1990" spans="1:42">
      <c r="A1990" s="1">
        <v>43840</v>
      </c>
      <c r="B1990">
        <v>5</v>
      </c>
      <c r="C1990">
        <v>244</v>
      </c>
      <c r="D1990">
        <v>14449</v>
      </c>
      <c r="E1990" t="s">
        <v>112</v>
      </c>
      <c r="F1990" t="s">
        <v>90</v>
      </c>
      <c r="G1990">
        <v>4</v>
      </c>
      <c r="H1990">
        <v>1</v>
      </c>
      <c r="I1990" s="25">
        <v>401</v>
      </c>
      <c r="K1990" t="s">
        <v>56</v>
      </c>
      <c r="L1990" t="s">
        <v>141</v>
      </c>
      <c r="M1990" t="s">
        <v>52</v>
      </c>
      <c r="N1990" t="s">
        <v>40</v>
      </c>
      <c r="O1990">
        <v>41</v>
      </c>
      <c r="Q1990">
        <f t="shared" si="64"/>
        <v>3</v>
      </c>
      <c r="S1990">
        <v>0</v>
      </c>
      <c r="T1990">
        <v>0</v>
      </c>
      <c r="U1990">
        <v>0</v>
      </c>
      <c r="V1990">
        <v>0</v>
      </c>
      <c r="W1990">
        <v>3</v>
      </c>
      <c r="X1990" s="21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J1990" t="s">
        <v>51</v>
      </c>
      <c r="AP1990" t="s">
        <v>541</v>
      </c>
    </row>
    <row r="1991" spans="1:42">
      <c r="A1991" s="1">
        <v>43840</v>
      </c>
      <c r="B1991">
        <v>5</v>
      </c>
      <c r="C1991">
        <v>244</v>
      </c>
      <c r="D1991">
        <v>14449</v>
      </c>
      <c r="E1991" t="s">
        <v>112</v>
      </c>
      <c r="F1991" t="s">
        <v>90</v>
      </c>
      <c r="G1991">
        <v>4</v>
      </c>
      <c r="H1991">
        <v>2</v>
      </c>
      <c r="I1991" s="25">
        <v>1137</v>
      </c>
      <c r="K1991" t="s">
        <v>102</v>
      </c>
      <c r="L1991" t="s">
        <v>141</v>
      </c>
      <c r="M1991" t="s">
        <v>52</v>
      </c>
      <c r="N1991" t="s">
        <v>40</v>
      </c>
      <c r="O1991">
        <v>120</v>
      </c>
      <c r="Q1991">
        <f t="shared" si="64"/>
        <v>7</v>
      </c>
      <c r="S1991">
        <v>0</v>
      </c>
      <c r="T1991">
        <v>0</v>
      </c>
      <c r="U1991">
        <v>4</v>
      </c>
      <c r="V1991">
        <v>3</v>
      </c>
      <c r="W1991">
        <v>0</v>
      </c>
      <c r="X1991" s="2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P1991" t="s">
        <v>541</v>
      </c>
    </row>
    <row r="1992" spans="1:42">
      <c r="A1992" s="1">
        <v>43840</v>
      </c>
      <c r="B1992">
        <v>5</v>
      </c>
      <c r="C1992">
        <v>244</v>
      </c>
      <c r="D1992">
        <v>14449</v>
      </c>
      <c r="E1992" t="s">
        <v>112</v>
      </c>
      <c r="F1992" t="s">
        <v>90</v>
      </c>
      <c r="G1992">
        <v>4</v>
      </c>
      <c r="H1992">
        <v>3</v>
      </c>
      <c r="I1992" s="25">
        <v>1136</v>
      </c>
      <c r="K1992" t="s">
        <v>102</v>
      </c>
      <c r="L1992" t="s">
        <v>114</v>
      </c>
      <c r="M1992" t="s">
        <v>52</v>
      </c>
      <c r="N1992" t="s">
        <v>40</v>
      </c>
      <c r="O1992">
        <v>165</v>
      </c>
      <c r="Q1992">
        <f t="shared" si="64"/>
        <v>8</v>
      </c>
      <c r="S1992">
        <v>0</v>
      </c>
      <c r="T1992">
        <v>0</v>
      </c>
      <c r="U1992">
        <v>4</v>
      </c>
      <c r="V1992">
        <v>4</v>
      </c>
      <c r="W1992">
        <v>0</v>
      </c>
      <c r="X1992" s="21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P1992" t="s">
        <v>541</v>
      </c>
    </row>
    <row r="1993" spans="1:42">
      <c r="A1993" s="1">
        <v>43840</v>
      </c>
      <c r="B1993">
        <v>5</v>
      </c>
      <c r="C1993">
        <v>244</v>
      </c>
      <c r="D1993">
        <v>14449</v>
      </c>
      <c r="E1993" t="s">
        <v>112</v>
      </c>
      <c r="F1993" t="s">
        <v>90</v>
      </c>
      <c r="G1993">
        <v>4</v>
      </c>
      <c r="H1993">
        <v>4</v>
      </c>
      <c r="I1993" s="25">
        <v>1135</v>
      </c>
      <c r="K1993" t="s">
        <v>102</v>
      </c>
      <c r="L1993" t="s">
        <v>141</v>
      </c>
      <c r="M1993" t="s">
        <v>52</v>
      </c>
      <c r="N1993" t="s">
        <v>40</v>
      </c>
      <c r="O1993">
        <v>120</v>
      </c>
      <c r="Q1993">
        <f t="shared" si="64"/>
        <v>6</v>
      </c>
      <c r="S1993">
        <v>0</v>
      </c>
      <c r="T1993">
        <v>0</v>
      </c>
      <c r="U1993">
        <v>3</v>
      </c>
      <c r="V1993">
        <v>3</v>
      </c>
      <c r="W1993">
        <v>0</v>
      </c>
      <c r="X1993" s="21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P1993" t="s">
        <v>541</v>
      </c>
    </row>
    <row r="1994" spans="1:42">
      <c r="A1994" s="1">
        <v>43840</v>
      </c>
      <c r="B1994">
        <v>5</v>
      </c>
      <c r="C1994">
        <v>244</v>
      </c>
      <c r="D1994">
        <v>14449</v>
      </c>
      <c r="E1994" t="s">
        <v>112</v>
      </c>
      <c r="F1994" t="s">
        <v>90</v>
      </c>
      <c r="G1994">
        <v>4</v>
      </c>
      <c r="H1994">
        <v>5</v>
      </c>
      <c r="I1994" s="25">
        <v>1131</v>
      </c>
      <c r="K1994" t="s">
        <v>102</v>
      </c>
      <c r="L1994" t="s">
        <v>141</v>
      </c>
      <c r="M1994" t="s">
        <v>95</v>
      </c>
      <c r="N1994" t="s">
        <v>40</v>
      </c>
      <c r="O1994">
        <v>389</v>
      </c>
      <c r="Q1994">
        <f t="shared" si="64"/>
        <v>20</v>
      </c>
      <c r="S1994">
        <v>0</v>
      </c>
      <c r="T1994">
        <v>0</v>
      </c>
      <c r="U1994">
        <v>7</v>
      </c>
      <c r="V1994">
        <v>13</v>
      </c>
      <c r="W1994">
        <v>0</v>
      </c>
      <c r="X1994" s="21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P1994" t="s">
        <v>541</v>
      </c>
    </row>
    <row r="1995" spans="1:42">
      <c r="A1995" s="1">
        <v>43840</v>
      </c>
      <c r="B1995">
        <v>5</v>
      </c>
      <c r="C1995">
        <v>244</v>
      </c>
      <c r="D1995">
        <v>14449</v>
      </c>
      <c r="E1995" t="s">
        <v>112</v>
      </c>
      <c r="F1995" t="s">
        <v>90</v>
      </c>
      <c r="G1995">
        <v>4</v>
      </c>
      <c r="H1995">
        <v>6</v>
      </c>
      <c r="I1995" s="25">
        <v>1112</v>
      </c>
      <c r="K1995" t="s">
        <v>576</v>
      </c>
      <c r="L1995" t="s">
        <v>114</v>
      </c>
      <c r="M1995" t="s">
        <v>95</v>
      </c>
      <c r="N1995" t="s">
        <v>40</v>
      </c>
      <c r="O1995">
        <v>123</v>
      </c>
      <c r="Q1995">
        <f t="shared" si="64"/>
        <v>8</v>
      </c>
      <c r="S1995">
        <v>0</v>
      </c>
      <c r="T1995">
        <v>0</v>
      </c>
      <c r="U1995">
        <v>4</v>
      </c>
      <c r="V1995">
        <v>4</v>
      </c>
      <c r="W1995">
        <v>0</v>
      </c>
      <c r="X1995" s="21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P1995" t="s">
        <v>541</v>
      </c>
    </row>
    <row r="1996" spans="1:42">
      <c r="A1996" s="1">
        <v>43840</v>
      </c>
      <c r="B1996">
        <v>5</v>
      </c>
      <c r="C1996">
        <v>244</v>
      </c>
      <c r="D1996">
        <v>14449</v>
      </c>
      <c r="E1996" t="s">
        <v>112</v>
      </c>
      <c r="F1996" t="s">
        <v>90</v>
      </c>
      <c r="G1996">
        <v>4</v>
      </c>
      <c r="H1996">
        <v>7</v>
      </c>
      <c r="I1996" s="25">
        <v>1112</v>
      </c>
      <c r="K1996" t="s">
        <v>576</v>
      </c>
      <c r="L1996" t="s">
        <v>114</v>
      </c>
      <c r="M1996" t="s">
        <v>95</v>
      </c>
      <c r="N1996" t="s">
        <v>40</v>
      </c>
      <c r="O1996">
        <v>111</v>
      </c>
      <c r="Q1996">
        <f t="shared" si="64"/>
        <v>6</v>
      </c>
      <c r="S1996">
        <v>0</v>
      </c>
      <c r="T1996">
        <v>0</v>
      </c>
      <c r="U1996">
        <v>3</v>
      </c>
      <c r="V1996">
        <v>3</v>
      </c>
      <c r="W1996">
        <v>0</v>
      </c>
      <c r="X1996" s="21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P1996" t="s">
        <v>541</v>
      </c>
    </row>
    <row r="1997" spans="1:42">
      <c r="A1997" s="1">
        <v>43840</v>
      </c>
      <c r="B1997">
        <v>5</v>
      </c>
      <c r="C1997">
        <v>244</v>
      </c>
      <c r="D1997">
        <v>14449</v>
      </c>
      <c r="E1997" t="s">
        <v>112</v>
      </c>
      <c r="F1997" t="s">
        <v>90</v>
      </c>
      <c r="G1997">
        <v>4</v>
      </c>
      <c r="H1997">
        <v>8</v>
      </c>
      <c r="I1997" s="25">
        <v>1116</v>
      </c>
      <c r="K1997" t="s">
        <v>576</v>
      </c>
      <c r="L1997" t="s">
        <v>114</v>
      </c>
      <c r="M1997" t="s">
        <v>95</v>
      </c>
      <c r="N1997" t="s">
        <v>40</v>
      </c>
      <c r="O1997">
        <v>285</v>
      </c>
      <c r="Q1997">
        <f t="shared" si="64"/>
        <v>20</v>
      </c>
      <c r="S1997">
        <v>0</v>
      </c>
      <c r="T1997">
        <v>0</v>
      </c>
      <c r="U1997">
        <v>10</v>
      </c>
      <c r="V1997">
        <v>10</v>
      </c>
      <c r="W1997">
        <v>0</v>
      </c>
      <c r="X1997" s="21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P1997" t="s">
        <v>541</v>
      </c>
    </row>
    <row r="1998" spans="1:42">
      <c r="A1998" s="1">
        <v>43840</v>
      </c>
      <c r="B1998">
        <v>5</v>
      </c>
      <c r="C1998">
        <v>244</v>
      </c>
      <c r="D1998">
        <v>14449</v>
      </c>
      <c r="E1998" t="s">
        <v>112</v>
      </c>
      <c r="F1998" t="s">
        <v>90</v>
      </c>
      <c r="G1998">
        <v>4</v>
      </c>
      <c r="H1998">
        <v>9</v>
      </c>
      <c r="I1998" s="25">
        <v>1115</v>
      </c>
      <c r="K1998" t="s">
        <v>576</v>
      </c>
      <c r="L1998" t="s">
        <v>141</v>
      </c>
      <c r="M1998" t="s">
        <v>52</v>
      </c>
      <c r="N1998" t="s">
        <v>40</v>
      </c>
      <c r="O1998">
        <v>149</v>
      </c>
      <c r="Q1998">
        <f t="shared" si="64"/>
        <v>6</v>
      </c>
      <c r="S1998">
        <v>0</v>
      </c>
      <c r="T1998">
        <v>0</v>
      </c>
      <c r="U1998">
        <v>3</v>
      </c>
      <c r="V1998">
        <v>3</v>
      </c>
      <c r="W1998">
        <v>0</v>
      </c>
      <c r="X1998" s="21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P1998" t="s">
        <v>541</v>
      </c>
    </row>
    <row r="1999" spans="1:42">
      <c r="A1999" s="1">
        <v>43840</v>
      </c>
      <c r="B1999">
        <v>5</v>
      </c>
      <c r="C1999">
        <v>244</v>
      </c>
      <c r="D1999">
        <v>14449</v>
      </c>
      <c r="E1999" t="s">
        <v>112</v>
      </c>
      <c r="F1999" t="s">
        <v>90</v>
      </c>
      <c r="G1999">
        <v>4</v>
      </c>
      <c r="H1999">
        <v>10</v>
      </c>
      <c r="I1999" s="25">
        <v>1115</v>
      </c>
      <c r="K1999" t="s">
        <v>576</v>
      </c>
      <c r="L1999" t="s">
        <v>141</v>
      </c>
      <c r="M1999" t="s">
        <v>52</v>
      </c>
      <c r="N1999" t="s">
        <v>40</v>
      </c>
      <c r="O1999">
        <v>133</v>
      </c>
      <c r="Q1999">
        <f t="shared" si="64"/>
        <v>4</v>
      </c>
      <c r="S1999">
        <v>0</v>
      </c>
      <c r="T1999">
        <v>0</v>
      </c>
      <c r="U1999">
        <v>2</v>
      </c>
      <c r="V1999">
        <v>2</v>
      </c>
      <c r="W1999">
        <v>0</v>
      </c>
      <c r="X1999" s="21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P1999" t="s">
        <v>541</v>
      </c>
    </row>
    <row r="2000" spans="1:42">
      <c r="A2000" s="1">
        <v>43840</v>
      </c>
      <c r="B2000">
        <v>5</v>
      </c>
      <c r="C2000">
        <v>244</v>
      </c>
      <c r="D2000">
        <v>14449</v>
      </c>
      <c r="E2000" t="s">
        <v>112</v>
      </c>
      <c r="F2000" t="s">
        <v>90</v>
      </c>
      <c r="G2000">
        <v>4</v>
      </c>
      <c r="H2000">
        <v>11</v>
      </c>
      <c r="I2000" s="25">
        <v>1113</v>
      </c>
      <c r="K2000" t="s">
        <v>576</v>
      </c>
      <c r="L2000" t="s">
        <v>141</v>
      </c>
      <c r="M2000" t="s">
        <v>52</v>
      </c>
      <c r="N2000" t="s">
        <v>40</v>
      </c>
      <c r="O2000">
        <v>139</v>
      </c>
      <c r="Q2000">
        <f t="shared" si="64"/>
        <v>8</v>
      </c>
      <c r="S2000">
        <v>0</v>
      </c>
      <c r="T2000">
        <v>0</v>
      </c>
      <c r="U2000">
        <v>4</v>
      </c>
      <c r="V2000">
        <v>4</v>
      </c>
      <c r="W2000">
        <v>0</v>
      </c>
      <c r="X2000" s="21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P2000" t="s">
        <v>541</v>
      </c>
    </row>
    <row r="2001" spans="1:42">
      <c r="A2001" s="1">
        <v>43840</v>
      </c>
      <c r="B2001">
        <v>5</v>
      </c>
      <c r="C2001">
        <v>244</v>
      </c>
      <c r="D2001">
        <v>14449</v>
      </c>
      <c r="E2001" t="s">
        <v>112</v>
      </c>
      <c r="F2001" t="s">
        <v>90</v>
      </c>
      <c r="G2001">
        <v>4</v>
      </c>
      <c r="H2001">
        <v>12</v>
      </c>
      <c r="I2001" s="25">
        <v>1113</v>
      </c>
      <c r="K2001" t="s">
        <v>576</v>
      </c>
      <c r="L2001" t="s">
        <v>141</v>
      </c>
      <c r="M2001" t="s">
        <v>52</v>
      </c>
      <c r="N2001" t="s">
        <v>40</v>
      </c>
      <c r="O2001">
        <v>56</v>
      </c>
      <c r="Q2001">
        <f t="shared" si="64"/>
        <v>4</v>
      </c>
      <c r="S2001">
        <v>0</v>
      </c>
      <c r="T2001">
        <v>0</v>
      </c>
      <c r="U2001">
        <v>2</v>
      </c>
      <c r="V2001">
        <v>2</v>
      </c>
      <c r="W2001">
        <v>0</v>
      </c>
      <c r="X2001" s="2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P2001" t="s">
        <v>541</v>
      </c>
    </row>
    <row r="2002" spans="1:42">
      <c r="A2002" s="1">
        <v>43840</v>
      </c>
      <c r="B2002">
        <v>5</v>
      </c>
      <c r="C2002">
        <v>244</v>
      </c>
      <c r="D2002">
        <v>14449</v>
      </c>
      <c r="E2002" t="s">
        <v>112</v>
      </c>
      <c r="F2002" t="s">
        <v>90</v>
      </c>
      <c r="G2002">
        <v>4</v>
      </c>
      <c r="H2002">
        <v>13</v>
      </c>
      <c r="I2002" s="25">
        <v>1111</v>
      </c>
      <c r="K2002" t="s">
        <v>576</v>
      </c>
      <c r="L2002" t="s">
        <v>141</v>
      </c>
      <c r="M2002" t="s">
        <v>52</v>
      </c>
      <c r="N2002" t="s">
        <v>40</v>
      </c>
      <c r="O2002">
        <v>123</v>
      </c>
      <c r="Q2002">
        <f t="shared" si="64"/>
        <v>8</v>
      </c>
      <c r="S2002">
        <v>0</v>
      </c>
      <c r="T2002">
        <v>0</v>
      </c>
      <c r="U2002">
        <v>4</v>
      </c>
      <c r="V2002">
        <v>4</v>
      </c>
      <c r="W2002">
        <v>0</v>
      </c>
      <c r="X2002" s="21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P2002" t="s">
        <v>541</v>
      </c>
    </row>
    <row r="2003" spans="1:42">
      <c r="A2003" s="1">
        <v>43840</v>
      </c>
      <c r="B2003">
        <v>5</v>
      </c>
      <c r="C2003">
        <v>244</v>
      </c>
      <c r="D2003">
        <v>14449</v>
      </c>
      <c r="E2003" t="s">
        <v>112</v>
      </c>
      <c r="F2003" t="s">
        <v>90</v>
      </c>
      <c r="G2003">
        <v>4</v>
      </c>
      <c r="H2003">
        <v>14</v>
      </c>
      <c r="I2003" s="25">
        <v>1109</v>
      </c>
      <c r="K2003" t="s">
        <v>576</v>
      </c>
      <c r="L2003" t="s">
        <v>141</v>
      </c>
      <c r="M2003" t="s">
        <v>95</v>
      </c>
      <c r="N2003" t="s">
        <v>40</v>
      </c>
      <c r="O2003">
        <v>199</v>
      </c>
      <c r="Q2003">
        <f t="shared" si="64"/>
        <v>12</v>
      </c>
      <c r="S2003">
        <v>0</v>
      </c>
      <c r="T2003">
        <v>0</v>
      </c>
      <c r="U2003">
        <v>6</v>
      </c>
      <c r="V2003">
        <v>6</v>
      </c>
      <c r="W2003">
        <v>0</v>
      </c>
      <c r="X2003" s="21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P2003" t="s">
        <v>541</v>
      </c>
    </row>
    <row r="2004" spans="1:42">
      <c r="A2004" s="1">
        <v>43840</v>
      </c>
      <c r="B2004">
        <v>5</v>
      </c>
      <c r="C2004">
        <v>244</v>
      </c>
      <c r="D2004">
        <v>14449</v>
      </c>
      <c r="E2004" t="s">
        <v>112</v>
      </c>
      <c r="F2004" t="s">
        <v>90</v>
      </c>
      <c r="G2004">
        <v>4</v>
      </c>
      <c r="H2004">
        <v>15</v>
      </c>
      <c r="I2004" s="25">
        <v>1316</v>
      </c>
      <c r="K2004" t="s">
        <v>575</v>
      </c>
      <c r="L2004" t="s">
        <v>114</v>
      </c>
      <c r="M2004" t="s">
        <v>95</v>
      </c>
      <c r="N2004" t="s">
        <v>40</v>
      </c>
      <c r="O2004">
        <v>201</v>
      </c>
      <c r="Q2004">
        <f t="shared" si="64"/>
        <v>10</v>
      </c>
      <c r="S2004">
        <v>0</v>
      </c>
      <c r="T2004">
        <v>0</v>
      </c>
      <c r="U2004">
        <v>0</v>
      </c>
      <c r="V2004">
        <v>2</v>
      </c>
      <c r="W2004">
        <v>8</v>
      </c>
      <c r="X2004" s="21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P2004" t="s">
        <v>541</v>
      </c>
    </row>
    <row r="2005" spans="1:42">
      <c r="A2005" s="1">
        <v>43840</v>
      </c>
      <c r="B2005">
        <v>5</v>
      </c>
      <c r="C2005">
        <v>244</v>
      </c>
      <c r="D2005">
        <v>14449</v>
      </c>
      <c r="E2005" t="s">
        <v>112</v>
      </c>
      <c r="F2005" t="s">
        <v>90</v>
      </c>
      <c r="G2005">
        <v>4</v>
      </c>
      <c r="H2005">
        <v>16</v>
      </c>
      <c r="I2005" s="25">
        <v>1315</v>
      </c>
      <c r="K2005" t="s">
        <v>575</v>
      </c>
      <c r="L2005" t="s">
        <v>141</v>
      </c>
      <c r="M2005" t="s">
        <v>52</v>
      </c>
      <c r="N2005" t="s">
        <v>40</v>
      </c>
      <c r="O2005">
        <v>50</v>
      </c>
      <c r="Q2005">
        <f t="shared" si="64"/>
        <v>4</v>
      </c>
      <c r="S2005">
        <v>0</v>
      </c>
      <c r="T2005">
        <v>0</v>
      </c>
      <c r="U2005">
        <v>2</v>
      </c>
      <c r="V2005">
        <v>2</v>
      </c>
      <c r="W2005">
        <v>0</v>
      </c>
      <c r="X2005" s="21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P2005" t="s">
        <v>541</v>
      </c>
    </row>
    <row r="2006" spans="1:42">
      <c r="A2006" s="1">
        <v>43840</v>
      </c>
      <c r="B2006">
        <v>5</v>
      </c>
      <c r="C2006">
        <v>244</v>
      </c>
      <c r="D2006">
        <v>14449</v>
      </c>
      <c r="E2006" t="s">
        <v>112</v>
      </c>
      <c r="F2006" t="s">
        <v>90</v>
      </c>
      <c r="G2006">
        <v>4</v>
      </c>
      <c r="H2006">
        <v>17</v>
      </c>
      <c r="I2006" s="25">
        <v>1315</v>
      </c>
      <c r="K2006" t="s">
        <v>575</v>
      </c>
      <c r="L2006" t="s">
        <v>141</v>
      </c>
      <c r="M2006" t="s">
        <v>52</v>
      </c>
      <c r="N2006" t="s">
        <v>40</v>
      </c>
      <c r="O2006">
        <v>60</v>
      </c>
      <c r="Q2006">
        <f t="shared" si="64"/>
        <v>4</v>
      </c>
      <c r="S2006">
        <v>0</v>
      </c>
      <c r="T2006">
        <v>0</v>
      </c>
      <c r="U2006">
        <v>1</v>
      </c>
      <c r="V2006">
        <v>3</v>
      </c>
      <c r="W2006">
        <v>0</v>
      </c>
      <c r="X2006" s="21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P2006" t="s">
        <v>541</v>
      </c>
    </row>
    <row r="2007" spans="1:42">
      <c r="A2007" s="1">
        <v>43840</v>
      </c>
      <c r="B2007">
        <v>5</v>
      </c>
      <c r="C2007">
        <v>244</v>
      </c>
      <c r="D2007">
        <v>14449</v>
      </c>
      <c r="E2007" t="s">
        <v>112</v>
      </c>
      <c r="F2007" t="s">
        <v>90</v>
      </c>
      <c r="G2007">
        <v>4</v>
      </c>
      <c r="H2007">
        <v>18</v>
      </c>
      <c r="I2007" s="25">
        <v>1316</v>
      </c>
      <c r="K2007" t="s">
        <v>575</v>
      </c>
      <c r="L2007" t="s">
        <v>114</v>
      </c>
      <c r="M2007" t="s">
        <v>52</v>
      </c>
      <c r="N2007" t="s">
        <v>40</v>
      </c>
      <c r="O2007">
        <v>25</v>
      </c>
      <c r="Q2007">
        <f t="shared" si="64"/>
        <v>2</v>
      </c>
      <c r="S2007">
        <v>0</v>
      </c>
      <c r="T2007">
        <v>0</v>
      </c>
      <c r="U2007">
        <v>1</v>
      </c>
      <c r="V2007">
        <v>1</v>
      </c>
      <c r="W2007">
        <v>0</v>
      </c>
      <c r="X2007" s="21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P2007" t="s">
        <v>541</v>
      </c>
    </row>
    <row r="2008" spans="1:42">
      <c r="A2008" s="1">
        <v>43840</v>
      </c>
      <c r="B2008">
        <v>5</v>
      </c>
      <c r="C2008">
        <v>244</v>
      </c>
      <c r="D2008">
        <v>14449</v>
      </c>
      <c r="E2008" t="s">
        <v>112</v>
      </c>
      <c r="F2008" t="s">
        <v>90</v>
      </c>
      <c r="G2008">
        <v>4</v>
      </c>
      <c r="H2008">
        <v>19</v>
      </c>
      <c r="I2008" s="25">
        <v>1310</v>
      </c>
      <c r="K2008" t="s">
        <v>575</v>
      </c>
      <c r="L2008" t="s">
        <v>114</v>
      </c>
      <c r="M2008" t="s">
        <v>52</v>
      </c>
      <c r="N2008" t="s">
        <v>40</v>
      </c>
      <c r="O2008">
        <v>62</v>
      </c>
      <c r="Q2008">
        <f t="shared" si="64"/>
        <v>5</v>
      </c>
      <c r="S2008">
        <v>0</v>
      </c>
      <c r="T2008">
        <v>0</v>
      </c>
      <c r="U2008">
        <v>1</v>
      </c>
      <c r="V2008">
        <v>4</v>
      </c>
      <c r="W2008">
        <v>0</v>
      </c>
      <c r="X2008" s="21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P2008" t="s">
        <v>541</v>
      </c>
    </row>
    <row r="2009" spans="1:42">
      <c r="A2009" s="1">
        <v>43840</v>
      </c>
      <c r="B2009">
        <v>5</v>
      </c>
      <c r="C2009">
        <v>244</v>
      </c>
      <c r="D2009">
        <v>14449</v>
      </c>
      <c r="E2009" t="s">
        <v>112</v>
      </c>
      <c r="F2009" t="s">
        <v>90</v>
      </c>
      <c r="G2009">
        <v>4</v>
      </c>
      <c r="H2009">
        <v>20</v>
      </c>
      <c r="I2009" s="25">
        <v>1309</v>
      </c>
      <c r="K2009" t="s">
        <v>575</v>
      </c>
      <c r="L2009" t="s">
        <v>141</v>
      </c>
      <c r="M2009" t="s">
        <v>52</v>
      </c>
      <c r="N2009" t="s">
        <v>40</v>
      </c>
      <c r="O2009">
        <v>64</v>
      </c>
      <c r="Q2009">
        <f t="shared" si="64"/>
        <v>4</v>
      </c>
      <c r="S2009">
        <v>0</v>
      </c>
      <c r="T2009">
        <v>0</v>
      </c>
      <c r="U2009">
        <v>1</v>
      </c>
      <c r="V2009">
        <v>3</v>
      </c>
      <c r="W2009">
        <v>0</v>
      </c>
      <c r="X2009" s="21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P2009" t="s">
        <v>541</v>
      </c>
    </row>
    <row r="2010" spans="1:42">
      <c r="A2010" s="1">
        <v>43840</v>
      </c>
      <c r="B2010">
        <v>5</v>
      </c>
      <c r="C2010">
        <v>244</v>
      </c>
      <c r="D2010">
        <v>14449</v>
      </c>
      <c r="E2010" t="s">
        <v>112</v>
      </c>
      <c r="F2010" t="s">
        <v>90</v>
      </c>
      <c r="G2010">
        <v>4</v>
      </c>
      <c r="H2010">
        <v>21</v>
      </c>
      <c r="I2010" s="25">
        <v>1309</v>
      </c>
      <c r="K2010" t="s">
        <v>575</v>
      </c>
      <c r="L2010" t="s">
        <v>141</v>
      </c>
      <c r="M2010" t="s">
        <v>52</v>
      </c>
      <c r="N2010" t="s">
        <v>40</v>
      </c>
      <c r="O2010">
        <v>80</v>
      </c>
      <c r="Q2010">
        <f t="shared" si="64"/>
        <v>4</v>
      </c>
      <c r="S2010">
        <v>0</v>
      </c>
      <c r="T2010">
        <v>0</v>
      </c>
      <c r="U2010">
        <v>1</v>
      </c>
      <c r="V2010">
        <v>3</v>
      </c>
      <c r="W2010">
        <v>0</v>
      </c>
      <c r="X2010" s="21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P2010" t="s">
        <v>541</v>
      </c>
    </row>
    <row r="2011" spans="1:42">
      <c r="A2011" s="1">
        <v>43840</v>
      </c>
      <c r="B2011">
        <v>5</v>
      </c>
      <c r="C2011">
        <v>244</v>
      </c>
      <c r="D2011">
        <v>14449</v>
      </c>
      <c r="E2011" t="s">
        <v>112</v>
      </c>
      <c r="F2011" t="s">
        <v>90</v>
      </c>
      <c r="G2011">
        <v>4</v>
      </c>
      <c r="H2011">
        <v>22</v>
      </c>
      <c r="I2011" s="25">
        <v>1307</v>
      </c>
      <c r="K2011" t="s">
        <v>575</v>
      </c>
      <c r="L2011" t="s">
        <v>141</v>
      </c>
      <c r="M2011" t="s">
        <v>52</v>
      </c>
      <c r="N2011" t="s">
        <v>40</v>
      </c>
      <c r="O2011">
        <v>56</v>
      </c>
      <c r="Q2011">
        <f t="shared" si="64"/>
        <v>4</v>
      </c>
      <c r="S2011">
        <v>0</v>
      </c>
      <c r="T2011">
        <v>0</v>
      </c>
      <c r="U2011">
        <v>2</v>
      </c>
      <c r="V2011">
        <v>2</v>
      </c>
      <c r="W2011">
        <v>0</v>
      </c>
      <c r="X2011" s="2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P2011" t="s">
        <v>541</v>
      </c>
    </row>
    <row r="2012" spans="1:42">
      <c r="A2012" s="1">
        <v>43840</v>
      </c>
      <c r="B2012">
        <v>5</v>
      </c>
      <c r="C2012">
        <v>244</v>
      </c>
      <c r="D2012">
        <v>14449</v>
      </c>
      <c r="E2012" t="s">
        <v>112</v>
      </c>
      <c r="F2012" t="s">
        <v>90</v>
      </c>
      <c r="G2012">
        <v>4</v>
      </c>
      <c r="H2012">
        <v>23</v>
      </c>
      <c r="I2012" s="25">
        <v>1307</v>
      </c>
      <c r="K2012" t="s">
        <v>575</v>
      </c>
      <c r="L2012" t="s">
        <v>141</v>
      </c>
      <c r="M2012" t="s">
        <v>52</v>
      </c>
      <c r="N2012" t="s">
        <v>40</v>
      </c>
      <c r="O2012">
        <v>43</v>
      </c>
      <c r="Q2012">
        <f t="shared" si="64"/>
        <v>4</v>
      </c>
      <c r="S2012">
        <v>0</v>
      </c>
      <c r="T2012">
        <v>0</v>
      </c>
      <c r="U2012">
        <v>0</v>
      </c>
      <c r="V2012">
        <v>4</v>
      </c>
      <c r="W2012">
        <v>0</v>
      </c>
      <c r="X2012" s="21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P2012" t="s">
        <v>541</v>
      </c>
    </row>
    <row r="2013" spans="1:42">
      <c r="A2013" s="1">
        <v>43840</v>
      </c>
      <c r="B2013">
        <v>5</v>
      </c>
      <c r="C2013">
        <v>244</v>
      </c>
      <c r="D2013">
        <v>14449</v>
      </c>
      <c r="E2013" t="s">
        <v>112</v>
      </c>
      <c r="F2013" t="s">
        <v>90</v>
      </c>
      <c r="G2013">
        <v>4</v>
      </c>
      <c r="H2013">
        <v>24</v>
      </c>
      <c r="I2013" s="25">
        <v>1307</v>
      </c>
      <c r="K2013" t="s">
        <v>575</v>
      </c>
      <c r="L2013" t="s">
        <v>141</v>
      </c>
      <c r="M2013" t="s">
        <v>52</v>
      </c>
      <c r="N2013" t="s">
        <v>40</v>
      </c>
      <c r="O2013">
        <v>51</v>
      </c>
      <c r="Q2013">
        <f t="shared" si="64"/>
        <v>4</v>
      </c>
      <c r="S2013">
        <v>0</v>
      </c>
      <c r="T2013">
        <v>0</v>
      </c>
      <c r="U2013">
        <v>2</v>
      </c>
      <c r="V2013">
        <v>2</v>
      </c>
      <c r="W2013">
        <v>0</v>
      </c>
      <c r="X2013" s="21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P2013" t="s">
        <v>541</v>
      </c>
    </row>
    <row r="2014" spans="1:42">
      <c r="A2014" s="1">
        <v>43840</v>
      </c>
      <c r="B2014">
        <v>5</v>
      </c>
      <c r="C2014">
        <v>244</v>
      </c>
      <c r="D2014">
        <v>14449</v>
      </c>
      <c r="E2014" t="s">
        <v>112</v>
      </c>
      <c r="F2014" t="s">
        <v>90</v>
      </c>
      <c r="G2014">
        <v>4</v>
      </c>
      <c r="H2014">
        <v>25</v>
      </c>
      <c r="I2014" s="25">
        <v>1305</v>
      </c>
      <c r="K2014" t="s">
        <v>575</v>
      </c>
      <c r="L2014" t="s">
        <v>141</v>
      </c>
      <c r="M2014" t="s">
        <v>52</v>
      </c>
      <c r="N2014" t="s">
        <v>40</v>
      </c>
      <c r="O2014">
        <v>75</v>
      </c>
      <c r="Q2014">
        <f t="shared" si="64"/>
        <v>6</v>
      </c>
      <c r="S2014">
        <v>0</v>
      </c>
      <c r="T2014">
        <v>0</v>
      </c>
      <c r="U2014">
        <v>1</v>
      </c>
      <c r="V2014">
        <v>5</v>
      </c>
      <c r="W2014">
        <v>0</v>
      </c>
      <c r="X2014" s="21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P2014" t="s">
        <v>541</v>
      </c>
    </row>
    <row r="2015" spans="1:42">
      <c r="A2015" s="1">
        <v>43840</v>
      </c>
      <c r="B2015">
        <v>5</v>
      </c>
      <c r="C2015">
        <v>244</v>
      </c>
      <c r="D2015">
        <v>14449</v>
      </c>
      <c r="E2015" t="s">
        <v>112</v>
      </c>
      <c r="F2015" t="s">
        <v>90</v>
      </c>
      <c r="G2015">
        <v>4</v>
      </c>
      <c r="H2015">
        <v>26</v>
      </c>
      <c r="I2015" s="25">
        <v>1303</v>
      </c>
      <c r="K2015" t="s">
        <v>575</v>
      </c>
      <c r="L2015" t="s">
        <v>141</v>
      </c>
      <c r="M2015" t="s">
        <v>52</v>
      </c>
      <c r="N2015" t="s">
        <v>40</v>
      </c>
      <c r="O2015">
        <v>43</v>
      </c>
      <c r="Q2015">
        <f t="shared" si="64"/>
        <v>3</v>
      </c>
      <c r="S2015">
        <v>0</v>
      </c>
      <c r="T2015">
        <v>0</v>
      </c>
      <c r="U2015">
        <v>0</v>
      </c>
      <c r="V2015">
        <v>3</v>
      </c>
      <c r="W2015">
        <v>0</v>
      </c>
      <c r="X2015" s="21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P2015" t="s">
        <v>541</v>
      </c>
    </row>
    <row r="2016" spans="1:42">
      <c r="A2016" s="1">
        <v>43840</v>
      </c>
      <c r="B2016">
        <v>5</v>
      </c>
      <c r="C2016">
        <v>244</v>
      </c>
      <c r="D2016">
        <v>14449</v>
      </c>
      <c r="E2016" t="s">
        <v>112</v>
      </c>
      <c r="F2016" t="s">
        <v>90</v>
      </c>
      <c r="G2016">
        <v>4</v>
      </c>
      <c r="H2016">
        <v>27</v>
      </c>
      <c r="I2016" s="25">
        <v>1303</v>
      </c>
      <c r="K2016" t="s">
        <v>575</v>
      </c>
      <c r="L2016" t="s">
        <v>141</v>
      </c>
      <c r="M2016" t="s">
        <v>52</v>
      </c>
      <c r="N2016" t="s">
        <v>40</v>
      </c>
      <c r="O2016">
        <v>25</v>
      </c>
      <c r="Q2016">
        <f t="shared" si="64"/>
        <v>2</v>
      </c>
      <c r="S2016">
        <v>0</v>
      </c>
      <c r="T2016">
        <v>0</v>
      </c>
      <c r="U2016">
        <v>0</v>
      </c>
      <c r="V2016">
        <v>2</v>
      </c>
      <c r="W2016">
        <v>0</v>
      </c>
      <c r="X2016" s="21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P2016" t="s">
        <v>541</v>
      </c>
    </row>
    <row r="2017" spans="1:42">
      <c r="A2017" s="1">
        <v>43840</v>
      </c>
      <c r="B2017">
        <v>5</v>
      </c>
      <c r="C2017">
        <v>244</v>
      </c>
      <c r="D2017">
        <v>14449</v>
      </c>
      <c r="E2017" t="s">
        <v>112</v>
      </c>
      <c r="F2017" t="s">
        <v>90</v>
      </c>
      <c r="G2017">
        <v>4</v>
      </c>
      <c r="H2017">
        <v>28</v>
      </c>
      <c r="I2017" s="25">
        <v>1303</v>
      </c>
      <c r="K2017" t="s">
        <v>575</v>
      </c>
      <c r="L2017" t="s">
        <v>141</v>
      </c>
      <c r="M2017" t="s">
        <v>52</v>
      </c>
      <c r="N2017" t="s">
        <v>40</v>
      </c>
      <c r="O2017">
        <v>34</v>
      </c>
      <c r="Q2017">
        <f t="shared" si="64"/>
        <v>3</v>
      </c>
      <c r="S2017">
        <v>0</v>
      </c>
      <c r="T2017">
        <v>0</v>
      </c>
      <c r="U2017">
        <v>0</v>
      </c>
      <c r="V2017">
        <v>3</v>
      </c>
      <c r="W2017">
        <v>0</v>
      </c>
      <c r="X2017" s="21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P2017" t="s">
        <v>541</v>
      </c>
    </row>
    <row r="2018" spans="1:42">
      <c r="A2018" s="1">
        <v>43840</v>
      </c>
      <c r="B2018">
        <v>5</v>
      </c>
      <c r="C2018">
        <v>244</v>
      </c>
      <c r="D2018">
        <v>14449</v>
      </c>
      <c r="E2018" t="s">
        <v>112</v>
      </c>
      <c r="F2018" t="s">
        <v>90</v>
      </c>
      <c r="G2018">
        <v>4</v>
      </c>
      <c r="H2018">
        <v>29</v>
      </c>
      <c r="I2018" s="25">
        <v>1301</v>
      </c>
      <c r="K2018" t="s">
        <v>575</v>
      </c>
      <c r="L2018" t="s">
        <v>141</v>
      </c>
      <c r="M2018" t="s">
        <v>52</v>
      </c>
      <c r="N2018" t="s">
        <v>40</v>
      </c>
      <c r="O2018">
        <v>25</v>
      </c>
      <c r="Q2018">
        <f t="shared" si="64"/>
        <v>2</v>
      </c>
      <c r="S2018">
        <v>0</v>
      </c>
      <c r="T2018">
        <v>0</v>
      </c>
      <c r="U2018">
        <v>0</v>
      </c>
      <c r="V2018">
        <v>2</v>
      </c>
      <c r="W2018">
        <v>0</v>
      </c>
      <c r="X2018" s="21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P2018" t="s">
        <v>541</v>
      </c>
    </row>
    <row r="2019" spans="1:42">
      <c r="A2019" s="1">
        <v>43840</v>
      </c>
      <c r="B2019">
        <v>5</v>
      </c>
      <c r="C2019">
        <v>244</v>
      </c>
      <c r="D2019">
        <v>14449</v>
      </c>
      <c r="E2019" t="s">
        <v>112</v>
      </c>
      <c r="F2019" t="s">
        <v>90</v>
      </c>
      <c r="G2019">
        <v>4</v>
      </c>
      <c r="H2019">
        <v>30</v>
      </c>
      <c r="I2019" s="25">
        <v>1301</v>
      </c>
      <c r="K2019" t="s">
        <v>575</v>
      </c>
      <c r="L2019" t="s">
        <v>141</v>
      </c>
      <c r="M2019" t="s">
        <v>52</v>
      </c>
      <c r="N2019" t="s">
        <v>40</v>
      </c>
      <c r="O2019">
        <v>42</v>
      </c>
      <c r="Q2019">
        <f t="shared" si="64"/>
        <v>4</v>
      </c>
      <c r="S2019">
        <v>0</v>
      </c>
      <c r="T2019">
        <v>0</v>
      </c>
      <c r="U2019">
        <v>2</v>
      </c>
      <c r="V2019">
        <v>2</v>
      </c>
      <c r="W2019">
        <v>0</v>
      </c>
      <c r="X2019" s="21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P2019" t="s">
        <v>541</v>
      </c>
    </row>
    <row r="2020" spans="1:42">
      <c r="A2020" s="1">
        <v>43840</v>
      </c>
      <c r="B2020">
        <v>5</v>
      </c>
      <c r="C2020">
        <v>244</v>
      </c>
      <c r="D2020">
        <v>14449</v>
      </c>
      <c r="E2020" t="s">
        <v>112</v>
      </c>
      <c r="F2020" t="s">
        <v>90</v>
      </c>
      <c r="G2020">
        <v>4</v>
      </c>
      <c r="H2020">
        <v>31</v>
      </c>
      <c r="I2020" s="25">
        <v>1302</v>
      </c>
      <c r="K2020" t="s">
        <v>575</v>
      </c>
      <c r="L2020" t="s">
        <v>114</v>
      </c>
      <c r="M2020" t="s">
        <v>52</v>
      </c>
      <c r="N2020" t="s">
        <v>40</v>
      </c>
      <c r="O2020">
        <v>28</v>
      </c>
      <c r="Q2020">
        <f t="shared" si="64"/>
        <v>2</v>
      </c>
      <c r="S2020">
        <v>0</v>
      </c>
      <c r="T2020">
        <v>0</v>
      </c>
      <c r="U2020">
        <v>0</v>
      </c>
      <c r="V2020">
        <v>2</v>
      </c>
      <c r="W2020">
        <v>0</v>
      </c>
      <c r="X2020" s="21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P2020" t="s">
        <v>541</v>
      </c>
    </row>
    <row r="2021" spans="1:42">
      <c r="A2021" s="1">
        <v>43840</v>
      </c>
      <c r="B2021">
        <v>5</v>
      </c>
      <c r="C2021">
        <v>244</v>
      </c>
      <c r="D2021">
        <v>14449</v>
      </c>
      <c r="E2021" t="s">
        <v>112</v>
      </c>
      <c r="F2021" t="s">
        <v>90</v>
      </c>
      <c r="G2021">
        <v>4</v>
      </c>
      <c r="H2021">
        <v>32</v>
      </c>
      <c r="I2021" s="25">
        <v>1431</v>
      </c>
      <c r="K2021" t="s">
        <v>577</v>
      </c>
      <c r="L2021" t="s">
        <v>141</v>
      </c>
      <c r="M2021" t="s">
        <v>52</v>
      </c>
      <c r="N2021" t="s">
        <v>40</v>
      </c>
      <c r="O2021">
        <v>19</v>
      </c>
      <c r="Q2021">
        <f t="shared" si="64"/>
        <v>2</v>
      </c>
      <c r="S2021">
        <v>0</v>
      </c>
      <c r="T2021">
        <v>0</v>
      </c>
      <c r="U2021">
        <v>1</v>
      </c>
      <c r="V2021">
        <v>1</v>
      </c>
      <c r="W2021">
        <v>0</v>
      </c>
      <c r="X2021" s="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P2021" t="s">
        <v>541</v>
      </c>
    </row>
    <row r="2022" spans="1:42">
      <c r="A2022" s="1">
        <v>43840</v>
      </c>
      <c r="B2022">
        <v>5</v>
      </c>
      <c r="C2022">
        <v>244</v>
      </c>
      <c r="D2022">
        <v>14449</v>
      </c>
      <c r="E2022" t="s">
        <v>112</v>
      </c>
      <c r="F2022" t="s">
        <v>90</v>
      </c>
      <c r="G2022">
        <v>4</v>
      </c>
      <c r="H2022">
        <v>33</v>
      </c>
      <c r="I2022" s="25">
        <v>1431</v>
      </c>
      <c r="K2022" t="s">
        <v>577</v>
      </c>
      <c r="L2022" t="s">
        <v>141</v>
      </c>
      <c r="M2022" t="s">
        <v>52</v>
      </c>
      <c r="N2022" t="s">
        <v>40</v>
      </c>
      <c r="O2022">
        <v>24</v>
      </c>
      <c r="Q2022">
        <f t="shared" si="64"/>
        <v>2</v>
      </c>
      <c r="S2022">
        <v>0</v>
      </c>
      <c r="T2022">
        <v>0</v>
      </c>
      <c r="U2022">
        <v>0</v>
      </c>
      <c r="V2022">
        <v>2</v>
      </c>
      <c r="W2022">
        <v>0</v>
      </c>
      <c r="X2022" s="21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P2022" t="s">
        <v>541</v>
      </c>
    </row>
    <row r="2023" spans="1:42">
      <c r="A2023" s="1">
        <v>43840</v>
      </c>
      <c r="B2023">
        <v>5</v>
      </c>
      <c r="C2023">
        <v>244</v>
      </c>
      <c r="D2023">
        <v>14449</v>
      </c>
      <c r="E2023" t="s">
        <v>112</v>
      </c>
      <c r="F2023" t="s">
        <v>90</v>
      </c>
      <c r="G2023">
        <v>4</v>
      </c>
      <c r="H2023">
        <v>34</v>
      </c>
      <c r="I2023" s="25">
        <v>1433</v>
      </c>
      <c r="K2023" t="s">
        <v>577</v>
      </c>
      <c r="L2023" t="s">
        <v>141</v>
      </c>
      <c r="M2023" t="s">
        <v>52</v>
      </c>
      <c r="N2023" t="s">
        <v>40</v>
      </c>
      <c r="O2023">
        <v>30</v>
      </c>
      <c r="Q2023">
        <f t="shared" si="64"/>
        <v>2</v>
      </c>
      <c r="S2023">
        <v>0</v>
      </c>
      <c r="T2023">
        <v>0</v>
      </c>
      <c r="U2023">
        <v>0</v>
      </c>
      <c r="V2023">
        <v>0</v>
      </c>
      <c r="W2023">
        <v>2</v>
      </c>
      <c r="X2023" s="21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P2023" t="s">
        <v>541</v>
      </c>
    </row>
    <row r="2024" spans="1:42">
      <c r="A2024" s="1">
        <v>43840</v>
      </c>
      <c r="B2024">
        <v>5</v>
      </c>
      <c r="C2024">
        <v>244</v>
      </c>
      <c r="D2024">
        <v>14449</v>
      </c>
      <c r="E2024" t="s">
        <v>112</v>
      </c>
      <c r="F2024" t="s">
        <v>90</v>
      </c>
      <c r="G2024">
        <v>4</v>
      </c>
      <c r="H2024">
        <v>35</v>
      </c>
      <c r="I2024" s="25">
        <v>1433</v>
      </c>
      <c r="K2024" t="s">
        <v>577</v>
      </c>
      <c r="L2024" t="s">
        <v>141</v>
      </c>
      <c r="M2024" t="s">
        <v>52</v>
      </c>
      <c r="N2024" t="s">
        <v>40</v>
      </c>
      <c r="O2024">
        <v>102</v>
      </c>
      <c r="Q2024">
        <f t="shared" si="64"/>
        <v>8</v>
      </c>
      <c r="S2024">
        <v>0</v>
      </c>
      <c r="T2024">
        <v>0</v>
      </c>
      <c r="U2024">
        <v>6</v>
      </c>
      <c r="V2024">
        <v>0</v>
      </c>
      <c r="W2024">
        <v>2</v>
      </c>
      <c r="X2024" s="21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P2024" t="s">
        <v>541</v>
      </c>
    </row>
    <row r="2025" spans="1:42">
      <c r="A2025" s="1">
        <v>43840</v>
      </c>
      <c r="B2025">
        <v>5</v>
      </c>
      <c r="C2025">
        <v>244</v>
      </c>
      <c r="D2025">
        <v>14449</v>
      </c>
      <c r="E2025" t="s">
        <v>112</v>
      </c>
      <c r="F2025" t="s">
        <v>90</v>
      </c>
      <c r="G2025">
        <v>4</v>
      </c>
      <c r="H2025">
        <v>36</v>
      </c>
      <c r="I2025" s="25">
        <v>1435</v>
      </c>
      <c r="K2025" t="s">
        <v>577</v>
      </c>
      <c r="L2025" t="s">
        <v>141</v>
      </c>
      <c r="M2025" t="s">
        <v>52</v>
      </c>
      <c r="N2025" t="s">
        <v>40</v>
      </c>
      <c r="O2025">
        <v>57</v>
      </c>
      <c r="Q2025">
        <f t="shared" si="64"/>
        <v>4</v>
      </c>
      <c r="S2025">
        <v>0</v>
      </c>
      <c r="T2025">
        <v>0</v>
      </c>
      <c r="U2025">
        <v>0</v>
      </c>
      <c r="V2025">
        <v>0</v>
      </c>
      <c r="W2025">
        <v>4</v>
      </c>
      <c r="X2025" s="21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P2025" t="s">
        <v>541</v>
      </c>
    </row>
    <row r="2026" spans="1:42">
      <c r="A2026" s="1">
        <v>43840</v>
      </c>
      <c r="B2026">
        <v>5</v>
      </c>
      <c r="C2026">
        <v>244</v>
      </c>
      <c r="D2026">
        <v>14449</v>
      </c>
      <c r="E2026" t="s">
        <v>112</v>
      </c>
      <c r="F2026" t="s">
        <v>90</v>
      </c>
      <c r="G2026">
        <v>4</v>
      </c>
      <c r="H2026">
        <v>37</v>
      </c>
      <c r="I2026" s="25">
        <v>1434</v>
      </c>
      <c r="K2026" t="s">
        <v>577</v>
      </c>
      <c r="L2026" t="s">
        <v>114</v>
      </c>
      <c r="M2026" t="s">
        <v>52</v>
      </c>
      <c r="N2026" t="s">
        <v>40</v>
      </c>
      <c r="O2026">
        <v>75</v>
      </c>
      <c r="Q2026">
        <f t="shared" si="64"/>
        <v>3</v>
      </c>
      <c r="S2026">
        <v>0</v>
      </c>
      <c r="T2026">
        <v>0</v>
      </c>
      <c r="U2026">
        <v>1</v>
      </c>
      <c r="V2026">
        <v>0</v>
      </c>
      <c r="W2026">
        <v>2</v>
      </c>
      <c r="X2026" s="21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P2026" t="s">
        <v>541</v>
      </c>
    </row>
    <row r="2027" spans="1:42">
      <c r="A2027" s="1">
        <v>43840</v>
      </c>
      <c r="B2027">
        <v>5</v>
      </c>
      <c r="C2027">
        <v>244</v>
      </c>
      <c r="D2027">
        <v>14449</v>
      </c>
      <c r="E2027" t="s">
        <v>112</v>
      </c>
      <c r="F2027" t="s">
        <v>90</v>
      </c>
      <c r="G2027">
        <v>4</v>
      </c>
      <c r="H2027">
        <v>38</v>
      </c>
      <c r="I2027" s="25">
        <v>1434</v>
      </c>
      <c r="K2027" t="s">
        <v>577</v>
      </c>
      <c r="L2027" t="s">
        <v>114</v>
      </c>
      <c r="M2027" t="s">
        <v>52</v>
      </c>
      <c r="N2027" t="s">
        <v>40</v>
      </c>
      <c r="O2027">
        <v>26</v>
      </c>
      <c r="Q2027">
        <f t="shared" si="64"/>
        <v>2</v>
      </c>
      <c r="S2027">
        <v>0</v>
      </c>
      <c r="T2027">
        <v>0</v>
      </c>
      <c r="U2027">
        <v>0</v>
      </c>
      <c r="V2027">
        <v>0</v>
      </c>
      <c r="W2027">
        <v>2</v>
      </c>
      <c r="X2027" s="21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P2027" t="s">
        <v>541</v>
      </c>
    </row>
    <row r="2028" spans="1:42">
      <c r="A2028" s="1">
        <v>43840</v>
      </c>
      <c r="B2028">
        <v>5</v>
      </c>
      <c r="C2028">
        <v>244</v>
      </c>
      <c r="D2028">
        <v>14449</v>
      </c>
      <c r="E2028" t="s">
        <v>112</v>
      </c>
      <c r="F2028" t="s">
        <v>90</v>
      </c>
      <c r="G2028">
        <v>4</v>
      </c>
      <c r="H2028">
        <v>39</v>
      </c>
      <c r="I2028" s="25">
        <v>1432</v>
      </c>
      <c r="K2028" t="s">
        <v>577</v>
      </c>
      <c r="L2028" t="s">
        <v>114</v>
      </c>
      <c r="M2028" t="s">
        <v>52</v>
      </c>
      <c r="N2028" t="s">
        <v>40</v>
      </c>
      <c r="O2028">
        <v>43</v>
      </c>
      <c r="Q2028">
        <f t="shared" si="64"/>
        <v>4</v>
      </c>
      <c r="S2028">
        <v>0</v>
      </c>
      <c r="T2028">
        <v>0</v>
      </c>
      <c r="U2028">
        <v>4</v>
      </c>
      <c r="V2028">
        <v>0</v>
      </c>
      <c r="W2028">
        <v>0</v>
      </c>
      <c r="X2028" s="21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P2028" t="s">
        <v>541</v>
      </c>
    </row>
    <row r="2029" spans="1:42">
      <c r="A2029" s="1">
        <v>43840</v>
      </c>
      <c r="B2029">
        <v>5</v>
      </c>
      <c r="C2029">
        <v>244</v>
      </c>
      <c r="D2029">
        <v>14449</v>
      </c>
      <c r="E2029" t="s">
        <v>112</v>
      </c>
      <c r="F2029" t="s">
        <v>90</v>
      </c>
      <c r="G2029">
        <v>4</v>
      </c>
      <c r="H2029">
        <v>40</v>
      </c>
      <c r="I2029" s="25">
        <v>1432</v>
      </c>
      <c r="K2029" t="s">
        <v>577</v>
      </c>
      <c r="L2029" t="s">
        <v>114</v>
      </c>
      <c r="M2029" t="s">
        <v>52</v>
      </c>
      <c r="N2029" t="s">
        <v>40</v>
      </c>
      <c r="O2029">
        <v>24</v>
      </c>
      <c r="Q2029">
        <f t="shared" si="64"/>
        <v>2</v>
      </c>
      <c r="S2029">
        <v>0</v>
      </c>
      <c r="T2029">
        <v>0</v>
      </c>
      <c r="U2029">
        <v>0</v>
      </c>
      <c r="V2029">
        <v>0</v>
      </c>
      <c r="W2029">
        <v>2</v>
      </c>
      <c r="X2029" s="21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P2029" t="s">
        <v>541</v>
      </c>
    </row>
    <row r="2030" spans="1:42">
      <c r="A2030" s="1">
        <v>43840</v>
      </c>
      <c r="B2030">
        <v>5</v>
      </c>
      <c r="C2030">
        <v>244</v>
      </c>
      <c r="D2030">
        <v>14449</v>
      </c>
      <c r="E2030" t="s">
        <v>112</v>
      </c>
      <c r="F2030" t="s">
        <v>90</v>
      </c>
      <c r="G2030">
        <v>4</v>
      </c>
      <c r="H2030">
        <v>41</v>
      </c>
      <c r="I2030" s="25">
        <v>1430</v>
      </c>
      <c r="K2030" t="s">
        <v>577</v>
      </c>
      <c r="L2030" t="s">
        <v>114</v>
      </c>
      <c r="M2030" t="s">
        <v>52</v>
      </c>
      <c r="N2030" t="s">
        <v>40</v>
      </c>
      <c r="O2030">
        <v>57</v>
      </c>
      <c r="Q2030">
        <f t="shared" si="64"/>
        <v>4</v>
      </c>
      <c r="S2030">
        <v>0</v>
      </c>
      <c r="T2030">
        <v>0</v>
      </c>
      <c r="U2030">
        <v>2</v>
      </c>
      <c r="V2030">
        <v>2</v>
      </c>
      <c r="W2030">
        <v>0</v>
      </c>
      <c r="X2030" s="21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P2030" t="s">
        <v>541</v>
      </c>
    </row>
    <row r="2031" spans="1:42">
      <c r="A2031" s="1">
        <v>43840</v>
      </c>
      <c r="B2031">
        <v>5</v>
      </c>
      <c r="C2031">
        <v>244</v>
      </c>
      <c r="D2031">
        <v>14449</v>
      </c>
      <c r="E2031" t="s">
        <v>112</v>
      </c>
      <c r="F2031" t="s">
        <v>90</v>
      </c>
      <c r="G2031">
        <v>4</v>
      </c>
      <c r="H2031">
        <v>42</v>
      </c>
      <c r="I2031" s="25">
        <v>1430</v>
      </c>
      <c r="K2031" t="s">
        <v>577</v>
      </c>
      <c r="L2031" t="s">
        <v>114</v>
      </c>
      <c r="M2031" t="s">
        <v>52</v>
      </c>
      <c r="N2031" t="s">
        <v>40</v>
      </c>
      <c r="O2031">
        <v>46</v>
      </c>
      <c r="Q2031">
        <f t="shared" si="64"/>
        <v>4</v>
      </c>
      <c r="S2031">
        <v>0</v>
      </c>
      <c r="T2031">
        <v>0</v>
      </c>
      <c r="U2031">
        <v>2</v>
      </c>
      <c r="V2031">
        <v>2</v>
      </c>
      <c r="W2031">
        <v>0</v>
      </c>
      <c r="X2031" s="2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P2031" t="s">
        <v>541</v>
      </c>
    </row>
    <row r="2032" spans="1:42">
      <c r="A2032" s="1">
        <v>43840</v>
      </c>
      <c r="B2032">
        <v>5</v>
      </c>
      <c r="C2032">
        <v>244</v>
      </c>
      <c r="D2032">
        <v>14449</v>
      </c>
      <c r="E2032" t="s">
        <v>112</v>
      </c>
      <c r="F2032" t="s">
        <v>90</v>
      </c>
      <c r="G2032">
        <v>4</v>
      </c>
      <c r="H2032">
        <v>43</v>
      </c>
      <c r="I2032" s="25">
        <v>1306</v>
      </c>
      <c r="K2032" t="s">
        <v>575</v>
      </c>
      <c r="L2032" t="s">
        <v>114</v>
      </c>
      <c r="M2032" t="s">
        <v>52</v>
      </c>
      <c r="N2032" t="s">
        <v>40</v>
      </c>
      <c r="O2032">
        <v>56</v>
      </c>
      <c r="Q2032">
        <f t="shared" si="64"/>
        <v>4</v>
      </c>
      <c r="S2032">
        <v>0</v>
      </c>
      <c r="T2032">
        <v>0</v>
      </c>
      <c r="U2032">
        <v>0</v>
      </c>
      <c r="V2032">
        <v>4</v>
      </c>
      <c r="W2032">
        <v>0</v>
      </c>
      <c r="X2032" s="21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P2032" t="s">
        <v>541</v>
      </c>
    </row>
    <row r="2033" spans="1:42">
      <c r="A2033" s="1">
        <v>43840</v>
      </c>
      <c r="B2033">
        <v>5</v>
      </c>
      <c r="C2033">
        <v>244</v>
      </c>
      <c r="D2033">
        <v>14449</v>
      </c>
      <c r="E2033" t="s">
        <v>112</v>
      </c>
      <c r="F2033" t="s">
        <v>90</v>
      </c>
      <c r="G2033">
        <v>4</v>
      </c>
      <c r="H2033">
        <v>44</v>
      </c>
      <c r="I2033" s="25">
        <v>1306</v>
      </c>
      <c r="K2033" t="s">
        <v>575</v>
      </c>
      <c r="L2033" t="s">
        <v>114</v>
      </c>
      <c r="M2033" t="s">
        <v>52</v>
      </c>
      <c r="N2033" t="s">
        <v>40</v>
      </c>
      <c r="O2033">
        <v>59</v>
      </c>
      <c r="Q2033">
        <f t="shared" si="64"/>
        <v>4</v>
      </c>
      <c r="S2033">
        <v>0</v>
      </c>
      <c r="T2033">
        <v>0</v>
      </c>
      <c r="U2033">
        <v>1</v>
      </c>
      <c r="V2033">
        <v>3</v>
      </c>
      <c r="W2033">
        <v>0</v>
      </c>
      <c r="X2033" s="21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P2033" t="s">
        <v>541</v>
      </c>
    </row>
    <row r="2034" spans="1:42">
      <c r="A2034" s="1">
        <v>43840</v>
      </c>
      <c r="B2034">
        <v>5</v>
      </c>
      <c r="C2034">
        <v>244</v>
      </c>
      <c r="D2034">
        <v>14449</v>
      </c>
      <c r="E2034" t="s">
        <v>112</v>
      </c>
      <c r="F2034" t="s">
        <v>90</v>
      </c>
      <c r="G2034">
        <v>4</v>
      </c>
      <c r="H2034">
        <v>45</v>
      </c>
      <c r="I2034" s="25">
        <v>1306</v>
      </c>
      <c r="K2034" t="s">
        <v>575</v>
      </c>
      <c r="L2034" t="s">
        <v>114</v>
      </c>
      <c r="M2034" t="s">
        <v>52</v>
      </c>
      <c r="N2034" t="s">
        <v>40</v>
      </c>
      <c r="O2034">
        <v>65</v>
      </c>
      <c r="Q2034">
        <f t="shared" si="64"/>
        <v>4</v>
      </c>
      <c r="S2034">
        <v>0</v>
      </c>
      <c r="T2034">
        <v>0</v>
      </c>
      <c r="U2034">
        <v>2</v>
      </c>
      <c r="V2034">
        <v>2</v>
      </c>
      <c r="W2034">
        <v>0</v>
      </c>
      <c r="X2034" s="21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P2034" t="s">
        <v>541</v>
      </c>
    </row>
    <row r="2035" spans="1:42">
      <c r="A2035" s="1">
        <v>43840</v>
      </c>
      <c r="B2035">
        <v>5</v>
      </c>
      <c r="C2035">
        <v>244</v>
      </c>
      <c r="D2035">
        <v>14449</v>
      </c>
      <c r="E2035" t="s">
        <v>112</v>
      </c>
      <c r="F2035" t="s">
        <v>90</v>
      </c>
      <c r="G2035">
        <v>4</v>
      </c>
      <c r="H2035">
        <v>46</v>
      </c>
      <c r="I2035" s="25">
        <v>1308</v>
      </c>
      <c r="K2035" t="s">
        <v>575</v>
      </c>
      <c r="L2035" t="s">
        <v>114</v>
      </c>
      <c r="M2035" t="s">
        <v>52</v>
      </c>
      <c r="N2035" t="s">
        <v>40</v>
      </c>
      <c r="O2035">
        <v>28</v>
      </c>
      <c r="Q2035">
        <f t="shared" si="64"/>
        <v>2</v>
      </c>
      <c r="S2035">
        <v>0</v>
      </c>
      <c r="T2035">
        <v>0</v>
      </c>
      <c r="U2035">
        <v>0</v>
      </c>
      <c r="V2035">
        <v>2</v>
      </c>
      <c r="W2035">
        <v>0</v>
      </c>
      <c r="X2035" s="21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P2035" t="s">
        <v>541</v>
      </c>
    </row>
    <row r="2036" spans="1:42">
      <c r="A2036" s="1">
        <v>43840</v>
      </c>
      <c r="B2036">
        <v>5</v>
      </c>
      <c r="C2036">
        <v>244</v>
      </c>
      <c r="D2036">
        <v>14449</v>
      </c>
      <c r="E2036" t="s">
        <v>112</v>
      </c>
      <c r="F2036" t="s">
        <v>90</v>
      </c>
      <c r="G2036">
        <v>4</v>
      </c>
      <c r="H2036">
        <v>47</v>
      </c>
      <c r="I2036" s="25">
        <v>1308</v>
      </c>
      <c r="K2036" t="s">
        <v>575</v>
      </c>
      <c r="L2036" t="s">
        <v>114</v>
      </c>
      <c r="M2036" t="s">
        <v>52</v>
      </c>
      <c r="N2036" t="s">
        <v>40</v>
      </c>
      <c r="O2036">
        <v>66</v>
      </c>
      <c r="Q2036">
        <f t="shared" si="64"/>
        <v>5</v>
      </c>
      <c r="S2036">
        <v>0</v>
      </c>
      <c r="T2036">
        <v>0</v>
      </c>
      <c r="U2036">
        <v>2</v>
      </c>
      <c r="V2036">
        <v>3</v>
      </c>
      <c r="W2036">
        <v>0</v>
      </c>
      <c r="X2036" s="21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P2036" t="s">
        <v>541</v>
      </c>
    </row>
    <row r="2037" spans="1:42">
      <c r="A2037" s="1">
        <v>43840</v>
      </c>
      <c r="B2037">
        <v>5</v>
      </c>
      <c r="C2037">
        <v>244</v>
      </c>
      <c r="D2037">
        <v>14449</v>
      </c>
      <c r="E2037" t="s">
        <v>112</v>
      </c>
      <c r="F2037" t="s">
        <v>90</v>
      </c>
      <c r="G2037">
        <v>4</v>
      </c>
      <c r="H2037">
        <v>48</v>
      </c>
      <c r="I2037" s="25">
        <v>1308</v>
      </c>
      <c r="K2037" t="s">
        <v>575</v>
      </c>
      <c r="L2037" t="s">
        <v>114</v>
      </c>
      <c r="M2037" t="s">
        <v>52</v>
      </c>
      <c r="N2037" t="s">
        <v>40</v>
      </c>
      <c r="O2037">
        <v>25</v>
      </c>
      <c r="Q2037">
        <f t="shared" si="64"/>
        <v>2</v>
      </c>
      <c r="S2037">
        <v>0</v>
      </c>
      <c r="T2037">
        <v>0</v>
      </c>
      <c r="U2037">
        <v>1</v>
      </c>
      <c r="V2037">
        <v>1</v>
      </c>
      <c r="W2037">
        <v>0</v>
      </c>
      <c r="X2037" s="21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P2037" t="s">
        <v>541</v>
      </c>
    </row>
    <row r="2038" spans="1:42">
      <c r="A2038" s="1">
        <v>43840</v>
      </c>
      <c r="B2038">
        <v>5</v>
      </c>
      <c r="C2038">
        <v>244</v>
      </c>
      <c r="D2038">
        <v>14449</v>
      </c>
      <c r="E2038" t="s">
        <v>112</v>
      </c>
      <c r="F2038" t="s">
        <v>90</v>
      </c>
      <c r="G2038">
        <v>4</v>
      </c>
      <c r="H2038">
        <v>49</v>
      </c>
      <c r="I2038" s="25">
        <v>1310</v>
      </c>
      <c r="K2038" t="s">
        <v>575</v>
      </c>
      <c r="L2038" t="s">
        <v>114</v>
      </c>
      <c r="M2038" t="s">
        <v>52</v>
      </c>
      <c r="N2038" t="s">
        <v>40</v>
      </c>
      <c r="O2038">
        <v>54</v>
      </c>
      <c r="Q2038">
        <f t="shared" si="64"/>
        <v>4</v>
      </c>
      <c r="S2038">
        <v>0</v>
      </c>
      <c r="T2038">
        <v>0</v>
      </c>
      <c r="U2038">
        <v>2</v>
      </c>
      <c r="V2038">
        <v>2</v>
      </c>
      <c r="W2038">
        <v>0</v>
      </c>
      <c r="X2038" s="21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P2038" t="s">
        <v>541</v>
      </c>
    </row>
    <row r="2039" spans="1:42">
      <c r="A2039" s="1">
        <v>43840</v>
      </c>
      <c r="B2039">
        <v>5</v>
      </c>
      <c r="C2039">
        <v>244</v>
      </c>
      <c r="D2039">
        <v>14449</v>
      </c>
      <c r="E2039" t="s">
        <v>112</v>
      </c>
      <c r="F2039" t="s">
        <v>90</v>
      </c>
      <c r="G2039">
        <v>4</v>
      </c>
      <c r="H2039">
        <v>50</v>
      </c>
      <c r="I2039" s="25">
        <v>1312</v>
      </c>
      <c r="K2039" t="s">
        <v>575</v>
      </c>
      <c r="L2039" t="s">
        <v>114</v>
      </c>
      <c r="M2039" t="s">
        <v>52</v>
      </c>
      <c r="N2039" t="s">
        <v>40</v>
      </c>
      <c r="O2039">
        <v>80</v>
      </c>
      <c r="Q2039">
        <f t="shared" si="64"/>
        <v>4</v>
      </c>
      <c r="S2039">
        <v>0</v>
      </c>
      <c r="T2039">
        <v>0</v>
      </c>
      <c r="U2039">
        <v>2</v>
      </c>
      <c r="V2039">
        <v>2</v>
      </c>
      <c r="W2039">
        <v>0</v>
      </c>
      <c r="X2039" s="21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L2039" t="s">
        <v>550</v>
      </c>
      <c r="AP2039" t="s">
        <v>541</v>
      </c>
    </row>
    <row r="2040" spans="1:42">
      <c r="A2040" s="1">
        <v>43840</v>
      </c>
      <c r="B2040">
        <v>5</v>
      </c>
      <c r="C2040">
        <v>244</v>
      </c>
      <c r="D2040">
        <v>14449</v>
      </c>
      <c r="E2040" t="s">
        <v>112</v>
      </c>
      <c r="F2040" t="s">
        <v>90</v>
      </c>
      <c r="G2040">
        <v>4</v>
      </c>
      <c r="H2040">
        <v>51</v>
      </c>
      <c r="I2040" s="25">
        <v>1312</v>
      </c>
      <c r="K2040" t="s">
        <v>575</v>
      </c>
      <c r="L2040" t="s">
        <v>114</v>
      </c>
      <c r="M2040" t="s">
        <v>52</v>
      </c>
      <c r="N2040" t="s">
        <v>40</v>
      </c>
      <c r="O2040">
        <v>52</v>
      </c>
      <c r="Q2040">
        <f t="shared" si="64"/>
        <v>4</v>
      </c>
      <c r="S2040">
        <v>0</v>
      </c>
      <c r="T2040">
        <v>0</v>
      </c>
      <c r="U2040">
        <v>2</v>
      </c>
      <c r="V2040">
        <v>2</v>
      </c>
      <c r="W2040">
        <v>0</v>
      </c>
      <c r="X2040" s="21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P2040" t="s">
        <v>541</v>
      </c>
    </row>
    <row r="2041" spans="1:42">
      <c r="A2041" s="1">
        <v>43840</v>
      </c>
      <c r="B2041">
        <v>5</v>
      </c>
      <c r="C2041">
        <v>244</v>
      </c>
      <c r="D2041">
        <v>14449</v>
      </c>
      <c r="E2041" t="s">
        <v>112</v>
      </c>
      <c r="F2041" t="s">
        <v>90</v>
      </c>
      <c r="G2041">
        <v>4</v>
      </c>
      <c r="H2041">
        <v>52</v>
      </c>
      <c r="I2041" s="25">
        <v>1312</v>
      </c>
      <c r="K2041" t="s">
        <v>575</v>
      </c>
      <c r="L2041" t="s">
        <v>114</v>
      </c>
      <c r="M2041" t="s">
        <v>52</v>
      </c>
      <c r="N2041" t="s">
        <v>40</v>
      </c>
      <c r="O2041">
        <v>54</v>
      </c>
      <c r="Q2041">
        <f t="shared" ref="Q2041:Q2104" si="65">SUM(S2041:AC2041)</f>
        <v>4</v>
      </c>
      <c r="S2041">
        <v>0</v>
      </c>
      <c r="T2041">
        <v>0</v>
      </c>
      <c r="U2041">
        <v>2</v>
      </c>
      <c r="V2041">
        <v>2</v>
      </c>
      <c r="W2041">
        <v>0</v>
      </c>
      <c r="X2041" s="2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P2041" t="s">
        <v>541</v>
      </c>
    </row>
    <row r="2042" spans="1:42">
      <c r="A2042" s="1">
        <v>43840</v>
      </c>
      <c r="B2042">
        <v>5</v>
      </c>
      <c r="C2042">
        <v>244</v>
      </c>
      <c r="D2042">
        <v>14449</v>
      </c>
      <c r="E2042" t="s">
        <v>112</v>
      </c>
      <c r="F2042" t="s">
        <v>90</v>
      </c>
      <c r="G2042">
        <v>4</v>
      </c>
      <c r="H2042">
        <v>53</v>
      </c>
      <c r="I2042" s="25">
        <v>1314</v>
      </c>
      <c r="K2042" t="s">
        <v>575</v>
      </c>
      <c r="L2042" t="s">
        <v>114</v>
      </c>
      <c r="M2042" t="s">
        <v>52</v>
      </c>
      <c r="N2042" t="s">
        <v>40</v>
      </c>
      <c r="O2042">
        <v>48</v>
      </c>
      <c r="Q2042">
        <f t="shared" si="65"/>
        <v>2</v>
      </c>
      <c r="S2042">
        <v>0</v>
      </c>
      <c r="T2042">
        <v>0</v>
      </c>
      <c r="U2042">
        <v>1</v>
      </c>
      <c r="V2042">
        <v>1</v>
      </c>
      <c r="W2042">
        <v>0</v>
      </c>
      <c r="X2042" s="21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P2042" t="s">
        <v>541</v>
      </c>
    </row>
    <row r="2043" spans="1:42">
      <c r="A2043" s="1">
        <v>43840</v>
      </c>
      <c r="B2043">
        <v>5</v>
      </c>
      <c r="C2043">
        <v>244</v>
      </c>
      <c r="D2043">
        <v>14449</v>
      </c>
      <c r="E2043" t="s">
        <v>112</v>
      </c>
      <c r="F2043" t="s">
        <v>90</v>
      </c>
      <c r="G2043">
        <v>4</v>
      </c>
      <c r="H2043">
        <v>54</v>
      </c>
      <c r="I2043" s="25">
        <v>1314</v>
      </c>
      <c r="K2043" t="s">
        <v>575</v>
      </c>
      <c r="L2043" t="s">
        <v>114</v>
      </c>
      <c r="M2043" t="s">
        <v>52</v>
      </c>
      <c r="N2043" t="s">
        <v>40</v>
      </c>
      <c r="O2043">
        <v>32</v>
      </c>
      <c r="Q2043">
        <f t="shared" si="65"/>
        <v>2</v>
      </c>
      <c r="S2043">
        <v>0</v>
      </c>
      <c r="T2043">
        <v>0</v>
      </c>
      <c r="U2043">
        <v>1</v>
      </c>
      <c r="V2043">
        <v>1</v>
      </c>
      <c r="W2043">
        <v>0</v>
      </c>
      <c r="X2043" s="21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P2043" t="s">
        <v>541</v>
      </c>
    </row>
    <row r="2044" spans="1:42">
      <c r="A2044" s="1">
        <v>43840</v>
      </c>
      <c r="B2044">
        <v>5</v>
      </c>
      <c r="C2044">
        <v>244</v>
      </c>
      <c r="D2044">
        <v>14449</v>
      </c>
      <c r="E2044" t="s">
        <v>112</v>
      </c>
      <c r="F2044" t="s">
        <v>90</v>
      </c>
      <c r="G2044">
        <v>4</v>
      </c>
      <c r="H2044">
        <v>55</v>
      </c>
      <c r="I2044" s="25">
        <v>1316</v>
      </c>
      <c r="K2044" t="s">
        <v>575</v>
      </c>
      <c r="L2044" t="s">
        <v>114</v>
      </c>
      <c r="M2044" t="s">
        <v>52</v>
      </c>
      <c r="N2044" t="s">
        <v>40</v>
      </c>
      <c r="O2044">
        <v>69</v>
      </c>
      <c r="Q2044">
        <f t="shared" si="65"/>
        <v>4</v>
      </c>
      <c r="S2044">
        <v>0</v>
      </c>
      <c r="T2044">
        <v>0</v>
      </c>
      <c r="U2044">
        <v>2</v>
      </c>
      <c r="V2044">
        <v>2</v>
      </c>
      <c r="W2044">
        <v>0</v>
      </c>
      <c r="X2044" s="21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P2044" t="s">
        <v>541</v>
      </c>
    </row>
    <row r="2045" spans="1:42">
      <c r="A2045" s="1">
        <v>43840</v>
      </c>
      <c r="B2045">
        <v>5</v>
      </c>
      <c r="C2045">
        <v>244</v>
      </c>
      <c r="D2045">
        <v>14449</v>
      </c>
      <c r="E2045" t="s">
        <v>112</v>
      </c>
      <c r="F2045" t="s">
        <v>90</v>
      </c>
      <c r="G2045">
        <v>4</v>
      </c>
      <c r="H2045">
        <v>56</v>
      </c>
      <c r="I2045" s="25">
        <v>1316</v>
      </c>
      <c r="K2045" t="s">
        <v>575</v>
      </c>
      <c r="L2045" t="s">
        <v>114</v>
      </c>
      <c r="M2045" t="s">
        <v>52</v>
      </c>
      <c r="N2045" t="s">
        <v>40</v>
      </c>
      <c r="O2045">
        <v>50</v>
      </c>
      <c r="Q2045">
        <f t="shared" si="65"/>
        <v>3</v>
      </c>
      <c r="S2045">
        <v>0</v>
      </c>
      <c r="T2045">
        <v>0</v>
      </c>
      <c r="U2045">
        <v>1</v>
      </c>
      <c r="V2045">
        <v>2</v>
      </c>
      <c r="W2045">
        <v>0</v>
      </c>
      <c r="X2045" s="21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P2045" t="s">
        <v>541</v>
      </c>
    </row>
    <row r="2046" spans="1:42">
      <c r="A2046" s="1">
        <v>43840</v>
      </c>
      <c r="B2046">
        <v>5</v>
      </c>
      <c r="C2046">
        <v>244</v>
      </c>
      <c r="D2046">
        <v>14449</v>
      </c>
      <c r="E2046" t="s">
        <v>112</v>
      </c>
      <c r="F2046" t="s">
        <v>90</v>
      </c>
      <c r="G2046">
        <v>4</v>
      </c>
      <c r="H2046">
        <v>57</v>
      </c>
      <c r="I2046" s="25">
        <v>1316</v>
      </c>
      <c r="K2046" t="s">
        <v>575</v>
      </c>
      <c r="L2046" t="s">
        <v>114</v>
      </c>
      <c r="M2046" t="s">
        <v>52</v>
      </c>
      <c r="N2046" t="s">
        <v>40</v>
      </c>
      <c r="O2046">
        <v>61</v>
      </c>
      <c r="Q2046">
        <f t="shared" si="65"/>
        <v>5</v>
      </c>
      <c r="S2046">
        <v>0</v>
      </c>
      <c r="T2046">
        <v>0</v>
      </c>
      <c r="U2046">
        <v>0</v>
      </c>
      <c r="V2046">
        <v>5</v>
      </c>
      <c r="W2046">
        <v>0</v>
      </c>
      <c r="X2046" s="21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P2046" t="s">
        <v>541</v>
      </c>
    </row>
    <row r="2047" spans="1:42">
      <c r="A2047" s="1">
        <v>43840</v>
      </c>
      <c r="B2047">
        <v>5</v>
      </c>
      <c r="C2047">
        <v>244</v>
      </c>
      <c r="D2047">
        <v>14449</v>
      </c>
      <c r="E2047" t="s">
        <v>112</v>
      </c>
      <c r="F2047" t="s">
        <v>90</v>
      </c>
      <c r="G2047">
        <v>4</v>
      </c>
      <c r="H2047">
        <v>58</v>
      </c>
      <c r="I2047" s="25">
        <v>1318</v>
      </c>
      <c r="K2047" t="s">
        <v>575</v>
      </c>
      <c r="L2047" t="s">
        <v>114</v>
      </c>
      <c r="M2047" t="s">
        <v>52</v>
      </c>
      <c r="N2047" t="s">
        <v>40</v>
      </c>
      <c r="O2047">
        <v>35</v>
      </c>
      <c r="Q2047">
        <f t="shared" si="65"/>
        <v>2</v>
      </c>
      <c r="S2047">
        <v>0</v>
      </c>
      <c r="T2047">
        <v>0</v>
      </c>
      <c r="U2047">
        <v>0</v>
      </c>
      <c r="V2047">
        <v>1</v>
      </c>
      <c r="W2047">
        <v>1</v>
      </c>
      <c r="X2047" s="21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P2047" t="s">
        <v>541</v>
      </c>
    </row>
    <row r="2048" spans="1:42">
      <c r="A2048" s="1">
        <v>43840</v>
      </c>
      <c r="B2048">
        <v>5</v>
      </c>
      <c r="C2048">
        <v>244</v>
      </c>
      <c r="D2048">
        <v>14449</v>
      </c>
      <c r="E2048" t="s">
        <v>112</v>
      </c>
      <c r="F2048" t="s">
        <v>90</v>
      </c>
      <c r="G2048">
        <v>4</v>
      </c>
      <c r="H2048">
        <v>59</v>
      </c>
      <c r="I2048" s="25">
        <v>1318</v>
      </c>
      <c r="K2048" t="s">
        <v>575</v>
      </c>
      <c r="L2048" t="s">
        <v>114</v>
      </c>
      <c r="M2048" t="s">
        <v>52</v>
      </c>
      <c r="N2048" t="s">
        <v>40</v>
      </c>
      <c r="O2048">
        <v>70</v>
      </c>
      <c r="Q2048">
        <f t="shared" si="65"/>
        <v>3</v>
      </c>
      <c r="S2048">
        <v>0</v>
      </c>
      <c r="T2048">
        <v>0</v>
      </c>
      <c r="U2048">
        <v>0</v>
      </c>
      <c r="V2048">
        <v>1</v>
      </c>
      <c r="W2048">
        <v>2</v>
      </c>
      <c r="X2048" s="21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P2048" t="s">
        <v>541</v>
      </c>
    </row>
    <row r="2049" spans="1:42">
      <c r="A2049" s="1">
        <v>43840</v>
      </c>
      <c r="B2049">
        <v>5</v>
      </c>
      <c r="C2049">
        <v>244</v>
      </c>
      <c r="D2049">
        <v>14449</v>
      </c>
      <c r="E2049" t="s">
        <v>112</v>
      </c>
      <c r="F2049" t="s">
        <v>90</v>
      </c>
      <c r="G2049">
        <v>4</v>
      </c>
      <c r="H2049">
        <v>60</v>
      </c>
      <c r="I2049" s="25">
        <v>1401</v>
      </c>
      <c r="K2049" t="s">
        <v>578</v>
      </c>
      <c r="L2049" t="s">
        <v>141</v>
      </c>
      <c r="M2049" t="s">
        <v>52</v>
      </c>
      <c r="N2049" t="s">
        <v>40</v>
      </c>
      <c r="O2049">
        <v>79</v>
      </c>
      <c r="Q2049">
        <f t="shared" si="65"/>
        <v>6</v>
      </c>
      <c r="S2049">
        <v>0</v>
      </c>
      <c r="T2049">
        <v>0</v>
      </c>
      <c r="U2049">
        <v>3</v>
      </c>
      <c r="V2049">
        <v>3</v>
      </c>
      <c r="W2049">
        <v>0</v>
      </c>
      <c r="X2049" s="21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P2049" t="s">
        <v>541</v>
      </c>
    </row>
    <row r="2050" spans="1:42">
      <c r="A2050" s="1">
        <v>43840</v>
      </c>
      <c r="B2050">
        <v>5</v>
      </c>
      <c r="C2050">
        <v>244</v>
      </c>
      <c r="D2050">
        <v>14449</v>
      </c>
      <c r="E2050" t="s">
        <v>112</v>
      </c>
      <c r="F2050" t="s">
        <v>90</v>
      </c>
      <c r="G2050">
        <v>4</v>
      </c>
      <c r="H2050">
        <v>61</v>
      </c>
      <c r="I2050" s="25">
        <v>1401</v>
      </c>
      <c r="K2050" t="s">
        <v>578</v>
      </c>
      <c r="L2050" t="s">
        <v>141</v>
      </c>
      <c r="M2050" t="s">
        <v>52</v>
      </c>
      <c r="N2050" t="s">
        <v>40</v>
      </c>
      <c r="O2050">
        <v>29</v>
      </c>
      <c r="Q2050">
        <f t="shared" si="65"/>
        <v>2</v>
      </c>
      <c r="S2050">
        <v>0</v>
      </c>
      <c r="T2050">
        <v>0</v>
      </c>
      <c r="U2050">
        <v>0</v>
      </c>
      <c r="V2050">
        <v>2</v>
      </c>
      <c r="W2050">
        <v>0</v>
      </c>
      <c r="X2050" s="21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P2050" t="s">
        <v>541</v>
      </c>
    </row>
    <row r="2051" spans="1:42">
      <c r="A2051" s="1">
        <v>43840</v>
      </c>
      <c r="B2051">
        <v>5</v>
      </c>
      <c r="C2051">
        <v>244</v>
      </c>
      <c r="D2051">
        <v>14449</v>
      </c>
      <c r="E2051" t="s">
        <v>112</v>
      </c>
      <c r="F2051" t="s">
        <v>90</v>
      </c>
      <c r="G2051">
        <v>4</v>
      </c>
      <c r="H2051">
        <v>62</v>
      </c>
      <c r="I2051" s="25">
        <v>1401</v>
      </c>
      <c r="K2051" t="s">
        <v>578</v>
      </c>
      <c r="L2051" t="s">
        <v>141</v>
      </c>
      <c r="M2051" t="s">
        <v>52</v>
      </c>
      <c r="N2051" t="s">
        <v>40</v>
      </c>
      <c r="O2051">
        <v>31</v>
      </c>
      <c r="Q2051">
        <f t="shared" si="65"/>
        <v>2</v>
      </c>
      <c r="S2051">
        <v>0</v>
      </c>
      <c r="T2051">
        <v>0</v>
      </c>
      <c r="U2051">
        <v>1</v>
      </c>
      <c r="V2051">
        <v>1</v>
      </c>
      <c r="W2051">
        <v>0</v>
      </c>
      <c r="X2051" s="2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P2051" t="s">
        <v>541</v>
      </c>
    </row>
    <row r="2052" spans="1:42">
      <c r="A2052" s="1">
        <v>43840</v>
      </c>
      <c r="B2052">
        <v>5</v>
      </c>
      <c r="C2052">
        <v>244</v>
      </c>
      <c r="D2052">
        <v>14449</v>
      </c>
      <c r="E2052" t="s">
        <v>112</v>
      </c>
      <c r="F2052" t="s">
        <v>90</v>
      </c>
      <c r="G2052">
        <v>4</v>
      </c>
      <c r="H2052">
        <v>63</v>
      </c>
      <c r="I2052" s="25">
        <v>1418</v>
      </c>
      <c r="K2052" t="s">
        <v>579</v>
      </c>
      <c r="L2052" t="s">
        <v>114</v>
      </c>
      <c r="M2052" t="s">
        <v>52</v>
      </c>
      <c r="N2052" t="s">
        <v>40</v>
      </c>
      <c r="O2052">
        <v>50</v>
      </c>
      <c r="Q2052">
        <f t="shared" si="65"/>
        <v>4</v>
      </c>
      <c r="S2052">
        <v>0</v>
      </c>
      <c r="T2052">
        <v>0</v>
      </c>
      <c r="U2052">
        <v>2</v>
      </c>
      <c r="V2052">
        <v>2</v>
      </c>
      <c r="W2052">
        <v>0</v>
      </c>
      <c r="X2052" s="21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P2052" t="s">
        <v>541</v>
      </c>
    </row>
    <row r="2053" spans="1:42">
      <c r="A2053" s="1">
        <v>43840</v>
      </c>
      <c r="B2053">
        <v>5</v>
      </c>
      <c r="C2053">
        <v>244</v>
      </c>
      <c r="D2053">
        <v>14449</v>
      </c>
      <c r="E2053" t="s">
        <v>112</v>
      </c>
      <c r="F2053" t="s">
        <v>90</v>
      </c>
      <c r="G2053">
        <v>4</v>
      </c>
      <c r="H2053">
        <v>64</v>
      </c>
      <c r="I2053" s="25">
        <v>1418</v>
      </c>
      <c r="K2053" t="s">
        <v>579</v>
      </c>
      <c r="L2053" t="s">
        <v>114</v>
      </c>
      <c r="M2053" t="s">
        <v>52</v>
      </c>
      <c r="N2053" t="s">
        <v>40</v>
      </c>
      <c r="O2053">
        <v>90</v>
      </c>
      <c r="Q2053">
        <f t="shared" si="65"/>
        <v>6</v>
      </c>
      <c r="S2053">
        <v>0</v>
      </c>
      <c r="T2053">
        <v>0</v>
      </c>
      <c r="U2053">
        <v>3</v>
      </c>
      <c r="V2053">
        <v>3</v>
      </c>
      <c r="W2053">
        <v>0</v>
      </c>
      <c r="X2053" s="21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P2053" t="s">
        <v>541</v>
      </c>
    </row>
    <row r="2054" spans="1:42">
      <c r="A2054" s="1">
        <v>43840</v>
      </c>
      <c r="B2054">
        <v>5</v>
      </c>
      <c r="C2054">
        <v>244</v>
      </c>
      <c r="D2054">
        <v>14449</v>
      </c>
      <c r="E2054" t="s">
        <v>112</v>
      </c>
      <c r="F2054" t="s">
        <v>90</v>
      </c>
      <c r="G2054">
        <v>4</v>
      </c>
      <c r="H2054">
        <v>65</v>
      </c>
      <c r="I2054" s="25">
        <v>1420</v>
      </c>
      <c r="K2054" t="s">
        <v>579</v>
      </c>
      <c r="L2054" t="s">
        <v>114</v>
      </c>
      <c r="M2054" t="s">
        <v>52</v>
      </c>
      <c r="N2054" t="s">
        <v>40</v>
      </c>
      <c r="O2054">
        <v>28</v>
      </c>
      <c r="Q2054">
        <f t="shared" si="65"/>
        <v>2</v>
      </c>
      <c r="S2054">
        <v>0</v>
      </c>
      <c r="T2054">
        <v>0</v>
      </c>
      <c r="U2054">
        <v>0</v>
      </c>
      <c r="V2054">
        <v>2</v>
      </c>
      <c r="W2054">
        <v>0</v>
      </c>
      <c r="X2054" s="21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P2054" t="s">
        <v>541</v>
      </c>
    </row>
    <row r="2055" spans="1:42">
      <c r="A2055" s="1">
        <v>43840</v>
      </c>
      <c r="B2055">
        <v>5</v>
      </c>
      <c r="C2055">
        <v>244</v>
      </c>
      <c r="D2055">
        <v>14449</v>
      </c>
      <c r="E2055" t="s">
        <v>112</v>
      </c>
      <c r="F2055" t="s">
        <v>90</v>
      </c>
      <c r="G2055">
        <v>4</v>
      </c>
      <c r="H2055">
        <v>66</v>
      </c>
      <c r="I2055" s="25">
        <v>1419</v>
      </c>
      <c r="K2055" t="s">
        <v>579</v>
      </c>
      <c r="L2055" t="s">
        <v>141</v>
      </c>
      <c r="M2055" t="s">
        <v>52</v>
      </c>
      <c r="N2055" t="s">
        <v>40</v>
      </c>
      <c r="O2055">
        <v>49</v>
      </c>
      <c r="Q2055">
        <f t="shared" si="65"/>
        <v>3</v>
      </c>
      <c r="S2055">
        <v>0</v>
      </c>
      <c r="T2055">
        <v>0</v>
      </c>
      <c r="U2055">
        <v>0</v>
      </c>
      <c r="V2055">
        <v>2</v>
      </c>
      <c r="W2055">
        <v>1</v>
      </c>
      <c r="X2055" s="21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P2055" t="s">
        <v>541</v>
      </c>
    </row>
    <row r="2056" spans="1:42">
      <c r="A2056" s="1">
        <v>43840</v>
      </c>
      <c r="B2056">
        <v>5</v>
      </c>
      <c r="C2056">
        <v>244</v>
      </c>
      <c r="D2056">
        <v>14449</v>
      </c>
      <c r="E2056" t="s">
        <v>112</v>
      </c>
      <c r="F2056" t="s">
        <v>90</v>
      </c>
      <c r="G2056">
        <v>4</v>
      </c>
      <c r="H2056">
        <v>67</v>
      </c>
      <c r="I2056" s="25">
        <v>1419</v>
      </c>
      <c r="K2056" t="s">
        <v>579</v>
      </c>
      <c r="L2056" t="s">
        <v>141</v>
      </c>
      <c r="M2056" t="s">
        <v>52</v>
      </c>
      <c r="N2056" t="s">
        <v>40</v>
      </c>
      <c r="O2056">
        <v>48</v>
      </c>
      <c r="Q2056">
        <f t="shared" si="65"/>
        <v>4</v>
      </c>
      <c r="S2056">
        <v>0</v>
      </c>
      <c r="T2056">
        <v>0</v>
      </c>
      <c r="U2056">
        <v>2</v>
      </c>
      <c r="V2056">
        <v>2</v>
      </c>
      <c r="W2056">
        <v>0</v>
      </c>
      <c r="X2056" s="21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P2056" t="s">
        <v>541</v>
      </c>
    </row>
    <row r="2057" spans="1:42">
      <c r="A2057" s="1">
        <v>43840</v>
      </c>
      <c r="B2057">
        <v>5</v>
      </c>
      <c r="C2057">
        <v>244</v>
      </c>
      <c r="D2057">
        <v>14449</v>
      </c>
      <c r="E2057" t="s">
        <v>112</v>
      </c>
      <c r="F2057" t="s">
        <v>90</v>
      </c>
      <c r="G2057">
        <v>4</v>
      </c>
      <c r="H2057">
        <v>68</v>
      </c>
      <c r="I2057" s="25">
        <v>1403</v>
      </c>
      <c r="K2057" t="s">
        <v>578</v>
      </c>
      <c r="L2057" t="s">
        <v>141</v>
      </c>
      <c r="M2057" t="s">
        <v>52</v>
      </c>
      <c r="N2057" t="s">
        <v>40</v>
      </c>
      <c r="O2057">
        <v>87</v>
      </c>
      <c r="Q2057">
        <f t="shared" si="65"/>
        <v>6</v>
      </c>
      <c r="S2057">
        <v>0</v>
      </c>
      <c r="T2057">
        <v>0</v>
      </c>
      <c r="U2057">
        <v>3</v>
      </c>
      <c r="V2057">
        <v>3</v>
      </c>
      <c r="W2057">
        <v>0</v>
      </c>
      <c r="X2057" s="21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L2057" t="s">
        <v>550</v>
      </c>
      <c r="AP2057" t="s">
        <v>541</v>
      </c>
    </row>
    <row r="2058" spans="1:42">
      <c r="A2058" s="1">
        <v>43840</v>
      </c>
      <c r="B2058">
        <v>5</v>
      </c>
      <c r="C2058">
        <v>244</v>
      </c>
      <c r="D2058">
        <v>14449</v>
      </c>
      <c r="E2058" t="s">
        <v>112</v>
      </c>
      <c r="F2058" t="s">
        <v>90</v>
      </c>
      <c r="G2058">
        <v>4</v>
      </c>
      <c r="H2058">
        <v>69</v>
      </c>
      <c r="I2058" s="25">
        <v>1403</v>
      </c>
      <c r="K2058" t="s">
        <v>578</v>
      </c>
      <c r="L2058" t="s">
        <v>141</v>
      </c>
      <c r="M2058" t="s">
        <v>52</v>
      </c>
      <c r="N2058" t="s">
        <v>40</v>
      </c>
      <c r="O2058">
        <v>180</v>
      </c>
      <c r="Q2058">
        <f t="shared" si="65"/>
        <v>7</v>
      </c>
      <c r="S2058">
        <v>0</v>
      </c>
      <c r="T2058">
        <v>0</v>
      </c>
      <c r="U2058">
        <v>3</v>
      </c>
      <c r="V2058">
        <v>4</v>
      </c>
      <c r="W2058">
        <v>0</v>
      </c>
      <c r="X2058" s="21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P2058" t="s">
        <v>541</v>
      </c>
    </row>
    <row r="2059" spans="1:42">
      <c r="A2059" s="1">
        <v>43840</v>
      </c>
      <c r="B2059">
        <v>5</v>
      </c>
      <c r="C2059">
        <v>244</v>
      </c>
      <c r="D2059">
        <v>14449</v>
      </c>
      <c r="E2059" t="s">
        <v>112</v>
      </c>
      <c r="F2059" t="s">
        <v>90</v>
      </c>
      <c r="G2059">
        <v>4</v>
      </c>
      <c r="H2059">
        <v>70</v>
      </c>
      <c r="I2059" s="25">
        <v>1403</v>
      </c>
      <c r="K2059" t="s">
        <v>578</v>
      </c>
      <c r="L2059" t="s">
        <v>141</v>
      </c>
      <c r="M2059" t="s">
        <v>52</v>
      </c>
      <c r="N2059" t="s">
        <v>40</v>
      </c>
      <c r="O2059">
        <v>70</v>
      </c>
      <c r="Q2059">
        <f t="shared" si="65"/>
        <v>6</v>
      </c>
      <c r="S2059">
        <v>0</v>
      </c>
      <c r="T2059">
        <v>0</v>
      </c>
      <c r="U2059">
        <v>3</v>
      </c>
      <c r="V2059">
        <v>3</v>
      </c>
      <c r="W2059">
        <v>0</v>
      </c>
      <c r="X2059" s="21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P2059" t="s">
        <v>541</v>
      </c>
    </row>
    <row r="2060" spans="1:42">
      <c r="A2060" s="1">
        <v>43840</v>
      </c>
      <c r="B2060">
        <v>5</v>
      </c>
      <c r="C2060">
        <v>244</v>
      </c>
      <c r="D2060">
        <v>14449</v>
      </c>
      <c r="E2060" t="s">
        <v>112</v>
      </c>
      <c r="F2060" t="s">
        <v>90</v>
      </c>
      <c r="G2060">
        <v>4</v>
      </c>
      <c r="H2060">
        <v>71</v>
      </c>
      <c r="I2060" s="25">
        <v>1405</v>
      </c>
      <c r="K2060" t="s">
        <v>578</v>
      </c>
      <c r="L2060" t="s">
        <v>141</v>
      </c>
      <c r="M2060" t="s">
        <v>52</v>
      </c>
      <c r="N2060" t="s">
        <v>40</v>
      </c>
      <c r="O2060">
        <v>20</v>
      </c>
      <c r="Q2060">
        <f t="shared" si="65"/>
        <v>2</v>
      </c>
      <c r="S2060">
        <v>0</v>
      </c>
      <c r="T2060">
        <v>0</v>
      </c>
      <c r="U2060">
        <v>1</v>
      </c>
      <c r="V2060">
        <v>1</v>
      </c>
      <c r="W2060">
        <v>0</v>
      </c>
      <c r="X2060" s="21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P2060" t="s">
        <v>541</v>
      </c>
    </row>
    <row r="2061" spans="1:42">
      <c r="A2061" s="1">
        <v>43840</v>
      </c>
      <c r="B2061">
        <v>5</v>
      </c>
      <c r="C2061">
        <v>244</v>
      </c>
      <c r="D2061">
        <v>14449</v>
      </c>
      <c r="E2061" t="s">
        <v>112</v>
      </c>
      <c r="F2061" t="s">
        <v>90</v>
      </c>
      <c r="G2061">
        <v>4</v>
      </c>
      <c r="H2061">
        <v>72</v>
      </c>
      <c r="I2061" s="25">
        <v>1409</v>
      </c>
      <c r="K2061" t="s">
        <v>580</v>
      </c>
      <c r="L2061" t="s">
        <v>141</v>
      </c>
      <c r="M2061" t="s">
        <v>52</v>
      </c>
      <c r="N2061" t="s">
        <v>40</v>
      </c>
      <c r="O2061">
        <v>55</v>
      </c>
      <c r="Q2061">
        <f t="shared" si="65"/>
        <v>4</v>
      </c>
      <c r="S2061">
        <v>0</v>
      </c>
      <c r="T2061">
        <v>0</v>
      </c>
      <c r="U2061">
        <v>1</v>
      </c>
      <c r="V2061">
        <v>3</v>
      </c>
      <c r="W2061">
        <v>0</v>
      </c>
      <c r="X2061" s="2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P2061" t="s">
        <v>541</v>
      </c>
    </row>
    <row r="2062" spans="1:42">
      <c r="A2062" s="1">
        <v>43840</v>
      </c>
      <c r="B2062">
        <v>5</v>
      </c>
      <c r="C2062">
        <v>244</v>
      </c>
      <c r="D2062">
        <v>14449</v>
      </c>
      <c r="E2062" t="s">
        <v>112</v>
      </c>
      <c r="F2062" t="s">
        <v>90</v>
      </c>
      <c r="G2062">
        <v>4</v>
      </c>
      <c r="H2062">
        <v>73</v>
      </c>
      <c r="I2062" s="25">
        <v>1409</v>
      </c>
      <c r="K2062" t="s">
        <v>580</v>
      </c>
      <c r="L2062" t="s">
        <v>141</v>
      </c>
      <c r="M2062" t="s">
        <v>52</v>
      </c>
      <c r="N2062" t="s">
        <v>40</v>
      </c>
      <c r="O2062">
        <v>68</v>
      </c>
      <c r="Q2062">
        <f t="shared" si="65"/>
        <v>4</v>
      </c>
      <c r="S2062">
        <v>0</v>
      </c>
      <c r="T2062">
        <v>0</v>
      </c>
      <c r="U2062">
        <v>3</v>
      </c>
      <c r="V2062">
        <v>1</v>
      </c>
      <c r="W2062">
        <v>0</v>
      </c>
      <c r="X2062" s="21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P2062" t="s">
        <v>541</v>
      </c>
    </row>
    <row r="2063" spans="1:42">
      <c r="A2063" s="1">
        <v>43840</v>
      </c>
      <c r="B2063">
        <v>5</v>
      </c>
      <c r="C2063">
        <v>244</v>
      </c>
      <c r="D2063">
        <v>14449</v>
      </c>
      <c r="E2063" t="s">
        <v>112</v>
      </c>
      <c r="F2063" t="s">
        <v>90</v>
      </c>
      <c r="G2063">
        <v>4</v>
      </c>
      <c r="H2063">
        <v>74</v>
      </c>
      <c r="I2063" s="25">
        <v>1411</v>
      </c>
      <c r="K2063" t="s">
        <v>580</v>
      </c>
      <c r="L2063" t="s">
        <v>141</v>
      </c>
      <c r="M2063" t="s">
        <v>52</v>
      </c>
      <c r="N2063" t="s">
        <v>40</v>
      </c>
      <c r="O2063">
        <v>46</v>
      </c>
      <c r="Q2063">
        <f t="shared" si="65"/>
        <v>4</v>
      </c>
      <c r="S2063">
        <v>0</v>
      </c>
      <c r="T2063">
        <v>0</v>
      </c>
      <c r="U2063">
        <v>4</v>
      </c>
      <c r="V2063">
        <v>0</v>
      </c>
      <c r="W2063">
        <v>0</v>
      </c>
      <c r="X2063" s="21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P2063" t="s">
        <v>541</v>
      </c>
    </row>
    <row r="2064" spans="1:42">
      <c r="A2064" s="1">
        <v>43840</v>
      </c>
      <c r="B2064">
        <v>5</v>
      </c>
      <c r="C2064">
        <v>244</v>
      </c>
      <c r="D2064">
        <v>14449</v>
      </c>
      <c r="E2064" t="s">
        <v>112</v>
      </c>
      <c r="F2064" t="s">
        <v>90</v>
      </c>
      <c r="G2064">
        <v>4</v>
      </c>
      <c r="H2064">
        <v>75</v>
      </c>
      <c r="I2064" s="25">
        <v>1411</v>
      </c>
      <c r="K2064" t="s">
        <v>580</v>
      </c>
      <c r="L2064" t="s">
        <v>141</v>
      </c>
      <c r="M2064" t="s">
        <v>52</v>
      </c>
      <c r="N2064" t="s">
        <v>40</v>
      </c>
      <c r="O2064">
        <v>45</v>
      </c>
      <c r="Q2064">
        <f t="shared" si="65"/>
        <v>3</v>
      </c>
      <c r="S2064">
        <v>0</v>
      </c>
      <c r="T2064">
        <v>0</v>
      </c>
      <c r="U2064">
        <v>3</v>
      </c>
      <c r="V2064">
        <v>0</v>
      </c>
      <c r="W2064">
        <v>0</v>
      </c>
      <c r="X2064" s="21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P2064" t="s">
        <v>541</v>
      </c>
    </row>
    <row r="2065" spans="1:42">
      <c r="A2065" s="1">
        <v>43840</v>
      </c>
      <c r="B2065">
        <v>5</v>
      </c>
      <c r="C2065">
        <v>244</v>
      </c>
      <c r="D2065">
        <v>14449</v>
      </c>
      <c r="E2065" t="s">
        <v>112</v>
      </c>
      <c r="F2065" t="s">
        <v>90</v>
      </c>
      <c r="G2065">
        <v>4</v>
      </c>
      <c r="H2065">
        <v>76</v>
      </c>
      <c r="I2065" s="25">
        <v>1413</v>
      </c>
      <c r="K2065" t="s">
        <v>580</v>
      </c>
      <c r="L2065" t="s">
        <v>141</v>
      </c>
      <c r="M2065" t="s">
        <v>52</v>
      </c>
      <c r="N2065" t="s">
        <v>40</v>
      </c>
      <c r="O2065">
        <v>29</v>
      </c>
      <c r="Q2065">
        <f t="shared" si="65"/>
        <v>2</v>
      </c>
      <c r="S2065">
        <v>0</v>
      </c>
      <c r="T2065">
        <v>0</v>
      </c>
      <c r="U2065">
        <v>1</v>
      </c>
      <c r="V2065">
        <v>1</v>
      </c>
      <c r="W2065">
        <v>0</v>
      </c>
      <c r="X2065" s="21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P2065" t="s">
        <v>541</v>
      </c>
    </row>
    <row r="2066" spans="1:42">
      <c r="A2066" s="1">
        <v>43840</v>
      </c>
      <c r="B2066">
        <v>5</v>
      </c>
      <c r="C2066">
        <v>244</v>
      </c>
      <c r="D2066">
        <v>14449</v>
      </c>
      <c r="E2066" t="s">
        <v>112</v>
      </c>
      <c r="F2066" t="s">
        <v>90</v>
      </c>
      <c r="G2066">
        <v>4</v>
      </c>
      <c r="H2066">
        <v>77</v>
      </c>
      <c r="I2066" s="25">
        <v>1413</v>
      </c>
      <c r="K2066" t="s">
        <v>580</v>
      </c>
      <c r="L2066" t="s">
        <v>141</v>
      </c>
      <c r="M2066" t="s">
        <v>52</v>
      </c>
      <c r="N2066" t="s">
        <v>40</v>
      </c>
      <c r="O2066">
        <v>44</v>
      </c>
      <c r="Q2066">
        <f t="shared" si="65"/>
        <v>3</v>
      </c>
      <c r="S2066">
        <v>0</v>
      </c>
      <c r="T2066">
        <v>0</v>
      </c>
      <c r="U2066">
        <v>1</v>
      </c>
      <c r="V2066">
        <v>2</v>
      </c>
      <c r="W2066">
        <v>0</v>
      </c>
      <c r="X2066" s="21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P2066" t="s">
        <v>541</v>
      </c>
    </row>
    <row r="2067" spans="1:42">
      <c r="A2067" s="1">
        <v>43840</v>
      </c>
      <c r="B2067">
        <v>5</v>
      </c>
      <c r="C2067">
        <v>244</v>
      </c>
      <c r="D2067">
        <v>14449</v>
      </c>
      <c r="E2067" t="s">
        <v>112</v>
      </c>
      <c r="F2067" t="s">
        <v>90</v>
      </c>
      <c r="G2067">
        <v>4</v>
      </c>
      <c r="H2067">
        <v>78</v>
      </c>
      <c r="I2067" s="25">
        <v>1412</v>
      </c>
      <c r="K2067" t="s">
        <v>580</v>
      </c>
      <c r="L2067" t="s">
        <v>114</v>
      </c>
      <c r="M2067" t="s">
        <v>52</v>
      </c>
      <c r="N2067" t="s">
        <v>40</v>
      </c>
      <c r="O2067">
        <v>98</v>
      </c>
      <c r="Q2067">
        <f t="shared" si="65"/>
        <v>6</v>
      </c>
      <c r="S2067">
        <v>0</v>
      </c>
      <c r="T2067">
        <v>0</v>
      </c>
      <c r="U2067">
        <v>3</v>
      </c>
      <c r="V2067">
        <v>3</v>
      </c>
      <c r="W2067">
        <v>0</v>
      </c>
      <c r="X2067" s="21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P2067" t="s">
        <v>541</v>
      </c>
    </row>
    <row r="2068" spans="1:42">
      <c r="A2068" s="1">
        <v>43840</v>
      </c>
      <c r="B2068">
        <v>5</v>
      </c>
      <c r="C2068">
        <v>244</v>
      </c>
      <c r="D2068">
        <v>14449</v>
      </c>
      <c r="E2068" t="s">
        <v>112</v>
      </c>
      <c r="F2068" t="s">
        <v>90</v>
      </c>
      <c r="G2068">
        <v>4</v>
      </c>
      <c r="H2068">
        <v>79</v>
      </c>
      <c r="I2068" s="25">
        <v>1410</v>
      </c>
      <c r="K2068" t="s">
        <v>580</v>
      </c>
      <c r="L2068" t="s">
        <v>114</v>
      </c>
      <c r="M2068" t="s">
        <v>52</v>
      </c>
      <c r="N2068" t="s">
        <v>40</v>
      </c>
      <c r="O2068">
        <v>69</v>
      </c>
      <c r="Q2068">
        <f t="shared" si="65"/>
        <v>8</v>
      </c>
      <c r="S2068">
        <v>0</v>
      </c>
      <c r="T2068">
        <v>0</v>
      </c>
      <c r="U2068">
        <v>4</v>
      </c>
      <c r="V2068">
        <v>4</v>
      </c>
      <c r="W2068">
        <v>0</v>
      </c>
      <c r="X2068" s="21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P2068" t="s">
        <v>541</v>
      </c>
    </row>
    <row r="2069" spans="1:42">
      <c r="A2069" s="1">
        <v>43840</v>
      </c>
      <c r="B2069">
        <v>5</v>
      </c>
      <c r="C2069">
        <v>244</v>
      </c>
      <c r="D2069">
        <v>14449</v>
      </c>
      <c r="E2069" t="s">
        <v>112</v>
      </c>
      <c r="F2069" t="s">
        <v>90</v>
      </c>
      <c r="G2069">
        <v>4</v>
      </c>
      <c r="H2069">
        <v>80</v>
      </c>
      <c r="I2069" s="25">
        <v>1410</v>
      </c>
      <c r="K2069" t="s">
        <v>580</v>
      </c>
      <c r="L2069" t="s">
        <v>114</v>
      </c>
      <c r="M2069" t="s">
        <v>52</v>
      </c>
      <c r="N2069" t="s">
        <v>40</v>
      </c>
      <c r="O2069">
        <v>94</v>
      </c>
      <c r="Q2069">
        <f t="shared" si="65"/>
        <v>7</v>
      </c>
      <c r="S2069">
        <v>0</v>
      </c>
      <c r="T2069">
        <v>0</v>
      </c>
      <c r="U2069">
        <v>4</v>
      </c>
      <c r="V2069">
        <v>3</v>
      </c>
      <c r="W2069">
        <v>0</v>
      </c>
      <c r="X2069" s="21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P2069" t="s">
        <v>541</v>
      </c>
    </row>
    <row r="2070" spans="1:42">
      <c r="A2070" s="1">
        <v>43840</v>
      </c>
      <c r="B2070">
        <v>5</v>
      </c>
      <c r="C2070">
        <v>244</v>
      </c>
      <c r="D2070">
        <v>14449</v>
      </c>
      <c r="E2070" t="s">
        <v>112</v>
      </c>
      <c r="F2070" t="s">
        <v>90</v>
      </c>
      <c r="G2070">
        <v>4</v>
      </c>
      <c r="H2070">
        <v>81</v>
      </c>
      <c r="I2070" s="25">
        <v>1405</v>
      </c>
      <c r="K2070" t="s">
        <v>580</v>
      </c>
      <c r="L2070" t="s">
        <v>141</v>
      </c>
      <c r="M2070" t="s">
        <v>52</v>
      </c>
      <c r="N2070" t="s">
        <v>40</v>
      </c>
      <c r="O2070">
        <v>70</v>
      </c>
      <c r="Q2070">
        <f t="shared" si="65"/>
        <v>6</v>
      </c>
      <c r="S2070">
        <v>0</v>
      </c>
      <c r="T2070">
        <v>0</v>
      </c>
      <c r="U2070">
        <v>3</v>
      </c>
      <c r="V2070">
        <v>3</v>
      </c>
      <c r="W2070">
        <v>0</v>
      </c>
      <c r="X2070" s="21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P2070" t="s">
        <v>541</v>
      </c>
    </row>
    <row r="2071" spans="1:42">
      <c r="A2071" s="1">
        <v>43840</v>
      </c>
      <c r="B2071">
        <v>5</v>
      </c>
      <c r="C2071">
        <v>244</v>
      </c>
      <c r="D2071">
        <v>14449</v>
      </c>
      <c r="E2071" t="s">
        <v>112</v>
      </c>
      <c r="F2071" t="s">
        <v>90</v>
      </c>
      <c r="G2071">
        <v>4</v>
      </c>
      <c r="H2071">
        <v>82</v>
      </c>
      <c r="I2071" s="25">
        <v>1408</v>
      </c>
      <c r="K2071" t="s">
        <v>580</v>
      </c>
      <c r="L2071" t="s">
        <v>114</v>
      </c>
      <c r="M2071" t="s">
        <v>52</v>
      </c>
      <c r="N2071" t="s">
        <v>40</v>
      </c>
      <c r="O2071">
        <v>69</v>
      </c>
      <c r="Q2071">
        <f t="shared" si="65"/>
        <v>5</v>
      </c>
      <c r="S2071">
        <v>0</v>
      </c>
      <c r="T2071">
        <v>0</v>
      </c>
      <c r="U2071">
        <v>3</v>
      </c>
      <c r="V2071">
        <v>2</v>
      </c>
      <c r="W2071">
        <v>0</v>
      </c>
      <c r="X2071" s="2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P2071" t="s">
        <v>541</v>
      </c>
    </row>
    <row r="2072" spans="1:42">
      <c r="A2072" s="1">
        <v>43840</v>
      </c>
      <c r="B2072">
        <v>5</v>
      </c>
      <c r="C2072">
        <v>244</v>
      </c>
      <c r="D2072">
        <v>14449</v>
      </c>
      <c r="E2072" t="s">
        <v>112</v>
      </c>
      <c r="F2072" t="s">
        <v>90</v>
      </c>
      <c r="G2072">
        <v>4</v>
      </c>
      <c r="H2072">
        <v>83</v>
      </c>
      <c r="I2072" s="25">
        <v>1406</v>
      </c>
      <c r="K2072" t="s">
        <v>580</v>
      </c>
      <c r="L2072" t="s">
        <v>114</v>
      </c>
      <c r="M2072" t="s">
        <v>52</v>
      </c>
      <c r="N2072" t="s">
        <v>40</v>
      </c>
      <c r="O2072">
        <v>59</v>
      </c>
      <c r="Q2072">
        <f t="shared" si="65"/>
        <v>5</v>
      </c>
      <c r="S2072">
        <v>0</v>
      </c>
      <c r="T2072">
        <v>0</v>
      </c>
      <c r="U2072">
        <v>3</v>
      </c>
      <c r="V2072">
        <v>2</v>
      </c>
      <c r="W2072">
        <v>0</v>
      </c>
      <c r="X2072" s="21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P2072" t="s">
        <v>541</v>
      </c>
    </row>
    <row r="2073" spans="1:42">
      <c r="A2073" s="1">
        <v>43840</v>
      </c>
      <c r="B2073">
        <v>5</v>
      </c>
      <c r="C2073">
        <v>244</v>
      </c>
      <c r="D2073">
        <v>14449</v>
      </c>
      <c r="E2073" t="s">
        <v>112</v>
      </c>
      <c r="F2073" t="s">
        <v>90</v>
      </c>
      <c r="G2073">
        <v>4</v>
      </c>
      <c r="H2073">
        <v>84</v>
      </c>
      <c r="I2073" s="25">
        <v>1406</v>
      </c>
      <c r="K2073" t="s">
        <v>580</v>
      </c>
      <c r="L2073" t="s">
        <v>114</v>
      </c>
      <c r="M2073" t="s">
        <v>52</v>
      </c>
      <c r="N2073" t="s">
        <v>40</v>
      </c>
      <c r="O2073">
        <v>59</v>
      </c>
      <c r="Q2073">
        <f t="shared" si="65"/>
        <v>5</v>
      </c>
      <c r="S2073">
        <v>0</v>
      </c>
      <c r="T2073">
        <v>0</v>
      </c>
      <c r="U2073">
        <v>2</v>
      </c>
      <c r="V2073">
        <v>3</v>
      </c>
      <c r="W2073">
        <v>0</v>
      </c>
      <c r="X2073" s="21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P2073" t="s">
        <v>541</v>
      </c>
    </row>
    <row r="2074" spans="1:42">
      <c r="A2074" s="1">
        <v>43840</v>
      </c>
      <c r="B2074">
        <v>5</v>
      </c>
      <c r="C2074">
        <v>244</v>
      </c>
      <c r="D2074">
        <v>14449</v>
      </c>
      <c r="E2074" t="s">
        <v>112</v>
      </c>
      <c r="F2074" t="s">
        <v>90</v>
      </c>
      <c r="G2074">
        <v>4</v>
      </c>
      <c r="H2074">
        <v>85</v>
      </c>
      <c r="I2074" s="25">
        <v>1404</v>
      </c>
      <c r="K2074" t="s">
        <v>580</v>
      </c>
      <c r="L2074" t="s">
        <v>114</v>
      </c>
      <c r="M2074" t="s">
        <v>52</v>
      </c>
      <c r="N2074" t="s">
        <v>40</v>
      </c>
      <c r="O2074">
        <v>26</v>
      </c>
      <c r="Q2074">
        <f t="shared" si="65"/>
        <v>2</v>
      </c>
      <c r="S2074">
        <v>0</v>
      </c>
      <c r="T2074">
        <v>0</v>
      </c>
      <c r="U2074">
        <v>1</v>
      </c>
      <c r="V2074">
        <v>1</v>
      </c>
      <c r="W2074">
        <v>0</v>
      </c>
      <c r="X2074" s="21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P2074" t="s">
        <v>541</v>
      </c>
    </row>
    <row r="2075" spans="1:42">
      <c r="A2075" s="1">
        <v>43840</v>
      </c>
      <c r="B2075">
        <v>5</v>
      </c>
      <c r="C2075">
        <v>244</v>
      </c>
      <c r="D2075">
        <v>14449</v>
      </c>
      <c r="E2075" t="s">
        <v>112</v>
      </c>
      <c r="F2075" t="s">
        <v>90</v>
      </c>
      <c r="G2075">
        <v>4</v>
      </c>
      <c r="H2075">
        <v>86</v>
      </c>
      <c r="I2075" s="25">
        <v>1404</v>
      </c>
      <c r="K2075" t="s">
        <v>580</v>
      </c>
      <c r="L2075" t="s">
        <v>114</v>
      </c>
      <c r="M2075" t="s">
        <v>52</v>
      </c>
      <c r="N2075" t="s">
        <v>40</v>
      </c>
      <c r="O2075">
        <v>67</v>
      </c>
      <c r="Q2075">
        <f t="shared" si="65"/>
        <v>5</v>
      </c>
      <c r="S2075">
        <v>0</v>
      </c>
      <c r="T2075">
        <v>0</v>
      </c>
      <c r="U2075">
        <v>2</v>
      </c>
      <c r="V2075">
        <v>3</v>
      </c>
      <c r="W2075">
        <v>0</v>
      </c>
      <c r="X2075" s="21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P2075" t="s">
        <v>541</v>
      </c>
    </row>
    <row r="2076" spans="1:42">
      <c r="A2076" s="1">
        <v>43840</v>
      </c>
      <c r="B2076">
        <v>5</v>
      </c>
      <c r="C2076">
        <v>244</v>
      </c>
      <c r="D2076">
        <v>14449</v>
      </c>
      <c r="E2076" t="s">
        <v>112</v>
      </c>
      <c r="F2076" t="s">
        <v>90</v>
      </c>
      <c r="G2076">
        <v>4</v>
      </c>
      <c r="H2076">
        <v>87</v>
      </c>
      <c r="I2076" s="25">
        <v>1402</v>
      </c>
      <c r="K2076" t="s">
        <v>580</v>
      </c>
      <c r="L2076" t="s">
        <v>114</v>
      </c>
      <c r="M2076" t="s">
        <v>52</v>
      </c>
      <c r="N2076" t="s">
        <v>40</v>
      </c>
      <c r="O2076">
        <v>55</v>
      </c>
      <c r="Q2076">
        <f t="shared" si="65"/>
        <v>6</v>
      </c>
      <c r="S2076">
        <v>0</v>
      </c>
      <c r="T2076">
        <v>0</v>
      </c>
      <c r="U2076">
        <v>2</v>
      </c>
      <c r="V2076">
        <v>4</v>
      </c>
      <c r="W2076">
        <v>0</v>
      </c>
      <c r="X2076" s="21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P2076" t="s">
        <v>541</v>
      </c>
    </row>
    <row r="2077" spans="1:42">
      <c r="A2077" s="1">
        <v>43840</v>
      </c>
      <c r="B2077">
        <v>5</v>
      </c>
      <c r="C2077">
        <v>244</v>
      </c>
      <c r="D2077">
        <v>14449</v>
      </c>
      <c r="E2077" t="s">
        <v>112</v>
      </c>
      <c r="F2077" t="s">
        <v>90</v>
      </c>
      <c r="G2077">
        <v>4</v>
      </c>
      <c r="H2077">
        <v>88</v>
      </c>
      <c r="I2077" s="25">
        <v>1402</v>
      </c>
      <c r="K2077" t="s">
        <v>580</v>
      </c>
      <c r="L2077" t="s">
        <v>114</v>
      </c>
      <c r="M2077" t="s">
        <v>52</v>
      </c>
      <c r="N2077" t="s">
        <v>40</v>
      </c>
      <c r="O2077">
        <v>76</v>
      </c>
      <c r="Q2077">
        <f t="shared" si="65"/>
        <v>5</v>
      </c>
      <c r="S2077">
        <v>0</v>
      </c>
      <c r="T2077">
        <v>0</v>
      </c>
      <c r="U2077">
        <v>3</v>
      </c>
      <c r="V2077">
        <v>2</v>
      </c>
      <c r="W2077">
        <v>0</v>
      </c>
      <c r="X2077" s="21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P2077" t="s">
        <v>541</v>
      </c>
    </row>
    <row r="2078" spans="1:42">
      <c r="A2078" s="1">
        <v>43840</v>
      </c>
      <c r="B2078">
        <v>5</v>
      </c>
      <c r="C2078">
        <v>244</v>
      </c>
      <c r="D2078">
        <v>14449</v>
      </c>
      <c r="E2078" t="s">
        <v>112</v>
      </c>
      <c r="F2078" t="s">
        <v>90</v>
      </c>
      <c r="G2078">
        <v>4</v>
      </c>
      <c r="H2078">
        <v>89</v>
      </c>
      <c r="I2078" s="25">
        <v>1400</v>
      </c>
      <c r="K2078" t="s">
        <v>580</v>
      </c>
      <c r="L2078" t="s">
        <v>114</v>
      </c>
      <c r="M2078" t="s">
        <v>52</v>
      </c>
      <c r="N2078" t="s">
        <v>40</v>
      </c>
      <c r="O2078">
        <v>43</v>
      </c>
      <c r="Q2078">
        <f t="shared" si="65"/>
        <v>4</v>
      </c>
      <c r="S2078">
        <v>0</v>
      </c>
      <c r="T2078">
        <v>0</v>
      </c>
      <c r="U2078">
        <v>2</v>
      </c>
      <c r="V2078">
        <v>2</v>
      </c>
      <c r="W2078">
        <v>0</v>
      </c>
      <c r="X2078" s="21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P2078" t="s">
        <v>541</v>
      </c>
    </row>
    <row r="2079" spans="1:42">
      <c r="A2079" s="1">
        <v>43840</v>
      </c>
      <c r="B2079">
        <v>5</v>
      </c>
      <c r="C2079">
        <v>244</v>
      </c>
      <c r="D2079">
        <v>14449</v>
      </c>
      <c r="E2079" t="s">
        <v>112</v>
      </c>
      <c r="F2079" t="s">
        <v>90</v>
      </c>
      <c r="G2079">
        <v>4</v>
      </c>
      <c r="H2079">
        <v>90</v>
      </c>
      <c r="I2079" s="25">
        <v>1400</v>
      </c>
      <c r="K2079" t="s">
        <v>580</v>
      </c>
      <c r="L2079" t="s">
        <v>114</v>
      </c>
      <c r="M2079" t="s">
        <v>52</v>
      </c>
      <c r="N2079" t="s">
        <v>40</v>
      </c>
      <c r="O2079">
        <v>68</v>
      </c>
      <c r="Q2079">
        <f t="shared" si="65"/>
        <v>4</v>
      </c>
      <c r="S2079">
        <v>0</v>
      </c>
      <c r="T2079">
        <v>0</v>
      </c>
      <c r="U2079">
        <v>0</v>
      </c>
      <c r="V2079">
        <v>4</v>
      </c>
      <c r="W2079">
        <v>0</v>
      </c>
      <c r="X2079" s="21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P2079" t="s">
        <v>541</v>
      </c>
    </row>
    <row r="2080" spans="1:42">
      <c r="A2080" s="1">
        <v>43840</v>
      </c>
      <c r="B2080">
        <v>5</v>
      </c>
      <c r="C2080">
        <v>244</v>
      </c>
      <c r="D2080">
        <v>14449</v>
      </c>
      <c r="E2080" t="s">
        <v>112</v>
      </c>
      <c r="F2080" t="s">
        <v>90</v>
      </c>
      <c r="G2080">
        <v>4</v>
      </c>
      <c r="H2080">
        <v>91</v>
      </c>
      <c r="I2080" s="25">
        <v>905</v>
      </c>
      <c r="K2080" t="s">
        <v>581</v>
      </c>
      <c r="L2080" t="s">
        <v>141</v>
      </c>
      <c r="M2080" t="s">
        <v>52</v>
      </c>
      <c r="N2080" t="s">
        <v>40</v>
      </c>
      <c r="O2080">
        <v>25</v>
      </c>
      <c r="Q2080">
        <f t="shared" si="65"/>
        <v>2</v>
      </c>
      <c r="S2080">
        <v>0</v>
      </c>
      <c r="T2080">
        <v>0</v>
      </c>
      <c r="U2080">
        <v>0</v>
      </c>
      <c r="V2080">
        <v>2</v>
      </c>
      <c r="W2080">
        <v>0</v>
      </c>
      <c r="X2080" s="21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P2080" t="s">
        <v>541</v>
      </c>
    </row>
    <row r="2081" spans="1:42">
      <c r="A2081" s="1">
        <v>43840</v>
      </c>
      <c r="B2081">
        <v>5</v>
      </c>
      <c r="C2081">
        <v>244</v>
      </c>
      <c r="D2081">
        <v>14449</v>
      </c>
      <c r="E2081" t="s">
        <v>112</v>
      </c>
      <c r="F2081" t="s">
        <v>90</v>
      </c>
      <c r="G2081">
        <v>4</v>
      </c>
      <c r="H2081">
        <v>92</v>
      </c>
      <c r="I2081" s="25">
        <v>905</v>
      </c>
      <c r="K2081" t="s">
        <v>581</v>
      </c>
      <c r="L2081" t="s">
        <v>141</v>
      </c>
      <c r="M2081" t="s">
        <v>52</v>
      </c>
      <c r="N2081" t="s">
        <v>40</v>
      </c>
      <c r="O2081">
        <v>59</v>
      </c>
      <c r="Q2081">
        <f t="shared" si="65"/>
        <v>4</v>
      </c>
      <c r="S2081">
        <v>0</v>
      </c>
      <c r="T2081">
        <v>0</v>
      </c>
      <c r="U2081">
        <v>2</v>
      </c>
      <c r="V2081">
        <v>2</v>
      </c>
      <c r="W2081">
        <v>0</v>
      </c>
      <c r="X2081" s="2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P2081" t="s">
        <v>541</v>
      </c>
    </row>
    <row r="2082" spans="1:42">
      <c r="A2082" s="1">
        <v>43840</v>
      </c>
      <c r="B2082">
        <v>5</v>
      </c>
      <c r="C2082">
        <v>244</v>
      </c>
      <c r="D2082">
        <v>14449</v>
      </c>
      <c r="E2082" t="s">
        <v>112</v>
      </c>
      <c r="F2082" t="s">
        <v>90</v>
      </c>
      <c r="G2082">
        <v>4</v>
      </c>
      <c r="H2082">
        <v>93</v>
      </c>
      <c r="I2082" s="25">
        <v>905</v>
      </c>
      <c r="K2082" t="s">
        <v>581</v>
      </c>
      <c r="L2082" t="s">
        <v>141</v>
      </c>
      <c r="M2082" t="s">
        <v>52</v>
      </c>
      <c r="N2082" t="s">
        <v>40</v>
      </c>
      <c r="O2082">
        <v>90</v>
      </c>
      <c r="Q2082">
        <f t="shared" si="65"/>
        <v>4</v>
      </c>
      <c r="S2082">
        <v>0</v>
      </c>
      <c r="T2082">
        <v>0</v>
      </c>
      <c r="U2082">
        <v>2</v>
      </c>
      <c r="V2082">
        <v>2</v>
      </c>
      <c r="W2082">
        <v>0</v>
      </c>
      <c r="X2082" s="21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P2082" t="s">
        <v>541</v>
      </c>
    </row>
    <row r="2083" spans="1:42">
      <c r="A2083" s="1">
        <v>43840</v>
      </c>
      <c r="B2083">
        <v>5</v>
      </c>
      <c r="C2083">
        <v>244</v>
      </c>
      <c r="D2083">
        <v>14449</v>
      </c>
      <c r="E2083" t="s">
        <v>112</v>
      </c>
      <c r="F2083" t="s">
        <v>90</v>
      </c>
      <c r="G2083">
        <v>4</v>
      </c>
      <c r="H2083">
        <v>94</v>
      </c>
      <c r="I2083" s="25">
        <v>901</v>
      </c>
      <c r="K2083" t="s">
        <v>581</v>
      </c>
      <c r="L2083" t="s">
        <v>141</v>
      </c>
      <c r="M2083" t="s">
        <v>52</v>
      </c>
      <c r="N2083" t="s">
        <v>40</v>
      </c>
      <c r="O2083">
        <v>48</v>
      </c>
      <c r="Q2083">
        <f t="shared" si="65"/>
        <v>4</v>
      </c>
      <c r="S2083">
        <v>0</v>
      </c>
      <c r="T2083">
        <v>0</v>
      </c>
      <c r="U2083">
        <v>1</v>
      </c>
      <c r="V2083">
        <v>3</v>
      </c>
      <c r="W2083">
        <v>0</v>
      </c>
      <c r="X2083" s="21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P2083" t="s">
        <v>541</v>
      </c>
    </row>
    <row r="2084" spans="1:42">
      <c r="A2084" s="1">
        <v>43840</v>
      </c>
      <c r="B2084">
        <v>5</v>
      </c>
      <c r="C2084">
        <v>244</v>
      </c>
      <c r="D2084">
        <v>14449</v>
      </c>
      <c r="E2084" t="s">
        <v>112</v>
      </c>
      <c r="F2084" t="s">
        <v>90</v>
      </c>
      <c r="G2084">
        <v>4</v>
      </c>
      <c r="H2084">
        <v>95</v>
      </c>
      <c r="I2084" s="25">
        <v>901</v>
      </c>
      <c r="K2084" t="s">
        <v>581</v>
      </c>
      <c r="L2084" t="s">
        <v>141</v>
      </c>
      <c r="M2084" t="s">
        <v>52</v>
      </c>
      <c r="N2084" t="s">
        <v>40</v>
      </c>
      <c r="O2084">
        <v>79</v>
      </c>
      <c r="Q2084">
        <f t="shared" si="65"/>
        <v>4</v>
      </c>
      <c r="S2084">
        <v>0</v>
      </c>
      <c r="T2084">
        <v>0</v>
      </c>
      <c r="U2084">
        <v>2</v>
      </c>
      <c r="V2084">
        <v>2</v>
      </c>
      <c r="W2084">
        <v>0</v>
      </c>
      <c r="X2084" s="21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P2084" t="s">
        <v>541</v>
      </c>
    </row>
    <row r="2085" spans="1:42">
      <c r="A2085" s="1">
        <v>43840</v>
      </c>
      <c r="B2085">
        <v>5</v>
      </c>
      <c r="C2085">
        <v>244</v>
      </c>
      <c r="D2085">
        <v>14449</v>
      </c>
      <c r="E2085" t="s">
        <v>112</v>
      </c>
      <c r="F2085" t="s">
        <v>90</v>
      </c>
      <c r="G2085">
        <v>4</v>
      </c>
      <c r="H2085">
        <v>96</v>
      </c>
      <c r="I2085" s="25">
        <v>901</v>
      </c>
      <c r="K2085" t="s">
        <v>581</v>
      </c>
      <c r="L2085" t="s">
        <v>141</v>
      </c>
      <c r="M2085" t="s">
        <v>52</v>
      </c>
      <c r="N2085" t="s">
        <v>40</v>
      </c>
      <c r="O2085">
        <v>115</v>
      </c>
      <c r="Q2085">
        <f t="shared" si="65"/>
        <v>4</v>
      </c>
      <c r="S2085">
        <v>0</v>
      </c>
      <c r="T2085">
        <v>0</v>
      </c>
      <c r="U2085">
        <v>1</v>
      </c>
      <c r="V2085">
        <v>3</v>
      </c>
      <c r="W2085">
        <v>0</v>
      </c>
      <c r="X2085" s="21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L2085" t="s">
        <v>582</v>
      </c>
      <c r="AP2085" t="s">
        <v>541</v>
      </c>
    </row>
    <row r="2086" spans="1:42">
      <c r="A2086" s="1">
        <v>43840</v>
      </c>
      <c r="B2086">
        <v>5</v>
      </c>
      <c r="C2086">
        <v>244</v>
      </c>
      <c r="D2086">
        <v>14449</v>
      </c>
      <c r="E2086" t="s">
        <v>112</v>
      </c>
      <c r="F2086" t="s">
        <v>90</v>
      </c>
      <c r="G2086">
        <v>4</v>
      </c>
      <c r="H2086">
        <v>97</v>
      </c>
      <c r="I2086" s="25">
        <v>1437</v>
      </c>
      <c r="K2086" t="s">
        <v>583</v>
      </c>
      <c r="L2086" t="s">
        <v>141</v>
      </c>
      <c r="M2086" t="s">
        <v>52</v>
      </c>
      <c r="N2086" t="s">
        <v>40</v>
      </c>
      <c r="O2086">
        <v>82</v>
      </c>
      <c r="Q2086">
        <f t="shared" si="65"/>
        <v>5</v>
      </c>
      <c r="S2086">
        <v>0</v>
      </c>
      <c r="T2086">
        <v>0</v>
      </c>
      <c r="U2086">
        <v>2</v>
      </c>
      <c r="V2086">
        <v>3</v>
      </c>
      <c r="W2086">
        <v>0</v>
      </c>
      <c r="X2086" s="21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P2086" t="s">
        <v>541</v>
      </c>
    </row>
    <row r="2087" spans="1:42">
      <c r="A2087" s="1">
        <v>43840</v>
      </c>
      <c r="B2087">
        <v>5</v>
      </c>
      <c r="C2087">
        <v>244</v>
      </c>
      <c r="D2087">
        <v>14449</v>
      </c>
      <c r="E2087" t="s">
        <v>112</v>
      </c>
      <c r="F2087" t="s">
        <v>90</v>
      </c>
      <c r="G2087">
        <v>4</v>
      </c>
      <c r="H2087">
        <v>98</v>
      </c>
      <c r="I2087" s="25">
        <v>1437</v>
      </c>
      <c r="K2087" t="s">
        <v>583</v>
      </c>
      <c r="L2087" t="s">
        <v>141</v>
      </c>
      <c r="M2087" t="s">
        <v>52</v>
      </c>
      <c r="N2087" t="s">
        <v>40</v>
      </c>
      <c r="O2087">
        <v>70</v>
      </c>
      <c r="Q2087">
        <f t="shared" si="65"/>
        <v>2</v>
      </c>
      <c r="S2087">
        <v>0</v>
      </c>
      <c r="T2087">
        <v>0</v>
      </c>
      <c r="U2087">
        <v>0</v>
      </c>
      <c r="V2087">
        <v>2</v>
      </c>
      <c r="W2087">
        <v>0</v>
      </c>
      <c r="X2087" s="21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P2087" t="s">
        <v>541</v>
      </c>
    </row>
    <row r="2088" spans="1:42">
      <c r="A2088" s="1">
        <v>43840</v>
      </c>
      <c r="B2088">
        <v>5</v>
      </c>
      <c r="C2088">
        <v>244</v>
      </c>
      <c r="D2088">
        <v>14449</v>
      </c>
      <c r="E2088" t="s">
        <v>112</v>
      </c>
      <c r="F2088" t="s">
        <v>90</v>
      </c>
      <c r="G2088">
        <v>4</v>
      </c>
      <c r="H2088">
        <v>99</v>
      </c>
      <c r="I2088" s="25">
        <v>1439</v>
      </c>
      <c r="K2088" t="s">
        <v>583</v>
      </c>
      <c r="L2088" t="s">
        <v>141</v>
      </c>
      <c r="M2088" t="s">
        <v>52</v>
      </c>
      <c r="N2088" t="s">
        <v>40</v>
      </c>
      <c r="O2088">
        <v>70</v>
      </c>
      <c r="Q2088">
        <f t="shared" si="65"/>
        <v>5</v>
      </c>
      <c r="S2088">
        <v>0</v>
      </c>
      <c r="T2088">
        <v>0</v>
      </c>
      <c r="U2088">
        <v>2</v>
      </c>
      <c r="V2088">
        <v>3</v>
      </c>
      <c r="W2088">
        <v>0</v>
      </c>
      <c r="X2088" s="21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P2088" t="s">
        <v>541</v>
      </c>
    </row>
    <row r="2089" spans="1:42">
      <c r="A2089" s="1">
        <v>43840</v>
      </c>
      <c r="B2089">
        <v>5</v>
      </c>
      <c r="C2089">
        <v>244</v>
      </c>
      <c r="D2089">
        <v>14449</v>
      </c>
      <c r="E2089" t="s">
        <v>112</v>
      </c>
      <c r="F2089" t="s">
        <v>90</v>
      </c>
      <c r="G2089">
        <v>4</v>
      </c>
      <c r="H2089">
        <v>100</v>
      </c>
      <c r="I2089" s="25">
        <v>1441</v>
      </c>
      <c r="K2089" t="s">
        <v>583</v>
      </c>
      <c r="L2089" t="s">
        <v>141</v>
      </c>
      <c r="M2089" t="s">
        <v>52</v>
      </c>
      <c r="N2089" t="s">
        <v>40</v>
      </c>
      <c r="O2089">
        <v>149</v>
      </c>
      <c r="Q2089">
        <f t="shared" si="65"/>
        <v>8</v>
      </c>
      <c r="S2089">
        <v>0</v>
      </c>
      <c r="T2089">
        <v>0</v>
      </c>
      <c r="U2089">
        <v>4</v>
      </c>
      <c r="V2089">
        <v>4</v>
      </c>
      <c r="W2089">
        <v>0</v>
      </c>
      <c r="X2089" s="21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P2089" t="s">
        <v>541</v>
      </c>
    </row>
    <row r="2090" spans="1:42">
      <c r="A2090" s="1">
        <v>43840</v>
      </c>
      <c r="B2090">
        <v>5</v>
      </c>
      <c r="C2090">
        <v>244</v>
      </c>
      <c r="D2090">
        <v>14449</v>
      </c>
      <c r="E2090" t="s">
        <v>112</v>
      </c>
      <c r="F2090" t="s">
        <v>90</v>
      </c>
      <c r="G2090">
        <v>4</v>
      </c>
      <c r="H2090">
        <v>101</v>
      </c>
      <c r="I2090" s="25">
        <v>1441</v>
      </c>
      <c r="K2090" t="s">
        <v>583</v>
      </c>
      <c r="L2090" t="s">
        <v>141</v>
      </c>
      <c r="M2090" t="s">
        <v>52</v>
      </c>
      <c r="N2090" t="s">
        <v>40</v>
      </c>
      <c r="O2090">
        <v>102</v>
      </c>
      <c r="Q2090">
        <f t="shared" si="65"/>
        <v>6</v>
      </c>
      <c r="S2090">
        <v>0</v>
      </c>
      <c r="T2090">
        <v>0</v>
      </c>
      <c r="U2090">
        <v>3</v>
      </c>
      <c r="V2090">
        <v>3</v>
      </c>
      <c r="W2090">
        <v>0</v>
      </c>
      <c r="X2090" s="21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P2090" t="s">
        <v>541</v>
      </c>
    </row>
    <row r="2091" spans="1:42">
      <c r="A2091" s="1">
        <v>43840</v>
      </c>
      <c r="B2091">
        <v>5</v>
      </c>
      <c r="C2091">
        <v>244</v>
      </c>
      <c r="D2091">
        <v>14449</v>
      </c>
      <c r="E2091" t="s">
        <v>112</v>
      </c>
      <c r="F2091" t="s">
        <v>90</v>
      </c>
      <c r="G2091">
        <v>4</v>
      </c>
      <c r="H2091">
        <v>102</v>
      </c>
      <c r="I2091" s="25">
        <v>1443</v>
      </c>
      <c r="K2091" t="s">
        <v>583</v>
      </c>
      <c r="L2091" t="s">
        <v>141</v>
      </c>
      <c r="M2091" t="s">
        <v>52</v>
      </c>
      <c r="N2091" t="s">
        <v>40</v>
      </c>
      <c r="O2091">
        <v>144</v>
      </c>
      <c r="Q2091">
        <f t="shared" si="65"/>
        <v>9</v>
      </c>
      <c r="S2091">
        <v>0</v>
      </c>
      <c r="T2091">
        <v>0</v>
      </c>
      <c r="U2091">
        <v>7</v>
      </c>
      <c r="V2091">
        <v>0</v>
      </c>
      <c r="W2091">
        <v>2</v>
      </c>
      <c r="X2091" s="2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P2091" t="s">
        <v>541</v>
      </c>
    </row>
    <row r="2092" spans="1:42">
      <c r="A2092" s="1">
        <v>43840</v>
      </c>
      <c r="B2092">
        <v>5</v>
      </c>
      <c r="C2092">
        <v>244</v>
      </c>
      <c r="D2092">
        <v>14449</v>
      </c>
      <c r="E2092" t="s">
        <v>112</v>
      </c>
      <c r="F2092" t="s">
        <v>90</v>
      </c>
      <c r="G2092">
        <v>4</v>
      </c>
      <c r="H2092">
        <v>103</v>
      </c>
      <c r="I2092" s="25">
        <v>1443</v>
      </c>
      <c r="K2092" t="s">
        <v>583</v>
      </c>
      <c r="L2092" t="s">
        <v>141</v>
      </c>
      <c r="M2092" t="s">
        <v>52</v>
      </c>
      <c r="N2092" t="s">
        <v>40</v>
      </c>
      <c r="O2092">
        <v>82</v>
      </c>
      <c r="Q2092">
        <f t="shared" si="65"/>
        <v>4</v>
      </c>
      <c r="S2092">
        <v>0</v>
      </c>
      <c r="T2092">
        <v>0</v>
      </c>
      <c r="U2092">
        <v>4</v>
      </c>
      <c r="V2092">
        <v>0</v>
      </c>
      <c r="W2092">
        <v>0</v>
      </c>
      <c r="X2092" s="21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L2092" t="s">
        <v>550</v>
      </c>
      <c r="AP2092" t="s">
        <v>541</v>
      </c>
    </row>
    <row r="2093" spans="1:42">
      <c r="A2093" s="1">
        <v>43840</v>
      </c>
      <c r="B2093">
        <v>5</v>
      </c>
      <c r="C2093">
        <v>244</v>
      </c>
      <c r="D2093">
        <v>14449</v>
      </c>
      <c r="E2093" t="s">
        <v>112</v>
      </c>
      <c r="F2093" t="s">
        <v>90</v>
      </c>
      <c r="G2093">
        <v>4</v>
      </c>
      <c r="H2093">
        <v>104</v>
      </c>
      <c r="I2093" s="25">
        <v>1445</v>
      </c>
      <c r="K2093" t="s">
        <v>583</v>
      </c>
      <c r="L2093" t="s">
        <v>141</v>
      </c>
      <c r="M2093" t="s">
        <v>52</v>
      </c>
      <c r="N2093" t="s">
        <v>40</v>
      </c>
      <c r="O2093">
        <v>42</v>
      </c>
      <c r="Q2093">
        <f t="shared" si="65"/>
        <v>2</v>
      </c>
      <c r="S2093">
        <v>0</v>
      </c>
      <c r="T2093">
        <v>0</v>
      </c>
      <c r="U2093">
        <v>0</v>
      </c>
      <c r="V2093">
        <v>0</v>
      </c>
      <c r="W2093">
        <v>2</v>
      </c>
      <c r="X2093" s="21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P2093" t="s">
        <v>541</v>
      </c>
    </row>
    <row r="2094" spans="1:42">
      <c r="A2094" s="1">
        <v>43840</v>
      </c>
      <c r="B2094">
        <v>5</v>
      </c>
      <c r="C2094">
        <v>244</v>
      </c>
      <c r="D2094">
        <v>14449</v>
      </c>
      <c r="E2094" t="s">
        <v>112</v>
      </c>
      <c r="F2094" t="s">
        <v>90</v>
      </c>
      <c r="G2094">
        <v>4</v>
      </c>
      <c r="H2094">
        <v>105</v>
      </c>
      <c r="I2094" s="25">
        <v>1445</v>
      </c>
      <c r="K2094" t="s">
        <v>583</v>
      </c>
      <c r="L2094" t="s">
        <v>141</v>
      </c>
      <c r="M2094" t="s">
        <v>52</v>
      </c>
      <c r="N2094" t="s">
        <v>40</v>
      </c>
      <c r="O2094">
        <v>144</v>
      </c>
      <c r="Q2094">
        <f t="shared" si="65"/>
        <v>3</v>
      </c>
      <c r="S2094">
        <v>0</v>
      </c>
      <c r="T2094">
        <v>0</v>
      </c>
      <c r="U2094">
        <v>0</v>
      </c>
      <c r="V2094">
        <v>0</v>
      </c>
      <c r="W2094">
        <v>3</v>
      </c>
      <c r="X2094" s="21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L2094" t="s">
        <v>582</v>
      </c>
      <c r="AP2094" t="s">
        <v>541</v>
      </c>
    </row>
    <row r="2095" spans="1:42">
      <c r="A2095" s="1">
        <v>43840</v>
      </c>
      <c r="B2095">
        <v>5</v>
      </c>
      <c r="C2095">
        <v>244</v>
      </c>
      <c r="D2095">
        <v>14449</v>
      </c>
      <c r="E2095" t="s">
        <v>112</v>
      </c>
      <c r="F2095" t="s">
        <v>90</v>
      </c>
      <c r="G2095">
        <v>4</v>
      </c>
      <c r="H2095">
        <v>106</v>
      </c>
      <c r="I2095" s="25">
        <v>1447</v>
      </c>
      <c r="K2095" t="s">
        <v>583</v>
      </c>
      <c r="L2095" t="s">
        <v>141</v>
      </c>
      <c r="M2095" t="s">
        <v>52</v>
      </c>
      <c r="N2095" t="s">
        <v>40</v>
      </c>
      <c r="O2095">
        <v>56</v>
      </c>
      <c r="Q2095">
        <f t="shared" si="65"/>
        <v>3</v>
      </c>
      <c r="S2095">
        <v>0</v>
      </c>
      <c r="T2095">
        <v>0</v>
      </c>
      <c r="U2095">
        <v>0</v>
      </c>
      <c r="V2095">
        <v>0</v>
      </c>
      <c r="W2095">
        <v>3</v>
      </c>
      <c r="X2095" s="21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P2095" t="s">
        <v>541</v>
      </c>
    </row>
    <row r="2096" spans="1:42">
      <c r="A2096" s="1">
        <v>43840</v>
      </c>
      <c r="B2096">
        <v>5</v>
      </c>
      <c r="C2096">
        <v>244</v>
      </c>
      <c r="D2096">
        <v>14449</v>
      </c>
      <c r="E2096" t="s">
        <v>112</v>
      </c>
      <c r="F2096" t="s">
        <v>90</v>
      </c>
      <c r="G2096">
        <v>4</v>
      </c>
      <c r="H2096">
        <v>107</v>
      </c>
      <c r="I2096" s="25">
        <v>1442</v>
      </c>
      <c r="K2096" t="s">
        <v>583</v>
      </c>
      <c r="L2096" t="s">
        <v>114</v>
      </c>
      <c r="M2096" t="s">
        <v>52</v>
      </c>
      <c r="N2096" t="s">
        <v>40</v>
      </c>
      <c r="O2096">
        <v>56</v>
      </c>
      <c r="Q2096">
        <f t="shared" si="65"/>
        <v>3</v>
      </c>
      <c r="S2096">
        <v>0</v>
      </c>
      <c r="T2096">
        <v>0</v>
      </c>
      <c r="U2096">
        <v>0</v>
      </c>
      <c r="V2096">
        <v>0</v>
      </c>
      <c r="W2096">
        <v>3</v>
      </c>
      <c r="X2096" s="21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P2096" t="s">
        <v>541</v>
      </c>
    </row>
    <row r="2097" spans="1:42">
      <c r="A2097" s="1">
        <v>43840</v>
      </c>
      <c r="B2097">
        <v>5</v>
      </c>
      <c r="C2097">
        <v>244</v>
      </c>
      <c r="D2097">
        <v>14449</v>
      </c>
      <c r="E2097" t="s">
        <v>112</v>
      </c>
      <c r="F2097" t="s">
        <v>90</v>
      </c>
      <c r="G2097">
        <v>4</v>
      </c>
      <c r="H2097">
        <v>108</v>
      </c>
      <c r="I2097" s="25">
        <v>1440</v>
      </c>
      <c r="K2097" t="s">
        <v>583</v>
      </c>
      <c r="L2097" t="s">
        <v>114</v>
      </c>
      <c r="M2097" t="s">
        <v>52</v>
      </c>
      <c r="N2097" t="s">
        <v>40</v>
      </c>
      <c r="O2097">
        <v>46</v>
      </c>
      <c r="Q2097">
        <f t="shared" si="65"/>
        <v>3</v>
      </c>
      <c r="S2097">
        <v>0</v>
      </c>
      <c r="T2097">
        <v>0</v>
      </c>
      <c r="U2097">
        <v>0</v>
      </c>
      <c r="V2097">
        <v>0</v>
      </c>
      <c r="W2097">
        <v>3</v>
      </c>
      <c r="X2097" s="21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P2097" t="s">
        <v>541</v>
      </c>
    </row>
    <row r="2098" spans="1:42">
      <c r="A2098" s="1">
        <v>43840</v>
      </c>
      <c r="B2098">
        <v>5</v>
      </c>
      <c r="C2098">
        <v>244</v>
      </c>
      <c r="D2098">
        <v>14449</v>
      </c>
      <c r="E2098" t="s">
        <v>112</v>
      </c>
      <c r="F2098" t="s">
        <v>90</v>
      </c>
      <c r="G2098">
        <v>4</v>
      </c>
      <c r="H2098">
        <v>109</v>
      </c>
      <c r="I2098" s="25">
        <v>1440</v>
      </c>
      <c r="K2098" t="s">
        <v>584</v>
      </c>
      <c r="L2098" t="s">
        <v>114</v>
      </c>
      <c r="M2098" t="s">
        <v>52</v>
      </c>
      <c r="N2098" t="s">
        <v>40</v>
      </c>
      <c r="O2098">
        <v>53</v>
      </c>
      <c r="Q2098">
        <f t="shared" si="65"/>
        <v>1</v>
      </c>
      <c r="S2098">
        <v>0</v>
      </c>
      <c r="T2098">
        <v>0</v>
      </c>
      <c r="U2098">
        <v>0</v>
      </c>
      <c r="V2098">
        <v>0</v>
      </c>
      <c r="W2098">
        <v>1</v>
      </c>
      <c r="X2098" s="21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P2098" t="s">
        <v>541</v>
      </c>
    </row>
    <row r="2099" spans="1:42">
      <c r="A2099" s="1">
        <v>43840</v>
      </c>
      <c r="B2099">
        <v>5</v>
      </c>
      <c r="C2099">
        <v>244</v>
      </c>
      <c r="D2099">
        <v>14449</v>
      </c>
      <c r="E2099" t="s">
        <v>112</v>
      </c>
      <c r="F2099" t="s">
        <v>90</v>
      </c>
      <c r="G2099">
        <v>4</v>
      </c>
      <c r="H2099">
        <v>110</v>
      </c>
      <c r="I2099" s="25">
        <v>1438</v>
      </c>
      <c r="K2099" t="s">
        <v>584</v>
      </c>
      <c r="L2099" t="s">
        <v>114</v>
      </c>
      <c r="M2099" t="s">
        <v>52</v>
      </c>
      <c r="N2099" t="s">
        <v>40</v>
      </c>
      <c r="O2099">
        <v>26</v>
      </c>
      <c r="Q2099">
        <f t="shared" si="65"/>
        <v>1</v>
      </c>
      <c r="S2099">
        <v>0</v>
      </c>
      <c r="T2099">
        <v>0</v>
      </c>
      <c r="U2099">
        <v>1</v>
      </c>
      <c r="V2099">
        <v>0</v>
      </c>
      <c r="W2099">
        <v>0</v>
      </c>
      <c r="X2099" s="21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P2099" t="s">
        <v>541</v>
      </c>
    </row>
    <row r="2100" spans="1:42">
      <c r="A2100" s="1">
        <v>43840</v>
      </c>
      <c r="B2100">
        <v>5</v>
      </c>
      <c r="C2100">
        <v>244</v>
      </c>
      <c r="D2100">
        <v>14449</v>
      </c>
      <c r="E2100" t="s">
        <v>112</v>
      </c>
      <c r="F2100" t="s">
        <v>90</v>
      </c>
      <c r="G2100">
        <v>4</v>
      </c>
      <c r="H2100">
        <v>111</v>
      </c>
      <c r="I2100" s="25">
        <v>1438</v>
      </c>
      <c r="K2100" t="s">
        <v>584</v>
      </c>
      <c r="L2100" t="s">
        <v>114</v>
      </c>
      <c r="M2100" t="s">
        <v>52</v>
      </c>
      <c r="N2100" t="s">
        <v>40</v>
      </c>
      <c r="O2100">
        <v>24</v>
      </c>
      <c r="Q2100">
        <f t="shared" si="65"/>
        <v>2</v>
      </c>
      <c r="S2100">
        <v>0</v>
      </c>
      <c r="T2100">
        <v>0</v>
      </c>
      <c r="U2100">
        <v>1</v>
      </c>
      <c r="V2100">
        <v>1</v>
      </c>
      <c r="W2100">
        <v>0</v>
      </c>
      <c r="X2100" s="21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P2100" t="s">
        <v>541</v>
      </c>
    </row>
    <row r="2101" spans="1:42">
      <c r="A2101" s="1">
        <v>43840</v>
      </c>
      <c r="B2101">
        <v>5</v>
      </c>
      <c r="C2101">
        <v>244</v>
      </c>
      <c r="D2101">
        <v>14449</v>
      </c>
      <c r="E2101" t="s">
        <v>112</v>
      </c>
      <c r="F2101" t="s">
        <v>90</v>
      </c>
      <c r="G2101">
        <v>4</v>
      </c>
      <c r="H2101">
        <v>112</v>
      </c>
      <c r="I2101" s="25">
        <v>1449</v>
      </c>
      <c r="K2101" t="s">
        <v>584</v>
      </c>
      <c r="L2101" t="s">
        <v>141</v>
      </c>
      <c r="M2101" t="s">
        <v>52</v>
      </c>
      <c r="N2101" t="s">
        <v>40</v>
      </c>
      <c r="O2101">
        <v>25</v>
      </c>
      <c r="Q2101">
        <f t="shared" si="65"/>
        <v>2</v>
      </c>
      <c r="S2101">
        <v>0</v>
      </c>
      <c r="T2101">
        <v>0</v>
      </c>
      <c r="U2101">
        <v>1</v>
      </c>
      <c r="V2101">
        <v>1</v>
      </c>
      <c r="W2101">
        <v>0</v>
      </c>
      <c r="X2101" s="2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P2101" t="s">
        <v>541</v>
      </c>
    </row>
    <row r="2102" spans="1:42">
      <c r="A2102" s="1">
        <v>43840</v>
      </c>
      <c r="B2102">
        <v>5</v>
      </c>
      <c r="C2102">
        <v>244</v>
      </c>
      <c r="D2102">
        <v>14449</v>
      </c>
      <c r="E2102" t="s">
        <v>112</v>
      </c>
      <c r="F2102" t="s">
        <v>90</v>
      </c>
      <c r="G2102">
        <v>4</v>
      </c>
      <c r="H2102">
        <v>113</v>
      </c>
      <c r="I2102" s="25">
        <v>1449</v>
      </c>
      <c r="K2102" t="s">
        <v>584</v>
      </c>
      <c r="L2102" t="s">
        <v>141</v>
      </c>
      <c r="M2102" t="s">
        <v>52</v>
      </c>
      <c r="N2102" t="s">
        <v>40</v>
      </c>
      <c r="O2102">
        <v>85</v>
      </c>
      <c r="Q2102">
        <f t="shared" si="65"/>
        <v>4</v>
      </c>
      <c r="S2102">
        <v>0</v>
      </c>
      <c r="T2102">
        <v>0</v>
      </c>
      <c r="U2102">
        <v>2</v>
      </c>
      <c r="V2102">
        <v>2</v>
      </c>
      <c r="W2102">
        <v>0</v>
      </c>
      <c r="X2102" s="21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P2102" t="s">
        <v>541</v>
      </c>
    </row>
    <row r="2103" spans="1:42">
      <c r="A2103" s="1">
        <v>43840</v>
      </c>
      <c r="B2103">
        <v>5</v>
      </c>
      <c r="C2103">
        <v>244</v>
      </c>
      <c r="D2103">
        <v>14449</v>
      </c>
      <c r="E2103" t="s">
        <v>112</v>
      </c>
      <c r="F2103" t="s">
        <v>90</v>
      </c>
      <c r="G2103">
        <v>4</v>
      </c>
      <c r="H2103">
        <v>114</v>
      </c>
      <c r="I2103" s="25">
        <v>1444</v>
      </c>
      <c r="K2103" t="s">
        <v>584</v>
      </c>
      <c r="L2103" t="s">
        <v>114</v>
      </c>
      <c r="M2103" t="s">
        <v>52</v>
      </c>
      <c r="N2103" t="s">
        <v>40</v>
      </c>
      <c r="O2103">
        <v>54</v>
      </c>
      <c r="Q2103">
        <f t="shared" si="65"/>
        <v>4</v>
      </c>
      <c r="S2103">
        <v>0</v>
      </c>
      <c r="T2103">
        <v>0</v>
      </c>
      <c r="U2103">
        <v>2</v>
      </c>
      <c r="V2103">
        <v>2</v>
      </c>
      <c r="W2103">
        <v>0</v>
      </c>
      <c r="X2103" s="21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P2103" t="s">
        <v>541</v>
      </c>
    </row>
    <row r="2104" spans="1:42">
      <c r="A2104" s="1">
        <v>43840</v>
      </c>
      <c r="B2104">
        <v>5</v>
      </c>
      <c r="C2104">
        <v>244</v>
      </c>
      <c r="D2104">
        <v>14449</v>
      </c>
      <c r="E2104" t="s">
        <v>112</v>
      </c>
      <c r="F2104" t="s">
        <v>90</v>
      </c>
      <c r="G2104">
        <v>4</v>
      </c>
      <c r="H2104">
        <v>115</v>
      </c>
      <c r="I2104" s="25">
        <v>1444</v>
      </c>
      <c r="K2104" t="s">
        <v>584</v>
      </c>
      <c r="L2104" t="s">
        <v>114</v>
      </c>
      <c r="M2104" t="s">
        <v>52</v>
      </c>
      <c r="N2104" t="s">
        <v>40</v>
      </c>
      <c r="O2104">
        <v>42</v>
      </c>
      <c r="Q2104">
        <f t="shared" si="65"/>
        <v>4</v>
      </c>
      <c r="S2104">
        <v>0</v>
      </c>
      <c r="T2104">
        <v>0</v>
      </c>
      <c r="U2104">
        <v>2</v>
      </c>
      <c r="V2104">
        <v>1</v>
      </c>
      <c r="W2104">
        <v>1</v>
      </c>
      <c r="X2104" s="21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P2104" t="s">
        <v>541</v>
      </c>
    </row>
    <row r="2105" spans="1:42">
      <c r="A2105" s="1">
        <v>43843</v>
      </c>
      <c r="B2105">
        <v>1</v>
      </c>
      <c r="C2105">
        <v>987</v>
      </c>
      <c r="D2105">
        <v>10423</v>
      </c>
      <c r="E2105" t="s">
        <v>37</v>
      </c>
      <c r="F2105" t="s">
        <v>520</v>
      </c>
      <c r="G2105">
        <v>2</v>
      </c>
      <c r="H2105">
        <v>1</v>
      </c>
      <c r="I2105" s="25">
        <v>1998</v>
      </c>
      <c r="K2105" t="s">
        <v>585</v>
      </c>
      <c r="L2105" t="s">
        <v>114</v>
      </c>
      <c r="M2105" t="s">
        <v>52</v>
      </c>
      <c r="N2105" t="s">
        <v>40</v>
      </c>
      <c r="O2105">
        <v>87</v>
      </c>
      <c r="Q2105">
        <f t="shared" ref="Q2105:Q2168" si="66">SUM(S2105:AC2105)</f>
        <v>2</v>
      </c>
      <c r="S2105">
        <v>0</v>
      </c>
      <c r="T2105">
        <v>0</v>
      </c>
      <c r="U2105">
        <v>0</v>
      </c>
      <c r="V2105">
        <v>0</v>
      </c>
      <c r="W2105">
        <v>2</v>
      </c>
      <c r="X2105" s="21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J2105" t="s">
        <v>54</v>
      </c>
      <c r="AK2105" t="s">
        <v>52</v>
      </c>
      <c r="AL2105" t="s">
        <v>586</v>
      </c>
      <c r="AP2105" t="s">
        <v>541</v>
      </c>
    </row>
    <row r="2106" spans="1:42">
      <c r="A2106" s="1">
        <v>43843</v>
      </c>
      <c r="B2106">
        <v>1</v>
      </c>
      <c r="C2106">
        <v>987</v>
      </c>
      <c r="D2106">
        <v>10423</v>
      </c>
      <c r="E2106" t="s">
        <v>37</v>
      </c>
      <c r="F2106" t="s">
        <v>520</v>
      </c>
      <c r="G2106">
        <v>2</v>
      </c>
      <c r="H2106">
        <v>2</v>
      </c>
      <c r="I2106" s="25">
        <v>1954</v>
      </c>
      <c r="K2106" t="s">
        <v>585</v>
      </c>
      <c r="L2106" t="s">
        <v>114</v>
      </c>
      <c r="M2106" t="s">
        <v>52</v>
      </c>
      <c r="N2106" t="s">
        <v>44</v>
      </c>
      <c r="O2106">
        <v>163</v>
      </c>
      <c r="Q2106">
        <f t="shared" si="66"/>
        <v>1</v>
      </c>
      <c r="S2106">
        <v>0</v>
      </c>
      <c r="T2106">
        <v>0</v>
      </c>
      <c r="U2106">
        <v>0</v>
      </c>
      <c r="V2106">
        <v>0</v>
      </c>
      <c r="W2106">
        <v>1</v>
      </c>
      <c r="X2106" s="21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J2106" t="s">
        <v>54</v>
      </c>
      <c r="AK2106" t="s">
        <v>52</v>
      </c>
      <c r="AL2106" t="s">
        <v>587</v>
      </c>
      <c r="AP2106" t="s">
        <v>541</v>
      </c>
    </row>
    <row r="2107" spans="1:42">
      <c r="A2107" s="1">
        <v>43843</v>
      </c>
      <c r="B2107">
        <v>1</v>
      </c>
      <c r="C2107">
        <v>987</v>
      </c>
      <c r="D2107">
        <v>10423</v>
      </c>
      <c r="E2107" t="s">
        <v>37</v>
      </c>
      <c r="F2107" t="s">
        <v>520</v>
      </c>
      <c r="G2107">
        <v>2</v>
      </c>
      <c r="H2107">
        <v>3</v>
      </c>
      <c r="I2107" s="25">
        <v>898</v>
      </c>
      <c r="K2107" t="s">
        <v>119</v>
      </c>
      <c r="L2107" t="s">
        <v>114</v>
      </c>
      <c r="M2107" t="s">
        <v>52</v>
      </c>
      <c r="N2107" t="s">
        <v>40</v>
      </c>
      <c r="O2107">
        <v>48</v>
      </c>
      <c r="Q2107">
        <f t="shared" si="66"/>
        <v>1</v>
      </c>
      <c r="S2107">
        <v>0</v>
      </c>
      <c r="T2107">
        <v>0</v>
      </c>
      <c r="U2107">
        <v>0</v>
      </c>
      <c r="V2107">
        <v>0</v>
      </c>
      <c r="W2107">
        <v>1</v>
      </c>
      <c r="X2107" s="21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J2107" t="s">
        <v>54</v>
      </c>
      <c r="AK2107" t="s">
        <v>52</v>
      </c>
      <c r="AL2107" t="s">
        <v>586</v>
      </c>
      <c r="AP2107" t="s">
        <v>541</v>
      </c>
    </row>
    <row r="2108" spans="1:42">
      <c r="A2108" s="1">
        <v>43843</v>
      </c>
      <c r="B2108">
        <v>1</v>
      </c>
      <c r="C2108">
        <v>987</v>
      </c>
      <c r="D2108">
        <v>10423</v>
      </c>
      <c r="E2108" t="s">
        <v>37</v>
      </c>
      <c r="F2108" t="s">
        <v>520</v>
      </c>
      <c r="G2108">
        <v>2</v>
      </c>
      <c r="H2108">
        <v>4</v>
      </c>
      <c r="I2108" s="25">
        <v>1899</v>
      </c>
      <c r="K2108" t="s">
        <v>156</v>
      </c>
      <c r="L2108" t="s">
        <v>141</v>
      </c>
      <c r="M2108" t="s">
        <v>52</v>
      </c>
      <c r="N2108" t="s">
        <v>40</v>
      </c>
      <c r="O2108">
        <v>112</v>
      </c>
      <c r="Q2108">
        <f t="shared" si="66"/>
        <v>3</v>
      </c>
      <c r="S2108">
        <v>0</v>
      </c>
      <c r="T2108">
        <v>0</v>
      </c>
      <c r="U2108">
        <v>0</v>
      </c>
      <c r="V2108">
        <v>0</v>
      </c>
      <c r="W2108">
        <v>3</v>
      </c>
      <c r="X2108" s="21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J2108" t="s">
        <v>54</v>
      </c>
      <c r="AK2108" t="s">
        <v>52</v>
      </c>
      <c r="AL2108" t="s">
        <v>586</v>
      </c>
      <c r="AP2108" t="s">
        <v>541</v>
      </c>
    </row>
    <row r="2109" spans="1:42">
      <c r="A2109" s="1">
        <v>43843</v>
      </c>
      <c r="B2109">
        <v>1</v>
      </c>
      <c r="C2109">
        <v>987</v>
      </c>
      <c r="D2109">
        <v>10423</v>
      </c>
      <c r="E2109" t="s">
        <v>37</v>
      </c>
      <c r="F2109" t="s">
        <v>520</v>
      </c>
      <c r="G2109">
        <v>2</v>
      </c>
      <c r="H2109">
        <v>5</v>
      </c>
      <c r="I2109" s="25">
        <v>1892</v>
      </c>
      <c r="K2109" t="s">
        <v>588</v>
      </c>
      <c r="L2109" t="s">
        <v>114</v>
      </c>
      <c r="M2109" t="s">
        <v>52</v>
      </c>
      <c r="N2109" t="s">
        <v>40</v>
      </c>
      <c r="O2109">
        <v>49</v>
      </c>
      <c r="Q2109">
        <f t="shared" si="66"/>
        <v>2</v>
      </c>
      <c r="S2109">
        <v>0</v>
      </c>
      <c r="T2109">
        <v>0</v>
      </c>
      <c r="U2109">
        <v>0</v>
      </c>
      <c r="V2109">
        <v>0</v>
      </c>
      <c r="W2109">
        <v>2</v>
      </c>
      <c r="X2109" s="21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J2109" t="s">
        <v>54</v>
      </c>
      <c r="AK2109" t="s">
        <v>52</v>
      </c>
      <c r="AL2109" t="s">
        <v>586</v>
      </c>
      <c r="AP2109" t="s">
        <v>541</v>
      </c>
    </row>
    <row r="2110" spans="1:42">
      <c r="A2110" s="1">
        <v>43843</v>
      </c>
      <c r="B2110">
        <v>1</v>
      </c>
      <c r="C2110">
        <v>987</v>
      </c>
      <c r="D2110">
        <v>10423</v>
      </c>
      <c r="E2110" t="s">
        <v>37</v>
      </c>
      <c r="F2110" t="s">
        <v>520</v>
      </c>
      <c r="G2110">
        <v>2</v>
      </c>
      <c r="H2110">
        <v>6</v>
      </c>
      <c r="I2110" s="25">
        <v>2312</v>
      </c>
      <c r="K2110" t="s">
        <v>156</v>
      </c>
      <c r="L2110" t="s">
        <v>114</v>
      </c>
      <c r="M2110" t="s">
        <v>52</v>
      </c>
      <c r="N2110" t="s">
        <v>44</v>
      </c>
      <c r="O2110">
        <v>80</v>
      </c>
      <c r="Q2110">
        <f t="shared" si="66"/>
        <v>1</v>
      </c>
      <c r="S2110">
        <v>0</v>
      </c>
      <c r="T2110">
        <v>0</v>
      </c>
      <c r="U2110">
        <v>0</v>
      </c>
      <c r="V2110">
        <v>0</v>
      </c>
      <c r="W2110">
        <v>1</v>
      </c>
      <c r="X2110" s="21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J2110" t="s">
        <v>51</v>
      </c>
      <c r="AK2110" t="s">
        <v>52</v>
      </c>
      <c r="AL2110" t="s">
        <v>589</v>
      </c>
      <c r="AP2110" t="s">
        <v>541</v>
      </c>
    </row>
    <row r="2111" spans="1:42">
      <c r="A2111" s="1">
        <v>43843</v>
      </c>
      <c r="B2111">
        <v>1</v>
      </c>
      <c r="C2111">
        <v>987</v>
      </c>
      <c r="D2111">
        <v>10423</v>
      </c>
      <c r="E2111" t="s">
        <v>37</v>
      </c>
      <c r="F2111" t="s">
        <v>520</v>
      </c>
      <c r="G2111">
        <v>2</v>
      </c>
      <c r="H2111">
        <v>7</v>
      </c>
      <c r="I2111" s="25">
        <v>1820</v>
      </c>
      <c r="K2111" t="s">
        <v>156</v>
      </c>
      <c r="L2111" t="s">
        <v>114</v>
      </c>
      <c r="M2111" t="s">
        <v>52</v>
      </c>
      <c r="N2111" t="s">
        <v>44</v>
      </c>
      <c r="O2111">
        <v>135</v>
      </c>
      <c r="Q2111">
        <f t="shared" si="66"/>
        <v>1</v>
      </c>
      <c r="S2111">
        <v>0</v>
      </c>
      <c r="T2111">
        <v>0</v>
      </c>
      <c r="U2111">
        <v>0</v>
      </c>
      <c r="V2111">
        <v>0</v>
      </c>
      <c r="W2111">
        <v>1</v>
      </c>
      <c r="X2111" s="2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J2111" t="s">
        <v>51</v>
      </c>
      <c r="AK2111" t="s">
        <v>52</v>
      </c>
      <c r="AL2111" t="s">
        <v>590</v>
      </c>
      <c r="AP2111" t="s">
        <v>541</v>
      </c>
    </row>
    <row r="2112" spans="1:42">
      <c r="A2112" s="1">
        <v>43843</v>
      </c>
      <c r="B2112">
        <v>1</v>
      </c>
      <c r="C2112">
        <v>987</v>
      </c>
      <c r="D2112">
        <v>10423</v>
      </c>
      <c r="E2112" t="s">
        <v>37</v>
      </c>
      <c r="F2112" t="s">
        <v>520</v>
      </c>
      <c r="G2112">
        <v>2</v>
      </c>
      <c r="H2112">
        <v>8</v>
      </c>
      <c r="I2112" s="25">
        <v>1830</v>
      </c>
      <c r="K2112" t="s">
        <v>156</v>
      </c>
      <c r="L2112" t="s">
        <v>114</v>
      </c>
      <c r="M2112" t="s">
        <v>52</v>
      </c>
      <c r="N2112" t="s">
        <v>40</v>
      </c>
      <c r="O2112">
        <v>44</v>
      </c>
      <c r="Q2112">
        <f t="shared" si="66"/>
        <v>1</v>
      </c>
      <c r="S2112">
        <v>0</v>
      </c>
      <c r="T2112">
        <v>0</v>
      </c>
      <c r="U2112">
        <v>0</v>
      </c>
      <c r="V2112">
        <v>0</v>
      </c>
      <c r="W2112">
        <v>1</v>
      </c>
      <c r="X2112" s="21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J2112" t="s">
        <v>51</v>
      </c>
      <c r="AK2112" t="s">
        <v>52</v>
      </c>
      <c r="AP2112" t="s">
        <v>541</v>
      </c>
    </row>
    <row r="2113" spans="1:42">
      <c r="A2113" s="1">
        <v>43843</v>
      </c>
      <c r="B2113">
        <v>1</v>
      </c>
      <c r="C2113">
        <v>987</v>
      </c>
      <c r="D2113">
        <v>10423</v>
      </c>
      <c r="E2113" t="s">
        <v>37</v>
      </c>
      <c r="F2113" t="s">
        <v>520</v>
      </c>
      <c r="G2113">
        <v>2</v>
      </c>
      <c r="H2113">
        <v>9</v>
      </c>
      <c r="I2113" s="25">
        <v>1850</v>
      </c>
      <c r="K2113" t="s">
        <v>156</v>
      </c>
      <c r="L2113" t="s">
        <v>114</v>
      </c>
      <c r="M2113" t="s">
        <v>52</v>
      </c>
      <c r="N2113" t="s">
        <v>42</v>
      </c>
      <c r="O2113">
        <v>226</v>
      </c>
      <c r="Q2113">
        <f t="shared" si="66"/>
        <v>7</v>
      </c>
      <c r="S2113">
        <v>0</v>
      </c>
      <c r="T2113">
        <v>0</v>
      </c>
      <c r="U2113">
        <v>3</v>
      </c>
      <c r="V2113">
        <v>3</v>
      </c>
      <c r="W2113">
        <v>1</v>
      </c>
      <c r="X2113" s="21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J2113" t="s">
        <v>51</v>
      </c>
      <c r="AK2113" t="s">
        <v>52</v>
      </c>
      <c r="AL2113" t="s">
        <v>591</v>
      </c>
      <c r="AP2113" t="s">
        <v>541</v>
      </c>
    </row>
    <row r="2114" spans="1:42">
      <c r="A2114" s="1">
        <v>43843</v>
      </c>
      <c r="B2114">
        <v>1</v>
      </c>
      <c r="C2114">
        <v>987</v>
      </c>
      <c r="D2114">
        <v>10423</v>
      </c>
      <c r="E2114" t="s">
        <v>37</v>
      </c>
      <c r="F2114" t="s">
        <v>520</v>
      </c>
      <c r="G2114">
        <v>2</v>
      </c>
      <c r="H2114">
        <v>10</v>
      </c>
      <c r="I2114" s="25">
        <v>1872</v>
      </c>
      <c r="K2114" t="s">
        <v>156</v>
      </c>
      <c r="L2114" t="s">
        <v>114</v>
      </c>
      <c r="M2114" t="s">
        <v>52</v>
      </c>
      <c r="N2114" t="s">
        <v>40</v>
      </c>
      <c r="O2114">
        <v>49</v>
      </c>
      <c r="Q2114">
        <f t="shared" si="66"/>
        <v>1</v>
      </c>
      <c r="S2114">
        <v>0</v>
      </c>
      <c r="T2114">
        <v>0</v>
      </c>
      <c r="U2114">
        <v>0</v>
      </c>
      <c r="V2114">
        <v>0</v>
      </c>
      <c r="W2114">
        <v>1</v>
      </c>
      <c r="X2114" s="21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J2114" t="s">
        <v>51</v>
      </c>
      <c r="AK2114" t="s">
        <v>52</v>
      </c>
      <c r="AL2114" t="s">
        <v>586</v>
      </c>
      <c r="AP2114" t="s">
        <v>541</v>
      </c>
    </row>
    <row r="2115" spans="1:42">
      <c r="A2115" s="1">
        <v>43843</v>
      </c>
      <c r="B2115">
        <v>1</v>
      </c>
      <c r="C2115">
        <v>987</v>
      </c>
      <c r="D2115">
        <v>10423</v>
      </c>
      <c r="E2115" t="s">
        <v>37</v>
      </c>
      <c r="F2115" t="s">
        <v>520</v>
      </c>
      <c r="G2115">
        <v>2</v>
      </c>
      <c r="H2115">
        <v>11</v>
      </c>
      <c r="I2115" s="25">
        <v>1944</v>
      </c>
      <c r="K2115" t="s">
        <v>156</v>
      </c>
      <c r="L2115" t="s">
        <v>114</v>
      </c>
      <c r="M2115" t="s">
        <v>52</v>
      </c>
      <c r="N2115" t="s">
        <v>40</v>
      </c>
      <c r="O2115">
        <v>63</v>
      </c>
      <c r="Q2115">
        <f t="shared" si="66"/>
        <v>2</v>
      </c>
      <c r="S2115">
        <v>0</v>
      </c>
      <c r="T2115">
        <v>0</v>
      </c>
      <c r="U2115">
        <v>0</v>
      </c>
      <c r="V2115">
        <v>0</v>
      </c>
      <c r="W2115">
        <v>2</v>
      </c>
      <c r="X2115" s="21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J2115" t="s">
        <v>51</v>
      </c>
      <c r="AK2115" t="s">
        <v>52</v>
      </c>
      <c r="AP2115" t="s">
        <v>541</v>
      </c>
    </row>
    <row r="2116" spans="1:42">
      <c r="A2116" s="1">
        <v>43843</v>
      </c>
      <c r="B2116">
        <v>1</v>
      </c>
      <c r="C2116">
        <v>987</v>
      </c>
      <c r="D2116">
        <v>10423</v>
      </c>
      <c r="E2116" t="s">
        <v>37</v>
      </c>
      <c r="F2116" t="s">
        <v>520</v>
      </c>
      <c r="G2116">
        <v>2</v>
      </c>
      <c r="H2116">
        <v>12</v>
      </c>
      <c r="I2116" s="25">
        <v>1974</v>
      </c>
      <c r="K2116" t="s">
        <v>156</v>
      </c>
      <c r="L2116" t="s">
        <v>114</v>
      </c>
      <c r="M2116" t="s">
        <v>52</v>
      </c>
      <c r="N2116" t="s">
        <v>40</v>
      </c>
      <c r="O2116">
        <v>124</v>
      </c>
      <c r="Q2116">
        <f t="shared" si="66"/>
        <v>4</v>
      </c>
      <c r="S2116">
        <v>0</v>
      </c>
      <c r="T2116">
        <v>0</v>
      </c>
      <c r="U2116">
        <v>3</v>
      </c>
      <c r="V2116">
        <v>0</v>
      </c>
      <c r="W2116">
        <v>1</v>
      </c>
      <c r="X2116" s="21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J2116" t="s">
        <v>51</v>
      </c>
      <c r="AK2116" t="s">
        <v>52</v>
      </c>
      <c r="AP2116" t="s">
        <v>541</v>
      </c>
    </row>
    <row r="2117" spans="1:42">
      <c r="A2117" s="1">
        <v>43843</v>
      </c>
      <c r="B2117">
        <v>1</v>
      </c>
      <c r="C2117">
        <v>987</v>
      </c>
      <c r="D2117">
        <v>10423</v>
      </c>
      <c r="E2117" t="s">
        <v>37</v>
      </c>
      <c r="F2117" t="s">
        <v>520</v>
      </c>
      <c r="G2117">
        <v>2</v>
      </c>
      <c r="H2117">
        <v>13</v>
      </c>
      <c r="I2117" s="25">
        <v>1980</v>
      </c>
      <c r="K2117" t="s">
        <v>156</v>
      </c>
      <c r="L2117" t="s">
        <v>114</v>
      </c>
      <c r="M2117" t="s">
        <v>52</v>
      </c>
      <c r="N2117" t="s">
        <v>40</v>
      </c>
      <c r="O2117">
        <v>32</v>
      </c>
      <c r="Q2117">
        <f t="shared" si="66"/>
        <v>1</v>
      </c>
      <c r="S2117">
        <v>0</v>
      </c>
      <c r="T2117">
        <v>0</v>
      </c>
      <c r="U2117">
        <v>1</v>
      </c>
      <c r="V2117">
        <v>0</v>
      </c>
      <c r="W2117">
        <v>0</v>
      </c>
      <c r="X2117" s="21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J2117" t="s">
        <v>51</v>
      </c>
      <c r="AK2117" t="s">
        <v>52</v>
      </c>
      <c r="AP2117" t="s">
        <v>541</v>
      </c>
    </row>
    <row r="2118" spans="1:42">
      <c r="A2118" s="1">
        <v>43843</v>
      </c>
      <c r="B2118">
        <v>1</v>
      </c>
      <c r="C2118">
        <v>987</v>
      </c>
      <c r="D2118">
        <v>10423</v>
      </c>
      <c r="E2118" t="s">
        <v>37</v>
      </c>
      <c r="F2118" t="s">
        <v>520</v>
      </c>
      <c r="G2118">
        <v>2</v>
      </c>
      <c r="H2118">
        <v>14</v>
      </c>
      <c r="I2118" s="25">
        <v>2020</v>
      </c>
      <c r="K2118" t="s">
        <v>156</v>
      </c>
      <c r="L2118" t="s">
        <v>114</v>
      </c>
      <c r="M2118" t="s">
        <v>52</v>
      </c>
      <c r="N2118" t="s">
        <v>40</v>
      </c>
      <c r="O2118">
        <v>39</v>
      </c>
      <c r="Q2118">
        <f t="shared" si="66"/>
        <v>1</v>
      </c>
      <c r="S2118">
        <v>0</v>
      </c>
      <c r="T2118">
        <v>0</v>
      </c>
      <c r="U2118">
        <v>0</v>
      </c>
      <c r="V2118">
        <v>1</v>
      </c>
      <c r="W2118">
        <v>0</v>
      </c>
      <c r="X2118" s="21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J2118" t="s">
        <v>51</v>
      </c>
      <c r="AK2118" t="s">
        <v>52</v>
      </c>
      <c r="AP2118" t="s">
        <v>541</v>
      </c>
    </row>
    <row r="2119" spans="1:42">
      <c r="A2119" s="1">
        <v>43843</v>
      </c>
      <c r="B2119">
        <v>1</v>
      </c>
      <c r="C2119">
        <v>987</v>
      </c>
      <c r="D2119">
        <v>10423</v>
      </c>
      <c r="E2119" t="s">
        <v>37</v>
      </c>
      <c r="F2119" t="s">
        <v>520</v>
      </c>
      <c r="G2119">
        <v>2</v>
      </c>
      <c r="H2119">
        <v>15</v>
      </c>
      <c r="I2119" s="25">
        <v>2060</v>
      </c>
      <c r="K2119" t="s">
        <v>156</v>
      </c>
      <c r="L2119" t="s">
        <v>114</v>
      </c>
      <c r="M2119" t="s">
        <v>52</v>
      </c>
      <c r="N2119" t="s">
        <v>44</v>
      </c>
      <c r="O2119">
        <v>88</v>
      </c>
      <c r="Q2119">
        <f t="shared" si="66"/>
        <v>1</v>
      </c>
      <c r="S2119">
        <v>0</v>
      </c>
      <c r="T2119">
        <v>0</v>
      </c>
      <c r="U2119">
        <v>0</v>
      </c>
      <c r="V2119">
        <v>0</v>
      </c>
      <c r="W2119">
        <v>1</v>
      </c>
      <c r="X2119" s="21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J2119" t="s">
        <v>51</v>
      </c>
      <c r="AK2119" t="s">
        <v>52</v>
      </c>
      <c r="AL2119" t="s">
        <v>592</v>
      </c>
      <c r="AP2119" t="s">
        <v>541</v>
      </c>
    </row>
    <row r="2120" spans="1:42">
      <c r="A2120" s="1">
        <v>43843</v>
      </c>
      <c r="B2120">
        <v>1</v>
      </c>
      <c r="C2120">
        <v>987</v>
      </c>
      <c r="D2120">
        <v>10423</v>
      </c>
      <c r="E2120" t="s">
        <v>37</v>
      </c>
      <c r="F2120" t="s">
        <v>520</v>
      </c>
      <c r="G2120">
        <v>2</v>
      </c>
      <c r="H2120">
        <v>16</v>
      </c>
      <c r="I2120" s="25">
        <v>2080</v>
      </c>
      <c r="K2120" t="s">
        <v>156</v>
      </c>
      <c r="L2120" t="s">
        <v>114</v>
      </c>
      <c r="M2120" t="s">
        <v>52</v>
      </c>
      <c r="N2120" t="s">
        <v>44</v>
      </c>
      <c r="O2120">
        <v>164</v>
      </c>
      <c r="Q2120">
        <f t="shared" si="66"/>
        <v>1</v>
      </c>
      <c r="S2120">
        <v>0</v>
      </c>
      <c r="T2120">
        <v>0</v>
      </c>
      <c r="U2120">
        <v>0</v>
      </c>
      <c r="V2120">
        <v>0</v>
      </c>
      <c r="W2120">
        <v>1</v>
      </c>
      <c r="X2120" s="21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J2120" t="s">
        <v>51</v>
      </c>
      <c r="AK2120" t="s">
        <v>52</v>
      </c>
      <c r="AL2120" t="s">
        <v>593</v>
      </c>
      <c r="AP2120" t="s">
        <v>541</v>
      </c>
    </row>
    <row r="2121" spans="1:42">
      <c r="A2121" s="1">
        <v>43843</v>
      </c>
      <c r="B2121">
        <v>1</v>
      </c>
      <c r="C2121">
        <v>987</v>
      </c>
      <c r="D2121">
        <v>10423</v>
      </c>
      <c r="E2121" t="s">
        <v>37</v>
      </c>
      <c r="F2121" t="s">
        <v>520</v>
      </c>
      <c r="G2121">
        <v>2</v>
      </c>
      <c r="H2121">
        <v>17</v>
      </c>
      <c r="I2121" s="25">
        <v>2148</v>
      </c>
      <c r="K2121" t="s">
        <v>156</v>
      </c>
      <c r="L2121" t="s">
        <v>114</v>
      </c>
      <c r="M2121" t="s">
        <v>52</v>
      </c>
      <c r="N2121" t="s">
        <v>40</v>
      </c>
      <c r="O2121">
        <v>98</v>
      </c>
      <c r="Q2121">
        <f t="shared" si="66"/>
        <v>4</v>
      </c>
      <c r="S2121">
        <v>0</v>
      </c>
      <c r="T2121">
        <v>0</v>
      </c>
      <c r="U2121">
        <v>0</v>
      </c>
      <c r="V2121">
        <v>1</v>
      </c>
      <c r="W2121">
        <v>3</v>
      </c>
      <c r="X2121" s="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J2121" t="s">
        <v>51</v>
      </c>
      <c r="AK2121" t="s">
        <v>52</v>
      </c>
      <c r="AP2121" t="s">
        <v>541</v>
      </c>
    </row>
    <row r="2122" spans="1:42">
      <c r="A2122" s="1">
        <v>43843</v>
      </c>
      <c r="B2122">
        <v>1</v>
      </c>
      <c r="C2122">
        <v>987</v>
      </c>
      <c r="D2122">
        <v>10423</v>
      </c>
      <c r="E2122" t="s">
        <v>37</v>
      </c>
      <c r="F2122" t="s">
        <v>520</v>
      </c>
      <c r="G2122">
        <v>2</v>
      </c>
      <c r="H2122">
        <v>18</v>
      </c>
      <c r="I2122" s="25">
        <v>2174</v>
      </c>
      <c r="K2122" t="s">
        <v>156</v>
      </c>
      <c r="L2122" t="s">
        <v>114</v>
      </c>
      <c r="M2122" t="s">
        <v>52</v>
      </c>
      <c r="N2122" t="s">
        <v>40</v>
      </c>
      <c r="O2122">
        <v>33</v>
      </c>
      <c r="Q2122">
        <f t="shared" si="66"/>
        <v>1</v>
      </c>
      <c r="S2122">
        <v>0</v>
      </c>
      <c r="T2122">
        <v>0</v>
      </c>
      <c r="U2122">
        <v>1</v>
      </c>
      <c r="V2122">
        <v>0</v>
      </c>
      <c r="W2122">
        <v>0</v>
      </c>
      <c r="X2122" s="21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J2122" t="s">
        <v>51</v>
      </c>
      <c r="AK2122" t="s">
        <v>52</v>
      </c>
      <c r="AP2122" t="s">
        <v>541</v>
      </c>
    </row>
    <row r="2123" spans="1:42">
      <c r="A2123" s="1">
        <v>43843</v>
      </c>
      <c r="B2123">
        <v>1</v>
      </c>
      <c r="C2123">
        <v>987</v>
      </c>
      <c r="D2123">
        <v>10423</v>
      </c>
      <c r="E2123" t="s">
        <v>37</v>
      </c>
      <c r="F2123" t="s">
        <v>520</v>
      </c>
      <c r="G2123">
        <v>2</v>
      </c>
      <c r="H2123">
        <v>19</v>
      </c>
      <c r="I2123" s="25">
        <v>2184</v>
      </c>
      <c r="K2123" t="s">
        <v>156</v>
      </c>
      <c r="L2123" t="s">
        <v>114</v>
      </c>
      <c r="M2123" t="s">
        <v>52</v>
      </c>
      <c r="N2123" t="s">
        <v>40</v>
      </c>
      <c r="O2123">
        <v>65</v>
      </c>
      <c r="Q2123">
        <f t="shared" si="66"/>
        <v>2</v>
      </c>
      <c r="S2123">
        <v>0</v>
      </c>
      <c r="T2123">
        <v>0</v>
      </c>
      <c r="U2123">
        <v>0</v>
      </c>
      <c r="V2123">
        <v>0</v>
      </c>
      <c r="W2123">
        <v>2</v>
      </c>
      <c r="X2123" s="21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J2123" t="s">
        <v>51</v>
      </c>
      <c r="AK2123" t="s">
        <v>52</v>
      </c>
      <c r="AP2123" t="s">
        <v>541</v>
      </c>
    </row>
    <row r="2124" spans="1:42">
      <c r="A2124" s="1">
        <v>43843</v>
      </c>
      <c r="B2124">
        <v>1</v>
      </c>
      <c r="C2124">
        <v>987</v>
      </c>
      <c r="D2124">
        <v>10423</v>
      </c>
      <c r="E2124" t="s">
        <v>37</v>
      </c>
      <c r="F2124" t="s">
        <v>520</v>
      </c>
      <c r="G2124">
        <v>2</v>
      </c>
      <c r="H2124">
        <v>20</v>
      </c>
      <c r="I2124" s="25">
        <v>2187</v>
      </c>
      <c r="K2124" t="s">
        <v>156</v>
      </c>
      <c r="L2124" t="s">
        <v>141</v>
      </c>
      <c r="M2124" t="s">
        <v>52</v>
      </c>
      <c r="N2124" t="s">
        <v>40</v>
      </c>
      <c r="O2124">
        <v>30</v>
      </c>
      <c r="Q2124">
        <f t="shared" si="66"/>
        <v>1</v>
      </c>
      <c r="S2124">
        <v>0</v>
      </c>
      <c r="T2124">
        <v>0</v>
      </c>
      <c r="U2124">
        <v>1</v>
      </c>
      <c r="V2124">
        <v>0</v>
      </c>
      <c r="W2124">
        <v>0</v>
      </c>
      <c r="X2124" s="21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J2124" t="s">
        <v>51</v>
      </c>
      <c r="AK2124" t="s">
        <v>52</v>
      </c>
      <c r="AP2124" t="s">
        <v>541</v>
      </c>
    </row>
    <row r="2125" spans="1:42">
      <c r="A2125" s="1">
        <v>43843</v>
      </c>
      <c r="B2125">
        <v>1</v>
      </c>
      <c r="C2125">
        <v>987</v>
      </c>
      <c r="D2125">
        <v>10423</v>
      </c>
      <c r="E2125" t="s">
        <v>37</v>
      </c>
      <c r="F2125" t="s">
        <v>520</v>
      </c>
      <c r="G2125">
        <v>2</v>
      </c>
      <c r="H2125">
        <v>21</v>
      </c>
      <c r="I2125" s="25">
        <v>2165</v>
      </c>
      <c r="K2125" t="s">
        <v>156</v>
      </c>
      <c r="L2125" t="s">
        <v>141</v>
      </c>
      <c r="M2125" t="s">
        <v>52</v>
      </c>
      <c r="N2125" t="s">
        <v>40</v>
      </c>
      <c r="O2125">
        <v>32</v>
      </c>
      <c r="Q2125">
        <f t="shared" si="66"/>
        <v>1</v>
      </c>
      <c r="S2125">
        <v>0</v>
      </c>
      <c r="T2125">
        <v>0</v>
      </c>
      <c r="U2125">
        <v>1</v>
      </c>
      <c r="V2125">
        <v>0</v>
      </c>
      <c r="W2125">
        <v>0</v>
      </c>
      <c r="X2125" s="21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J2125" t="s">
        <v>51</v>
      </c>
      <c r="AK2125" t="s">
        <v>52</v>
      </c>
      <c r="AP2125" t="s">
        <v>541</v>
      </c>
    </row>
    <row r="2126" spans="1:42">
      <c r="A2126" s="1">
        <v>43843</v>
      </c>
      <c r="B2126">
        <v>1</v>
      </c>
      <c r="C2126">
        <v>987</v>
      </c>
      <c r="D2126">
        <v>10423</v>
      </c>
      <c r="E2126" t="s">
        <v>37</v>
      </c>
      <c r="F2126" t="s">
        <v>520</v>
      </c>
      <c r="G2126">
        <v>2</v>
      </c>
      <c r="H2126">
        <v>22</v>
      </c>
      <c r="I2126" s="25">
        <v>2125</v>
      </c>
      <c r="K2126" t="s">
        <v>156</v>
      </c>
      <c r="L2126" t="s">
        <v>141</v>
      </c>
      <c r="M2126" t="s">
        <v>52</v>
      </c>
      <c r="N2126" t="s">
        <v>44</v>
      </c>
      <c r="O2126">
        <v>252</v>
      </c>
      <c r="Q2126">
        <f t="shared" si="66"/>
        <v>4</v>
      </c>
      <c r="S2126">
        <v>0</v>
      </c>
      <c r="T2126">
        <v>0</v>
      </c>
      <c r="U2126">
        <v>0</v>
      </c>
      <c r="V2126">
        <v>0</v>
      </c>
      <c r="W2126">
        <v>4</v>
      </c>
      <c r="X2126" s="21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J2126" t="s">
        <v>51</v>
      </c>
      <c r="AK2126" t="s">
        <v>52</v>
      </c>
      <c r="AL2126" t="s">
        <v>594</v>
      </c>
      <c r="AP2126" t="s">
        <v>541</v>
      </c>
    </row>
    <row r="2127" spans="1:42">
      <c r="A2127" s="1">
        <v>43843</v>
      </c>
      <c r="B2127">
        <v>1</v>
      </c>
      <c r="C2127">
        <v>987</v>
      </c>
      <c r="D2127">
        <v>10423</v>
      </c>
      <c r="E2127" t="s">
        <v>37</v>
      </c>
      <c r="F2127" t="s">
        <v>520</v>
      </c>
      <c r="G2127">
        <v>2</v>
      </c>
      <c r="H2127">
        <v>23</v>
      </c>
      <c r="I2127" s="25">
        <v>2055</v>
      </c>
      <c r="K2127" t="s">
        <v>156</v>
      </c>
      <c r="L2127" t="s">
        <v>141</v>
      </c>
      <c r="M2127" t="s">
        <v>52</v>
      </c>
      <c r="N2127" t="s">
        <v>40</v>
      </c>
      <c r="O2127">
        <v>40</v>
      </c>
      <c r="Q2127">
        <f t="shared" si="66"/>
        <v>1</v>
      </c>
      <c r="S2127">
        <v>0</v>
      </c>
      <c r="T2127">
        <v>0</v>
      </c>
      <c r="U2127">
        <v>0</v>
      </c>
      <c r="V2127">
        <v>0</v>
      </c>
      <c r="W2127">
        <v>1</v>
      </c>
      <c r="X2127" s="21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J2127" t="s">
        <v>51</v>
      </c>
      <c r="AK2127" t="s">
        <v>52</v>
      </c>
      <c r="AP2127" t="s">
        <v>541</v>
      </c>
    </row>
    <row r="2128" spans="1:42">
      <c r="A2128" s="1">
        <v>43843</v>
      </c>
      <c r="B2128">
        <v>1</v>
      </c>
      <c r="C2128">
        <v>987</v>
      </c>
      <c r="D2128">
        <v>10423</v>
      </c>
      <c r="E2128" t="s">
        <v>37</v>
      </c>
      <c r="F2128" t="s">
        <v>520</v>
      </c>
      <c r="G2128">
        <v>2</v>
      </c>
      <c r="H2128">
        <v>24</v>
      </c>
      <c r="I2128" s="25">
        <v>1981</v>
      </c>
      <c r="K2128" t="s">
        <v>156</v>
      </c>
      <c r="L2128" t="s">
        <v>141</v>
      </c>
      <c r="M2128" t="s">
        <v>52</v>
      </c>
      <c r="N2128" t="s">
        <v>40</v>
      </c>
      <c r="O2128">
        <v>175</v>
      </c>
      <c r="Q2128">
        <f t="shared" si="66"/>
        <v>4</v>
      </c>
      <c r="S2128">
        <v>0</v>
      </c>
      <c r="T2128">
        <v>0</v>
      </c>
      <c r="U2128">
        <v>0</v>
      </c>
      <c r="V2128">
        <v>2</v>
      </c>
      <c r="W2128">
        <v>2</v>
      </c>
      <c r="X2128" s="21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J2128" t="s">
        <v>51</v>
      </c>
      <c r="AK2128" t="s">
        <v>52</v>
      </c>
      <c r="AL2128" t="s">
        <v>593</v>
      </c>
      <c r="AP2128" t="s">
        <v>541</v>
      </c>
    </row>
    <row r="2129" spans="1:42">
      <c r="A2129" s="1">
        <v>43843</v>
      </c>
      <c r="B2129">
        <v>1</v>
      </c>
      <c r="C2129">
        <v>987</v>
      </c>
      <c r="D2129">
        <v>10423</v>
      </c>
      <c r="E2129" t="s">
        <v>37</v>
      </c>
      <c r="F2129" t="s">
        <v>520</v>
      </c>
      <c r="G2129">
        <v>2</v>
      </c>
      <c r="H2129">
        <v>25</v>
      </c>
      <c r="I2129" s="25">
        <v>1951</v>
      </c>
      <c r="K2129" t="s">
        <v>156</v>
      </c>
      <c r="L2129" t="s">
        <v>141</v>
      </c>
      <c r="M2129" t="s">
        <v>52</v>
      </c>
      <c r="N2129" t="s">
        <v>44</v>
      </c>
      <c r="O2129">
        <v>305</v>
      </c>
      <c r="Q2129">
        <f t="shared" si="66"/>
        <v>4</v>
      </c>
      <c r="S2129">
        <v>0</v>
      </c>
      <c r="T2129">
        <v>0</v>
      </c>
      <c r="U2129">
        <v>0</v>
      </c>
      <c r="V2129">
        <v>1</v>
      </c>
      <c r="W2129">
        <v>3</v>
      </c>
      <c r="X2129" s="21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J2129" t="s">
        <v>51</v>
      </c>
      <c r="AK2129" t="s">
        <v>52</v>
      </c>
      <c r="AL2129" t="s">
        <v>593</v>
      </c>
      <c r="AP2129" t="s">
        <v>541</v>
      </c>
    </row>
    <row r="2130" spans="1:42">
      <c r="A2130" s="1">
        <v>43843</v>
      </c>
      <c r="B2130">
        <v>1</v>
      </c>
      <c r="C2130">
        <v>987</v>
      </c>
      <c r="D2130">
        <v>10423</v>
      </c>
      <c r="E2130" t="s">
        <v>37</v>
      </c>
      <c r="F2130" t="s">
        <v>520</v>
      </c>
      <c r="G2130">
        <v>2</v>
      </c>
      <c r="H2130">
        <v>26</v>
      </c>
      <c r="I2130" s="25">
        <v>1909</v>
      </c>
      <c r="K2130" t="s">
        <v>156</v>
      </c>
      <c r="L2130" t="s">
        <v>141</v>
      </c>
      <c r="M2130" t="s">
        <v>52</v>
      </c>
      <c r="N2130" t="s">
        <v>40</v>
      </c>
      <c r="O2130">
        <v>103</v>
      </c>
      <c r="Q2130">
        <f t="shared" si="66"/>
        <v>3</v>
      </c>
      <c r="S2130">
        <v>0</v>
      </c>
      <c r="T2130">
        <v>0</v>
      </c>
      <c r="U2130">
        <v>1</v>
      </c>
      <c r="V2130">
        <v>2</v>
      </c>
      <c r="W2130">
        <v>0</v>
      </c>
      <c r="X2130" s="21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J2130" t="s">
        <v>51</v>
      </c>
      <c r="AK2130" t="s">
        <v>52</v>
      </c>
      <c r="AP2130" t="s">
        <v>541</v>
      </c>
    </row>
    <row r="2131" spans="1:42">
      <c r="A2131" s="1">
        <v>43843</v>
      </c>
      <c r="B2131">
        <v>1</v>
      </c>
      <c r="C2131">
        <v>987</v>
      </c>
      <c r="D2131">
        <v>10423</v>
      </c>
      <c r="E2131" t="s">
        <v>37</v>
      </c>
      <c r="F2131" t="s">
        <v>520</v>
      </c>
      <c r="G2131">
        <v>2</v>
      </c>
      <c r="H2131">
        <v>27</v>
      </c>
      <c r="I2131" s="25">
        <v>1889</v>
      </c>
      <c r="K2131" t="s">
        <v>156</v>
      </c>
      <c r="L2131" t="s">
        <v>141</v>
      </c>
      <c r="M2131" t="s">
        <v>52</v>
      </c>
      <c r="N2131" t="s">
        <v>40</v>
      </c>
      <c r="O2131">
        <v>33</v>
      </c>
      <c r="Q2131">
        <f t="shared" si="66"/>
        <v>1</v>
      </c>
      <c r="S2131">
        <v>0</v>
      </c>
      <c r="T2131">
        <v>0</v>
      </c>
      <c r="U2131">
        <v>0</v>
      </c>
      <c r="V2131">
        <v>1</v>
      </c>
      <c r="W2131">
        <v>0</v>
      </c>
      <c r="X2131" s="2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J2131" t="s">
        <v>51</v>
      </c>
      <c r="AK2131" t="s">
        <v>52</v>
      </c>
      <c r="AP2131" t="s">
        <v>541</v>
      </c>
    </row>
    <row r="2132" spans="1:42">
      <c r="A2132" s="1">
        <v>43843</v>
      </c>
      <c r="B2132">
        <v>1</v>
      </c>
      <c r="C2132">
        <v>987</v>
      </c>
      <c r="D2132">
        <v>10423</v>
      </c>
      <c r="E2132" t="s">
        <v>37</v>
      </c>
      <c r="F2132" t="s">
        <v>520</v>
      </c>
      <c r="G2132">
        <v>2</v>
      </c>
      <c r="H2132">
        <v>28</v>
      </c>
      <c r="I2132" s="25">
        <v>1857</v>
      </c>
      <c r="K2132" t="s">
        <v>156</v>
      </c>
      <c r="L2132" t="s">
        <v>141</v>
      </c>
      <c r="M2132" t="s">
        <v>52</v>
      </c>
      <c r="N2132" t="s">
        <v>40</v>
      </c>
      <c r="O2132">
        <v>100</v>
      </c>
      <c r="Q2132">
        <f t="shared" si="66"/>
        <v>2</v>
      </c>
      <c r="S2132">
        <v>0</v>
      </c>
      <c r="T2132">
        <v>0</v>
      </c>
      <c r="U2132">
        <v>0</v>
      </c>
      <c r="V2132">
        <v>1</v>
      </c>
      <c r="W2132">
        <v>1</v>
      </c>
      <c r="X2132" s="21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J2132" t="s">
        <v>51</v>
      </c>
      <c r="AK2132" t="s">
        <v>52</v>
      </c>
      <c r="AP2132" t="s">
        <v>541</v>
      </c>
    </row>
    <row r="2133" spans="1:42">
      <c r="A2133" s="1">
        <v>43843</v>
      </c>
      <c r="B2133">
        <v>1</v>
      </c>
      <c r="C2133">
        <v>987</v>
      </c>
      <c r="D2133">
        <v>10423</v>
      </c>
      <c r="E2133" t="s">
        <v>37</v>
      </c>
      <c r="F2133" t="s">
        <v>520</v>
      </c>
      <c r="G2133">
        <v>2</v>
      </c>
      <c r="H2133">
        <v>29</v>
      </c>
      <c r="I2133" s="25">
        <v>1833</v>
      </c>
      <c r="K2133" t="s">
        <v>156</v>
      </c>
      <c r="L2133" t="s">
        <v>141</v>
      </c>
      <c r="M2133" t="s">
        <v>52</v>
      </c>
      <c r="N2133" t="s">
        <v>42</v>
      </c>
      <c r="O2133">
        <v>192</v>
      </c>
      <c r="Q2133">
        <f t="shared" si="66"/>
        <v>3</v>
      </c>
      <c r="S2133">
        <v>0</v>
      </c>
      <c r="T2133">
        <v>0</v>
      </c>
      <c r="U2133">
        <v>3</v>
      </c>
      <c r="V2133">
        <v>0</v>
      </c>
      <c r="W2133">
        <v>0</v>
      </c>
      <c r="X2133" s="21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J2133" t="s">
        <v>51</v>
      </c>
      <c r="AK2133" t="s">
        <v>52</v>
      </c>
      <c r="AL2133" t="s">
        <v>589</v>
      </c>
      <c r="AP2133" t="s">
        <v>541</v>
      </c>
    </row>
    <row r="2134" spans="1:42">
      <c r="A2134" s="1">
        <v>43843</v>
      </c>
      <c r="B2134">
        <v>1</v>
      </c>
      <c r="C2134">
        <v>987</v>
      </c>
      <c r="D2134">
        <v>10423</v>
      </c>
      <c r="E2134" t="s">
        <v>37</v>
      </c>
      <c r="F2134" t="s">
        <v>520</v>
      </c>
      <c r="G2134">
        <v>2</v>
      </c>
      <c r="H2134">
        <v>30</v>
      </c>
      <c r="I2134" s="25">
        <v>2760</v>
      </c>
      <c r="K2134" t="s">
        <v>595</v>
      </c>
      <c r="L2134" t="s">
        <v>141</v>
      </c>
      <c r="M2134" t="s">
        <v>52</v>
      </c>
      <c r="N2134" t="s">
        <v>40</v>
      </c>
      <c r="O2134">
        <v>47</v>
      </c>
      <c r="Q2134">
        <f t="shared" si="66"/>
        <v>1</v>
      </c>
      <c r="S2134">
        <v>0</v>
      </c>
      <c r="T2134">
        <v>0</v>
      </c>
      <c r="U2134">
        <v>0</v>
      </c>
      <c r="V2134">
        <v>1</v>
      </c>
      <c r="W2134">
        <v>0</v>
      </c>
      <c r="X2134" s="21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J2134" t="s">
        <v>54</v>
      </c>
      <c r="AK2134" t="s">
        <v>52</v>
      </c>
      <c r="AP2134" t="s">
        <v>541</v>
      </c>
    </row>
    <row r="2135" spans="1:42">
      <c r="A2135" s="1">
        <v>43843</v>
      </c>
      <c r="B2135">
        <v>1</v>
      </c>
      <c r="C2135">
        <v>987</v>
      </c>
      <c r="D2135">
        <v>10423</v>
      </c>
      <c r="E2135" t="s">
        <v>37</v>
      </c>
      <c r="F2135" t="s">
        <v>520</v>
      </c>
      <c r="G2135">
        <v>2</v>
      </c>
      <c r="H2135">
        <v>31</v>
      </c>
      <c r="I2135" s="25">
        <v>2111</v>
      </c>
      <c r="K2135" t="s">
        <v>595</v>
      </c>
      <c r="L2135" t="s">
        <v>141</v>
      </c>
      <c r="M2135" t="s">
        <v>52</v>
      </c>
      <c r="N2135" t="s">
        <v>44</v>
      </c>
      <c r="O2135">
        <v>150</v>
      </c>
      <c r="Q2135">
        <f t="shared" si="66"/>
        <v>2</v>
      </c>
      <c r="S2135">
        <v>0</v>
      </c>
      <c r="T2135">
        <v>0</v>
      </c>
      <c r="U2135">
        <v>0</v>
      </c>
      <c r="V2135">
        <v>0</v>
      </c>
      <c r="W2135">
        <v>2</v>
      </c>
      <c r="X2135" s="21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J2135" t="s">
        <v>54</v>
      </c>
      <c r="AK2135" t="s">
        <v>52</v>
      </c>
      <c r="AP2135" t="s">
        <v>541</v>
      </c>
    </row>
    <row r="2136" spans="1:42">
      <c r="A2136" s="1">
        <v>43843</v>
      </c>
      <c r="B2136">
        <v>1</v>
      </c>
      <c r="C2136">
        <v>987</v>
      </c>
      <c r="D2136">
        <v>10423</v>
      </c>
      <c r="E2136" t="s">
        <v>37</v>
      </c>
      <c r="F2136" t="s">
        <v>520</v>
      </c>
      <c r="G2136">
        <v>2</v>
      </c>
      <c r="H2136">
        <v>32</v>
      </c>
      <c r="I2136" s="25">
        <v>1990</v>
      </c>
      <c r="K2136" t="s">
        <v>119</v>
      </c>
      <c r="L2136" t="s">
        <v>114</v>
      </c>
      <c r="M2136" t="s">
        <v>52</v>
      </c>
      <c r="N2136" t="s">
        <v>44</v>
      </c>
      <c r="O2136">
        <v>296</v>
      </c>
      <c r="Q2136">
        <f t="shared" si="66"/>
        <v>6</v>
      </c>
      <c r="S2136">
        <v>0</v>
      </c>
      <c r="T2136">
        <v>0</v>
      </c>
      <c r="U2136">
        <v>2</v>
      </c>
      <c r="V2136">
        <v>2</v>
      </c>
      <c r="W2136">
        <v>2</v>
      </c>
      <c r="X2136" s="21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J2136" t="s">
        <v>54</v>
      </c>
      <c r="AK2136" t="s">
        <v>52</v>
      </c>
      <c r="AL2136" t="s">
        <v>589</v>
      </c>
      <c r="AP2136" t="s">
        <v>541</v>
      </c>
    </row>
    <row r="2137" spans="1:42">
      <c r="A2137" s="1">
        <v>43843</v>
      </c>
      <c r="B2137">
        <v>1</v>
      </c>
      <c r="C2137">
        <v>987</v>
      </c>
      <c r="D2137">
        <v>10423</v>
      </c>
      <c r="E2137" t="s">
        <v>37</v>
      </c>
      <c r="F2137" t="s">
        <v>520</v>
      </c>
      <c r="G2137">
        <v>2</v>
      </c>
      <c r="H2137">
        <v>33</v>
      </c>
      <c r="I2137" s="25">
        <v>1995</v>
      </c>
      <c r="K2137" t="s">
        <v>156</v>
      </c>
      <c r="L2137" t="s">
        <v>141</v>
      </c>
      <c r="M2137" t="s">
        <v>52</v>
      </c>
      <c r="N2137" t="s">
        <v>40</v>
      </c>
      <c r="O2137">
        <v>121</v>
      </c>
      <c r="Q2137">
        <f t="shared" si="66"/>
        <v>1</v>
      </c>
      <c r="S2137">
        <v>0</v>
      </c>
      <c r="T2137">
        <v>0</v>
      </c>
      <c r="U2137">
        <v>0</v>
      </c>
      <c r="V2137">
        <v>1</v>
      </c>
      <c r="W2137">
        <v>0</v>
      </c>
      <c r="X2137" s="21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J2137" t="s">
        <v>54</v>
      </c>
      <c r="AK2137" t="s">
        <v>52</v>
      </c>
      <c r="AP2137" t="s">
        <v>541</v>
      </c>
    </row>
    <row r="2138" spans="1:42">
      <c r="A2138" s="1">
        <v>43843</v>
      </c>
      <c r="B2138">
        <v>1</v>
      </c>
      <c r="C2138">
        <v>987</v>
      </c>
      <c r="D2138">
        <v>10423</v>
      </c>
      <c r="E2138" t="s">
        <v>37</v>
      </c>
      <c r="F2138" t="s">
        <v>520</v>
      </c>
      <c r="G2138">
        <v>2</v>
      </c>
      <c r="H2138">
        <v>34</v>
      </c>
      <c r="I2138" s="25">
        <v>3000</v>
      </c>
      <c r="K2138" t="s">
        <v>596</v>
      </c>
      <c r="L2138" t="s">
        <v>114</v>
      </c>
      <c r="M2138" t="s">
        <v>52</v>
      </c>
      <c r="N2138" t="s">
        <v>42</v>
      </c>
      <c r="O2138">
        <v>276</v>
      </c>
      <c r="Q2138">
        <f t="shared" si="66"/>
        <v>5</v>
      </c>
      <c r="S2138">
        <v>0</v>
      </c>
      <c r="T2138">
        <v>0</v>
      </c>
      <c r="U2138">
        <v>0</v>
      </c>
      <c r="V2138">
        <v>0</v>
      </c>
      <c r="W2138">
        <v>5</v>
      </c>
      <c r="X2138" s="21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J2138" t="s">
        <v>51</v>
      </c>
      <c r="AK2138" t="s">
        <v>52</v>
      </c>
      <c r="AL2138" t="s">
        <v>558</v>
      </c>
      <c r="AP2138" t="s">
        <v>541</v>
      </c>
    </row>
    <row r="2139" spans="1:42">
      <c r="A2139" s="1">
        <v>43843</v>
      </c>
      <c r="B2139">
        <v>1</v>
      </c>
      <c r="C2139">
        <v>987</v>
      </c>
      <c r="D2139">
        <v>10423</v>
      </c>
      <c r="E2139" t="s">
        <v>37</v>
      </c>
      <c r="F2139" t="s">
        <v>520</v>
      </c>
      <c r="G2139">
        <v>2</v>
      </c>
      <c r="H2139">
        <v>35</v>
      </c>
      <c r="I2139" s="25">
        <v>3100</v>
      </c>
      <c r="K2139" t="s">
        <v>596</v>
      </c>
      <c r="L2139" t="s">
        <v>114</v>
      </c>
      <c r="M2139" t="s">
        <v>52</v>
      </c>
      <c r="N2139" t="s">
        <v>44</v>
      </c>
      <c r="O2139">
        <v>130</v>
      </c>
      <c r="Q2139">
        <f t="shared" si="66"/>
        <v>1</v>
      </c>
      <c r="S2139">
        <v>0</v>
      </c>
      <c r="T2139">
        <v>0</v>
      </c>
      <c r="U2139">
        <v>0</v>
      </c>
      <c r="V2139">
        <v>0</v>
      </c>
      <c r="W2139">
        <v>1</v>
      </c>
      <c r="X2139" s="21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J2139" t="s">
        <v>51</v>
      </c>
      <c r="AK2139" t="s">
        <v>52</v>
      </c>
      <c r="AL2139" t="s">
        <v>589</v>
      </c>
      <c r="AP2139" t="s">
        <v>541</v>
      </c>
    </row>
    <row r="2140" spans="1:42">
      <c r="A2140" s="1">
        <v>43843</v>
      </c>
      <c r="B2140">
        <v>1</v>
      </c>
      <c r="C2140">
        <v>987</v>
      </c>
      <c r="D2140">
        <v>10423</v>
      </c>
      <c r="E2140" t="s">
        <v>37</v>
      </c>
      <c r="F2140" t="s">
        <v>520</v>
      </c>
      <c r="G2140">
        <v>2</v>
      </c>
      <c r="H2140">
        <v>36</v>
      </c>
      <c r="I2140" s="25">
        <v>130</v>
      </c>
      <c r="K2140" t="s">
        <v>596</v>
      </c>
      <c r="L2140" t="s">
        <v>114</v>
      </c>
      <c r="M2140" t="s">
        <v>52</v>
      </c>
      <c r="N2140" t="s">
        <v>44</v>
      </c>
      <c r="O2140">
        <v>153</v>
      </c>
      <c r="Q2140">
        <f t="shared" si="66"/>
        <v>1</v>
      </c>
      <c r="S2140">
        <v>0</v>
      </c>
      <c r="T2140">
        <v>0</v>
      </c>
      <c r="U2140">
        <v>0</v>
      </c>
      <c r="V2140">
        <v>1</v>
      </c>
      <c r="W2140">
        <v>0</v>
      </c>
      <c r="X2140" s="21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J2140" t="s">
        <v>51</v>
      </c>
      <c r="AK2140" t="s">
        <v>52</v>
      </c>
      <c r="AL2140" t="s">
        <v>597</v>
      </c>
      <c r="AP2140" t="s">
        <v>541</v>
      </c>
    </row>
    <row r="2141" spans="1:42">
      <c r="A2141" s="1">
        <v>43843</v>
      </c>
      <c r="B2141">
        <v>1</v>
      </c>
      <c r="C2141">
        <v>987</v>
      </c>
      <c r="D2141">
        <v>10423</v>
      </c>
      <c r="E2141" t="s">
        <v>37</v>
      </c>
      <c r="F2141" t="s">
        <v>520</v>
      </c>
      <c r="G2141">
        <v>2</v>
      </c>
      <c r="H2141">
        <v>37</v>
      </c>
      <c r="I2141" s="25">
        <v>176</v>
      </c>
      <c r="K2141" t="s">
        <v>596</v>
      </c>
      <c r="L2141" t="s">
        <v>114</v>
      </c>
      <c r="M2141" t="s">
        <v>52</v>
      </c>
      <c r="N2141" t="s">
        <v>44</v>
      </c>
      <c r="O2141">
        <v>72</v>
      </c>
      <c r="Q2141">
        <f t="shared" si="66"/>
        <v>3</v>
      </c>
      <c r="S2141">
        <v>0</v>
      </c>
      <c r="T2141">
        <v>0</v>
      </c>
      <c r="U2141">
        <v>0</v>
      </c>
      <c r="V2141">
        <v>2</v>
      </c>
      <c r="W2141">
        <v>1</v>
      </c>
      <c r="X2141" s="2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J2141" t="s">
        <v>51</v>
      </c>
      <c r="AK2141" t="s">
        <v>52</v>
      </c>
      <c r="AP2141" t="s">
        <v>541</v>
      </c>
    </row>
    <row r="2142" spans="1:42">
      <c r="A2142" s="1">
        <v>43843</v>
      </c>
      <c r="B2142">
        <v>1</v>
      </c>
      <c r="C2142">
        <v>987</v>
      </c>
      <c r="D2142">
        <v>10423</v>
      </c>
      <c r="E2142" t="s">
        <v>37</v>
      </c>
      <c r="F2142" t="s">
        <v>520</v>
      </c>
      <c r="G2142">
        <v>2</v>
      </c>
      <c r="H2142">
        <v>38</v>
      </c>
      <c r="I2142" s="25">
        <v>2100</v>
      </c>
      <c r="K2142" t="s">
        <v>148</v>
      </c>
      <c r="L2142" t="s">
        <v>114</v>
      </c>
      <c r="M2142" t="s">
        <v>52</v>
      </c>
      <c r="N2142" t="s">
        <v>44</v>
      </c>
      <c r="O2142">
        <v>112</v>
      </c>
      <c r="Q2142">
        <f t="shared" si="66"/>
        <v>1</v>
      </c>
      <c r="S2142">
        <v>0</v>
      </c>
      <c r="T2142">
        <v>0</v>
      </c>
      <c r="U2142">
        <v>0</v>
      </c>
      <c r="V2142">
        <v>0</v>
      </c>
      <c r="W2142">
        <v>1</v>
      </c>
      <c r="X2142" s="21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J2142" t="s">
        <v>51</v>
      </c>
      <c r="AK2142" t="s">
        <v>52</v>
      </c>
      <c r="AL2142" t="s">
        <v>589</v>
      </c>
      <c r="AP2142" t="s">
        <v>541</v>
      </c>
    </row>
    <row r="2143" spans="1:42">
      <c r="A2143" s="1">
        <v>43843</v>
      </c>
      <c r="B2143">
        <v>1</v>
      </c>
      <c r="C2143">
        <v>987</v>
      </c>
      <c r="D2143">
        <v>10423</v>
      </c>
      <c r="E2143" t="s">
        <v>37</v>
      </c>
      <c r="F2143" t="s">
        <v>520</v>
      </c>
      <c r="G2143">
        <v>2</v>
      </c>
      <c r="H2143">
        <v>39</v>
      </c>
      <c r="I2143" s="25">
        <v>2000</v>
      </c>
      <c r="K2143" t="s">
        <v>148</v>
      </c>
      <c r="L2143" t="s">
        <v>114</v>
      </c>
      <c r="M2143" t="s">
        <v>52</v>
      </c>
      <c r="N2143" t="s">
        <v>44</v>
      </c>
      <c r="O2143">
        <v>85</v>
      </c>
      <c r="Q2143">
        <f t="shared" si="66"/>
        <v>1</v>
      </c>
      <c r="S2143">
        <v>0</v>
      </c>
      <c r="T2143">
        <v>0</v>
      </c>
      <c r="U2143">
        <v>0</v>
      </c>
      <c r="V2143">
        <v>0</v>
      </c>
      <c r="W2143">
        <v>1</v>
      </c>
      <c r="X2143" s="21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J2143" t="s">
        <v>51</v>
      </c>
      <c r="AK2143" t="s">
        <v>52</v>
      </c>
      <c r="AL2143" t="s">
        <v>589</v>
      </c>
      <c r="AP2143" t="s">
        <v>541</v>
      </c>
    </row>
    <row r="2144" spans="1:42">
      <c r="A2144" s="1">
        <v>43843</v>
      </c>
      <c r="B2144">
        <v>1</v>
      </c>
      <c r="C2144">
        <v>987</v>
      </c>
      <c r="D2144">
        <v>10423</v>
      </c>
      <c r="E2144" t="s">
        <v>37</v>
      </c>
      <c r="F2144" t="s">
        <v>520</v>
      </c>
      <c r="G2144">
        <v>2</v>
      </c>
      <c r="H2144">
        <v>40</v>
      </c>
      <c r="I2144" s="25">
        <v>1931</v>
      </c>
      <c r="K2144" t="s">
        <v>148</v>
      </c>
      <c r="L2144" t="s">
        <v>141</v>
      </c>
      <c r="M2144" t="s">
        <v>52</v>
      </c>
      <c r="N2144" t="s">
        <v>44</v>
      </c>
      <c r="O2144">
        <v>194</v>
      </c>
      <c r="Q2144">
        <f t="shared" si="66"/>
        <v>4</v>
      </c>
      <c r="S2144">
        <v>0</v>
      </c>
      <c r="T2144">
        <v>0</v>
      </c>
      <c r="U2144">
        <v>0</v>
      </c>
      <c r="V2144">
        <v>2</v>
      </c>
      <c r="W2144">
        <v>2</v>
      </c>
      <c r="X2144" s="21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J2144" t="s">
        <v>51</v>
      </c>
      <c r="AK2144" t="s">
        <v>52</v>
      </c>
      <c r="AL2144" t="s">
        <v>589</v>
      </c>
      <c r="AP2144" t="s">
        <v>541</v>
      </c>
    </row>
    <row r="2145" spans="1:42">
      <c r="A2145" s="1">
        <v>43843</v>
      </c>
      <c r="B2145">
        <v>1</v>
      </c>
      <c r="C2145">
        <v>987</v>
      </c>
      <c r="D2145">
        <v>10423</v>
      </c>
      <c r="E2145" t="s">
        <v>37</v>
      </c>
      <c r="F2145" t="s">
        <v>520</v>
      </c>
      <c r="G2145">
        <v>2</v>
      </c>
      <c r="H2145">
        <v>41</v>
      </c>
      <c r="I2145" s="25">
        <v>1918</v>
      </c>
      <c r="K2145" t="s">
        <v>148</v>
      </c>
      <c r="L2145" t="s">
        <v>114</v>
      </c>
      <c r="M2145" t="s">
        <v>52</v>
      </c>
      <c r="N2145" t="s">
        <v>44</v>
      </c>
      <c r="O2145">
        <v>74</v>
      </c>
      <c r="Q2145">
        <f t="shared" si="66"/>
        <v>3</v>
      </c>
      <c r="S2145">
        <v>0</v>
      </c>
      <c r="T2145">
        <v>0</v>
      </c>
      <c r="U2145">
        <v>0</v>
      </c>
      <c r="V2145">
        <v>0</v>
      </c>
      <c r="W2145">
        <v>3</v>
      </c>
      <c r="X2145" s="21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J2145" t="s">
        <v>51</v>
      </c>
      <c r="AK2145" t="s">
        <v>52</v>
      </c>
      <c r="AL2145" t="s">
        <v>589</v>
      </c>
      <c r="AP2145" t="s">
        <v>541</v>
      </c>
    </row>
    <row r="2146" spans="1:42">
      <c r="A2146" s="1">
        <v>43843</v>
      </c>
      <c r="B2146">
        <v>1</v>
      </c>
      <c r="C2146">
        <v>987</v>
      </c>
      <c r="D2146">
        <v>10423</v>
      </c>
      <c r="E2146" t="s">
        <v>37</v>
      </c>
      <c r="F2146" t="s">
        <v>520</v>
      </c>
      <c r="G2146">
        <v>2</v>
      </c>
      <c r="H2146">
        <v>42</v>
      </c>
      <c r="I2146" s="25">
        <v>1885</v>
      </c>
      <c r="K2146" t="s">
        <v>148</v>
      </c>
      <c r="L2146" t="s">
        <v>141</v>
      </c>
      <c r="M2146" t="s">
        <v>52</v>
      </c>
      <c r="N2146" t="s">
        <v>44</v>
      </c>
      <c r="O2146">
        <v>111</v>
      </c>
      <c r="Q2146">
        <f t="shared" si="66"/>
        <v>1</v>
      </c>
      <c r="S2146">
        <v>0</v>
      </c>
      <c r="T2146">
        <v>0</v>
      </c>
      <c r="U2146">
        <v>0</v>
      </c>
      <c r="V2146">
        <v>0</v>
      </c>
      <c r="W2146">
        <v>1</v>
      </c>
      <c r="X2146" s="21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J2146" t="s">
        <v>51</v>
      </c>
      <c r="AK2146" t="s">
        <v>52</v>
      </c>
      <c r="AL2146" t="s">
        <v>589</v>
      </c>
      <c r="AP2146" t="s">
        <v>541</v>
      </c>
    </row>
    <row r="2147" spans="1:42">
      <c r="A2147" s="1">
        <v>43843</v>
      </c>
      <c r="B2147">
        <v>1</v>
      </c>
      <c r="C2147">
        <v>987</v>
      </c>
      <c r="D2147">
        <v>10423</v>
      </c>
      <c r="E2147" t="s">
        <v>37</v>
      </c>
      <c r="F2147" t="s">
        <v>520</v>
      </c>
      <c r="G2147">
        <v>2</v>
      </c>
      <c r="H2147">
        <v>43</v>
      </c>
      <c r="I2147" s="25">
        <v>1811</v>
      </c>
      <c r="K2147" t="s">
        <v>148</v>
      </c>
      <c r="L2147" t="s">
        <v>141</v>
      </c>
      <c r="M2147" t="s">
        <v>52</v>
      </c>
      <c r="N2147" t="s">
        <v>44</v>
      </c>
      <c r="O2147">
        <v>103</v>
      </c>
      <c r="Q2147">
        <f t="shared" si="66"/>
        <v>1</v>
      </c>
      <c r="S2147">
        <v>0</v>
      </c>
      <c r="T2147">
        <v>0</v>
      </c>
      <c r="U2147">
        <v>0</v>
      </c>
      <c r="V2147">
        <v>0</v>
      </c>
      <c r="W2147">
        <v>1</v>
      </c>
      <c r="X2147" s="21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J2147" t="s">
        <v>51</v>
      </c>
      <c r="AK2147" t="s">
        <v>52</v>
      </c>
      <c r="AL2147" t="s">
        <v>589</v>
      </c>
      <c r="AP2147" t="s">
        <v>541</v>
      </c>
    </row>
    <row r="2148" spans="1:42">
      <c r="A2148" s="1">
        <v>43843</v>
      </c>
      <c r="B2148">
        <v>1</v>
      </c>
      <c r="C2148">
        <v>987</v>
      </c>
      <c r="D2148">
        <v>10423</v>
      </c>
      <c r="E2148" t="s">
        <v>37</v>
      </c>
      <c r="F2148" t="s">
        <v>520</v>
      </c>
      <c r="G2148">
        <v>2</v>
      </c>
      <c r="H2148">
        <v>44</v>
      </c>
      <c r="I2148" s="25">
        <v>1811</v>
      </c>
      <c r="K2148" t="s">
        <v>148</v>
      </c>
      <c r="L2148" t="s">
        <v>141</v>
      </c>
      <c r="M2148" t="s">
        <v>52</v>
      </c>
      <c r="N2148" t="s">
        <v>44</v>
      </c>
      <c r="O2148">
        <v>73</v>
      </c>
      <c r="Q2148">
        <f t="shared" si="66"/>
        <v>1</v>
      </c>
      <c r="S2148">
        <v>0</v>
      </c>
      <c r="T2148">
        <v>0</v>
      </c>
      <c r="U2148">
        <v>0</v>
      </c>
      <c r="V2148">
        <v>0</v>
      </c>
      <c r="W2148">
        <v>1</v>
      </c>
      <c r="X2148" s="21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J2148" t="s">
        <v>51</v>
      </c>
      <c r="AK2148" t="s">
        <v>52</v>
      </c>
      <c r="AL2148" t="s">
        <v>589</v>
      </c>
      <c r="AP2148" t="s">
        <v>541</v>
      </c>
    </row>
    <row r="2149" spans="1:42">
      <c r="A2149" s="1">
        <v>43843</v>
      </c>
      <c r="B2149">
        <v>1</v>
      </c>
      <c r="C2149">
        <v>987</v>
      </c>
      <c r="D2149">
        <v>10423</v>
      </c>
      <c r="E2149" t="s">
        <v>37</v>
      </c>
      <c r="F2149" t="s">
        <v>520</v>
      </c>
      <c r="G2149">
        <v>2</v>
      </c>
      <c r="H2149">
        <v>45</v>
      </c>
      <c r="I2149" s="25">
        <v>1904</v>
      </c>
      <c r="K2149" t="s">
        <v>119</v>
      </c>
      <c r="L2149" t="s">
        <v>114</v>
      </c>
      <c r="M2149" t="s">
        <v>52</v>
      </c>
      <c r="N2149" t="s">
        <v>44</v>
      </c>
      <c r="O2149">
        <v>102</v>
      </c>
      <c r="Q2149">
        <f t="shared" si="66"/>
        <v>1</v>
      </c>
      <c r="S2149">
        <v>0</v>
      </c>
      <c r="T2149">
        <v>0</v>
      </c>
      <c r="U2149">
        <v>0</v>
      </c>
      <c r="V2149">
        <v>0</v>
      </c>
      <c r="W2149">
        <v>1</v>
      </c>
      <c r="X2149" s="21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J2149" t="s">
        <v>51</v>
      </c>
      <c r="AK2149" t="s">
        <v>52</v>
      </c>
      <c r="AL2149" t="s">
        <v>589</v>
      </c>
      <c r="AP2149" t="s">
        <v>541</v>
      </c>
    </row>
    <row r="2150" spans="1:42">
      <c r="A2150" s="1">
        <v>43843</v>
      </c>
      <c r="B2150">
        <v>1</v>
      </c>
      <c r="C2150">
        <v>987</v>
      </c>
      <c r="D2150">
        <v>10423</v>
      </c>
      <c r="E2150" t="s">
        <v>37</v>
      </c>
      <c r="F2150" t="s">
        <v>520</v>
      </c>
      <c r="G2150">
        <v>2</v>
      </c>
      <c r="H2150">
        <v>46</v>
      </c>
      <c r="I2150" s="25">
        <v>1948</v>
      </c>
      <c r="K2150" t="s">
        <v>119</v>
      </c>
      <c r="L2150" t="s">
        <v>114</v>
      </c>
      <c r="M2150" t="s">
        <v>52</v>
      </c>
      <c r="N2150" t="s">
        <v>44</v>
      </c>
      <c r="O2150">
        <v>147</v>
      </c>
      <c r="Q2150">
        <f t="shared" si="66"/>
        <v>3</v>
      </c>
      <c r="S2150">
        <v>0</v>
      </c>
      <c r="T2150">
        <v>0</v>
      </c>
      <c r="U2150">
        <v>0</v>
      </c>
      <c r="V2150">
        <v>0</v>
      </c>
      <c r="W2150">
        <v>3</v>
      </c>
      <c r="X2150" s="21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J2150" t="s">
        <v>51</v>
      </c>
      <c r="AK2150" t="s">
        <v>52</v>
      </c>
      <c r="AL2150" t="s">
        <v>589</v>
      </c>
      <c r="AP2150" t="s">
        <v>541</v>
      </c>
    </row>
    <row r="2151" spans="1:42">
      <c r="A2151" s="1">
        <v>43843</v>
      </c>
      <c r="B2151">
        <v>1</v>
      </c>
      <c r="C2151">
        <v>987</v>
      </c>
      <c r="D2151">
        <v>10423</v>
      </c>
      <c r="E2151" t="s">
        <v>37</v>
      </c>
      <c r="F2151" t="s">
        <v>520</v>
      </c>
      <c r="G2151">
        <v>2</v>
      </c>
      <c r="H2151">
        <v>47</v>
      </c>
      <c r="I2151" s="25">
        <v>2020</v>
      </c>
      <c r="K2151" t="s">
        <v>119</v>
      </c>
      <c r="L2151" t="s">
        <v>114</v>
      </c>
      <c r="M2151" t="s">
        <v>52</v>
      </c>
      <c r="N2151" t="s">
        <v>44</v>
      </c>
      <c r="O2151">
        <v>206</v>
      </c>
      <c r="Q2151">
        <f t="shared" si="66"/>
        <v>4</v>
      </c>
      <c r="S2151">
        <v>0</v>
      </c>
      <c r="T2151">
        <v>0</v>
      </c>
      <c r="U2151">
        <v>0</v>
      </c>
      <c r="V2151">
        <v>2</v>
      </c>
      <c r="W2151">
        <v>2</v>
      </c>
      <c r="X2151" s="2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J2151" t="s">
        <v>51</v>
      </c>
      <c r="AK2151" t="s">
        <v>52</v>
      </c>
      <c r="AL2151" t="s">
        <v>589</v>
      </c>
      <c r="AP2151" t="s">
        <v>541</v>
      </c>
    </row>
    <row r="2152" spans="1:42">
      <c r="A2152" s="1">
        <v>43843</v>
      </c>
      <c r="B2152">
        <v>1</v>
      </c>
      <c r="C2152">
        <v>987</v>
      </c>
      <c r="D2152">
        <v>10423</v>
      </c>
      <c r="E2152" t="s">
        <v>37</v>
      </c>
      <c r="F2152" t="s">
        <v>520</v>
      </c>
      <c r="G2152">
        <v>2</v>
      </c>
      <c r="H2152">
        <v>48</v>
      </c>
      <c r="I2152" s="25">
        <v>2026</v>
      </c>
      <c r="K2152" t="s">
        <v>119</v>
      </c>
      <c r="L2152" t="s">
        <v>114</v>
      </c>
      <c r="M2152" t="s">
        <v>52</v>
      </c>
      <c r="N2152" t="s">
        <v>40</v>
      </c>
      <c r="O2152">
        <v>108</v>
      </c>
      <c r="Q2152">
        <f t="shared" si="66"/>
        <v>1</v>
      </c>
      <c r="S2152">
        <v>0</v>
      </c>
      <c r="T2152">
        <v>0</v>
      </c>
      <c r="U2152">
        <v>1</v>
      </c>
      <c r="V2152">
        <v>0</v>
      </c>
      <c r="W2152">
        <v>0</v>
      </c>
      <c r="X2152" s="21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J2152" t="s">
        <v>51</v>
      </c>
      <c r="AK2152" t="s">
        <v>52</v>
      </c>
      <c r="AP2152" t="s">
        <v>541</v>
      </c>
    </row>
    <row r="2153" spans="1:42">
      <c r="A2153" s="1">
        <v>43843</v>
      </c>
      <c r="B2153">
        <v>1</v>
      </c>
      <c r="C2153">
        <v>987</v>
      </c>
      <c r="D2153">
        <v>10423</v>
      </c>
      <c r="E2153" t="s">
        <v>37</v>
      </c>
      <c r="F2153" t="s">
        <v>520</v>
      </c>
      <c r="G2153">
        <v>2</v>
      </c>
      <c r="H2153">
        <v>49</v>
      </c>
      <c r="I2153" s="25">
        <v>2030</v>
      </c>
      <c r="K2153" t="s">
        <v>119</v>
      </c>
      <c r="L2153" t="s">
        <v>114</v>
      </c>
      <c r="M2153" t="s">
        <v>52</v>
      </c>
      <c r="N2153" t="s">
        <v>44</v>
      </c>
      <c r="O2153">
        <v>180</v>
      </c>
      <c r="Q2153">
        <f t="shared" si="66"/>
        <v>4</v>
      </c>
      <c r="S2153">
        <v>0</v>
      </c>
      <c r="T2153">
        <v>0</v>
      </c>
      <c r="U2153">
        <v>0</v>
      </c>
      <c r="V2153">
        <v>0</v>
      </c>
      <c r="W2153">
        <v>4</v>
      </c>
      <c r="X2153" s="21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J2153" t="s">
        <v>51</v>
      </c>
      <c r="AK2153" t="s">
        <v>52</v>
      </c>
      <c r="AL2153" t="s">
        <v>598</v>
      </c>
      <c r="AP2153" t="s">
        <v>541</v>
      </c>
    </row>
    <row r="2154" spans="1:42">
      <c r="A2154" s="1">
        <v>43843</v>
      </c>
      <c r="B2154">
        <v>1</v>
      </c>
      <c r="C2154">
        <v>987</v>
      </c>
      <c r="D2154">
        <v>10423</v>
      </c>
      <c r="E2154" t="s">
        <v>37</v>
      </c>
      <c r="F2154" t="s">
        <v>520</v>
      </c>
      <c r="G2154">
        <v>2</v>
      </c>
      <c r="H2154">
        <v>50</v>
      </c>
      <c r="I2154" s="25">
        <v>2831</v>
      </c>
      <c r="K2154" t="s">
        <v>599</v>
      </c>
      <c r="L2154" t="s">
        <v>141</v>
      </c>
      <c r="M2154" t="s">
        <v>52</v>
      </c>
      <c r="N2154" t="s">
        <v>44</v>
      </c>
      <c r="O2154">
        <v>131</v>
      </c>
      <c r="Q2154">
        <f t="shared" si="66"/>
        <v>2</v>
      </c>
      <c r="S2154">
        <v>0</v>
      </c>
      <c r="T2154">
        <v>0</v>
      </c>
      <c r="U2154">
        <v>0</v>
      </c>
      <c r="V2154">
        <v>0</v>
      </c>
      <c r="W2154">
        <v>2</v>
      </c>
      <c r="X2154" s="21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J2154" t="s">
        <v>54</v>
      </c>
      <c r="AK2154" t="s">
        <v>52</v>
      </c>
      <c r="AL2154" t="s">
        <v>589</v>
      </c>
      <c r="AP2154" t="s">
        <v>541</v>
      </c>
    </row>
    <row r="2155" spans="1:42">
      <c r="A2155" s="1">
        <v>43843</v>
      </c>
      <c r="B2155">
        <v>1</v>
      </c>
      <c r="C2155">
        <v>987</v>
      </c>
      <c r="D2155">
        <v>10423</v>
      </c>
      <c r="E2155" t="s">
        <v>37</v>
      </c>
      <c r="F2155" t="s">
        <v>520</v>
      </c>
      <c r="G2155">
        <v>2</v>
      </c>
      <c r="H2155">
        <v>51</v>
      </c>
      <c r="I2155" s="25">
        <v>2843</v>
      </c>
      <c r="K2155" t="s">
        <v>599</v>
      </c>
      <c r="L2155" t="s">
        <v>141</v>
      </c>
      <c r="M2155" t="s">
        <v>52</v>
      </c>
      <c r="N2155" t="s">
        <v>44</v>
      </c>
      <c r="O2155">
        <v>187</v>
      </c>
      <c r="Q2155">
        <f t="shared" si="66"/>
        <v>3</v>
      </c>
      <c r="S2155">
        <v>0</v>
      </c>
      <c r="T2155">
        <v>0</v>
      </c>
      <c r="U2155">
        <v>0</v>
      </c>
      <c r="V2155">
        <v>0</v>
      </c>
      <c r="W2155">
        <v>3</v>
      </c>
      <c r="X2155" s="21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J2155" t="s">
        <v>54</v>
      </c>
      <c r="AK2155" t="s">
        <v>52</v>
      </c>
      <c r="AL2155" t="s">
        <v>589</v>
      </c>
      <c r="AP2155" t="s">
        <v>541</v>
      </c>
    </row>
    <row r="2156" spans="1:42">
      <c r="A2156" s="1">
        <v>43843</v>
      </c>
      <c r="B2156">
        <v>1</v>
      </c>
      <c r="C2156">
        <v>987</v>
      </c>
      <c r="D2156">
        <v>10423</v>
      </c>
      <c r="E2156" t="s">
        <v>37</v>
      </c>
      <c r="F2156" t="s">
        <v>520</v>
      </c>
      <c r="G2156">
        <v>2</v>
      </c>
      <c r="H2156">
        <v>52</v>
      </c>
      <c r="I2156" s="25">
        <v>2850</v>
      </c>
      <c r="K2156" t="s">
        <v>599</v>
      </c>
      <c r="L2156" t="s">
        <v>114</v>
      </c>
      <c r="M2156" t="s">
        <v>52</v>
      </c>
      <c r="N2156" t="s">
        <v>44</v>
      </c>
      <c r="O2156">
        <v>159</v>
      </c>
      <c r="Q2156">
        <f t="shared" si="66"/>
        <v>2</v>
      </c>
      <c r="S2156">
        <v>0</v>
      </c>
      <c r="T2156">
        <v>0</v>
      </c>
      <c r="U2156">
        <v>0</v>
      </c>
      <c r="V2156">
        <v>0</v>
      </c>
      <c r="W2156">
        <v>2</v>
      </c>
      <c r="X2156" s="21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J2156" t="s">
        <v>51</v>
      </c>
      <c r="AK2156" t="s">
        <v>52</v>
      </c>
      <c r="AL2156" t="s">
        <v>589</v>
      </c>
      <c r="AP2156" t="s">
        <v>541</v>
      </c>
    </row>
    <row r="2157" spans="1:42">
      <c r="A2157" s="1">
        <v>43843</v>
      </c>
      <c r="B2157">
        <v>1</v>
      </c>
      <c r="C2157">
        <v>987</v>
      </c>
      <c r="D2157">
        <v>10423</v>
      </c>
      <c r="E2157" t="s">
        <v>37</v>
      </c>
      <c r="F2157" t="s">
        <v>520</v>
      </c>
      <c r="G2157">
        <v>2</v>
      </c>
      <c r="H2157">
        <v>53</v>
      </c>
      <c r="I2157" s="25">
        <v>2850</v>
      </c>
      <c r="K2157" t="s">
        <v>599</v>
      </c>
      <c r="L2157" t="s">
        <v>114</v>
      </c>
      <c r="M2157" t="s">
        <v>52</v>
      </c>
      <c r="N2157" t="s">
        <v>44</v>
      </c>
      <c r="O2157">
        <v>444</v>
      </c>
      <c r="Q2157">
        <f t="shared" si="66"/>
        <v>5</v>
      </c>
      <c r="S2157">
        <v>0</v>
      </c>
      <c r="T2157">
        <v>0</v>
      </c>
      <c r="U2157">
        <v>0</v>
      </c>
      <c r="V2157">
        <v>0</v>
      </c>
      <c r="W2157">
        <v>5</v>
      </c>
      <c r="X2157" s="21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J2157" t="s">
        <v>51</v>
      </c>
      <c r="AK2157" t="s">
        <v>52</v>
      </c>
      <c r="AL2157" t="s">
        <v>600</v>
      </c>
      <c r="AP2157" t="s">
        <v>541</v>
      </c>
    </row>
    <row r="2158" spans="1:42">
      <c r="A2158" s="1">
        <v>43843</v>
      </c>
      <c r="B2158">
        <v>1</v>
      </c>
      <c r="C2158">
        <v>987</v>
      </c>
      <c r="D2158">
        <v>10423</v>
      </c>
      <c r="E2158" t="s">
        <v>37</v>
      </c>
      <c r="F2158" t="s">
        <v>520</v>
      </c>
      <c r="G2158">
        <v>2</v>
      </c>
      <c r="H2158">
        <v>54</v>
      </c>
      <c r="I2158" s="25">
        <v>2920</v>
      </c>
      <c r="K2158" t="s">
        <v>599</v>
      </c>
      <c r="L2158" t="s">
        <v>114</v>
      </c>
      <c r="M2158" t="s">
        <v>52</v>
      </c>
      <c r="N2158" t="s">
        <v>40</v>
      </c>
      <c r="O2158">
        <v>53</v>
      </c>
      <c r="Q2158">
        <f t="shared" si="66"/>
        <v>1</v>
      </c>
      <c r="S2158">
        <v>0</v>
      </c>
      <c r="T2158">
        <v>0</v>
      </c>
      <c r="U2158">
        <v>1</v>
      </c>
      <c r="V2158">
        <v>0</v>
      </c>
      <c r="W2158">
        <v>0</v>
      </c>
      <c r="X2158" s="21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J2158" t="s">
        <v>51</v>
      </c>
      <c r="AK2158" t="s">
        <v>52</v>
      </c>
      <c r="AP2158" t="s">
        <v>541</v>
      </c>
    </row>
    <row r="2159" spans="1:42">
      <c r="A2159" s="1">
        <v>43843</v>
      </c>
      <c r="B2159">
        <v>1</v>
      </c>
      <c r="C2159">
        <v>987</v>
      </c>
      <c r="D2159">
        <v>10423</v>
      </c>
      <c r="E2159" t="s">
        <v>37</v>
      </c>
      <c r="F2159" t="s">
        <v>520</v>
      </c>
      <c r="G2159">
        <v>2</v>
      </c>
      <c r="H2159">
        <v>55</v>
      </c>
      <c r="I2159" s="25">
        <v>3024</v>
      </c>
      <c r="K2159" t="s">
        <v>599</v>
      </c>
      <c r="L2159" t="s">
        <v>114</v>
      </c>
      <c r="M2159" t="s">
        <v>52</v>
      </c>
      <c r="N2159" t="s">
        <v>40</v>
      </c>
      <c r="O2159">
        <v>52</v>
      </c>
      <c r="Q2159">
        <f t="shared" si="66"/>
        <v>1</v>
      </c>
      <c r="S2159">
        <v>0</v>
      </c>
      <c r="T2159">
        <v>0</v>
      </c>
      <c r="U2159">
        <v>0</v>
      </c>
      <c r="V2159">
        <v>0</v>
      </c>
      <c r="W2159">
        <v>1</v>
      </c>
      <c r="X2159" s="21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J2159" t="s">
        <v>51</v>
      </c>
      <c r="AK2159" t="s">
        <v>52</v>
      </c>
      <c r="AL2159" t="s">
        <v>589</v>
      </c>
      <c r="AP2159" t="s">
        <v>541</v>
      </c>
    </row>
    <row r="2160" spans="1:42">
      <c r="A2160" s="1">
        <v>43843</v>
      </c>
      <c r="B2160">
        <v>1</v>
      </c>
      <c r="C2160">
        <v>987</v>
      </c>
      <c r="D2160">
        <v>10423</v>
      </c>
      <c r="E2160" t="s">
        <v>37</v>
      </c>
      <c r="F2160" t="s">
        <v>520</v>
      </c>
      <c r="G2160">
        <v>2</v>
      </c>
      <c r="H2160">
        <v>56</v>
      </c>
      <c r="I2160" s="25">
        <v>2000</v>
      </c>
      <c r="K2160" t="s">
        <v>213</v>
      </c>
      <c r="L2160" t="s">
        <v>114</v>
      </c>
      <c r="M2160" t="s">
        <v>52</v>
      </c>
      <c r="N2160" t="s">
        <v>44</v>
      </c>
      <c r="O2160">
        <v>48</v>
      </c>
      <c r="Q2160">
        <f t="shared" si="66"/>
        <v>1</v>
      </c>
      <c r="S2160">
        <v>0</v>
      </c>
      <c r="T2160">
        <v>0</v>
      </c>
      <c r="U2160">
        <v>0</v>
      </c>
      <c r="V2160">
        <v>0</v>
      </c>
      <c r="W2160">
        <v>1</v>
      </c>
      <c r="X2160" s="21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J2160" t="s">
        <v>51</v>
      </c>
      <c r="AK2160" t="s">
        <v>52</v>
      </c>
      <c r="AP2160" t="s">
        <v>541</v>
      </c>
    </row>
    <row r="2161" spans="1:42">
      <c r="A2161" s="1">
        <v>43843</v>
      </c>
      <c r="B2161">
        <v>1</v>
      </c>
      <c r="C2161">
        <v>987</v>
      </c>
      <c r="D2161">
        <v>10423</v>
      </c>
      <c r="E2161" t="s">
        <v>37</v>
      </c>
      <c r="F2161" t="s">
        <v>520</v>
      </c>
      <c r="G2161">
        <v>2</v>
      </c>
      <c r="H2161">
        <v>57</v>
      </c>
      <c r="I2161" s="25">
        <v>1900</v>
      </c>
      <c r="K2161" t="s">
        <v>213</v>
      </c>
      <c r="L2161" t="s">
        <v>114</v>
      </c>
      <c r="M2161" t="s">
        <v>52</v>
      </c>
      <c r="N2161" t="s">
        <v>40</v>
      </c>
      <c r="O2161">
        <v>57</v>
      </c>
      <c r="Q2161">
        <f t="shared" si="66"/>
        <v>2</v>
      </c>
      <c r="S2161">
        <v>0</v>
      </c>
      <c r="T2161">
        <v>0</v>
      </c>
      <c r="U2161">
        <v>0</v>
      </c>
      <c r="V2161">
        <v>0</v>
      </c>
      <c r="W2161">
        <v>2</v>
      </c>
      <c r="X2161" s="2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J2161" t="s">
        <v>51</v>
      </c>
      <c r="AK2161" t="s">
        <v>52</v>
      </c>
      <c r="AP2161" t="s">
        <v>541</v>
      </c>
    </row>
    <row r="2162" spans="1:42">
      <c r="A2162" s="1">
        <v>43843</v>
      </c>
      <c r="B2162">
        <v>1</v>
      </c>
      <c r="C2162">
        <v>987</v>
      </c>
      <c r="D2162">
        <v>10423</v>
      </c>
      <c r="E2162" t="s">
        <v>37</v>
      </c>
      <c r="F2162" t="s">
        <v>520</v>
      </c>
      <c r="G2162">
        <v>2</v>
      </c>
      <c r="H2162">
        <v>58</v>
      </c>
      <c r="I2162" s="25">
        <v>1900</v>
      </c>
      <c r="K2162" t="s">
        <v>213</v>
      </c>
      <c r="L2162" t="s">
        <v>114</v>
      </c>
      <c r="M2162" t="s">
        <v>52</v>
      </c>
      <c r="N2162" t="s">
        <v>40</v>
      </c>
      <c r="O2162">
        <v>70</v>
      </c>
      <c r="Q2162">
        <f t="shared" si="66"/>
        <v>1</v>
      </c>
      <c r="S2162">
        <v>0</v>
      </c>
      <c r="T2162">
        <v>0</v>
      </c>
      <c r="U2162">
        <v>0</v>
      </c>
      <c r="V2162">
        <v>1</v>
      </c>
      <c r="W2162">
        <v>0</v>
      </c>
      <c r="X2162" s="21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J2162" t="s">
        <v>51</v>
      </c>
      <c r="AK2162" t="s">
        <v>52</v>
      </c>
      <c r="AL2162" t="s">
        <v>593</v>
      </c>
      <c r="AP2162" t="s">
        <v>541</v>
      </c>
    </row>
    <row r="2163" spans="1:42">
      <c r="A2163" s="1">
        <v>43843</v>
      </c>
      <c r="B2163">
        <v>1</v>
      </c>
      <c r="C2163">
        <v>987</v>
      </c>
      <c r="D2163">
        <v>10423</v>
      </c>
      <c r="E2163" t="s">
        <v>37</v>
      </c>
      <c r="F2163" t="s">
        <v>520</v>
      </c>
      <c r="G2163">
        <v>2</v>
      </c>
      <c r="H2163">
        <v>59</v>
      </c>
      <c r="I2163" s="25">
        <v>3000</v>
      </c>
      <c r="K2163" t="s">
        <v>595</v>
      </c>
      <c r="L2163" t="s">
        <v>114</v>
      </c>
      <c r="M2163" t="s">
        <v>52</v>
      </c>
      <c r="N2163" t="s">
        <v>44</v>
      </c>
      <c r="O2163">
        <v>105</v>
      </c>
      <c r="Q2163">
        <f t="shared" si="66"/>
        <v>1</v>
      </c>
      <c r="S2163">
        <v>0</v>
      </c>
      <c r="T2163">
        <v>0</v>
      </c>
      <c r="U2163">
        <v>0</v>
      </c>
      <c r="V2163">
        <v>0</v>
      </c>
      <c r="W2163">
        <v>1</v>
      </c>
      <c r="X2163" s="21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J2163" t="s">
        <v>51</v>
      </c>
      <c r="AK2163" t="s">
        <v>52</v>
      </c>
      <c r="AL2163" t="s">
        <v>587</v>
      </c>
      <c r="AP2163" t="s">
        <v>541</v>
      </c>
    </row>
    <row r="2164" spans="1:42">
      <c r="A2164" s="1">
        <v>43843</v>
      </c>
      <c r="B2164">
        <v>1</v>
      </c>
      <c r="C2164">
        <v>987</v>
      </c>
      <c r="D2164">
        <v>10423</v>
      </c>
      <c r="E2164" t="s">
        <v>37</v>
      </c>
      <c r="F2164" t="s">
        <v>520</v>
      </c>
      <c r="G2164">
        <v>2</v>
      </c>
      <c r="H2164">
        <v>60</v>
      </c>
      <c r="I2164" s="25">
        <v>864</v>
      </c>
      <c r="K2164" t="s">
        <v>213</v>
      </c>
      <c r="L2164" t="s">
        <v>114</v>
      </c>
      <c r="M2164" t="s">
        <v>52</v>
      </c>
      <c r="N2164" t="s">
        <v>44</v>
      </c>
      <c r="O2164">
        <v>65</v>
      </c>
      <c r="Q2164">
        <f t="shared" si="66"/>
        <v>1</v>
      </c>
      <c r="S2164">
        <v>0</v>
      </c>
      <c r="T2164">
        <v>0</v>
      </c>
      <c r="U2164">
        <v>0</v>
      </c>
      <c r="V2164">
        <v>0</v>
      </c>
      <c r="W2164">
        <v>1</v>
      </c>
      <c r="X2164" s="21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J2164" t="s">
        <v>51</v>
      </c>
      <c r="AK2164" t="s">
        <v>52</v>
      </c>
      <c r="AL2164" t="s">
        <v>601</v>
      </c>
      <c r="AP2164" t="s">
        <v>541</v>
      </c>
    </row>
    <row r="2165" spans="1:42">
      <c r="A2165" s="1">
        <v>43843</v>
      </c>
      <c r="B2165">
        <v>1</v>
      </c>
      <c r="C2165">
        <v>987</v>
      </c>
      <c r="D2165">
        <v>10423</v>
      </c>
      <c r="E2165" t="s">
        <v>37</v>
      </c>
      <c r="F2165" t="s">
        <v>520</v>
      </c>
      <c r="G2165">
        <v>2</v>
      </c>
      <c r="H2165">
        <v>61</v>
      </c>
      <c r="I2165" s="25">
        <v>864</v>
      </c>
      <c r="K2165" t="s">
        <v>213</v>
      </c>
      <c r="L2165" t="s">
        <v>114</v>
      </c>
      <c r="M2165" t="s">
        <v>52</v>
      </c>
      <c r="N2165" t="s">
        <v>44</v>
      </c>
      <c r="O2165">
        <v>51</v>
      </c>
      <c r="Q2165">
        <f t="shared" si="66"/>
        <v>1</v>
      </c>
      <c r="S2165">
        <v>0</v>
      </c>
      <c r="T2165">
        <v>0</v>
      </c>
      <c r="U2165">
        <v>0</v>
      </c>
      <c r="V2165">
        <v>0</v>
      </c>
      <c r="W2165">
        <v>1</v>
      </c>
      <c r="X2165" s="21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J2165" t="s">
        <v>51</v>
      </c>
      <c r="AK2165" t="s">
        <v>52</v>
      </c>
      <c r="AL2165" t="s">
        <v>587</v>
      </c>
      <c r="AP2165" t="s">
        <v>541</v>
      </c>
    </row>
    <row r="2166" spans="1:42">
      <c r="A2166" s="1">
        <v>43843</v>
      </c>
      <c r="B2166">
        <v>1</v>
      </c>
      <c r="C2166">
        <v>987</v>
      </c>
      <c r="D2166">
        <v>10423</v>
      </c>
      <c r="E2166" t="s">
        <v>37</v>
      </c>
      <c r="F2166" t="s">
        <v>520</v>
      </c>
      <c r="G2166">
        <v>2</v>
      </c>
      <c r="H2166">
        <v>62</v>
      </c>
      <c r="I2166" s="25">
        <v>864</v>
      </c>
      <c r="K2166" t="s">
        <v>213</v>
      </c>
      <c r="L2166" t="s">
        <v>114</v>
      </c>
      <c r="M2166" t="s">
        <v>52</v>
      </c>
      <c r="N2166" t="s">
        <v>44</v>
      </c>
      <c r="O2166">
        <v>85</v>
      </c>
      <c r="Q2166">
        <f t="shared" si="66"/>
        <v>1</v>
      </c>
      <c r="S2166">
        <v>0</v>
      </c>
      <c r="T2166">
        <v>0</v>
      </c>
      <c r="U2166">
        <v>0</v>
      </c>
      <c r="V2166">
        <v>0</v>
      </c>
      <c r="W2166">
        <v>1</v>
      </c>
      <c r="X2166" s="21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J2166" t="s">
        <v>51</v>
      </c>
      <c r="AK2166" t="s">
        <v>52</v>
      </c>
      <c r="AL2166" t="s">
        <v>587</v>
      </c>
      <c r="AP2166" t="s">
        <v>541</v>
      </c>
    </row>
    <row r="2167" spans="1:42">
      <c r="A2167" s="1">
        <v>43843</v>
      </c>
      <c r="B2167">
        <v>1</v>
      </c>
      <c r="C2167">
        <v>987</v>
      </c>
      <c r="D2167">
        <v>10423</v>
      </c>
      <c r="E2167" t="s">
        <v>37</v>
      </c>
      <c r="F2167" t="s">
        <v>520</v>
      </c>
      <c r="G2167">
        <v>2</v>
      </c>
      <c r="H2167">
        <v>63</v>
      </c>
      <c r="I2167" s="25">
        <v>1904</v>
      </c>
      <c r="K2167" t="s">
        <v>213</v>
      </c>
      <c r="L2167" t="s">
        <v>114</v>
      </c>
      <c r="M2167" t="s">
        <v>52</v>
      </c>
      <c r="N2167" t="s">
        <v>40</v>
      </c>
      <c r="O2167">
        <v>93</v>
      </c>
      <c r="Q2167">
        <f t="shared" si="66"/>
        <v>3</v>
      </c>
      <c r="S2167">
        <v>0</v>
      </c>
      <c r="T2167">
        <v>0</v>
      </c>
      <c r="U2167">
        <v>0</v>
      </c>
      <c r="V2167">
        <v>3</v>
      </c>
      <c r="W2167">
        <v>0</v>
      </c>
      <c r="X2167" s="21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J2167" t="s">
        <v>51</v>
      </c>
      <c r="AK2167" t="s">
        <v>52</v>
      </c>
      <c r="AP2167" t="s">
        <v>541</v>
      </c>
    </row>
    <row r="2168" spans="1:42">
      <c r="A2168" s="1">
        <v>43843</v>
      </c>
      <c r="B2168">
        <v>1</v>
      </c>
      <c r="C2168">
        <v>987</v>
      </c>
      <c r="D2168">
        <v>10423</v>
      </c>
      <c r="E2168" t="s">
        <v>37</v>
      </c>
      <c r="F2168" t="s">
        <v>520</v>
      </c>
      <c r="G2168">
        <v>2</v>
      </c>
      <c r="H2168">
        <v>64</v>
      </c>
      <c r="I2168" s="25">
        <v>1916</v>
      </c>
      <c r="K2168" t="s">
        <v>213</v>
      </c>
      <c r="L2168" t="s">
        <v>114</v>
      </c>
      <c r="M2168" t="s">
        <v>52</v>
      </c>
      <c r="N2168" t="s">
        <v>40</v>
      </c>
      <c r="O2168">
        <v>75</v>
      </c>
      <c r="Q2168">
        <f t="shared" si="66"/>
        <v>3</v>
      </c>
      <c r="S2168">
        <v>0</v>
      </c>
      <c r="T2168">
        <v>0</v>
      </c>
      <c r="U2168">
        <v>0</v>
      </c>
      <c r="V2168">
        <v>1</v>
      </c>
      <c r="W2168">
        <v>2</v>
      </c>
      <c r="X2168" s="21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J2168" t="s">
        <v>51</v>
      </c>
      <c r="AK2168" t="s">
        <v>52</v>
      </c>
      <c r="AP2168" t="s">
        <v>541</v>
      </c>
    </row>
    <row r="2169" spans="1:42">
      <c r="A2169" s="1">
        <v>43843</v>
      </c>
      <c r="B2169">
        <v>1</v>
      </c>
      <c r="C2169">
        <v>987</v>
      </c>
      <c r="D2169">
        <v>10423</v>
      </c>
      <c r="E2169" t="s">
        <v>37</v>
      </c>
      <c r="F2169" t="s">
        <v>520</v>
      </c>
      <c r="G2169">
        <v>2</v>
      </c>
      <c r="H2169">
        <v>65</v>
      </c>
      <c r="I2169" s="25">
        <v>1960</v>
      </c>
      <c r="K2169" t="s">
        <v>213</v>
      </c>
      <c r="L2169" t="s">
        <v>114</v>
      </c>
      <c r="M2169" t="s">
        <v>52</v>
      </c>
      <c r="N2169" t="s">
        <v>40</v>
      </c>
      <c r="O2169">
        <v>147</v>
      </c>
      <c r="Q2169">
        <f t="shared" ref="Q2169:Q2232" si="67">SUM(S2169:AC2169)</f>
        <v>4</v>
      </c>
      <c r="S2169">
        <v>0</v>
      </c>
      <c r="T2169">
        <v>0</v>
      </c>
      <c r="U2169">
        <v>0</v>
      </c>
      <c r="V2169">
        <v>2</v>
      </c>
      <c r="W2169">
        <v>2</v>
      </c>
      <c r="X2169" s="21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J2169" t="s">
        <v>51</v>
      </c>
      <c r="AK2169" t="s">
        <v>52</v>
      </c>
      <c r="AP2169" t="s">
        <v>541</v>
      </c>
    </row>
    <row r="2170" spans="1:42">
      <c r="A2170" s="1">
        <v>43843</v>
      </c>
      <c r="B2170">
        <v>1</v>
      </c>
      <c r="C2170">
        <v>987</v>
      </c>
      <c r="D2170">
        <v>10423</v>
      </c>
      <c r="E2170" t="s">
        <v>37</v>
      </c>
      <c r="F2170" t="s">
        <v>520</v>
      </c>
      <c r="G2170">
        <v>2</v>
      </c>
      <c r="H2170">
        <v>66</v>
      </c>
      <c r="I2170" s="25">
        <v>1964</v>
      </c>
      <c r="K2170" t="s">
        <v>213</v>
      </c>
      <c r="L2170" t="s">
        <v>114</v>
      </c>
      <c r="M2170" t="s">
        <v>52</v>
      </c>
      <c r="N2170" t="s">
        <v>40</v>
      </c>
      <c r="O2170">
        <v>110</v>
      </c>
      <c r="Q2170">
        <f t="shared" si="67"/>
        <v>3</v>
      </c>
      <c r="S2170">
        <v>0</v>
      </c>
      <c r="T2170">
        <v>0</v>
      </c>
      <c r="U2170">
        <v>1</v>
      </c>
      <c r="V2170">
        <v>0</v>
      </c>
      <c r="W2170">
        <v>2</v>
      </c>
      <c r="X2170" s="21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J2170" t="s">
        <v>51</v>
      </c>
      <c r="AK2170" t="s">
        <v>52</v>
      </c>
      <c r="AP2170" t="s">
        <v>541</v>
      </c>
    </row>
    <row r="2171" spans="1:42">
      <c r="A2171" s="1">
        <v>43843</v>
      </c>
      <c r="B2171">
        <v>1</v>
      </c>
      <c r="C2171">
        <v>987</v>
      </c>
      <c r="D2171">
        <v>10423</v>
      </c>
      <c r="E2171" t="s">
        <v>37</v>
      </c>
      <c r="F2171" t="s">
        <v>520</v>
      </c>
      <c r="G2171">
        <v>2</v>
      </c>
      <c r="H2171">
        <v>67</v>
      </c>
      <c r="I2171" s="25">
        <v>1990</v>
      </c>
      <c r="K2171" t="s">
        <v>213</v>
      </c>
      <c r="L2171" t="s">
        <v>114</v>
      </c>
      <c r="M2171" t="s">
        <v>52</v>
      </c>
      <c r="N2171" t="s">
        <v>40</v>
      </c>
      <c r="O2171">
        <v>34</v>
      </c>
      <c r="Q2171">
        <f t="shared" si="67"/>
        <v>1</v>
      </c>
      <c r="S2171">
        <v>0</v>
      </c>
      <c r="T2171">
        <v>0</v>
      </c>
      <c r="U2171">
        <v>0</v>
      </c>
      <c r="V2171">
        <v>1</v>
      </c>
      <c r="W2171">
        <v>0</v>
      </c>
      <c r="X2171" s="2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J2171" t="s">
        <v>51</v>
      </c>
      <c r="AK2171" t="s">
        <v>52</v>
      </c>
      <c r="AP2171" t="s">
        <v>541</v>
      </c>
    </row>
    <row r="2172" spans="1:42">
      <c r="A2172" s="1">
        <v>43843</v>
      </c>
      <c r="B2172">
        <v>1</v>
      </c>
      <c r="C2172">
        <v>987</v>
      </c>
      <c r="D2172">
        <v>10423</v>
      </c>
      <c r="E2172" t="s">
        <v>37</v>
      </c>
      <c r="F2172" t="s">
        <v>520</v>
      </c>
      <c r="G2172">
        <v>2</v>
      </c>
      <c r="H2172">
        <v>68</v>
      </c>
      <c r="I2172" s="25">
        <v>63</v>
      </c>
      <c r="K2172" t="s">
        <v>602</v>
      </c>
      <c r="L2172" t="s">
        <v>141</v>
      </c>
      <c r="M2172" t="s">
        <v>52</v>
      </c>
      <c r="N2172" t="s">
        <v>40</v>
      </c>
      <c r="O2172">
        <v>76</v>
      </c>
      <c r="Q2172">
        <f t="shared" si="67"/>
        <v>3</v>
      </c>
      <c r="S2172">
        <v>0</v>
      </c>
      <c r="T2172">
        <v>0</v>
      </c>
      <c r="U2172">
        <v>0</v>
      </c>
      <c r="V2172">
        <v>2</v>
      </c>
      <c r="W2172">
        <v>1</v>
      </c>
      <c r="X2172" s="21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J2172" t="s">
        <v>51</v>
      </c>
      <c r="AK2172" t="s">
        <v>52</v>
      </c>
      <c r="AP2172" t="s">
        <v>541</v>
      </c>
    </row>
    <row r="2173" spans="1:42">
      <c r="A2173" s="1">
        <v>43843</v>
      </c>
      <c r="B2173">
        <v>1</v>
      </c>
      <c r="C2173">
        <v>987</v>
      </c>
      <c r="D2173">
        <v>10423</v>
      </c>
      <c r="E2173" t="s">
        <v>37</v>
      </c>
      <c r="F2173" t="s">
        <v>520</v>
      </c>
      <c r="G2173">
        <v>2</v>
      </c>
      <c r="H2173">
        <v>69</v>
      </c>
      <c r="I2173" s="25">
        <v>49</v>
      </c>
      <c r="K2173" t="s">
        <v>602</v>
      </c>
      <c r="L2173" t="s">
        <v>141</v>
      </c>
      <c r="M2173" t="s">
        <v>52</v>
      </c>
      <c r="N2173" t="s">
        <v>40</v>
      </c>
      <c r="O2173">
        <v>82</v>
      </c>
      <c r="Q2173">
        <f t="shared" si="67"/>
        <v>4</v>
      </c>
      <c r="S2173">
        <v>0</v>
      </c>
      <c r="T2173">
        <v>0</v>
      </c>
      <c r="U2173">
        <v>1</v>
      </c>
      <c r="V2173">
        <v>1</v>
      </c>
      <c r="W2173">
        <v>2</v>
      </c>
      <c r="X2173" s="21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J2173" t="s">
        <v>51</v>
      </c>
      <c r="AK2173" t="s">
        <v>52</v>
      </c>
      <c r="AP2173" t="s">
        <v>541</v>
      </c>
    </row>
    <row r="2174" spans="1:42">
      <c r="A2174" s="1">
        <v>43843</v>
      </c>
      <c r="B2174">
        <v>1</v>
      </c>
      <c r="C2174">
        <v>987</v>
      </c>
      <c r="D2174">
        <v>10423</v>
      </c>
      <c r="E2174" t="s">
        <v>37</v>
      </c>
      <c r="F2174" t="s">
        <v>520</v>
      </c>
      <c r="G2174">
        <v>2</v>
      </c>
      <c r="H2174">
        <v>70</v>
      </c>
      <c r="I2174" s="25">
        <v>31</v>
      </c>
      <c r="K2174" t="s">
        <v>602</v>
      </c>
      <c r="L2174" t="s">
        <v>141</v>
      </c>
      <c r="M2174" t="s">
        <v>52</v>
      </c>
      <c r="N2174" t="s">
        <v>40</v>
      </c>
      <c r="O2174">
        <v>13</v>
      </c>
      <c r="Q2174">
        <f t="shared" si="67"/>
        <v>2</v>
      </c>
      <c r="S2174">
        <v>0</v>
      </c>
      <c r="T2174">
        <v>0</v>
      </c>
      <c r="U2174">
        <v>0</v>
      </c>
      <c r="V2174">
        <v>0</v>
      </c>
      <c r="W2174">
        <v>2</v>
      </c>
      <c r="X2174" s="21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J2174" t="s">
        <v>51</v>
      </c>
      <c r="AK2174" t="s">
        <v>52</v>
      </c>
      <c r="AP2174" t="s">
        <v>541</v>
      </c>
    </row>
    <row r="2175" spans="1:42">
      <c r="A2175" s="1">
        <v>43843</v>
      </c>
      <c r="B2175">
        <v>1</v>
      </c>
      <c r="C2175">
        <v>987</v>
      </c>
      <c r="D2175">
        <v>10423</v>
      </c>
      <c r="E2175" t="s">
        <v>37</v>
      </c>
      <c r="F2175" t="s">
        <v>520</v>
      </c>
      <c r="G2175">
        <v>2</v>
      </c>
      <c r="H2175">
        <v>71</v>
      </c>
      <c r="I2175" s="25">
        <v>31</v>
      </c>
      <c r="K2175" t="s">
        <v>602</v>
      </c>
      <c r="L2175" t="s">
        <v>141</v>
      </c>
      <c r="M2175" t="s">
        <v>52</v>
      </c>
      <c r="N2175" t="s">
        <v>40</v>
      </c>
      <c r="O2175">
        <v>161</v>
      </c>
      <c r="Q2175">
        <f t="shared" si="67"/>
        <v>5</v>
      </c>
      <c r="S2175">
        <v>0</v>
      </c>
      <c r="T2175">
        <v>0</v>
      </c>
      <c r="U2175">
        <v>2</v>
      </c>
      <c r="V2175">
        <v>1</v>
      </c>
      <c r="W2175">
        <v>2</v>
      </c>
      <c r="X2175" s="21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J2175" t="s">
        <v>51</v>
      </c>
      <c r="AK2175" t="s">
        <v>52</v>
      </c>
      <c r="AP2175" t="s">
        <v>541</v>
      </c>
    </row>
    <row r="2176" spans="1:42">
      <c r="A2176" s="1">
        <v>43843</v>
      </c>
      <c r="B2176">
        <v>1</v>
      </c>
      <c r="C2176">
        <v>987</v>
      </c>
      <c r="D2176">
        <v>10423</v>
      </c>
      <c r="E2176" t="s">
        <v>37</v>
      </c>
      <c r="F2176" t="s">
        <v>520</v>
      </c>
      <c r="G2176">
        <v>2</v>
      </c>
      <c r="H2176">
        <v>72</v>
      </c>
      <c r="I2176" s="25">
        <v>2181</v>
      </c>
      <c r="K2176" t="s">
        <v>213</v>
      </c>
      <c r="L2176" t="s">
        <v>141</v>
      </c>
      <c r="M2176" t="s">
        <v>52</v>
      </c>
      <c r="N2176" t="s">
        <v>40</v>
      </c>
      <c r="O2176">
        <v>149</v>
      </c>
      <c r="Q2176">
        <f t="shared" si="67"/>
        <v>4</v>
      </c>
      <c r="S2176">
        <v>0</v>
      </c>
      <c r="T2176">
        <v>0</v>
      </c>
      <c r="U2176">
        <v>0</v>
      </c>
      <c r="V2176">
        <v>3</v>
      </c>
      <c r="W2176">
        <v>1</v>
      </c>
      <c r="X2176" s="21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J2176" t="s">
        <v>51</v>
      </c>
      <c r="AK2176" t="s">
        <v>52</v>
      </c>
      <c r="AP2176" t="s">
        <v>541</v>
      </c>
    </row>
    <row r="2177" spans="1:42">
      <c r="A2177" s="1">
        <v>43843</v>
      </c>
      <c r="B2177">
        <v>1</v>
      </c>
      <c r="C2177">
        <v>987</v>
      </c>
      <c r="D2177">
        <v>10423</v>
      </c>
      <c r="E2177" t="s">
        <v>37</v>
      </c>
      <c r="F2177" t="s">
        <v>520</v>
      </c>
      <c r="G2177">
        <v>2</v>
      </c>
      <c r="H2177">
        <v>73</v>
      </c>
      <c r="I2177" s="25">
        <v>2100</v>
      </c>
      <c r="K2177" t="s">
        <v>213</v>
      </c>
      <c r="L2177" t="s">
        <v>114</v>
      </c>
      <c r="M2177" t="s">
        <v>52</v>
      </c>
      <c r="N2177" t="s">
        <v>40</v>
      </c>
      <c r="O2177">
        <v>59</v>
      </c>
      <c r="Q2177">
        <f t="shared" si="67"/>
        <v>2</v>
      </c>
      <c r="S2177">
        <v>0</v>
      </c>
      <c r="T2177">
        <v>0</v>
      </c>
      <c r="U2177">
        <v>0</v>
      </c>
      <c r="V2177">
        <v>2</v>
      </c>
      <c r="W2177">
        <v>0</v>
      </c>
      <c r="X2177" s="21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J2177" t="s">
        <v>51</v>
      </c>
      <c r="AK2177" t="s">
        <v>52</v>
      </c>
      <c r="AP2177" t="s">
        <v>541</v>
      </c>
    </row>
    <row r="2178" spans="1:42">
      <c r="A2178" s="1">
        <v>43843</v>
      </c>
      <c r="B2178">
        <v>1</v>
      </c>
      <c r="C2178">
        <v>987</v>
      </c>
      <c r="D2178">
        <v>10423</v>
      </c>
      <c r="E2178" t="s">
        <v>37</v>
      </c>
      <c r="F2178" t="s">
        <v>520</v>
      </c>
      <c r="G2178">
        <v>2</v>
      </c>
      <c r="H2178">
        <v>74</v>
      </c>
      <c r="I2178" s="25">
        <v>2000</v>
      </c>
      <c r="K2178" t="s">
        <v>210</v>
      </c>
      <c r="L2178" t="s">
        <v>114</v>
      </c>
      <c r="M2178" t="s">
        <v>52</v>
      </c>
      <c r="N2178" t="s">
        <v>40</v>
      </c>
      <c r="O2178">
        <v>67</v>
      </c>
      <c r="Q2178">
        <f t="shared" si="67"/>
        <v>3</v>
      </c>
      <c r="S2178">
        <v>0</v>
      </c>
      <c r="T2178">
        <v>0</v>
      </c>
      <c r="U2178">
        <v>0</v>
      </c>
      <c r="V2178">
        <v>2</v>
      </c>
      <c r="W2178">
        <v>1</v>
      </c>
      <c r="X2178" s="21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J2178" t="s">
        <v>51</v>
      </c>
      <c r="AK2178" t="s">
        <v>52</v>
      </c>
      <c r="AP2178" t="s">
        <v>541</v>
      </c>
    </row>
    <row r="2179" spans="1:42">
      <c r="A2179" s="1">
        <v>43843</v>
      </c>
      <c r="B2179">
        <v>1</v>
      </c>
      <c r="C2179">
        <v>987</v>
      </c>
      <c r="D2179">
        <v>10423</v>
      </c>
      <c r="E2179" t="s">
        <v>37</v>
      </c>
      <c r="F2179" t="s">
        <v>520</v>
      </c>
      <c r="G2179">
        <v>2</v>
      </c>
      <c r="H2179">
        <v>75</v>
      </c>
      <c r="I2179" s="25">
        <v>1901</v>
      </c>
      <c r="K2179" t="s">
        <v>210</v>
      </c>
      <c r="L2179" t="s">
        <v>141</v>
      </c>
      <c r="M2179" t="s">
        <v>52</v>
      </c>
      <c r="N2179" t="s">
        <v>44</v>
      </c>
      <c r="Q2179">
        <f t="shared" si="67"/>
        <v>1</v>
      </c>
      <c r="S2179">
        <v>0</v>
      </c>
      <c r="T2179">
        <v>0</v>
      </c>
      <c r="U2179">
        <v>0</v>
      </c>
      <c r="V2179">
        <v>0</v>
      </c>
      <c r="W2179">
        <v>1</v>
      </c>
      <c r="X2179" s="21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J2179" t="s">
        <v>51</v>
      </c>
      <c r="AK2179" t="s">
        <v>52</v>
      </c>
      <c r="AL2179" t="s">
        <v>589</v>
      </c>
      <c r="AP2179" t="s">
        <v>541</v>
      </c>
    </row>
    <row r="2180" spans="1:42">
      <c r="A2180" s="1">
        <v>43843</v>
      </c>
      <c r="B2180">
        <v>1</v>
      </c>
      <c r="C2180">
        <v>987</v>
      </c>
      <c r="D2180">
        <v>10423</v>
      </c>
      <c r="E2180" t="s">
        <v>37</v>
      </c>
      <c r="F2180" t="s">
        <v>520</v>
      </c>
      <c r="G2180">
        <v>2</v>
      </c>
      <c r="H2180">
        <v>76</v>
      </c>
      <c r="I2180" s="25">
        <v>3121</v>
      </c>
      <c r="K2180" t="s">
        <v>119</v>
      </c>
      <c r="L2180" t="s">
        <v>141</v>
      </c>
      <c r="M2180" t="s">
        <v>52</v>
      </c>
      <c r="N2180" t="s">
        <v>44</v>
      </c>
      <c r="O2180">
        <v>71</v>
      </c>
      <c r="Q2180">
        <f t="shared" si="67"/>
        <v>1</v>
      </c>
      <c r="S2180">
        <v>0</v>
      </c>
      <c r="T2180">
        <v>0</v>
      </c>
      <c r="U2180">
        <v>0</v>
      </c>
      <c r="V2180">
        <v>0</v>
      </c>
      <c r="W2180">
        <v>1</v>
      </c>
      <c r="X2180" s="21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J2180" t="s">
        <v>51</v>
      </c>
      <c r="AK2180" t="s">
        <v>52</v>
      </c>
      <c r="AL2180" t="s">
        <v>589</v>
      </c>
      <c r="AP2180" t="s">
        <v>541</v>
      </c>
    </row>
    <row r="2181" spans="1:42">
      <c r="A2181" s="1">
        <v>43843</v>
      </c>
      <c r="B2181">
        <v>1</v>
      </c>
      <c r="C2181">
        <v>987</v>
      </c>
      <c r="D2181">
        <v>10423</v>
      </c>
      <c r="E2181" t="s">
        <v>37</v>
      </c>
      <c r="F2181" t="s">
        <v>520</v>
      </c>
      <c r="G2181">
        <v>2</v>
      </c>
      <c r="H2181">
        <v>77</v>
      </c>
      <c r="I2181" s="25">
        <v>2175</v>
      </c>
      <c r="K2181" t="s">
        <v>119</v>
      </c>
      <c r="L2181" t="s">
        <v>141</v>
      </c>
      <c r="M2181" t="s">
        <v>52</v>
      </c>
      <c r="N2181" t="s">
        <v>44</v>
      </c>
      <c r="O2181">
        <v>111</v>
      </c>
      <c r="Q2181">
        <f t="shared" si="67"/>
        <v>1</v>
      </c>
      <c r="S2181">
        <v>0</v>
      </c>
      <c r="T2181">
        <v>0</v>
      </c>
      <c r="U2181">
        <v>0</v>
      </c>
      <c r="V2181">
        <v>0</v>
      </c>
      <c r="W2181">
        <v>1</v>
      </c>
      <c r="X2181" s="2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J2181" t="s">
        <v>51</v>
      </c>
      <c r="AK2181" t="s">
        <v>52</v>
      </c>
      <c r="AL2181" t="s">
        <v>589</v>
      </c>
      <c r="AP2181" t="s">
        <v>541</v>
      </c>
    </row>
    <row r="2182" spans="1:42">
      <c r="A2182" s="1">
        <v>43843</v>
      </c>
      <c r="B2182">
        <v>1</v>
      </c>
      <c r="C2182">
        <v>987</v>
      </c>
      <c r="D2182">
        <v>10423</v>
      </c>
      <c r="E2182" t="s">
        <v>37</v>
      </c>
      <c r="F2182" t="s">
        <v>520</v>
      </c>
      <c r="G2182">
        <v>2</v>
      </c>
      <c r="H2182">
        <v>78</v>
      </c>
      <c r="I2182" s="25">
        <v>2151</v>
      </c>
      <c r="K2182" t="s">
        <v>119</v>
      </c>
      <c r="L2182" t="s">
        <v>141</v>
      </c>
      <c r="M2182" t="s">
        <v>52</v>
      </c>
      <c r="N2182" t="s">
        <v>40</v>
      </c>
      <c r="O2182">
        <v>42</v>
      </c>
      <c r="Q2182">
        <f t="shared" si="67"/>
        <v>1</v>
      </c>
      <c r="S2182">
        <v>0</v>
      </c>
      <c r="T2182">
        <v>0</v>
      </c>
      <c r="U2182">
        <v>0</v>
      </c>
      <c r="V2182">
        <v>1</v>
      </c>
      <c r="W2182">
        <v>0</v>
      </c>
      <c r="X2182" s="21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J2182" t="s">
        <v>51</v>
      </c>
      <c r="AK2182" t="s">
        <v>52</v>
      </c>
      <c r="AP2182" t="s">
        <v>541</v>
      </c>
    </row>
    <row r="2183" spans="1:42">
      <c r="A2183" s="1">
        <v>43843</v>
      </c>
      <c r="B2183">
        <v>1</v>
      </c>
      <c r="C2183">
        <v>987</v>
      </c>
      <c r="D2183">
        <v>10423</v>
      </c>
      <c r="E2183" t="s">
        <v>37</v>
      </c>
      <c r="F2183" t="s">
        <v>520</v>
      </c>
      <c r="G2183">
        <v>2</v>
      </c>
      <c r="H2183">
        <v>79</v>
      </c>
      <c r="I2183" s="25">
        <v>2124</v>
      </c>
      <c r="K2183" t="s">
        <v>119</v>
      </c>
      <c r="L2183" t="s">
        <v>114</v>
      </c>
      <c r="M2183" t="s">
        <v>52</v>
      </c>
      <c r="N2183" t="s">
        <v>44</v>
      </c>
      <c r="O2183">
        <v>41</v>
      </c>
      <c r="Q2183">
        <f t="shared" si="67"/>
        <v>1</v>
      </c>
      <c r="S2183">
        <v>0</v>
      </c>
      <c r="T2183">
        <v>0</v>
      </c>
      <c r="U2183">
        <v>0</v>
      </c>
      <c r="V2183">
        <v>0</v>
      </c>
      <c r="W2183">
        <v>1</v>
      </c>
      <c r="X2183" s="21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J2183" t="s">
        <v>51</v>
      </c>
      <c r="AK2183" t="s">
        <v>52</v>
      </c>
      <c r="AL2183" t="s">
        <v>589</v>
      </c>
      <c r="AP2183" t="s">
        <v>541</v>
      </c>
    </row>
    <row r="2184" spans="1:42">
      <c r="A2184" s="1">
        <v>43843</v>
      </c>
      <c r="B2184">
        <v>1</v>
      </c>
      <c r="C2184">
        <v>987</v>
      </c>
      <c r="D2184">
        <v>10423</v>
      </c>
      <c r="E2184" t="s">
        <v>37</v>
      </c>
      <c r="F2184" t="s">
        <v>520</v>
      </c>
      <c r="G2184">
        <v>2</v>
      </c>
      <c r="H2184">
        <v>80</v>
      </c>
      <c r="I2184" s="25">
        <v>2100</v>
      </c>
      <c r="K2184" t="s">
        <v>119</v>
      </c>
      <c r="L2184" t="s">
        <v>114</v>
      </c>
      <c r="M2184" t="s">
        <v>52</v>
      </c>
      <c r="N2184" t="s">
        <v>44</v>
      </c>
      <c r="O2184">
        <v>155</v>
      </c>
      <c r="Q2184">
        <f t="shared" si="67"/>
        <v>2</v>
      </c>
      <c r="S2184">
        <v>0</v>
      </c>
      <c r="T2184">
        <v>0</v>
      </c>
      <c r="U2184">
        <v>0</v>
      </c>
      <c r="V2184">
        <v>0</v>
      </c>
      <c r="W2184">
        <v>2</v>
      </c>
      <c r="X2184" s="21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J2184" t="s">
        <v>51</v>
      </c>
      <c r="AK2184" t="s">
        <v>52</v>
      </c>
      <c r="AL2184" t="s">
        <v>603</v>
      </c>
      <c r="AP2184" t="s">
        <v>541</v>
      </c>
    </row>
    <row r="2185" spans="1:42">
      <c r="A2185" s="1">
        <v>43843</v>
      </c>
      <c r="B2185">
        <v>1</v>
      </c>
      <c r="C2185">
        <v>987</v>
      </c>
      <c r="D2185">
        <v>10423</v>
      </c>
      <c r="E2185" t="s">
        <v>37</v>
      </c>
      <c r="F2185" t="s">
        <v>520</v>
      </c>
      <c r="G2185">
        <v>2</v>
      </c>
      <c r="H2185">
        <v>81</v>
      </c>
      <c r="I2185" s="25">
        <v>2043</v>
      </c>
      <c r="K2185" t="s">
        <v>119</v>
      </c>
      <c r="L2185" t="s">
        <v>141</v>
      </c>
      <c r="M2185" t="s">
        <v>52</v>
      </c>
      <c r="N2185" t="s">
        <v>44</v>
      </c>
      <c r="O2185">
        <v>90</v>
      </c>
      <c r="Q2185">
        <f t="shared" si="67"/>
        <v>1</v>
      </c>
      <c r="S2185">
        <v>0</v>
      </c>
      <c r="T2185">
        <v>0</v>
      </c>
      <c r="U2185">
        <v>0</v>
      </c>
      <c r="V2185">
        <v>0</v>
      </c>
      <c r="W2185">
        <v>1</v>
      </c>
      <c r="X2185" s="21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J2185" t="s">
        <v>51</v>
      </c>
      <c r="AK2185" t="s">
        <v>52</v>
      </c>
      <c r="AL2185" t="s">
        <v>589</v>
      </c>
      <c r="AP2185" t="s">
        <v>541</v>
      </c>
    </row>
    <row r="2186" spans="1:42">
      <c r="A2186" s="1">
        <v>43843</v>
      </c>
      <c r="B2186">
        <v>1</v>
      </c>
      <c r="C2186">
        <v>987</v>
      </c>
      <c r="D2186">
        <v>10423</v>
      </c>
      <c r="E2186" t="s">
        <v>37</v>
      </c>
      <c r="F2186" t="s">
        <v>520</v>
      </c>
      <c r="G2186">
        <v>2</v>
      </c>
      <c r="H2186">
        <v>82</v>
      </c>
      <c r="I2186" s="25">
        <v>2009</v>
      </c>
      <c r="K2186" t="s">
        <v>119</v>
      </c>
      <c r="L2186" t="s">
        <v>141</v>
      </c>
      <c r="M2186" t="s">
        <v>52</v>
      </c>
      <c r="N2186" t="s">
        <v>40</v>
      </c>
      <c r="O2186">
        <v>40</v>
      </c>
      <c r="Q2186">
        <f t="shared" si="67"/>
        <v>1</v>
      </c>
      <c r="S2186">
        <v>0</v>
      </c>
      <c r="T2186">
        <v>0</v>
      </c>
      <c r="U2186">
        <v>0</v>
      </c>
      <c r="V2186">
        <v>1</v>
      </c>
      <c r="W2186">
        <v>0</v>
      </c>
      <c r="X2186" s="21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J2186" t="s">
        <v>51</v>
      </c>
      <c r="AK2186" t="s">
        <v>52</v>
      </c>
      <c r="AP2186" t="s">
        <v>541</v>
      </c>
    </row>
    <row r="2187" spans="1:42">
      <c r="A2187" s="1">
        <v>43843</v>
      </c>
      <c r="B2187">
        <v>1</v>
      </c>
      <c r="C2187">
        <v>987</v>
      </c>
      <c r="D2187">
        <v>10423</v>
      </c>
      <c r="E2187" t="s">
        <v>37</v>
      </c>
      <c r="F2187" t="s">
        <v>520</v>
      </c>
      <c r="G2187">
        <v>2</v>
      </c>
      <c r="H2187">
        <v>83</v>
      </c>
      <c r="I2187" s="25">
        <v>1999</v>
      </c>
      <c r="K2187" t="s">
        <v>119</v>
      </c>
      <c r="L2187" t="s">
        <v>141</v>
      </c>
      <c r="M2187" t="s">
        <v>52</v>
      </c>
      <c r="N2187" t="s">
        <v>44</v>
      </c>
      <c r="O2187">
        <v>82</v>
      </c>
      <c r="Q2187">
        <f t="shared" si="67"/>
        <v>1</v>
      </c>
      <c r="S2187">
        <v>0</v>
      </c>
      <c r="T2187">
        <v>0</v>
      </c>
      <c r="U2187">
        <v>0</v>
      </c>
      <c r="V2187">
        <v>0</v>
      </c>
      <c r="W2187">
        <v>1</v>
      </c>
      <c r="X2187" s="21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J2187" t="s">
        <v>51</v>
      </c>
      <c r="AK2187" t="s">
        <v>52</v>
      </c>
      <c r="AL2187" t="s">
        <v>589</v>
      </c>
      <c r="AP2187" t="s">
        <v>541</v>
      </c>
    </row>
    <row r="2188" spans="1:42">
      <c r="A2188" s="1">
        <v>43843</v>
      </c>
      <c r="B2188">
        <v>1</v>
      </c>
      <c r="C2188">
        <v>987</v>
      </c>
      <c r="D2188">
        <v>10423</v>
      </c>
      <c r="E2188" t="s">
        <v>37</v>
      </c>
      <c r="F2188" t="s">
        <v>520</v>
      </c>
      <c r="G2188">
        <v>2</v>
      </c>
      <c r="H2188">
        <v>84</v>
      </c>
      <c r="I2188" s="25">
        <v>1965</v>
      </c>
      <c r="K2188" t="s">
        <v>119</v>
      </c>
      <c r="L2188" t="s">
        <v>141</v>
      </c>
      <c r="M2188" t="s">
        <v>52</v>
      </c>
      <c r="N2188" t="s">
        <v>44</v>
      </c>
      <c r="O2188">
        <v>79</v>
      </c>
      <c r="Q2188">
        <f t="shared" si="67"/>
        <v>1</v>
      </c>
      <c r="S2188">
        <v>0</v>
      </c>
      <c r="T2188">
        <v>0</v>
      </c>
      <c r="U2188">
        <v>0</v>
      </c>
      <c r="V2188">
        <v>0</v>
      </c>
      <c r="W2188">
        <v>1</v>
      </c>
      <c r="X2188" s="21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J2188" t="s">
        <v>51</v>
      </c>
      <c r="AK2188" t="s">
        <v>52</v>
      </c>
      <c r="AL2188" t="s">
        <v>603</v>
      </c>
      <c r="AP2188" t="s">
        <v>541</v>
      </c>
    </row>
    <row r="2189" spans="1:42">
      <c r="A2189" s="1">
        <v>43843</v>
      </c>
      <c r="B2189">
        <v>1</v>
      </c>
      <c r="C2189">
        <v>987</v>
      </c>
      <c r="D2189">
        <v>10423</v>
      </c>
      <c r="E2189" t="s">
        <v>37</v>
      </c>
      <c r="F2189" t="s">
        <v>520</v>
      </c>
      <c r="G2189">
        <v>2</v>
      </c>
      <c r="H2189">
        <v>85</v>
      </c>
      <c r="I2189" s="25">
        <v>1945</v>
      </c>
      <c r="K2189" t="s">
        <v>119</v>
      </c>
      <c r="L2189" t="s">
        <v>141</v>
      </c>
      <c r="M2189" t="s">
        <v>52</v>
      </c>
      <c r="N2189" t="s">
        <v>44</v>
      </c>
      <c r="O2189">
        <v>103</v>
      </c>
      <c r="Q2189">
        <f t="shared" si="67"/>
        <v>1</v>
      </c>
      <c r="S2189">
        <v>0</v>
      </c>
      <c r="T2189">
        <v>0</v>
      </c>
      <c r="U2189">
        <v>0</v>
      </c>
      <c r="V2189">
        <v>0</v>
      </c>
      <c r="W2189">
        <v>1</v>
      </c>
      <c r="X2189" s="21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J2189" t="s">
        <v>51</v>
      </c>
      <c r="AK2189" t="s">
        <v>52</v>
      </c>
      <c r="AL2189" t="s">
        <v>589</v>
      </c>
      <c r="AP2189" t="s">
        <v>541</v>
      </c>
    </row>
    <row r="2190" spans="1:42">
      <c r="A2190" s="1">
        <v>43843</v>
      </c>
      <c r="B2190">
        <v>1</v>
      </c>
      <c r="C2190">
        <v>987</v>
      </c>
      <c r="D2190">
        <v>10423</v>
      </c>
      <c r="E2190" t="s">
        <v>37</v>
      </c>
      <c r="F2190" t="s">
        <v>520</v>
      </c>
      <c r="G2190">
        <v>2</v>
      </c>
      <c r="H2190">
        <v>86</v>
      </c>
      <c r="I2190" s="25">
        <v>1915</v>
      </c>
      <c r="K2190" t="s">
        <v>119</v>
      </c>
      <c r="L2190" t="s">
        <v>141</v>
      </c>
      <c r="M2190" t="s">
        <v>52</v>
      </c>
      <c r="N2190" t="s">
        <v>44</v>
      </c>
      <c r="O2190">
        <v>97</v>
      </c>
      <c r="Q2190">
        <f t="shared" si="67"/>
        <v>1</v>
      </c>
      <c r="S2190">
        <v>0</v>
      </c>
      <c r="T2190">
        <v>0</v>
      </c>
      <c r="U2190">
        <v>0</v>
      </c>
      <c r="V2190">
        <v>0</v>
      </c>
      <c r="W2190">
        <v>1</v>
      </c>
      <c r="X2190" s="21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J2190" t="s">
        <v>51</v>
      </c>
      <c r="AK2190" t="s">
        <v>52</v>
      </c>
      <c r="AL2190" t="s">
        <v>589</v>
      </c>
      <c r="AP2190" t="s">
        <v>541</v>
      </c>
    </row>
    <row r="2191" spans="1:42">
      <c r="A2191" s="1">
        <v>43843</v>
      </c>
      <c r="B2191">
        <v>1</v>
      </c>
      <c r="C2191">
        <v>987</v>
      </c>
      <c r="D2191">
        <v>10423</v>
      </c>
      <c r="E2191" t="s">
        <v>37</v>
      </c>
      <c r="F2191" t="s">
        <v>520</v>
      </c>
      <c r="G2191">
        <v>2</v>
      </c>
      <c r="H2191">
        <v>87</v>
      </c>
      <c r="I2191" s="25">
        <v>1859</v>
      </c>
      <c r="K2191" t="s">
        <v>119</v>
      </c>
      <c r="L2191" t="s">
        <v>141</v>
      </c>
      <c r="M2191" t="s">
        <v>52</v>
      </c>
      <c r="N2191" t="s">
        <v>44</v>
      </c>
      <c r="O2191">
        <v>176</v>
      </c>
      <c r="Q2191">
        <f t="shared" si="67"/>
        <v>2</v>
      </c>
      <c r="S2191">
        <v>0</v>
      </c>
      <c r="T2191">
        <v>0</v>
      </c>
      <c r="U2191">
        <v>0</v>
      </c>
      <c r="V2191">
        <v>0</v>
      </c>
      <c r="W2191">
        <v>2</v>
      </c>
      <c r="X2191" s="2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J2191" t="s">
        <v>51</v>
      </c>
      <c r="AK2191" t="s">
        <v>52</v>
      </c>
      <c r="AL2191" t="s">
        <v>587</v>
      </c>
      <c r="AP2191" t="s">
        <v>541</v>
      </c>
    </row>
    <row r="2192" spans="1:42">
      <c r="A2192" s="1">
        <v>43843</v>
      </c>
      <c r="B2192">
        <v>1</v>
      </c>
      <c r="C2192">
        <v>987</v>
      </c>
      <c r="D2192">
        <v>10423</v>
      </c>
      <c r="E2192" t="s">
        <v>37</v>
      </c>
      <c r="F2192" t="s">
        <v>520</v>
      </c>
      <c r="G2192">
        <v>2</v>
      </c>
      <c r="H2192">
        <v>88</v>
      </c>
      <c r="I2192" s="25">
        <v>1835</v>
      </c>
      <c r="K2192" t="s">
        <v>119</v>
      </c>
      <c r="L2192" t="s">
        <v>141</v>
      </c>
      <c r="M2192" t="s">
        <v>52</v>
      </c>
      <c r="N2192" t="s">
        <v>44</v>
      </c>
      <c r="O2192">
        <v>121</v>
      </c>
      <c r="Q2192">
        <f t="shared" si="67"/>
        <v>1</v>
      </c>
      <c r="S2192">
        <v>0</v>
      </c>
      <c r="T2192">
        <v>0</v>
      </c>
      <c r="U2192">
        <v>0</v>
      </c>
      <c r="V2192">
        <v>0</v>
      </c>
      <c r="W2192">
        <v>1</v>
      </c>
      <c r="X2192" s="21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J2192" t="s">
        <v>51</v>
      </c>
      <c r="AK2192" t="s">
        <v>52</v>
      </c>
      <c r="AL2192" t="s">
        <v>603</v>
      </c>
      <c r="AP2192" t="s">
        <v>541</v>
      </c>
    </row>
    <row r="2193" spans="1:42">
      <c r="A2193" s="1">
        <v>43843</v>
      </c>
      <c r="B2193">
        <v>1</v>
      </c>
      <c r="C2193">
        <v>987</v>
      </c>
      <c r="D2193">
        <v>10423</v>
      </c>
      <c r="E2193" t="s">
        <v>37</v>
      </c>
      <c r="F2193" t="s">
        <v>520</v>
      </c>
      <c r="G2193">
        <v>2</v>
      </c>
      <c r="H2193">
        <v>89</v>
      </c>
      <c r="I2193" s="25">
        <v>2600</v>
      </c>
      <c r="K2193" t="s">
        <v>595</v>
      </c>
      <c r="L2193" t="s">
        <v>114</v>
      </c>
      <c r="M2193" t="s">
        <v>52</v>
      </c>
      <c r="N2193" t="s">
        <v>44</v>
      </c>
      <c r="O2193">
        <v>96</v>
      </c>
      <c r="Q2193">
        <f t="shared" si="67"/>
        <v>1</v>
      </c>
      <c r="S2193">
        <v>0</v>
      </c>
      <c r="T2193">
        <v>0</v>
      </c>
      <c r="U2193">
        <v>0</v>
      </c>
      <c r="V2193">
        <v>0</v>
      </c>
      <c r="W2193">
        <v>1</v>
      </c>
      <c r="X2193" s="21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J2193" t="s">
        <v>54</v>
      </c>
      <c r="AK2193" t="s">
        <v>52</v>
      </c>
      <c r="AL2193" t="s">
        <v>603</v>
      </c>
      <c r="AP2193" t="s">
        <v>541</v>
      </c>
    </row>
    <row r="2194" spans="1:42">
      <c r="A2194" s="1">
        <v>43843</v>
      </c>
      <c r="B2194">
        <v>1</v>
      </c>
      <c r="C2194">
        <v>987</v>
      </c>
      <c r="D2194">
        <v>10423</v>
      </c>
      <c r="E2194" t="s">
        <v>37</v>
      </c>
      <c r="F2194" t="s">
        <v>520</v>
      </c>
      <c r="G2194">
        <v>2</v>
      </c>
      <c r="H2194">
        <v>90</v>
      </c>
      <c r="I2194" s="25">
        <v>2600</v>
      </c>
      <c r="K2194" t="s">
        <v>595</v>
      </c>
      <c r="L2194" t="s">
        <v>114</v>
      </c>
      <c r="M2194" t="s">
        <v>52</v>
      </c>
      <c r="N2194" t="s">
        <v>44</v>
      </c>
      <c r="O2194">
        <v>183</v>
      </c>
      <c r="Q2194">
        <f t="shared" si="67"/>
        <v>2</v>
      </c>
      <c r="S2194">
        <v>0</v>
      </c>
      <c r="T2194">
        <v>0</v>
      </c>
      <c r="U2194">
        <v>0</v>
      </c>
      <c r="V2194">
        <v>0</v>
      </c>
      <c r="W2194">
        <v>2</v>
      </c>
      <c r="X2194" s="21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J2194" t="s">
        <v>54</v>
      </c>
      <c r="AK2194" t="s">
        <v>52</v>
      </c>
      <c r="AL2194" t="s">
        <v>589</v>
      </c>
      <c r="AP2194" t="s">
        <v>541</v>
      </c>
    </row>
    <row r="2195" spans="1:42">
      <c r="A2195" s="1">
        <v>43843</v>
      </c>
      <c r="B2195">
        <v>1</v>
      </c>
      <c r="C2195">
        <v>987</v>
      </c>
      <c r="D2195">
        <v>10423</v>
      </c>
      <c r="E2195" t="s">
        <v>37</v>
      </c>
      <c r="F2195" t="s">
        <v>520</v>
      </c>
      <c r="G2195">
        <v>2</v>
      </c>
      <c r="H2195">
        <v>91</v>
      </c>
      <c r="I2195" s="25">
        <v>1851</v>
      </c>
      <c r="K2195" t="s">
        <v>585</v>
      </c>
      <c r="L2195" t="s">
        <v>141</v>
      </c>
      <c r="M2195" t="s">
        <v>52</v>
      </c>
      <c r="N2195" t="s">
        <v>44</v>
      </c>
      <c r="O2195">
        <v>146</v>
      </c>
      <c r="Q2195">
        <f t="shared" si="67"/>
        <v>1</v>
      </c>
      <c r="S2195">
        <v>0</v>
      </c>
      <c r="T2195">
        <v>0</v>
      </c>
      <c r="U2195">
        <v>0</v>
      </c>
      <c r="V2195">
        <v>0</v>
      </c>
      <c r="W2195">
        <v>1</v>
      </c>
      <c r="X2195" s="21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J2195" t="s">
        <v>51</v>
      </c>
      <c r="AK2195" t="s">
        <v>52</v>
      </c>
      <c r="AL2195" t="s">
        <v>589</v>
      </c>
      <c r="AP2195" t="s">
        <v>541</v>
      </c>
    </row>
    <row r="2196" spans="1:42">
      <c r="A2196" s="1">
        <v>43843</v>
      </c>
      <c r="B2196">
        <v>1</v>
      </c>
      <c r="C2196">
        <v>987</v>
      </c>
      <c r="D2196">
        <v>10423</v>
      </c>
      <c r="E2196" t="s">
        <v>37</v>
      </c>
      <c r="F2196" t="s">
        <v>520</v>
      </c>
      <c r="G2196">
        <v>2</v>
      </c>
      <c r="H2196">
        <v>92</v>
      </c>
      <c r="I2196" s="25">
        <v>1880</v>
      </c>
      <c r="K2196" t="s">
        <v>585</v>
      </c>
      <c r="L2196" t="s">
        <v>114</v>
      </c>
      <c r="M2196" t="s">
        <v>52</v>
      </c>
      <c r="N2196" t="s">
        <v>44</v>
      </c>
      <c r="O2196">
        <v>173</v>
      </c>
      <c r="Q2196">
        <f t="shared" si="67"/>
        <v>3</v>
      </c>
      <c r="S2196">
        <v>0</v>
      </c>
      <c r="T2196">
        <v>0</v>
      </c>
      <c r="U2196">
        <v>0</v>
      </c>
      <c r="V2196">
        <v>0</v>
      </c>
      <c r="W2196">
        <v>3</v>
      </c>
      <c r="X2196" s="21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J2196" t="s">
        <v>51</v>
      </c>
      <c r="AK2196" t="s">
        <v>52</v>
      </c>
      <c r="AL2196" t="s">
        <v>603</v>
      </c>
      <c r="AP2196" t="s">
        <v>541</v>
      </c>
    </row>
    <row r="2197" spans="1:42">
      <c r="A2197" s="1">
        <v>43843</v>
      </c>
      <c r="B2197">
        <v>1</v>
      </c>
      <c r="C2197">
        <v>987</v>
      </c>
      <c r="D2197">
        <v>10423</v>
      </c>
      <c r="E2197" t="s">
        <v>37</v>
      </c>
      <c r="F2197" t="s">
        <v>520</v>
      </c>
      <c r="G2197">
        <v>2</v>
      </c>
      <c r="H2197">
        <v>93</v>
      </c>
      <c r="I2197" s="25">
        <v>2500</v>
      </c>
      <c r="K2197" t="s">
        <v>595</v>
      </c>
      <c r="L2197" t="s">
        <v>114</v>
      </c>
      <c r="M2197" t="s">
        <v>52</v>
      </c>
      <c r="N2197" t="s">
        <v>44</v>
      </c>
      <c r="O2197">
        <v>207</v>
      </c>
      <c r="Q2197">
        <f t="shared" si="67"/>
        <v>4</v>
      </c>
      <c r="S2197">
        <v>0</v>
      </c>
      <c r="T2197">
        <v>0</v>
      </c>
      <c r="U2197">
        <v>0</v>
      </c>
      <c r="V2197">
        <v>0</v>
      </c>
      <c r="W2197">
        <v>4</v>
      </c>
      <c r="X2197" s="21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J2197" t="s">
        <v>54</v>
      </c>
      <c r="AK2197" t="s">
        <v>52</v>
      </c>
      <c r="AL2197" t="s">
        <v>589</v>
      </c>
      <c r="AP2197" t="s">
        <v>541</v>
      </c>
    </row>
    <row r="2198" spans="1:42">
      <c r="A2198" s="1">
        <v>43843</v>
      </c>
      <c r="B2198">
        <v>1</v>
      </c>
      <c r="C2198">
        <v>987</v>
      </c>
      <c r="D2198">
        <v>10423</v>
      </c>
      <c r="E2198" t="s">
        <v>37</v>
      </c>
      <c r="F2198" t="s">
        <v>520</v>
      </c>
      <c r="G2198">
        <v>2</v>
      </c>
      <c r="H2198">
        <v>94</v>
      </c>
      <c r="I2198" s="25">
        <v>2520</v>
      </c>
      <c r="K2198" t="s">
        <v>595</v>
      </c>
      <c r="L2198" t="s">
        <v>114</v>
      </c>
      <c r="M2198" t="s">
        <v>52</v>
      </c>
      <c r="N2198" t="s">
        <v>44</v>
      </c>
      <c r="O2198">
        <v>240</v>
      </c>
      <c r="Q2198">
        <f t="shared" si="67"/>
        <v>2</v>
      </c>
      <c r="S2198">
        <v>0</v>
      </c>
      <c r="T2198">
        <v>0</v>
      </c>
      <c r="U2198">
        <v>0</v>
      </c>
      <c r="V2198">
        <v>0</v>
      </c>
      <c r="W2198">
        <v>2</v>
      </c>
      <c r="X2198" s="21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J2198" t="s">
        <v>54</v>
      </c>
      <c r="AK2198" t="s">
        <v>52</v>
      </c>
      <c r="AL2198" t="s">
        <v>604</v>
      </c>
      <c r="AP2198" t="s">
        <v>541</v>
      </c>
    </row>
    <row r="2199" spans="1:42">
      <c r="A2199" s="1">
        <v>43843</v>
      </c>
      <c r="B2199">
        <v>1</v>
      </c>
      <c r="C2199">
        <v>987</v>
      </c>
      <c r="D2199">
        <v>10423</v>
      </c>
      <c r="E2199" t="s">
        <v>37</v>
      </c>
      <c r="F2199" t="s">
        <v>520</v>
      </c>
      <c r="G2199">
        <v>2</v>
      </c>
      <c r="H2199">
        <v>95</v>
      </c>
      <c r="I2199" s="25">
        <v>1800</v>
      </c>
      <c r="K2199" t="s">
        <v>585</v>
      </c>
      <c r="L2199" t="s">
        <v>114</v>
      </c>
      <c r="M2199" t="s">
        <v>52</v>
      </c>
      <c r="N2199" t="s">
        <v>44</v>
      </c>
      <c r="O2199">
        <v>85</v>
      </c>
      <c r="Q2199">
        <f t="shared" si="67"/>
        <v>1</v>
      </c>
      <c r="S2199">
        <v>0</v>
      </c>
      <c r="T2199">
        <v>0</v>
      </c>
      <c r="U2199">
        <v>0</v>
      </c>
      <c r="V2199">
        <v>0</v>
      </c>
      <c r="W2199">
        <v>1</v>
      </c>
      <c r="X2199" s="21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J2199" t="s">
        <v>51</v>
      </c>
      <c r="AK2199" t="s">
        <v>52</v>
      </c>
      <c r="AL2199" t="s">
        <v>589</v>
      </c>
      <c r="AP2199" t="s">
        <v>541</v>
      </c>
    </row>
    <row r="2200" spans="1:42">
      <c r="A2200" s="1">
        <v>43843</v>
      </c>
      <c r="B2200">
        <v>1</v>
      </c>
      <c r="C2200">
        <v>987</v>
      </c>
      <c r="D2200">
        <v>10423</v>
      </c>
      <c r="E2200" t="s">
        <v>37</v>
      </c>
      <c r="F2200" t="s">
        <v>520</v>
      </c>
      <c r="G2200">
        <v>2</v>
      </c>
      <c r="H2200">
        <v>96</v>
      </c>
      <c r="I2200" s="25">
        <v>1820</v>
      </c>
      <c r="K2200" t="s">
        <v>585</v>
      </c>
      <c r="L2200" t="s">
        <v>114</v>
      </c>
      <c r="M2200" t="s">
        <v>52</v>
      </c>
      <c r="N2200" t="s">
        <v>44</v>
      </c>
      <c r="O2200">
        <v>88</v>
      </c>
      <c r="Q2200">
        <f t="shared" si="67"/>
        <v>1</v>
      </c>
      <c r="S2200">
        <v>0</v>
      </c>
      <c r="T2200">
        <v>0</v>
      </c>
      <c r="U2200">
        <v>0</v>
      </c>
      <c r="V2200">
        <v>0</v>
      </c>
      <c r="W2200">
        <v>1</v>
      </c>
      <c r="X2200" s="21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J2200" t="s">
        <v>51</v>
      </c>
      <c r="AK2200" t="s">
        <v>52</v>
      </c>
      <c r="AL2200" t="s">
        <v>589</v>
      </c>
      <c r="AP2200" t="s">
        <v>541</v>
      </c>
    </row>
    <row r="2201" spans="1:42">
      <c r="A2201" s="1">
        <v>43843</v>
      </c>
      <c r="B2201">
        <v>1</v>
      </c>
      <c r="C2201">
        <v>987</v>
      </c>
      <c r="D2201">
        <v>10423</v>
      </c>
      <c r="E2201" t="s">
        <v>37</v>
      </c>
      <c r="F2201" t="s">
        <v>520</v>
      </c>
      <c r="G2201">
        <v>2</v>
      </c>
      <c r="H2201">
        <v>97</v>
      </c>
      <c r="I2201" s="25">
        <v>1880</v>
      </c>
      <c r="K2201" t="s">
        <v>585</v>
      </c>
      <c r="L2201" t="s">
        <v>114</v>
      </c>
      <c r="M2201" t="s">
        <v>52</v>
      </c>
      <c r="N2201" t="s">
        <v>44</v>
      </c>
      <c r="O2201">
        <v>87</v>
      </c>
      <c r="Q2201">
        <f t="shared" si="67"/>
        <v>1</v>
      </c>
      <c r="S2201">
        <v>0</v>
      </c>
      <c r="T2201">
        <v>0</v>
      </c>
      <c r="U2201">
        <v>0</v>
      </c>
      <c r="V2201">
        <v>0</v>
      </c>
      <c r="W2201">
        <v>1</v>
      </c>
      <c r="X2201" s="2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J2201" t="s">
        <v>51</v>
      </c>
      <c r="AK2201" t="s">
        <v>52</v>
      </c>
      <c r="AL2201" t="s">
        <v>589</v>
      </c>
      <c r="AP2201" t="s">
        <v>541</v>
      </c>
    </row>
    <row r="2202" spans="1:42">
      <c r="A2202" s="1">
        <v>43843</v>
      </c>
      <c r="B2202">
        <v>1</v>
      </c>
      <c r="C2202">
        <v>987</v>
      </c>
      <c r="D2202">
        <v>10423</v>
      </c>
      <c r="E2202" t="s">
        <v>37</v>
      </c>
      <c r="F2202" t="s">
        <v>520</v>
      </c>
      <c r="G2202">
        <v>2</v>
      </c>
      <c r="H2202">
        <v>98</v>
      </c>
      <c r="I2202" s="25">
        <v>1958</v>
      </c>
      <c r="K2202" t="s">
        <v>585</v>
      </c>
      <c r="L2202" t="s">
        <v>114</v>
      </c>
      <c r="M2202" t="s">
        <v>52</v>
      </c>
      <c r="N2202" t="s">
        <v>40</v>
      </c>
      <c r="O2202">
        <v>93</v>
      </c>
      <c r="Q2202">
        <f t="shared" si="67"/>
        <v>4</v>
      </c>
      <c r="S2202">
        <v>0</v>
      </c>
      <c r="T2202">
        <v>0</v>
      </c>
      <c r="U2202">
        <v>0</v>
      </c>
      <c r="V2202">
        <v>0</v>
      </c>
      <c r="W2202">
        <v>4</v>
      </c>
      <c r="X2202" s="21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J2202" t="s">
        <v>51</v>
      </c>
      <c r="AK2202" t="s">
        <v>52</v>
      </c>
      <c r="AP2202" t="s">
        <v>541</v>
      </c>
    </row>
    <row r="2203" spans="1:42">
      <c r="A2203" s="1">
        <v>43843</v>
      </c>
      <c r="B2203">
        <v>1</v>
      </c>
      <c r="C2203">
        <v>987</v>
      </c>
      <c r="D2203">
        <v>10423</v>
      </c>
      <c r="E2203" t="s">
        <v>37</v>
      </c>
      <c r="F2203" t="s">
        <v>520</v>
      </c>
      <c r="G2203">
        <v>2</v>
      </c>
      <c r="H2203">
        <v>99</v>
      </c>
      <c r="I2203" s="25">
        <v>1900</v>
      </c>
      <c r="K2203" t="s">
        <v>585</v>
      </c>
      <c r="L2203" t="s">
        <v>114</v>
      </c>
      <c r="M2203" t="s">
        <v>52</v>
      </c>
      <c r="N2203" t="s">
        <v>44</v>
      </c>
      <c r="O2203">
        <v>161</v>
      </c>
      <c r="Q2203">
        <f t="shared" si="67"/>
        <v>5</v>
      </c>
      <c r="S2203">
        <v>0</v>
      </c>
      <c r="T2203">
        <v>0</v>
      </c>
      <c r="U2203">
        <v>0</v>
      </c>
      <c r="V2203">
        <v>0</v>
      </c>
      <c r="W2203">
        <v>5</v>
      </c>
      <c r="X2203" s="21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J2203" t="s">
        <v>51</v>
      </c>
      <c r="AK2203" t="s">
        <v>52</v>
      </c>
      <c r="AL2203" t="s">
        <v>589</v>
      </c>
      <c r="AP2203" t="s">
        <v>541</v>
      </c>
    </row>
    <row r="2204" spans="1:42">
      <c r="A2204" s="1">
        <v>43843</v>
      </c>
      <c r="B2204">
        <v>1</v>
      </c>
      <c r="C2204">
        <v>987</v>
      </c>
      <c r="D2204">
        <v>10423</v>
      </c>
      <c r="E2204" t="s">
        <v>37</v>
      </c>
      <c r="F2204" t="s">
        <v>520</v>
      </c>
      <c r="G2204">
        <v>2</v>
      </c>
      <c r="H2204">
        <v>100</v>
      </c>
      <c r="I2204" s="25">
        <v>2008</v>
      </c>
      <c r="K2204" t="s">
        <v>585</v>
      </c>
      <c r="L2204" t="s">
        <v>114</v>
      </c>
      <c r="M2204" t="s">
        <v>52</v>
      </c>
      <c r="N2204" t="s">
        <v>42</v>
      </c>
      <c r="O2204">
        <v>557</v>
      </c>
      <c r="Q2204">
        <f t="shared" si="67"/>
        <v>8</v>
      </c>
      <c r="S2204">
        <v>0</v>
      </c>
      <c r="T2204">
        <v>0</v>
      </c>
      <c r="U2204">
        <v>0</v>
      </c>
      <c r="V2204">
        <v>0</v>
      </c>
      <c r="W2204">
        <v>8</v>
      </c>
      <c r="X2204" s="21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J2204" t="s">
        <v>51</v>
      </c>
      <c r="AK2204" t="s">
        <v>52</v>
      </c>
      <c r="AL2204" t="s">
        <v>589</v>
      </c>
      <c r="AP2204" t="s">
        <v>541</v>
      </c>
    </row>
    <row r="2205" spans="1:42">
      <c r="A2205" s="1">
        <v>43843</v>
      </c>
      <c r="B2205">
        <v>1</v>
      </c>
      <c r="C2205">
        <v>987</v>
      </c>
      <c r="D2205">
        <v>10423</v>
      </c>
      <c r="E2205" t="s">
        <v>37</v>
      </c>
      <c r="F2205" t="s">
        <v>520</v>
      </c>
      <c r="G2205">
        <v>2</v>
      </c>
      <c r="H2205">
        <v>101</v>
      </c>
      <c r="I2205" s="25">
        <v>2080</v>
      </c>
      <c r="K2205" t="s">
        <v>585</v>
      </c>
      <c r="L2205" t="s">
        <v>114</v>
      </c>
      <c r="M2205" t="s">
        <v>52</v>
      </c>
      <c r="N2205" t="s">
        <v>44</v>
      </c>
      <c r="O2205">
        <v>89</v>
      </c>
      <c r="Q2205">
        <f t="shared" si="67"/>
        <v>1</v>
      </c>
      <c r="S2205">
        <v>0</v>
      </c>
      <c r="T2205">
        <v>0</v>
      </c>
      <c r="U2205">
        <v>0</v>
      </c>
      <c r="V2205">
        <v>0</v>
      </c>
      <c r="W2205">
        <v>1</v>
      </c>
      <c r="X2205" s="21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J2205" t="s">
        <v>51</v>
      </c>
      <c r="AK2205" t="s">
        <v>52</v>
      </c>
      <c r="AL2205" t="s">
        <v>589</v>
      </c>
      <c r="AP2205" t="s">
        <v>541</v>
      </c>
    </row>
    <row r="2206" spans="1:42">
      <c r="A2206" s="1">
        <v>43843</v>
      </c>
      <c r="B2206">
        <v>1</v>
      </c>
      <c r="C2206">
        <v>987</v>
      </c>
      <c r="D2206">
        <v>10423</v>
      </c>
      <c r="E2206" t="s">
        <v>37</v>
      </c>
      <c r="F2206" t="s">
        <v>520</v>
      </c>
      <c r="G2206">
        <v>2</v>
      </c>
      <c r="H2206">
        <v>102</v>
      </c>
      <c r="I2206" s="25">
        <v>2100</v>
      </c>
      <c r="K2206" t="s">
        <v>585</v>
      </c>
      <c r="L2206" t="s">
        <v>114</v>
      </c>
      <c r="M2206" t="s">
        <v>52</v>
      </c>
      <c r="N2206" t="s">
        <v>44</v>
      </c>
      <c r="O2206">
        <v>159</v>
      </c>
      <c r="Q2206">
        <f t="shared" si="67"/>
        <v>2</v>
      </c>
      <c r="S2206">
        <v>0</v>
      </c>
      <c r="T2206">
        <v>0</v>
      </c>
      <c r="U2206">
        <v>0</v>
      </c>
      <c r="V2206">
        <v>0</v>
      </c>
      <c r="W2206">
        <v>2</v>
      </c>
      <c r="X2206" s="21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J2206" t="s">
        <v>51</v>
      </c>
      <c r="AK2206" t="s">
        <v>52</v>
      </c>
      <c r="AL2206" t="s">
        <v>603</v>
      </c>
      <c r="AP2206" t="s">
        <v>541</v>
      </c>
    </row>
    <row r="2207" spans="1:42">
      <c r="A2207" s="1">
        <v>43843</v>
      </c>
      <c r="B2207">
        <v>1</v>
      </c>
      <c r="C2207">
        <v>987</v>
      </c>
      <c r="D2207">
        <v>10423</v>
      </c>
      <c r="E2207" t="s">
        <v>37</v>
      </c>
      <c r="F2207" t="s">
        <v>520</v>
      </c>
      <c r="G2207">
        <v>2</v>
      </c>
      <c r="H2207">
        <v>103</v>
      </c>
      <c r="I2207" s="25">
        <v>2294</v>
      </c>
      <c r="K2207" t="s">
        <v>585</v>
      </c>
      <c r="L2207" t="s">
        <v>114</v>
      </c>
      <c r="M2207" t="s">
        <v>95</v>
      </c>
      <c r="N2207" t="s">
        <v>44</v>
      </c>
      <c r="O2207">
        <v>258</v>
      </c>
      <c r="Q2207">
        <f t="shared" si="67"/>
        <v>5</v>
      </c>
      <c r="S2207">
        <v>0</v>
      </c>
      <c r="T2207">
        <v>0</v>
      </c>
      <c r="U2207" t="s">
        <v>64</v>
      </c>
      <c r="V2207">
        <v>0</v>
      </c>
      <c r="W2207">
        <v>5</v>
      </c>
      <c r="X2207" s="21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J2207" t="s">
        <v>51</v>
      </c>
      <c r="AK2207" t="s">
        <v>52</v>
      </c>
      <c r="AL2207" t="s">
        <v>589</v>
      </c>
      <c r="AP2207" t="s">
        <v>541</v>
      </c>
    </row>
    <row r="2208" spans="1:42">
      <c r="A2208" s="1">
        <v>43843</v>
      </c>
      <c r="B2208">
        <v>1</v>
      </c>
      <c r="C2208">
        <v>987</v>
      </c>
      <c r="D2208">
        <v>10423</v>
      </c>
      <c r="E2208" t="s">
        <v>37</v>
      </c>
      <c r="F2208" t="s">
        <v>520</v>
      </c>
      <c r="G2208">
        <v>2</v>
      </c>
      <c r="H2208">
        <v>104</v>
      </c>
      <c r="I2208" s="25">
        <v>2275</v>
      </c>
      <c r="K2208" t="s">
        <v>185</v>
      </c>
      <c r="L2208" t="s">
        <v>114</v>
      </c>
      <c r="M2208" t="s">
        <v>52</v>
      </c>
      <c r="N2208" t="s">
        <v>44</v>
      </c>
      <c r="O2208">
        <v>382</v>
      </c>
      <c r="Q2208">
        <f t="shared" si="67"/>
        <v>5</v>
      </c>
      <c r="S2208">
        <v>0</v>
      </c>
      <c r="T2208">
        <v>0</v>
      </c>
      <c r="U2208">
        <v>0</v>
      </c>
      <c r="V2208">
        <v>2</v>
      </c>
      <c r="W2208">
        <v>3</v>
      </c>
      <c r="X2208" s="21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J2208" t="s">
        <v>51</v>
      </c>
      <c r="AK2208" t="s">
        <v>52</v>
      </c>
      <c r="AL2208" t="s">
        <v>589</v>
      </c>
      <c r="AP2208" t="s">
        <v>541</v>
      </c>
    </row>
    <row r="2209" spans="1:42">
      <c r="A2209" s="1">
        <v>43843</v>
      </c>
      <c r="B2209">
        <v>1</v>
      </c>
      <c r="C2209">
        <v>987</v>
      </c>
      <c r="D2209">
        <v>10423</v>
      </c>
      <c r="E2209" t="s">
        <v>37</v>
      </c>
      <c r="F2209" t="s">
        <v>520</v>
      </c>
      <c r="G2209">
        <v>2</v>
      </c>
      <c r="H2209">
        <v>105</v>
      </c>
      <c r="I2209" s="25">
        <v>2201</v>
      </c>
      <c r="K2209" t="s">
        <v>185</v>
      </c>
      <c r="L2209" t="s">
        <v>141</v>
      </c>
      <c r="M2209" t="s">
        <v>52</v>
      </c>
      <c r="N2209" t="s">
        <v>44</v>
      </c>
      <c r="O2209">
        <v>77</v>
      </c>
      <c r="Q2209">
        <f t="shared" si="67"/>
        <v>2</v>
      </c>
      <c r="S2209">
        <v>0</v>
      </c>
      <c r="T2209">
        <v>0</v>
      </c>
      <c r="U2209">
        <v>0</v>
      </c>
      <c r="V2209">
        <v>0</v>
      </c>
      <c r="W2209">
        <v>2</v>
      </c>
      <c r="X2209" s="21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J2209" t="s">
        <v>51</v>
      </c>
      <c r="AK2209" t="s">
        <v>52</v>
      </c>
      <c r="AL2209" t="s">
        <v>589</v>
      </c>
      <c r="AP2209" t="s">
        <v>541</v>
      </c>
    </row>
    <row r="2210" spans="1:42">
      <c r="A2210" s="1">
        <v>43843</v>
      </c>
      <c r="B2210">
        <v>1</v>
      </c>
      <c r="C2210">
        <v>987</v>
      </c>
      <c r="D2210">
        <v>10423</v>
      </c>
      <c r="E2210" t="s">
        <v>37</v>
      </c>
      <c r="F2210" t="s">
        <v>520</v>
      </c>
      <c r="G2210">
        <v>2</v>
      </c>
      <c r="H2210">
        <v>106</v>
      </c>
      <c r="I2210" s="25">
        <v>2115</v>
      </c>
      <c r="K2210" t="s">
        <v>185</v>
      </c>
      <c r="L2210" t="s">
        <v>141</v>
      </c>
      <c r="M2210" t="s">
        <v>52</v>
      </c>
      <c r="N2210" t="s">
        <v>44</v>
      </c>
      <c r="O2210">
        <v>111</v>
      </c>
      <c r="Q2210">
        <f t="shared" si="67"/>
        <v>2</v>
      </c>
      <c r="S2210">
        <v>0</v>
      </c>
      <c r="T2210">
        <v>0</v>
      </c>
      <c r="U2210">
        <v>0</v>
      </c>
      <c r="V2210">
        <v>0</v>
      </c>
      <c r="W2210">
        <v>2</v>
      </c>
      <c r="X2210" s="21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J2210" t="s">
        <v>51</v>
      </c>
      <c r="AK2210" t="s">
        <v>52</v>
      </c>
      <c r="AL2210" t="s">
        <v>589</v>
      </c>
      <c r="AP2210" t="s">
        <v>541</v>
      </c>
    </row>
    <row r="2211" spans="1:42">
      <c r="A2211" s="1">
        <v>43843</v>
      </c>
      <c r="B2211">
        <v>1</v>
      </c>
      <c r="C2211">
        <v>987</v>
      </c>
      <c r="D2211">
        <v>10423</v>
      </c>
      <c r="E2211" t="s">
        <v>37</v>
      </c>
      <c r="F2211" t="s">
        <v>520</v>
      </c>
      <c r="G2211">
        <v>2</v>
      </c>
      <c r="H2211">
        <v>107</v>
      </c>
      <c r="I2211" s="25">
        <v>2734</v>
      </c>
      <c r="K2211" t="s">
        <v>596</v>
      </c>
      <c r="L2211" t="s">
        <v>114</v>
      </c>
      <c r="M2211" t="s">
        <v>52</v>
      </c>
      <c r="N2211" t="s">
        <v>44</v>
      </c>
      <c r="O2211">
        <v>161</v>
      </c>
      <c r="Q2211">
        <f t="shared" si="67"/>
        <v>3</v>
      </c>
      <c r="S2211">
        <v>0</v>
      </c>
      <c r="T2211">
        <v>0</v>
      </c>
      <c r="U2211">
        <v>0</v>
      </c>
      <c r="V2211">
        <v>0</v>
      </c>
      <c r="W2211">
        <v>3</v>
      </c>
      <c r="X2211" s="2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J2211" t="s">
        <v>51</v>
      </c>
      <c r="AK2211" t="s">
        <v>52</v>
      </c>
      <c r="AL2211" t="s">
        <v>589</v>
      </c>
      <c r="AP2211" t="s">
        <v>541</v>
      </c>
    </row>
    <row r="2212" spans="1:42">
      <c r="A2212" s="1">
        <v>43843</v>
      </c>
      <c r="B2212">
        <v>1</v>
      </c>
      <c r="C2212">
        <v>987</v>
      </c>
      <c r="D2212">
        <v>10423</v>
      </c>
      <c r="E2212" t="s">
        <v>37</v>
      </c>
      <c r="F2212" t="s">
        <v>520</v>
      </c>
      <c r="G2212">
        <v>2</v>
      </c>
      <c r="H2212">
        <v>108</v>
      </c>
      <c r="I2212" s="25">
        <v>1923</v>
      </c>
      <c r="K2212" t="s">
        <v>585</v>
      </c>
      <c r="L2212" t="s">
        <v>141</v>
      </c>
      <c r="M2212" t="s">
        <v>52</v>
      </c>
      <c r="N2212" t="s">
        <v>44</v>
      </c>
      <c r="O2212">
        <v>121</v>
      </c>
      <c r="Q2212">
        <f t="shared" si="67"/>
        <v>1</v>
      </c>
      <c r="S2212">
        <v>0</v>
      </c>
      <c r="T2212">
        <v>0</v>
      </c>
      <c r="U2212">
        <v>0</v>
      </c>
      <c r="V2212">
        <v>0</v>
      </c>
      <c r="W2212">
        <v>1</v>
      </c>
      <c r="X2212" s="21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J2212" t="s">
        <v>51</v>
      </c>
      <c r="AK2212" t="s">
        <v>52</v>
      </c>
      <c r="AL2212" t="s">
        <v>589</v>
      </c>
      <c r="AP2212" t="s">
        <v>541</v>
      </c>
    </row>
    <row r="2213" spans="1:42">
      <c r="A2213" s="1">
        <v>43843</v>
      </c>
      <c r="B2213">
        <v>1</v>
      </c>
      <c r="C2213">
        <v>987</v>
      </c>
      <c r="D2213">
        <v>10423</v>
      </c>
      <c r="E2213" t="s">
        <v>37</v>
      </c>
      <c r="F2213" t="s">
        <v>520</v>
      </c>
      <c r="G2213">
        <v>2</v>
      </c>
      <c r="H2213">
        <v>109</v>
      </c>
      <c r="I2213" s="25">
        <v>1900</v>
      </c>
      <c r="K2213" t="s">
        <v>585</v>
      </c>
      <c r="L2213" t="s">
        <v>114</v>
      </c>
      <c r="M2213" t="s">
        <v>52</v>
      </c>
      <c r="N2213" t="s">
        <v>44</v>
      </c>
      <c r="O2213">
        <v>57</v>
      </c>
      <c r="Q2213">
        <f t="shared" si="67"/>
        <v>1</v>
      </c>
      <c r="S2213">
        <v>0</v>
      </c>
      <c r="T2213">
        <v>0</v>
      </c>
      <c r="U2213">
        <v>0</v>
      </c>
      <c r="V2213">
        <v>0</v>
      </c>
      <c r="W2213">
        <v>1</v>
      </c>
      <c r="X2213" s="21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J2213" t="s">
        <v>51</v>
      </c>
      <c r="AK2213" t="s">
        <v>52</v>
      </c>
      <c r="AL2213" t="s">
        <v>589</v>
      </c>
      <c r="AP2213" t="s">
        <v>541</v>
      </c>
    </row>
    <row r="2214" spans="1:42">
      <c r="A2214" s="1">
        <v>43843</v>
      </c>
      <c r="B2214">
        <v>1</v>
      </c>
      <c r="C2214">
        <v>987</v>
      </c>
      <c r="D2214">
        <v>10423</v>
      </c>
      <c r="E2214" t="s">
        <v>37</v>
      </c>
      <c r="F2214" t="s">
        <v>520</v>
      </c>
      <c r="G2214">
        <v>2</v>
      </c>
      <c r="H2214">
        <v>110</v>
      </c>
      <c r="I2214" s="25">
        <v>2500</v>
      </c>
      <c r="K2214" t="s">
        <v>595</v>
      </c>
      <c r="L2214" t="s">
        <v>114</v>
      </c>
      <c r="M2214" t="s">
        <v>52</v>
      </c>
      <c r="N2214" t="s">
        <v>44</v>
      </c>
      <c r="O2214">
        <v>105</v>
      </c>
      <c r="Q2214">
        <f t="shared" si="67"/>
        <v>2</v>
      </c>
      <c r="S2214">
        <v>0</v>
      </c>
      <c r="T2214">
        <v>0</v>
      </c>
      <c r="U2214">
        <v>0</v>
      </c>
      <c r="V2214">
        <v>0</v>
      </c>
      <c r="W2214">
        <v>2</v>
      </c>
      <c r="X2214" s="21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J2214" t="s">
        <v>51</v>
      </c>
      <c r="AK2214" t="s">
        <v>52</v>
      </c>
      <c r="AL2214" t="s">
        <v>589</v>
      </c>
      <c r="AP2214" t="s">
        <v>541</v>
      </c>
    </row>
    <row r="2215" spans="1:42">
      <c r="A2215" s="1">
        <v>43843</v>
      </c>
      <c r="B2215">
        <v>1</v>
      </c>
      <c r="C2215">
        <v>987</v>
      </c>
      <c r="D2215">
        <v>10423</v>
      </c>
      <c r="E2215" t="s">
        <v>37</v>
      </c>
      <c r="F2215" t="s">
        <v>520</v>
      </c>
      <c r="G2215">
        <v>2</v>
      </c>
      <c r="H2215">
        <v>111</v>
      </c>
      <c r="I2215" s="25">
        <v>1940</v>
      </c>
      <c r="K2215" t="s">
        <v>185</v>
      </c>
      <c r="L2215" t="s">
        <v>114</v>
      </c>
      <c r="M2215" t="s">
        <v>52</v>
      </c>
      <c r="N2215" t="s">
        <v>44</v>
      </c>
      <c r="O2215">
        <v>59</v>
      </c>
      <c r="Q2215">
        <f t="shared" si="67"/>
        <v>1</v>
      </c>
      <c r="S2215">
        <v>0</v>
      </c>
      <c r="T2215">
        <v>0</v>
      </c>
      <c r="U2215">
        <v>0</v>
      </c>
      <c r="V2215">
        <v>0</v>
      </c>
      <c r="W2215">
        <v>1</v>
      </c>
      <c r="X2215" s="21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J2215" t="s">
        <v>51</v>
      </c>
      <c r="AK2215" t="s">
        <v>52</v>
      </c>
      <c r="AL2215" t="s">
        <v>589</v>
      </c>
      <c r="AP2215" t="s">
        <v>541</v>
      </c>
    </row>
    <row r="2216" spans="1:42">
      <c r="A2216" s="1">
        <v>43843</v>
      </c>
      <c r="B2216">
        <v>1</v>
      </c>
      <c r="C2216">
        <v>987</v>
      </c>
      <c r="D2216">
        <v>10423</v>
      </c>
      <c r="E2216" t="s">
        <v>37</v>
      </c>
      <c r="F2216" t="s">
        <v>520</v>
      </c>
      <c r="G2216">
        <v>2</v>
      </c>
      <c r="H2216">
        <v>112</v>
      </c>
      <c r="I2216" s="25">
        <v>1960</v>
      </c>
      <c r="K2216" t="s">
        <v>185</v>
      </c>
      <c r="L2216" t="s">
        <v>114</v>
      </c>
      <c r="M2216" t="s">
        <v>52</v>
      </c>
      <c r="N2216" t="s">
        <v>40</v>
      </c>
      <c r="O2216">
        <v>20</v>
      </c>
      <c r="Q2216">
        <f t="shared" si="67"/>
        <v>1</v>
      </c>
      <c r="S2216">
        <v>0</v>
      </c>
      <c r="T2216">
        <v>0</v>
      </c>
      <c r="U2216">
        <v>0</v>
      </c>
      <c r="V2216">
        <v>0</v>
      </c>
      <c r="W2216">
        <v>1</v>
      </c>
      <c r="X2216" s="21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J2216" t="s">
        <v>51</v>
      </c>
      <c r="AK2216" t="s">
        <v>52</v>
      </c>
      <c r="AP2216" t="s">
        <v>541</v>
      </c>
    </row>
    <row r="2217" spans="1:42">
      <c r="A2217" s="1">
        <v>43843</v>
      </c>
      <c r="B2217">
        <v>1</v>
      </c>
      <c r="C2217">
        <v>987</v>
      </c>
      <c r="D2217">
        <v>10423</v>
      </c>
      <c r="E2217" t="s">
        <v>37</v>
      </c>
      <c r="F2217" t="s">
        <v>520</v>
      </c>
      <c r="G2217">
        <v>2</v>
      </c>
      <c r="H2217">
        <v>113</v>
      </c>
      <c r="I2217" s="25">
        <v>2040</v>
      </c>
      <c r="K2217" t="s">
        <v>185</v>
      </c>
      <c r="L2217" t="s">
        <v>114</v>
      </c>
      <c r="M2217" t="s">
        <v>52</v>
      </c>
      <c r="N2217" t="s">
        <v>44</v>
      </c>
      <c r="O2217">
        <v>293</v>
      </c>
      <c r="Q2217">
        <f t="shared" si="67"/>
        <v>3</v>
      </c>
      <c r="S2217">
        <v>0</v>
      </c>
      <c r="T2217">
        <v>0</v>
      </c>
      <c r="U2217">
        <v>0</v>
      </c>
      <c r="V2217">
        <v>0</v>
      </c>
      <c r="W2217">
        <v>3</v>
      </c>
      <c r="X2217" s="21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J2217" t="s">
        <v>51</v>
      </c>
      <c r="AK2217" t="s">
        <v>52</v>
      </c>
      <c r="AL2217" t="s">
        <v>589</v>
      </c>
      <c r="AP2217" t="s">
        <v>541</v>
      </c>
    </row>
    <row r="2218" spans="1:42">
      <c r="A2218" s="1">
        <v>43843</v>
      </c>
      <c r="B2218">
        <v>1</v>
      </c>
      <c r="C2218">
        <v>987</v>
      </c>
      <c r="D2218">
        <v>10423</v>
      </c>
      <c r="E2218" t="s">
        <v>37</v>
      </c>
      <c r="F2218" t="s">
        <v>520</v>
      </c>
      <c r="G2218">
        <v>2</v>
      </c>
      <c r="H2218">
        <v>114</v>
      </c>
      <c r="I2218" s="25">
        <v>2637</v>
      </c>
      <c r="K2218" t="s">
        <v>596</v>
      </c>
      <c r="L2218" t="s">
        <v>141</v>
      </c>
      <c r="M2218" t="s">
        <v>52</v>
      </c>
      <c r="N2218" t="s">
        <v>44</v>
      </c>
      <c r="O2218">
        <v>422</v>
      </c>
      <c r="Q2218">
        <f t="shared" si="67"/>
        <v>5</v>
      </c>
      <c r="S2218">
        <v>0</v>
      </c>
      <c r="T2218">
        <v>0</v>
      </c>
      <c r="U2218">
        <v>0</v>
      </c>
      <c r="V2218">
        <v>0</v>
      </c>
      <c r="W2218">
        <v>5</v>
      </c>
      <c r="X2218" s="21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J2218" t="s">
        <v>51</v>
      </c>
      <c r="AK2218" t="s">
        <v>52</v>
      </c>
      <c r="AL2218" t="s">
        <v>603</v>
      </c>
      <c r="AP2218" t="s">
        <v>541</v>
      </c>
    </row>
    <row r="2219" spans="1:42">
      <c r="A2219" s="1">
        <v>43843</v>
      </c>
      <c r="B2219">
        <v>1</v>
      </c>
      <c r="C2219">
        <v>987</v>
      </c>
      <c r="D2219">
        <v>10423</v>
      </c>
      <c r="E2219" t="s">
        <v>37</v>
      </c>
      <c r="F2219" t="s">
        <v>520</v>
      </c>
      <c r="G2219">
        <v>2</v>
      </c>
      <c r="H2219">
        <v>115</v>
      </c>
      <c r="I2219" s="25">
        <v>2600</v>
      </c>
      <c r="K2219" t="s">
        <v>596</v>
      </c>
      <c r="L2219" t="s">
        <v>114</v>
      </c>
      <c r="M2219" t="s">
        <v>52</v>
      </c>
      <c r="N2219" t="s">
        <v>44</v>
      </c>
      <c r="O2219">
        <v>278</v>
      </c>
      <c r="Q2219">
        <f t="shared" si="67"/>
        <v>5</v>
      </c>
      <c r="S2219">
        <v>0</v>
      </c>
      <c r="T2219">
        <v>0</v>
      </c>
      <c r="U2219">
        <v>0</v>
      </c>
      <c r="V2219">
        <v>0</v>
      </c>
      <c r="W2219">
        <v>5</v>
      </c>
      <c r="X2219" s="21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J2219" t="s">
        <v>51</v>
      </c>
      <c r="AK2219" t="s">
        <v>52</v>
      </c>
      <c r="AL2219" t="s">
        <v>589</v>
      </c>
      <c r="AP2219" t="s">
        <v>541</v>
      </c>
    </row>
    <row r="2220" spans="1:42">
      <c r="A2220" s="1">
        <v>43843</v>
      </c>
      <c r="B2220">
        <v>1</v>
      </c>
      <c r="C2220">
        <v>987</v>
      </c>
      <c r="D2220">
        <v>10423</v>
      </c>
      <c r="E2220" t="s">
        <v>37</v>
      </c>
      <c r="F2220" t="s">
        <v>520</v>
      </c>
      <c r="G2220">
        <v>2</v>
      </c>
      <c r="H2220">
        <v>116</v>
      </c>
      <c r="I2220" s="25">
        <v>2183</v>
      </c>
      <c r="K2220" t="s">
        <v>605</v>
      </c>
      <c r="L2220" t="s">
        <v>141</v>
      </c>
      <c r="M2220" t="s">
        <v>52</v>
      </c>
      <c r="N2220" t="s">
        <v>40</v>
      </c>
      <c r="O2220">
        <v>75</v>
      </c>
      <c r="Q2220">
        <f t="shared" si="67"/>
        <v>3</v>
      </c>
      <c r="S2220">
        <v>0</v>
      </c>
      <c r="T2220">
        <v>0</v>
      </c>
      <c r="U2220">
        <v>0</v>
      </c>
      <c r="V2220">
        <v>0</v>
      </c>
      <c r="W2220">
        <v>3</v>
      </c>
      <c r="X2220" s="21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J2220" t="s">
        <v>51</v>
      </c>
      <c r="AK2220" t="s">
        <v>52</v>
      </c>
      <c r="AP2220" t="s">
        <v>541</v>
      </c>
    </row>
    <row r="2221" spans="1:42">
      <c r="A2221" s="1">
        <v>43843</v>
      </c>
      <c r="B2221">
        <v>1</v>
      </c>
      <c r="C2221">
        <v>987</v>
      </c>
      <c r="D2221">
        <v>10423</v>
      </c>
      <c r="E2221" t="s">
        <v>37</v>
      </c>
      <c r="F2221" t="s">
        <v>520</v>
      </c>
      <c r="G2221">
        <v>2</v>
      </c>
      <c r="H2221">
        <v>117</v>
      </c>
      <c r="I2221" s="25">
        <v>2151</v>
      </c>
      <c r="K2221" t="s">
        <v>605</v>
      </c>
      <c r="L2221" t="s">
        <v>141</v>
      </c>
      <c r="M2221" t="s">
        <v>52</v>
      </c>
      <c r="N2221" t="s">
        <v>40</v>
      </c>
      <c r="O2221">
        <v>46</v>
      </c>
      <c r="Q2221">
        <f t="shared" si="67"/>
        <v>2</v>
      </c>
      <c r="S2221">
        <v>0</v>
      </c>
      <c r="T2221">
        <v>0</v>
      </c>
      <c r="U2221">
        <v>0</v>
      </c>
      <c r="V2221">
        <v>2</v>
      </c>
      <c r="W2221">
        <v>0</v>
      </c>
      <c r="X2221" s="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J2221" t="s">
        <v>51</v>
      </c>
      <c r="AK2221" t="s">
        <v>52</v>
      </c>
      <c r="AP2221" t="s">
        <v>541</v>
      </c>
    </row>
    <row r="2222" spans="1:42">
      <c r="A2222" s="1">
        <v>43843</v>
      </c>
      <c r="B2222">
        <v>1</v>
      </c>
      <c r="C2222">
        <v>987</v>
      </c>
      <c r="D2222">
        <v>10423</v>
      </c>
      <c r="E2222" t="s">
        <v>37</v>
      </c>
      <c r="F2222" t="s">
        <v>520</v>
      </c>
      <c r="G2222">
        <v>2</v>
      </c>
      <c r="H2222">
        <v>118</v>
      </c>
      <c r="I2222" s="25">
        <v>2101</v>
      </c>
      <c r="K2222" t="s">
        <v>605</v>
      </c>
      <c r="L2222" t="s">
        <v>141</v>
      </c>
      <c r="M2222" t="s">
        <v>52</v>
      </c>
      <c r="N2222" t="s">
        <v>40</v>
      </c>
      <c r="O2222">
        <v>94</v>
      </c>
      <c r="Q2222">
        <f t="shared" si="67"/>
        <v>2</v>
      </c>
      <c r="S2222">
        <v>0</v>
      </c>
      <c r="T2222">
        <v>0</v>
      </c>
      <c r="U2222">
        <v>0</v>
      </c>
      <c r="V2222">
        <v>0</v>
      </c>
      <c r="W2222">
        <v>2</v>
      </c>
      <c r="X2222" s="21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J2222" t="s">
        <v>51</v>
      </c>
      <c r="AK2222" t="s">
        <v>52</v>
      </c>
      <c r="AP2222" t="s">
        <v>541</v>
      </c>
    </row>
    <row r="2223" spans="1:42">
      <c r="A2223" s="1">
        <v>43843</v>
      </c>
      <c r="B2223">
        <v>1</v>
      </c>
      <c r="C2223">
        <v>987</v>
      </c>
      <c r="D2223">
        <v>10423</v>
      </c>
      <c r="E2223" t="s">
        <v>37</v>
      </c>
      <c r="F2223" t="s">
        <v>520</v>
      </c>
      <c r="G2223">
        <v>2</v>
      </c>
      <c r="H2223">
        <v>119</v>
      </c>
      <c r="I2223" s="25">
        <v>2083</v>
      </c>
      <c r="K2223" t="s">
        <v>605</v>
      </c>
      <c r="L2223" t="s">
        <v>141</v>
      </c>
      <c r="M2223" t="s">
        <v>52</v>
      </c>
      <c r="N2223" t="s">
        <v>40</v>
      </c>
      <c r="O2223">
        <v>32</v>
      </c>
      <c r="Q2223">
        <f t="shared" si="67"/>
        <v>1</v>
      </c>
      <c r="S2223">
        <v>0</v>
      </c>
      <c r="T2223">
        <v>0</v>
      </c>
      <c r="U2223">
        <v>0</v>
      </c>
      <c r="V2223">
        <v>1</v>
      </c>
      <c r="W2223">
        <v>0</v>
      </c>
      <c r="X2223" s="21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J2223" t="s">
        <v>51</v>
      </c>
      <c r="AK2223" t="s">
        <v>52</v>
      </c>
      <c r="AP2223" t="s">
        <v>541</v>
      </c>
    </row>
    <row r="2224" spans="1:42">
      <c r="A2224" s="1">
        <v>43843</v>
      </c>
      <c r="B2224">
        <v>1</v>
      </c>
      <c r="C2224">
        <v>987</v>
      </c>
      <c r="D2224">
        <v>10423</v>
      </c>
      <c r="E2224" t="s">
        <v>37</v>
      </c>
      <c r="F2224" t="s">
        <v>520</v>
      </c>
      <c r="G2224">
        <v>2</v>
      </c>
      <c r="H2224">
        <v>120</v>
      </c>
      <c r="I2224" s="25">
        <v>2021</v>
      </c>
      <c r="K2224" t="s">
        <v>605</v>
      </c>
      <c r="L2224" t="s">
        <v>141</v>
      </c>
      <c r="M2224" t="s">
        <v>52</v>
      </c>
      <c r="N2224" t="s">
        <v>40</v>
      </c>
      <c r="O2224">
        <v>74</v>
      </c>
      <c r="Q2224">
        <f t="shared" si="67"/>
        <v>2</v>
      </c>
      <c r="S2224">
        <v>0</v>
      </c>
      <c r="T2224">
        <v>0</v>
      </c>
      <c r="U2224">
        <v>0</v>
      </c>
      <c r="V2224">
        <v>0</v>
      </c>
      <c r="W2224">
        <v>2</v>
      </c>
      <c r="X2224" s="21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J2224" t="s">
        <v>51</v>
      </c>
      <c r="AK2224" t="s">
        <v>52</v>
      </c>
      <c r="AP2224" t="s">
        <v>541</v>
      </c>
    </row>
    <row r="2225" spans="1:42">
      <c r="A2225" s="1">
        <v>43843</v>
      </c>
      <c r="B2225">
        <v>1</v>
      </c>
      <c r="C2225">
        <v>987</v>
      </c>
      <c r="D2225">
        <v>10423</v>
      </c>
      <c r="E2225" t="s">
        <v>37</v>
      </c>
      <c r="F2225" t="s">
        <v>520</v>
      </c>
      <c r="G2225">
        <v>2</v>
      </c>
      <c r="H2225">
        <v>121</v>
      </c>
      <c r="I2225" s="25">
        <v>2001</v>
      </c>
      <c r="K2225" t="s">
        <v>185</v>
      </c>
      <c r="L2225" t="s">
        <v>141</v>
      </c>
      <c r="M2225" t="s">
        <v>52</v>
      </c>
      <c r="N2225" t="s">
        <v>44</v>
      </c>
      <c r="O2225">
        <v>151</v>
      </c>
      <c r="Q2225">
        <f t="shared" si="67"/>
        <v>3</v>
      </c>
      <c r="S2225">
        <v>0</v>
      </c>
      <c r="T2225">
        <v>0</v>
      </c>
      <c r="U2225">
        <v>0</v>
      </c>
      <c r="V2225">
        <v>0</v>
      </c>
      <c r="W2225">
        <v>3</v>
      </c>
      <c r="X2225" s="21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J2225" t="s">
        <v>51</v>
      </c>
      <c r="AK2225" t="s">
        <v>52</v>
      </c>
      <c r="AL2225" t="s">
        <v>589</v>
      </c>
      <c r="AP2225" t="s">
        <v>541</v>
      </c>
    </row>
    <row r="2226" spans="1:42">
      <c r="A2226" s="1">
        <v>43843</v>
      </c>
      <c r="B2226">
        <v>1</v>
      </c>
      <c r="C2226">
        <v>987</v>
      </c>
      <c r="D2226">
        <v>10423</v>
      </c>
      <c r="E2226" t="s">
        <v>37</v>
      </c>
      <c r="F2226" t="s">
        <v>520</v>
      </c>
      <c r="G2226">
        <v>2</v>
      </c>
      <c r="H2226">
        <v>122</v>
      </c>
      <c r="I2226" s="25">
        <v>2001</v>
      </c>
      <c r="K2226" t="s">
        <v>185</v>
      </c>
      <c r="L2226" t="s">
        <v>141</v>
      </c>
      <c r="M2226" t="s">
        <v>52</v>
      </c>
      <c r="N2226" t="s">
        <v>44</v>
      </c>
      <c r="O2226">
        <v>142</v>
      </c>
      <c r="Q2226">
        <f t="shared" si="67"/>
        <v>4</v>
      </c>
      <c r="S2226">
        <v>0</v>
      </c>
      <c r="T2226">
        <v>0</v>
      </c>
      <c r="U2226">
        <v>0</v>
      </c>
      <c r="V2226">
        <v>0</v>
      </c>
      <c r="W2226">
        <v>4</v>
      </c>
      <c r="X2226" s="21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J2226" t="s">
        <v>51</v>
      </c>
      <c r="AK2226" t="s">
        <v>52</v>
      </c>
      <c r="AL2226" t="s">
        <v>589</v>
      </c>
      <c r="AP2226" t="s">
        <v>541</v>
      </c>
    </row>
    <row r="2227" spans="1:42">
      <c r="A2227" s="1">
        <v>43843</v>
      </c>
      <c r="B2227">
        <v>1</v>
      </c>
      <c r="C2227">
        <v>987</v>
      </c>
      <c r="D2227">
        <v>10423</v>
      </c>
      <c r="E2227" t="s">
        <v>37</v>
      </c>
      <c r="F2227" t="s">
        <v>520</v>
      </c>
      <c r="G2227">
        <v>2</v>
      </c>
      <c r="H2227">
        <v>123</v>
      </c>
      <c r="I2227" s="25">
        <v>1999</v>
      </c>
      <c r="K2227" t="s">
        <v>185</v>
      </c>
      <c r="L2227" t="s">
        <v>141</v>
      </c>
      <c r="M2227" t="s">
        <v>52</v>
      </c>
      <c r="N2227" t="s">
        <v>44</v>
      </c>
      <c r="O2227">
        <v>159</v>
      </c>
      <c r="Q2227">
        <f t="shared" si="67"/>
        <v>2</v>
      </c>
      <c r="S2227">
        <v>0</v>
      </c>
      <c r="T2227">
        <v>0</v>
      </c>
      <c r="U2227">
        <v>0</v>
      </c>
      <c r="V2227">
        <v>0</v>
      </c>
      <c r="W2227">
        <v>2</v>
      </c>
      <c r="X2227" s="21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J2227" t="s">
        <v>51</v>
      </c>
      <c r="AK2227" t="s">
        <v>52</v>
      </c>
      <c r="AL2227" t="s">
        <v>589</v>
      </c>
      <c r="AP2227" t="s">
        <v>541</v>
      </c>
    </row>
    <row r="2228" spans="1:42">
      <c r="A2228" s="1">
        <v>43843</v>
      </c>
      <c r="B2228">
        <v>1</v>
      </c>
      <c r="C2228">
        <v>987</v>
      </c>
      <c r="D2228">
        <v>10423</v>
      </c>
      <c r="E2228" t="s">
        <v>37</v>
      </c>
      <c r="F2228" t="s">
        <v>520</v>
      </c>
      <c r="G2228">
        <v>2</v>
      </c>
      <c r="H2228">
        <v>124</v>
      </c>
      <c r="I2228" s="25">
        <v>1999</v>
      </c>
      <c r="K2228" t="s">
        <v>185</v>
      </c>
      <c r="L2228" t="s">
        <v>141</v>
      </c>
      <c r="M2228" t="s">
        <v>52</v>
      </c>
      <c r="N2228" t="s">
        <v>44</v>
      </c>
      <c r="O2228">
        <v>140</v>
      </c>
      <c r="Q2228">
        <f t="shared" si="67"/>
        <v>3</v>
      </c>
      <c r="S2228">
        <v>0</v>
      </c>
      <c r="T2228">
        <v>0</v>
      </c>
      <c r="U2228">
        <v>0</v>
      </c>
      <c r="V2228">
        <v>0</v>
      </c>
      <c r="W2228">
        <v>3</v>
      </c>
      <c r="X2228" s="21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J2228" t="s">
        <v>51</v>
      </c>
      <c r="AK2228" t="s">
        <v>52</v>
      </c>
      <c r="AL2228" t="s">
        <v>589</v>
      </c>
      <c r="AP2228" t="s">
        <v>541</v>
      </c>
    </row>
    <row r="2229" spans="1:42">
      <c r="A2229" s="1">
        <v>43843</v>
      </c>
      <c r="B2229">
        <v>1</v>
      </c>
      <c r="C2229">
        <v>987</v>
      </c>
      <c r="D2229">
        <v>10423</v>
      </c>
      <c r="E2229" t="s">
        <v>37</v>
      </c>
      <c r="F2229" t="s">
        <v>520</v>
      </c>
      <c r="G2229">
        <v>2</v>
      </c>
      <c r="H2229">
        <v>125</v>
      </c>
      <c r="I2229" s="25">
        <v>1955</v>
      </c>
      <c r="K2229" t="s">
        <v>185</v>
      </c>
      <c r="L2229" t="s">
        <v>141</v>
      </c>
      <c r="M2229" t="s">
        <v>52</v>
      </c>
      <c r="N2229" t="s">
        <v>44</v>
      </c>
      <c r="O2229">
        <v>111</v>
      </c>
      <c r="Q2229">
        <f t="shared" si="67"/>
        <v>2</v>
      </c>
      <c r="S2229">
        <v>0</v>
      </c>
      <c r="T2229">
        <v>0</v>
      </c>
      <c r="U2229">
        <v>0</v>
      </c>
      <c r="V2229">
        <v>0</v>
      </c>
      <c r="W2229">
        <v>2</v>
      </c>
      <c r="X2229" s="21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J2229" t="s">
        <v>51</v>
      </c>
      <c r="AK2229" t="s">
        <v>52</v>
      </c>
      <c r="AP2229" t="s">
        <v>541</v>
      </c>
    </row>
    <row r="2230" spans="1:42">
      <c r="A2230" s="1">
        <v>43843</v>
      </c>
      <c r="B2230">
        <v>1</v>
      </c>
      <c r="C2230">
        <v>987</v>
      </c>
      <c r="D2230">
        <v>10423</v>
      </c>
      <c r="E2230" t="s">
        <v>37</v>
      </c>
      <c r="F2230" t="s">
        <v>520</v>
      </c>
      <c r="G2230">
        <v>2</v>
      </c>
      <c r="H2230">
        <v>126</v>
      </c>
      <c r="I2230" s="25">
        <v>1945</v>
      </c>
      <c r="K2230" t="s">
        <v>185</v>
      </c>
      <c r="L2230" t="s">
        <v>141</v>
      </c>
      <c r="M2230" t="s">
        <v>52</v>
      </c>
      <c r="N2230" t="s">
        <v>44</v>
      </c>
      <c r="O2230">
        <v>138</v>
      </c>
      <c r="Q2230">
        <f t="shared" si="67"/>
        <v>3</v>
      </c>
      <c r="S2230">
        <v>0</v>
      </c>
      <c r="T2230">
        <v>0</v>
      </c>
      <c r="U2230">
        <v>0</v>
      </c>
      <c r="V2230">
        <v>0</v>
      </c>
      <c r="W2230">
        <v>3</v>
      </c>
      <c r="X2230" s="21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J2230" t="s">
        <v>51</v>
      </c>
      <c r="AK2230" t="s">
        <v>52</v>
      </c>
      <c r="AL2230" t="s">
        <v>589</v>
      </c>
      <c r="AP2230" t="s">
        <v>541</v>
      </c>
    </row>
    <row r="2231" spans="1:42">
      <c r="A2231" s="1">
        <v>43843</v>
      </c>
      <c r="B2231">
        <v>1</v>
      </c>
      <c r="C2231">
        <v>987</v>
      </c>
      <c r="D2231">
        <v>10423</v>
      </c>
      <c r="E2231" t="s">
        <v>37</v>
      </c>
      <c r="F2231" t="s">
        <v>520</v>
      </c>
      <c r="G2231">
        <v>2</v>
      </c>
      <c r="H2231">
        <v>127</v>
      </c>
      <c r="I2231" s="25">
        <v>2120</v>
      </c>
      <c r="K2231" t="s">
        <v>605</v>
      </c>
      <c r="L2231" t="s">
        <v>114</v>
      </c>
      <c r="M2231" t="s">
        <v>52</v>
      </c>
      <c r="N2231" t="s">
        <v>44</v>
      </c>
      <c r="O2231">
        <v>167</v>
      </c>
      <c r="Q2231">
        <f t="shared" si="67"/>
        <v>3</v>
      </c>
      <c r="S2231">
        <v>0</v>
      </c>
      <c r="T2231">
        <v>0</v>
      </c>
      <c r="U2231">
        <v>0</v>
      </c>
      <c r="V2231">
        <v>0</v>
      </c>
      <c r="W2231">
        <v>3</v>
      </c>
      <c r="X2231" s="2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J2231" t="s">
        <v>51</v>
      </c>
      <c r="AK2231" t="s">
        <v>52</v>
      </c>
      <c r="AL2231" t="s">
        <v>589</v>
      </c>
      <c r="AP2231" t="s">
        <v>541</v>
      </c>
    </row>
    <row r="2232" spans="1:42">
      <c r="A2232" s="1">
        <v>43843</v>
      </c>
      <c r="B2232">
        <v>1</v>
      </c>
      <c r="C2232">
        <v>987</v>
      </c>
      <c r="D2232">
        <v>10423</v>
      </c>
      <c r="E2232" t="s">
        <v>37</v>
      </c>
      <c r="F2232" t="s">
        <v>520</v>
      </c>
      <c r="G2232">
        <v>2</v>
      </c>
      <c r="H2232">
        <v>128</v>
      </c>
      <c r="I2232" s="25">
        <v>2140</v>
      </c>
      <c r="K2232" t="s">
        <v>605</v>
      </c>
      <c r="L2232" t="s">
        <v>114</v>
      </c>
      <c r="M2232" t="s">
        <v>52</v>
      </c>
      <c r="N2232" t="s">
        <v>44</v>
      </c>
      <c r="O2232">
        <v>194</v>
      </c>
      <c r="Q2232">
        <f t="shared" si="67"/>
        <v>4</v>
      </c>
      <c r="S2232">
        <v>0</v>
      </c>
      <c r="T2232">
        <v>0</v>
      </c>
      <c r="U2232">
        <v>0</v>
      </c>
      <c r="V2232">
        <v>0</v>
      </c>
      <c r="W2232">
        <v>4</v>
      </c>
      <c r="X2232" s="21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J2232" t="s">
        <v>51</v>
      </c>
      <c r="AK2232" t="s">
        <v>52</v>
      </c>
      <c r="AL2232" t="s">
        <v>600</v>
      </c>
      <c r="AP2232" t="s">
        <v>541</v>
      </c>
    </row>
    <row r="2233" spans="1:42">
      <c r="A2233" s="1">
        <v>43843</v>
      </c>
      <c r="B2233">
        <v>1</v>
      </c>
      <c r="C2233">
        <v>987</v>
      </c>
      <c r="D2233">
        <v>10423</v>
      </c>
      <c r="E2233" t="s">
        <v>37</v>
      </c>
      <c r="F2233" t="s">
        <v>520</v>
      </c>
      <c r="G2233">
        <v>2</v>
      </c>
      <c r="H2233">
        <v>129</v>
      </c>
      <c r="I2233" s="25">
        <v>2160</v>
      </c>
      <c r="K2233" t="s">
        <v>605</v>
      </c>
      <c r="L2233" t="s">
        <v>114</v>
      </c>
      <c r="M2233" t="s">
        <v>52</v>
      </c>
      <c r="N2233" t="s">
        <v>42</v>
      </c>
      <c r="O2233">
        <v>175</v>
      </c>
      <c r="Q2233">
        <f t="shared" ref="Q2233:Q2296" si="68">SUM(S2233:AC2233)</f>
        <v>3</v>
      </c>
      <c r="S2233">
        <v>0</v>
      </c>
      <c r="T2233">
        <v>0</v>
      </c>
      <c r="U2233">
        <v>0</v>
      </c>
      <c r="V2233">
        <v>0</v>
      </c>
      <c r="W2233">
        <v>3</v>
      </c>
      <c r="X2233" s="21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J2233" t="s">
        <v>51</v>
      </c>
      <c r="AK2233" t="s">
        <v>52</v>
      </c>
      <c r="AL2233" t="s">
        <v>606</v>
      </c>
      <c r="AP2233" t="s">
        <v>541</v>
      </c>
    </row>
    <row r="2234" spans="1:42">
      <c r="A2234" s="1">
        <v>43843</v>
      </c>
      <c r="B2234">
        <v>1</v>
      </c>
      <c r="C2234">
        <v>987</v>
      </c>
      <c r="D2234">
        <v>10423</v>
      </c>
      <c r="E2234" t="s">
        <v>37</v>
      </c>
      <c r="F2234" t="s">
        <v>520</v>
      </c>
      <c r="G2234">
        <v>2</v>
      </c>
      <c r="H2234">
        <v>130</v>
      </c>
      <c r="I2234" s="25">
        <v>2190</v>
      </c>
      <c r="K2234" t="s">
        <v>605</v>
      </c>
      <c r="L2234" t="s">
        <v>114</v>
      </c>
      <c r="M2234" t="s">
        <v>52</v>
      </c>
      <c r="N2234" t="s">
        <v>44</v>
      </c>
      <c r="O2234">
        <v>109</v>
      </c>
      <c r="Q2234">
        <f t="shared" si="68"/>
        <v>1</v>
      </c>
      <c r="S2234">
        <v>0</v>
      </c>
      <c r="T2234">
        <v>0</v>
      </c>
      <c r="U2234">
        <v>0</v>
      </c>
      <c r="V2234">
        <v>0</v>
      </c>
      <c r="W2234">
        <v>1</v>
      </c>
      <c r="X2234" s="21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J2234" t="s">
        <v>51</v>
      </c>
      <c r="AK2234" t="s">
        <v>52</v>
      </c>
      <c r="AL2234" t="s">
        <v>589</v>
      </c>
      <c r="AP2234" t="s">
        <v>541</v>
      </c>
    </row>
    <row r="2235" spans="1:42">
      <c r="A2235" s="1">
        <v>43843</v>
      </c>
      <c r="B2235">
        <v>1</v>
      </c>
      <c r="C2235">
        <v>987</v>
      </c>
      <c r="D2235">
        <v>10423</v>
      </c>
      <c r="E2235" t="s">
        <v>37</v>
      </c>
      <c r="F2235" t="s">
        <v>520</v>
      </c>
      <c r="G2235">
        <v>2</v>
      </c>
      <c r="H2235">
        <v>131</v>
      </c>
      <c r="I2235" s="25">
        <v>2300</v>
      </c>
      <c r="K2235" t="s">
        <v>605</v>
      </c>
      <c r="L2235" t="s">
        <v>114</v>
      </c>
      <c r="M2235" t="s">
        <v>52</v>
      </c>
      <c r="N2235" t="s">
        <v>44</v>
      </c>
      <c r="O2235">
        <v>222</v>
      </c>
      <c r="Q2235">
        <f t="shared" si="68"/>
        <v>3</v>
      </c>
      <c r="S2235">
        <v>0</v>
      </c>
      <c r="T2235">
        <v>0</v>
      </c>
      <c r="U2235">
        <v>0</v>
      </c>
      <c r="V2235">
        <v>0</v>
      </c>
      <c r="W2235">
        <v>3</v>
      </c>
      <c r="X2235" s="21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J2235" t="s">
        <v>51</v>
      </c>
      <c r="AK2235" t="s">
        <v>52</v>
      </c>
      <c r="AL2235" t="s">
        <v>587</v>
      </c>
      <c r="AP2235" t="s">
        <v>541</v>
      </c>
    </row>
    <row r="2236" spans="1:42">
      <c r="A2236" s="1">
        <v>43844</v>
      </c>
      <c r="B2236">
        <v>2</v>
      </c>
      <c r="C2236">
        <v>987</v>
      </c>
      <c r="D2236">
        <v>10423</v>
      </c>
      <c r="E2236" t="s">
        <v>37</v>
      </c>
      <c r="F2236" t="s">
        <v>520</v>
      </c>
      <c r="G2236">
        <v>2</v>
      </c>
      <c r="H2236">
        <v>1</v>
      </c>
      <c r="I2236" s="25">
        <v>1858</v>
      </c>
      <c r="K2236" t="s">
        <v>156</v>
      </c>
      <c r="L2236" t="s">
        <v>114</v>
      </c>
      <c r="M2236" t="s">
        <v>52</v>
      </c>
      <c r="N2236" t="s">
        <v>40</v>
      </c>
      <c r="O2236">
        <v>94</v>
      </c>
      <c r="Q2236">
        <f t="shared" si="68"/>
        <v>2</v>
      </c>
      <c r="S2236">
        <v>0</v>
      </c>
      <c r="T2236">
        <v>0</v>
      </c>
      <c r="U2236">
        <v>1</v>
      </c>
      <c r="V2236">
        <v>1</v>
      </c>
      <c r="W2236">
        <v>0</v>
      </c>
      <c r="X2236" s="21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J2236" t="s">
        <v>51</v>
      </c>
      <c r="AK2236" t="s">
        <v>52</v>
      </c>
      <c r="AP2236" t="s">
        <v>541</v>
      </c>
    </row>
    <row r="2237" spans="1:42">
      <c r="A2237" s="1">
        <v>43844</v>
      </c>
      <c r="B2237">
        <v>2</v>
      </c>
      <c r="C2237">
        <v>987</v>
      </c>
      <c r="D2237">
        <v>10423</v>
      </c>
      <c r="E2237" t="s">
        <v>37</v>
      </c>
      <c r="F2237" t="s">
        <v>520</v>
      </c>
      <c r="G2237">
        <v>2</v>
      </c>
      <c r="H2237">
        <v>2</v>
      </c>
      <c r="I2237" s="25" t="s">
        <v>607</v>
      </c>
      <c r="K2237" t="s">
        <v>156</v>
      </c>
      <c r="L2237" t="s">
        <v>114</v>
      </c>
      <c r="M2237" t="s">
        <v>52</v>
      </c>
      <c r="N2237" t="s">
        <v>40</v>
      </c>
      <c r="O2237">
        <v>70</v>
      </c>
      <c r="Q2237">
        <f t="shared" si="68"/>
        <v>3</v>
      </c>
      <c r="S2237">
        <v>0</v>
      </c>
      <c r="T2237">
        <v>0</v>
      </c>
      <c r="U2237">
        <v>1</v>
      </c>
      <c r="V2237">
        <v>2</v>
      </c>
      <c r="W2237">
        <v>0</v>
      </c>
      <c r="X2237" s="21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J2237" t="s">
        <v>51</v>
      </c>
      <c r="AK2237" t="s">
        <v>52</v>
      </c>
      <c r="AP2237" t="s">
        <v>541</v>
      </c>
    </row>
    <row r="2238" spans="1:42">
      <c r="A2238" s="1">
        <v>43844</v>
      </c>
      <c r="B2238">
        <v>2</v>
      </c>
      <c r="C2238">
        <v>987</v>
      </c>
      <c r="D2238">
        <v>10423</v>
      </c>
      <c r="E2238" t="s">
        <v>37</v>
      </c>
      <c r="F2238" t="s">
        <v>520</v>
      </c>
      <c r="G2238">
        <v>2</v>
      </c>
      <c r="H2238">
        <v>3</v>
      </c>
      <c r="I2238" s="25">
        <v>1900</v>
      </c>
      <c r="K2238" t="s">
        <v>156</v>
      </c>
      <c r="L2238" t="s">
        <v>114</v>
      </c>
      <c r="M2238" t="s">
        <v>52</v>
      </c>
      <c r="N2238" t="s">
        <v>40</v>
      </c>
      <c r="O2238">
        <v>38</v>
      </c>
      <c r="Q2238">
        <f t="shared" si="68"/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 s="21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1</v>
      </c>
      <c r="AG2238">
        <v>0</v>
      </c>
      <c r="AJ2238" t="s">
        <v>51</v>
      </c>
      <c r="AK2238" t="s">
        <v>52</v>
      </c>
      <c r="AP2238" t="s">
        <v>541</v>
      </c>
    </row>
    <row r="2239" spans="1:42">
      <c r="A2239" s="1">
        <v>43844</v>
      </c>
      <c r="B2239">
        <v>2</v>
      </c>
      <c r="C2239">
        <v>987</v>
      </c>
      <c r="D2239">
        <v>10423</v>
      </c>
      <c r="E2239" t="s">
        <v>37</v>
      </c>
      <c r="F2239" t="s">
        <v>520</v>
      </c>
      <c r="G2239">
        <v>2</v>
      </c>
      <c r="H2239">
        <v>4</v>
      </c>
      <c r="I2239" s="25">
        <v>1934</v>
      </c>
      <c r="K2239" t="s">
        <v>156</v>
      </c>
      <c r="L2239" t="s">
        <v>114</v>
      </c>
      <c r="M2239" t="s">
        <v>52</v>
      </c>
      <c r="N2239" t="s">
        <v>40</v>
      </c>
      <c r="O2239">
        <v>108</v>
      </c>
      <c r="Q2239">
        <f t="shared" si="68"/>
        <v>1</v>
      </c>
      <c r="S2239">
        <v>0</v>
      </c>
      <c r="T2239">
        <v>0</v>
      </c>
      <c r="U2239">
        <v>0</v>
      </c>
      <c r="V2239">
        <v>0</v>
      </c>
      <c r="W2239">
        <v>1</v>
      </c>
      <c r="X2239" s="21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2</v>
      </c>
      <c r="AG2239">
        <v>0</v>
      </c>
      <c r="AJ2239" t="s">
        <v>51</v>
      </c>
      <c r="AK2239" t="s">
        <v>52</v>
      </c>
      <c r="AP2239" t="s">
        <v>541</v>
      </c>
    </row>
    <row r="2240" spans="1:42">
      <c r="A2240" s="1">
        <v>43844</v>
      </c>
      <c r="B2240">
        <v>2</v>
      </c>
      <c r="C2240">
        <v>987</v>
      </c>
      <c r="D2240">
        <v>10423</v>
      </c>
      <c r="E2240" t="s">
        <v>37</v>
      </c>
      <c r="F2240" t="s">
        <v>520</v>
      </c>
      <c r="G2240">
        <v>2</v>
      </c>
      <c r="H2240">
        <v>5</v>
      </c>
      <c r="I2240" s="25">
        <v>1952</v>
      </c>
      <c r="K2240" t="s">
        <v>156</v>
      </c>
      <c r="L2240" t="s">
        <v>114</v>
      </c>
      <c r="M2240" t="s">
        <v>52</v>
      </c>
      <c r="N2240" t="s">
        <v>44</v>
      </c>
      <c r="O2240">
        <v>120</v>
      </c>
      <c r="Q2240">
        <f t="shared" si="68"/>
        <v>2</v>
      </c>
      <c r="S2240">
        <v>0</v>
      </c>
      <c r="T2240">
        <v>0</v>
      </c>
      <c r="U2240">
        <v>0</v>
      </c>
      <c r="V2240">
        <v>0</v>
      </c>
      <c r="W2240">
        <v>2</v>
      </c>
      <c r="X2240" s="21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J2240" t="s">
        <v>51</v>
      </c>
      <c r="AK2240" t="s">
        <v>52</v>
      </c>
      <c r="AP2240" t="s">
        <v>541</v>
      </c>
    </row>
    <row r="2241" spans="1:42">
      <c r="A2241" s="1">
        <v>43844</v>
      </c>
      <c r="B2241">
        <v>2</v>
      </c>
      <c r="C2241">
        <v>987</v>
      </c>
      <c r="D2241">
        <v>10423</v>
      </c>
      <c r="E2241" t="s">
        <v>37</v>
      </c>
      <c r="F2241" t="s">
        <v>520</v>
      </c>
      <c r="G2241">
        <v>2</v>
      </c>
      <c r="H2241">
        <v>6</v>
      </c>
      <c r="I2241" s="25">
        <v>1958</v>
      </c>
      <c r="K2241" t="s">
        <v>156</v>
      </c>
      <c r="L2241" t="s">
        <v>114</v>
      </c>
      <c r="M2241" t="s">
        <v>52</v>
      </c>
      <c r="N2241" t="s">
        <v>44</v>
      </c>
      <c r="O2241">
        <f>60*6+50</f>
        <v>410</v>
      </c>
      <c r="Q2241">
        <f t="shared" si="68"/>
        <v>5</v>
      </c>
      <c r="S2241">
        <v>0</v>
      </c>
      <c r="T2241">
        <v>0</v>
      </c>
      <c r="U2241">
        <v>0</v>
      </c>
      <c r="V2241">
        <v>0</v>
      </c>
      <c r="W2241">
        <v>5</v>
      </c>
      <c r="X2241" s="2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J2241" t="s">
        <v>51</v>
      </c>
      <c r="AK2241" t="s">
        <v>52</v>
      </c>
      <c r="AL2241" t="s">
        <v>608</v>
      </c>
      <c r="AP2241" t="s">
        <v>541</v>
      </c>
    </row>
    <row r="2242" spans="1:42">
      <c r="A2242" s="1">
        <v>43844</v>
      </c>
      <c r="B2242">
        <v>2</v>
      </c>
      <c r="C2242">
        <v>987</v>
      </c>
      <c r="D2242">
        <v>10423</v>
      </c>
      <c r="E2242" t="s">
        <v>37</v>
      </c>
      <c r="F2242" t="s">
        <v>520</v>
      </c>
      <c r="G2242">
        <v>2</v>
      </c>
      <c r="H2242">
        <v>7</v>
      </c>
      <c r="I2242" s="25">
        <v>1962</v>
      </c>
      <c r="K2242" t="s">
        <v>156</v>
      </c>
      <c r="L2242" t="s">
        <v>114</v>
      </c>
      <c r="M2242" t="s">
        <v>52</v>
      </c>
      <c r="N2242" t="s">
        <v>44</v>
      </c>
      <c r="O2242">
        <v>146</v>
      </c>
      <c r="Q2242">
        <f t="shared" si="68"/>
        <v>3</v>
      </c>
      <c r="S2242">
        <v>0</v>
      </c>
      <c r="T2242">
        <v>0</v>
      </c>
      <c r="U2242">
        <v>0</v>
      </c>
      <c r="V2242">
        <v>0</v>
      </c>
      <c r="W2242">
        <v>3</v>
      </c>
      <c r="X2242" s="21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J2242" t="s">
        <v>51</v>
      </c>
      <c r="AK2242" t="s">
        <v>52</v>
      </c>
      <c r="AL2242" t="s">
        <v>608</v>
      </c>
      <c r="AP2242" t="s">
        <v>541</v>
      </c>
    </row>
    <row r="2243" spans="1:42">
      <c r="A2243" s="1">
        <v>43844</v>
      </c>
      <c r="B2243">
        <v>2</v>
      </c>
      <c r="C2243">
        <v>987</v>
      </c>
      <c r="D2243">
        <v>10423</v>
      </c>
      <c r="E2243" t="s">
        <v>37</v>
      </c>
      <c r="F2243" t="s">
        <v>520</v>
      </c>
      <c r="G2243">
        <v>2</v>
      </c>
      <c r="H2243">
        <v>8</v>
      </c>
      <c r="I2243" s="25">
        <v>1976</v>
      </c>
      <c r="K2243" t="s">
        <v>156</v>
      </c>
      <c r="L2243" t="s">
        <v>114</v>
      </c>
      <c r="M2243" t="s">
        <v>52</v>
      </c>
      <c r="N2243" t="s">
        <v>40</v>
      </c>
      <c r="O2243">
        <v>67</v>
      </c>
      <c r="Q2243">
        <f t="shared" si="68"/>
        <v>3</v>
      </c>
      <c r="S2243">
        <v>0</v>
      </c>
      <c r="T2243">
        <v>0</v>
      </c>
      <c r="U2243">
        <v>2</v>
      </c>
      <c r="V2243">
        <v>0</v>
      </c>
      <c r="W2243">
        <v>1</v>
      </c>
      <c r="X2243" s="21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J2243" t="s">
        <v>51</v>
      </c>
      <c r="AK2243" t="s">
        <v>52</v>
      </c>
      <c r="AP2243" t="s">
        <v>541</v>
      </c>
    </row>
    <row r="2244" spans="1:42">
      <c r="A2244" s="1">
        <v>43844</v>
      </c>
      <c r="B2244">
        <v>2</v>
      </c>
      <c r="C2244">
        <v>987</v>
      </c>
      <c r="D2244">
        <v>10423</v>
      </c>
      <c r="E2244" t="s">
        <v>37</v>
      </c>
      <c r="F2244" t="s">
        <v>520</v>
      </c>
      <c r="G2244">
        <v>2</v>
      </c>
      <c r="H2244">
        <v>9</v>
      </c>
      <c r="I2244" s="25">
        <v>2030</v>
      </c>
      <c r="K2244" t="s">
        <v>156</v>
      </c>
      <c r="L2244" t="s">
        <v>114</v>
      </c>
      <c r="M2244" t="s">
        <v>52</v>
      </c>
      <c r="N2244" t="s">
        <v>44</v>
      </c>
      <c r="O2244">
        <v>103</v>
      </c>
      <c r="Q2244">
        <f t="shared" si="68"/>
        <v>1</v>
      </c>
      <c r="S2244">
        <v>0</v>
      </c>
      <c r="T2244">
        <v>0</v>
      </c>
      <c r="U2244">
        <v>0</v>
      </c>
      <c r="V2244">
        <v>0</v>
      </c>
      <c r="W2244">
        <v>1</v>
      </c>
      <c r="X2244" s="21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J2244" t="s">
        <v>51</v>
      </c>
      <c r="AK2244" t="s">
        <v>52</v>
      </c>
      <c r="AL2244" t="s">
        <v>609</v>
      </c>
      <c r="AP2244" t="s">
        <v>541</v>
      </c>
    </row>
    <row r="2245" spans="1:42">
      <c r="A2245" s="1">
        <v>43844</v>
      </c>
      <c r="B2245">
        <v>2</v>
      </c>
      <c r="C2245">
        <v>987</v>
      </c>
      <c r="D2245">
        <v>10423</v>
      </c>
      <c r="E2245" t="s">
        <v>37</v>
      </c>
      <c r="F2245" t="s">
        <v>520</v>
      </c>
      <c r="G2245">
        <v>2</v>
      </c>
      <c r="H2245">
        <v>10</v>
      </c>
      <c r="I2245" s="25">
        <v>2050</v>
      </c>
      <c r="K2245" t="s">
        <v>156</v>
      </c>
      <c r="L2245" t="s">
        <v>114</v>
      </c>
      <c r="M2245" t="s">
        <v>52</v>
      </c>
      <c r="N2245" t="s">
        <v>40</v>
      </c>
      <c r="O2245">
        <v>38</v>
      </c>
      <c r="Q2245">
        <f t="shared" si="68"/>
        <v>1</v>
      </c>
      <c r="S2245">
        <v>0</v>
      </c>
      <c r="T2245">
        <v>0</v>
      </c>
      <c r="U2245">
        <v>0</v>
      </c>
      <c r="V2245">
        <v>0</v>
      </c>
      <c r="W2245">
        <v>1</v>
      </c>
      <c r="X2245" s="21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J2245" t="s">
        <v>51</v>
      </c>
      <c r="AK2245" t="s">
        <v>52</v>
      </c>
      <c r="AP2245" t="s">
        <v>541</v>
      </c>
    </row>
    <row r="2246" spans="1:42">
      <c r="A2246" s="1">
        <v>43844</v>
      </c>
      <c r="B2246">
        <v>2</v>
      </c>
      <c r="C2246">
        <v>987</v>
      </c>
      <c r="D2246">
        <v>10423</v>
      </c>
      <c r="E2246" t="s">
        <v>37</v>
      </c>
      <c r="F2246" t="s">
        <v>520</v>
      </c>
      <c r="G2246">
        <v>2</v>
      </c>
      <c r="H2246">
        <v>11</v>
      </c>
      <c r="I2246" s="25">
        <v>2090</v>
      </c>
      <c r="K2246" t="s">
        <v>156</v>
      </c>
      <c r="L2246" t="s">
        <v>114</v>
      </c>
      <c r="M2246" t="s">
        <v>52</v>
      </c>
      <c r="N2246" t="s">
        <v>40</v>
      </c>
      <c r="O2246">
        <v>41</v>
      </c>
      <c r="Q2246">
        <f t="shared" si="68"/>
        <v>1</v>
      </c>
      <c r="S2246">
        <v>0</v>
      </c>
      <c r="T2246">
        <v>0</v>
      </c>
      <c r="U2246">
        <v>0</v>
      </c>
      <c r="V2246">
        <v>0</v>
      </c>
      <c r="W2246">
        <v>1</v>
      </c>
      <c r="X2246" s="21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J2246" t="s">
        <v>51</v>
      </c>
      <c r="AK2246" t="s">
        <v>52</v>
      </c>
      <c r="AP2246" t="s">
        <v>541</v>
      </c>
    </row>
    <row r="2247" spans="1:42">
      <c r="A2247" s="1">
        <v>43844</v>
      </c>
      <c r="B2247">
        <v>2</v>
      </c>
      <c r="C2247">
        <v>987</v>
      </c>
      <c r="D2247">
        <v>10423</v>
      </c>
      <c r="E2247" t="s">
        <v>37</v>
      </c>
      <c r="F2247" t="s">
        <v>520</v>
      </c>
      <c r="G2247">
        <v>2</v>
      </c>
      <c r="H2247">
        <v>12</v>
      </c>
      <c r="I2247" s="25">
        <v>2122</v>
      </c>
      <c r="K2247" t="s">
        <v>156</v>
      </c>
      <c r="L2247" t="s">
        <v>114</v>
      </c>
      <c r="M2247" t="s">
        <v>52</v>
      </c>
      <c r="N2247" t="s">
        <v>40</v>
      </c>
      <c r="O2247">
        <v>71</v>
      </c>
      <c r="Q2247">
        <f t="shared" si="68"/>
        <v>1</v>
      </c>
      <c r="S2247">
        <v>0</v>
      </c>
      <c r="T2247">
        <v>0</v>
      </c>
      <c r="U2247">
        <v>0</v>
      </c>
      <c r="V2247">
        <v>1</v>
      </c>
      <c r="W2247">
        <v>0</v>
      </c>
      <c r="X2247" s="21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1</v>
      </c>
      <c r="AG2247">
        <v>0</v>
      </c>
      <c r="AJ2247" t="s">
        <v>51</v>
      </c>
      <c r="AK2247" t="s">
        <v>52</v>
      </c>
      <c r="AP2247" t="s">
        <v>541</v>
      </c>
    </row>
    <row r="2248" spans="1:42">
      <c r="A2248" s="1">
        <v>43844</v>
      </c>
      <c r="B2248">
        <v>2</v>
      </c>
      <c r="C2248">
        <v>987</v>
      </c>
      <c r="D2248">
        <v>10423</v>
      </c>
      <c r="E2248" t="s">
        <v>37</v>
      </c>
      <c r="F2248" t="s">
        <v>520</v>
      </c>
      <c r="G2248">
        <v>2</v>
      </c>
      <c r="H2248">
        <v>13</v>
      </c>
      <c r="I2248" s="25">
        <v>2162</v>
      </c>
      <c r="K2248" t="s">
        <v>156</v>
      </c>
      <c r="L2248" t="s">
        <v>114</v>
      </c>
      <c r="M2248" t="s">
        <v>52</v>
      </c>
      <c r="N2248" t="s">
        <v>42</v>
      </c>
      <c r="O2248">
        <v>240</v>
      </c>
      <c r="Q2248">
        <f t="shared" si="68"/>
        <v>2</v>
      </c>
      <c r="S2248">
        <v>0</v>
      </c>
      <c r="T2248">
        <v>0</v>
      </c>
      <c r="U2248">
        <v>1</v>
      </c>
      <c r="V2248">
        <v>0</v>
      </c>
      <c r="W2248">
        <v>1</v>
      </c>
      <c r="X2248" s="21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3</v>
      </c>
      <c r="AG2248">
        <v>0</v>
      </c>
      <c r="AJ2248" t="s">
        <v>51</v>
      </c>
      <c r="AK2248" t="s">
        <v>52</v>
      </c>
      <c r="AP2248" t="s">
        <v>541</v>
      </c>
    </row>
    <row r="2249" spans="1:42">
      <c r="A2249" s="1">
        <v>43844</v>
      </c>
      <c r="B2249">
        <v>2</v>
      </c>
      <c r="C2249">
        <v>987</v>
      </c>
      <c r="D2249">
        <v>10423</v>
      </c>
      <c r="E2249" t="s">
        <v>37</v>
      </c>
      <c r="F2249" t="s">
        <v>520</v>
      </c>
      <c r="G2249">
        <v>2</v>
      </c>
      <c r="H2249">
        <v>14</v>
      </c>
      <c r="I2249" s="25">
        <v>2184</v>
      </c>
      <c r="K2249" t="s">
        <v>156</v>
      </c>
      <c r="L2249" t="s">
        <v>114</v>
      </c>
      <c r="M2249" t="s">
        <v>52</v>
      </c>
      <c r="N2249" t="s">
        <v>40</v>
      </c>
      <c r="O2249">
        <v>50</v>
      </c>
      <c r="Q2249">
        <f t="shared" si="68"/>
        <v>2</v>
      </c>
      <c r="S2249">
        <v>0</v>
      </c>
      <c r="T2249">
        <v>0</v>
      </c>
      <c r="U2249">
        <v>0</v>
      </c>
      <c r="V2249">
        <v>1</v>
      </c>
      <c r="W2249">
        <v>1</v>
      </c>
      <c r="X2249" s="21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J2249" t="s">
        <v>51</v>
      </c>
      <c r="AK2249" t="s">
        <v>52</v>
      </c>
      <c r="AP2249" t="s">
        <v>541</v>
      </c>
    </row>
    <row r="2250" spans="1:42">
      <c r="A2250" s="1">
        <v>43844</v>
      </c>
      <c r="B2250">
        <v>2</v>
      </c>
      <c r="C2250">
        <v>987</v>
      </c>
      <c r="D2250">
        <v>10423</v>
      </c>
      <c r="E2250" t="s">
        <v>37</v>
      </c>
      <c r="F2250" t="s">
        <v>520</v>
      </c>
      <c r="G2250">
        <v>2</v>
      </c>
      <c r="H2250">
        <v>15</v>
      </c>
      <c r="I2250" s="25">
        <v>2181</v>
      </c>
      <c r="K2250" t="s">
        <v>156</v>
      </c>
      <c r="L2250" t="s">
        <v>141</v>
      </c>
      <c r="M2250" t="s">
        <v>52</v>
      </c>
      <c r="N2250" t="s">
        <v>40</v>
      </c>
      <c r="O2250">
        <v>107</v>
      </c>
      <c r="Q2250">
        <f t="shared" si="68"/>
        <v>3</v>
      </c>
      <c r="S2250">
        <v>0</v>
      </c>
      <c r="T2250">
        <v>0</v>
      </c>
      <c r="U2250">
        <v>1</v>
      </c>
      <c r="V2250">
        <v>2</v>
      </c>
      <c r="W2250">
        <v>0</v>
      </c>
      <c r="X2250" s="21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J2250" t="s">
        <v>51</v>
      </c>
      <c r="AK2250" t="s">
        <v>95</v>
      </c>
      <c r="AP2250" t="s">
        <v>541</v>
      </c>
    </row>
    <row r="2251" spans="1:42">
      <c r="A2251" s="1">
        <v>43844</v>
      </c>
      <c r="B2251">
        <v>2</v>
      </c>
      <c r="C2251">
        <v>987</v>
      </c>
      <c r="D2251">
        <v>10423</v>
      </c>
      <c r="E2251" t="s">
        <v>37</v>
      </c>
      <c r="F2251" t="s">
        <v>520</v>
      </c>
      <c r="G2251">
        <v>2</v>
      </c>
      <c r="H2251">
        <v>16</v>
      </c>
      <c r="I2251" s="25">
        <v>2155</v>
      </c>
      <c r="K2251" t="s">
        <v>156</v>
      </c>
      <c r="L2251" t="s">
        <v>141</v>
      </c>
      <c r="M2251" t="s">
        <v>52</v>
      </c>
      <c r="N2251" t="s">
        <v>42</v>
      </c>
      <c r="O2251">
        <v>157</v>
      </c>
      <c r="Q2251">
        <f t="shared" si="68"/>
        <v>3</v>
      </c>
      <c r="S2251">
        <v>0</v>
      </c>
      <c r="T2251">
        <v>0</v>
      </c>
      <c r="U2251">
        <v>1</v>
      </c>
      <c r="V2251">
        <v>1</v>
      </c>
      <c r="W2251">
        <v>1</v>
      </c>
      <c r="X2251" s="2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2</v>
      </c>
      <c r="AG2251">
        <v>0</v>
      </c>
      <c r="AJ2251" t="s">
        <v>51</v>
      </c>
      <c r="AK2251" t="s">
        <v>95</v>
      </c>
      <c r="AP2251" t="s">
        <v>541</v>
      </c>
    </row>
    <row r="2252" spans="1:42">
      <c r="A2252" s="1">
        <v>43844</v>
      </c>
      <c r="B2252">
        <v>2</v>
      </c>
      <c r="C2252">
        <v>987</v>
      </c>
      <c r="D2252">
        <v>10423</v>
      </c>
      <c r="E2252" t="s">
        <v>37</v>
      </c>
      <c r="F2252" t="s">
        <v>520</v>
      </c>
      <c r="G2252">
        <v>2</v>
      </c>
      <c r="H2252">
        <v>17</v>
      </c>
      <c r="I2252" s="25">
        <v>2163</v>
      </c>
      <c r="K2252" t="s">
        <v>156</v>
      </c>
      <c r="L2252" t="s">
        <v>141</v>
      </c>
      <c r="M2252" t="s">
        <v>52</v>
      </c>
      <c r="N2252" t="s">
        <v>44</v>
      </c>
      <c r="O2252">
        <f>60*3+55</f>
        <v>235</v>
      </c>
      <c r="Q2252">
        <f t="shared" si="68"/>
        <v>1</v>
      </c>
      <c r="S2252">
        <v>0</v>
      </c>
      <c r="T2252">
        <v>0</v>
      </c>
      <c r="U2252">
        <v>0</v>
      </c>
      <c r="V2252">
        <v>0</v>
      </c>
      <c r="W2252">
        <v>1</v>
      </c>
      <c r="X2252" s="21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J2252" t="s">
        <v>51</v>
      </c>
      <c r="AK2252" t="s">
        <v>95</v>
      </c>
      <c r="AL2252" t="s">
        <v>610</v>
      </c>
      <c r="AP2252" t="s">
        <v>541</v>
      </c>
    </row>
    <row r="2253" spans="1:42">
      <c r="A2253" s="1">
        <v>43844</v>
      </c>
      <c r="B2253">
        <v>2</v>
      </c>
      <c r="C2253">
        <v>987</v>
      </c>
      <c r="D2253">
        <v>10423</v>
      </c>
      <c r="E2253" t="s">
        <v>37</v>
      </c>
      <c r="F2253" t="s">
        <v>520</v>
      </c>
      <c r="G2253">
        <v>2</v>
      </c>
      <c r="H2253">
        <v>18</v>
      </c>
      <c r="I2253" s="25">
        <v>2149</v>
      </c>
      <c r="K2253" t="s">
        <v>156</v>
      </c>
      <c r="L2253" t="s">
        <v>141</v>
      </c>
      <c r="M2253" t="s">
        <v>52</v>
      </c>
      <c r="N2253" t="s">
        <v>40</v>
      </c>
      <c r="O2253">
        <v>62</v>
      </c>
      <c r="Q2253">
        <f t="shared" si="68"/>
        <v>2</v>
      </c>
      <c r="S2253">
        <v>0</v>
      </c>
      <c r="T2253">
        <v>0</v>
      </c>
      <c r="U2253">
        <v>2</v>
      </c>
      <c r="V2253">
        <v>0</v>
      </c>
      <c r="W2253">
        <v>0</v>
      </c>
      <c r="X2253" s="21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J2253" t="s">
        <v>51</v>
      </c>
      <c r="AK2253" t="s">
        <v>95</v>
      </c>
      <c r="AP2253" t="s">
        <v>541</v>
      </c>
    </row>
    <row r="2254" spans="1:42">
      <c r="A2254" s="1">
        <v>43844</v>
      </c>
      <c r="B2254">
        <v>2</v>
      </c>
      <c r="C2254">
        <v>987</v>
      </c>
      <c r="D2254">
        <v>10423</v>
      </c>
      <c r="E2254" t="s">
        <v>37</v>
      </c>
      <c r="F2254" t="s">
        <v>520</v>
      </c>
      <c r="G2254">
        <v>2</v>
      </c>
      <c r="H2254">
        <v>19</v>
      </c>
      <c r="I2254" s="25">
        <v>2125</v>
      </c>
      <c r="K2254" t="s">
        <v>156</v>
      </c>
      <c r="L2254" t="s">
        <v>141</v>
      </c>
      <c r="M2254" t="s">
        <v>52</v>
      </c>
      <c r="N2254" t="s">
        <v>40</v>
      </c>
      <c r="O2254">
        <v>117</v>
      </c>
      <c r="Q2254">
        <f t="shared" si="68"/>
        <v>4</v>
      </c>
      <c r="S2254">
        <v>0</v>
      </c>
      <c r="T2254">
        <v>0</v>
      </c>
      <c r="U2254">
        <v>1</v>
      </c>
      <c r="V2254">
        <v>3</v>
      </c>
      <c r="W2254">
        <v>0</v>
      </c>
      <c r="X2254" s="21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J2254" t="s">
        <v>51</v>
      </c>
      <c r="AK2254" t="s">
        <v>95</v>
      </c>
      <c r="AP2254" t="s">
        <v>541</v>
      </c>
    </row>
    <row r="2255" spans="1:42">
      <c r="A2255" s="1">
        <v>43844</v>
      </c>
      <c r="B2255">
        <v>2</v>
      </c>
      <c r="C2255">
        <v>987</v>
      </c>
      <c r="D2255">
        <v>10423</v>
      </c>
      <c r="E2255" t="s">
        <v>37</v>
      </c>
      <c r="F2255" t="s">
        <v>520</v>
      </c>
      <c r="G2255">
        <v>2</v>
      </c>
      <c r="H2255">
        <v>20</v>
      </c>
      <c r="I2255" s="25">
        <v>2115</v>
      </c>
      <c r="K2255" t="s">
        <v>156</v>
      </c>
      <c r="L2255" t="s">
        <v>141</v>
      </c>
      <c r="M2255" t="s">
        <v>52</v>
      </c>
      <c r="N2255" t="s">
        <v>40</v>
      </c>
      <c r="O2255">
        <v>70</v>
      </c>
      <c r="Q2255">
        <f t="shared" si="68"/>
        <v>1</v>
      </c>
      <c r="S2255">
        <v>0</v>
      </c>
      <c r="T2255">
        <v>0</v>
      </c>
      <c r="U2255">
        <v>0</v>
      </c>
      <c r="V2255">
        <v>1</v>
      </c>
      <c r="W2255">
        <v>0</v>
      </c>
      <c r="X2255" s="21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1</v>
      </c>
      <c r="AG2255">
        <v>0</v>
      </c>
      <c r="AJ2255" t="s">
        <v>51</v>
      </c>
      <c r="AK2255" t="s">
        <v>95</v>
      </c>
      <c r="AP2255" t="s">
        <v>541</v>
      </c>
    </row>
    <row r="2256" spans="1:42">
      <c r="A2256" s="1">
        <v>43844</v>
      </c>
      <c r="B2256">
        <v>2</v>
      </c>
      <c r="C2256">
        <v>987</v>
      </c>
      <c r="D2256">
        <v>10423</v>
      </c>
      <c r="E2256" t="s">
        <v>37</v>
      </c>
      <c r="F2256" t="s">
        <v>520</v>
      </c>
      <c r="G2256">
        <v>2</v>
      </c>
      <c r="H2256">
        <v>21</v>
      </c>
      <c r="I2256" s="25">
        <v>1981</v>
      </c>
      <c r="K2256" t="s">
        <v>156</v>
      </c>
      <c r="L2256" t="s">
        <v>141</v>
      </c>
      <c r="M2256" t="s">
        <v>52</v>
      </c>
      <c r="N2256" t="s">
        <v>40</v>
      </c>
      <c r="O2256">
        <v>84</v>
      </c>
      <c r="Q2256">
        <f t="shared" si="68"/>
        <v>2</v>
      </c>
      <c r="S2256">
        <v>0</v>
      </c>
      <c r="T2256">
        <v>0</v>
      </c>
      <c r="U2256">
        <v>1</v>
      </c>
      <c r="V2256">
        <v>0</v>
      </c>
      <c r="W2256">
        <v>1</v>
      </c>
      <c r="X2256" s="21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1</v>
      </c>
      <c r="AG2256">
        <v>0</v>
      </c>
      <c r="AJ2256" t="s">
        <v>51</v>
      </c>
      <c r="AK2256" t="s">
        <v>95</v>
      </c>
      <c r="AP2256" t="s">
        <v>541</v>
      </c>
    </row>
    <row r="2257" spans="1:42">
      <c r="A2257" s="1">
        <v>43844</v>
      </c>
      <c r="B2257">
        <v>2</v>
      </c>
      <c r="C2257">
        <v>987</v>
      </c>
      <c r="D2257">
        <v>10423</v>
      </c>
      <c r="E2257" t="s">
        <v>37</v>
      </c>
      <c r="F2257" t="s">
        <v>520</v>
      </c>
      <c r="G2257">
        <v>2</v>
      </c>
      <c r="H2257">
        <v>22</v>
      </c>
      <c r="I2257" s="25">
        <v>1919</v>
      </c>
      <c r="K2257" t="s">
        <v>156</v>
      </c>
      <c r="L2257" t="s">
        <v>141</v>
      </c>
      <c r="M2257" t="s">
        <v>52</v>
      </c>
      <c r="N2257" t="s">
        <v>40</v>
      </c>
      <c r="O2257">
        <v>105</v>
      </c>
      <c r="Q2257">
        <f t="shared" si="68"/>
        <v>2</v>
      </c>
      <c r="S2257">
        <v>0</v>
      </c>
      <c r="T2257">
        <v>0</v>
      </c>
      <c r="U2257">
        <v>0</v>
      </c>
      <c r="V2257">
        <v>1</v>
      </c>
      <c r="W2257">
        <v>1</v>
      </c>
      <c r="X2257" s="21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1</v>
      </c>
      <c r="AG2257">
        <v>0</v>
      </c>
      <c r="AJ2257" t="s">
        <v>51</v>
      </c>
      <c r="AK2257" t="s">
        <v>95</v>
      </c>
      <c r="AP2257" t="s">
        <v>541</v>
      </c>
    </row>
    <row r="2258" spans="1:42">
      <c r="A2258" s="1">
        <v>43844</v>
      </c>
      <c r="B2258">
        <v>2</v>
      </c>
      <c r="C2258">
        <v>987</v>
      </c>
      <c r="D2258">
        <v>10423</v>
      </c>
      <c r="E2258" t="s">
        <v>37</v>
      </c>
      <c r="F2258" t="s">
        <v>520</v>
      </c>
      <c r="G2258">
        <v>2</v>
      </c>
      <c r="H2258">
        <v>23</v>
      </c>
      <c r="I2258" s="25">
        <v>1909</v>
      </c>
      <c r="K2258" t="s">
        <v>156</v>
      </c>
      <c r="L2258" t="s">
        <v>141</v>
      </c>
      <c r="M2258" t="s">
        <v>52</v>
      </c>
      <c r="N2258" t="s">
        <v>40</v>
      </c>
      <c r="O2258">
        <v>109</v>
      </c>
      <c r="Q2258">
        <f t="shared" si="68"/>
        <v>2</v>
      </c>
      <c r="S2258">
        <v>0</v>
      </c>
      <c r="T2258">
        <v>0</v>
      </c>
      <c r="U2258">
        <v>0</v>
      </c>
      <c r="V2258">
        <v>1</v>
      </c>
      <c r="W2258">
        <v>1</v>
      </c>
      <c r="X2258" s="21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J2258" t="s">
        <v>51</v>
      </c>
      <c r="AK2258" t="s">
        <v>95</v>
      </c>
      <c r="AP2258" t="s">
        <v>541</v>
      </c>
    </row>
    <row r="2259" spans="1:42">
      <c r="A2259" s="1">
        <v>43844</v>
      </c>
      <c r="B2259">
        <v>2</v>
      </c>
      <c r="C2259">
        <v>987</v>
      </c>
      <c r="D2259">
        <v>10423</v>
      </c>
      <c r="E2259" t="s">
        <v>37</v>
      </c>
      <c r="F2259" t="s">
        <v>520</v>
      </c>
      <c r="G2259">
        <v>2</v>
      </c>
      <c r="H2259">
        <v>24</v>
      </c>
      <c r="I2259" s="25">
        <v>1899</v>
      </c>
      <c r="K2259" t="s">
        <v>156</v>
      </c>
      <c r="L2259" t="s">
        <v>141</v>
      </c>
      <c r="M2259" t="s">
        <v>52</v>
      </c>
      <c r="N2259" t="s">
        <v>40</v>
      </c>
      <c r="O2259">
        <v>123</v>
      </c>
      <c r="Q2259">
        <f t="shared" si="68"/>
        <v>4</v>
      </c>
      <c r="S2259">
        <v>0</v>
      </c>
      <c r="T2259">
        <v>0</v>
      </c>
      <c r="U2259">
        <v>0</v>
      </c>
      <c r="V2259">
        <v>0</v>
      </c>
      <c r="W2259">
        <v>4</v>
      </c>
      <c r="X2259" s="21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J2259" t="s">
        <v>51</v>
      </c>
      <c r="AK2259" t="s">
        <v>95</v>
      </c>
      <c r="AP2259" t="s">
        <v>541</v>
      </c>
    </row>
    <row r="2260" spans="1:42">
      <c r="A2260" s="1">
        <v>43844</v>
      </c>
      <c r="B2260">
        <v>2</v>
      </c>
      <c r="C2260">
        <v>987</v>
      </c>
      <c r="D2260">
        <v>10423</v>
      </c>
      <c r="E2260" t="s">
        <v>37</v>
      </c>
      <c r="F2260" t="s">
        <v>520</v>
      </c>
      <c r="G2260">
        <v>2</v>
      </c>
      <c r="H2260">
        <v>25</v>
      </c>
      <c r="I2260" s="25">
        <v>1889</v>
      </c>
      <c r="K2260" t="s">
        <v>156</v>
      </c>
      <c r="L2260" t="s">
        <v>141</v>
      </c>
      <c r="M2260" t="s">
        <v>52</v>
      </c>
      <c r="N2260" t="s">
        <v>40</v>
      </c>
      <c r="O2260">
        <v>156</v>
      </c>
      <c r="Q2260">
        <f t="shared" si="68"/>
        <v>3</v>
      </c>
      <c r="S2260">
        <v>0</v>
      </c>
      <c r="T2260">
        <v>0</v>
      </c>
      <c r="U2260">
        <v>0</v>
      </c>
      <c r="V2260">
        <v>3</v>
      </c>
      <c r="W2260">
        <v>0</v>
      </c>
      <c r="X2260" s="21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3</v>
      </c>
      <c r="AG2260">
        <v>0</v>
      </c>
      <c r="AJ2260" t="s">
        <v>51</v>
      </c>
      <c r="AK2260" t="s">
        <v>95</v>
      </c>
      <c r="AP2260" t="s">
        <v>541</v>
      </c>
    </row>
    <row r="2261" spans="1:42">
      <c r="A2261" s="1">
        <v>43844</v>
      </c>
      <c r="B2261">
        <v>2</v>
      </c>
      <c r="C2261">
        <v>987</v>
      </c>
      <c r="D2261">
        <v>10423</v>
      </c>
      <c r="E2261" t="s">
        <v>37</v>
      </c>
      <c r="F2261" t="s">
        <v>520</v>
      </c>
      <c r="G2261">
        <v>2</v>
      </c>
      <c r="H2261">
        <v>26</v>
      </c>
      <c r="I2261" s="25">
        <v>1849</v>
      </c>
      <c r="K2261" t="s">
        <v>156</v>
      </c>
      <c r="L2261" t="s">
        <v>141</v>
      </c>
      <c r="M2261" t="s">
        <v>52</v>
      </c>
      <c r="N2261" t="s">
        <v>40</v>
      </c>
      <c r="O2261">
        <v>44</v>
      </c>
      <c r="Q2261">
        <f t="shared" si="68"/>
        <v>1</v>
      </c>
      <c r="S2261">
        <v>0</v>
      </c>
      <c r="T2261">
        <v>0</v>
      </c>
      <c r="U2261">
        <v>1</v>
      </c>
      <c r="V2261">
        <v>0</v>
      </c>
      <c r="W2261">
        <v>0</v>
      </c>
      <c r="X2261" s="2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J2261" t="s">
        <v>51</v>
      </c>
      <c r="AK2261" t="s">
        <v>95</v>
      </c>
      <c r="AP2261" t="s">
        <v>541</v>
      </c>
    </row>
    <row r="2262" spans="1:42">
      <c r="A2262" s="1">
        <v>43844</v>
      </c>
      <c r="B2262">
        <v>2</v>
      </c>
      <c r="C2262">
        <v>987</v>
      </c>
      <c r="D2262">
        <v>10423</v>
      </c>
      <c r="E2262" t="s">
        <v>37</v>
      </c>
      <c r="F2262" t="s">
        <v>520</v>
      </c>
      <c r="G2262">
        <v>2</v>
      </c>
      <c r="H2262">
        <v>27</v>
      </c>
      <c r="I2262" s="25">
        <v>1845</v>
      </c>
      <c r="K2262" t="s">
        <v>156</v>
      </c>
      <c r="L2262" t="s">
        <v>141</v>
      </c>
      <c r="M2262" t="s">
        <v>52</v>
      </c>
      <c r="N2262" t="s">
        <v>44</v>
      </c>
      <c r="O2262">
        <v>93</v>
      </c>
      <c r="Q2262">
        <f t="shared" si="68"/>
        <v>1</v>
      </c>
      <c r="S2262">
        <v>0</v>
      </c>
      <c r="T2262">
        <v>0</v>
      </c>
      <c r="U2262">
        <v>0</v>
      </c>
      <c r="V2262">
        <v>0</v>
      </c>
      <c r="W2262">
        <v>1</v>
      </c>
      <c r="X2262" s="21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J2262" t="s">
        <v>51</v>
      </c>
      <c r="AK2262" t="s">
        <v>95</v>
      </c>
      <c r="AL2262" t="s">
        <v>611</v>
      </c>
      <c r="AP2262" t="s">
        <v>541</v>
      </c>
    </row>
    <row r="2263" spans="1:42">
      <c r="A2263" s="1">
        <v>43844</v>
      </c>
      <c r="B2263">
        <v>2</v>
      </c>
      <c r="C2263">
        <v>987</v>
      </c>
      <c r="D2263">
        <v>10423</v>
      </c>
      <c r="E2263" t="s">
        <v>37</v>
      </c>
      <c r="F2263" t="s">
        <v>520</v>
      </c>
      <c r="G2263">
        <v>2</v>
      </c>
      <c r="H2263">
        <v>28</v>
      </c>
      <c r="I2263" s="25">
        <v>1831</v>
      </c>
      <c r="K2263" t="s">
        <v>156</v>
      </c>
      <c r="L2263" t="s">
        <v>141</v>
      </c>
      <c r="M2263" t="s">
        <v>52</v>
      </c>
      <c r="N2263" t="s">
        <v>44</v>
      </c>
      <c r="O2263">
        <v>195</v>
      </c>
      <c r="Q2263">
        <f t="shared" si="68"/>
        <v>1</v>
      </c>
      <c r="S2263">
        <v>0</v>
      </c>
      <c r="T2263">
        <v>0</v>
      </c>
      <c r="U2263">
        <v>0</v>
      </c>
      <c r="V2263">
        <v>0</v>
      </c>
      <c r="W2263">
        <v>1</v>
      </c>
      <c r="X2263" s="21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J2263" t="s">
        <v>51</v>
      </c>
      <c r="AK2263" t="s">
        <v>95</v>
      </c>
      <c r="AL2263" t="s">
        <v>612</v>
      </c>
      <c r="AP2263" t="s">
        <v>541</v>
      </c>
    </row>
    <row r="2264" spans="1:42">
      <c r="A2264" s="1">
        <v>43844</v>
      </c>
      <c r="B2264">
        <v>2</v>
      </c>
      <c r="C2264">
        <v>987</v>
      </c>
      <c r="D2264">
        <v>10423</v>
      </c>
      <c r="E2264" t="s">
        <v>37</v>
      </c>
      <c r="F2264" t="s">
        <v>520</v>
      </c>
      <c r="G2264">
        <v>2</v>
      </c>
      <c r="H2264">
        <v>29</v>
      </c>
      <c r="I2264" s="25">
        <v>1817</v>
      </c>
      <c r="K2264" t="s">
        <v>156</v>
      </c>
      <c r="L2264" t="s">
        <v>141</v>
      </c>
      <c r="M2264" t="s">
        <v>52</v>
      </c>
      <c r="N2264" t="s">
        <v>44</v>
      </c>
      <c r="O2264">
        <v>165</v>
      </c>
      <c r="Q2264">
        <f t="shared" si="68"/>
        <v>1</v>
      </c>
      <c r="S2264">
        <v>0</v>
      </c>
      <c r="T2264">
        <v>0</v>
      </c>
      <c r="U2264">
        <v>0</v>
      </c>
      <c r="V2264">
        <v>0</v>
      </c>
      <c r="W2264">
        <v>1</v>
      </c>
      <c r="X2264" s="21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J2264" t="s">
        <v>51</v>
      </c>
      <c r="AK2264" t="s">
        <v>95</v>
      </c>
      <c r="AL2264" t="s">
        <v>612</v>
      </c>
      <c r="AP2264" t="s">
        <v>541</v>
      </c>
    </row>
    <row r="2265" spans="1:42">
      <c r="A2265" s="1">
        <v>43844</v>
      </c>
      <c r="B2265">
        <v>2</v>
      </c>
      <c r="C2265">
        <v>987</v>
      </c>
      <c r="D2265">
        <v>10423</v>
      </c>
      <c r="E2265" t="s">
        <v>37</v>
      </c>
      <c r="F2265" t="s">
        <v>520</v>
      </c>
      <c r="G2265">
        <v>2</v>
      </c>
      <c r="H2265">
        <v>30</v>
      </c>
      <c r="I2265" s="25">
        <v>2826</v>
      </c>
      <c r="K2265" t="s">
        <v>595</v>
      </c>
      <c r="L2265" t="s">
        <v>114</v>
      </c>
      <c r="M2265" t="s">
        <v>52</v>
      </c>
      <c r="N2265" t="s">
        <v>40</v>
      </c>
      <c r="O2265">
        <v>113</v>
      </c>
      <c r="Q2265">
        <f t="shared" si="68"/>
        <v>3</v>
      </c>
      <c r="S2265">
        <v>0</v>
      </c>
      <c r="T2265">
        <v>0</v>
      </c>
      <c r="U2265">
        <v>0</v>
      </c>
      <c r="V2265">
        <v>3</v>
      </c>
      <c r="W2265">
        <v>0</v>
      </c>
      <c r="X2265" s="21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J2265" t="s">
        <v>51</v>
      </c>
      <c r="AK2265" t="s">
        <v>52</v>
      </c>
      <c r="AP2265" t="s">
        <v>541</v>
      </c>
    </row>
    <row r="2266" spans="1:42">
      <c r="A2266" s="1">
        <v>43844</v>
      </c>
      <c r="B2266">
        <v>2</v>
      </c>
      <c r="C2266">
        <v>987</v>
      </c>
      <c r="D2266">
        <v>10423</v>
      </c>
      <c r="E2266" t="s">
        <v>37</v>
      </c>
      <c r="F2266" t="s">
        <v>520</v>
      </c>
      <c r="G2266">
        <v>2</v>
      </c>
      <c r="H2266">
        <v>31</v>
      </c>
      <c r="I2266" s="25">
        <v>2808</v>
      </c>
      <c r="K2266" t="s">
        <v>595</v>
      </c>
      <c r="L2266" t="s">
        <v>114</v>
      </c>
      <c r="M2266" t="s">
        <v>52</v>
      </c>
      <c r="N2266" t="s">
        <v>44</v>
      </c>
      <c r="O2266">
        <v>170</v>
      </c>
      <c r="Q2266">
        <f t="shared" si="68"/>
        <v>3</v>
      </c>
      <c r="S2266">
        <v>0</v>
      </c>
      <c r="T2266">
        <v>0</v>
      </c>
      <c r="U2266">
        <v>0</v>
      </c>
      <c r="V2266">
        <v>3</v>
      </c>
      <c r="W2266">
        <v>0</v>
      </c>
      <c r="X2266" s="21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J2266" t="s">
        <v>51</v>
      </c>
      <c r="AK2266" t="s">
        <v>52</v>
      </c>
      <c r="AL2266" t="s">
        <v>611</v>
      </c>
      <c r="AP2266" t="s">
        <v>541</v>
      </c>
    </row>
    <row r="2267" spans="1:42">
      <c r="A2267" s="1">
        <v>43844</v>
      </c>
      <c r="B2267">
        <v>2</v>
      </c>
      <c r="C2267">
        <v>987</v>
      </c>
      <c r="D2267">
        <v>10423</v>
      </c>
      <c r="E2267" t="s">
        <v>37</v>
      </c>
      <c r="F2267" t="s">
        <v>520</v>
      </c>
      <c r="G2267">
        <v>2</v>
      </c>
      <c r="H2267">
        <v>32</v>
      </c>
      <c r="I2267" s="25">
        <v>2834</v>
      </c>
      <c r="K2267" t="s">
        <v>595</v>
      </c>
      <c r="L2267" t="s">
        <v>114</v>
      </c>
      <c r="M2267" t="s">
        <v>52</v>
      </c>
      <c r="N2267" t="s">
        <v>40</v>
      </c>
      <c r="O2267">
        <v>70</v>
      </c>
      <c r="Q2267">
        <f t="shared" si="68"/>
        <v>1</v>
      </c>
      <c r="S2267">
        <v>0</v>
      </c>
      <c r="T2267">
        <v>0</v>
      </c>
      <c r="U2267">
        <v>0</v>
      </c>
      <c r="V2267">
        <v>1</v>
      </c>
      <c r="W2267">
        <v>0</v>
      </c>
      <c r="X2267" s="21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J2267" t="s">
        <v>51</v>
      </c>
      <c r="AK2267" t="s">
        <v>52</v>
      </c>
      <c r="AP2267" t="s">
        <v>541</v>
      </c>
    </row>
    <row r="2268" spans="1:42">
      <c r="A2268" s="1">
        <v>43844</v>
      </c>
      <c r="B2268">
        <v>2</v>
      </c>
      <c r="C2268">
        <v>987</v>
      </c>
      <c r="D2268">
        <v>10423</v>
      </c>
      <c r="E2268" t="s">
        <v>37</v>
      </c>
      <c r="F2268" t="s">
        <v>520</v>
      </c>
      <c r="G2268">
        <v>2</v>
      </c>
      <c r="H2268">
        <v>33</v>
      </c>
      <c r="I2268" s="25">
        <v>2840</v>
      </c>
      <c r="K2268" t="s">
        <v>595</v>
      </c>
      <c r="L2268" t="s">
        <v>114</v>
      </c>
      <c r="M2268" t="s">
        <v>52</v>
      </c>
      <c r="N2268" t="s">
        <v>44</v>
      </c>
      <c r="O2268">
        <v>144</v>
      </c>
      <c r="Q2268">
        <f t="shared" si="68"/>
        <v>1</v>
      </c>
      <c r="S2268">
        <v>0</v>
      </c>
      <c r="T2268">
        <v>0</v>
      </c>
      <c r="U2268">
        <v>0</v>
      </c>
      <c r="V2268">
        <v>0</v>
      </c>
      <c r="W2268">
        <v>1</v>
      </c>
      <c r="X2268" s="21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J2268" t="s">
        <v>51</v>
      </c>
      <c r="AK2268" t="s">
        <v>52</v>
      </c>
      <c r="AL2268" t="s">
        <v>611</v>
      </c>
      <c r="AP2268" t="s">
        <v>541</v>
      </c>
    </row>
    <row r="2269" spans="1:42">
      <c r="A2269" s="1">
        <v>43844</v>
      </c>
      <c r="B2269">
        <v>2</v>
      </c>
      <c r="C2269">
        <v>987</v>
      </c>
      <c r="D2269">
        <v>10423</v>
      </c>
      <c r="E2269" t="s">
        <v>37</v>
      </c>
      <c r="F2269" t="s">
        <v>520</v>
      </c>
      <c r="G2269">
        <v>2</v>
      </c>
      <c r="H2269">
        <v>34</v>
      </c>
      <c r="I2269" s="25">
        <v>2930</v>
      </c>
      <c r="K2269" t="s">
        <v>595</v>
      </c>
      <c r="L2269" t="s">
        <v>114</v>
      </c>
      <c r="M2269" t="s">
        <v>52</v>
      </c>
      <c r="N2269" t="s">
        <v>40</v>
      </c>
      <c r="O2269">
        <v>123</v>
      </c>
      <c r="Q2269">
        <f t="shared" si="68"/>
        <v>3</v>
      </c>
      <c r="S2269">
        <v>0</v>
      </c>
      <c r="T2269">
        <v>0</v>
      </c>
      <c r="U2269">
        <v>0</v>
      </c>
      <c r="V2269">
        <v>2</v>
      </c>
      <c r="W2269">
        <v>1</v>
      </c>
      <c r="X2269" s="21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J2269" t="s">
        <v>51</v>
      </c>
      <c r="AK2269" t="s">
        <v>52</v>
      </c>
      <c r="AP2269" t="s">
        <v>541</v>
      </c>
    </row>
    <row r="2270" spans="1:42">
      <c r="A2270" s="1">
        <v>43844</v>
      </c>
      <c r="B2270">
        <v>2</v>
      </c>
      <c r="C2270">
        <v>987</v>
      </c>
      <c r="D2270">
        <v>10423</v>
      </c>
      <c r="E2270" t="s">
        <v>37</v>
      </c>
      <c r="F2270" t="s">
        <v>520</v>
      </c>
      <c r="G2270">
        <v>2</v>
      </c>
      <c r="H2270">
        <v>35</v>
      </c>
      <c r="I2270" s="25">
        <v>2936</v>
      </c>
      <c r="K2270" t="s">
        <v>595</v>
      </c>
      <c r="L2270" t="s">
        <v>114</v>
      </c>
      <c r="M2270" t="s">
        <v>52</v>
      </c>
      <c r="N2270" t="s">
        <v>40</v>
      </c>
      <c r="O2270">
        <v>40</v>
      </c>
      <c r="Q2270">
        <f t="shared" si="68"/>
        <v>1</v>
      </c>
      <c r="S2270">
        <v>0</v>
      </c>
      <c r="T2270">
        <v>0</v>
      </c>
      <c r="U2270">
        <v>0</v>
      </c>
      <c r="V2270">
        <v>1</v>
      </c>
      <c r="W2270">
        <v>0</v>
      </c>
      <c r="X2270" s="21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J2270" t="s">
        <v>51</v>
      </c>
      <c r="AK2270" t="s">
        <v>52</v>
      </c>
      <c r="AP2270" t="s">
        <v>541</v>
      </c>
    </row>
    <row r="2271" spans="1:42">
      <c r="A2271" s="1">
        <v>43844</v>
      </c>
      <c r="B2271">
        <v>2</v>
      </c>
      <c r="C2271">
        <v>987</v>
      </c>
      <c r="D2271">
        <v>10423</v>
      </c>
      <c r="E2271" t="s">
        <v>37</v>
      </c>
      <c r="F2271" t="s">
        <v>520</v>
      </c>
      <c r="G2271">
        <v>2</v>
      </c>
      <c r="H2271">
        <v>36</v>
      </c>
      <c r="I2271" s="25">
        <v>2946</v>
      </c>
      <c r="K2271" t="s">
        <v>595</v>
      </c>
      <c r="L2271" t="s">
        <v>114</v>
      </c>
      <c r="M2271" t="s">
        <v>52</v>
      </c>
      <c r="N2271" t="s">
        <v>40</v>
      </c>
      <c r="O2271">
        <v>107</v>
      </c>
      <c r="Q2271">
        <f t="shared" si="68"/>
        <v>3</v>
      </c>
      <c r="S2271">
        <v>0</v>
      </c>
      <c r="T2271">
        <v>0</v>
      </c>
      <c r="U2271">
        <v>1</v>
      </c>
      <c r="V2271">
        <v>2</v>
      </c>
      <c r="W2271">
        <v>0</v>
      </c>
      <c r="X2271" s="2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J2271" t="s">
        <v>51</v>
      </c>
      <c r="AK2271" t="s">
        <v>52</v>
      </c>
      <c r="AP2271" t="s">
        <v>541</v>
      </c>
    </row>
    <row r="2272" spans="1:42">
      <c r="A2272" s="1">
        <v>43844</v>
      </c>
      <c r="B2272">
        <v>2</v>
      </c>
      <c r="C2272">
        <v>987</v>
      </c>
      <c r="D2272">
        <v>10423</v>
      </c>
      <c r="E2272" t="s">
        <v>37</v>
      </c>
      <c r="F2272" t="s">
        <v>520</v>
      </c>
      <c r="G2272">
        <v>2</v>
      </c>
      <c r="H2272">
        <v>37</v>
      </c>
      <c r="I2272" s="25">
        <v>3026</v>
      </c>
      <c r="K2272" t="s">
        <v>595</v>
      </c>
      <c r="L2272" t="s">
        <v>114</v>
      </c>
      <c r="M2272" t="s">
        <v>52</v>
      </c>
      <c r="N2272" t="s">
        <v>40</v>
      </c>
      <c r="O2272">
        <v>59</v>
      </c>
      <c r="Q2272">
        <f t="shared" si="68"/>
        <v>4</v>
      </c>
      <c r="S2272">
        <v>0</v>
      </c>
      <c r="T2272">
        <v>0</v>
      </c>
      <c r="U2272">
        <v>2</v>
      </c>
      <c r="V2272">
        <v>2</v>
      </c>
      <c r="W2272">
        <v>0</v>
      </c>
      <c r="X2272" s="21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J2272" t="s">
        <v>51</v>
      </c>
      <c r="AK2272" t="s">
        <v>52</v>
      </c>
      <c r="AP2272" t="s">
        <v>541</v>
      </c>
    </row>
    <row r="2273" spans="1:42">
      <c r="A2273" s="1">
        <v>43844</v>
      </c>
      <c r="B2273">
        <v>2</v>
      </c>
      <c r="C2273">
        <v>987</v>
      </c>
      <c r="D2273">
        <v>10423</v>
      </c>
      <c r="E2273" t="s">
        <v>37</v>
      </c>
      <c r="F2273" t="s">
        <v>520</v>
      </c>
      <c r="G2273">
        <v>2</v>
      </c>
      <c r="H2273">
        <v>38</v>
      </c>
      <c r="I2273" s="25">
        <v>3052</v>
      </c>
      <c r="K2273" t="s">
        <v>595</v>
      </c>
      <c r="L2273" t="s">
        <v>114</v>
      </c>
      <c r="M2273" t="s">
        <v>52</v>
      </c>
      <c r="N2273" t="s">
        <v>40</v>
      </c>
      <c r="O2273">
        <v>43</v>
      </c>
      <c r="Q2273">
        <f t="shared" si="68"/>
        <v>1</v>
      </c>
      <c r="S2273">
        <v>0</v>
      </c>
      <c r="T2273">
        <v>0</v>
      </c>
      <c r="U2273">
        <v>1</v>
      </c>
      <c r="V2273">
        <v>0</v>
      </c>
      <c r="W2273">
        <v>0</v>
      </c>
      <c r="X2273" s="21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1</v>
      </c>
      <c r="AG2273">
        <v>0</v>
      </c>
      <c r="AJ2273" t="s">
        <v>51</v>
      </c>
      <c r="AK2273" t="s">
        <v>52</v>
      </c>
      <c r="AP2273" t="s">
        <v>541</v>
      </c>
    </row>
    <row r="2274" spans="1:42">
      <c r="A2274" s="1">
        <v>43844</v>
      </c>
      <c r="B2274">
        <v>2</v>
      </c>
      <c r="C2274">
        <v>987</v>
      </c>
      <c r="D2274">
        <v>10423</v>
      </c>
      <c r="E2274" t="s">
        <v>37</v>
      </c>
      <c r="F2274" t="s">
        <v>520</v>
      </c>
      <c r="G2274">
        <v>2</v>
      </c>
      <c r="H2274">
        <v>39</v>
      </c>
      <c r="I2274" s="25">
        <v>3050</v>
      </c>
      <c r="K2274" t="s">
        <v>595</v>
      </c>
      <c r="L2274" t="s">
        <v>114</v>
      </c>
      <c r="M2274" t="s">
        <v>52</v>
      </c>
      <c r="N2274" t="s">
        <v>44</v>
      </c>
      <c r="O2274">
        <v>88</v>
      </c>
      <c r="Q2274">
        <f t="shared" si="68"/>
        <v>1</v>
      </c>
      <c r="S2274">
        <v>0</v>
      </c>
      <c r="T2274">
        <v>0</v>
      </c>
      <c r="U2274">
        <v>0</v>
      </c>
      <c r="V2274">
        <v>1</v>
      </c>
      <c r="W2274">
        <v>0</v>
      </c>
      <c r="X2274" s="21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J2274" t="s">
        <v>51</v>
      </c>
      <c r="AK2274" t="s">
        <v>52</v>
      </c>
      <c r="AL2274" t="s">
        <v>611</v>
      </c>
      <c r="AP2274" t="s">
        <v>541</v>
      </c>
    </row>
    <row r="2275" spans="1:42">
      <c r="A2275" s="1">
        <v>43844</v>
      </c>
      <c r="B2275">
        <v>2</v>
      </c>
      <c r="C2275">
        <v>987</v>
      </c>
      <c r="D2275">
        <v>10423</v>
      </c>
      <c r="E2275" t="s">
        <v>37</v>
      </c>
      <c r="F2275" t="s">
        <v>520</v>
      </c>
      <c r="G2275">
        <v>2</v>
      </c>
      <c r="H2275">
        <v>40</v>
      </c>
      <c r="I2275" s="25">
        <v>3035</v>
      </c>
      <c r="K2275" t="s">
        <v>595</v>
      </c>
      <c r="L2275" t="s">
        <v>141</v>
      </c>
      <c r="M2275" t="s">
        <v>52</v>
      </c>
      <c r="N2275" t="s">
        <v>40</v>
      </c>
      <c r="O2275">
        <v>216</v>
      </c>
      <c r="Q2275">
        <f t="shared" si="68"/>
        <v>6</v>
      </c>
      <c r="S2275">
        <v>0</v>
      </c>
      <c r="T2275">
        <v>0</v>
      </c>
      <c r="U2275">
        <v>1</v>
      </c>
      <c r="V2275">
        <v>5</v>
      </c>
      <c r="W2275">
        <v>0</v>
      </c>
      <c r="X2275" s="21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J2275" t="s">
        <v>51</v>
      </c>
      <c r="AK2275" t="s">
        <v>52</v>
      </c>
      <c r="AP2275" t="s">
        <v>541</v>
      </c>
    </row>
    <row r="2276" spans="1:42">
      <c r="A2276" s="1">
        <v>43844</v>
      </c>
      <c r="B2276">
        <v>2</v>
      </c>
      <c r="C2276">
        <v>987</v>
      </c>
      <c r="D2276">
        <v>10423</v>
      </c>
      <c r="E2276" t="s">
        <v>37</v>
      </c>
      <c r="F2276" t="s">
        <v>520</v>
      </c>
      <c r="G2276">
        <v>2</v>
      </c>
      <c r="H2276">
        <v>41</v>
      </c>
      <c r="I2276" s="25">
        <v>3025</v>
      </c>
      <c r="K2276" t="s">
        <v>595</v>
      </c>
      <c r="L2276" t="s">
        <v>141</v>
      </c>
      <c r="M2276" t="s">
        <v>52</v>
      </c>
      <c r="N2276" t="s">
        <v>40</v>
      </c>
      <c r="O2276">
        <v>111</v>
      </c>
      <c r="Q2276">
        <f t="shared" si="68"/>
        <v>1</v>
      </c>
      <c r="S2276">
        <v>0</v>
      </c>
      <c r="T2276">
        <v>0</v>
      </c>
      <c r="U2276">
        <v>1</v>
      </c>
      <c r="V2276">
        <v>0</v>
      </c>
      <c r="W2276">
        <v>0</v>
      </c>
      <c r="X2276" s="21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J2276" t="s">
        <v>51</v>
      </c>
      <c r="AK2276" t="s">
        <v>52</v>
      </c>
      <c r="AP2276" t="s">
        <v>541</v>
      </c>
    </row>
    <row r="2277" spans="1:42">
      <c r="A2277" s="1">
        <v>43844</v>
      </c>
      <c r="B2277">
        <v>2</v>
      </c>
      <c r="C2277">
        <v>987</v>
      </c>
      <c r="D2277">
        <v>10423</v>
      </c>
      <c r="E2277" t="s">
        <v>37</v>
      </c>
      <c r="F2277" t="s">
        <v>520</v>
      </c>
      <c r="G2277">
        <v>2</v>
      </c>
      <c r="H2277">
        <v>42</v>
      </c>
      <c r="I2277" s="25">
        <v>3001</v>
      </c>
      <c r="K2277" t="s">
        <v>595</v>
      </c>
      <c r="L2277" t="s">
        <v>141</v>
      </c>
      <c r="M2277" t="s">
        <v>52</v>
      </c>
      <c r="N2277" t="s">
        <v>40</v>
      </c>
      <c r="O2277">
        <v>127</v>
      </c>
      <c r="Q2277">
        <f t="shared" si="68"/>
        <v>3</v>
      </c>
      <c r="S2277">
        <v>0</v>
      </c>
      <c r="T2277">
        <v>0</v>
      </c>
      <c r="U2277">
        <v>1</v>
      </c>
      <c r="V2277">
        <v>2</v>
      </c>
      <c r="W2277">
        <v>0</v>
      </c>
      <c r="X2277" s="21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J2277" t="s">
        <v>51</v>
      </c>
      <c r="AK2277" t="s">
        <v>52</v>
      </c>
      <c r="AP2277" t="s">
        <v>541</v>
      </c>
    </row>
    <row r="2278" spans="1:42">
      <c r="A2278" s="1">
        <v>43844</v>
      </c>
      <c r="B2278">
        <v>2</v>
      </c>
      <c r="C2278">
        <v>987</v>
      </c>
      <c r="D2278">
        <v>10423</v>
      </c>
      <c r="E2278" t="s">
        <v>37</v>
      </c>
      <c r="F2278" t="s">
        <v>520</v>
      </c>
      <c r="G2278">
        <v>2</v>
      </c>
      <c r="H2278">
        <v>43</v>
      </c>
      <c r="I2278" s="25">
        <v>2921</v>
      </c>
      <c r="K2278" t="s">
        <v>595</v>
      </c>
      <c r="L2278" t="s">
        <v>141</v>
      </c>
      <c r="M2278" t="s">
        <v>52</v>
      </c>
      <c r="N2278" t="s">
        <v>40</v>
      </c>
      <c r="O2278">
        <v>169</v>
      </c>
      <c r="Q2278">
        <f t="shared" si="68"/>
        <v>3</v>
      </c>
      <c r="S2278">
        <v>0</v>
      </c>
      <c r="T2278">
        <v>0</v>
      </c>
      <c r="U2278">
        <v>1</v>
      </c>
      <c r="V2278">
        <v>2</v>
      </c>
      <c r="W2278">
        <v>0</v>
      </c>
      <c r="X2278" s="21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J2278" t="s">
        <v>51</v>
      </c>
      <c r="AK2278" t="s">
        <v>52</v>
      </c>
      <c r="AP2278" t="s">
        <v>541</v>
      </c>
    </row>
    <row r="2279" spans="1:42">
      <c r="A2279" s="1">
        <v>43844</v>
      </c>
      <c r="B2279">
        <v>2</v>
      </c>
      <c r="C2279">
        <v>987</v>
      </c>
      <c r="D2279">
        <v>10423</v>
      </c>
      <c r="E2279" t="s">
        <v>37</v>
      </c>
      <c r="F2279" t="s">
        <v>520</v>
      </c>
      <c r="G2279">
        <v>2</v>
      </c>
      <c r="H2279">
        <v>44</v>
      </c>
      <c r="I2279" s="25">
        <v>2917</v>
      </c>
      <c r="K2279" t="s">
        <v>595</v>
      </c>
      <c r="L2279" t="s">
        <v>141</v>
      </c>
      <c r="M2279" t="s">
        <v>52</v>
      </c>
      <c r="N2279" t="s">
        <v>40</v>
      </c>
      <c r="O2279">
        <v>85</v>
      </c>
      <c r="Q2279">
        <f t="shared" si="68"/>
        <v>2</v>
      </c>
      <c r="S2279">
        <v>0</v>
      </c>
      <c r="T2279">
        <v>0</v>
      </c>
      <c r="U2279">
        <v>0</v>
      </c>
      <c r="V2279">
        <v>2</v>
      </c>
      <c r="W2279">
        <v>0</v>
      </c>
      <c r="X2279" s="21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J2279" t="s">
        <v>51</v>
      </c>
      <c r="AK2279" t="s">
        <v>52</v>
      </c>
      <c r="AP2279" t="s">
        <v>541</v>
      </c>
    </row>
    <row r="2280" spans="1:42">
      <c r="A2280" s="1">
        <v>43844</v>
      </c>
      <c r="B2280">
        <v>2</v>
      </c>
      <c r="C2280">
        <v>987</v>
      </c>
      <c r="D2280">
        <v>10423</v>
      </c>
      <c r="E2280" t="s">
        <v>37</v>
      </c>
      <c r="F2280" t="s">
        <v>520</v>
      </c>
      <c r="G2280">
        <v>2</v>
      </c>
      <c r="H2280">
        <v>45</v>
      </c>
      <c r="I2280" s="25">
        <v>2907</v>
      </c>
      <c r="K2280" t="s">
        <v>595</v>
      </c>
      <c r="L2280" t="s">
        <v>141</v>
      </c>
      <c r="M2280" t="s">
        <v>52</v>
      </c>
      <c r="N2280" t="s">
        <v>40</v>
      </c>
      <c r="O2280">
        <v>109</v>
      </c>
      <c r="Q2280">
        <f t="shared" si="68"/>
        <v>3</v>
      </c>
      <c r="S2280">
        <v>0</v>
      </c>
      <c r="T2280">
        <v>0</v>
      </c>
      <c r="U2280">
        <v>0</v>
      </c>
      <c r="V2280">
        <v>3</v>
      </c>
      <c r="W2280">
        <v>0</v>
      </c>
      <c r="X2280" s="21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J2280" t="s">
        <v>51</v>
      </c>
      <c r="AK2280" t="s">
        <v>52</v>
      </c>
      <c r="AP2280" t="s">
        <v>541</v>
      </c>
    </row>
    <row r="2281" spans="1:42">
      <c r="A2281" s="1">
        <v>43844</v>
      </c>
      <c r="B2281">
        <v>2</v>
      </c>
      <c r="C2281">
        <v>987</v>
      </c>
      <c r="D2281">
        <v>10423</v>
      </c>
      <c r="E2281" t="s">
        <v>37</v>
      </c>
      <c r="F2281" t="s">
        <v>520</v>
      </c>
      <c r="G2281">
        <v>2</v>
      </c>
      <c r="H2281">
        <v>46</v>
      </c>
      <c r="I2281" s="25">
        <v>2865</v>
      </c>
      <c r="K2281" t="s">
        <v>595</v>
      </c>
      <c r="L2281" t="s">
        <v>141</v>
      </c>
      <c r="M2281" t="s">
        <v>52</v>
      </c>
      <c r="N2281" t="s">
        <v>44</v>
      </c>
      <c r="O2281">
        <v>177</v>
      </c>
      <c r="Q2281">
        <f t="shared" si="68"/>
        <v>2</v>
      </c>
      <c r="S2281">
        <v>0</v>
      </c>
      <c r="T2281">
        <v>0</v>
      </c>
      <c r="U2281">
        <v>0</v>
      </c>
      <c r="V2281">
        <v>0</v>
      </c>
      <c r="W2281">
        <v>2</v>
      </c>
      <c r="X2281" s="2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J2281" t="s">
        <v>51</v>
      </c>
      <c r="AK2281" t="s">
        <v>52</v>
      </c>
      <c r="AL2281" t="s">
        <v>613</v>
      </c>
      <c r="AP2281" t="s">
        <v>541</v>
      </c>
    </row>
    <row r="2282" spans="1:42">
      <c r="A2282" s="1">
        <v>43844</v>
      </c>
      <c r="B2282">
        <v>2</v>
      </c>
      <c r="C2282">
        <v>987</v>
      </c>
      <c r="D2282">
        <v>10423</v>
      </c>
      <c r="E2282" t="s">
        <v>37</v>
      </c>
      <c r="F2282" t="s">
        <v>520</v>
      </c>
      <c r="G2282">
        <v>2</v>
      </c>
      <c r="H2282">
        <v>47</v>
      </c>
      <c r="I2282" s="25">
        <v>2835</v>
      </c>
      <c r="K2282" t="s">
        <v>595</v>
      </c>
      <c r="L2282" t="s">
        <v>141</v>
      </c>
      <c r="M2282" t="s">
        <v>52</v>
      </c>
      <c r="N2282" t="s">
        <v>44</v>
      </c>
      <c r="O2282">
        <v>152</v>
      </c>
      <c r="Q2282">
        <f t="shared" si="68"/>
        <v>2</v>
      </c>
      <c r="S2282">
        <v>0</v>
      </c>
      <c r="T2282">
        <v>0</v>
      </c>
      <c r="U2282">
        <v>0</v>
      </c>
      <c r="V2282">
        <v>2</v>
      </c>
      <c r="W2282">
        <v>0</v>
      </c>
      <c r="X2282" s="21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J2282" t="s">
        <v>51</v>
      </c>
      <c r="AK2282" t="s">
        <v>52</v>
      </c>
      <c r="AL2282" t="s">
        <v>611</v>
      </c>
      <c r="AP2282" t="s">
        <v>541</v>
      </c>
    </row>
    <row r="2283" spans="1:42">
      <c r="A2283" s="1">
        <v>43844</v>
      </c>
      <c r="B2283">
        <v>2</v>
      </c>
      <c r="C2283">
        <v>987</v>
      </c>
      <c r="D2283">
        <v>10423</v>
      </c>
      <c r="E2283" t="s">
        <v>37</v>
      </c>
      <c r="F2283" t="s">
        <v>520</v>
      </c>
      <c r="G2283">
        <v>2</v>
      </c>
      <c r="H2283">
        <v>48</v>
      </c>
      <c r="I2283" s="25">
        <v>2825</v>
      </c>
      <c r="K2283" t="s">
        <v>595</v>
      </c>
      <c r="L2283" t="s">
        <v>141</v>
      </c>
      <c r="M2283" t="s">
        <v>52</v>
      </c>
      <c r="N2283" t="s">
        <v>40</v>
      </c>
      <c r="O2283">
        <v>56</v>
      </c>
      <c r="Q2283">
        <f t="shared" si="68"/>
        <v>2</v>
      </c>
      <c r="S2283">
        <v>0</v>
      </c>
      <c r="T2283">
        <v>0</v>
      </c>
      <c r="U2283">
        <v>2</v>
      </c>
      <c r="V2283">
        <v>0</v>
      </c>
      <c r="W2283">
        <v>0</v>
      </c>
      <c r="X2283" s="21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J2283" t="s">
        <v>51</v>
      </c>
      <c r="AK2283" t="s">
        <v>52</v>
      </c>
      <c r="AP2283" t="s">
        <v>541</v>
      </c>
    </row>
    <row r="2284" spans="1:42">
      <c r="A2284" s="1">
        <v>43844</v>
      </c>
      <c r="B2284">
        <v>2</v>
      </c>
      <c r="C2284">
        <v>987</v>
      </c>
      <c r="D2284">
        <v>10423</v>
      </c>
      <c r="E2284" t="s">
        <v>37</v>
      </c>
      <c r="F2284" t="s">
        <v>520</v>
      </c>
      <c r="G2284">
        <v>2</v>
      </c>
      <c r="H2284">
        <v>49</v>
      </c>
      <c r="I2284" s="25">
        <v>1912</v>
      </c>
      <c r="K2284" t="s">
        <v>119</v>
      </c>
      <c r="L2284" t="s">
        <v>114</v>
      </c>
      <c r="M2284" t="s">
        <v>52</v>
      </c>
      <c r="N2284" t="s">
        <v>40</v>
      </c>
      <c r="O2284">
        <v>46</v>
      </c>
      <c r="Q2284">
        <f t="shared" si="68"/>
        <v>1</v>
      </c>
      <c r="S2284">
        <v>0</v>
      </c>
      <c r="T2284">
        <v>0</v>
      </c>
      <c r="U2284">
        <v>0</v>
      </c>
      <c r="V2284">
        <v>1</v>
      </c>
      <c r="W2284">
        <v>0</v>
      </c>
      <c r="X2284" s="21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J2284" t="s">
        <v>51</v>
      </c>
      <c r="AK2284" t="s">
        <v>52</v>
      </c>
      <c r="AP2284" t="s">
        <v>541</v>
      </c>
    </row>
    <row r="2285" spans="1:42">
      <c r="A2285" s="1">
        <v>43844</v>
      </c>
      <c r="B2285">
        <v>2</v>
      </c>
      <c r="C2285">
        <v>987</v>
      </c>
      <c r="D2285">
        <v>10423</v>
      </c>
      <c r="E2285" t="s">
        <v>37</v>
      </c>
      <c r="F2285" t="s">
        <v>520</v>
      </c>
      <c r="G2285">
        <v>2</v>
      </c>
      <c r="H2285">
        <v>50</v>
      </c>
      <c r="I2285" s="25">
        <v>2900</v>
      </c>
      <c r="K2285" t="s">
        <v>596</v>
      </c>
      <c r="L2285" t="s">
        <v>114</v>
      </c>
      <c r="M2285" t="s">
        <v>52</v>
      </c>
      <c r="N2285" t="s">
        <v>40</v>
      </c>
      <c r="O2285">
        <v>50</v>
      </c>
      <c r="Q2285">
        <f t="shared" si="68"/>
        <v>1</v>
      </c>
      <c r="S2285">
        <v>1</v>
      </c>
      <c r="T2285">
        <v>0</v>
      </c>
      <c r="U2285">
        <v>0</v>
      </c>
      <c r="V2285">
        <v>0</v>
      </c>
      <c r="W2285">
        <v>0</v>
      </c>
      <c r="X2285" s="21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J2285" t="s">
        <v>51</v>
      </c>
      <c r="AK2285" t="s">
        <v>52</v>
      </c>
      <c r="AP2285" t="s">
        <v>541</v>
      </c>
    </row>
    <row r="2286" spans="1:42">
      <c r="A2286" s="1">
        <v>43844</v>
      </c>
      <c r="B2286">
        <v>2</v>
      </c>
      <c r="C2286">
        <v>987</v>
      </c>
      <c r="D2286">
        <v>10423</v>
      </c>
      <c r="E2286" t="s">
        <v>37</v>
      </c>
      <c r="F2286" t="s">
        <v>520</v>
      </c>
      <c r="G2286">
        <v>2</v>
      </c>
      <c r="H2286">
        <v>51</v>
      </c>
      <c r="I2286" s="25">
        <v>2900</v>
      </c>
      <c r="K2286" t="s">
        <v>596</v>
      </c>
      <c r="L2286" t="s">
        <v>114</v>
      </c>
      <c r="M2286" t="s">
        <v>95</v>
      </c>
      <c r="N2286" t="s">
        <v>40</v>
      </c>
      <c r="O2286">
        <v>130</v>
      </c>
      <c r="Q2286">
        <f t="shared" si="68"/>
        <v>4</v>
      </c>
      <c r="S2286">
        <v>0</v>
      </c>
      <c r="T2286">
        <v>0</v>
      </c>
      <c r="U2286">
        <v>0</v>
      </c>
      <c r="V2286">
        <v>0</v>
      </c>
      <c r="W2286">
        <v>4</v>
      </c>
      <c r="X2286" s="21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J2286" t="s">
        <v>51</v>
      </c>
      <c r="AK2286" t="s">
        <v>52</v>
      </c>
      <c r="AP2286" t="s">
        <v>541</v>
      </c>
    </row>
    <row r="2287" spans="1:42">
      <c r="A2287" s="1">
        <v>43844</v>
      </c>
      <c r="B2287">
        <v>2</v>
      </c>
      <c r="C2287">
        <v>987</v>
      </c>
      <c r="D2287">
        <v>10423</v>
      </c>
      <c r="E2287" t="s">
        <v>37</v>
      </c>
      <c r="F2287" t="s">
        <v>520</v>
      </c>
      <c r="G2287">
        <v>2</v>
      </c>
      <c r="H2287">
        <v>52</v>
      </c>
      <c r="I2287" s="25">
        <v>3010</v>
      </c>
      <c r="K2287" t="s">
        <v>596</v>
      </c>
      <c r="L2287" t="s">
        <v>114</v>
      </c>
      <c r="M2287" t="s">
        <v>52</v>
      </c>
      <c r="N2287" t="s">
        <v>42</v>
      </c>
      <c r="O2287">
        <v>181</v>
      </c>
      <c r="Q2287">
        <f t="shared" si="68"/>
        <v>3</v>
      </c>
      <c r="S2287">
        <v>0</v>
      </c>
      <c r="T2287">
        <v>0</v>
      </c>
      <c r="U2287">
        <v>0</v>
      </c>
      <c r="V2287">
        <v>3</v>
      </c>
      <c r="W2287">
        <v>0</v>
      </c>
      <c r="X2287" s="21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J2287" t="s">
        <v>51</v>
      </c>
      <c r="AK2287" t="s">
        <v>52</v>
      </c>
      <c r="AP2287" t="s">
        <v>541</v>
      </c>
    </row>
    <row r="2288" spans="1:42">
      <c r="A2288" s="1">
        <v>43844</v>
      </c>
      <c r="B2288">
        <v>2</v>
      </c>
      <c r="C2288">
        <v>987</v>
      </c>
      <c r="D2288">
        <v>10423</v>
      </c>
      <c r="E2288" t="s">
        <v>37</v>
      </c>
      <c r="F2288" t="s">
        <v>520</v>
      </c>
      <c r="G2288">
        <v>2</v>
      </c>
      <c r="H2288">
        <v>53</v>
      </c>
      <c r="I2288" s="25">
        <v>3010</v>
      </c>
      <c r="K2288" t="s">
        <v>596</v>
      </c>
      <c r="L2288" t="s">
        <v>114</v>
      </c>
      <c r="M2288" t="s">
        <v>95</v>
      </c>
      <c r="N2288" t="s">
        <v>44</v>
      </c>
      <c r="O2288">
        <v>156</v>
      </c>
      <c r="Q2288">
        <f t="shared" si="68"/>
        <v>4</v>
      </c>
      <c r="S2288">
        <v>0</v>
      </c>
      <c r="T2288">
        <v>0</v>
      </c>
      <c r="U2288">
        <v>0</v>
      </c>
      <c r="V2288">
        <v>0</v>
      </c>
      <c r="W2288">
        <v>4</v>
      </c>
      <c r="X2288" s="21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J2288" t="s">
        <v>51</v>
      </c>
      <c r="AK2288" t="s">
        <v>52</v>
      </c>
      <c r="AL2288" t="s">
        <v>612</v>
      </c>
      <c r="AP2288" t="s">
        <v>541</v>
      </c>
    </row>
    <row r="2289" spans="1:42">
      <c r="A2289" s="1">
        <v>43844</v>
      </c>
      <c r="B2289">
        <v>2</v>
      </c>
      <c r="C2289">
        <v>987</v>
      </c>
      <c r="D2289">
        <v>10423</v>
      </c>
      <c r="E2289" t="s">
        <v>37</v>
      </c>
      <c r="F2289" t="s">
        <v>520</v>
      </c>
      <c r="G2289">
        <v>2</v>
      </c>
      <c r="H2289">
        <v>54</v>
      </c>
      <c r="I2289" s="25">
        <v>3028</v>
      </c>
      <c r="K2289" t="s">
        <v>596</v>
      </c>
      <c r="L2289" t="s">
        <v>114</v>
      </c>
      <c r="M2289" t="s">
        <v>95</v>
      </c>
      <c r="N2289" t="s">
        <v>40</v>
      </c>
      <c r="O2289">
        <v>101</v>
      </c>
      <c r="Q2289">
        <f t="shared" si="68"/>
        <v>3</v>
      </c>
      <c r="S2289">
        <v>0</v>
      </c>
      <c r="T2289">
        <v>0</v>
      </c>
      <c r="U2289">
        <v>0</v>
      </c>
      <c r="V2289">
        <v>3</v>
      </c>
      <c r="W2289">
        <v>0</v>
      </c>
      <c r="X2289" s="21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J2289" t="s">
        <v>51</v>
      </c>
      <c r="AK2289" t="s">
        <v>52</v>
      </c>
      <c r="AP2289" t="s">
        <v>541</v>
      </c>
    </row>
    <row r="2290" spans="1:42">
      <c r="A2290" s="1">
        <v>43844</v>
      </c>
      <c r="B2290">
        <v>2</v>
      </c>
      <c r="C2290">
        <v>987</v>
      </c>
      <c r="D2290">
        <v>10423</v>
      </c>
      <c r="E2290" t="s">
        <v>37</v>
      </c>
      <c r="F2290" t="s">
        <v>520</v>
      </c>
      <c r="G2290">
        <v>2</v>
      </c>
      <c r="H2290">
        <v>55</v>
      </c>
      <c r="I2290" s="25">
        <v>3053</v>
      </c>
      <c r="K2290" t="s">
        <v>596</v>
      </c>
      <c r="L2290" t="s">
        <v>114</v>
      </c>
      <c r="M2290" t="s">
        <v>52</v>
      </c>
      <c r="N2290" t="s">
        <v>40</v>
      </c>
      <c r="O2290">
        <v>109</v>
      </c>
      <c r="Q2290">
        <f t="shared" si="68"/>
        <v>3</v>
      </c>
      <c r="S2290">
        <v>1</v>
      </c>
      <c r="T2290">
        <v>0</v>
      </c>
      <c r="U2290">
        <v>0</v>
      </c>
      <c r="V2290">
        <v>1</v>
      </c>
      <c r="W2290">
        <v>1</v>
      </c>
      <c r="X2290" s="21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1</v>
      </c>
      <c r="AG2290">
        <v>0</v>
      </c>
      <c r="AJ2290" t="s">
        <v>51</v>
      </c>
      <c r="AK2290" t="s">
        <v>52</v>
      </c>
      <c r="AP2290" t="s">
        <v>541</v>
      </c>
    </row>
    <row r="2291" spans="1:42">
      <c r="A2291" s="1">
        <v>43844</v>
      </c>
      <c r="B2291">
        <v>2</v>
      </c>
      <c r="C2291">
        <v>987</v>
      </c>
      <c r="D2291">
        <v>10423</v>
      </c>
      <c r="E2291" t="s">
        <v>37</v>
      </c>
      <c r="F2291" t="s">
        <v>520</v>
      </c>
      <c r="G2291">
        <v>2</v>
      </c>
      <c r="H2291">
        <v>56</v>
      </c>
      <c r="I2291" s="25">
        <v>1991</v>
      </c>
      <c r="K2291" t="s">
        <v>148</v>
      </c>
      <c r="L2291" t="s">
        <v>141</v>
      </c>
      <c r="M2291" t="s">
        <v>52</v>
      </c>
      <c r="N2291" t="s">
        <v>42</v>
      </c>
      <c r="O2291">
        <v>123</v>
      </c>
      <c r="Q2291">
        <f t="shared" si="68"/>
        <v>2</v>
      </c>
      <c r="S2291">
        <v>0</v>
      </c>
      <c r="T2291">
        <v>0</v>
      </c>
      <c r="U2291">
        <v>0</v>
      </c>
      <c r="V2291">
        <v>2</v>
      </c>
      <c r="W2291">
        <v>0</v>
      </c>
      <c r="X2291" s="2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J2291" t="s">
        <v>51</v>
      </c>
      <c r="AK2291" t="s">
        <v>52</v>
      </c>
      <c r="AL2291" t="s">
        <v>611</v>
      </c>
      <c r="AP2291" t="s">
        <v>541</v>
      </c>
    </row>
    <row r="2292" spans="1:42">
      <c r="A2292" s="1">
        <v>43844</v>
      </c>
      <c r="B2292">
        <v>2</v>
      </c>
      <c r="C2292">
        <v>987</v>
      </c>
      <c r="D2292">
        <v>10423</v>
      </c>
      <c r="E2292" t="s">
        <v>37</v>
      </c>
      <c r="F2292" t="s">
        <v>520</v>
      </c>
      <c r="G2292">
        <v>2</v>
      </c>
      <c r="H2292">
        <v>57</v>
      </c>
      <c r="I2292" s="25">
        <v>1973</v>
      </c>
      <c r="K2292" t="s">
        <v>148</v>
      </c>
      <c r="L2292" t="s">
        <v>141</v>
      </c>
      <c r="M2292" t="s">
        <v>52</v>
      </c>
      <c r="N2292" t="s">
        <v>40</v>
      </c>
      <c r="O2292">
        <v>53</v>
      </c>
      <c r="Q2292">
        <f t="shared" si="68"/>
        <v>2</v>
      </c>
      <c r="S2292">
        <v>0</v>
      </c>
      <c r="T2292">
        <v>0</v>
      </c>
      <c r="U2292">
        <v>0</v>
      </c>
      <c r="V2292">
        <v>2</v>
      </c>
      <c r="W2292">
        <v>0</v>
      </c>
      <c r="X2292" s="21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J2292" t="s">
        <v>51</v>
      </c>
      <c r="AK2292" t="s">
        <v>52</v>
      </c>
      <c r="AP2292" t="s">
        <v>541</v>
      </c>
    </row>
    <row r="2293" spans="1:42">
      <c r="A2293" s="1">
        <v>43844</v>
      </c>
      <c r="B2293">
        <v>2</v>
      </c>
      <c r="C2293">
        <v>987</v>
      </c>
      <c r="D2293">
        <v>10423</v>
      </c>
      <c r="E2293" t="s">
        <v>37</v>
      </c>
      <c r="F2293" t="s">
        <v>520</v>
      </c>
      <c r="G2293">
        <v>2</v>
      </c>
      <c r="H2293">
        <v>58</v>
      </c>
      <c r="I2293" s="25">
        <v>1939</v>
      </c>
      <c r="K2293" t="s">
        <v>148</v>
      </c>
      <c r="L2293" t="s">
        <v>141</v>
      </c>
      <c r="M2293" t="s">
        <v>52</v>
      </c>
      <c r="N2293" t="s">
        <v>44</v>
      </c>
      <c r="O2293">
        <v>117</v>
      </c>
      <c r="Q2293">
        <f t="shared" si="68"/>
        <v>1</v>
      </c>
      <c r="S2293">
        <v>0</v>
      </c>
      <c r="T2293">
        <v>0</v>
      </c>
      <c r="U2293">
        <v>0</v>
      </c>
      <c r="V2293">
        <v>0</v>
      </c>
      <c r="W2293">
        <v>1</v>
      </c>
      <c r="X2293" s="21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J2293" t="s">
        <v>51</v>
      </c>
      <c r="AK2293" t="s">
        <v>52</v>
      </c>
      <c r="AL2293" t="s">
        <v>611</v>
      </c>
      <c r="AP2293" t="s">
        <v>541</v>
      </c>
    </row>
    <row r="2294" spans="1:42">
      <c r="A2294" s="1">
        <v>43844</v>
      </c>
      <c r="B2294">
        <v>2</v>
      </c>
      <c r="C2294">
        <v>987</v>
      </c>
      <c r="D2294">
        <v>10423</v>
      </c>
      <c r="E2294" t="s">
        <v>37</v>
      </c>
      <c r="F2294" t="s">
        <v>520</v>
      </c>
      <c r="G2294">
        <v>2</v>
      </c>
      <c r="H2294">
        <v>59</v>
      </c>
      <c r="I2294" s="25">
        <v>1935</v>
      </c>
      <c r="K2294" t="s">
        <v>148</v>
      </c>
      <c r="L2294" t="s">
        <v>141</v>
      </c>
      <c r="M2294" t="s">
        <v>52</v>
      </c>
      <c r="N2294" t="s">
        <v>40</v>
      </c>
      <c r="O2294">
        <v>97</v>
      </c>
      <c r="Q2294">
        <f t="shared" si="68"/>
        <v>4</v>
      </c>
      <c r="S2294">
        <v>0</v>
      </c>
      <c r="T2294">
        <v>0</v>
      </c>
      <c r="U2294">
        <v>0</v>
      </c>
      <c r="V2294">
        <v>4</v>
      </c>
      <c r="W2294">
        <v>0</v>
      </c>
      <c r="X2294" s="21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J2294" t="s">
        <v>51</v>
      </c>
      <c r="AK2294" t="s">
        <v>52</v>
      </c>
      <c r="AP2294" t="s">
        <v>541</v>
      </c>
    </row>
    <row r="2295" spans="1:42">
      <c r="A2295" s="1">
        <v>43844</v>
      </c>
      <c r="B2295">
        <v>2</v>
      </c>
      <c r="C2295">
        <v>987</v>
      </c>
      <c r="D2295">
        <v>10423</v>
      </c>
      <c r="E2295" t="s">
        <v>37</v>
      </c>
      <c r="F2295" t="s">
        <v>520</v>
      </c>
      <c r="G2295">
        <v>2</v>
      </c>
      <c r="H2295">
        <v>60</v>
      </c>
      <c r="I2295" s="25">
        <v>1925</v>
      </c>
      <c r="K2295" t="s">
        <v>148</v>
      </c>
      <c r="L2295" t="s">
        <v>141</v>
      </c>
      <c r="M2295" t="s">
        <v>52</v>
      </c>
      <c r="N2295" t="s">
        <v>40</v>
      </c>
      <c r="O2295">
        <v>122</v>
      </c>
      <c r="Q2295">
        <f t="shared" si="68"/>
        <v>6</v>
      </c>
      <c r="S2295">
        <v>2</v>
      </c>
      <c r="T2295">
        <v>0</v>
      </c>
      <c r="U2295">
        <v>0</v>
      </c>
      <c r="V2295">
        <v>4</v>
      </c>
      <c r="W2295">
        <v>0</v>
      </c>
      <c r="X2295" s="21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J2295" t="s">
        <v>51</v>
      </c>
      <c r="AK2295" t="s">
        <v>52</v>
      </c>
      <c r="AP2295" t="s">
        <v>541</v>
      </c>
    </row>
    <row r="2296" spans="1:42">
      <c r="A2296" s="1">
        <v>43844</v>
      </c>
      <c r="B2296">
        <v>2</v>
      </c>
      <c r="C2296">
        <v>987</v>
      </c>
      <c r="D2296">
        <v>10423</v>
      </c>
      <c r="E2296" t="s">
        <v>37</v>
      </c>
      <c r="F2296" t="s">
        <v>520</v>
      </c>
      <c r="G2296">
        <v>2</v>
      </c>
      <c r="H2296">
        <v>61</v>
      </c>
      <c r="I2296" s="25">
        <v>1908</v>
      </c>
      <c r="K2296" t="s">
        <v>148</v>
      </c>
      <c r="L2296" t="s">
        <v>114</v>
      </c>
      <c r="M2296" t="s">
        <v>52</v>
      </c>
      <c r="N2296" t="s">
        <v>44</v>
      </c>
      <c r="O2296">
        <f>60*6+33</f>
        <v>393</v>
      </c>
      <c r="Q2296">
        <f t="shared" si="68"/>
        <v>4</v>
      </c>
      <c r="S2296">
        <v>0</v>
      </c>
      <c r="T2296">
        <v>0</v>
      </c>
      <c r="U2296">
        <v>0</v>
      </c>
      <c r="V2296">
        <v>4</v>
      </c>
      <c r="W2296">
        <v>0</v>
      </c>
      <c r="X2296" s="21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3</v>
      </c>
      <c r="AG2296">
        <v>0</v>
      </c>
      <c r="AJ2296" t="s">
        <v>51</v>
      </c>
      <c r="AK2296" t="s">
        <v>52</v>
      </c>
      <c r="AL2296" t="s">
        <v>611</v>
      </c>
      <c r="AP2296" t="s">
        <v>541</v>
      </c>
    </row>
    <row r="2297" spans="1:42">
      <c r="A2297" s="1">
        <v>43844</v>
      </c>
      <c r="B2297">
        <v>2</v>
      </c>
      <c r="C2297">
        <v>987</v>
      </c>
      <c r="D2297">
        <v>10423</v>
      </c>
      <c r="E2297" t="s">
        <v>37</v>
      </c>
      <c r="F2297" t="s">
        <v>520</v>
      </c>
      <c r="G2297">
        <v>2</v>
      </c>
      <c r="H2297">
        <v>62</v>
      </c>
      <c r="I2297" s="25">
        <v>1914</v>
      </c>
      <c r="K2297" t="s">
        <v>148</v>
      </c>
      <c r="L2297" t="s">
        <v>114</v>
      </c>
      <c r="M2297" t="s">
        <v>52</v>
      </c>
      <c r="N2297" t="s">
        <v>44</v>
      </c>
      <c r="O2297">
        <v>105</v>
      </c>
      <c r="Q2297">
        <f t="shared" ref="Q2297:Q2360" si="69">SUM(S2297:AC2297)</f>
        <v>1</v>
      </c>
      <c r="S2297">
        <v>0</v>
      </c>
      <c r="T2297">
        <v>0</v>
      </c>
      <c r="U2297">
        <v>0</v>
      </c>
      <c r="V2297">
        <v>1</v>
      </c>
      <c r="W2297">
        <v>0</v>
      </c>
      <c r="X2297" s="21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J2297" t="s">
        <v>51</v>
      </c>
      <c r="AK2297" t="s">
        <v>52</v>
      </c>
      <c r="AL2297" t="s">
        <v>611</v>
      </c>
      <c r="AP2297" t="s">
        <v>541</v>
      </c>
    </row>
    <row r="2298" spans="1:42">
      <c r="A2298" s="1">
        <v>43844</v>
      </c>
      <c r="B2298">
        <v>2</v>
      </c>
      <c r="C2298">
        <v>987</v>
      </c>
      <c r="D2298">
        <v>10423</v>
      </c>
      <c r="E2298" t="s">
        <v>37</v>
      </c>
      <c r="F2298" t="s">
        <v>520</v>
      </c>
      <c r="G2298">
        <v>2</v>
      </c>
      <c r="H2298">
        <v>63</v>
      </c>
      <c r="I2298" s="25">
        <v>1924</v>
      </c>
      <c r="K2298" t="s">
        <v>148</v>
      </c>
      <c r="L2298" t="s">
        <v>114</v>
      </c>
      <c r="M2298" t="s">
        <v>52</v>
      </c>
      <c r="N2298" t="s">
        <v>40</v>
      </c>
      <c r="O2298">
        <v>50</v>
      </c>
      <c r="Q2298">
        <f t="shared" si="69"/>
        <v>2</v>
      </c>
      <c r="S2298">
        <v>0</v>
      </c>
      <c r="T2298">
        <v>0</v>
      </c>
      <c r="U2298">
        <v>0</v>
      </c>
      <c r="V2298">
        <v>1</v>
      </c>
      <c r="W2298">
        <v>1</v>
      </c>
      <c r="X2298" s="21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0</v>
      </c>
      <c r="AJ2298" t="s">
        <v>51</v>
      </c>
      <c r="AK2298" t="s">
        <v>52</v>
      </c>
      <c r="AP2298" t="s">
        <v>541</v>
      </c>
    </row>
    <row r="2299" spans="1:42">
      <c r="A2299" s="1">
        <v>43844</v>
      </c>
      <c r="B2299">
        <v>2</v>
      </c>
      <c r="C2299">
        <v>987</v>
      </c>
      <c r="D2299">
        <v>10423</v>
      </c>
      <c r="E2299" t="s">
        <v>37</v>
      </c>
      <c r="F2299" t="s">
        <v>520</v>
      </c>
      <c r="G2299">
        <v>2</v>
      </c>
      <c r="H2299">
        <v>64</v>
      </c>
      <c r="I2299" s="25">
        <v>1982</v>
      </c>
      <c r="K2299" t="s">
        <v>148</v>
      </c>
      <c r="L2299" t="s">
        <v>114</v>
      </c>
      <c r="M2299" t="s">
        <v>52</v>
      </c>
      <c r="N2299" t="s">
        <v>40</v>
      </c>
      <c r="O2299">
        <v>145</v>
      </c>
      <c r="Q2299">
        <f t="shared" si="69"/>
        <v>2</v>
      </c>
      <c r="S2299">
        <v>2</v>
      </c>
      <c r="T2299">
        <v>0</v>
      </c>
      <c r="U2299">
        <v>0</v>
      </c>
      <c r="V2299">
        <v>0</v>
      </c>
      <c r="W2299">
        <v>0</v>
      </c>
      <c r="X2299" s="21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1</v>
      </c>
      <c r="AG2299">
        <v>0</v>
      </c>
      <c r="AJ2299" t="s">
        <v>51</v>
      </c>
      <c r="AK2299" t="s">
        <v>52</v>
      </c>
      <c r="AL2299" t="s">
        <v>614</v>
      </c>
      <c r="AP2299" t="s">
        <v>541</v>
      </c>
    </row>
    <row r="2300" spans="1:42">
      <c r="A2300" s="1">
        <v>43844</v>
      </c>
      <c r="B2300">
        <v>2</v>
      </c>
      <c r="C2300">
        <v>987</v>
      </c>
      <c r="D2300">
        <v>10423</v>
      </c>
      <c r="E2300" t="s">
        <v>37</v>
      </c>
      <c r="F2300" t="s">
        <v>520</v>
      </c>
      <c r="G2300">
        <v>2</v>
      </c>
      <c r="H2300">
        <v>65</v>
      </c>
      <c r="I2300" s="25">
        <v>3150</v>
      </c>
      <c r="K2300" t="s">
        <v>596</v>
      </c>
      <c r="L2300" t="s">
        <v>114</v>
      </c>
      <c r="M2300" t="s">
        <v>52</v>
      </c>
      <c r="N2300" t="s">
        <v>40</v>
      </c>
      <c r="O2300">
        <v>64</v>
      </c>
      <c r="Q2300">
        <f t="shared" si="69"/>
        <v>1</v>
      </c>
      <c r="S2300">
        <v>1</v>
      </c>
      <c r="T2300">
        <v>0</v>
      </c>
      <c r="U2300">
        <v>0</v>
      </c>
      <c r="V2300">
        <v>0</v>
      </c>
      <c r="W2300">
        <v>0</v>
      </c>
      <c r="X2300" s="21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1</v>
      </c>
      <c r="AG2300">
        <v>0</v>
      </c>
      <c r="AJ2300" t="s">
        <v>51</v>
      </c>
      <c r="AK2300" t="s">
        <v>52</v>
      </c>
      <c r="AP2300" t="s">
        <v>541</v>
      </c>
    </row>
    <row r="2301" spans="1:42">
      <c r="A2301" s="1">
        <v>43844</v>
      </c>
      <c r="B2301">
        <v>2</v>
      </c>
      <c r="C2301">
        <v>987</v>
      </c>
      <c r="D2301">
        <v>10423</v>
      </c>
      <c r="E2301" t="s">
        <v>37</v>
      </c>
      <c r="F2301" t="s">
        <v>520</v>
      </c>
      <c r="G2301">
        <v>2</v>
      </c>
      <c r="H2301">
        <v>66</v>
      </c>
      <c r="I2301" s="25">
        <v>3154</v>
      </c>
      <c r="K2301" t="s">
        <v>596</v>
      </c>
      <c r="L2301" t="s">
        <v>114</v>
      </c>
      <c r="M2301" t="s">
        <v>52</v>
      </c>
      <c r="N2301" t="s">
        <v>40</v>
      </c>
      <c r="O2301">
        <v>80</v>
      </c>
      <c r="Q2301">
        <f t="shared" si="69"/>
        <v>3</v>
      </c>
      <c r="S2301">
        <v>2</v>
      </c>
      <c r="T2301">
        <v>0</v>
      </c>
      <c r="U2301">
        <v>0</v>
      </c>
      <c r="V2301">
        <v>1</v>
      </c>
      <c r="W2301">
        <v>0</v>
      </c>
      <c r="X2301" s="2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J2301" t="s">
        <v>51</v>
      </c>
      <c r="AK2301" t="s">
        <v>52</v>
      </c>
      <c r="AP2301" t="s">
        <v>541</v>
      </c>
    </row>
    <row r="2302" spans="1:42">
      <c r="A2302" s="1">
        <v>43844</v>
      </c>
      <c r="B2302">
        <v>2</v>
      </c>
      <c r="C2302">
        <v>987</v>
      </c>
      <c r="D2302">
        <v>10423</v>
      </c>
      <c r="E2302" t="s">
        <v>37</v>
      </c>
      <c r="F2302" t="s">
        <v>520</v>
      </c>
      <c r="G2302">
        <v>2</v>
      </c>
      <c r="H2302">
        <v>67</v>
      </c>
      <c r="I2302" s="25">
        <v>3208</v>
      </c>
      <c r="K2302" t="s">
        <v>596</v>
      </c>
      <c r="L2302" t="s">
        <v>114</v>
      </c>
      <c r="M2302" t="s">
        <v>52</v>
      </c>
      <c r="N2302" t="s">
        <v>40</v>
      </c>
      <c r="O2302">
        <v>66</v>
      </c>
      <c r="Q2302">
        <f t="shared" si="69"/>
        <v>2</v>
      </c>
      <c r="S2302">
        <v>0</v>
      </c>
      <c r="T2302">
        <v>0</v>
      </c>
      <c r="U2302">
        <v>0</v>
      </c>
      <c r="V2302">
        <v>1</v>
      </c>
      <c r="W2302">
        <v>1</v>
      </c>
      <c r="X2302" s="21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J2302" t="s">
        <v>51</v>
      </c>
      <c r="AK2302" t="s">
        <v>52</v>
      </c>
      <c r="AP2302" t="s">
        <v>541</v>
      </c>
    </row>
    <row r="2303" spans="1:42">
      <c r="A2303" s="1">
        <v>43844</v>
      </c>
      <c r="B2303">
        <v>2</v>
      </c>
      <c r="C2303">
        <v>987</v>
      </c>
      <c r="D2303">
        <v>10423</v>
      </c>
      <c r="E2303" t="s">
        <v>37</v>
      </c>
      <c r="F2303" t="s">
        <v>520</v>
      </c>
      <c r="G2303">
        <v>2</v>
      </c>
      <c r="H2303">
        <v>68</v>
      </c>
      <c r="I2303" s="25">
        <v>3204</v>
      </c>
      <c r="K2303" t="s">
        <v>596</v>
      </c>
      <c r="L2303" t="s">
        <v>114</v>
      </c>
      <c r="M2303" t="s">
        <v>52</v>
      </c>
      <c r="N2303" t="s">
        <v>44</v>
      </c>
      <c r="O2303">
        <v>77</v>
      </c>
      <c r="Q2303">
        <f t="shared" si="69"/>
        <v>1</v>
      </c>
      <c r="S2303">
        <v>0</v>
      </c>
      <c r="T2303">
        <v>0</v>
      </c>
      <c r="U2303">
        <v>0</v>
      </c>
      <c r="V2303">
        <v>0</v>
      </c>
      <c r="W2303">
        <v>1</v>
      </c>
      <c r="X2303" s="21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J2303" t="s">
        <v>51</v>
      </c>
      <c r="AK2303" t="s">
        <v>52</v>
      </c>
      <c r="AP2303" t="s">
        <v>541</v>
      </c>
    </row>
    <row r="2304" spans="1:42">
      <c r="A2304" s="1">
        <v>43844</v>
      </c>
      <c r="B2304">
        <v>2</v>
      </c>
      <c r="C2304">
        <v>987</v>
      </c>
      <c r="D2304">
        <v>10423</v>
      </c>
      <c r="E2304" t="s">
        <v>37</v>
      </c>
      <c r="F2304" t="s">
        <v>520</v>
      </c>
      <c r="G2304">
        <v>2</v>
      </c>
      <c r="H2304">
        <v>69</v>
      </c>
      <c r="I2304" s="25">
        <v>3131</v>
      </c>
      <c r="K2304" t="s">
        <v>599</v>
      </c>
      <c r="L2304" t="s">
        <v>141</v>
      </c>
      <c r="M2304" t="s">
        <v>52</v>
      </c>
      <c r="N2304" t="s">
        <v>44</v>
      </c>
      <c r="O2304">
        <v>246</v>
      </c>
      <c r="Q2304">
        <f t="shared" si="69"/>
        <v>4</v>
      </c>
      <c r="S2304">
        <v>0</v>
      </c>
      <c r="T2304">
        <v>0</v>
      </c>
      <c r="U2304">
        <v>0</v>
      </c>
      <c r="V2304">
        <v>0</v>
      </c>
      <c r="W2304">
        <v>4</v>
      </c>
      <c r="X2304" s="21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J2304" t="s">
        <v>51</v>
      </c>
      <c r="AK2304" t="s">
        <v>52</v>
      </c>
      <c r="AL2304" t="s">
        <v>558</v>
      </c>
      <c r="AP2304" t="s">
        <v>541</v>
      </c>
    </row>
    <row r="2305" spans="1:42">
      <c r="A2305" s="1">
        <v>43844</v>
      </c>
      <c r="B2305">
        <v>2</v>
      </c>
      <c r="C2305">
        <v>987</v>
      </c>
      <c r="D2305">
        <v>10423</v>
      </c>
      <c r="E2305" t="s">
        <v>37</v>
      </c>
      <c r="F2305" t="s">
        <v>520</v>
      </c>
      <c r="G2305">
        <v>2</v>
      </c>
      <c r="H2305">
        <v>70</v>
      </c>
      <c r="I2305" s="25">
        <v>2085</v>
      </c>
      <c r="K2305" t="s">
        <v>599</v>
      </c>
      <c r="L2305" t="s">
        <v>114</v>
      </c>
      <c r="M2305" t="s">
        <v>52</v>
      </c>
      <c r="N2305" t="s">
        <v>40</v>
      </c>
      <c r="O2305">
        <v>44</v>
      </c>
      <c r="Q2305">
        <f t="shared" si="69"/>
        <v>1</v>
      </c>
      <c r="S2305">
        <v>0</v>
      </c>
      <c r="T2305">
        <v>0</v>
      </c>
      <c r="U2305">
        <v>0</v>
      </c>
      <c r="V2305">
        <v>1</v>
      </c>
      <c r="W2305">
        <v>0</v>
      </c>
      <c r="X2305" s="21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J2305" t="s">
        <v>51</v>
      </c>
      <c r="AK2305" t="s">
        <v>52</v>
      </c>
      <c r="AP2305" t="s">
        <v>541</v>
      </c>
    </row>
    <row r="2306" spans="1:42">
      <c r="A2306" s="1">
        <v>43844</v>
      </c>
      <c r="B2306">
        <v>2</v>
      </c>
      <c r="C2306">
        <v>987</v>
      </c>
      <c r="D2306">
        <v>10423</v>
      </c>
      <c r="E2306" t="s">
        <v>37</v>
      </c>
      <c r="F2306" t="s">
        <v>520</v>
      </c>
      <c r="G2306">
        <v>2</v>
      </c>
      <c r="H2306">
        <v>71</v>
      </c>
      <c r="I2306" s="25">
        <v>2018</v>
      </c>
      <c r="K2306" t="s">
        <v>213</v>
      </c>
      <c r="L2306" t="s">
        <v>114</v>
      </c>
      <c r="M2306" t="s">
        <v>52</v>
      </c>
      <c r="N2306" t="s">
        <v>40</v>
      </c>
      <c r="O2306">
        <v>32</v>
      </c>
      <c r="Q2306">
        <f t="shared" si="69"/>
        <v>1</v>
      </c>
      <c r="S2306">
        <v>0</v>
      </c>
      <c r="T2306">
        <v>0</v>
      </c>
      <c r="U2306">
        <v>0</v>
      </c>
      <c r="V2306">
        <v>1</v>
      </c>
      <c r="W2306">
        <v>0</v>
      </c>
      <c r="X2306" s="21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J2306" t="s">
        <v>51</v>
      </c>
      <c r="AK2306" t="s">
        <v>52</v>
      </c>
      <c r="AP2306" t="s">
        <v>541</v>
      </c>
    </row>
    <row r="2307" spans="1:42">
      <c r="A2307" s="1">
        <v>43844</v>
      </c>
      <c r="B2307">
        <v>2</v>
      </c>
      <c r="C2307">
        <v>987</v>
      </c>
      <c r="D2307">
        <v>10423</v>
      </c>
      <c r="E2307" t="s">
        <v>37</v>
      </c>
      <c r="F2307" t="s">
        <v>520</v>
      </c>
      <c r="G2307">
        <v>2</v>
      </c>
      <c r="H2307">
        <v>72</v>
      </c>
      <c r="I2307" s="25">
        <v>2024</v>
      </c>
      <c r="K2307" t="s">
        <v>213</v>
      </c>
      <c r="L2307" t="s">
        <v>114</v>
      </c>
      <c r="M2307" t="s">
        <v>52</v>
      </c>
      <c r="N2307" t="s">
        <v>42</v>
      </c>
      <c r="O2307">
        <v>75</v>
      </c>
      <c r="Q2307">
        <f t="shared" si="69"/>
        <v>2</v>
      </c>
      <c r="S2307">
        <v>2</v>
      </c>
      <c r="T2307">
        <v>0</v>
      </c>
      <c r="U2307">
        <v>0</v>
      </c>
      <c r="V2307">
        <v>0</v>
      </c>
      <c r="W2307">
        <v>0</v>
      </c>
      <c r="X2307" s="21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J2307" t="s">
        <v>51</v>
      </c>
      <c r="AK2307" t="s">
        <v>52</v>
      </c>
      <c r="AL2307" t="s">
        <v>611</v>
      </c>
      <c r="AP2307" t="s">
        <v>541</v>
      </c>
    </row>
    <row r="2308" spans="1:42">
      <c r="A2308" s="1">
        <v>43844</v>
      </c>
      <c r="B2308">
        <v>2</v>
      </c>
      <c r="C2308">
        <v>987</v>
      </c>
      <c r="D2308">
        <v>10423</v>
      </c>
      <c r="E2308" t="s">
        <v>37</v>
      </c>
      <c r="F2308" t="s">
        <v>520</v>
      </c>
      <c r="G2308">
        <v>2</v>
      </c>
      <c r="H2308">
        <v>73</v>
      </c>
      <c r="I2308" s="25">
        <v>2042</v>
      </c>
      <c r="K2308" t="s">
        <v>213</v>
      </c>
      <c r="L2308" t="s">
        <v>114</v>
      </c>
      <c r="M2308" t="s">
        <v>52</v>
      </c>
      <c r="N2308" t="s">
        <v>40</v>
      </c>
      <c r="O2308">
        <v>77</v>
      </c>
      <c r="Q2308">
        <f t="shared" si="69"/>
        <v>2</v>
      </c>
      <c r="S2308">
        <v>0</v>
      </c>
      <c r="T2308">
        <v>0</v>
      </c>
      <c r="U2308">
        <v>0</v>
      </c>
      <c r="V2308">
        <v>2</v>
      </c>
      <c r="W2308">
        <v>0</v>
      </c>
      <c r="X2308" s="21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J2308" t="s">
        <v>51</v>
      </c>
      <c r="AK2308" t="s">
        <v>52</v>
      </c>
      <c r="AP2308" t="s">
        <v>541</v>
      </c>
    </row>
    <row r="2309" spans="1:42">
      <c r="A2309" s="1">
        <v>43844</v>
      </c>
      <c r="B2309">
        <v>2</v>
      </c>
      <c r="C2309">
        <v>987</v>
      </c>
      <c r="D2309">
        <v>10423</v>
      </c>
      <c r="E2309" t="s">
        <v>37</v>
      </c>
      <c r="F2309" t="s">
        <v>520</v>
      </c>
      <c r="G2309">
        <v>2</v>
      </c>
      <c r="H2309">
        <v>74</v>
      </c>
      <c r="I2309" s="25">
        <v>2060</v>
      </c>
      <c r="K2309" t="s">
        <v>213</v>
      </c>
      <c r="L2309" t="s">
        <v>114</v>
      </c>
      <c r="M2309" t="s">
        <v>52</v>
      </c>
      <c r="N2309" t="s">
        <v>40</v>
      </c>
      <c r="O2309">
        <v>106</v>
      </c>
      <c r="Q2309">
        <f t="shared" si="69"/>
        <v>3</v>
      </c>
      <c r="S2309">
        <v>0</v>
      </c>
      <c r="T2309">
        <v>0</v>
      </c>
      <c r="U2309">
        <v>0</v>
      </c>
      <c r="V2309">
        <v>3</v>
      </c>
      <c r="W2309">
        <v>0</v>
      </c>
      <c r="X2309" s="21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J2309" t="s">
        <v>51</v>
      </c>
      <c r="AK2309" t="s">
        <v>52</v>
      </c>
      <c r="AP2309" t="s">
        <v>541</v>
      </c>
    </row>
    <row r="2310" spans="1:42">
      <c r="A2310" s="1">
        <v>43844</v>
      </c>
      <c r="B2310">
        <v>2</v>
      </c>
      <c r="C2310">
        <v>987</v>
      </c>
      <c r="D2310">
        <v>10423</v>
      </c>
      <c r="E2310" t="s">
        <v>37</v>
      </c>
      <c r="F2310" t="s">
        <v>520</v>
      </c>
      <c r="G2310">
        <v>2</v>
      </c>
      <c r="H2310">
        <v>75</v>
      </c>
      <c r="I2310" s="25">
        <v>2184</v>
      </c>
      <c r="K2310" t="s">
        <v>213</v>
      </c>
      <c r="L2310" t="s">
        <v>114</v>
      </c>
      <c r="M2310" t="s">
        <v>52</v>
      </c>
      <c r="N2310" t="s">
        <v>40</v>
      </c>
      <c r="O2310">
        <v>111</v>
      </c>
      <c r="Q2310">
        <f t="shared" si="69"/>
        <v>1</v>
      </c>
      <c r="S2310">
        <v>0</v>
      </c>
      <c r="T2310">
        <v>0</v>
      </c>
      <c r="U2310">
        <v>0</v>
      </c>
      <c r="V2310">
        <v>1</v>
      </c>
      <c r="W2310">
        <v>0</v>
      </c>
      <c r="X2310" s="21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1</v>
      </c>
      <c r="AG2310">
        <v>0</v>
      </c>
      <c r="AJ2310" t="s">
        <v>51</v>
      </c>
      <c r="AK2310" t="s">
        <v>52</v>
      </c>
      <c r="AP2310" t="s">
        <v>541</v>
      </c>
    </row>
    <row r="2311" spans="1:42">
      <c r="A2311" s="1">
        <v>43844</v>
      </c>
      <c r="B2311">
        <v>2</v>
      </c>
      <c r="C2311">
        <v>987</v>
      </c>
      <c r="D2311">
        <v>10423</v>
      </c>
      <c r="E2311" t="s">
        <v>37</v>
      </c>
      <c r="F2311" t="s">
        <v>520</v>
      </c>
      <c r="G2311">
        <v>2</v>
      </c>
      <c r="H2311">
        <v>76</v>
      </c>
      <c r="I2311" s="25">
        <v>30</v>
      </c>
      <c r="K2311" t="s">
        <v>615</v>
      </c>
      <c r="L2311" t="s">
        <v>114</v>
      </c>
      <c r="M2311" t="s">
        <v>52</v>
      </c>
      <c r="N2311" t="s">
        <v>40</v>
      </c>
      <c r="O2311">
        <v>43</v>
      </c>
      <c r="Q2311">
        <f t="shared" si="69"/>
        <v>1</v>
      </c>
      <c r="S2311">
        <v>1</v>
      </c>
      <c r="T2311">
        <v>0</v>
      </c>
      <c r="U2311">
        <v>0</v>
      </c>
      <c r="V2311">
        <v>0</v>
      </c>
      <c r="W2311">
        <v>0</v>
      </c>
      <c r="X2311" s="2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J2311" t="s">
        <v>51</v>
      </c>
      <c r="AK2311" t="s">
        <v>52</v>
      </c>
      <c r="AP2311" t="s">
        <v>541</v>
      </c>
    </row>
    <row r="2312" spans="1:42">
      <c r="A2312" s="1">
        <v>43844</v>
      </c>
      <c r="B2312">
        <v>2</v>
      </c>
      <c r="C2312">
        <v>987</v>
      </c>
      <c r="D2312">
        <v>10423</v>
      </c>
      <c r="E2312" t="s">
        <v>37</v>
      </c>
      <c r="F2312" t="s">
        <v>520</v>
      </c>
      <c r="G2312">
        <v>2</v>
      </c>
      <c r="H2312">
        <v>77</v>
      </c>
      <c r="I2312" s="25">
        <v>35</v>
      </c>
      <c r="K2312" t="s">
        <v>615</v>
      </c>
      <c r="L2312" t="s">
        <v>141</v>
      </c>
      <c r="M2312" t="s">
        <v>95</v>
      </c>
      <c r="N2312" t="s">
        <v>40</v>
      </c>
      <c r="O2312">
        <v>59</v>
      </c>
      <c r="Q2312">
        <f t="shared" si="69"/>
        <v>2</v>
      </c>
      <c r="S2312">
        <v>0</v>
      </c>
      <c r="T2312">
        <v>0</v>
      </c>
      <c r="U2312">
        <v>0</v>
      </c>
      <c r="V2312">
        <v>2</v>
      </c>
      <c r="W2312">
        <v>0</v>
      </c>
      <c r="X2312" s="21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J2312" t="s">
        <v>51</v>
      </c>
      <c r="AK2312" t="s">
        <v>52</v>
      </c>
      <c r="AP2312" t="s">
        <v>541</v>
      </c>
    </row>
    <row r="2313" spans="1:42">
      <c r="A2313" s="1">
        <v>43844</v>
      </c>
      <c r="B2313">
        <v>2</v>
      </c>
      <c r="C2313">
        <v>987</v>
      </c>
      <c r="D2313">
        <v>10423</v>
      </c>
      <c r="E2313" t="s">
        <v>37</v>
      </c>
      <c r="F2313" t="s">
        <v>520</v>
      </c>
      <c r="G2313">
        <v>2</v>
      </c>
      <c r="H2313">
        <v>78</v>
      </c>
      <c r="I2313" s="25">
        <v>51</v>
      </c>
      <c r="K2313" t="s">
        <v>615</v>
      </c>
      <c r="L2313" t="s">
        <v>141</v>
      </c>
      <c r="M2313" t="s">
        <v>95</v>
      </c>
      <c r="N2313" t="s">
        <v>40</v>
      </c>
      <c r="O2313">
        <v>65</v>
      </c>
      <c r="Q2313">
        <f t="shared" si="69"/>
        <v>3</v>
      </c>
      <c r="S2313">
        <v>3</v>
      </c>
      <c r="T2313">
        <v>0</v>
      </c>
      <c r="U2313">
        <v>0</v>
      </c>
      <c r="V2313">
        <v>0</v>
      </c>
      <c r="W2313">
        <v>0</v>
      </c>
      <c r="X2313" s="21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J2313" t="s">
        <v>51</v>
      </c>
      <c r="AK2313" t="s">
        <v>52</v>
      </c>
      <c r="AP2313" t="s">
        <v>541</v>
      </c>
    </row>
    <row r="2314" spans="1:42">
      <c r="A2314" s="1">
        <v>43844</v>
      </c>
      <c r="B2314">
        <v>2</v>
      </c>
      <c r="C2314">
        <v>987</v>
      </c>
      <c r="D2314">
        <v>10423</v>
      </c>
      <c r="E2314" t="s">
        <v>37</v>
      </c>
      <c r="F2314" t="s">
        <v>520</v>
      </c>
      <c r="G2314">
        <v>2</v>
      </c>
      <c r="H2314">
        <v>79</v>
      </c>
      <c r="I2314" s="25">
        <v>61</v>
      </c>
      <c r="K2314" t="s">
        <v>615</v>
      </c>
      <c r="L2314" t="s">
        <v>141</v>
      </c>
      <c r="M2314" t="s">
        <v>95</v>
      </c>
      <c r="N2314" t="s">
        <v>42</v>
      </c>
      <c r="O2314">
        <v>137</v>
      </c>
      <c r="Q2314">
        <f t="shared" si="69"/>
        <v>3</v>
      </c>
      <c r="S2314">
        <v>0</v>
      </c>
      <c r="T2314">
        <v>0</v>
      </c>
      <c r="U2314">
        <v>0</v>
      </c>
      <c r="V2314">
        <v>2</v>
      </c>
      <c r="W2314">
        <v>1</v>
      </c>
      <c r="X2314" s="21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J2314" t="s">
        <v>51</v>
      </c>
      <c r="AK2314" t="s">
        <v>52</v>
      </c>
      <c r="AL2314" t="s">
        <v>611</v>
      </c>
      <c r="AP2314" t="s">
        <v>541</v>
      </c>
    </row>
    <row r="2315" spans="1:42">
      <c r="A2315" s="1">
        <v>43844</v>
      </c>
      <c r="B2315">
        <v>2</v>
      </c>
      <c r="C2315">
        <v>987</v>
      </c>
      <c r="D2315">
        <v>10423</v>
      </c>
      <c r="E2315" t="s">
        <v>37</v>
      </c>
      <c r="F2315" t="s">
        <v>520</v>
      </c>
      <c r="G2315">
        <v>2</v>
      </c>
      <c r="H2315">
        <v>80</v>
      </c>
      <c r="I2315" s="25">
        <v>67</v>
      </c>
      <c r="K2315" t="s">
        <v>615</v>
      </c>
      <c r="L2315" t="s">
        <v>141</v>
      </c>
      <c r="M2315" t="s">
        <v>95</v>
      </c>
      <c r="N2315" t="s">
        <v>40</v>
      </c>
      <c r="O2315">
        <v>105</v>
      </c>
      <c r="Q2315">
        <f t="shared" si="69"/>
        <v>4</v>
      </c>
      <c r="S2315">
        <v>2</v>
      </c>
      <c r="T2315">
        <v>0</v>
      </c>
      <c r="U2315">
        <v>0</v>
      </c>
      <c r="V2315">
        <v>2</v>
      </c>
      <c r="W2315">
        <v>0</v>
      </c>
      <c r="X2315" s="21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J2315" t="s">
        <v>51</v>
      </c>
      <c r="AK2315" t="s">
        <v>52</v>
      </c>
      <c r="AP2315" t="s">
        <v>541</v>
      </c>
    </row>
    <row r="2316" spans="1:42">
      <c r="A2316" s="1">
        <v>43844</v>
      </c>
      <c r="B2316">
        <v>2</v>
      </c>
      <c r="C2316">
        <v>987</v>
      </c>
      <c r="D2316">
        <v>10423</v>
      </c>
      <c r="E2316" t="s">
        <v>37</v>
      </c>
      <c r="F2316" t="s">
        <v>520</v>
      </c>
      <c r="G2316">
        <v>2</v>
      </c>
      <c r="H2316">
        <v>81</v>
      </c>
      <c r="I2316" s="25">
        <v>79</v>
      </c>
      <c r="K2316" t="s">
        <v>615</v>
      </c>
      <c r="L2316" t="s">
        <v>141</v>
      </c>
      <c r="M2316" t="s">
        <v>95</v>
      </c>
      <c r="N2316" t="s">
        <v>40</v>
      </c>
      <c r="O2316">
        <v>128</v>
      </c>
      <c r="Q2316">
        <f t="shared" si="69"/>
        <v>4</v>
      </c>
      <c r="S2316">
        <v>0</v>
      </c>
      <c r="T2316">
        <v>0</v>
      </c>
      <c r="U2316">
        <v>0</v>
      </c>
      <c r="V2316">
        <v>4</v>
      </c>
      <c r="W2316">
        <v>0</v>
      </c>
      <c r="X2316" s="21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2</v>
      </c>
      <c r="AG2316">
        <v>0</v>
      </c>
      <c r="AJ2316" t="s">
        <v>51</v>
      </c>
      <c r="AK2316" t="s">
        <v>52</v>
      </c>
      <c r="AP2316" t="s">
        <v>541</v>
      </c>
    </row>
    <row r="2317" spans="1:42">
      <c r="A2317" s="1">
        <v>43844</v>
      </c>
      <c r="B2317">
        <v>2</v>
      </c>
      <c r="C2317">
        <v>987</v>
      </c>
      <c r="D2317">
        <v>10423</v>
      </c>
      <c r="E2317" t="s">
        <v>37</v>
      </c>
      <c r="F2317" t="s">
        <v>520</v>
      </c>
      <c r="G2317">
        <v>2</v>
      </c>
      <c r="H2317">
        <v>82</v>
      </c>
      <c r="I2317" s="25">
        <v>3020</v>
      </c>
      <c r="K2317" t="s">
        <v>599</v>
      </c>
      <c r="L2317" t="s">
        <v>114</v>
      </c>
      <c r="M2317" t="s">
        <v>95</v>
      </c>
      <c r="N2317" t="s">
        <v>40</v>
      </c>
      <c r="O2317">
        <v>117</v>
      </c>
      <c r="Q2317">
        <f t="shared" si="69"/>
        <v>3</v>
      </c>
      <c r="S2317">
        <v>0</v>
      </c>
      <c r="T2317">
        <v>0</v>
      </c>
      <c r="U2317">
        <v>0</v>
      </c>
      <c r="V2317">
        <v>2</v>
      </c>
      <c r="W2317">
        <v>1</v>
      </c>
      <c r="X2317" s="21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J2317" t="s">
        <v>51</v>
      </c>
      <c r="AK2317" t="s">
        <v>52</v>
      </c>
      <c r="AP2317" t="s">
        <v>541</v>
      </c>
    </row>
    <row r="2318" spans="1:42">
      <c r="A2318" s="1">
        <v>43844</v>
      </c>
      <c r="B2318">
        <v>2</v>
      </c>
      <c r="C2318">
        <v>987</v>
      </c>
      <c r="D2318">
        <v>10423</v>
      </c>
      <c r="E2318" t="s">
        <v>37</v>
      </c>
      <c r="F2318" t="s">
        <v>520</v>
      </c>
      <c r="G2318">
        <v>2</v>
      </c>
      <c r="H2318">
        <v>83</v>
      </c>
      <c r="I2318" s="25">
        <v>117</v>
      </c>
      <c r="K2318" t="s">
        <v>615</v>
      </c>
      <c r="L2318" t="s">
        <v>141</v>
      </c>
      <c r="M2318" t="s">
        <v>95</v>
      </c>
      <c r="N2318" t="s">
        <v>40</v>
      </c>
      <c r="O2318">
        <v>160</v>
      </c>
      <c r="Q2318">
        <f t="shared" si="69"/>
        <v>3</v>
      </c>
      <c r="S2318">
        <v>1</v>
      </c>
      <c r="T2318">
        <v>0</v>
      </c>
      <c r="U2318">
        <v>0</v>
      </c>
      <c r="V2318">
        <v>2</v>
      </c>
      <c r="W2318">
        <v>0</v>
      </c>
      <c r="X2318" s="21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1</v>
      </c>
      <c r="AG2318">
        <v>0</v>
      </c>
      <c r="AJ2318" t="s">
        <v>51</v>
      </c>
      <c r="AK2318" t="s">
        <v>52</v>
      </c>
      <c r="AP2318" t="s">
        <v>541</v>
      </c>
    </row>
    <row r="2319" spans="1:42">
      <c r="A2319" s="1">
        <v>43844</v>
      </c>
      <c r="B2319">
        <v>2</v>
      </c>
      <c r="C2319">
        <v>987</v>
      </c>
      <c r="D2319">
        <v>10423</v>
      </c>
      <c r="E2319" t="s">
        <v>37</v>
      </c>
      <c r="F2319" t="s">
        <v>520</v>
      </c>
      <c r="G2319">
        <v>2</v>
      </c>
      <c r="H2319">
        <v>84</v>
      </c>
      <c r="I2319" s="25">
        <v>129</v>
      </c>
      <c r="K2319" t="s">
        <v>615</v>
      </c>
      <c r="L2319" t="s">
        <v>141</v>
      </c>
      <c r="M2319" t="s">
        <v>95</v>
      </c>
      <c r="N2319" t="s">
        <v>40</v>
      </c>
      <c r="O2319">
        <v>180</v>
      </c>
      <c r="Q2319">
        <f t="shared" si="69"/>
        <v>4</v>
      </c>
      <c r="S2319">
        <v>0</v>
      </c>
      <c r="T2319">
        <v>0</v>
      </c>
      <c r="U2319">
        <v>0</v>
      </c>
      <c r="V2319">
        <v>4</v>
      </c>
      <c r="W2319">
        <v>0</v>
      </c>
      <c r="X2319" s="21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1</v>
      </c>
      <c r="AG2319">
        <v>0</v>
      </c>
      <c r="AJ2319" t="s">
        <v>51</v>
      </c>
      <c r="AK2319" t="s">
        <v>52</v>
      </c>
      <c r="AP2319" t="s">
        <v>541</v>
      </c>
    </row>
    <row r="2320" spans="1:42">
      <c r="A2320" s="1">
        <v>43844</v>
      </c>
      <c r="B2320">
        <v>2</v>
      </c>
      <c r="C2320">
        <v>987</v>
      </c>
      <c r="D2320">
        <v>10423</v>
      </c>
      <c r="E2320" t="s">
        <v>37</v>
      </c>
      <c r="F2320" t="s">
        <v>520</v>
      </c>
      <c r="G2320">
        <v>2</v>
      </c>
      <c r="H2320">
        <v>85</v>
      </c>
      <c r="I2320" s="25">
        <v>151</v>
      </c>
      <c r="K2320" t="s">
        <v>615</v>
      </c>
      <c r="L2320" t="s">
        <v>141</v>
      </c>
      <c r="M2320" t="s">
        <v>95</v>
      </c>
      <c r="N2320" t="s">
        <v>40</v>
      </c>
      <c r="O2320">
        <v>119</v>
      </c>
      <c r="Q2320">
        <f t="shared" si="69"/>
        <v>4</v>
      </c>
      <c r="S2320">
        <v>2</v>
      </c>
      <c r="T2320">
        <v>0</v>
      </c>
      <c r="U2320">
        <v>0</v>
      </c>
      <c r="V2320">
        <v>2</v>
      </c>
      <c r="W2320">
        <v>0</v>
      </c>
      <c r="X2320" s="21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J2320" t="s">
        <v>51</v>
      </c>
      <c r="AK2320" t="s">
        <v>52</v>
      </c>
      <c r="AP2320" t="s">
        <v>541</v>
      </c>
    </row>
    <row r="2321" spans="1:42">
      <c r="A2321" s="1">
        <v>43844</v>
      </c>
      <c r="B2321">
        <v>2</v>
      </c>
      <c r="C2321">
        <v>987</v>
      </c>
      <c r="D2321">
        <v>10423</v>
      </c>
      <c r="E2321" t="s">
        <v>37</v>
      </c>
      <c r="F2321" t="s">
        <v>520</v>
      </c>
      <c r="G2321">
        <v>2</v>
      </c>
      <c r="H2321">
        <v>86</v>
      </c>
      <c r="I2321" s="25">
        <v>2820</v>
      </c>
      <c r="K2321" t="s">
        <v>599</v>
      </c>
      <c r="L2321" t="s">
        <v>114</v>
      </c>
      <c r="M2321" t="s">
        <v>52</v>
      </c>
      <c r="N2321" t="s">
        <v>44</v>
      </c>
      <c r="O2321">
        <v>155</v>
      </c>
      <c r="Q2321">
        <f t="shared" si="69"/>
        <v>1</v>
      </c>
      <c r="S2321">
        <v>0</v>
      </c>
      <c r="T2321">
        <v>0</v>
      </c>
      <c r="U2321">
        <v>0</v>
      </c>
      <c r="V2321">
        <v>0</v>
      </c>
      <c r="W2321">
        <v>1</v>
      </c>
      <c r="X2321" s="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J2321" t="s">
        <v>54</v>
      </c>
      <c r="AK2321" t="s">
        <v>52</v>
      </c>
      <c r="AL2321" t="s">
        <v>616</v>
      </c>
      <c r="AP2321" t="s">
        <v>541</v>
      </c>
    </row>
    <row r="2322" spans="1:42">
      <c r="A2322" s="1">
        <v>43844</v>
      </c>
      <c r="B2322">
        <v>2</v>
      </c>
      <c r="C2322">
        <v>987</v>
      </c>
      <c r="D2322">
        <v>10423</v>
      </c>
      <c r="E2322" t="s">
        <v>37</v>
      </c>
      <c r="F2322" t="s">
        <v>520</v>
      </c>
      <c r="G2322">
        <v>2</v>
      </c>
      <c r="H2322">
        <v>87</v>
      </c>
      <c r="I2322" s="25">
        <v>2100</v>
      </c>
      <c r="K2322" t="s">
        <v>119</v>
      </c>
      <c r="L2322" t="s">
        <v>114</v>
      </c>
      <c r="M2322" t="s">
        <v>52</v>
      </c>
      <c r="N2322" t="s">
        <v>44</v>
      </c>
      <c r="O2322">
        <v>180</v>
      </c>
      <c r="Q2322">
        <f t="shared" si="69"/>
        <v>1</v>
      </c>
      <c r="S2322">
        <v>0</v>
      </c>
      <c r="T2322">
        <v>0</v>
      </c>
      <c r="U2322">
        <v>0</v>
      </c>
      <c r="V2322">
        <v>0</v>
      </c>
      <c r="W2322">
        <v>1</v>
      </c>
      <c r="X2322" s="21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J2322" t="s">
        <v>54</v>
      </c>
      <c r="AK2322" t="s">
        <v>52</v>
      </c>
      <c r="AL2322" t="s">
        <v>617</v>
      </c>
      <c r="AP2322" t="s">
        <v>541</v>
      </c>
    </row>
    <row r="2323" spans="1:42">
      <c r="A2323" s="1">
        <v>43844</v>
      </c>
      <c r="B2323">
        <v>2</v>
      </c>
      <c r="C2323">
        <v>987</v>
      </c>
      <c r="D2323">
        <v>10423</v>
      </c>
      <c r="E2323" t="s">
        <v>37</v>
      </c>
      <c r="F2323" t="s">
        <v>520</v>
      </c>
      <c r="G2323">
        <v>2</v>
      </c>
      <c r="H2323">
        <v>88</v>
      </c>
      <c r="I2323" s="25">
        <v>2100</v>
      </c>
      <c r="K2323" t="s">
        <v>119</v>
      </c>
      <c r="L2323" t="s">
        <v>114</v>
      </c>
      <c r="M2323" t="s">
        <v>52</v>
      </c>
      <c r="N2323" t="s">
        <v>44</v>
      </c>
      <c r="O2323">
        <v>65</v>
      </c>
      <c r="Q2323">
        <f t="shared" si="69"/>
        <v>2</v>
      </c>
      <c r="S2323">
        <v>0</v>
      </c>
      <c r="T2323">
        <v>0</v>
      </c>
      <c r="U2323">
        <v>0</v>
      </c>
      <c r="V2323">
        <v>0</v>
      </c>
      <c r="W2323">
        <v>2</v>
      </c>
      <c r="X2323" s="21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J2323" t="s">
        <v>54</v>
      </c>
      <c r="AK2323" t="s">
        <v>52</v>
      </c>
      <c r="AL2323" t="s">
        <v>617</v>
      </c>
      <c r="AP2323" t="s">
        <v>541</v>
      </c>
    </row>
    <row r="2324" spans="1:42">
      <c r="A2324" s="1">
        <v>43844</v>
      </c>
      <c r="B2324">
        <v>2</v>
      </c>
      <c r="C2324">
        <v>987</v>
      </c>
      <c r="D2324">
        <v>10423</v>
      </c>
      <c r="E2324" t="s">
        <v>37</v>
      </c>
      <c r="F2324" t="s">
        <v>520</v>
      </c>
      <c r="G2324">
        <v>2</v>
      </c>
      <c r="H2324">
        <v>89</v>
      </c>
      <c r="I2324" s="25">
        <v>2280</v>
      </c>
      <c r="K2324" t="s">
        <v>585</v>
      </c>
      <c r="L2324" t="s">
        <v>114</v>
      </c>
      <c r="M2324" t="s">
        <v>52</v>
      </c>
      <c r="N2324" t="s">
        <v>40</v>
      </c>
      <c r="O2324">
        <v>83</v>
      </c>
      <c r="Q2324">
        <f t="shared" si="69"/>
        <v>3</v>
      </c>
      <c r="S2324">
        <v>0</v>
      </c>
      <c r="T2324">
        <v>0</v>
      </c>
      <c r="U2324">
        <v>0</v>
      </c>
      <c r="V2324">
        <v>0</v>
      </c>
      <c r="W2324">
        <v>3</v>
      </c>
      <c r="X2324" s="21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J2324" t="s">
        <v>51</v>
      </c>
      <c r="AK2324" t="s">
        <v>52</v>
      </c>
      <c r="AP2324" t="s">
        <v>541</v>
      </c>
    </row>
    <row r="2325" spans="1:42">
      <c r="A2325" s="1">
        <v>43844</v>
      </c>
      <c r="B2325">
        <v>2</v>
      </c>
      <c r="C2325">
        <v>987</v>
      </c>
      <c r="D2325">
        <v>10423</v>
      </c>
      <c r="E2325" t="s">
        <v>37</v>
      </c>
      <c r="F2325" t="s">
        <v>520</v>
      </c>
      <c r="G2325">
        <v>2</v>
      </c>
      <c r="H2325">
        <v>90</v>
      </c>
      <c r="I2325" s="25">
        <v>2135</v>
      </c>
      <c r="K2325" t="s">
        <v>585</v>
      </c>
      <c r="L2325" t="s">
        <v>141</v>
      </c>
      <c r="M2325" t="s">
        <v>52</v>
      </c>
      <c r="N2325" t="s">
        <v>44</v>
      </c>
      <c r="O2325">
        <v>155</v>
      </c>
      <c r="Q2325">
        <f t="shared" si="69"/>
        <v>1</v>
      </c>
      <c r="S2325">
        <v>0</v>
      </c>
      <c r="T2325">
        <v>0</v>
      </c>
      <c r="U2325">
        <v>0</v>
      </c>
      <c r="V2325">
        <v>0</v>
      </c>
      <c r="W2325">
        <v>1</v>
      </c>
      <c r="X2325" s="21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J2325" t="s">
        <v>51</v>
      </c>
      <c r="AK2325" t="s">
        <v>52</v>
      </c>
      <c r="AP2325" t="s">
        <v>541</v>
      </c>
    </row>
    <row r="2326" spans="1:42">
      <c r="A2326" s="1">
        <v>43844</v>
      </c>
      <c r="B2326">
        <v>2</v>
      </c>
      <c r="C2326">
        <v>987</v>
      </c>
      <c r="D2326">
        <v>10423</v>
      </c>
      <c r="E2326" t="s">
        <v>37</v>
      </c>
      <c r="F2326" t="s">
        <v>520</v>
      </c>
      <c r="G2326">
        <v>2</v>
      </c>
      <c r="H2326">
        <v>91</v>
      </c>
      <c r="I2326" s="25">
        <v>2160</v>
      </c>
      <c r="K2326" t="s">
        <v>585</v>
      </c>
      <c r="L2326" t="s">
        <v>114</v>
      </c>
      <c r="M2326" t="s">
        <v>52</v>
      </c>
      <c r="N2326" t="s">
        <v>40</v>
      </c>
      <c r="O2326">
        <v>48</v>
      </c>
      <c r="Q2326">
        <f t="shared" si="69"/>
        <v>2</v>
      </c>
      <c r="S2326">
        <v>1</v>
      </c>
      <c r="T2326">
        <v>0</v>
      </c>
      <c r="U2326">
        <v>0</v>
      </c>
      <c r="V2326">
        <v>1</v>
      </c>
      <c r="W2326">
        <v>0</v>
      </c>
      <c r="X2326" s="21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J2326" t="s">
        <v>51</v>
      </c>
      <c r="AK2326" t="s">
        <v>52</v>
      </c>
      <c r="AP2326" t="s">
        <v>541</v>
      </c>
    </row>
    <row r="2327" spans="1:42">
      <c r="A2327" s="1">
        <v>43844</v>
      </c>
      <c r="B2327">
        <v>2</v>
      </c>
      <c r="C2327">
        <v>987</v>
      </c>
      <c r="D2327">
        <v>10423</v>
      </c>
      <c r="E2327" t="s">
        <v>37</v>
      </c>
      <c r="F2327" t="s">
        <v>520</v>
      </c>
      <c r="G2327">
        <v>2</v>
      </c>
      <c r="H2327">
        <v>92</v>
      </c>
      <c r="I2327" s="25">
        <v>2127</v>
      </c>
      <c r="K2327" t="s">
        <v>585</v>
      </c>
      <c r="L2327" t="s">
        <v>141</v>
      </c>
      <c r="M2327" t="s">
        <v>52</v>
      </c>
      <c r="N2327" t="s">
        <v>40</v>
      </c>
      <c r="O2327">
        <v>60</v>
      </c>
      <c r="Q2327">
        <f t="shared" si="69"/>
        <v>1</v>
      </c>
      <c r="S2327">
        <v>0</v>
      </c>
      <c r="T2327">
        <v>0</v>
      </c>
      <c r="U2327">
        <v>0</v>
      </c>
      <c r="V2327">
        <v>1</v>
      </c>
      <c r="W2327">
        <v>0</v>
      </c>
      <c r="X2327" s="21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J2327" t="s">
        <v>51</v>
      </c>
      <c r="AK2327" t="s">
        <v>52</v>
      </c>
      <c r="AP2327" t="s">
        <v>541</v>
      </c>
    </row>
    <row r="2328" spans="1:42">
      <c r="A2328" s="1">
        <v>43844</v>
      </c>
      <c r="B2328">
        <v>2</v>
      </c>
      <c r="C2328">
        <v>987</v>
      </c>
      <c r="D2328">
        <v>10423</v>
      </c>
      <c r="E2328" t="s">
        <v>37</v>
      </c>
      <c r="F2328" t="s">
        <v>520</v>
      </c>
      <c r="G2328">
        <v>2</v>
      </c>
      <c r="H2328">
        <v>93</v>
      </c>
      <c r="I2328" s="25">
        <v>2111</v>
      </c>
      <c r="K2328" t="s">
        <v>585</v>
      </c>
      <c r="L2328" t="s">
        <v>141</v>
      </c>
      <c r="M2328" t="s">
        <v>52</v>
      </c>
      <c r="N2328" t="s">
        <v>40</v>
      </c>
      <c r="O2328">
        <v>30</v>
      </c>
      <c r="Q2328">
        <f t="shared" si="69"/>
        <v>1</v>
      </c>
      <c r="S2328">
        <v>0</v>
      </c>
      <c r="T2328">
        <v>0</v>
      </c>
      <c r="U2328">
        <v>0</v>
      </c>
      <c r="V2328">
        <v>1</v>
      </c>
      <c r="W2328">
        <v>0</v>
      </c>
      <c r="X2328" s="21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J2328" t="s">
        <v>51</v>
      </c>
      <c r="AK2328" t="s">
        <v>52</v>
      </c>
      <c r="AP2328" t="s">
        <v>541</v>
      </c>
    </row>
    <row r="2329" spans="1:42">
      <c r="A2329" s="1">
        <v>43844</v>
      </c>
      <c r="B2329">
        <v>2</v>
      </c>
      <c r="C2329">
        <v>987</v>
      </c>
      <c r="D2329">
        <v>10423</v>
      </c>
      <c r="E2329" t="s">
        <v>37</v>
      </c>
      <c r="F2329" t="s">
        <v>520</v>
      </c>
      <c r="G2329">
        <v>2</v>
      </c>
      <c r="H2329">
        <v>94</v>
      </c>
      <c r="I2329" s="25">
        <v>2100</v>
      </c>
      <c r="K2329" t="s">
        <v>585</v>
      </c>
      <c r="L2329" t="s">
        <v>114</v>
      </c>
      <c r="M2329" t="s">
        <v>52</v>
      </c>
      <c r="N2329" t="s">
        <v>40</v>
      </c>
      <c r="O2329">
        <v>33</v>
      </c>
      <c r="Q2329">
        <f t="shared" si="69"/>
        <v>1</v>
      </c>
      <c r="S2329">
        <v>0</v>
      </c>
      <c r="T2329">
        <v>0</v>
      </c>
      <c r="U2329">
        <v>0</v>
      </c>
      <c r="V2329">
        <v>1</v>
      </c>
      <c r="W2329">
        <v>0</v>
      </c>
      <c r="X2329" s="21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J2329" t="s">
        <v>51</v>
      </c>
      <c r="AK2329" t="s">
        <v>52</v>
      </c>
      <c r="AP2329" t="s">
        <v>541</v>
      </c>
    </row>
    <row r="2330" spans="1:42">
      <c r="A2330" s="1">
        <v>43844</v>
      </c>
      <c r="B2330">
        <v>2</v>
      </c>
      <c r="C2330">
        <v>987</v>
      </c>
      <c r="D2330">
        <v>10423</v>
      </c>
      <c r="E2330" t="s">
        <v>37</v>
      </c>
      <c r="F2330" t="s">
        <v>520</v>
      </c>
      <c r="G2330">
        <v>2</v>
      </c>
      <c r="H2330">
        <v>95</v>
      </c>
      <c r="I2330" s="25">
        <v>2051</v>
      </c>
      <c r="K2330" t="s">
        <v>585</v>
      </c>
      <c r="L2330" t="s">
        <v>141</v>
      </c>
      <c r="M2330" t="s">
        <v>52</v>
      </c>
      <c r="N2330" t="s">
        <v>44</v>
      </c>
      <c r="O2330">
        <v>102</v>
      </c>
      <c r="Q2330">
        <f t="shared" si="69"/>
        <v>1</v>
      </c>
      <c r="S2330">
        <v>0</v>
      </c>
      <c r="T2330">
        <v>0</v>
      </c>
      <c r="U2330">
        <v>0</v>
      </c>
      <c r="V2330">
        <v>1</v>
      </c>
      <c r="W2330">
        <v>0</v>
      </c>
      <c r="X2330" s="21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J2330" t="s">
        <v>54</v>
      </c>
      <c r="AK2330" t="s">
        <v>52</v>
      </c>
      <c r="AL2330" t="s">
        <v>618</v>
      </c>
      <c r="AP2330" t="s">
        <v>541</v>
      </c>
    </row>
    <row r="2331" spans="1:42">
      <c r="A2331" s="1">
        <v>43844</v>
      </c>
      <c r="B2331">
        <v>2</v>
      </c>
      <c r="C2331">
        <v>987</v>
      </c>
      <c r="D2331">
        <v>10423</v>
      </c>
      <c r="E2331" t="s">
        <v>37</v>
      </c>
      <c r="F2331" t="s">
        <v>520</v>
      </c>
      <c r="G2331">
        <v>2</v>
      </c>
      <c r="H2331">
        <v>96</v>
      </c>
      <c r="I2331" s="25">
        <v>2043</v>
      </c>
      <c r="K2331" t="s">
        <v>585</v>
      </c>
      <c r="L2331" t="s">
        <v>141</v>
      </c>
      <c r="M2331" t="s">
        <v>52</v>
      </c>
      <c r="N2331" t="s">
        <v>40</v>
      </c>
      <c r="O2331">
        <v>50</v>
      </c>
      <c r="Q2331">
        <f t="shared" si="69"/>
        <v>2</v>
      </c>
      <c r="S2331">
        <v>1</v>
      </c>
      <c r="T2331">
        <v>0</v>
      </c>
      <c r="U2331">
        <v>0</v>
      </c>
      <c r="V2331">
        <v>1</v>
      </c>
      <c r="W2331">
        <v>0</v>
      </c>
      <c r="X2331" s="2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J2331" t="s">
        <v>54</v>
      </c>
      <c r="AK2331" t="s">
        <v>52</v>
      </c>
      <c r="AP2331" t="s">
        <v>541</v>
      </c>
    </row>
    <row r="2332" spans="1:42">
      <c r="A2332" s="1">
        <v>43844</v>
      </c>
      <c r="B2332">
        <v>2</v>
      </c>
      <c r="C2332">
        <v>987</v>
      </c>
      <c r="D2332">
        <v>10423</v>
      </c>
      <c r="E2332" t="s">
        <v>37</v>
      </c>
      <c r="F2332" t="s">
        <v>520</v>
      </c>
      <c r="G2332">
        <v>2</v>
      </c>
      <c r="H2332">
        <v>97</v>
      </c>
      <c r="I2332" s="25">
        <v>2043</v>
      </c>
      <c r="K2332" t="s">
        <v>585</v>
      </c>
      <c r="L2332" t="s">
        <v>141</v>
      </c>
      <c r="M2332" t="s">
        <v>52</v>
      </c>
      <c r="N2332" t="s">
        <v>44</v>
      </c>
      <c r="O2332">
        <v>157</v>
      </c>
      <c r="Q2332">
        <f t="shared" si="69"/>
        <v>1</v>
      </c>
      <c r="S2332">
        <v>0</v>
      </c>
      <c r="T2332">
        <v>0</v>
      </c>
      <c r="U2332">
        <v>0</v>
      </c>
      <c r="V2332">
        <v>0</v>
      </c>
      <c r="W2332">
        <v>1</v>
      </c>
      <c r="X2332" s="21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J2332" t="s">
        <v>54</v>
      </c>
      <c r="AK2332" t="s">
        <v>52</v>
      </c>
      <c r="AL2332" t="s">
        <v>618</v>
      </c>
      <c r="AP2332" t="s">
        <v>541</v>
      </c>
    </row>
    <row r="2333" spans="1:42">
      <c r="A2333" s="1">
        <v>43844</v>
      </c>
      <c r="B2333">
        <v>2</v>
      </c>
      <c r="C2333">
        <v>987</v>
      </c>
      <c r="D2333">
        <v>10423</v>
      </c>
      <c r="E2333" t="s">
        <v>37</v>
      </c>
      <c r="F2333" t="s">
        <v>520</v>
      </c>
      <c r="G2333">
        <v>2</v>
      </c>
      <c r="H2333">
        <v>98</v>
      </c>
      <c r="I2333" s="25">
        <v>1820</v>
      </c>
      <c r="K2333" t="s">
        <v>585</v>
      </c>
      <c r="L2333" t="s">
        <v>114</v>
      </c>
      <c r="M2333" t="s">
        <v>52</v>
      </c>
      <c r="N2333" t="s">
        <v>44</v>
      </c>
      <c r="O2333">
        <v>220</v>
      </c>
      <c r="Q2333">
        <f t="shared" si="69"/>
        <v>4</v>
      </c>
      <c r="S2333">
        <v>0</v>
      </c>
      <c r="T2333">
        <v>0</v>
      </c>
      <c r="U2333">
        <v>0</v>
      </c>
      <c r="V2333">
        <v>2</v>
      </c>
      <c r="W2333">
        <v>2</v>
      </c>
      <c r="X2333" s="21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J2333" t="s">
        <v>54</v>
      </c>
      <c r="AK2333" t="s">
        <v>52</v>
      </c>
      <c r="AL2333" t="s">
        <v>618</v>
      </c>
      <c r="AP2333" t="s">
        <v>541</v>
      </c>
    </row>
    <row r="2334" spans="1:42">
      <c r="A2334" s="1">
        <v>43844</v>
      </c>
      <c r="B2334">
        <v>2</v>
      </c>
      <c r="C2334">
        <v>987</v>
      </c>
      <c r="D2334">
        <v>10423</v>
      </c>
      <c r="E2334" t="s">
        <v>37</v>
      </c>
      <c r="F2334" t="s">
        <v>520</v>
      </c>
      <c r="G2334">
        <v>2</v>
      </c>
      <c r="H2334">
        <v>99</v>
      </c>
      <c r="I2334" s="25">
        <v>1980</v>
      </c>
      <c r="K2334" t="s">
        <v>185</v>
      </c>
      <c r="L2334" t="s">
        <v>114</v>
      </c>
      <c r="M2334" t="s">
        <v>52</v>
      </c>
      <c r="N2334" t="s">
        <v>44</v>
      </c>
      <c r="O2334">
        <v>163</v>
      </c>
      <c r="Q2334">
        <f t="shared" si="69"/>
        <v>3</v>
      </c>
      <c r="S2334">
        <v>0</v>
      </c>
      <c r="T2334">
        <v>0</v>
      </c>
      <c r="U2334">
        <v>0</v>
      </c>
      <c r="V2334">
        <v>0</v>
      </c>
      <c r="W2334">
        <v>3</v>
      </c>
      <c r="X2334" s="21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J2334" t="s">
        <v>54</v>
      </c>
      <c r="AK2334" t="s">
        <v>52</v>
      </c>
      <c r="AL2334" t="s">
        <v>619</v>
      </c>
      <c r="AP2334" t="s">
        <v>541</v>
      </c>
    </row>
    <row r="2335" spans="1:42">
      <c r="A2335" s="1">
        <v>43844</v>
      </c>
      <c r="B2335">
        <v>2</v>
      </c>
      <c r="C2335">
        <v>987</v>
      </c>
      <c r="D2335">
        <v>10423</v>
      </c>
      <c r="E2335" t="s">
        <v>37</v>
      </c>
      <c r="F2335" t="s">
        <v>520</v>
      </c>
      <c r="G2335">
        <v>2</v>
      </c>
      <c r="H2335">
        <v>100</v>
      </c>
      <c r="I2335" s="25">
        <v>2060</v>
      </c>
      <c r="K2335" t="s">
        <v>585</v>
      </c>
      <c r="L2335" t="s">
        <v>114</v>
      </c>
      <c r="M2335" t="s">
        <v>52</v>
      </c>
      <c r="N2335" t="s">
        <v>44</v>
      </c>
      <c r="O2335">
        <v>162</v>
      </c>
      <c r="Q2335">
        <f t="shared" si="69"/>
        <v>1</v>
      </c>
      <c r="S2335">
        <v>0</v>
      </c>
      <c r="T2335">
        <v>0</v>
      </c>
      <c r="U2335">
        <v>0</v>
      </c>
      <c r="V2335">
        <v>0</v>
      </c>
      <c r="W2335">
        <v>1</v>
      </c>
      <c r="X2335" s="21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J2335" t="s">
        <v>54</v>
      </c>
      <c r="AK2335" t="s">
        <v>52</v>
      </c>
      <c r="AL2335" t="s">
        <v>611</v>
      </c>
      <c r="AP2335" t="s">
        <v>541</v>
      </c>
    </row>
    <row r="2336" spans="1:42">
      <c r="A2336" s="1">
        <v>43844</v>
      </c>
      <c r="B2336">
        <v>2</v>
      </c>
      <c r="C2336">
        <v>987</v>
      </c>
      <c r="D2336">
        <v>10423</v>
      </c>
      <c r="E2336" t="s">
        <v>37</v>
      </c>
      <c r="F2336" t="s">
        <v>520</v>
      </c>
      <c r="G2336">
        <v>2</v>
      </c>
      <c r="H2336">
        <v>101</v>
      </c>
      <c r="I2336" s="25">
        <v>2080</v>
      </c>
      <c r="K2336" t="s">
        <v>585</v>
      </c>
      <c r="L2336" t="s">
        <v>114</v>
      </c>
      <c r="M2336" t="s">
        <v>52</v>
      </c>
      <c r="N2336" t="s">
        <v>40</v>
      </c>
      <c r="O2336">
        <v>117</v>
      </c>
      <c r="Q2336">
        <f t="shared" si="69"/>
        <v>3</v>
      </c>
      <c r="S2336">
        <v>2</v>
      </c>
      <c r="T2336">
        <v>0</v>
      </c>
      <c r="U2336">
        <v>0</v>
      </c>
      <c r="V2336">
        <v>1</v>
      </c>
      <c r="W2336">
        <v>0</v>
      </c>
      <c r="X2336" s="21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J2336" t="s">
        <v>54</v>
      </c>
      <c r="AK2336" t="s">
        <v>52</v>
      </c>
      <c r="AL2336" t="s">
        <v>614</v>
      </c>
      <c r="AP2336" t="s">
        <v>541</v>
      </c>
    </row>
    <row r="2337" spans="1:42">
      <c r="A2337" s="1">
        <v>43844</v>
      </c>
      <c r="B2337">
        <v>2</v>
      </c>
      <c r="C2337">
        <v>987</v>
      </c>
      <c r="D2337">
        <v>10423</v>
      </c>
      <c r="E2337" t="s">
        <v>37</v>
      </c>
      <c r="F2337" t="s">
        <v>520</v>
      </c>
      <c r="G2337">
        <v>2</v>
      </c>
      <c r="H2337">
        <v>102</v>
      </c>
      <c r="I2337" s="25">
        <v>2134</v>
      </c>
      <c r="K2337" t="s">
        <v>585</v>
      </c>
      <c r="L2337" t="s">
        <v>114</v>
      </c>
      <c r="M2337" t="s">
        <v>52</v>
      </c>
      <c r="N2337" t="s">
        <v>42</v>
      </c>
      <c r="O2337">
        <v>225</v>
      </c>
      <c r="Q2337">
        <f t="shared" si="69"/>
        <v>3</v>
      </c>
      <c r="S2337">
        <v>0</v>
      </c>
      <c r="T2337">
        <v>0</v>
      </c>
      <c r="U2337">
        <v>0</v>
      </c>
      <c r="V2337">
        <v>1</v>
      </c>
      <c r="W2337">
        <v>2</v>
      </c>
      <c r="X2337" s="21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J2337" t="s">
        <v>54</v>
      </c>
      <c r="AK2337" t="s">
        <v>52</v>
      </c>
      <c r="AL2337" t="s">
        <v>612</v>
      </c>
      <c r="AP2337" t="s">
        <v>541</v>
      </c>
    </row>
    <row r="2338" spans="1:42">
      <c r="A2338" s="1">
        <v>43844</v>
      </c>
      <c r="B2338">
        <v>2</v>
      </c>
      <c r="C2338">
        <v>987</v>
      </c>
      <c r="D2338">
        <v>10423</v>
      </c>
      <c r="E2338" t="s">
        <v>37</v>
      </c>
      <c r="F2338" t="s">
        <v>520</v>
      </c>
      <c r="G2338">
        <v>2</v>
      </c>
      <c r="H2338">
        <v>103</v>
      </c>
      <c r="I2338" s="25">
        <v>2140</v>
      </c>
      <c r="K2338" t="s">
        <v>585</v>
      </c>
      <c r="L2338" t="s">
        <v>114</v>
      </c>
      <c r="M2338" t="s">
        <v>52</v>
      </c>
      <c r="N2338" t="s">
        <v>44</v>
      </c>
      <c r="O2338">
        <v>142</v>
      </c>
      <c r="Q2338">
        <f t="shared" si="69"/>
        <v>1</v>
      </c>
      <c r="S2338">
        <v>0</v>
      </c>
      <c r="T2338">
        <v>0</v>
      </c>
      <c r="U2338">
        <v>0</v>
      </c>
      <c r="V2338">
        <v>0</v>
      </c>
      <c r="W2338">
        <v>1</v>
      </c>
      <c r="X2338" s="21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J2338" t="s">
        <v>54</v>
      </c>
      <c r="AK2338" t="s">
        <v>52</v>
      </c>
      <c r="AL2338" t="s">
        <v>558</v>
      </c>
      <c r="AP2338" t="s">
        <v>541</v>
      </c>
    </row>
    <row r="2339" spans="1:42">
      <c r="A2339" s="1">
        <v>43844</v>
      </c>
      <c r="B2339">
        <v>2</v>
      </c>
      <c r="C2339">
        <v>987</v>
      </c>
      <c r="D2339">
        <v>10423</v>
      </c>
      <c r="E2339" t="s">
        <v>37</v>
      </c>
      <c r="F2339" t="s">
        <v>520</v>
      </c>
      <c r="G2339">
        <v>2</v>
      </c>
      <c r="H2339">
        <v>104</v>
      </c>
      <c r="I2339" s="25">
        <v>2170</v>
      </c>
      <c r="K2339" t="s">
        <v>585</v>
      </c>
      <c r="L2339" t="s">
        <v>114</v>
      </c>
      <c r="M2339" t="s">
        <v>52</v>
      </c>
      <c r="N2339" t="s">
        <v>44</v>
      </c>
      <c r="O2339">
        <v>250</v>
      </c>
      <c r="Q2339">
        <f t="shared" si="69"/>
        <v>5</v>
      </c>
      <c r="S2339">
        <v>0</v>
      </c>
      <c r="T2339">
        <v>0</v>
      </c>
      <c r="U2339">
        <v>1</v>
      </c>
      <c r="V2339">
        <v>2</v>
      </c>
      <c r="W2339">
        <v>2</v>
      </c>
      <c r="X2339" s="21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J2339" t="s">
        <v>54</v>
      </c>
      <c r="AK2339" t="s">
        <v>52</v>
      </c>
      <c r="AL2339" t="s">
        <v>558</v>
      </c>
      <c r="AP2339" t="s">
        <v>541</v>
      </c>
    </row>
    <row r="2340" spans="1:42">
      <c r="A2340" s="1">
        <v>43844</v>
      </c>
      <c r="B2340">
        <v>2</v>
      </c>
      <c r="C2340">
        <v>987</v>
      </c>
      <c r="D2340">
        <v>10423</v>
      </c>
      <c r="E2340" t="s">
        <v>37</v>
      </c>
      <c r="F2340" t="s">
        <v>520</v>
      </c>
      <c r="G2340">
        <v>2</v>
      </c>
      <c r="H2340">
        <v>105</v>
      </c>
      <c r="I2340" s="25">
        <v>2109</v>
      </c>
      <c r="K2340" t="s">
        <v>185</v>
      </c>
      <c r="L2340" t="s">
        <v>141</v>
      </c>
      <c r="M2340" t="s">
        <v>52</v>
      </c>
      <c r="N2340" t="s">
        <v>40</v>
      </c>
      <c r="O2340">
        <v>327</v>
      </c>
      <c r="Q2340">
        <f t="shared" si="69"/>
        <v>8</v>
      </c>
      <c r="S2340">
        <v>3</v>
      </c>
      <c r="T2340">
        <v>0</v>
      </c>
      <c r="U2340">
        <v>1</v>
      </c>
      <c r="V2340">
        <v>0</v>
      </c>
      <c r="W2340">
        <v>4</v>
      </c>
      <c r="X2340" s="21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J2340" t="s">
        <v>54</v>
      </c>
      <c r="AK2340" t="s">
        <v>52</v>
      </c>
      <c r="AL2340" t="s">
        <v>614</v>
      </c>
      <c r="AP2340" t="s">
        <v>541</v>
      </c>
    </row>
    <row r="2341" spans="1:42">
      <c r="A2341" s="1">
        <v>43844</v>
      </c>
      <c r="B2341">
        <v>2</v>
      </c>
      <c r="C2341">
        <v>987</v>
      </c>
      <c r="D2341">
        <v>10423</v>
      </c>
      <c r="E2341" t="s">
        <v>37</v>
      </c>
      <c r="F2341" t="s">
        <v>520</v>
      </c>
      <c r="G2341">
        <v>2</v>
      </c>
      <c r="H2341">
        <v>106</v>
      </c>
      <c r="I2341" s="25">
        <v>2059</v>
      </c>
      <c r="K2341" t="s">
        <v>185</v>
      </c>
      <c r="L2341" t="s">
        <v>141</v>
      </c>
      <c r="M2341" t="s">
        <v>52</v>
      </c>
      <c r="N2341" t="s">
        <v>40</v>
      </c>
      <c r="O2341">
        <v>160</v>
      </c>
      <c r="Q2341">
        <f t="shared" si="69"/>
        <v>3</v>
      </c>
      <c r="S2341">
        <v>0</v>
      </c>
      <c r="T2341">
        <v>0</v>
      </c>
      <c r="U2341">
        <v>0</v>
      </c>
      <c r="V2341">
        <v>2</v>
      </c>
      <c r="W2341">
        <v>1</v>
      </c>
      <c r="X2341" s="2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J2341" t="s">
        <v>54</v>
      </c>
      <c r="AK2341" t="s">
        <v>52</v>
      </c>
      <c r="AP2341" t="s">
        <v>541</v>
      </c>
    </row>
    <row r="2342" spans="1:42">
      <c r="A2342" s="1">
        <v>43844</v>
      </c>
      <c r="B2342">
        <v>2</v>
      </c>
      <c r="C2342">
        <v>987</v>
      </c>
      <c r="D2342">
        <v>10423</v>
      </c>
      <c r="E2342" t="s">
        <v>37</v>
      </c>
      <c r="F2342" t="s">
        <v>520</v>
      </c>
      <c r="G2342">
        <v>2</v>
      </c>
      <c r="H2342">
        <v>107</v>
      </c>
      <c r="I2342" s="25">
        <v>2045</v>
      </c>
      <c r="K2342" t="s">
        <v>185</v>
      </c>
      <c r="L2342" t="s">
        <v>141</v>
      </c>
      <c r="M2342" t="s">
        <v>52</v>
      </c>
      <c r="N2342" t="s">
        <v>40</v>
      </c>
      <c r="O2342">
        <v>90</v>
      </c>
      <c r="Q2342">
        <f t="shared" si="69"/>
        <v>3</v>
      </c>
      <c r="S2342">
        <v>0</v>
      </c>
      <c r="T2342">
        <v>0</v>
      </c>
      <c r="U2342">
        <v>0</v>
      </c>
      <c r="V2342">
        <v>1</v>
      </c>
      <c r="W2342">
        <v>2</v>
      </c>
      <c r="X2342" s="21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J2342" t="s">
        <v>54</v>
      </c>
      <c r="AK2342" t="s">
        <v>52</v>
      </c>
      <c r="AP2342" t="s">
        <v>541</v>
      </c>
    </row>
    <row r="2343" spans="1:42">
      <c r="A2343" s="1">
        <v>43844</v>
      </c>
      <c r="B2343">
        <v>2</v>
      </c>
      <c r="C2343">
        <v>987</v>
      </c>
      <c r="D2343">
        <v>10423</v>
      </c>
      <c r="E2343" t="s">
        <v>37</v>
      </c>
      <c r="F2343" t="s">
        <v>520</v>
      </c>
      <c r="G2343">
        <v>2</v>
      </c>
      <c r="H2343">
        <v>108</v>
      </c>
      <c r="I2343" s="25">
        <v>2041</v>
      </c>
      <c r="K2343" t="s">
        <v>185</v>
      </c>
      <c r="L2343" t="s">
        <v>141</v>
      </c>
      <c r="M2343" t="s">
        <v>52</v>
      </c>
      <c r="N2343" t="s">
        <v>42</v>
      </c>
      <c r="O2343">
        <v>87</v>
      </c>
      <c r="Q2343">
        <f t="shared" si="69"/>
        <v>2</v>
      </c>
      <c r="S2343">
        <v>0</v>
      </c>
      <c r="T2343">
        <v>0</v>
      </c>
      <c r="U2343">
        <v>0</v>
      </c>
      <c r="V2343">
        <v>0</v>
      </c>
      <c r="W2343">
        <v>2</v>
      </c>
      <c r="X2343" s="21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J2343" t="s">
        <v>54</v>
      </c>
      <c r="AK2343" t="s">
        <v>52</v>
      </c>
      <c r="AL2343" t="s">
        <v>611</v>
      </c>
      <c r="AP2343" t="s">
        <v>541</v>
      </c>
    </row>
    <row r="2344" spans="1:42">
      <c r="A2344" s="1">
        <v>43844</v>
      </c>
      <c r="B2344">
        <v>2</v>
      </c>
      <c r="C2344">
        <v>987</v>
      </c>
      <c r="D2344">
        <v>10423</v>
      </c>
      <c r="E2344" t="s">
        <v>37</v>
      </c>
      <c r="F2344" t="s">
        <v>520</v>
      </c>
      <c r="G2344">
        <v>2</v>
      </c>
      <c r="H2344">
        <v>109</v>
      </c>
      <c r="I2344" s="25">
        <v>2005</v>
      </c>
      <c r="K2344" t="s">
        <v>185</v>
      </c>
      <c r="L2344" t="s">
        <v>114</v>
      </c>
      <c r="M2344" t="s">
        <v>52</v>
      </c>
      <c r="N2344" t="s">
        <v>42</v>
      </c>
      <c r="O2344">
        <v>129</v>
      </c>
      <c r="Q2344">
        <f t="shared" si="69"/>
        <v>2</v>
      </c>
      <c r="S2344">
        <v>0</v>
      </c>
      <c r="T2344">
        <v>0</v>
      </c>
      <c r="U2344">
        <v>0</v>
      </c>
      <c r="V2344">
        <v>0</v>
      </c>
      <c r="W2344">
        <v>2</v>
      </c>
      <c r="X2344" s="21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J2344" t="s">
        <v>54</v>
      </c>
      <c r="AK2344" t="s">
        <v>52</v>
      </c>
      <c r="AL2344" t="s">
        <v>611</v>
      </c>
      <c r="AP2344" t="s">
        <v>541</v>
      </c>
    </row>
    <row r="2345" spans="1:42">
      <c r="A2345" s="1">
        <v>43844</v>
      </c>
      <c r="B2345">
        <v>2</v>
      </c>
      <c r="C2345">
        <v>987</v>
      </c>
      <c r="D2345">
        <v>10423</v>
      </c>
      <c r="E2345" t="s">
        <v>37</v>
      </c>
      <c r="F2345" t="s">
        <v>520</v>
      </c>
      <c r="G2345">
        <v>2</v>
      </c>
      <c r="H2345">
        <v>110</v>
      </c>
      <c r="I2345" s="25">
        <v>1905</v>
      </c>
      <c r="K2345" t="s">
        <v>185</v>
      </c>
      <c r="L2345" t="s">
        <v>141</v>
      </c>
      <c r="M2345" t="s">
        <v>52</v>
      </c>
      <c r="N2345" t="s">
        <v>42</v>
      </c>
      <c r="O2345">
        <v>147</v>
      </c>
      <c r="Q2345">
        <f t="shared" si="69"/>
        <v>1</v>
      </c>
      <c r="S2345">
        <v>0</v>
      </c>
      <c r="T2345">
        <v>0</v>
      </c>
      <c r="U2345">
        <v>0</v>
      </c>
      <c r="V2345">
        <v>0</v>
      </c>
      <c r="W2345">
        <v>1</v>
      </c>
      <c r="X2345" s="21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J2345" t="s">
        <v>54</v>
      </c>
      <c r="AK2345" t="s">
        <v>52</v>
      </c>
      <c r="AL2345" t="s">
        <v>611</v>
      </c>
      <c r="AP2345" t="s">
        <v>541</v>
      </c>
    </row>
    <row r="2346" spans="1:42">
      <c r="A2346" s="1">
        <v>43844</v>
      </c>
      <c r="B2346">
        <v>2</v>
      </c>
      <c r="C2346">
        <v>987</v>
      </c>
      <c r="D2346">
        <v>10423</v>
      </c>
      <c r="E2346" t="s">
        <v>37</v>
      </c>
      <c r="F2346" t="s">
        <v>520</v>
      </c>
      <c r="G2346">
        <v>2</v>
      </c>
      <c r="H2346">
        <v>111</v>
      </c>
      <c r="I2346" s="25">
        <v>2010</v>
      </c>
      <c r="K2346" t="s">
        <v>605</v>
      </c>
      <c r="L2346" t="s">
        <v>114</v>
      </c>
      <c r="M2346" t="s">
        <v>52</v>
      </c>
      <c r="N2346" t="s">
        <v>44</v>
      </c>
      <c r="O2346">
        <v>180</v>
      </c>
      <c r="Q2346">
        <f t="shared" si="69"/>
        <v>3</v>
      </c>
      <c r="S2346">
        <v>0</v>
      </c>
      <c r="T2346">
        <v>0</v>
      </c>
      <c r="U2346">
        <v>0</v>
      </c>
      <c r="V2346">
        <v>0</v>
      </c>
      <c r="W2346">
        <v>3</v>
      </c>
      <c r="X2346" s="21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J2346" t="s">
        <v>51</v>
      </c>
      <c r="AK2346" t="s">
        <v>52</v>
      </c>
      <c r="AL2346" t="s">
        <v>611</v>
      </c>
      <c r="AP2346" t="s">
        <v>541</v>
      </c>
    </row>
    <row r="2347" spans="1:42">
      <c r="A2347" s="1">
        <v>43844</v>
      </c>
      <c r="B2347">
        <v>2</v>
      </c>
      <c r="C2347">
        <v>987</v>
      </c>
      <c r="D2347">
        <v>10423</v>
      </c>
      <c r="E2347" t="s">
        <v>37</v>
      </c>
      <c r="F2347" t="s">
        <v>520</v>
      </c>
      <c r="G2347">
        <v>2</v>
      </c>
      <c r="H2347">
        <v>112</v>
      </c>
      <c r="I2347" s="25">
        <v>2060</v>
      </c>
      <c r="K2347" t="s">
        <v>605</v>
      </c>
      <c r="L2347" t="s">
        <v>114</v>
      </c>
      <c r="M2347" t="s">
        <v>52</v>
      </c>
      <c r="N2347" t="s">
        <v>44</v>
      </c>
      <c r="O2347">
        <v>270</v>
      </c>
      <c r="Q2347">
        <f t="shared" si="69"/>
        <v>2</v>
      </c>
      <c r="S2347">
        <v>0</v>
      </c>
      <c r="T2347">
        <v>0</v>
      </c>
      <c r="U2347">
        <v>0</v>
      </c>
      <c r="V2347">
        <v>0</v>
      </c>
      <c r="W2347">
        <v>2</v>
      </c>
      <c r="X2347" s="21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J2347" t="s">
        <v>51</v>
      </c>
      <c r="AK2347" t="s">
        <v>52</v>
      </c>
      <c r="AL2347" t="s">
        <v>620</v>
      </c>
      <c r="AP2347" t="s">
        <v>541</v>
      </c>
    </row>
    <row r="2348" spans="1:42">
      <c r="A2348" s="1">
        <v>43844</v>
      </c>
      <c r="B2348">
        <v>2</v>
      </c>
      <c r="C2348">
        <v>987</v>
      </c>
      <c r="D2348">
        <v>10423</v>
      </c>
      <c r="E2348" t="s">
        <v>37</v>
      </c>
      <c r="F2348" t="s">
        <v>520</v>
      </c>
      <c r="G2348">
        <v>2</v>
      </c>
      <c r="H2348">
        <v>113</v>
      </c>
      <c r="I2348" s="25">
        <v>2614</v>
      </c>
      <c r="K2348" t="s">
        <v>596</v>
      </c>
      <c r="L2348" t="s">
        <v>114</v>
      </c>
      <c r="M2348" t="s">
        <v>52</v>
      </c>
      <c r="N2348" t="s">
        <v>42</v>
      </c>
      <c r="O2348">
        <v>152</v>
      </c>
      <c r="Q2348">
        <f t="shared" si="69"/>
        <v>2</v>
      </c>
      <c r="S2348">
        <v>0</v>
      </c>
      <c r="T2348">
        <v>0</v>
      </c>
      <c r="U2348">
        <v>0</v>
      </c>
      <c r="V2348">
        <v>1</v>
      </c>
      <c r="W2348">
        <v>1</v>
      </c>
      <c r="X2348" s="21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J2348" t="s">
        <v>51</v>
      </c>
      <c r="AK2348" t="s">
        <v>52</v>
      </c>
      <c r="AL2348" t="s">
        <v>612</v>
      </c>
      <c r="AP2348" t="s">
        <v>541</v>
      </c>
    </row>
    <row r="2349" spans="1:42">
      <c r="A2349" s="1">
        <v>43844</v>
      </c>
      <c r="B2349">
        <v>2</v>
      </c>
      <c r="C2349">
        <v>987</v>
      </c>
      <c r="D2349">
        <v>10423</v>
      </c>
      <c r="E2349" t="s">
        <v>37</v>
      </c>
      <c r="F2349" t="s">
        <v>520</v>
      </c>
      <c r="G2349">
        <v>2</v>
      </c>
      <c r="H2349">
        <v>114</v>
      </c>
      <c r="I2349" s="25">
        <v>2616</v>
      </c>
      <c r="K2349" t="s">
        <v>596</v>
      </c>
      <c r="L2349" t="s">
        <v>114</v>
      </c>
      <c r="M2349" t="s">
        <v>52</v>
      </c>
      <c r="N2349" t="s">
        <v>40</v>
      </c>
      <c r="O2349">
        <v>69</v>
      </c>
      <c r="Q2349">
        <f t="shared" si="69"/>
        <v>2</v>
      </c>
      <c r="S2349">
        <v>0</v>
      </c>
      <c r="T2349">
        <v>0</v>
      </c>
      <c r="U2349">
        <v>0</v>
      </c>
      <c r="V2349">
        <v>1</v>
      </c>
      <c r="W2349">
        <v>1</v>
      </c>
      <c r="X2349" s="21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J2349" t="s">
        <v>54</v>
      </c>
      <c r="AK2349" t="s">
        <v>52</v>
      </c>
      <c r="AP2349" t="s">
        <v>541</v>
      </c>
    </row>
    <row r="2350" spans="1:42">
      <c r="A2350" s="1">
        <v>43844</v>
      </c>
      <c r="B2350">
        <v>2</v>
      </c>
      <c r="C2350">
        <v>987</v>
      </c>
      <c r="D2350">
        <v>10423</v>
      </c>
      <c r="E2350" t="s">
        <v>37</v>
      </c>
      <c r="F2350" t="s">
        <v>520</v>
      </c>
      <c r="G2350">
        <v>2</v>
      </c>
      <c r="H2350">
        <v>115</v>
      </c>
      <c r="I2350" s="25">
        <v>2755</v>
      </c>
      <c r="K2350" t="s">
        <v>596</v>
      </c>
      <c r="L2350" t="s">
        <v>141</v>
      </c>
      <c r="M2350" t="s">
        <v>95</v>
      </c>
      <c r="N2350" t="s">
        <v>40</v>
      </c>
      <c r="O2350">
        <v>360</v>
      </c>
      <c r="Q2350">
        <f t="shared" si="69"/>
        <v>6</v>
      </c>
      <c r="S2350">
        <v>0</v>
      </c>
      <c r="T2350">
        <v>0</v>
      </c>
      <c r="U2350">
        <v>0</v>
      </c>
      <c r="V2350">
        <v>1</v>
      </c>
      <c r="W2350">
        <v>5</v>
      </c>
      <c r="X2350" s="21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J2350" t="s">
        <v>54</v>
      </c>
      <c r="AK2350" t="s">
        <v>52</v>
      </c>
      <c r="AP2350" t="s">
        <v>541</v>
      </c>
    </row>
    <row r="2351" spans="1:42">
      <c r="A2351" s="1">
        <v>43844</v>
      </c>
      <c r="B2351">
        <v>2</v>
      </c>
      <c r="C2351">
        <v>987</v>
      </c>
      <c r="D2351">
        <v>10423</v>
      </c>
      <c r="E2351" t="s">
        <v>37</v>
      </c>
      <c r="F2351" t="s">
        <v>520</v>
      </c>
      <c r="G2351">
        <v>2</v>
      </c>
      <c r="H2351">
        <v>116</v>
      </c>
      <c r="I2351" s="25">
        <v>2090</v>
      </c>
      <c r="K2351" t="s">
        <v>596</v>
      </c>
      <c r="L2351" t="s">
        <v>114</v>
      </c>
      <c r="M2351" t="s">
        <v>52</v>
      </c>
      <c r="N2351" t="s">
        <v>40</v>
      </c>
      <c r="O2351">
        <v>156</v>
      </c>
      <c r="Q2351">
        <f t="shared" si="69"/>
        <v>4</v>
      </c>
      <c r="S2351">
        <v>0</v>
      </c>
      <c r="T2351">
        <v>0</v>
      </c>
      <c r="U2351">
        <v>0</v>
      </c>
      <c r="V2351">
        <v>2</v>
      </c>
      <c r="W2351">
        <v>2</v>
      </c>
      <c r="X2351" s="2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1</v>
      </c>
      <c r="AG2351">
        <v>0</v>
      </c>
      <c r="AJ2351" t="s">
        <v>54</v>
      </c>
      <c r="AK2351" t="s">
        <v>52</v>
      </c>
      <c r="AP2351" t="s">
        <v>541</v>
      </c>
    </row>
    <row r="2352" spans="1:42">
      <c r="A2352" s="1">
        <v>43844</v>
      </c>
      <c r="B2352">
        <v>2</v>
      </c>
      <c r="C2352">
        <v>987</v>
      </c>
      <c r="D2352">
        <v>10423</v>
      </c>
      <c r="E2352" t="s">
        <v>37</v>
      </c>
      <c r="F2352" t="s">
        <v>520</v>
      </c>
      <c r="G2352">
        <v>2</v>
      </c>
      <c r="H2352">
        <v>117</v>
      </c>
      <c r="I2352" s="25">
        <v>2842</v>
      </c>
      <c r="K2352" t="s">
        <v>596</v>
      </c>
      <c r="L2352" t="s">
        <v>114</v>
      </c>
      <c r="M2352" t="s">
        <v>52</v>
      </c>
      <c r="N2352" t="s">
        <v>40</v>
      </c>
      <c r="O2352">
        <v>367</v>
      </c>
      <c r="Q2352">
        <f t="shared" si="69"/>
        <v>9</v>
      </c>
      <c r="S2352">
        <v>3</v>
      </c>
      <c r="T2352">
        <v>0</v>
      </c>
      <c r="U2352">
        <v>0</v>
      </c>
      <c r="V2352">
        <v>4</v>
      </c>
      <c r="W2352">
        <v>2</v>
      </c>
      <c r="X2352" s="21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1</v>
      </c>
      <c r="AG2352">
        <v>0</v>
      </c>
      <c r="AJ2352" t="s">
        <v>54</v>
      </c>
      <c r="AK2352" t="s">
        <v>52</v>
      </c>
      <c r="AP2352" t="s">
        <v>541</v>
      </c>
    </row>
    <row r="2353" spans="1:42">
      <c r="A2353" s="1">
        <v>43847</v>
      </c>
      <c r="B2353">
        <v>4</v>
      </c>
      <c r="C2353">
        <v>200</v>
      </c>
      <c r="D2353">
        <v>10218</v>
      </c>
      <c r="E2353" t="s">
        <v>37</v>
      </c>
      <c r="F2353" t="s">
        <v>90</v>
      </c>
      <c r="G2353">
        <v>2</v>
      </c>
      <c r="H2353">
        <v>1</v>
      </c>
      <c r="I2353" s="25">
        <v>120</v>
      </c>
      <c r="K2353" t="s">
        <v>394</v>
      </c>
      <c r="L2353" t="s">
        <v>114</v>
      </c>
      <c r="M2353" t="s">
        <v>52</v>
      </c>
      <c r="N2353" t="s">
        <v>40</v>
      </c>
      <c r="O2353">
        <v>58</v>
      </c>
      <c r="Q2353">
        <f t="shared" si="69"/>
        <v>2</v>
      </c>
      <c r="S2353">
        <v>0</v>
      </c>
      <c r="T2353">
        <v>0</v>
      </c>
      <c r="U2353">
        <v>0</v>
      </c>
      <c r="V2353">
        <v>0</v>
      </c>
      <c r="W2353">
        <v>2</v>
      </c>
      <c r="X2353" s="21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J2353" t="s">
        <v>51</v>
      </c>
      <c r="AK2353" t="s">
        <v>95</v>
      </c>
      <c r="AP2353" t="s">
        <v>541</v>
      </c>
    </row>
    <row r="2354" spans="1:42">
      <c r="A2354" s="1">
        <v>43847</v>
      </c>
      <c r="B2354">
        <v>4</v>
      </c>
      <c r="C2354">
        <v>200</v>
      </c>
      <c r="D2354">
        <v>10218</v>
      </c>
      <c r="E2354" t="s">
        <v>37</v>
      </c>
      <c r="F2354" t="s">
        <v>90</v>
      </c>
      <c r="G2354">
        <v>2</v>
      </c>
      <c r="H2354">
        <v>2</v>
      </c>
      <c r="I2354" s="25">
        <v>1168</v>
      </c>
      <c r="K2354" t="s">
        <v>394</v>
      </c>
      <c r="L2354" t="s">
        <v>114</v>
      </c>
      <c r="M2354" t="s">
        <v>52</v>
      </c>
      <c r="N2354" t="s">
        <v>40</v>
      </c>
      <c r="O2354">
        <v>57</v>
      </c>
      <c r="Q2354">
        <f t="shared" si="69"/>
        <v>2</v>
      </c>
      <c r="S2354">
        <v>0</v>
      </c>
      <c r="T2354">
        <v>0</v>
      </c>
      <c r="U2354">
        <v>0</v>
      </c>
      <c r="V2354">
        <v>0</v>
      </c>
      <c r="W2354">
        <v>2</v>
      </c>
      <c r="X2354" s="21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J2354" t="s">
        <v>51</v>
      </c>
      <c r="AK2354" t="s">
        <v>95</v>
      </c>
      <c r="AP2354" t="s">
        <v>541</v>
      </c>
    </row>
    <row r="2355" spans="1:42">
      <c r="A2355" s="1">
        <v>43847</v>
      </c>
      <c r="B2355">
        <v>4</v>
      </c>
      <c r="C2355">
        <v>200</v>
      </c>
      <c r="D2355">
        <v>10218</v>
      </c>
      <c r="E2355" t="s">
        <v>37</v>
      </c>
      <c r="F2355" t="s">
        <v>90</v>
      </c>
      <c r="G2355">
        <v>2</v>
      </c>
      <c r="H2355">
        <v>3</v>
      </c>
      <c r="I2355" s="25">
        <v>1260</v>
      </c>
      <c r="K2355" t="s">
        <v>394</v>
      </c>
      <c r="L2355" t="s">
        <v>114</v>
      </c>
      <c r="M2355" t="s">
        <v>52</v>
      </c>
      <c r="N2355" t="s">
        <v>40</v>
      </c>
      <c r="O2355">
        <v>68</v>
      </c>
      <c r="Q2355">
        <f t="shared" si="69"/>
        <v>2</v>
      </c>
      <c r="S2355">
        <v>0</v>
      </c>
      <c r="T2355">
        <v>0</v>
      </c>
      <c r="U2355">
        <v>0</v>
      </c>
      <c r="V2355">
        <v>0</v>
      </c>
      <c r="W2355">
        <v>2</v>
      </c>
      <c r="X2355" s="21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J2355" t="s">
        <v>51</v>
      </c>
      <c r="AK2355" t="s">
        <v>95</v>
      </c>
      <c r="AP2355" t="s">
        <v>541</v>
      </c>
    </row>
    <row r="2356" spans="1:42">
      <c r="A2356" s="1">
        <v>43847</v>
      </c>
      <c r="B2356">
        <v>4</v>
      </c>
      <c r="C2356">
        <v>200</v>
      </c>
      <c r="D2356">
        <v>10218</v>
      </c>
      <c r="E2356" t="s">
        <v>37</v>
      </c>
      <c r="F2356" t="s">
        <v>90</v>
      </c>
      <c r="G2356">
        <v>2</v>
      </c>
      <c r="H2356">
        <v>4</v>
      </c>
      <c r="I2356" s="25">
        <v>1288</v>
      </c>
      <c r="K2356" t="s">
        <v>394</v>
      </c>
      <c r="L2356" t="s">
        <v>114</v>
      </c>
      <c r="M2356" t="s">
        <v>52</v>
      </c>
      <c r="N2356" t="s">
        <v>40</v>
      </c>
      <c r="O2356">
        <v>49</v>
      </c>
      <c r="Q2356">
        <f t="shared" si="69"/>
        <v>3</v>
      </c>
      <c r="S2356">
        <v>0</v>
      </c>
      <c r="T2356">
        <v>0</v>
      </c>
      <c r="U2356">
        <v>0</v>
      </c>
      <c r="V2356">
        <v>0</v>
      </c>
      <c r="W2356">
        <v>3</v>
      </c>
      <c r="X2356" s="21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J2356" t="s">
        <v>51</v>
      </c>
      <c r="AK2356" t="s">
        <v>95</v>
      </c>
      <c r="AP2356" t="s">
        <v>541</v>
      </c>
    </row>
    <row r="2357" spans="1:42">
      <c r="A2357" s="1">
        <v>43847</v>
      </c>
      <c r="B2357">
        <v>4</v>
      </c>
      <c r="C2357">
        <v>200</v>
      </c>
      <c r="D2357">
        <v>10218</v>
      </c>
      <c r="E2357" t="s">
        <v>37</v>
      </c>
      <c r="F2357" t="s">
        <v>90</v>
      </c>
      <c r="G2357">
        <v>2</v>
      </c>
      <c r="H2357">
        <v>5</v>
      </c>
      <c r="I2357" s="25">
        <v>1370</v>
      </c>
      <c r="K2357" t="s">
        <v>394</v>
      </c>
      <c r="L2357" t="s">
        <v>114</v>
      </c>
      <c r="M2357" t="s">
        <v>52</v>
      </c>
      <c r="N2357" t="s">
        <v>40</v>
      </c>
      <c r="O2357">
        <v>157</v>
      </c>
      <c r="Q2357">
        <f t="shared" si="69"/>
        <v>8</v>
      </c>
      <c r="S2357">
        <v>0</v>
      </c>
      <c r="T2357">
        <v>0</v>
      </c>
      <c r="U2357">
        <v>0</v>
      </c>
      <c r="V2357">
        <v>0</v>
      </c>
      <c r="W2357">
        <v>8</v>
      </c>
      <c r="X2357" s="21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J2357" t="s">
        <v>51</v>
      </c>
      <c r="AK2357" t="s">
        <v>95</v>
      </c>
      <c r="AP2357" t="s">
        <v>541</v>
      </c>
    </row>
    <row r="2358" spans="1:42">
      <c r="A2358" s="1">
        <v>43847</v>
      </c>
      <c r="B2358">
        <v>4</v>
      </c>
      <c r="C2358">
        <v>200</v>
      </c>
      <c r="D2358">
        <v>10218</v>
      </c>
      <c r="E2358" t="s">
        <v>37</v>
      </c>
      <c r="F2358" t="s">
        <v>90</v>
      </c>
      <c r="G2358">
        <v>2</v>
      </c>
      <c r="H2358">
        <v>6</v>
      </c>
      <c r="I2358" s="25">
        <v>1398</v>
      </c>
      <c r="K2358" t="s">
        <v>108</v>
      </c>
      <c r="L2358" t="s">
        <v>114</v>
      </c>
      <c r="M2358" t="s">
        <v>52</v>
      </c>
      <c r="N2358" t="s">
        <v>40</v>
      </c>
      <c r="O2358">
        <v>64</v>
      </c>
      <c r="Q2358">
        <f t="shared" si="69"/>
        <v>2</v>
      </c>
      <c r="S2358">
        <v>0</v>
      </c>
      <c r="T2358">
        <v>0</v>
      </c>
      <c r="U2358">
        <v>2</v>
      </c>
      <c r="V2358">
        <v>0</v>
      </c>
      <c r="W2358">
        <v>0</v>
      </c>
      <c r="X2358" s="21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1</v>
      </c>
      <c r="AG2358">
        <v>0</v>
      </c>
      <c r="AJ2358" t="s">
        <v>51</v>
      </c>
      <c r="AK2358" t="s">
        <v>95</v>
      </c>
      <c r="AP2358" t="s">
        <v>541</v>
      </c>
    </row>
    <row r="2359" spans="1:42">
      <c r="A2359" s="1">
        <v>43847</v>
      </c>
      <c r="B2359">
        <v>4</v>
      </c>
      <c r="C2359">
        <v>200</v>
      </c>
      <c r="D2359">
        <v>10218</v>
      </c>
      <c r="E2359" t="s">
        <v>37</v>
      </c>
      <c r="F2359" t="s">
        <v>90</v>
      </c>
      <c r="G2359">
        <v>2</v>
      </c>
      <c r="H2359">
        <v>7</v>
      </c>
      <c r="I2359" s="25">
        <v>138</v>
      </c>
      <c r="K2359" t="s">
        <v>108</v>
      </c>
      <c r="L2359" t="s">
        <v>114</v>
      </c>
      <c r="M2359" t="s">
        <v>52</v>
      </c>
      <c r="N2359" t="s">
        <v>40</v>
      </c>
      <c r="O2359">
        <v>52</v>
      </c>
      <c r="Q2359">
        <f t="shared" si="69"/>
        <v>2</v>
      </c>
      <c r="S2359">
        <v>0</v>
      </c>
      <c r="T2359">
        <v>0</v>
      </c>
      <c r="U2359">
        <v>0</v>
      </c>
      <c r="V2359">
        <v>0</v>
      </c>
      <c r="W2359">
        <v>2</v>
      </c>
      <c r="X2359" s="21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J2359" t="s">
        <v>51</v>
      </c>
      <c r="AK2359" t="s">
        <v>95</v>
      </c>
      <c r="AP2359" t="s">
        <v>541</v>
      </c>
    </row>
    <row r="2360" spans="1:42">
      <c r="A2360" s="1">
        <v>43847</v>
      </c>
      <c r="B2360">
        <v>4</v>
      </c>
      <c r="C2360">
        <v>200</v>
      </c>
      <c r="D2360">
        <v>10218</v>
      </c>
      <c r="E2360" t="s">
        <v>37</v>
      </c>
      <c r="F2360" t="s">
        <v>90</v>
      </c>
      <c r="G2360">
        <v>2</v>
      </c>
      <c r="H2360">
        <v>8</v>
      </c>
      <c r="I2360" s="25">
        <v>191</v>
      </c>
      <c r="K2360" t="s">
        <v>509</v>
      </c>
      <c r="L2360" t="s">
        <v>141</v>
      </c>
      <c r="M2360" t="s">
        <v>52</v>
      </c>
      <c r="N2360" t="s">
        <v>40</v>
      </c>
      <c r="O2360">
        <v>57</v>
      </c>
      <c r="Q2360">
        <f t="shared" si="69"/>
        <v>2</v>
      </c>
      <c r="S2360">
        <v>0</v>
      </c>
      <c r="T2360">
        <v>0</v>
      </c>
      <c r="U2360">
        <v>0</v>
      </c>
      <c r="V2360">
        <v>0</v>
      </c>
      <c r="W2360">
        <v>2</v>
      </c>
      <c r="X2360" s="21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J2360" t="s">
        <v>51</v>
      </c>
      <c r="AK2360" t="s">
        <v>95</v>
      </c>
      <c r="AP2360" t="s">
        <v>541</v>
      </c>
    </row>
    <row r="2361" spans="1:42">
      <c r="A2361" s="1">
        <v>43847</v>
      </c>
      <c r="B2361">
        <v>4</v>
      </c>
      <c r="C2361">
        <v>200</v>
      </c>
      <c r="D2361">
        <v>10218</v>
      </c>
      <c r="E2361" t="s">
        <v>37</v>
      </c>
      <c r="F2361" t="s">
        <v>90</v>
      </c>
      <c r="G2361">
        <v>2</v>
      </c>
      <c r="H2361">
        <v>9</v>
      </c>
      <c r="I2361" s="25">
        <v>101</v>
      </c>
      <c r="K2361" t="s">
        <v>394</v>
      </c>
      <c r="L2361" t="s">
        <v>141</v>
      </c>
      <c r="M2361" t="s">
        <v>52</v>
      </c>
      <c r="N2361" t="s">
        <v>40</v>
      </c>
      <c r="O2361">
        <v>40</v>
      </c>
      <c r="Q2361">
        <f t="shared" ref="Q2361:Q2424" si="70">SUM(S2361:AC2361)</f>
        <v>2</v>
      </c>
      <c r="S2361">
        <v>0</v>
      </c>
      <c r="T2361">
        <v>0</v>
      </c>
      <c r="U2361">
        <v>1</v>
      </c>
      <c r="V2361">
        <v>1</v>
      </c>
      <c r="W2361">
        <v>0</v>
      </c>
      <c r="X2361" s="2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1</v>
      </c>
      <c r="AG2361">
        <v>0</v>
      </c>
      <c r="AJ2361" t="s">
        <v>51</v>
      </c>
      <c r="AK2361" t="s">
        <v>95</v>
      </c>
      <c r="AP2361" t="s">
        <v>541</v>
      </c>
    </row>
    <row r="2362" spans="1:42">
      <c r="A2362" s="1">
        <v>43847</v>
      </c>
      <c r="B2362">
        <v>4</v>
      </c>
      <c r="C2362">
        <v>200</v>
      </c>
      <c r="D2362">
        <v>10218</v>
      </c>
      <c r="E2362" t="s">
        <v>37</v>
      </c>
      <c r="F2362" t="s">
        <v>90</v>
      </c>
      <c r="G2362">
        <v>2</v>
      </c>
      <c r="H2362">
        <v>10</v>
      </c>
      <c r="I2362" s="25">
        <v>1125</v>
      </c>
      <c r="K2362" t="s">
        <v>394</v>
      </c>
      <c r="L2362" t="s">
        <v>141</v>
      </c>
      <c r="M2362" t="s">
        <v>52</v>
      </c>
      <c r="N2362" t="s">
        <v>40</v>
      </c>
      <c r="O2362">
        <v>77</v>
      </c>
      <c r="Q2362">
        <f t="shared" si="70"/>
        <v>3</v>
      </c>
      <c r="S2362">
        <v>0</v>
      </c>
      <c r="T2362">
        <v>0</v>
      </c>
      <c r="U2362">
        <v>0</v>
      </c>
      <c r="V2362">
        <v>0</v>
      </c>
      <c r="W2362">
        <v>3</v>
      </c>
      <c r="X2362" s="21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1</v>
      </c>
      <c r="AG2362">
        <v>1</v>
      </c>
      <c r="AJ2362" t="s">
        <v>51</v>
      </c>
      <c r="AK2362" t="s">
        <v>95</v>
      </c>
      <c r="AP2362" t="s">
        <v>541</v>
      </c>
    </row>
    <row r="2363" spans="1:42">
      <c r="A2363" s="1">
        <v>43847</v>
      </c>
      <c r="B2363">
        <v>4</v>
      </c>
      <c r="C2363">
        <v>200</v>
      </c>
      <c r="D2363">
        <v>10218</v>
      </c>
      <c r="E2363" t="s">
        <v>37</v>
      </c>
      <c r="F2363" t="s">
        <v>90</v>
      </c>
      <c r="G2363">
        <v>2</v>
      </c>
      <c r="H2363">
        <v>11</v>
      </c>
      <c r="I2363" s="25">
        <v>1095</v>
      </c>
      <c r="K2363" t="s">
        <v>394</v>
      </c>
      <c r="L2363" t="s">
        <v>141</v>
      </c>
      <c r="M2363" t="s">
        <v>52</v>
      </c>
      <c r="N2363" t="s">
        <v>40</v>
      </c>
      <c r="O2363">
        <v>49</v>
      </c>
      <c r="Q2363">
        <f t="shared" si="70"/>
        <v>2</v>
      </c>
      <c r="S2363">
        <v>0</v>
      </c>
      <c r="T2363">
        <v>0</v>
      </c>
      <c r="U2363">
        <v>0</v>
      </c>
      <c r="V2363">
        <v>0</v>
      </c>
      <c r="W2363">
        <v>2</v>
      </c>
      <c r="X2363" s="21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J2363" t="s">
        <v>51</v>
      </c>
      <c r="AK2363" t="s">
        <v>95</v>
      </c>
      <c r="AP2363" t="s">
        <v>541</v>
      </c>
    </row>
    <row r="2364" spans="1:42">
      <c r="A2364" s="1">
        <v>43847</v>
      </c>
      <c r="B2364">
        <v>4</v>
      </c>
      <c r="C2364">
        <v>200</v>
      </c>
      <c r="D2364">
        <v>10218</v>
      </c>
      <c r="E2364" t="s">
        <v>37</v>
      </c>
      <c r="F2364" t="s">
        <v>90</v>
      </c>
      <c r="G2364">
        <v>2</v>
      </c>
      <c r="H2364">
        <v>12</v>
      </c>
      <c r="I2364" s="25">
        <v>1077</v>
      </c>
      <c r="K2364" t="s">
        <v>394</v>
      </c>
      <c r="L2364" t="s">
        <v>141</v>
      </c>
      <c r="M2364" t="s">
        <v>52</v>
      </c>
      <c r="N2364" t="s">
        <v>40</v>
      </c>
      <c r="O2364">
        <v>153</v>
      </c>
      <c r="Q2364">
        <f t="shared" si="70"/>
        <v>6</v>
      </c>
      <c r="S2364">
        <v>0</v>
      </c>
      <c r="T2364">
        <v>0</v>
      </c>
      <c r="U2364">
        <v>1</v>
      </c>
      <c r="V2364">
        <v>3</v>
      </c>
      <c r="W2364">
        <v>2</v>
      </c>
      <c r="X2364" s="21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J2364" t="s">
        <v>51</v>
      </c>
      <c r="AK2364" t="s">
        <v>95</v>
      </c>
      <c r="AP2364" t="s">
        <v>541</v>
      </c>
    </row>
    <row r="2365" spans="1:42">
      <c r="A2365" s="1">
        <v>43847</v>
      </c>
      <c r="B2365">
        <v>4</v>
      </c>
      <c r="C2365">
        <v>200</v>
      </c>
      <c r="D2365">
        <v>10218</v>
      </c>
      <c r="E2365" t="s">
        <v>37</v>
      </c>
      <c r="F2365" t="s">
        <v>90</v>
      </c>
      <c r="G2365">
        <v>2</v>
      </c>
      <c r="H2365">
        <v>13</v>
      </c>
      <c r="I2365" s="25">
        <v>1018</v>
      </c>
      <c r="K2365" t="s">
        <v>394</v>
      </c>
      <c r="L2365" t="s">
        <v>114</v>
      </c>
      <c r="M2365" t="s">
        <v>52</v>
      </c>
      <c r="N2365" t="s">
        <v>40</v>
      </c>
      <c r="O2365">
        <v>43</v>
      </c>
      <c r="Q2365">
        <f t="shared" si="70"/>
        <v>3</v>
      </c>
      <c r="S2365">
        <v>0</v>
      </c>
      <c r="T2365">
        <v>0</v>
      </c>
      <c r="U2365">
        <v>1</v>
      </c>
      <c r="V2365">
        <v>1</v>
      </c>
      <c r="W2365">
        <v>1</v>
      </c>
      <c r="X2365" s="21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J2365" t="s">
        <v>51</v>
      </c>
      <c r="AK2365" t="s">
        <v>95</v>
      </c>
      <c r="AP2365" t="s">
        <v>541</v>
      </c>
    </row>
    <row r="2366" spans="1:42">
      <c r="A2366" s="1">
        <v>43847</v>
      </c>
      <c r="B2366">
        <v>4</v>
      </c>
      <c r="C2366">
        <v>200</v>
      </c>
      <c r="D2366">
        <v>10218</v>
      </c>
      <c r="E2366" t="s">
        <v>37</v>
      </c>
      <c r="F2366" t="s">
        <v>90</v>
      </c>
      <c r="G2366">
        <v>2</v>
      </c>
      <c r="H2366">
        <v>14</v>
      </c>
      <c r="I2366" s="25">
        <v>1010</v>
      </c>
      <c r="K2366" t="s">
        <v>394</v>
      </c>
      <c r="L2366" t="s">
        <v>114</v>
      </c>
      <c r="M2366" t="s">
        <v>95</v>
      </c>
      <c r="N2366" t="s">
        <v>40</v>
      </c>
      <c r="O2366">
        <v>40</v>
      </c>
      <c r="Q2366">
        <f t="shared" si="70"/>
        <v>1</v>
      </c>
      <c r="S2366">
        <v>0</v>
      </c>
      <c r="T2366">
        <v>0</v>
      </c>
      <c r="U2366">
        <v>1</v>
      </c>
      <c r="V2366">
        <v>0</v>
      </c>
      <c r="W2366">
        <v>0</v>
      </c>
      <c r="X2366" s="21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J2366" t="s">
        <v>51</v>
      </c>
      <c r="AK2366" t="s">
        <v>95</v>
      </c>
      <c r="AP2366" t="s">
        <v>541</v>
      </c>
    </row>
    <row r="2367" spans="1:42">
      <c r="A2367" s="1">
        <v>43847</v>
      </c>
      <c r="B2367">
        <v>4</v>
      </c>
      <c r="C2367">
        <v>200</v>
      </c>
      <c r="D2367">
        <v>10218</v>
      </c>
      <c r="E2367" t="s">
        <v>37</v>
      </c>
      <c r="F2367" t="s">
        <v>90</v>
      </c>
      <c r="G2367">
        <v>2</v>
      </c>
      <c r="H2367">
        <v>15</v>
      </c>
      <c r="I2367" s="25">
        <v>110</v>
      </c>
      <c r="K2367" t="s">
        <v>390</v>
      </c>
      <c r="L2367" t="s">
        <v>114</v>
      </c>
      <c r="M2367" t="s">
        <v>52</v>
      </c>
      <c r="N2367" t="s">
        <v>40</v>
      </c>
      <c r="O2367">
        <v>186</v>
      </c>
      <c r="Q2367">
        <f t="shared" si="70"/>
        <v>9</v>
      </c>
      <c r="S2367">
        <v>0</v>
      </c>
      <c r="T2367">
        <v>0</v>
      </c>
      <c r="U2367">
        <v>1</v>
      </c>
      <c r="V2367">
        <v>0</v>
      </c>
      <c r="W2367">
        <v>8</v>
      </c>
      <c r="X2367" s="21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J2367" t="s">
        <v>51</v>
      </c>
      <c r="AK2367" t="s">
        <v>95</v>
      </c>
      <c r="AP2367" t="s">
        <v>541</v>
      </c>
    </row>
    <row r="2368" spans="1:42">
      <c r="A2368" s="1">
        <v>43847</v>
      </c>
      <c r="B2368">
        <v>4</v>
      </c>
      <c r="C2368">
        <v>200</v>
      </c>
      <c r="D2368">
        <v>10218</v>
      </c>
      <c r="E2368" t="s">
        <v>37</v>
      </c>
      <c r="F2368" t="s">
        <v>90</v>
      </c>
      <c r="G2368">
        <v>2</v>
      </c>
      <c r="H2368">
        <v>16</v>
      </c>
      <c r="I2368" s="25">
        <v>152</v>
      </c>
      <c r="K2368" t="s">
        <v>390</v>
      </c>
      <c r="L2368" t="s">
        <v>114</v>
      </c>
      <c r="M2368" t="s">
        <v>52</v>
      </c>
      <c r="N2368" t="s">
        <v>40</v>
      </c>
      <c r="O2368">
        <v>25</v>
      </c>
      <c r="Q2368">
        <f t="shared" si="70"/>
        <v>2</v>
      </c>
      <c r="S2368">
        <v>0</v>
      </c>
      <c r="T2368">
        <v>0</v>
      </c>
      <c r="U2368">
        <v>2</v>
      </c>
      <c r="V2368">
        <v>0</v>
      </c>
      <c r="W2368">
        <v>0</v>
      </c>
      <c r="X2368" s="21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J2368" t="s">
        <v>51</v>
      </c>
      <c r="AK2368" t="s">
        <v>95</v>
      </c>
      <c r="AP2368" t="s">
        <v>541</v>
      </c>
    </row>
    <row r="2369" spans="1:42">
      <c r="A2369" s="1">
        <v>43847</v>
      </c>
      <c r="B2369">
        <v>4</v>
      </c>
      <c r="C2369">
        <v>200</v>
      </c>
      <c r="D2369">
        <v>10218</v>
      </c>
      <c r="E2369" t="s">
        <v>37</v>
      </c>
      <c r="F2369" t="s">
        <v>90</v>
      </c>
      <c r="G2369">
        <v>2</v>
      </c>
      <c r="H2369">
        <v>17</v>
      </c>
      <c r="I2369" s="25">
        <v>174</v>
      </c>
      <c r="K2369" t="s">
        <v>390</v>
      </c>
      <c r="L2369" t="s">
        <v>114</v>
      </c>
      <c r="M2369" t="s">
        <v>52</v>
      </c>
      <c r="N2369" t="s">
        <v>40</v>
      </c>
      <c r="O2369">
        <v>46</v>
      </c>
      <c r="Q2369">
        <f t="shared" si="70"/>
        <v>2</v>
      </c>
      <c r="S2369">
        <v>0</v>
      </c>
      <c r="T2369">
        <v>0</v>
      </c>
      <c r="U2369">
        <v>2</v>
      </c>
      <c r="V2369">
        <v>0</v>
      </c>
      <c r="W2369">
        <v>0</v>
      </c>
      <c r="X2369" s="21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J2369" t="s">
        <v>51</v>
      </c>
      <c r="AK2369" t="s">
        <v>95</v>
      </c>
      <c r="AP2369" t="s">
        <v>541</v>
      </c>
    </row>
    <row r="2370" spans="1:42">
      <c r="A2370" s="1">
        <v>43847</v>
      </c>
      <c r="B2370">
        <v>4</v>
      </c>
      <c r="C2370">
        <v>200</v>
      </c>
      <c r="D2370">
        <v>10218</v>
      </c>
      <c r="E2370" t="s">
        <v>37</v>
      </c>
      <c r="F2370" t="s">
        <v>90</v>
      </c>
      <c r="G2370">
        <v>2</v>
      </c>
      <c r="H2370">
        <v>18</v>
      </c>
      <c r="I2370" s="25">
        <v>176</v>
      </c>
      <c r="K2370" t="s">
        <v>390</v>
      </c>
      <c r="L2370" t="s">
        <v>114</v>
      </c>
      <c r="M2370" t="s">
        <v>52</v>
      </c>
      <c r="N2370" t="s">
        <v>40</v>
      </c>
      <c r="O2370">
        <v>47</v>
      </c>
      <c r="Q2370">
        <f t="shared" si="70"/>
        <v>2</v>
      </c>
      <c r="S2370">
        <v>0</v>
      </c>
      <c r="T2370">
        <v>0</v>
      </c>
      <c r="U2370">
        <v>0</v>
      </c>
      <c r="V2370">
        <v>0</v>
      </c>
      <c r="W2370">
        <v>2</v>
      </c>
      <c r="X2370" s="21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J2370" t="s">
        <v>51</v>
      </c>
      <c r="AK2370" t="s">
        <v>95</v>
      </c>
      <c r="AP2370" t="s">
        <v>541</v>
      </c>
    </row>
    <row r="2371" spans="1:42">
      <c r="A2371" s="1">
        <v>43847</v>
      </c>
      <c r="B2371">
        <v>4</v>
      </c>
      <c r="C2371">
        <v>200</v>
      </c>
      <c r="D2371">
        <v>10218</v>
      </c>
      <c r="E2371" t="s">
        <v>37</v>
      </c>
      <c r="F2371" t="s">
        <v>90</v>
      </c>
      <c r="G2371">
        <v>2</v>
      </c>
      <c r="H2371">
        <v>19</v>
      </c>
      <c r="I2371" s="25">
        <v>143</v>
      </c>
      <c r="K2371" t="s">
        <v>390</v>
      </c>
      <c r="L2371" t="s">
        <v>141</v>
      </c>
      <c r="M2371" t="s">
        <v>52</v>
      </c>
      <c r="N2371" t="s">
        <v>40</v>
      </c>
      <c r="O2371">
        <v>52</v>
      </c>
      <c r="Q2371">
        <f t="shared" si="70"/>
        <v>2</v>
      </c>
      <c r="S2371">
        <v>0</v>
      </c>
      <c r="T2371">
        <v>0</v>
      </c>
      <c r="U2371">
        <v>0</v>
      </c>
      <c r="V2371">
        <v>0</v>
      </c>
      <c r="W2371">
        <v>2</v>
      </c>
      <c r="X2371" s="2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J2371" t="s">
        <v>51</v>
      </c>
      <c r="AK2371" t="s">
        <v>95</v>
      </c>
      <c r="AP2371" t="s">
        <v>541</v>
      </c>
    </row>
    <row r="2372" spans="1:42">
      <c r="A2372" s="1">
        <v>43847</v>
      </c>
      <c r="B2372">
        <v>4</v>
      </c>
      <c r="C2372">
        <v>200</v>
      </c>
      <c r="D2372">
        <v>10218</v>
      </c>
      <c r="E2372" t="s">
        <v>37</v>
      </c>
      <c r="F2372" t="s">
        <v>90</v>
      </c>
      <c r="G2372">
        <v>2</v>
      </c>
      <c r="H2372">
        <v>20</v>
      </c>
      <c r="I2372" s="25">
        <v>149</v>
      </c>
      <c r="K2372" t="s">
        <v>390</v>
      </c>
      <c r="L2372" t="s">
        <v>141</v>
      </c>
      <c r="M2372" t="s">
        <v>52</v>
      </c>
      <c r="N2372" t="s">
        <v>40</v>
      </c>
      <c r="O2372">
        <v>187</v>
      </c>
      <c r="Q2372">
        <f t="shared" si="70"/>
        <v>6</v>
      </c>
      <c r="S2372">
        <v>0</v>
      </c>
      <c r="T2372">
        <v>0</v>
      </c>
      <c r="U2372">
        <v>0</v>
      </c>
      <c r="V2372">
        <v>0</v>
      </c>
      <c r="W2372">
        <v>6</v>
      </c>
      <c r="X2372" s="21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J2372" t="s">
        <v>51</v>
      </c>
      <c r="AK2372" t="s">
        <v>52</v>
      </c>
      <c r="AP2372" t="s">
        <v>541</v>
      </c>
    </row>
    <row r="2373" spans="1:42">
      <c r="A2373" s="1">
        <v>43847</v>
      </c>
      <c r="B2373">
        <v>4</v>
      </c>
      <c r="C2373">
        <v>200</v>
      </c>
      <c r="D2373">
        <v>10218</v>
      </c>
      <c r="E2373" t="s">
        <v>37</v>
      </c>
      <c r="F2373" t="s">
        <v>90</v>
      </c>
      <c r="G2373">
        <v>2</v>
      </c>
      <c r="H2373">
        <v>21</v>
      </c>
      <c r="I2373" s="25">
        <v>123</v>
      </c>
      <c r="K2373" t="s">
        <v>390</v>
      </c>
      <c r="L2373" t="s">
        <v>141</v>
      </c>
      <c r="M2373" t="s">
        <v>52</v>
      </c>
      <c r="N2373" t="s">
        <v>40</v>
      </c>
      <c r="O2373">
        <v>238</v>
      </c>
      <c r="Q2373">
        <f t="shared" si="70"/>
        <v>3</v>
      </c>
      <c r="S2373">
        <v>0</v>
      </c>
      <c r="T2373">
        <v>0</v>
      </c>
      <c r="U2373">
        <v>0</v>
      </c>
      <c r="V2373">
        <v>0</v>
      </c>
      <c r="W2373">
        <v>3</v>
      </c>
      <c r="X2373" s="21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J2373" t="s">
        <v>51</v>
      </c>
      <c r="AK2373" t="s">
        <v>52</v>
      </c>
      <c r="AP2373" t="s">
        <v>541</v>
      </c>
    </row>
    <row r="2374" spans="1:42">
      <c r="A2374" s="1">
        <v>43847</v>
      </c>
      <c r="B2374">
        <v>4</v>
      </c>
      <c r="C2374">
        <v>200</v>
      </c>
      <c r="D2374">
        <v>10218</v>
      </c>
      <c r="E2374" t="s">
        <v>37</v>
      </c>
      <c r="F2374" t="s">
        <v>90</v>
      </c>
      <c r="G2374">
        <v>2</v>
      </c>
      <c r="H2374">
        <v>22</v>
      </c>
      <c r="I2374" s="25">
        <v>89</v>
      </c>
      <c r="K2374" t="s">
        <v>394</v>
      </c>
      <c r="L2374" t="s">
        <v>141</v>
      </c>
      <c r="M2374" t="s">
        <v>52</v>
      </c>
      <c r="N2374" t="s">
        <v>40</v>
      </c>
      <c r="O2374">
        <v>49</v>
      </c>
      <c r="Q2374">
        <f t="shared" si="70"/>
        <v>2</v>
      </c>
      <c r="S2374">
        <v>0</v>
      </c>
      <c r="T2374">
        <v>0</v>
      </c>
      <c r="U2374">
        <v>0</v>
      </c>
      <c r="V2374">
        <v>1</v>
      </c>
      <c r="W2374">
        <v>1</v>
      </c>
      <c r="X2374" s="21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J2374" t="s">
        <v>51</v>
      </c>
      <c r="AK2374" t="s">
        <v>52</v>
      </c>
      <c r="AP2374" t="s">
        <v>541</v>
      </c>
    </row>
    <row r="2375" spans="1:42">
      <c r="A2375" s="1">
        <v>43847</v>
      </c>
      <c r="B2375">
        <v>4</v>
      </c>
      <c r="C2375">
        <v>200</v>
      </c>
      <c r="D2375">
        <v>10218</v>
      </c>
      <c r="E2375" t="s">
        <v>37</v>
      </c>
      <c r="F2375" t="s">
        <v>90</v>
      </c>
      <c r="G2375">
        <v>2</v>
      </c>
      <c r="H2375">
        <v>23</v>
      </c>
      <c r="I2375" s="25">
        <v>971</v>
      </c>
      <c r="K2375" t="s">
        <v>394</v>
      </c>
      <c r="L2375" t="s">
        <v>141</v>
      </c>
      <c r="M2375" t="s">
        <v>95</v>
      </c>
      <c r="N2375" t="s">
        <v>40</v>
      </c>
      <c r="O2375">
        <v>254</v>
      </c>
      <c r="Q2375">
        <f t="shared" si="70"/>
        <v>7</v>
      </c>
      <c r="S2375">
        <v>0</v>
      </c>
      <c r="T2375">
        <v>0</v>
      </c>
      <c r="U2375">
        <v>0</v>
      </c>
      <c r="V2375">
        <v>0</v>
      </c>
      <c r="W2375">
        <v>7</v>
      </c>
      <c r="X2375" s="21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J2375" t="s">
        <v>51</v>
      </c>
      <c r="AK2375" t="s">
        <v>52</v>
      </c>
      <c r="AP2375" t="s">
        <v>541</v>
      </c>
    </row>
    <row r="2376" spans="1:42">
      <c r="A2376" s="1">
        <v>43847</v>
      </c>
      <c r="B2376">
        <v>4</v>
      </c>
      <c r="C2376">
        <v>200</v>
      </c>
      <c r="D2376">
        <v>10218</v>
      </c>
      <c r="E2376" t="s">
        <v>37</v>
      </c>
      <c r="F2376" t="s">
        <v>90</v>
      </c>
      <c r="G2376">
        <v>2</v>
      </c>
      <c r="H2376">
        <v>24</v>
      </c>
      <c r="I2376" s="25">
        <v>973</v>
      </c>
      <c r="K2376" t="s">
        <v>394</v>
      </c>
      <c r="L2376" t="s">
        <v>141</v>
      </c>
      <c r="M2376" t="s">
        <v>52</v>
      </c>
      <c r="N2376" t="s">
        <v>40</v>
      </c>
      <c r="O2376">
        <v>27</v>
      </c>
      <c r="Q2376">
        <f t="shared" si="70"/>
        <v>2</v>
      </c>
      <c r="S2376">
        <v>0</v>
      </c>
      <c r="T2376">
        <v>0</v>
      </c>
      <c r="U2376">
        <v>0</v>
      </c>
      <c r="V2376">
        <v>2</v>
      </c>
      <c r="W2376">
        <v>0</v>
      </c>
      <c r="X2376" s="21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J2376" t="s">
        <v>51</v>
      </c>
      <c r="AK2376" t="s">
        <v>52</v>
      </c>
      <c r="AP2376" t="s">
        <v>541</v>
      </c>
    </row>
    <row r="2377" spans="1:42">
      <c r="A2377" s="1">
        <v>43847</v>
      </c>
      <c r="B2377">
        <v>4</v>
      </c>
      <c r="C2377">
        <v>200</v>
      </c>
      <c r="D2377">
        <v>10218</v>
      </c>
      <c r="E2377" t="s">
        <v>37</v>
      </c>
      <c r="F2377" t="s">
        <v>90</v>
      </c>
      <c r="G2377">
        <v>2</v>
      </c>
      <c r="H2377">
        <v>25</v>
      </c>
      <c r="I2377" s="25">
        <v>957</v>
      </c>
      <c r="K2377" t="s">
        <v>394</v>
      </c>
      <c r="L2377" t="s">
        <v>141</v>
      </c>
      <c r="M2377" t="s">
        <v>52</v>
      </c>
      <c r="N2377" t="s">
        <v>40</v>
      </c>
      <c r="O2377">
        <v>240</v>
      </c>
      <c r="Q2377">
        <f t="shared" si="70"/>
        <v>8</v>
      </c>
      <c r="S2377">
        <v>0</v>
      </c>
      <c r="T2377">
        <v>0</v>
      </c>
      <c r="U2377">
        <v>0</v>
      </c>
      <c r="V2377">
        <v>0</v>
      </c>
      <c r="W2377">
        <v>8</v>
      </c>
      <c r="X2377" s="21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J2377" t="s">
        <v>51</v>
      </c>
      <c r="AK2377" t="s">
        <v>52</v>
      </c>
      <c r="AP2377" t="s">
        <v>541</v>
      </c>
    </row>
    <row r="2378" spans="1:42">
      <c r="A2378" s="1">
        <v>43847</v>
      </c>
      <c r="B2378">
        <v>4</v>
      </c>
      <c r="C2378">
        <v>200</v>
      </c>
      <c r="D2378">
        <v>10218</v>
      </c>
      <c r="E2378" t="s">
        <v>37</v>
      </c>
      <c r="F2378" t="s">
        <v>90</v>
      </c>
      <c r="G2378">
        <v>2</v>
      </c>
      <c r="H2378">
        <v>26</v>
      </c>
      <c r="I2378" s="25">
        <v>165</v>
      </c>
      <c r="K2378" t="s">
        <v>501</v>
      </c>
      <c r="L2378" t="s">
        <v>141</v>
      </c>
      <c r="M2378" t="s">
        <v>52</v>
      </c>
      <c r="N2378" t="s">
        <v>40</v>
      </c>
      <c r="O2378">
        <v>75</v>
      </c>
      <c r="Q2378">
        <f t="shared" si="70"/>
        <v>4</v>
      </c>
      <c r="S2378">
        <v>0</v>
      </c>
      <c r="T2378">
        <v>0</v>
      </c>
      <c r="U2378">
        <v>0</v>
      </c>
      <c r="V2378">
        <v>4</v>
      </c>
      <c r="W2378">
        <v>0</v>
      </c>
      <c r="X2378" s="21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J2378" t="s">
        <v>51</v>
      </c>
      <c r="AK2378" t="s">
        <v>95</v>
      </c>
      <c r="AP2378" t="s">
        <v>541</v>
      </c>
    </row>
    <row r="2379" spans="1:42">
      <c r="A2379" s="1">
        <v>43847</v>
      </c>
      <c r="B2379">
        <v>4</v>
      </c>
      <c r="C2379">
        <v>200</v>
      </c>
      <c r="D2379">
        <v>10218</v>
      </c>
      <c r="E2379" t="s">
        <v>37</v>
      </c>
      <c r="F2379" t="s">
        <v>90</v>
      </c>
      <c r="G2379">
        <v>2</v>
      </c>
      <c r="H2379">
        <v>27</v>
      </c>
      <c r="I2379" s="25">
        <v>161</v>
      </c>
      <c r="K2379" t="s">
        <v>501</v>
      </c>
      <c r="L2379" t="s">
        <v>141</v>
      </c>
      <c r="M2379" t="s">
        <v>52</v>
      </c>
      <c r="N2379" t="s">
        <v>40</v>
      </c>
      <c r="O2379">
        <v>74</v>
      </c>
      <c r="Q2379">
        <f t="shared" si="70"/>
        <v>4</v>
      </c>
      <c r="S2379">
        <v>0</v>
      </c>
      <c r="T2379">
        <v>0</v>
      </c>
      <c r="U2379">
        <v>0</v>
      </c>
      <c r="V2379">
        <v>0</v>
      </c>
      <c r="W2379">
        <v>4</v>
      </c>
      <c r="X2379" s="21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J2379" t="s">
        <v>51</v>
      </c>
      <c r="AK2379" t="s">
        <v>95</v>
      </c>
      <c r="AP2379" t="s">
        <v>541</v>
      </c>
    </row>
    <row r="2380" spans="1:42">
      <c r="A2380" s="1">
        <v>43847</v>
      </c>
      <c r="B2380">
        <v>4</v>
      </c>
      <c r="C2380">
        <v>200</v>
      </c>
      <c r="D2380">
        <v>10218</v>
      </c>
      <c r="E2380" t="s">
        <v>37</v>
      </c>
      <c r="F2380" t="s">
        <v>90</v>
      </c>
      <c r="G2380">
        <v>2</v>
      </c>
      <c r="H2380">
        <v>28</v>
      </c>
      <c r="I2380" s="25">
        <v>55</v>
      </c>
      <c r="K2380" t="s">
        <v>71</v>
      </c>
      <c r="L2380" t="s">
        <v>141</v>
      </c>
      <c r="M2380" t="s">
        <v>52</v>
      </c>
      <c r="N2380" t="s">
        <v>40</v>
      </c>
      <c r="O2380">
        <v>60</v>
      </c>
      <c r="Q2380">
        <f t="shared" si="70"/>
        <v>2</v>
      </c>
      <c r="S2380">
        <v>0</v>
      </c>
      <c r="T2380">
        <v>0</v>
      </c>
      <c r="U2380">
        <v>0</v>
      </c>
      <c r="V2380">
        <v>0</v>
      </c>
      <c r="W2380">
        <v>2</v>
      </c>
      <c r="X2380" s="21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J2380" t="s">
        <v>51</v>
      </c>
      <c r="AK2380" t="s">
        <v>95</v>
      </c>
      <c r="AP2380" t="s">
        <v>541</v>
      </c>
    </row>
    <row r="2381" spans="1:42">
      <c r="A2381" s="1">
        <v>43847</v>
      </c>
      <c r="B2381">
        <v>4</v>
      </c>
      <c r="C2381">
        <v>200</v>
      </c>
      <c r="D2381">
        <v>10218</v>
      </c>
      <c r="E2381" t="s">
        <v>37</v>
      </c>
      <c r="F2381" t="s">
        <v>90</v>
      </c>
      <c r="G2381">
        <v>2</v>
      </c>
      <c r="H2381">
        <v>29</v>
      </c>
      <c r="I2381" s="25">
        <v>654</v>
      </c>
      <c r="K2381" t="s">
        <v>394</v>
      </c>
      <c r="L2381" t="s">
        <v>114</v>
      </c>
      <c r="M2381" t="s">
        <v>95</v>
      </c>
      <c r="N2381" t="s">
        <v>40</v>
      </c>
      <c r="O2381">
        <v>225</v>
      </c>
      <c r="Q2381">
        <f t="shared" si="70"/>
        <v>10</v>
      </c>
      <c r="S2381">
        <v>0</v>
      </c>
      <c r="T2381">
        <v>0</v>
      </c>
      <c r="U2381">
        <v>0</v>
      </c>
      <c r="V2381">
        <v>6</v>
      </c>
      <c r="W2381">
        <v>4</v>
      </c>
      <c r="X2381" s="2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J2381" t="s">
        <v>51</v>
      </c>
      <c r="AK2381" t="s">
        <v>95</v>
      </c>
      <c r="AP2381" t="s">
        <v>541</v>
      </c>
    </row>
    <row r="2382" spans="1:42">
      <c r="A2382" s="1">
        <v>43847</v>
      </c>
      <c r="B2382">
        <v>4</v>
      </c>
      <c r="C2382">
        <v>200</v>
      </c>
      <c r="D2382">
        <v>10218</v>
      </c>
      <c r="E2382" t="s">
        <v>37</v>
      </c>
      <c r="F2382" t="s">
        <v>90</v>
      </c>
      <c r="G2382">
        <v>2</v>
      </c>
      <c r="H2382">
        <v>30</v>
      </c>
      <c r="I2382" s="25">
        <v>5</v>
      </c>
      <c r="K2382" t="s">
        <v>389</v>
      </c>
      <c r="L2382" t="s">
        <v>141</v>
      </c>
      <c r="M2382" t="s">
        <v>52</v>
      </c>
      <c r="N2382" t="s">
        <v>40</v>
      </c>
      <c r="O2382">
        <v>282</v>
      </c>
      <c r="Q2382">
        <f t="shared" si="70"/>
        <v>12</v>
      </c>
      <c r="S2382">
        <v>0</v>
      </c>
      <c r="T2382">
        <v>0</v>
      </c>
      <c r="U2382">
        <v>0</v>
      </c>
      <c r="V2382">
        <v>0</v>
      </c>
      <c r="W2382">
        <v>12</v>
      </c>
      <c r="X2382" s="21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J2382" t="s">
        <v>51</v>
      </c>
      <c r="AK2382" t="s">
        <v>95</v>
      </c>
      <c r="AP2382" t="s">
        <v>541</v>
      </c>
    </row>
    <row r="2383" spans="1:42">
      <c r="A2383" s="1">
        <v>43847</v>
      </c>
      <c r="B2383">
        <v>4</v>
      </c>
      <c r="C2383">
        <v>200</v>
      </c>
      <c r="D2383">
        <v>10218</v>
      </c>
      <c r="E2383" t="s">
        <v>37</v>
      </c>
      <c r="F2383" t="s">
        <v>90</v>
      </c>
      <c r="G2383">
        <v>2</v>
      </c>
      <c r="H2383">
        <v>31</v>
      </c>
      <c r="I2383" s="25"/>
      <c r="K2383" t="s">
        <v>621</v>
      </c>
      <c r="M2383" t="s">
        <v>52</v>
      </c>
      <c r="N2383" t="s">
        <v>40</v>
      </c>
      <c r="O2383">
        <v>63</v>
      </c>
      <c r="Q2383">
        <f t="shared" si="70"/>
        <v>4</v>
      </c>
      <c r="S2383">
        <v>0</v>
      </c>
      <c r="T2383">
        <v>0</v>
      </c>
      <c r="U2383">
        <v>0</v>
      </c>
      <c r="V2383">
        <v>0</v>
      </c>
      <c r="W2383">
        <v>4</v>
      </c>
      <c r="X2383" s="21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J2383" t="s">
        <v>51</v>
      </c>
      <c r="AK2383" t="s">
        <v>95</v>
      </c>
      <c r="AP2383" t="s">
        <v>541</v>
      </c>
    </row>
    <row r="2384" spans="1:42">
      <c r="A2384" s="1">
        <v>43847</v>
      </c>
      <c r="B2384">
        <v>4</v>
      </c>
      <c r="C2384">
        <v>200</v>
      </c>
      <c r="D2384">
        <v>10218</v>
      </c>
      <c r="E2384" t="s">
        <v>37</v>
      </c>
      <c r="F2384" t="s">
        <v>90</v>
      </c>
      <c r="G2384">
        <v>2</v>
      </c>
      <c r="H2384">
        <v>32</v>
      </c>
      <c r="I2384" s="25">
        <v>731</v>
      </c>
      <c r="K2384" t="s">
        <v>73</v>
      </c>
      <c r="L2384" t="s">
        <v>141</v>
      </c>
      <c r="M2384" t="s">
        <v>52</v>
      </c>
      <c r="N2384" t="s">
        <v>40</v>
      </c>
      <c r="O2384">
        <v>160</v>
      </c>
      <c r="Q2384">
        <f t="shared" si="70"/>
        <v>7</v>
      </c>
      <c r="S2384">
        <v>0</v>
      </c>
      <c r="T2384">
        <v>0</v>
      </c>
      <c r="U2384">
        <v>0</v>
      </c>
      <c r="V2384">
        <v>0</v>
      </c>
      <c r="W2384">
        <v>7</v>
      </c>
      <c r="X2384" s="21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J2384" t="s">
        <v>51</v>
      </c>
      <c r="AK2384" t="s">
        <v>95</v>
      </c>
      <c r="AP2384" t="s">
        <v>541</v>
      </c>
    </row>
    <row r="2385" spans="1:42">
      <c r="A2385" s="1">
        <v>43847</v>
      </c>
      <c r="B2385">
        <v>4</v>
      </c>
      <c r="C2385">
        <v>200</v>
      </c>
      <c r="D2385">
        <v>10218</v>
      </c>
      <c r="E2385" t="s">
        <v>37</v>
      </c>
      <c r="F2385" t="s">
        <v>90</v>
      </c>
      <c r="G2385">
        <v>2</v>
      </c>
      <c r="H2385">
        <v>33</v>
      </c>
      <c r="I2385" s="25">
        <v>700</v>
      </c>
      <c r="K2385" t="s">
        <v>73</v>
      </c>
      <c r="L2385" t="s">
        <v>114</v>
      </c>
      <c r="M2385" t="s">
        <v>52</v>
      </c>
      <c r="N2385" t="s">
        <v>40</v>
      </c>
      <c r="O2385">
        <v>150</v>
      </c>
      <c r="Q2385">
        <f t="shared" si="70"/>
        <v>7</v>
      </c>
      <c r="S2385">
        <v>0</v>
      </c>
      <c r="T2385">
        <v>0</v>
      </c>
      <c r="U2385">
        <v>0</v>
      </c>
      <c r="V2385">
        <v>1</v>
      </c>
      <c r="W2385">
        <v>6</v>
      </c>
      <c r="X2385" s="21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J2385" t="s">
        <v>51</v>
      </c>
      <c r="AK2385" t="s">
        <v>95</v>
      </c>
      <c r="AP2385" t="s">
        <v>541</v>
      </c>
    </row>
    <row r="2386" spans="1:42">
      <c r="A2386" s="1">
        <v>43847</v>
      </c>
      <c r="B2386">
        <v>4</v>
      </c>
      <c r="C2386">
        <v>200</v>
      </c>
      <c r="D2386">
        <v>10218</v>
      </c>
      <c r="E2386" t="s">
        <v>37</v>
      </c>
      <c r="F2386" t="s">
        <v>90</v>
      </c>
      <c r="G2386">
        <v>2</v>
      </c>
      <c r="H2386">
        <v>34</v>
      </c>
      <c r="I2386" s="25">
        <v>580</v>
      </c>
      <c r="K2386" t="s">
        <v>380</v>
      </c>
      <c r="L2386" t="s">
        <v>114</v>
      </c>
      <c r="M2386" t="s">
        <v>52</v>
      </c>
      <c r="N2386" t="s">
        <v>40</v>
      </c>
      <c r="O2386">
        <v>87</v>
      </c>
      <c r="Q2386">
        <f t="shared" si="70"/>
        <v>4</v>
      </c>
      <c r="S2386">
        <v>0</v>
      </c>
      <c r="T2386">
        <v>0</v>
      </c>
      <c r="U2386">
        <v>2</v>
      </c>
      <c r="V2386">
        <v>0</v>
      </c>
      <c r="W2386">
        <v>2</v>
      </c>
      <c r="X2386" s="21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J2386" t="s">
        <v>51</v>
      </c>
      <c r="AK2386" t="s">
        <v>95</v>
      </c>
      <c r="AP2386" t="s">
        <v>541</v>
      </c>
    </row>
    <row r="2387" spans="1:42">
      <c r="A2387" s="1">
        <v>43847</v>
      </c>
      <c r="B2387">
        <v>4</v>
      </c>
      <c r="C2387">
        <v>200</v>
      </c>
      <c r="D2387">
        <v>10218</v>
      </c>
      <c r="E2387" t="s">
        <v>37</v>
      </c>
      <c r="F2387" t="s">
        <v>90</v>
      </c>
      <c r="G2387">
        <v>2</v>
      </c>
      <c r="H2387">
        <v>35</v>
      </c>
      <c r="I2387" s="25">
        <v>92</v>
      </c>
      <c r="K2387" t="s">
        <v>380</v>
      </c>
      <c r="L2387" t="s">
        <v>114</v>
      </c>
      <c r="M2387" t="s">
        <v>52</v>
      </c>
      <c r="N2387" t="s">
        <v>40</v>
      </c>
      <c r="O2387">
        <v>252</v>
      </c>
      <c r="Q2387">
        <f t="shared" si="70"/>
        <v>7</v>
      </c>
      <c r="S2387">
        <v>0</v>
      </c>
      <c r="T2387">
        <v>0</v>
      </c>
      <c r="U2387">
        <v>5</v>
      </c>
      <c r="V2387">
        <v>0</v>
      </c>
      <c r="W2387">
        <v>2</v>
      </c>
      <c r="X2387" s="21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J2387" t="s">
        <v>51</v>
      </c>
      <c r="AK2387" t="s">
        <v>95</v>
      </c>
      <c r="AP2387" t="s">
        <v>541</v>
      </c>
    </row>
    <row r="2388" spans="1:42">
      <c r="A2388" s="1">
        <v>43847</v>
      </c>
      <c r="B2388">
        <v>4</v>
      </c>
      <c r="C2388">
        <v>200</v>
      </c>
      <c r="D2388">
        <v>10218</v>
      </c>
      <c r="E2388" t="s">
        <v>37</v>
      </c>
      <c r="F2388" t="s">
        <v>90</v>
      </c>
      <c r="G2388">
        <v>2</v>
      </c>
      <c r="H2388">
        <v>36</v>
      </c>
      <c r="I2388" s="25">
        <v>122</v>
      </c>
      <c r="K2388" t="s">
        <v>500</v>
      </c>
      <c r="L2388" t="s">
        <v>114</v>
      </c>
      <c r="M2388" t="s">
        <v>95</v>
      </c>
      <c r="N2388" t="s">
        <v>40</v>
      </c>
      <c r="O2388">
        <v>510</v>
      </c>
      <c r="Q2388">
        <f t="shared" si="70"/>
        <v>24</v>
      </c>
      <c r="S2388">
        <v>0</v>
      </c>
      <c r="T2388">
        <v>0</v>
      </c>
      <c r="U2388">
        <v>0</v>
      </c>
      <c r="V2388">
        <v>0</v>
      </c>
      <c r="W2388">
        <v>24</v>
      </c>
      <c r="X2388" s="21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J2388" t="s">
        <v>51</v>
      </c>
      <c r="AK2388" t="s">
        <v>95</v>
      </c>
      <c r="AP2388" t="s">
        <v>541</v>
      </c>
    </row>
    <row r="2389" spans="1:42">
      <c r="A2389" s="1">
        <v>43847</v>
      </c>
      <c r="B2389">
        <v>4</v>
      </c>
      <c r="C2389">
        <v>200</v>
      </c>
      <c r="D2389">
        <v>10218</v>
      </c>
      <c r="E2389" t="s">
        <v>37</v>
      </c>
      <c r="F2389" t="s">
        <v>90</v>
      </c>
      <c r="G2389">
        <v>2</v>
      </c>
      <c r="H2389">
        <v>37</v>
      </c>
      <c r="I2389" s="25">
        <v>126</v>
      </c>
      <c r="K2389" t="s">
        <v>399</v>
      </c>
      <c r="L2389" t="s">
        <v>114</v>
      </c>
      <c r="M2389" t="s">
        <v>95</v>
      </c>
      <c r="N2389" t="s">
        <v>40</v>
      </c>
      <c r="O2389">
        <v>648</v>
      </c>
      <c r="Q2389">
        <f t="shared" si="70"/>
        <v>17</v>
      </c>
      <c r="S2389">
        <v>1</v>
      </c>
      <c r="T2389">
        <v>0</v>
      </c>
      <c r="U2389">
        <v>0</v>
      </c>
      <c r="V2389">
        <v>1</v>
      </c>
      <c r="W2389">
        <v>15</v>
      </c>
      <c r="X2389" s="21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J2389" t="s">
        <v>51</v>
      </c>
      <c r="AK2389" t="s">
        <v>95</v>
      </c>
      <c r="AP2389" t="s">
        <v>541</v>
      </c>
    </row>
    <row r="2390" spans="1:42">
      <c r="A2390" s="1">
        <v>43847</v>
      </c>
      <c r="B2390">
        <v>4</v>
      </c>
      <c r="C2390">
        <v>200</v>
      </c>
      <c r="D2390">
        <v>10218</v>
      </c>
      <c r="E2390" t="s">
        <v>37</v>
      </c>
      <c r="F2390" t="s">
        <v>90</v>
      </c>
      <c r="G2390">
        <v>2</v>
      </c>
      <c r="H2390">
        <v>38</v>
      </c>
      <c r="I2390" s="25">
        <v>100</v>
      </c>
      <c r="K2390" t="s">
        <v>399</v>
      </c>
      <c r="L2390" t="s">
        <v>114</v>
      </c>
      <c r="M2390" t="s">
        <v>52</v>
      </c>
      <c r="N2390" t="s">
        <v>40</v>
      </c>
      <c r="O2390">
        <v>360</v>
      </c>
      <c r="Q2390">
        <f t="shared" si="70"/>
        <v>11</v>
      </c>
      <c r="S2390">
        <v>0</v>
      </c>
      <c r="T2390">
        <v>0</v>
      </c>
      <c r="U2390">
        <v>0</v>
      </c>
      <c r="V2390">
        <v>0</v>
      </c>
      <c r="W2390">
        <v>11</v>
      </c>
      <c r="X2390" s="21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1</v>
      </c>
      <c r="AG2390">
        <v>0</v>
      </c>
      <c r="AJ2390" t="s">
        <v>51</v>
      </c>
      <c r="AK2390" t="s">
        <v>52</v>
      </c>
      <c r="AL2390" t="s">
        <v>622</v>
      </c>
      <c r="AP2390" t="s">
        <v>541</v>
      </c>
    </row>
    <row r="2391" spans="1:42">
      <c r="A2391" s="1">
        <v>43850</v>
      </c>
      <c r="B2391">
        <v>1</v>
      </c>
      <c r="C2391">
        <v>246</v>
      </c>
      <c r="D2391">
        <v>14384</v>
      </c>
      <c r="E2391" t="s">
        <v>112</v>
      </c>
      <c r="F2391" t="s">
        <v>90</v>
      </c>
      <c r="G2391">
        <v>2</v>
      </c>
      <c r="H2391">
        <v>1</v>
      </c>
      <c r="I2391" s="25">
        <v>1507</v>
      </c>
      <c r="K2391" t="s">
        <v>414</v>
      </c>
      <c r="L2391" t="s">
        <v>141</v>
      </c>
      <c r="M2391" t="s">
        <v>52</v>
      </c>
      <c r="N2391" t="s">
        <v>40</v>
      </c>
      <c r="O2391">
        <v>104</v>
      </c>
      <c r="Q2391">
        <f t="shared" si="70"/>
        <v>4</v>
      </c>
      <c r="S2391">
        <v>0</v>
      </c>
      <c r="T2391">
        <v>0</v>
      </c>
      <c r="U2391">
        <v>0</v>
      </c>
      <c r="V2391">
        <v>3</v>
      </c>
      <c r="W2391">
        <v>1</v>
      </c>
      <c r="X2391" s="2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J2391" t="s">
        <v>51</v>
      </c>
      <c r="AK2391" t="s">
        <v>95</v>
      </c>
      <c r="AP2391" t="s">
        <v>541</v>
      </c>
    </row>
    <row r="2392" spans="1:42">
      <c r="A2392" s="1">
        <v>43850</v>
      </c>
      <c r="B2392">
        <v>1</v>
      </c>
      <c r="C2392">
        <v>246</v>
      </c>
      <c r="D2392">
        <v>14384</v>
      </c>
      <c r="E2392" t="s">
        <v>112</v>
      </c>
      <c r="F2392" t="s">
        <v>90</v>
      </c>
      <c r="G2392">
        <v>2</v>
      </c>
      <c r="H2392">
        <v>2</v>
      </c>
      <c r="I2392" s="25">
        <v>1524</v>
      </c>
      <c r="K2392" t="s">
        <v>414</v>
      </c>
      <c r="L2392" t="s">
        <v>114</v>
      </c>
      <c r="M2392" t="s">
        <v>52</v>
      </c>
      <c r="N2392" t="s">
        <v>40</v>
      </c>
      <c r="O2392">
        <v>50</v>
      </c>
      <c r="Q2392">
        <f t="shared" si="70"/>
        <v>2</v>
      </c>
      <c r="S2392">
        <v>0</v>
      </c>
      <c r="T2392">
        <v>0</v>
      </c>
      <c r="U2392">
        <v>0</v>
      </c>
      <c r="V2392">
        <v>0</v>
      </c>
      <c r="W2392">
        <v>2</v>
      </c>
      <c r="X2392" s="21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J2392" t="s">
        <v>51</v>
      </c>
      <c r="AK2392" t="s">
        <v>95</v>
      </c>
      <c r="AP2392" t="s">
        <v>541</v>
      </c>
    </row>
    <row r="2393" spans="1:42">
      <c r="A2393" s="1">
        <v>43850</v>
      </c>
      <c r="B2393">
        <v>1</v>
      </c>
      <c r="C2393">
        <v>246</v>
      </c>
      <c r="D2393">
        <v>14384</v>
      </c>
      <c r="E2393" t="s">
        <v>112</v>
      </c>
      <c r="F2393" t="s">
        <v>90</v>
      </c>
      <c r="G2393">
        <v>2</v>
      </c>
      <c r="H2393">
        <v>3</v>
      </c>
      <c r="I2393" s="25">
        <v>1532</v>
      </c>
      <c r="K2393" t="s">
        <v>414</v>
      </c>
      <c r="L2393" t="s">
        <v>114</v>
      </c>
      <c r="M2393" t="s">
        <v>52</v>
      </c>
      <c r="N2393" t="s">
        <v>40</v>
      </c>
      <c r="O2393">
        <v>30</v>
      </c>
      <c r="Q2393">
        <f t="shared" si="70"/>
        <v>2</v>
      </c>
      <c r="S2393">
        <v>0</v>
      </c>
      <c r="T2393">
        <v>0</v>
      </c>
      <c r="U2393">
        <v>1</v>
      </c>
      <c r="V2393">
        <v>1</v>
      </c>
      <c r="W2393">
        <v>0</v>
      </c>
      <c r="X2393" s="21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J2393" t="s">
        <v>51</v>
      </c>
      <c r="AK2393" t="s">
        <v>52</v>
      </c>
      <c r="AP2393" t="s">
        <v>541</v>
      </c>
    </row>
    <row r="2394" spans="1:42">
      <c r="A2394" s="1">
        <v>43850</v>
      </c>
      <c r="B2394">
        <v>1</v>
      </c>
      <c r="C2394">
        <v>246</v>
      </c>
      <c r="D2394">
        <v>14384</v>
      </c>
      <c r="E2394" t="s">
        <v>112</v>
      </c>
      <c r="F2394" t="s">
        <v>90</v>
      </c>
      <c r="G2394">
        <v>2</v>
      </c>
      <c r="H2394">
        <v>4</v>
      </c>
      <c r="I2394" s="25">
        <v>1609</v>
      </c>
      <c r="K2394" t="s">
        <v>414</v>
      </c>
      <c r="L2394" t="s">
        <v>141</v>
      </c>
      <c r="M2394" t="s">
        <v>95</v>
      </c>
      <c r="N2394" t="s">
        <v>40</v>
      </c>
      <c r="O2394">
        <v>97</v>
      </c>
      <c r="Q2394">
        <f t="shared" si="70"/>
        <v>3</v>
      </c>
      <c r="S2394">
        <v>0</v>
      </c>
      <c r="T2394">
        <v>0</v>
      </c>
      <c r="U2394">
        <v>3</v>
      </c>
      <c r="V2394">
        <v>0</v>
      </c>
      <c r="W2394">
        <v>0</v>
      </c>
      <c r="X2394" s="21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J2394" t="s">
        <v>51</v>
      </c>
      <c r="AK2394" t="s">
        <v>52</v>
      </c>
      <c r="AP2394" t="s">
        <v>541</v>
      </c>
    </row>
    <row r="2395" spans="1:42">
      <c r="A2395" s="1">
        <v>43850</v>
      </c>
      <c r="B2395">
        <v>1</v>
      </c>
      <c r="C2395">
        <v>246</v>
      </c>
      <c r="D2395">
        <v>14384</v>
      </c>
      <c r="E2395" t="s">
        <v>112</v>
      </c>
      <c r="F2395" t="s">
        <v>90</v>
      </c>
      <c r="G2395">
        <v>2</v>
      </c>
      <c r="H2395">
        <v>5</v>
      </c>
      <c r="I2395" s="25">
        <v>1622</v>
      </c>
      <c r="K2395" t="s">
        <v>414</v>
      </c>
      <c r="L2395" t="s">
        <v>114</v>
      </c>
      <c r="M2395" t="s">
        <v>95</v>
      </c>
      <c r="N2395" t="s">
        <v>40</v>
      </c>
      <c r="O2395">
        <v>245</v>
      </c>
      <c r="Q2395">
        <f t="shared" si="70"/>
        <v>7</v>
      </c>
      <c r="S2395">
        <v>0</v>
      </c>
      <c r="T2395">
        <v>0</v>
      </c>
      <c r="U2395">
        <v>2</v>
      </c>
      <c r="V2395">
        <v>3</v>
      </c>
      <c r="W2395">
        <v>2</v>
      </c>
      <c r="X2395" s="21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1</v>
      </c>
      <c r="AG2395">
        <v>0</v>
      </c>
      <c r="AJ2395" t="s">
        <v>51</v>
      </c>
      <c r="AK2395" t="s">
        <v>52</v>
      </c>
      <c r="AP2395" t="s">
        <v>541</v>
      </c>
    </row>
    <row r="2396" spans="1:42">
      <c r="A2396" s="1">
        <v>43850</v>
      </c>
      <c r="B2396">
        <v>1</v>
      </c>
      <c r="C2396">
        <v>246</v>
      </c>
      <c r="D2396">
        <v>14384</v>
      </c>
      <c r="E2396" t="s">
        <v>112</v>
      </c>
      <c r="F2396" t="s">
        <v>90</v>
      </c>
      <c r="G2396">
        <v>2</v>
      </c>
      <c r="H2396">
        <v>6</v>
      </c>
      <c r="I2396" s="25">
        <v>1630</v>
      </c>
      <c r="K2396" t="s">
        <v>414</v>
      </c>
      <c r="L2396" t="s">
        <v>114</v>
      </c>
      <c r="M2396" t="s">
        <v>52</v>
      </c>
      <c r="N2396" t="s">
        <v>44</v>
      </c>
      <c r="O2396">
        <v>187</v>
      </c>
      <c r="Q2396">
        <f t="shared" si="70"/>
        <v>3</v>
      </c>
      <c r="S2396">
        <v>0</v>
      </c>
      <c r="T2396">
        <v>0</v>
      </c>
      <c r="U2396">
        <v>0</v>
      </c>
      <c r="V2396">
        <v>0</v>
      </c>
      <c r="W2396">
        <v>3</v>
      </c>
      <c r="X2396" s="21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J2396" t="s">
        <v>51</v>
      </c>
      <c r="AK2396" t="s">
        <v>52</v>
      </c>
      <c r="AL2396" t="s">
        <v>623</v>
      </c>
      <c r="AP2396" t="s">
        <v>541</v>
      </c>
    </row>
    <row r="2397" spans="1:42">
      <c r="A2397" s="1">
        <v>43850</v>
      </c>
      <c r="B2397">
        <v>1</v>
      </c>
      <c r="C2397">
        <v>246</v>
      </c>
      <c r="D2397">
        <v>14384</v>
      </c>
      <c r="E2397" t="s">
        <v>112</v>
      </c>
      <c r="F2397" t="s">
        <v>90</v>
      </c>
      <c r="G2397">
        <v>2</v>
      </c>
      <c r="H2397">
        <v>7</v>
      </c>
      <c r="I2397" s="25">
        <v>1625</v>
      </c>
      <c r="K2397" t="s">
        <v>414</v>
      </c>
      <c r="L2397" t="s">
        <v>141</v>
      </c>
      <c r="M2397" t="s">
        <v>52</v>
      </c>
      <c r="N2397" t="s">
        <v>44</v>
      </c>
      <c r="O2397">
        <v>260</v>
      </c>
      <c r="Q2397">
        <f t="shared" si="70"/>
        <v>2</v>
      </c>
      <c r="S2397">
        <v>0</v>
      </c>
      <c r="T2397">
        <v>0</v>
      </c>
      <c r="U2397">
        <v>0</v>
      </c>
      <c r="V2397">
        <v>0</v>
      </c>
      <c r="W2397">
        <v>2</v>
      </c>
      <c r="X2397" s="21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J2397" t="s">
        <v>51</v>
      </c>
      <c r="AK2397" t="s">
        <v>52</v>
      </c>
      <c r="AL2397" t="s">
        <v>624</v>
      </c>
      <c r="AP2397" t="s">
        <v>541</v>
      </c>
    </row>
    <row r="2398" spans="1:42">
      <c r="A2398" s="1">
        <v>43850</v>
      </c>
      <c r="B2398">
        <v>1</v>
      </c>
      <c r="C2398">
        <v>246</v>
      </c>
      <c r="D2398">
        <v>14384</v>
      </c>
      <c r="E2398" t="s">
        <v>112</v>
      </c>
      <c r="F2398" t="s">
        <v>90</v>
      </c>
      <c r="G2398">
        <v>2</v>
      </c>
      <c r="H2398">
        <v>8</v>
      </c>
      <c r="I2398" s="25">
        <v>1695</v>
      </c>
      <c r="K2398" t="s">
        <v>414</v>
      </c>
      <c r="L2398" t="s">
        <v>141</v>
      </c>
      <c r="M2398" t="s">
        <v>95</v>
      </c>
      <c r="N2398" t="s">
        <v>40</v>
      </c>
      <c r="O2398">
        <v>97</v>
      </c>
      <c r="Q2398">
        <f t="shared" si="70"/>
        <v>4</v>
      </c>
      <c r="S2398">
        <v>0</v>
      </c>
      <c r="T2398">
        <v>0</v>
      </c>
      <c r="U2398">
        <v>3</v>
      </c>
      <c r="V2398">
        <v>1</v>
      </c>
      <c r="W2398">
        <v>0</v>
      </c>
      <c r="X2398" s="21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J2398" t="s">
        <v>51</v>
      </c>
      <c r="AK2398" t="s">
        <v>52</v>
      </c>
      <c r="AP2398" t="s">
        <v>541</v>
      </c>
    </row>
    <row r="2399" spans="1:42">
      <c r="A2399" s="1">
        <v>43850</v>
      </c>
      <c r="B2399">
        <v>1</v>
      </c>
      <c r="C2399">
        <v>246</v>
      </c>
      <c r="D2399">
        <v>14384</v>
      </c>
      <c r="E2399" t="s">
        <v>112</v>
      </c>
      <c r="F2399" t="s">
        <v>90</v>
      </c>
      <c r="G2399">
        <v>2</v>
      </c>
      <c r="H2399">
        <v>9</v>
      </c>
      <c r="I2399" s="25">
        <v>1722</v>
      </c>
      <c r="K2399" t="s">
        <v>414</v>
      </c>
      <c r="L2399" t="s">
        <v>114</v>
      </c>
      <c r="M2399" t="s">
        <v>95</v>
      </c>
      <c r="N2399" t="s">
        <v>40</v>
      </c>
      <c r="O2399">
        <v>63</v>
      </c>
      <c r="Q2399">
        <f t="shared" si="70"/>
        <v>4</v>
      </c>
      <c r="S2399">
        <v>0</v>
      </c>
      <c r="T2399">
        <v>0</v>
      </c>
      <c r="U2399">
        <v>2</v>
      </c>
      <c r="V2399">
        <v>2</v>
      </c>
      <c r="W2399">
        <v>0</v>
      </c>
      <c r="X2399" s="21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J2399" t="s">
        <v>51</v>
      </c>
      <c r="AK2399" t="s">
        <v>95</v>
      </c>
      <c r="AP2399" t="s">
        <v>541</v>
      </c>
    </row>
    <row r="2400" spans="1:42">
      <c r="A2400" s="1">
        <v>43850</v>
      </c>
      <c r="B2400">
        <v>1</v>
      </c>
      <c r="C2400">
        <v>246</v>
      </c>
      <c r="D2400">
        <v>14384</v>
      </c>
      <c r="E2400" t="s">
        <v>112</v>
      </c>
      <c r="F2400" t="s">
        <v>90</v>
      </c>
      <c r="G2400">
        <v>2</v>
      </c>
      <c r="H2400">
        <v>10</v>
      </c>
      <c r="I2400" s="25">
        <v>1750</v>
      </c>
      <c r="K2400" t="s">
        <v>414</v>
      </c>
      <c r="L2400" t="s">
        <v>114</v>
      </c>
      <c r="M2400" t="s">
        <v>52</v>
      </c>
      <c r="N2400" t="s">
        <v>40</v>
      </c>
      <c r="O2400">
        <v>88</v>
      </c>
      <c r="Q2400">
        <f t="shared" si="70"/>
        <v>3</v>
      </c>
      <c r="S2400">
        <v>0</v>
      </c>
      <c r="T2400">
        <v>0</v>
      </c>
      <c r="U2400">
        <v>0</v>
      </c>
      <c r="V2400">
        <v>1</v>
      </c>
      <c r="W2400">
        <v>2</v>
      </c>
      <c r="X2400" s="21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J2400" t="s">
        <v>51</v>
      </c>
      <c r="AK2400" t="s">
        <v>95</v>
      </c>
      <c r="AP2400" t="s">
        <v>541</v>
      </c>
    </row>
    <row r="2401" spans="1:42">
      <c r="A2401" s="1">
        <v>43850</v>
      </c>
      <c r="B2401">
        <v>1</v>
      </c>
      <c r="C2401">
        <v>246</v>
      </c>
      <c r="D2401">
        <v>14384</v>
      </c>
      <c r="E2401" t="s">
        <v>112</v>
      </c>
      <c r="F2401" t="s">
        <v>90</v>
      </c>
      <c r="G2401">
        <v>2</v>
      </c>
      <c r="H2401">
        <v>11</v>
      </c>
      <c r="I2401" s="25">
        <v>1760</v>
      </c>
      <c r="K2401" t="s">
        <v>414</v>
      </c>
      <c r="L2401" t="s">
        <v>114</v>
      </c>
      <c r="M2401" t="s">
        <v>52</v>
      </c>
      <c r="N2401" t="s">
        <v>40</v>
      </c>
      <c r="O2401">
        <v>143</v>
      </c>
      <c r="Q2401">
        <f t="shared" si="70"/>
        <v>5</v>
      </c>
      <c r="S2401">
        <v>0</v>
      </c>
      <c r="T2401">
        <v>0</v>
      </c>
      <c r="U2401">
        <v>1</v>
      </c>
      <c r="V2401">
        <v>3</v>
      </c>
      <c r="W2401">
        <v>1</v>
      </c>
      <c r="X2401" s="2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J2401" t="s">
        <v>51</v>
      </c>
      <c r="AK2401" t="s">
        <v>95</v>
      </c>
      <c r="AP2401" t="s">
        <v>541</v>
      </c>
    </row>
    <row r="2402" spans="1:42">
      <c r="A2402" s="1">
        <v>43850</v>
      </c>
      <c r="B2402">
        <v>1</v>
      </c>
      <c r="C2402">
        <v>246</v>
      </c>
      <c r="D2402">
        <v>14384</v>
      </c>
      <c r="E2402" t="s">
        <v>112</v>
      </c>
      <c r="F2402" t="s">
        <v>90</v>
      </c>
      <c r="G2402">
        <v>2</v>
      </c>
      <c r="H2402">
        <v>12</v>
      </c>
      <c r="I2402" s="25">
        <v>1819</v>
      </c>
      <c r="K2402" t="s">
        <v>414</v>
      </c>
      <c r="L2402" t="s">
        <v>141</v>
      </c>
      <c r="M2402" t="s">
        <v>52</v>
      </c>
      <c r="N2402" t="s">
        <v>40</v>
      </c>
      <c r="O2402">
        <v>76</v>
      </c>
      <c r="Q2402">
        <f t="shared" si="70"/>
        <v>3</v>
      </c>
      <c r="S2402">
        <v>0</v>
      </c>
      <c r="T2402">
        <v>0</v>
      </c>
      <c r="U2402">
        <v>0</v>
      </c>
      <c r="V2402">
        <v>0</v>
      </c>
      <c r="W2402">
        <v>3</v>
      </c>
      <c r="X2402" s="21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J2402" t="s">
        <v>51</v>
      </c>
      <c r="AK2402" t="s">
        <v>95</v>
      </c>
      <c r="AP2402" t="s">
        <v>541</v>
      </c>
    </row>
    <row r="2403" spans="1:42">
      <c r="A2403" s="1">
        <v>43850</v>
      </c>
      <c r="B2403">
        <v>1</v>
      </c>
      <c r="C2403">
        <v>246</v>
      </c>
      <c r="D2403">
        <v>14384</v>
      </c>
      <c r="E2403" t="s">
        <v>112</v>
      </c>
      <c r="F2403" t="s">
        <v>90</v>
      </c>
      <c r="G2403">
        <v>2</v>
      </c>
      <c r="H2403">
        <v>13</v>
      </c>
      <c r="I2403" s="25" t="s">
        <v>625</v>
      </c>
      <c r="K2403" t="s">
        <v>414</v>
      </c>
      <c r="M2403" t="s">
        <v>52</v>
      </c>
      <c r="N2403" t="s">
        <v>44</v>
      </c>
      <c r="O2403">
        <v>355</v>
      </c>
      <c r="Q2403">
        <f t="shared" si="70"/>
        <v>8</v>
      </c>
      <c r="S2403">
        <v>0</v>
      </c>
      <c r="T2403">
        <v>0</v>
      </c>
      <c r="U2403">
        <v>0</v>
      </c>
      <c r="V2403">
        <v>0</v>
      </c>
      <c r="W2403">
        <v>8</v>
      </c>
      <c r="X2403" s="21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J2403" t="s">
        <v>51</v>
      </c>
      <c r="AK2403" t="s">
        <v>95</v>
      </c>
      <c r="AL2403" t="s">
        <v>626</v>
      </c>
      <c r="AP2403" t="s">
        <v>541</v>
      </c>
    </row>
    <row r="2404" spans="1:42">
      <c r="A2404" s="1">
        <v>43850</v>
      </c>
      <c r="B2404">
        <v>1</v>
      </c>
      <c r="C2404">
        <v>246</v>
      </c>
      <c r="D2404">
        <v>14384</v>
      </c>
      <c r="E2404" t="s">
        <v>112</v>
      </c>
      <c r="F2404" t="s">
        <v>90</v>
      </c>
      <c r="G2404">
        <v>2</v>
      </c>
      <c r="H2404">
        <v>14</v>
      </c>
      <c r="I2404" s="25">
        <v>1558</v>
      </c>
      <c r="K2404" t="s">
        <v>605</v>
      </c>
      <c r="L2404" t="s">
        <v>114</v>
      </c>
      <c r="M2404" t="s">
        <v>52</v>
      </c>
      <c r="N2404" t="s">
        <v>44</v>
      </c>
      <c r="O2404">
        <v>133</v>
      </c>
      <c r="Q2404">
        <f t="shared" si="70"/>
        <v>2</v>
      </c>
      <c r="S2404">
        <v>0</v>
      </c>
      <c r="T2404">
        <v>0</v>
      </c>
      <c r="U2404">
        <v>1</v>
      </c>
      <c r="V2404">
        <v>1</v>
      </c>
      <c r="W2404">
        <v>0</v>
      </c>
      <c r="X2404" s="21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J2404" t="s">
        <v>51</v>
      </c>
      <c r="AK2404" t="s">
        <v>95</v>
      </c>
      <c r="AL2404" t="s">
        <v>590</v>
      </c>
      <c r="AP2404" t="s">
        <v>541</v>
      </c>
    </row>
    <row r="2405" spans="1:42">
      <c r="A2405" s="1">
        <v>43850</v>
      </c>
      <c r="B2405">
        <v>1</v>
      </c>
      <c r="C2405">
        <v>246</v>
      </c>
      <c r="D2405">
        <v>14384</v>
      </c>
      <c r="E2405" t="s">
        <v>112</v>
      </c>
      <c r="F2405" t="s">
        <v>90</v>
      </c>
      <c r="G2405">
        <v>2</v>
      </c>
      <c r="H2405">
        <v>15</v>
      </c>
      <c r="I2405" s="25">
        <v>2031</v>
      </c>
      <c r="K2405" t="s">
        <v>414</v>
      </c>
      <c r="L2405" t="s">
        <v>141</v>
      </c>
      <c r="M2405" t="s">
        <v>52</v>
      </c>
      <c r="N2405" t="s">
        <v>40</v>
      </c>
      <c r="O2405">
        <v>45</v>
      </c>
      <c r="Q2405">
        <f t="shared" si="70"/>
        <v>2</v>
      </c>
      <c r="S2405">
        <v>0</v>
      </c>
      <c r="T2405">
        <v>0</v>
      </c>
      <c r="U2405">
        <v>0</v>
      </c>
      <c r="V2405">
        <v>0</v>
      </c>
      <c r="W2405">
        <v>2</v>
      </c>
      <c r="X2405" s="21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J2405" t="s">
        <v>51</v>
      </c>
      <c r="AK2405" t="s">
        <v>95</v>
      </c>
      <c r="AP2405" t="s">
        <v>541</v>
      </c>
    </row>
    <row r="2406" spans="1:42">
      <c r="A2406" s="1">
        <v>43850</v>
      </c>
      <c r="B2406">
        <v>1</v>
      </c>
      <c r="C2406">
        <v>246</v>
      </c>
      <c r="D2406">
        <v>14384</v>
      </c>
      <c r="E2406" t="s">
        <v>112</v>
      </c>
      <c r="F2406" t="s">
        <v>90</v>
      </c>
      <c r="G2406">
        <v>2</v>
      </c>
      <c r="H2406">
        <v>16</v>
      </c>
      <c r="I2406" s="25">
        <v>2163</v>
      </c>
      <c r="K2406" t="s">
        <v>414</v>
      </c>
      <c r="L2406" t="s">
        <v>141</v>
      </c>
      <c r="M2406" t="s">
        <v>52</v>
      </c>
      <c r="N2406" t="s">
        <v>40</v>
      </c>
      <c r="O2406">
        <v>25</v>
      </c>
      <c r="Q2406">
        <f t="shared" si="70"/>
        <v>1</v>
      </c>
      <c r="S2406">
        <v>0</v>
      </c>
      <c r="T2406">
        <v>0</v>
      </c>
      <c r="U2406">
        <v>0</v>
      </c>
      <c r="V2406">
        <v>1</v>
      </c>
      <c r="W2406">
        <v>0</v>
      </c>
      <c r="X2406" s="21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J2406" t="s">
        <v>51</v>
      </c>
      <c r="AK2406" t="s">
        <v>95</v>
      </c>
      <c r="AP2406" t="s">
        <v>541</v>
      </c>
    </row>
    <row r="2407" spans="1:42">
      <c r="A2407" s="1">
        <v>43850</v>
      </c>
      <c r="B2407">
        <v>1</v>
      </c>
      <c r="C2407">
        <v>246</v>
      </c>
      <c r="D2407">
        <v>14384</v>
      </c>
      <c r="E2407" t="s">
        <v>112</v>
      </c>
      <c r="F2407" t="s">
        <v>90</v>
      </c>
      <c r="G2407">
        <v>2</v>
      </c>
      <c r="H2407">
        <v>17</v>
      </c>
      <c r="I2407" s="25">
        <v>2139</v>
      </c>
      <c r="K2407" t="s">
        <v>414</v>
      </c>
      <c r="L2407" t="s">
        <v>141</v>
      </c>
      <c r="M2407" t="s">
        <v>95</v>
      </c>
      <c r="N2407" t="s">
        <v>40</v>
      </c>
      <c r="O2407">
        <v>134</v>
      </c>
      <c r="Q2407">
        <f t="shared" si="70"/>
        <v>5</v>
      </c>
      <c r="S2407">
        <v>0</v>
      </c>
      <c r="T2407">
        <v>0</v>
      </c>
      <c r="U2407">
        <v>3</v>
      </c>
      <c r="V2407">
        <v>2</v>
      </c>
      <c r="W2407">
        <v>0</v>
      </c>
      <c r="X2407" s="21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J2407" t="s">
        <v>51</v>
      </c>
      <c r="AK2407" t="s">
        <v>95</v>
      </c>
      <c r="AP2407" t="s">
        <v>541</v>
      </c>
    </row>
    <row r="2408" spans="1:42">
      <c r="A2408" s="1">
        <v>43850</v>
      </c>
      <c r="B2408">
        <v>1</v>
      </c>
      <c r="C2408">
        <v>246</v>
      </c>
      <c r="D2408">
        <v>14384</v>
      </c>
      <c r="E2408" t="s">
        <v>112</v>
      </c>
      <c r="F2408" t="s">
        <v>90</v>
      </c>
      <c r="G2408">
        <v>2</v>
      </c>
      <c r="H2408">
        <v>18</v>
      </c>
      <c r="I2408" s="25">
        <v>2123</v>
      </c>
      <c r="K2408" t="s">
        <v>414</v>
      </c>
      <c r="L2408" t="s">
        <v>141</v>
      </c>
      <c r="M2408" t="s">
        <v>52</v>
      </c>
      <c r="N2408" t="s">
        <v>40</v>
      </c>
      <c r="O2408">
        <v>125</v>
      </c>
      <c r="Q2408">
        <f t="shared" si="70"/>
        <v>6</v>
      </c>
      <c r="S2408">
        <v>0</v>
      </c>
      <c r="T2408">
        <v>0</v>
      </c>
      <c r="U2408">
        <v>4</v>
      </c>
      <c r="V2408">
        <v>0</v>
      </c>
      <c r="W2408">
        <v>2</v>
      </c>
      <c r="X2408" s="21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J2408" t="s">
        <v>51</v>
      </c>
      <c r="AK2408" t="s">
        <v>95</v>
      </c>
      <c r="AP2408" t="s">
        <v>541</v>
      </c>
    </row>
    <row r="2409" spans="1:42">
      <c r="A2409" s="1">
        <v>43850</v>
      </c>
      <c r="B2409">
        <v>1</v>
      </c>
      <c r="C2409">
        <v>246</v>
      </c>
      <c r="D2409">
        <v>14384</v>
      </c>
      <c r="E2409" t="s">
        <v>112</v>
      </c>
      <c r="F2409" t="s">
        <v>90</v>
      </c>
      <c r="G2409">
        <v>2</v>
      </c>
      <c r="H2409">
        <v>19</v>
      </c>
      <c r="I2409" s="25">
        <v>2119</v>
      </c>
      <c r="K2409" t="s">
        <v>414</v>
      </c>
      <c r="L2409" t="s">
        <v>141</v>
      </c>
      <c r="M2409" t="s">
        <v>52</v>
      </c>
      <c r="N2409" t="s">
        <v>40</v>
      </c>
      <c r="O2409">
        <v>81</v>
      </c>
      <c r="Q2409">
        <f t="shared" si="70"/>
        <v>2</v>
      </c>
      <c r="S2409">
        <v>0</v>
      </c>
      <c r="T2409">
        <v>0</v>
      </c>
      <c r="U2409">
        <v>0</v>
      </c>
      <c r="V2409">
        <v>0</v>
      </c>
      <c r="W2409">
        <v>2</v>
      </c>
      <c r="X2409" s="21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J2409" t="s">
        <v>51</v>
      </c>
      <c r="AK2409" t="s">
        <v>95</v>
      </c>
      <c r="AP2409" t="s">
        <v>541</v>
      </c>
    </row>
    <row r="2410" spans="1:42">
      <c r="A2410" s="1">
        <v>43850</v>
      </c>
      <c r="B2410">
        <v>1</v>
      </c>
      <c r="C2410">
        <v>246</v>
      </c>
      <c r="D2410">
        <v>14384</v>
      </c>
      <c r="E2410" t="s">
        <v>112</v>
      </c>
      <c r="F2410" t="s">
        <v>90</v>
      </c>
      <c r="G2410">
        <v>2</v>
      </c>
      <c r="H2410">
        <v>20</v>
      </c>
      <c r="I2410" s="25">
        <v>2052</v>
      </c>
      <c r="K2410" t="s">
        <v>414</v>
      </c>
      <c r="L2410" t="s">
        <v>114</v>
      </c>
      <c r="M2410" t="s">
        <v>52</v>
      </c>
      <c r="N2410" t="s">
        <v>40</v>
      </c>
      <c r="O2410">
        <v>172</v>
      </c>
      <c r="Q2410">
        <f t="shared" si="70"/>
        <v>5</v>
      </c>
      <c r="S2410">
        <v>0</v>
      </c>
      <c r="T2410">
        <v>0</v>
      </c>
      <c r="U2410">
        <v>0</v>
      </c>
      <c r="V2410">
        <v>0</v>
      </c>
      <c r="W2410">
        <v>5</v>
      </c>
      <c r="X2410" s="21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J2410" t="s">
        <v>51</v>
      </c>
      <c r="AK2410" t="s">
        <v>95</v>
      </c>
      <c r="AP2410" t="s">
        <v>541</v>
      </c>
    </row>
    <row r="2411" spans="1:42">
      <c r="A2411" s="1">
        <v>43850</v>
      </c>
      <c r="B2411">
        <v>1</v>
      </c>
      <c r="C2411">
        <v>246</v>
      </c>
      <c r="D2411">
        <v>14384</v>
      </c>
      <c r="E2411" t="s">
        <v>112</v>
      </c>
      <c r="F2411" t="s">
        <v>90</v>
      </c>
      <c r="G2411">
        <v>2</v>
      </c>
      <c r="H2411">
        <v>21</v>
      </c>
      <c r="I2411" s="25">
        <v>2222</v>
      </c>
      <c r="K2411" t="s">
        <v>414</v>
      </c>
      <c r="L2411" t="s">
        <v>114</v>
      </c>
      <c r="M2411" t="s">
        <v>52</v>
      </c>
      <c r="N2411" t="s">
        <v>40</v>
      </c>
      <c r="O2411">
        <v>167</v>
      </c>
      <c r="Q2411">
        <f t="shared" si="70"/>
        <v>8</v>
      </c>
      <c r="S2411">
        <v>0</v>
      </c>
      <c r="T2411">
        <v>0</v>
      </c>
      <c r="U2411">
        <v>5</v>
      </c>
      <c r="V2411">
        <v>2</v>
      </c>
      <c r="W2411">
        <v>1</v>
      </c>
      <c r="X2411" s="2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J2411" t="s">
        <v>51</v>
      </c>
      <c r="AK2411" t="s">
        <v>95</v>
      </c>
      <c r="AP2411" t="s">
        <v>541</v>
      </c>
    </row>
    <row r="2412" spans="1:42">
      <c r="A2412" s="1">
        <v>43850</v>
      </c>
      <c r="B2412">
        <v>1</v>
      </c>
      <c r="C2412">
        <v>246</v>
      </c>
      <c r="D2412">
        <v>14384</v>
      </c>
      <c r="E2412" t="s">
        <v>112</v>
      </c>
      <c r="F2412" t="s">
        <v>90</v>
      </c>
      <c r="G2412">
        <v>2</v>
      </c>
      <c r="H2412">
        <v>22</v>
      </c>
      <c r="I2412" s="25">
        <v>2222</v>
      </c>
      <c r="K2412" t="s">
        <v>414</v>
      </c>
      <c r="L2412" t="s">
        <v>114</v>
      </c>
      <c r="M2412" t="s">
        <v>52</v>
      </c>
      <c r="N2412" t="s">
        <v>40</v>
      </c>
      <c r="O2412">
        <v>175</v>
      </c>
      <c r="Q2412">
        <f t="shared" si="70"/>
        <v>4</v>
      </c>
      <c r="S2412">
        <v>0</v>
      </c>
      <c r="T2412">
        <v>0</v>
      </c>
      <c r="U2412">
        <v>0</v>
      </c>
      <c r="V2412">
        <v>3</v>
      </c>
      <c r="W2412">
        <v>1</v>
      </c>
      <c r="X2412" s="21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J2412" t="s">
        <v>51</v>
      </c>
      <c r="AK2412" t="s">
        <v>95</v>
      </c>
      <c r="AP2412" t="s">
        <v>541</v>
      </c>
    </row>
    <row r="2413" spans="1:42">
      <c r="A2413" s="1">
        <v>43850</v>
      </c>
      <c r="B2413">
        <v>1</v>
      </c>
      <c r="C2413">
        <v>246</v>
      </c>
      <c r="D2413">
        <v>14384</v>
      </c>
      <c r="E2413" t="s">
        <v>112</v>
      </c>
      <c r="F2413" t="s">
        <v>90</v>
      </c>
      <c r="G2413">
        <v>2</v>
      </c>
      <c r="H2413">
        <v>23</v>
      </c>
      <c r="I2413" s="25">
        <v>2234</v>
      </c>
      <c r="K2413" t="s">
        <v>414</v>
      </c>
      <c r="L2413" t="s">
        <v>114</v>
      </c>
      <c r="M2413" t="s">
        <v>95</v>
      </c>
      <c r="N2413" t="s">
        <v>40</v>
      </c>
      <c r="O2413">
        <v>101</v>
      </c>
      <c r="Q2413">
        <f t="shared" si="70"/>
        <v>4</v>
      </c>
      <c r="S2413">
        <v>0</v>
      </c>
      <c r="T2413">
        <v>0</v>
      </c>
      <c r="U2413">
        <v>1</v>
      </c>
      <c r="V2413">
        <v>1</v>
      </c>
      <c r="W2413">
        <v>2</v>
      </c>
      <c r="X2413" s="21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J2413" t="s">
        <v>51</v>
      </c>
      <c r="AK2413" t="s">
        <v>95</v>
      </c>
      <c r="AP2413" t="s">
        <v>541</v>
      </c>
    </row>
    <row r="2414" spans="1:42">
      <c r="A2414" s="1">
        <v>43850</v>
      </c>
      <c r="B2414">
        <v>1</v>
      </c>
      <c r="C2414">
        <v>246</v>
      </c>
      <c r="D2414">
        <v>14384</v>
      </c>
      <c r="E2414" t="s">
        <v>112</v>
      </c>
      <c r="F2414" t="s">
        <v>90</v>
      </c>
      <c r="G2414">
        <v>2</v>
      </c>
      <c r="H2414">
        <v>24</v>
      </c>
      <c r="I2414" s="25">
        <v>2231</v>
      </c>
      <c r="K2414" t="s">
        <v>414</v>
      </c>
      <c r="L2414" t="s">
        <v>141</v>
      </c>
      <c r="M2414" t="s">
        <v>52</v>
      </c>
      <c r="N2414" t="s">
        <v>40</v>
      </c>
      <c r="O2414">
        <v>65</v>
      </c>
      <c r="Q2414">
        <f t="shared" si="70"/>
        <v>2</v>
      </c>
      <c r="S2414">
        <v>0</v>
      </c>
      <c r="T2414">
        <v>0</v>
      </c>
      <c r="U2414">
        <v>0</v>
      </c>
      <c r="V2414">
        <v>0</v>
      </c>
      <c r="W2414">
        <v>2</v>
      </c>
      <c r="X2414" s="21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J2414" t="s">
        <v>51</v>
      </c>
      <c r="AK2414" t="s">
        <v>95</v>
      </c>
      <c r="AP2414" t="s">
        <v>541</v>
      </c>
    </row>
    <row r="2415" spans="1:42">
      <c r="A2415" s="1">
        <v>43850</v>
      </c>
      <c r="B2415">
        <v>1</v>
      </c>
      <c r="C2415">
        <v>246</v>
      </c>
      <c r="D2415">
        <v>14384</v>
      </c>
      <c r="E2415" t="s">
        <v>112</v>
      </c>
      <c r="F2415" t="s">
        <v>90</v>
      </c>
      <c r="G2415">
        <v>2</v>
      </c>
      <c r="H2415">
        <v>25</v>
      </c>
      <c r="I2415" s="25">
        <v>2330</v>
      </c>
      <c r="K2415" t="s">
        <v>414</v>
      </c>
      <c r="L2415" t="s">
        <v>114</v>
      </c>
      <c r="M2415" t="s">
        <v>95</v>
      </c>
      <c r="N2415" t="s">
        <v>40</v>
      </c>
      <c r="O2415">
        <v>200</v>
      </c>
      <c r="Q2415">
        <f t="shared" si="70"/>
        <v>7</v>
      </c>
      <c r="S2415">
        <v>0</v>
      </c>
      <c r="T2415">
        <v>0</v>
      </c>
      <c r="U2415">
        <v>2</v>
      </c>
      <c r="V2415">
        <v>1</v>
      </c>
      <c r="W2415">
        <v>4</v>
      </c>
      <c r="X2415" s="21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J2415" t="s">
        <v>51</v>
      </c>
      <c r="AK2415" t="s">
        <v>95</v>
      </c>
      <c r="AP2415" t="s">
        <v>541</v>
      </c>
    </row>
    <row r="2416" spans="1:42">
      <c r="A2416" s="1">
        <v>43850</v>
      </c>
      <c r="B2416">
        <v>1</v>
      </c>
      <c r="C2416">
        <v>246</v>
      </c>
      <c r="D2416">
        <v>14384</v>
      </c>
      <c r="E2416" t="s">
        <v>112</v>
      </c>
      <c r="F2416" t="s">
        <v>90</v>
      </c>
      <c r="G2416">
        <v>2</v>
      </c>
      <c r="H2416">
        <v>26</v>
      </c>
      <c r="I2416" s="25">
        <v>2348</v>
      </c>
      <c r="K2416" t="s">
        <v>414</v>
      </c>
      <c r="L2416" t="s">
        <v>114</v>
      </c>
      <c r="M2416" t="s">
        <v>52</v>
      </c>
      <c r="N2416" t="s">
        <v>40</v>
      </c>
      <c r="O2416">
        <v>58</v>
      </c>
      <c r="Q2416">
        <f t="shared" si="70"/>
        <v>1</v>
      </c>
      <c r="S2416">
        <v>0</v>
      </c>
      <c r="T2416">
        <v>0</v>
      </c>
      <c r="U2416">
        <v>0</v>
      </c>
      <c r="V2416">
        <v>1</v>
      </c>
      <c r="W2416">
        <v>0</v>
      </c>
      <c r="X2416" s="21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J2416" t="s">
        <v>51</v>
      </c>
      <c r="AK2416" t="s">
        <v>52</v>
      </c>
      <c r="AL2416" t="s">
        <v>611</v>
      </c>
      <c r="AP2416" t="s">
        <v>541</v>
      </c>
    </row>
    <row r="2417" spans="1:42">
      <c r="A2417" s="1">
        <v>43850</v>
      </c>
      <c r="B2417">
        <v>1</v>
      </c>
      <c r="C2417">
        <v>246</v>
      </c>
      <c r="D2417">
        <v>14384</v>
      </c>
      <c r="E2417" t="s">
        <v>112</v>
      </c>
      <c r="F2417" t="s">
        <v>90</v>
      </c>
      <c r="G2417">
        <v>2</v>
      </c>
      <c r="H2417">
        <v>27</v>
      </c>
      <c r="I2417" s="25">
        <v>2752</v>
      </c>
      <c r="K2417" t="s">
        <v>414</v>
      </c>
      <c r="L2417" t="s">
        <v>114</v>
      </c>
      <c r="M2417" t="s">
        <v>52</v>
      </c>
      <c r="N2417" t="s">
        <v>44</v>
      </c>
      <c r="O2417">
        <v>139</v>
      </c>
      <c r="Q2417">
        <f t="shared" si="70"/>
        <v>2</v>
      </c>
      <c r="S2417">
        <v>0</v>
      </c>
      <c r="T2417">
        <v>0</v>
      </c>
      <c r="U2417">
        <v>0</v>
      </c>
      <c r="V2417">
        <v>0</v>
      </c>
      <c r="W2417">
        <v>2</v>
      </c>
      <c r="X2417" s="21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J2417" t="s">
        <v>51</v>
      </c>
      <c r="AK2417" t="s">
        <v>52</v>
      </c>
      <c r="AP2417" t="s">
        <v>541</v>
      </c>
    </row>
    <row r="2418" spans="1:42">
      <c r="A2418" s="1">
        <v>43850</v>
      </c>
      <c r="B2418">
        <v>1</v>
      </c>
      <c r="C2418">
        <v>246</v>
      </c>
      <c r="D2418">
        <v>14384</v>
      </c>
      <c r="E2418" t="s">
        <v>112</v>
      </c>
      <c r="F2418" t="s">
        <v>90</v>
      </c>
      <c r="G2418">
        <v>2</v>
      </c>
      <c r="H2418">
        <v>28</v>
      </c>
      <c r="I2418" s="25">
        <v>2348</v>
      </c>
      <c r="K2418" t="s">
        <v>414</v>
      </c>
      <c r="L2418" t="s">
        <v>114</v>
      </c>
      <c r="M2418" t="s">
        <v>52</v>
      </c>
      <c r="N2418" t="s">
        <v>40</v>
      </c>
      <c r="O2418">
        <v>39</v>
      </c>
      <c r="Q2418">
        <f t="shared" si="70"/>
        <v>1</v>
      </c>
      <c r="S2418">
        <v>0</v>
      </c>
      <c r="T2418">
        <v>0</v>
      </c>
      <c r="U2418">
        <v>0</v>
      </c>
      <c r="V2418">
        <v>0</v>
      </c>
      <c r="W2418">
        <v>1</v>
      </c>
      <c r="X2418" s="21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J2418" t="s">
        <v>51</v>
      </c>
      <c r="AK2418" t="s">
        <v>52</v>
      </c>
      <c r="AP2418" t="s">
        <v>541</v>
      </c>
    </row>
    <row r="2419" spans="1:42">
      <c r="A2419" s="1">
        <v>43850</v>
      </c>
      <c r="B2419">
        <v>1</v>
      </c>
      <c r="C2419">
        <v>246</v>
      </c>
      <c r="D2419">
        <v>14384</v>
      </c>
      <c r="E2419" t="s">
        <v>112</v>
      </c>
      <c r="F2419" t="s">
        <v>90</v>
      </c>
      <c r="G2419">
        <v>2</v>
      </c>
      <c r="H2419">
        <v>29</v>
      </c>
      <c r="I2419" s="25">
        <v>2354</v>
      </c>
      <c r="K2419" t="s">
        <v>414</v>
      </c>
      <c r="L2419" t="s">
        <v>114</v>
      </c>
      <c r="M2419" t="s">
        <v>52</v>
      </c>
      <c r="N2419" t="s">
        <v>40</v>
      </c>
      <c r="O2419">
        <v>121</v>
      </c>
      <c r="Q2419">
        <f t="shared" si="70"/>
        <v>4</v>
      </c>
      <c r="S2419">
        <v>0</v>
      </c>
      <c r="T2419">
        <v>0</v>
      </c>
      <c r="U2419">
        <v>1</v>
      </c>
      <c r="V2419">
        <v>2</v>
      </c>
      <c r="W2419">
        <v>1</v>
      </c>
      <c r="X2419" s="21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J2419" t="s">
        <v>51</v>
      </c>
      <c r="AK2419" t="s">
        <v>52</v>
      </c>
      <c r="AP2419" t="s">
        <v>541</v>
      </c>
    </row>
    <row r="2420" spans="1:42">
      <c r="A2420" s="1">
        <v>43850</v>
      </c>
      <c r="B2420">
        <v>1</v>
      </c>
      <c r="C2420">
        <v>246</v>
      </c>
      <c r="D2420">
        <v>14384</v>
      </c>
      <c r="E2420" t="s">
        <v>112</v>
      </c>
      <c r="F2420" t="s">
        <v>90</v>
      </c>
      <c r="G2420">
        <v>2</v>
      </c>
      <c r="H2420">
        <v>30</v>
      </c>
      <c r="I2420" s="25">
        <v>2406</v>
      </c>
      <c r="K2420" t="s">
        <v>414</v>
      </c>
      <c r="L2420" t="s">
        <v>114</v>
      </c>
      <c r="M2420" t="s">
        <v>52</v>
      </c>
      <c r="N2420" t="s">
        <v>40</v>
      </c>
      <c r="O2420">
        <v>65</v>
      </c>
      <c r="Q2420">
        <f t="shared" si="70"/>
        <v>2</v>
      </c>
      <c r="S2420">
        <v>0</v>
      </c>
      <c r="T2420">
        <v>0</v>
      </c>
      <c r="U2420">
        <v>2</v>
      </c>
      <c r="V2420">
        <v>0</v>
      </c>
      <c r="W2420">
        <v>0</v>
      </c>
      <c r="X2420" s="21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J2420" t="s">
        <v>51</v>
      </c>
      <c r="AK2420" t="s">
        <v>52</v>
      </c>
      <c r="AP2420" t="s">
        <v>541</v>
      </c>
    </row>
    <row r="2421" spans="1:42">
      <c r="A2421" s="1">
        <v>43850</v>
      </c>
      <c r="B2421">
        <v>1</v>
      </c>
      <c r="C2421">
        <v>246</v>
      </c>
      <c r="D2421">
        <v>14384</v>
      </c>
      <c r="E2421" t="s">
        <v>112</v>
      </c>
      <c r="F2421" t="s">
        <v>90</v>
      </c>
      <c r="G2421">
        <v>2</v>
      </c>
      <c r="H2421">
        <v>31</v>
      </c>
      <c r="I2421" s="25">
        <v>2421</v>
      </c>
      <c r="K2421" t="s">
        <v>414</v>
      </c>
      <c r="L2421" t="s">
        <v>141</v>
      </c>
      <c r="M2421" t="s">
        <v>52</v>
      </c>
      <c r="N2421" t="s">
        <v>40</v>
      </c>
      <c r="O2421">
        <v>66</v>
      </c>
      <c r="Q2421">
        <f t="shared" si="70"/>
        <v>2</v>
      </c>
      <c r="S2421">
        <v>0</v>
      </c>
      <c r="T2421">
        <v>0</v>
      </c>
      <c r="U2421">
        <v>0</v>
      </c>
      <c r="V2421">
        <v>2</v>
      </c>
      <c r="W2421">
        <v>0</v>
      </c>
      <c r="X2421" s="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J2421" t="s">
        <v>51</v>
      </c>
      <c r="AK2421" t="s">
        <v>52</v>
      </c>
      <c r="AP2421" t="s">
        <v>541</v>
      </c>
    </row>
    <row r="2422" spans="1:42">
      <c r="A2422" s="1">
        <v>43850</v>
      </c>
      <c r="B2422">
        <v>1</v>
      </c>
      <c r="C2422">
        <v>246</v>
      </c>
      <c r="D2422">
        <v>14384</v>
      </c>
      <c r="E2422" t="s">
        <v>112</v>
      </c>
      <c r="F2422" t="s">
        <v>90</v>
      </c>
      <c r="G2422">
        <v>2</v>
      </c>
      <c r="H2422">
        <v>32</v>
      </c>
      <c r="I2422" s="25">
        <v>2455</v>
      </c>
      <c r="K2422" t="s">
        <v>414</v>
      </c>
      <c r="L2422" t="s">
        <v>141</v>
      </c>
      <c r="M2422" t="s">
        <v>52</v>
      </c>
      <c r="N2422" t="s">
        <v>44</v>
      </c>
      <c r="O2422">
        <v>354</v>
      </c>
      <c r="Q2422">
        <f t="shared" si="70"/>
        <v>2</v>
      </c>
      <c r="S2422">
        <v>0</v>
      </c>
      <c r="T2422">
        <v>0</v>
      </c>
      <c r="U2422">
        <v>0</v>
      </c>
      <c r="V2422">
        <v>0</v>
      </c>
      <c r="W2422">
        <v>2</v>
      </c>
      <c r="X2422" s="21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J2422" t="s">
        <v>51</v>
      </c>
      <c r="AK2422" t="s">
        <v>52</v>
      </c>
      <c r="AL2422" t="s">
        <v>612</v>
      </c>
      <c r="AP2422" t="s">
        <v>541</v>
      </c>
    </row>
    <row r="2423" spans="1:42">
      <c r="A2423" s="1">
        <v>43850</v>
      </c>
      <c r="B2423">
        <v>1</v>
      </c>
      <c r="C2423">
        <v>246</v>
      </c>
      <c r="D2423">
        <v>14384</v>
      </c>
      <c r="E2423" t="s">
        <v>112</v>
      </c>
      <c r="F2423" t="s">
        <v>90</v>
      </c>
      <c r="G2423">
        <v>2</v>
      </c>
      <c r="H2423">
        <v>33</v>
      </c>
      <c r="I2423" s="25">
        <v>2433</v>
      </c>
      <c r="K2423" t="s">
        <v>414</v>
      </c>
      <c r="L2423" t="s">
        <v>141</v>
      </c>
      <c r="M2423" t="s">
        <v>52</v>
      </c>
      <c r="N2423" t="s">
        <v>44</v>
      </c>
      <c r="O2423">
        <v>155</v>
      </c>
      <c r="Q2423">
        <f t="shared" si="70"/>
        <v>2</v>
      </c>
      <c r="S2423">
        <v>0</v>
      </c>
      <c r="T2423">
        <v>0</v>
      </c>
      <c r="U2423">
        <v>0</v>
      </c>
      <c r="V2423">
        <v>0</v>
      </c>
      <c r="W2423">
        <v>2</v>
      </c>
      <c r="X2423" s="21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J2423" t="s">
        <v>51</v>
      </c>
      <c r="AK2423" t="s">
        <v>52</v>
      </c>
      <c r="AL2423" t="s">
        <v>627</v>
      </c>
      <c r="AP2423" t="s">
        <v>541</v>
      </c>
    </row>
    <row r="2424" spans="1:42">
      <c r="A2424" s="1">
        <v>43850</v>
      </c>
      <c r="B2424">
        <v>1</v>
      </c>
      <c r="C2424">
        <v>246</v>
      </c>
      <c r="D2424">
        <v>14384</v>
      </c>
      <c r="E2424" t="s">
        <v>112</v>
      </c>
      <c r="F2424" t="s">
        <v>90</v>
      </c>
      <c r="G2424">
        <v>2</v>
      </c>
      <c r="H2424">
        <v>34</v>
      </c>
      <c r="I2424" s="25">
        <v>2700</v>
      </c>
      <c r="K2424" t="s">
        <v>156</v>
      </c>
      <c r="L2424" t="s">
        <v>114</v>
      </c>
      <c r="M2424" t="s">
        <v>52</v>
      </c>
      <c r="N2424" t="s">
        <v>44</v>
      </c>
      <c r="O2424">
        <v>198</v>
      </c>
      <c r="Q2424">
        <f t="shared" si="70"/>
        <v>3</v>
      </c>
      <c r="S2424">
        <v>0</v>
      </c>
      <c r="T2424">
        <v>0</v>
      </c>
      <c r="U2424">
        <v>0</v>
      </c>
      <c r="V2424">
        <v>0</v>
      </c>
      <c r="W2424">
        <v>3</v>
      </c>
      <c r="X2424" s="21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J2424" t="s">
        <v>51</v>
      </c>
      <c r="AK2424" t="s">
        <v>52</v>
      </c>
      <c r="AL2424" t="s">
        <v>611</v>
      </c>
      <c r="AP2424" t="s">
        <v>541</v>
      </c>
    </row>
    <row r="2425" spans="1:42">
      <c r="A2425" s="1">
        <v>43850</v>
      </c>
      <c r="B2425">
        <v>1</v>
      </c>
      <c r="C2425">
        <v>246</v>
      </c>
      <c r="D2425">
        <v>14384</v>
      </c>
      <c r="E2425" t="s">
        <v>112</v>
      </c>
      <c r="F2425" t="s">
        <v>90</v>
      </c>
      <c r="G2425">
        <v>2</v>
      </c>
      <c r="H2425">
        <v>35</v>
      </c>
      <c r="I2425" s="25">
        <v>2700</v>
      </c>
      <c r="K2425" t="s">
        <v>156</v>
      </c>
      <c r="L2425" t="s">
        <v>114</v>
      </c>
      <c r="M2425" t="s">
        <v>52</v>
      </c>
      <c r="N2425" t="s">
        <v>44</v>
      </c>
      <c r="O2425">
        <v>189</v>
      </c>
      <c r="Q2425">
        <f t="shared" ref="Q2425:Q2488" si="71">SUM(S2425:AC2425)</f>
        <v>3</v>
      </c>
      <c r="S2425">
        <v>0</v>
      </c>
      <c r="T2425">
        <v>0</v>
      </c>
      <c r="U2425">
        <v>0</v>
      </c>
      <c r="V2425">
        <v>0</v>
      </c>
      <c r="W2425">
        <v>3</v>
      </c>
      <c r="X2425" s="21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J2425" t="s">
        <v>51</v>
      </c>
      <c r="AK2425" t="s">
        <v>52</v>
      </c>
      <c r="AL2425" t="s">
        <v>611</v>
      </c>
      <c r="AP2425" t="s">
        <v>541</v>
      </c>
    </row>
    <row r="2426" spans="1:42">
      <c r="A2426" s="1">
        <v>43850</v>
      </c>
      <c r="B2426">
        <v>1</v>
      </c>
      <c r="C2426">
        <v>246</v>
      </c>
      <c r="D2426">
        <v>14384</v>
      </c>
      <c r="E2426" t="s">
        <v>112</v>
      </c>
      <c r="F2426" t="s">
        <v>90</v>
      </c>
      <c r="G2426">
        <v>2</v>
      </c>
      <c r="H2426">
        <v>36</v>
      </c>
      <c r="I2426" s="25">
        <v>2216</v>
      </c>
      <c r="K2426" t="s">
        <v>414</v>
      </c>
      <c r="L2426" t="s">
        <v>114</v>
      </c>
      <c r="M2426" t="s">
        <v>52</v>
      </c>
      <c r="N2426" t="s">
        <v>40</v>
      </c>
      <c r="O2426">
        <v>41</v>
      </c>
      <c r="Q2426">
        <f t="shared" si="71"/>
        <v>2</v>
      </c>
      <c r="S2426">
        <v>0</v>
      </c>
      <c r="T2426">
        <v>0</v>
      </c>
      <c r="U2426">
        <v>0</v>
      </c>
      <c r="V2426">
        <v>0</v>
      </c>
      <c r="W2426">
        <v>2</v>
      </c>
      <c r="X2426" s="21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J2426" t="s">
        <v>51</v>
      </c>
      <c r="AK2426" t="s">
        <v>52</v>
      </c>
      <c r="AP2426" t="s">
        <v>541</v>
      </c>
    </row>
    <row r="2427" spans="1:42">
      <c r="A2427" s="1">
        <v>43850</v>
      </c>
      <c r="B2427">
        <v>1</v>
      </c>
      <c r="C2427">
        <v>246</v>
      </c>
      <c r="D2427">
        <v>14384</v>
      </c>
      <c r="E2427" t="s">
        <v>112</v>
      </c>
      <c r="F2427" t="s">
        <v>90</v>
      </c>
      <c r="G2427">
        <v>2</v>
      </c>
      <c r="H2427">
        <v>37</v>
      </c>
      <c r="I2427" s="25">
        <v>2139</v>
      </c>
      <c r="K2427" t="s">
        <v>414</v>
      </c>
      <c r="L2427" t="s">
        <v>141</v>
      </c>
      <c r="M2427" t="s">
        <v>52</v>
      </c>
      <c r="N2427" t="s">
        <v>40</v>
      </c>
      <c r="O2427">
        <v>10</v>
      </c>
      <c r="Q2427">
        <f t="shared" si="71"/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 s="21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J2427" t="s">
        <v>51</v>
      </c>
      <c r="AK2427" t="s">
        <v>52</v>
      </c>
      <c r="AP2427" t="s">
        <v>541</v>
      </c>
    </row>
    <row r="2428" spans="1:42">
      <c r="A2428" s="1">
        <v>43850</v>
      </c>
      <c r="B2428">
        <v>1</v>
      </c>
      <c r="C2428">
        <v>246</v>
      </c>
      <c r="D2428">
        <v>14384</v>
      </c>
      <c r="E2428" t="s">
        <v>112</v>
      </c>
      <c r="F2428" t="s">
        <v>90</v>
      </c>
      <c r="G2428">
        <v>2</v>
      </c>
      <c r="H2428">
        <v>38</v>
      </c>
      <c r="I2428" s="25">
        <v>2120</v>
      </c>
      <c r="K2428" t="s">
        <v>414</v>
      </c>
      <c r="L2428" t="s">
        <v>114</v>
      </c>
      <c r="M2428" t="s">
        <v>52</v>
      </c>
      <c r="N2428" t="s">
        <v>44</v>
      </c>
      <c r="O2428">
        <v>84</v>
      </c>
      <c r="Q2428">
        <f t="shared" si="71"/>
        <v>2</v>
      </c>
      <c r="S2428">
        <v>0</v>
      </c>
      <c r="T2428">
        <v>0</v>
      </c>
      <c r="U2428">
        <v>0</v>
      </c>
      <c r="V2428">
        <v>2</v>
      </c>
      <c r="W2428">
        <v>0</v>
      </c>
      <c r="X2428" s="21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J2428" t="s">
        <v>51</v>
      </c>
      <c r="AK2428" t="s">
        <v>52</v>
      </c>
      <c r="AP2428" t="s">
        <v>541</v>
      </c>
    </row>
    <row r="2429" spans="1:42">
      <c r="A2429" s="1">
        <v>43850</v>
      </c>
      <c r="B2429">
        <v>1</v>
      </c>
      <c r="C2429">
        <v>246</v>
      </c>
      <c r="D2429">
        <v>14384</v>
      </c>
      <c r="E2429" t="s">
        <v>112</v>
      </c>
      <c r="F2429" t="s">
        <v>90</v>
      </c>
      <c r="G2429">
        <v>2</v>
      </c>
      <c r="H2429">
        <v>39</v>
      </c>
      <c r="I2429" s="25">
        <v>1405</v>
      </c>
      <c r="K2429" t="s">
        <v>628</v>
      </c>
      <c r="L2429" t="s">
        <v>141</v>
      </c>
      <c r="M2429" t="s">
        <v>52</v>
      </c>
      <c r="N2429" t="s">
        <v>40</v>
      </c>
      <c r="O2429">
        <v>56</v>
      </c>
      <c r="Q2429">
        <f t="shared" si="71"/>
        <v>2</v>
      </c>
      <c r="S2429">
        <v>0</v>
      </c>
      <c r="T2429">
        <v>0</v>
      </c>
      <c r="U2429">
        <v>0</v>
      </c>
      <c r="V2429">
        <v>0</v>
      </c>
      <c r="W2429">
        <v>2</v>
      </c>
      <c r="X2429" s="21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J2429" t="s">
        <v>54</v>
      </c>
      <c r="AK2429" t="s">
        <v>52</v>
      </c>
      <c r="AP2429" t="s">
        <v>541</v>
      </c>
    </row>
    <row r="2430" spans="1:42">
      <c r="A2430" s="1">
        <v>43850</v>
      </c>
      <c r="B2430">
        <v>1</v>
      </c>
      <c r="C2430">
        <v>246</v>
      </c>
      <c r="D2430">
        <v>14384</v>
      </c>
      <c r="E2430" t="s">
        <v>112</v>
      </c>
      <c r="F2430" t="s">
        <v>90</v>
      </c>
      <c r="G2430">
        <v>2</v>
      </c>
      <c r="H2430">
        <v>40</v>
      </c>
      <c r="I2430" s="25">
        <v>1620</v>
      </c>
      <c r="K2430" t="s">
        <v>56</v>
      </c>
      <c r="L2430" t="s">
        <v>114</v>
      </c>
      <c r="M2430" t="s">
        <v>52</v>
      </c>
      <c r="N2430" t="s">
        <v>44</v>
      </c>
      <c r="O2430">
        <v>173</v>
      </c>
      <c r="Q2430">
        <f t="shared" si="71"/>
        <v>2</v>
      </c>
      <c r="S2430">
        <v>0</v>
      </c>
      <c r="T2430">
        <v>0</v>
      </c>
      <c r="U2430">
        <v>0</v>
      </c>
      <c r="V2430">
        <v>0</v>
      </c>
      <c r="W2430">
        <v>2</v>
      </c>
      <c r="X2430" s="21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J2430" t="s">
        <v>54</v>
      </c>
      <c r="AK2430" t="s">
        <v>52</v>
      </c>
      <c r="AL2430" t="s">
        <v>590</v>
      </c>
      <c r="AP2430" t="s">
        <v>541</v>
      </c>
    </row>
    <row r="2431" spans="1:42">
      <c r="A2431" s="1">
        <v>43850</v>
      </c>
      <c r="B2431">
        <v>1</v>
      </c>
      <c r="C2431">
        <v>246</v>
      </c>
      <c r="D2431">
        <v>14384</v>
      </c>
      <c r="E2431" t="s">
        <v>112</v>
      </c>
      <c r="F2431" t="s">
        <v>90</v>
      </c>
      <c r="G2431">
        <v>2</v>
      </c>
      <c r="H2431">
        <v>41</v>
      </c>
      <c r="I2431" s="25">
        <v>1516</v>
      </c>
      <c r="K2431" t="s">
        <v>56</v>
      </c>
      <c r="L2431" t="s">
        <v>114</v>
      </c>
      <c r="M2431" t="s">
        <v>52</v>
      </c>
      <c r="N2431" t="s">
        <v>40</v>
      </c>
      <c r="O2431">
        <v>120</v>
      </c>
      <c r="Q2431">
        <f t="shared" si="71"/>
        <v>3</v>
      </c>
      <c r="S2431">
        <v>0</v>
      </c>
      <c r="T2431">
        <v>0</v>
      </c>
      <c r="U2431">
        <v>3</v>
      </c>
      <c r="V2431">
        <v>0</v>
      </c>
      <c r="W2431">
        <v>0</v>
      </c>
      <c r="X2431" s="2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J2431" t="s">
        <v>51</v>
      </c>
      <c r="AK2431" t="s">
        <v>52</v>
      </c>
      <c r="AP2431" t="s">
        <v>541</v>
      </c>
    </row>
    <row r="2432" spans="1:42">
      <c r="A2432" s="1">
        <v>43850</v>
      </c>
      <c r="B2432">
        <v>1</v>
      </c>
      <c r="C2432">
        <v>246</v>
      </c>
      <c r="D2432">
        <v>14384</v>
      </c>
      <c r="E2432" t="s">
        <v>112</v>
      </c>
      <c r="F2432" t="s">
        <v>90</v>
      </c>
      <c r="G2432">
        <v>2</v>
      </c>
      <c r="H2432">
        <v>42</v>
      </c>
      <c r="I2432" s="25">
        <v>1544</v>
      </c>
      <c r="K2432" t="s">
        <v>56</v>
      </c>
      <c r="L2432" t="s">
        <v>114</v>
      </c>
      <c r="M2432" t="s">
        <v>52</v>
      </c>
      <c r="N2432" t="s">
        <v>44</v>
      </c>
      <c r="O2432">
        <v>274</v>
      </c>
      <c r="Q2432">
        <f t="shared" si="71"/>
        <v>2</v>
      </c>
      <c r="S2432">
        <v>0</v>
      </c>
      <c r="T2432">
        <v>0</v>
      </c>
      <c r="U2432">
        <v>0</v>
      </c>
      <c r="V2432">
        <v>0</v>
      </c>
      <c r="W2432">
        <v>2</v>
      </c>
      <c r="X2432" s="21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J2432" t="s">
        <v>51</v>
      </c>
      <c r="AK2432" t="s">
        <v>95</v>
      </c>
      <c r="AL2432" t="s">
        <v>629</v>
      </c>
      <c r="AP2432" t="s">
        <v>541</v>
      </c>
    </row>
    <row r="2433" spans="1:42">
      <c r="A2433" s="1">
        <v>43850</v>
      </c>
      <c r="B2433">
        <v>1</v>
      </c>
      <c r="C2433">
        <v>246</v>
      </c>
      <c r="D2433">
        <v>14384</v>
      </c>
      <c r="E2433" t="s">
        <v>112</v>
      </c>
      <c r="F2433" t="s">
        <v>90</v>
      </c>
      <c r="G2433">
        <v>2</v>
      </c>
      <c r="H2433">
        <v>43</v>
      </c>
      <c r="I2433" s="25">
        <v>1708</v>
      </c>
      <c r="K2433" t="s">
        <v>56</v>
      </c>
      <c r="L2433" t="s">
        <v>114</v>
      </c>
      <c r="M2433" t="s">
        <v>52</v>
      </c>
      <c r="N2433" t="s">
        <v>40</v>
      </c>
      <c r="O2433">
        <v>24</v>
      </c>
      <c r="Q2433">
        <f t="shared" si="71"/>
        <v>1</v>
      </c>
      <c r="S2433">
        <v>0</v>
      </c>
      <c r="T2433">
        <v>0</v>
      </c>
      <c r="U2433">
        <v>0</v>
      </c>
      <c r="V2433">
        <v>0</v>
      </c>
      <c r="W2433">
        <v>1</v>
      </c>
      <c r="X2433" s="21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J2433" t="s">
        <v>51</v>
      </c>
      <c r="AK2433" t="s">
        <v>95</v>
      </c>
      <c r="AL2433" t="s">
        <v>616</v>
      </c>
      <c r="AP2433" t="s">
        <v>541</v>
      </c>
    </row>
    <row r="2434" spans="1:42">
      <c r="A2434" s="1">
        <v>43850</v>
      </c>
      <c r="B2434">
        <v>1</v>
      </c>
      <c r="C2434">
        <v>246</v>
      </c>
      <c r="D2434">
        <v>14384</v>
      </c>
      <c r="E2434" t="s">
        <v>112</v>
      </c>
      <c r="F2434" t="s">
        <v>90</v>
      </c>
      <c r="G2434">
        <v>2</v>
      </c>
      <c r="H2434">
        <v>44</v>
      </c>
      <c r="I2434" s="25">
        <v>1740</v>
      </c>
      <c r="K2434" t="s">
        <v>56</v>
      </c>
      <c r="L2434" t="s">
        <v>114</v>
      </c>
      <c r="M2434" t="s">
        <v>52</v>
      </c>
      <c r="N2434" t="s">
        <v>44</v>
      </c>
      <c r="O2434">
        <v>242</v>
      </c>
      <c r="Q2434">
        <f t="shared" si="71"/>
        <v>3</v>
      </c>
      <c r="S2434">
        <v>0</v>
      </c>
      <c r="T2434">
        <v>0</v>
      </c>
      <c r="U2434">
        <v>0</v>
      </c>
      <c r="V2434">
        <v>1</v>
      </c>
      <c r="W2434">
        <v>2</v>
      </c>
      <c r="X2434" s="21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J2434" t="s">
        <v>51</v>
      </c>
      <c r="AK2434" t="s">
        <v>95</v>
      </c>
      <c r="AP2434" t="s">
        <v>541</v>
      </c>
    </row>
    <row r="2435" spans="1:42">
      <c r="A2435" s="1">
        <v>43850</v>
      </c>
      <c r="B2435">
        <v>1</v>
      </c>
      <c r="C2435">
        <v>246</v>
      </c>
      <c r="D2435">
        <v>14384</v>
      </c>
      <c r="E2435" t="s">
        <v>112</v>
      </c>
      <c r="F2435" t="s">
        <v>90</v>
      </c>
      <c r="G2435">
        <v>2</v>
      </c>
      <c r="H2435">
        <v>45</v>
      </c>
      <c r="I2435" s="25">
        <v>1300</v>
      </c>
      <c r="K2435" t="s">
        <v>56</v>
      </c>
      <c r="L2435" t="s">
        <v>114</v>
      </c>
      <c r="M2435" t="s">
        <v>52</v>
      </c>
      <c r="N2435" t="s">
        <v>44</v>
      </c>
      <c r="O2435">
        <v>140</v>
      </c>
      <c r="Q2435">
        <f t="shared" si="71"/>
        <v>2</v>
      </c>
      <c r="S2435">
        <v>0</v>
      </c>
      <c r="T2435">
        <v>0</v>
      </c>
      <c r="U2435">
        <v>0</v>
      </c>
      <c r="V2435">
        <v>0</v>
      </c>
      <c r="W2435">
        <v>2</v>
      </c>
      <c r="X2435" s="21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J2435" t="s">
        <v>51</v>
      </c>
      <c r="AK2435" t="s">
        <v>95</v>
      </c>
      <c r="AL2435" t="s">
        <v>611</v>
      </c>
      <c r="AP2435" t="s">
        <v>541</v>
      </c>
    </row>
    <row r="2436" spans="1:42">
      <c r="A2436" s="1">
        <v>43850</v>
      </c>
      <c r="B2436">
        <v>1</v>
      </c>
      <c r="C2436">
        <v>246</v>
      </c>
      <c r="D2436">
        <v>14384</v>
      </c>
      <c r="E2436" t="s">
        <v>112</v>
      </c>
      <c r="F2436" t="s">
        <v>90</v>
      </c>
      <c r="G2436">
        <v>2</v>
      </c>
      <c r="H2436">
        <v>46</v>
      </c>
      <c r="I2436" s="25">
        <v>1335</v>
      </c>
      <c r="K2436" t="s">
        <v>56</v>
      </c>
      <c r="L2436" t="s">
        <v>141</v>
      </c>
      <c r="M2436" t="s">
        <v>52</v>
      </c>
      <c r="N2436" t="s">
        <v>44</v>
      </c>
      <c r="O2436">
        <v>284</v>
      </c>
      <c r="Q2436">
        <f t="shared" si="71"/>
        <v>2</v>
      </c>
      <c r="S2436">
        <v>0</v>
      </c>
      <c r="T2436">
        <v>0</v>
      </c>
      <c r="U2436">
        <v>0</v>
      </c>
      <c r="V2436">
        <v>0</v>
      </c>
      <c r="W2436">
        <v>2</v>
      </c>
      <c r="X2436" s="21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J2436" t="s">
        <v>51</v>
      </c>
      <c r="AK2436" t="s">
        <v>95</v>
      </c>
      <c r="AL2436" t="s">
        <v>611</v>
      </c>
      <c r="AP2436" t="s">
        <v>541</v>
      </c>
    </row>
    <row r="2437" spans="1:42">
      <c r="A2437" s="1">
        <v>43850</v>
      </c>
      <c r="B2437">
        <v>1</v>
      </c>
      <c r="C2437">
        <v>246</v>
      </c>
      <c r="D2437">
        <v>14384</v>
      </c>
      <c r="E2437" t="s">
        <v>112</v>
      </c>
      <c r="F2437" t="s">
        <v>90</v>
      </c>
      <c r="G2437">
        <v>2</v>
      </c>
      <c r="H2437">
        <v>47</v>
      </c>
      <c r="I2437" s="25">
        <v>1430</v>
      </c>
      <c r="K2437" t="s">
        <v>585</v>
      </c>
      <c r="L2437" t="s">
        <v>114</v>
      </c>
      <c r="M2437" t="s">
        <v>52</v>
      </c>
      <c r="N2437" t="s">
        <v>44</v>
      </c>
      <c r="O2437">
        <v>140</v>
      </c>
      <c r="Q2437">
        <f t="shared" si="71"/>
        <v>2</v>
      </c>
      <c r="S2437">
        <v>0</v>
      </c>
      <c r="T2437">
        <v>0</v>
      </c>
      <c r="U2437">
        <v>0</v>
      </c>
      <c r="V2437">
        <v>0</v>
      </c>
      <c r="W2437">
        <v>2</v>
      </c>
      <c r="X2437" s="21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J2437" t="s">
        <v>54</v>
      </c>
      <c r="AK2437" t="s">
        <v>95</v>
      </c>
      <c r="AL2437" t="s">
        <v>611</v>
      </c>
      <c r="AP2437" t="s">
        <v>541</v>
      </c>
    </row>
    <row r="2438" spans="1:42">
      <c r="A2438" s="1">
        <v>43850</v>
      </c>
      <c r="B2438">
        <v>1</v>
      </c>
      <c r="C2438">
        <v>246</v>
      </c>
      <c r="D2438">
        <v>14384</v>
      </c>
      <c r="E2438" t="s">
        <v>112</v>
      </c>
      <c r="F2438" t="s">
        <v>90</v>
      </c>
      <c r="G2438">
        <v>2</v>
      </c>
      <c r="H2438">
        <v>48</v>
      </c>
      <c r="I2438" s="25">
        <v>1364</v>
      </c>
      <c r="K2438" t="s">
        <v>585</v>
      </c>
      <c r="L2438" t="s">
        <v>114</v>
      </c>
      <c r="M2438" t="s">
        <v>52</v>
      </c>
      <c r="N2438" t="s">
        <v>44</v>
      </c>
      <c r="O2438">
        <v>142</v>
      </c>
      <c r="Q2438">
        <f t="shared" si="71"/>
        <v>1</v>
      </c>
      <c r="S2438">
        <v>0</v>
      </c>
      <c r="T2438">
        <v>0</v>
      </c>
      <c r="U2438">
        <v>0</v>
      </c>
      <c r="V2438">
        <v>0</v>
      </c>
      <c r="W2438">
        <v>1</v>
      </c>
      <c r="X2438" s="21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J2438" t="s">
        <v>54</v>
      </c>
      <c r="AK2438" t="s">
        <v>95</v>
      </c>
      <c r="AL2438" t="s">
        <v>611</v>
      </c>
      <c r="AP2438" t="s">
        <v>541</v>
      </c>
    </row>
    <row r="2439" spans="1:42">
      <c r="A2439" s="1">
        <v>43850</v>
      </c>
      <c r="B2439">
        <v>1</v>
      </c>
      <c r="C2439">
        <v>246</v>
      </c>
      <c r="D2439">
        <v>14384</v>
      </c>
      <c r="E2439" t="s">
        <v>112</v>
      </c>
      <c r="F2439" t="s">
        <v>90</v>
      </c>
      <c r="G2439">
        <v>2</v>
      </c>
      <c r="H2439">
        <v>49</v>
      </c>
      <c r="I2439" s="25">
        <v>1440</v>
      </c>
      <c r="K2439" t="s">
        <v>156</v>
      </c>
      <c r="L2439" t="s">
        <v>114</v>
      </c>
      <c r="M2439" t="s">
        <v>52</v>
      </c>
      <c r="N2439" t="s">
        <v>44</v>
      </c>
      <c r="O2439">
        <v>336</v>
      </c>
      <c r="Q2439">
        <f t="shared" si="71"/>
        <v>4</v>
      </c>
      <c r="S2439">
        <v>0</v>
      </c>
      <c r="T2439">
        <v>0</v>
      </c>
      <c r="U2439">
        <v>0</v>
      </c>
      <c r="V2439">
        <v>0</v>
      </c>
      <c r="W2439">
        <v>4</v>
      </c>
      <c r="X2439" s="21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J2439" t="s">
        <v>54</v>
      </c>
      <c r="AK2439" t="s">
        <v>95</v>
      </c>
      <c r="AL2439" t="s">
        <v>590</v>
      </c>
      <c r="AP2439" t="s">
        <v>541</v>
      </c>
    </row>
    <row r="2440" spans="1:42">
      <c r="A2440" s="1">
        <v>43850</v>
      </c>
      <c r="B2440">
        <v>1</v>
      </c>
      <c r="C2440">
        <v>246</v>
      </c>
      <c r="D2440">
        <v>14384</v>
      </c>
      <c r="E2440" t="s">
        <v>112</v>
      </c>
      <c r="F2440" t="s">
        <v>90</v>
      </c>
      <c r="G2440">
        <v>2</v>
      </c>
      <c r="H2440">
        <v>50</v>
      </c>
      <c r="I2440" s="25">
        <v>1462</v>
      </c>
      <c r="K2440" t="s">
        <v>156</v>
      </c>
      <c r="L2440" t="s">
        <v>114</v>
      </c>
      <c r="M2440" t="s">
        <v>52</v>
      </c>
      <c r="N2440" t="s">
        <v>44</v>
      </c>
      <c r="O2440">
        <v>315</v>
      </c>
      <c r="Q2440">
        <f t="shared" si="71"/>
        <v>4</v>
      </c>
      <c r="S2440">
        <v>0</v>
      </c>
      <c r="T2440">
        <v>0</v>
      </c>
      <c r="U2440">
        <v>0</v>
      </c>
      <c r="V2440">
        <v>0</v>
      </c>
      <c r="W2440">
        <v>4</v>
      </c>
      <c r="X2440" s="21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J2440" t="s">
        <v>54</v>
      </c>
      <c r="AK2440" t="s">
        <v>95</v>
      </c>
      <c r="AP2440" t="s">
        <v>541</v>
      </c>
    </row>
    <row r="2441" spans="1:42">
      <c r="A2441" s="1">
        <v>43850</v>
      </c>
      <c r="B2441">
        <v>1</v>
      </c>
      <c r="C2441">
        <v>246</v>
      </c>
      <c r="D2441">
        <v>14384</v>
      </c>
      <c r="E2441" t="s">
        <v>112</v>
      </c>
      <c r="F2441" t="s">
        <v>90</v>
      </c>
      <c r="G2441">
        <v>2</v>
      </c>
      <c r="H2441">
        <v>51</v>
      </c>
      <c r="I2441" s="25">
        <v>1318</v>
      </c>
      <c r="K2441" t="s">
        <v>156</v>
      </c>
      <c r="L2441" t="s">
        <v>114</v>
      </c>
      <c r="M2441" t="s">
        <v>52</v>
      </c>
      <c r="N2441" t="s">
        <v>44</v>
      </c>
      <c r="O2441">
        <v>180</v>
      </c>
      <c r="Q2441">
        <f t="shared" si="71"/>
        <v>2</v>
      </c>
      <c r="S2441">
        <v>0</v>
      </c>
      <c r="T2441">
        <v>0</v>
      </c>
      <c r="U2441">
        <v>0</v>
      </c>
      <c r="V2441">
        <v>0</v>
      </c>
      <c r="W2441">
        <v>2</v>
      </c>
      <c r="X2441" s="2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J2441" t="s">
        <v>54</v>
      </c>
      <c r="AK2441" t="s">
        <v>95</v>
      </c>
      <c r="AP2441" t="s">
        <v>541</v>
      </c>
    </row>
    <row r="2442" spans="1:42">
      <c r="A2442" s="1">
        <v>43850</v>
      </c>
      <c r="B2442">
        <v>1</v>
      </c>
      <c r="C2442">
        <v>246</v>
      </c>
      <c r="D2442">
        <v>14384</v>
      </c>
      <c r="E2442" t="s">
        <v>112</v>
      </c>
      <c r="F2442" t="s">
        <v>90</v>
      </c>
      <c r="G2442">
        <v>2</v>
      </c>
      <c r="H2442">
        <v>52</v>
      </c>
      <c r="I2442" s="25">
        <v>1308</v>
      </c>
      <c r="K2442" t="s">
        <v>213</v>
      </c>
      <c r="L2442" t="s">
        <v>114</v>
      </c>
      <c r="M2442" t="s">
        <v>52</v>
      </c>
      <c r="N2442" t="s">
        <v>44</v>
      </c>
      <c r="O2442">
        <v>165</v>
      </c>
      <c r="Q2442">
        <f t="shared" si="71"/>
        <v>2</v>
      </c>
      <c r="S2442">
        <v>0</v>
      </c>
      <c r="T2442">
        <v>0</v>
      </c>
      <c r="U2442">
        <v>0</v>
      </c>
      <c r="V2442">
        <v>0</v>
      </c>
      <c r="W2442">
        <v>2</v>
      </c>
      <c r="X2442" s="21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J2442" t="s">
        <v>54</v>
      </c>
      <c r="AK2442" t="s">
        <v>95</v>
      </c>
      <c r="AP2442" t="s">
        <v>541</v>
      </c>
    </row>
    <row r="2443" spans="1:42">
      <c r="A2443" s="1">
        <v>43850</v>
      </c>
      <c r="B2443">
        <v>1</v>
      </c>
      <c r="C2443">
        <v>246</v>
      </c>
      <c r="D2443">
        <v>14384</v>
      </c>
      <c r="E2443" t="s">
        <v>112</v>
      </c>
      <c r="F2443" t="s">
        <v>90</v>
      </c>
      <c r="G2443">
        <v>2</v>
      </c>
      <c r="H2443">
        <v>53</v>
      </c>
      <c r="I2443" s="25">
        <v>1400</v>
      </c>
      <c r="K2443" t="s">
        <v>148</v>
      </c>
      <c r="L2443" t="s">
        <v>114</v>
      </c>
      <c r="M2443" t="s">
        <v>52</v>
      </c>
      <c r="N2443" t="s">
        <v>44</v>
      </c>
      <c r="O2443">
        <v>169</v>
      </c>
      <c r="Q2443">
        <f t="shared" si="71"/>
        <v>2</v>
      </c>
      <c r="S2443">
        <v>0</v>
      </c>
      <c r="T2443">
        <v>0</v>
      </c>
      <c r="U2443">
        <v>0</v>
      </c>
      <c r="V2443">
        <v>0</v>
      </c>
      <c r="W2443">
        <v>2</v>
      </c>
      <c r="X2443" s="21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J2443" t="s">
        <v>54</v>
      </c>
      <c r="AK2443" t="s">
        <v>95</v>
      </c>
      <c r="AL2443" t="s">
        <v>611</v>
      </c>
      <c r="AP2443" t="s">
        <v>541</v>
      </c>
    </row>
    <row r="2444" spans="1:42">
      <c r="A2444" s="1">
        <v>43850</v>
      </c>
      <c r="B2444">
        <v>1</v>
      </c>
      <c r="C2444">
        <v>246</v>
      </c>
      <c r="D2444">
        <v>14384</v>
      </c>
      <c r="E2444" t="s">
        <v>112</v>
      </c>
      <c r="F2444" t="s">
        <v>90</v>
      </c>
      <c r="G2444">
        <v>2</v>
      </c>
      <c r="H2444">
        <v>54</v>
      </c>
      <c r="I2444" s="25">
        <v>1436</v>
      </c>
      <c r="K2444" t="s">
        <v>148</v>
      </c>
      <c r="L2444" t="s">
        <v>114</v>
      </c>
      <c r="M2444" t="s">
        <v>52</v>
      </c>
      <c r="N2444" t="s">
        <v>44</v>
      </c>
      <c r="Q2444">
        <f t="shared" si="71"/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 s="21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J2444" t="s">
        <v>54</v>
      </c>
      <c r="AK2444" t="s">
        <v>95</v>
      </c>
      <c r="AP2444" t="s">
        <v>541</v>
      </c>
    </row>
    <row r="2445" spans="1:42">
      <c r="A2445" s="1">
        <v>43850</v>
      </c>
      <c r="B2445">
        <v>1</v>
      </c>
      <c r="C2445">
        <v>246</v>
      </c>
      <c r="D2445">
        <v>14384</v>
      </c>
      <c r="E2445" t="s">
        <v>112</v>
      </c>
      <c r="F2445" t="s">
        <v>90</v>
      </c>
      <c r="G2445">
        <v>2</v>
      </c>
      <c r="H2445">
        <v>55</v>
      </c>
      <c r="I2445" s="25">
        <v>1448</v>
      </c>
      <c r="K2445" t="s">
        <v>148</v>
      </c>
      <c r="L2445" t="s">
        <v>114</v>
      </c>
      <c r="M2445" t="s">
        <v>52</v>
      </c>
      <c r="N2445" t="s">
        <v>44</v>
      </c>
      <c r="O2445">
        <v>415</v>
      </c>
      <c r="Q2445">
        <f t="shared" si="71"/>
        <v>3</v>
      </c>
      <c r="S2445">
        <v>0</v>
      </c>
      <c r="T2445">
        <v>0</v>
      </c>
      <c r="U2445">
        <v>0</v>
      </c>
      <c r="V2445">
        <v>0</v>
      </c>
      <c r="W2445">
        <v>3</v>
      </c>
      <c r="X2445" s="21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J2445" t="s">
        <v>54</v>
      </c>
      <c r="AK2445" t="s">
        <v>95</v>
      </c>
      <c r="AP2445" t="s">
        <v>541</v>
      </c>
    </row>
    <row r="2446" spans="1:42">
      <c r="A2446" s="1">
        <v>43850</v>
      </c>
      <c r="B2446">
        <v>1</v>
      </c>
      <c r="C2446">
        <v>246</v>
      </c>
      <c r="D2446">
        <v>14384</v>
      </c>
      <c r="E2446" t="s">
        <v>112</v>
      </c>
      <c r="F2446" t="s">
        <v>90</v>
      </c>
      <c r="G2446">
        <v>2</v>
      </c>
      <c r="H2446">
        <v>56</v>
      </c>
      <c r="I2446" s="25">
        <v>1476</v>
      </c>
      <c r="K2446" t="s">
        <v>148</v>
      </c>
      <c r="L2446" t="s">
        <v>114</v>
      </c>
      <c r="M2446" t="s">
        <v>52</v>
      </c>
      <c r="N2446" t="s">
        <v>44</v>
      </c>
      <c r="O2446">
        <v>409</v>
      </c>
      <c r="Q2446">
        <f t="shared" si="71"/>
        <v>2</v>
      </c>
      <c r="S2446">
        <v>0</v>
      </c>
      <c r="T2446">
        <v>0</v>
      </c>
      <c r="U2446">
        <v>0</v>
      </c>
      <c r="V2446">
        <v>2</v>
      </c>
      <c r="W2446">
        <v>0</v>
      </c>
      <c r="X2446" s="21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J2446" t="s">
        <v>54</v>
      </c>
      <c r="AK2446" t="s">
        <v>95</v>
      </c>
      <c r="AP2446" t="s">
        <v>541</v>
      </c>
    </row>
    <row r="2447" spans="1:42">
      <c r="A2447" s="1">
        <v>43850</v>
      </c>
      <c r="B2447">
        <v>1</v>
      </c>
      <c r="C2447">
        <v>246</v>
      </c>
      <c r="D2447">
        <v>14384</v>
      </c>
      <c r="E2447" t="s">
        <v>112</v>
      </c>
      <c r="F2447" t="s">
        <v>90</v>
      </c>
      <c r="G2447">
        <v>2</v>
      </c>
      <c r="H2447">
        <v>57</v>
      </c>
      <c r="I2447" s="25" t="s">
        <v>630</v>
      </c>
      <c r="K2447" t="s">
        <v>414</v>
      </c>
      <c r="M2447" t="s">
        <v>52</v>
      </c>
      <c r="N2447" t="s">
        <v>44</v>
      </c>
      <c r="O2447">
        <v>690</v>
      </c>
      <c r="Q2447">
        <f t="shared" si="71"/>
        <v>7</v>
      </c>
      <c r="S2447">
        <v>0</v>
      </c>
      <c r="T2447">
        <v>0</v>
      </c>
      <c r="U2447">
        <v>0</v>
      </c>
      <c r="V2447">
        <v>0</v>
      </c>
      <c r="W2447">
        <v>7</v>
      </c>
      <c r="X2447" s="21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J2447" t="s">
        <v>54</v>
      </c>
      <c r="AK2447" t="s">
        <v>95</v>
      </c>
      <c r="AL2447" t="s">
        <v>612</v>
      </c>
      <c r="AP2447" t="s">
        <v>541</v>
      </c>
    </row>
    <row r="2448" spans="1:42">
      <c r="A2448" s="1">
        <v>43850</v>
      </c>
      <c r="B2448">
        <v>1</v>
      </c>
      <c r="C2448">
        <v>246</v>
      </c>
      <c r="D2448">
        <v>14384</v>
      </c>
      <c r="E2448" t="s">
        <v>112</v>
      </c>
      <c r="F2448" t="s">
        <v>90</v>
      </c>
      <c r="G2448">
        <v>2</v>
      </c>
      <c r="H2448">
        <v>58</v>
      </c>
      <c r="I2448" s="25">
        <v>2537</v>
      </c>
      <c r="K2448" t="s">
        <v>414</v>
      </c>
      <c r="L2448" t="s">
        <v>141</v>
      </c>
      <c r="M2448" t="s">
        <v>52</v>
      </c>
      <c r="N2448" t="s">
        <v>44</v>
      </c>
      <c r="O2448">
        <v>450</v>
      </c>
      <c r="Q2448">
        <f t="shared" si="71"/>
        <v>7</v>
      </c>
      <c r="S2448">
        <v>0</v>
      </c>
      <c r="T2448">
        <v>0</v>
      </c>
      <c r="U2448">
        <v>0</v>
      </c>
      <c r="V2448">
        <v>0</v>
      </c>
      <c r="W2448">
        <v>7</v>
      </c>
      <c r="X2448" s="21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J2448" t="s">
        <v>54</v>
      </c>
      <c r="AK2448" t="s">
        <v>95</v>
      </c>
      <c r="AL2448" t="s">
        <v>612</v>
      </c>
      <c r="AP2448" t="s">
        <v>541</v>
      </c>
    </row>
    <row r="2449" spans="1:42">
      <c r="A2449" s="1">
        <v>43853</v>
      </c>
      <c r="B2449">
        <v>4</v>
      </c>
      <c r="C2449">
        <v>226</v>
      </c>
      <c r="D2449">
        <v>14474</v>
      </c>
      <c r="E2449" t="s">
        <v>112</v>
      </c>
      <c r="F2449" t="s">
        <v>104</v>
      </c>
      <c r="G2449">
        <v>4</v>
      </c>
      <c r="H2449">
        <v>1</v>
      </c>
      <c r="I2449" s="25">
        <v>1501</v>
      </c>
      <c r="K2449" t="s">
        <v>631</v>
      </c>
      <c r="L2449" t="s">
        <v>141</v>
      </c>
      <c r="M2449" t="s">
        <v>95</v>
      </c>
      <c r="N2449" t="s">
        <v>40</v>
      </c>
      <c r="O2449">
        <v>408</v>
      </c>
      <c r="Q2449">
        <f t="shared" si="71"/>
        <v>2</v>
      </c>
      <c r="S2449">
        <v>0</v>
      </c>
      <c r="T2449">
        <v>0</v>
      </c>
      <c r="U2449">
        <v>1</v>
      </c>
      <c r="V2449">
        <v>1</v>
      </c>
      <c r="W2449">
        <v>0</v>
      </c>
      <c r="X2449" s="21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J2449" t="s">
        <v>51</v>
      </c>
      <c r="AK2449" t="s">
        <v>95</v>
      </c>
      <c r="AP2449" t="s">
        <v>541</v>
      </c>
    </row>
    <row r="2450" spans="1:42">
      <c r="A2450" s="1">
        <v>43853</v>
      </c>
      <c r="B2450">
        <v>4</v>
      </c>
      <c r="C2450">
        <v>226</v>
      </c>
      <c r="D2450">
        <v>14474</v>
      </c>
      <c r="E2450" t="s">
        <v>112</v>
      </c>
      <c r="F2450" t="s">
        <v>104</v>
      </c>
      <c r="G2450">
        <v>4</v>
      </c>
      <c r="H2450">
        <v>2</v>
      </c>
      <c r="I2450" s="25">
        <v>1500</v>
      </c>
      <c r="K2450" t="s">
        <v>631</v>
      </c>
      <c r="L2450" t="s">
        <v>114</v>
      </c>
      <c r="M2450" t="s">
        <v>95</v>
      </c>
      <c r="N2450" t="s">
        <v>40</v>
      </c>
      <c r="O2450">
        <v>408</v>
      </c>
      <c r="Q2450">
        <f t="shared" si="71"/>
        <v>7</v>
      </c>
      <c r="S2450">
        <v>1</v>
      </c>
      <c r="T2450">
        <v>0</v>
      </c>
      <c r="U2450">
        <v>4</v>
      </c>
      <c r="V2450">
        <v>0</v>
      </c>
      <c r="W2450">
        <v>2</v>
      </c>
      <c r="X2450" s="21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J2450" t="s">
        <v>51</v>
      </c>
      <c r="AK2450" t="s">
        <v>95</v>
      </c>
      <c r="AP2450" t="s">
        <v>541</v>
      </c>
    </row>
    <row r="2451" spans="1:42">
      <c r="A2451" s="1">
        <v>43853</v>
      </c>
      <c r="B2451">
        <v>4</v>
      </c>
      <c r="C2451">
        <v>226</v>
      </c>
      <c r="D2451">
        <v>14474</v>
      </c>
      <c r="E2451" t="s">
        <v>112</v>
      </c>
      <c r="F2451" t="s">
        <v>104</v>
      </c>
      <c r="G2451">
        <v>4</v>
      </c>
      <c r="H2451">
        <v>3</v>
      </c>
      <c r="I2451" s="25" t="s">
        <v>632</v>
      </c>
      <c r="K2451" t="s">
        <v>631</v>
      </c>
      <c r="M2451" t="s">
        <v>52</v>
      </c>
      <c r="N2451" t="s">
        <v>44</v>
      </c>
      <c r="O2451">
        <v>229</v>
      </c>
      <c r="Q2451">
        <f t="shared" si="71"/>
        <v>4</v>
      </c>
      <c r="S2451">
        <v>0</v>
      </c>
      <c r="T2451">
        <v>0</v>
      </c>
      <c r="U2451">
        <v>3</v>
      </c>
      <c r="V2451">
        <v>0</v>
      </c>
      <c r="W2451">
        <v>1</v>
      </c>
      <c r="X2451" s="2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J2451" t="s">
        <v>51</v>
      </c>
      <c r="AK2451" t="s">
        <v>95</v>
      </c>
      <c r="AL2451" t="s">
        <v>633</v>
      </c>
      <c r="AP2451" t="s">
        <v>541</v>
      </c>
    </row>
    <row r="2452" spans="1:42">
      <c r="A2452" s="1">
        <v>43853</v>
      </c>
      <c r="B2452">
        <v>4</v>
      </c>
      <c r="C2452">
        <v>226</v>
      </c>
      <c r="D2452">
        <v>14474</v>
      </c>
      <c r="E2452" t="s">
        <v>112</v>
      </c>
      <c r="F2452" t="s">
        <v>104</v>
      </c>
      <c r="G2452">
        <v>4</v>
      </c>
      <c r="H2452">
        <v>4</v>
      </c>
      <c r="I2452" s="25">
        <v>1559</v>
      </c>
      <c r="K2452" t="s">
        <v>631</v>
      </c>
      <c r="L2452" t="s">
        <v>141</v>
      </c>
      <c r="M2452" t="s">
        <v>52</v>
      </c>
      <c r="N2452" t="s">
        <v>40</v>
      </c>
      <c r="O2452">
        <v>54</v>
      </c>
      <c r="Q2452">
        <f t="shared" si="71"/>
        <v>2</v>
      </c>
      <c r="S2452">
        <v>0</v>
      </c>
      <c r="T2452">
        <v>0</v>
      </c>
      <c r="U2452">
        <v>0</v>
      </c>
      <c r="V2452">
        <v>2</v>
      </c>
      <c r="W2452">
        <v>0</v>
      </c>
      <c r="X2452" s="21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J2452" t="s">
        <v>51</v>
      </c>
      <c r="AK2452" t="s">
        <v>95</v>
      </c>
      <c r="AL2452" t="s">
        <v>634</v>
      </c>
      <c r="AP2452" t="s">
        <v>541</v>
      </c>
    </row>
    <row r="2453" spans="1:42">
      <c r="A2453" s="1">
        <v>43853</v>
      </c>
      <c r="B2453">
        <v>4</v>
      </c>
      <c r="C2453">
        <v>226</v>
      </c>
      <c r="D2453">
        <v>14474</v>
      </c>
      <c r="E2453" t="s">
        <v>112</v>
      </c>
      <c r="F2453" t="s">
        <v>104</v>
      </c>
      <c r="G2453">
        <v>4</v>
      </c>
      <c r="H2453">
        <v>5</v>
      </c>
      <c r="I2453" s="25">
        <v>1739</v>
      </c>
      <c r="K2453" t="s">
        <v>631</v>
      </c>
      <c r="L2453" t="s">
        <v>141</v>
      </c>
      <c r="M2453" t="s">
        <v>52</v>
      </c>
      <c r="N2453" t="s">
        <v>44</v>
      </c>
      <c r="O2453">
        <v>114</v>
      </c>
      <c r="Q2453">
        <f t="shared" si="71"/>
        <v>1</v>
      </c>
      <c r="S2453">
        <v>0</v>
      </c>
      <c r="T2453">
        <v>0</v>
      </c>
      <c r="U2453">
        <v>0</v>
      </c>
      <c r="V2453">
        <v>0</v>
      </c>
      <c r="W2453">
        <v>1</v>
      </c>
      <c r="X2453" s="21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J2453" t="s">
        <v>51</v>
      </c>
      <c r="AK2453" t="s">
        <v>95</v>
      </c>
      <c r="AL2453" t="s">
        <v>635</v>
      </c>
      <c r="AP2453" t="s">
        <v>541</v>
      </c>
    </row>
    <row r="2454" spans="1:42">
      <c r="A2454" s="1">
        <v>43853</v>
      </c>
      <c r="B2454">
        <v>4</v>
      </c>
      <c r="C2454">
        <v>226</v>
      </c>
      <c r="D2454">
        <v>14474</v>
      </c>
      <c r="E2454" t="s">
        <v>112</v>
      </c>
      <c r="F2454" t="s">
        <v>104</v>
      </c>
      <c r="G2454">
        <v>4</v>
      </c>
      <c r="H2454">
        <v>6</v>
      </c>
      <c r="I2454" s="25">
        <v>1755</v>
      </c>
      <c r="K2454" t="s">
        <v>631</v>
      </c>
      <c r="L2454" t="s">
        <v>141</v>
      </c>
      <c r="M2454" t="s">
        <v>52</v>
      </c>
      <c r="N2454" t="s">
        <v>44</v>
      </c>
      <c r="O2454">
        <v>123</v>
      </c>
      <c r="Q2454">
        <f t="shared" si="71"/>
        <v>2</v>
      </c>
      <c r="S2454">
        <v>0</v>
      </c>
      <c r="T2454">
        <v>0</v>
      </c>
      <c r="U2454">
        <v>1</v>
      </c>
      <c r="V2454">
        <v>0</v>
      </c>
      <c r="W2454">
        <v>1</v>
      </c>
      <c r="X2454" s="21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J2454" t="s">
        <v>51</v>
      </c>
      <c r="AK2454" t="s">
        <v>95</v>
      </c>
      <c r="AL2454" t="s">
        <v>636</v>
      </c>
      <c r="AP2454" t="s">
        <v>541</v>
      </c>
    </row>
    <row r="2455" spans="1:42">
      <c r="A2455" s="1">
        <v>43853</v>
      </c>
      <c r="B2455">
        <v>4</v>
      </c>
      <c r="C2455">
        <v>226</v>
      </c>
      <c r="D2455">
        <v>14474</v>
      </c>
      <c r="E2455" t="s">
        <v>112</v>
      </c>
      <c r="F2455" t="s">
        <v>104</v>
      </c>
      <c r="G2455">
        <v>4</v>
      </c>
      <c r="H2455">
        <v>7</v>
      </c>
      <c r="I2455" s="25">
        <v>1983</v>
      </c>
      <c r="K2455" t="s">
        <v>56</v>
      </c>
      <c r="L2455" t="s">
        <v>141</v>
      </c>
      <c r="M2455" t="s">
        <v>52</v>
      </c>
      <c r="N2455" t="s">
        <v>40</v>
      </c>
      <c r="O2455">
        <v>101</v>
      </c>
      <c r="Q2455">
        <f t="shared" si="71"/>
        <v>4</v>
      </c>
      <c r="S2455">
        <v>0</v>
      </c>
      <c r="T2455">
        <v>0</v>
      </c>
      <c r="U2455">
        <v>1</v>
      </c>
      <c r="V2455">
        <v>1</v>
      </c>
      <c r="W2455">
        <v>2</v>
      </c>
      <c r="X2455" s="21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J2455" t="s">
        <v>51</v>
      </c>
      <c r="AK2455" t="s">
        <v>95</v>
      </c>
      <c r="AP2455" t="s">
        <v>541</v>
      </c>
    </row>
    <row r="2456" spans="1:42">
      <c r="A2456" s="1">
        <v>43853</v>
      </c>
      <c r="B2456">
        <v>4</v>
      </c>
      <c r="C2456">
        <v>226</v>
      </c>
      <c r="D2456">
        <v>14474</v>
      </c>
      <c r="E2456" t="s">
        <v>112</v>
      </c>
      <c r="F2456" t="s">
        <v>104</v>
      </c>
      <c r="G2456">
        <v>4</v>
      </c>
      <c r="H2456">
        <v>8</v>
      </c>
      <c r="I2456" s="25">
        <v>1961</v>
      </c>
      <c r="K2456" t="s">
        <v>56</v>
      </c>
      <c r="L2456" t="s">
        <v>141</v>
      </c>
      <c r="M2456" t="s">
        <v>52</v>
      </c>
      <c r="N2456" t="s">
        <v>40</v>
      </c>
      <c r="O2456">
        <v>54</v>
      </c>
      <c r="Q2456">
        <f t="shared" si="71"/>
        <v>1</v>
      </c>
      <c r="S2456">
        <v>0</v>
      </c>
      <c r="T2456">
        <v>0</v>
      </c>
      <c r="U2456">
        <v>1</v>
      </c>
      <c r="V2456">
        <v>0</v>
      </c>
      <c r="W2456">
        <v>0</v>
      </c>
      <c r="X2456" s="21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J2456" t="s">
        <v>51</v>
      </c>
      <c r="AK2456" t="s">
        <v>95</v>
      </c>
      <c r="AP2456" t="s">
        <v>541</v>
      </c>
    </row>
    <row r="2457" spans="1:42">
      <c r="A2457" s="1">
        <v>43853</v>
      </c>
      <c r="B2457">
        <v>4</v>
      </c>
      <c r="C2457">
        <v>226</v>
      </c>
      <c r="D2457">
        <v>14474</v>
      </c>
      <c r="E2457" t="s">
        <v>112</v>
      </c>
      <c r="F2457" t="s">
        <v>104</v>
      </c>
      <c r="G2457">
        <v>4</v>
      </c>
      <c r="H2457">
        <v>9</v>
      </c>
      <c r="I2457" s="25">
        <v>1959</v>
      </c>
      <c r="K2457" t="s">
        <v>56</v>
      </c>
      <c r="L2457" t="s">
        <v>141</v>
      </c>
      <c r="M2457" t="s">
        <v>52</v>
      </c>
      <c r="N2457" t="s">
        <v>44</v>
      </c>
      <c r="O2457">
        <v>75</v>
      </c>
      <c r="Q2457">
        <f t="shared" si="71"/>
        <v>1</v>
      </c>
      <c r="S2457">
        <v>0</v>
      </c>
      <c r="T2457">
        <v>0</v>
      </c>
      <c r="U2457">
        <v>1</v>
      </c>
      <c r="V2457">
        <v>0</v>
      </c>
      <c r="W2457">
        <v>0</v>
      </c>
      <c r="X2457" s="21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J2457" t="s">
        <v>51</v>
      </c>
      <c r="AK2457" t="s">
        <v>95</v>
      </c>
      <c r="AL2457" t="s">
        <v>637</v>
      </c>
      <c r="AP2457" t="s">
        <v>541</v>
      </c>
    </row>
    <row r="2458" spans="1:42">
      <c r="A2458" s="1">
        <v>43853</v>
      </c>
      <c r="B2458">
        <v>4</v>
      </c>
      <c r="C2458">
        <v>226</v>
      </c>
      <c r="D2458">
        <v>14474</v>
      </c>
      <c r="E2458" t="s">
        <v>112</v>
      </c>
      <c r="F2458" t="s">
        <v>104</v>
      </c>
      <c r="G2458">
        <v>4</v>
      </c>
      <c r="H2458">
        <v>10</v>
      </c>
      <c r="I2458" s="25">
        <v>1945</v>
      </c>
      <c r="K2458" t="s">
        <v>56</v>
      </c>
      <c r="L2458" t="s">
        <v>141</v>
      </c>
      <c r="M2458" t="s">
        <v>52</v>
      </c>
      <c r="N2458" t="s">
        <v>40</v>
      </c>
      <c r="O2458">
        <v>54</v>
      </c>
      <c r="Q2458">
        <f t="shared" si="71"/>
        <v>2</v>
      </c>
      <c r="S2458">
        <v>0</v>
      </c>
      <c r="T2458">
        <v>0</v>
      </c>
      <c r="U2458">
        <v>2</v>
      </c>
      <c r="V2458">
        <v>0</v>
      </c>
      <c r="W2458">
        <v>0</v>
      </c>
      <c r="X2458" s="21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J2458" t="s">
        <v>51</v>
      </c>
      <c r="AK2458" t="s">
        <v>95</v>
      </c>
      <c r="AP2458" t="s">
        <v>541</v>
      </c>
    </row>
    <row r="2459" spans="1:42">
      <c r="A2459" s="1">
        <v>43853</v>
      </c>
      <c r="B2459">
        <v>4</v>
      </c>
      <c r="C2459">
        <v>226</v>
      </c>
      <c r="D2459">
        <v>14474</v>
      </c>
      <c r="E2459" t="s">
        <v>112</v>
      </c>
      <c r="F2459" t="s">
        <v>104</v>
      </c>
      <c r="G2459">
        <v>4</v>
      </c>
      <c r="H2459">
        <v>11</v>
      </c>
      <c r="I2459" s="25">
        <v>1945</v>
      </c>
      <c r="K2459" t="s">
        <v>56</v>
      </c>
      <c r="L2459" t="s">
        <v>141</v>
      </c>
      <c r="M2459" t="s">
        <v>52</v>
      </c>
      <c r="N2459" t="s">
        <v>44</v>
      </c>
      <c r="O2459">
        <v>110</v>
      </c>
      <c r="Q2459">
        <f t="shared" si="71"/>
        <v>3</v>
      </c>
      <c r="S2459">
        <v>0</v>
      </c>
      <c r="T2459">
        <v>0</v>
      </c>
      <c r="U2459">
        <v>3</v>
      </c>
      <c r="V2459">
        <v>0</v>
      </c>
      <c r="W2459">
        <v>0</v>
      </c>
      <c r="X2459" s="21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J2459" t="s">
        <v>51</v>
      </c>
      <c r="AK2459" t="s">
        <v>95</v>
      </c>
      <c r="AL2459" t="s">
        <v>611</v>
      </c>
      <c r="AP2459" t="s">
        <v>541</v>
      </c>
    </row>
    <row r="2460" spans="1:42">
      <c r="A2460" s="1">
        <v>43853</v>
      </c>
      <c r="B2460">
        <v>4</v>
      </c>
      <c r="C2460">
        <v>226</v>
      </c>
      <c r="D2460">
        <v>14474</v>
      </c>
      <c r="E2460" t="s">
        <v>112</v>
      </c>
      <c r="F2460" t="s">
        <v>104</v>
      </c>
      <c r="G2460">
        <v>4</v>
      </c>
      <c r="H2460">
        <v>12</v>
      </c>
      <c r="I2460" s="25">
        <v>1990</v>
      </c>
      <c r="K2460" t="s">
        <v>56</v>
      </c>
      <c r="L2460" t="s">
        <v>114</v>
      </c>
      <c r="M2460" t="s">
        <v>52</v>
      </c>
      <c r="N2460" t="s">
        <v>44</v>
      </c>
      <c r="O2460">
        <v>109</v>
      </c>
      <c r="Q2460">
        <f t="shared" si="71"/>
        <v>2</v>
      </c>
      <c r="S2460">
        <v>0</v>
      </c>
      <c r="T2460">
        <v>0</v>
      </c>
      <c r="U2460">
        <v>1</v>
      </c>
      <c r="V2460">
        <v>0</v>
      </c>
      <c r="W2460">
        <v>1</v>
      </c>
      <c r="X2460" s="21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J2460" t="s">
        <v>51</v>
      </c>
      <c r="AK2460" t="s">
        <v>95</v>
      </c>
      <c r="AP2460" t="s">
        <v>541</v>
      </c>
    </row>
    <row r="2461" spans="1:42">
      <c r="A2461" s="1">
        <v>43853</v>
      </c>
      <c r="B2461">
        <v>4</v>
      </c>
      <c r="C2461">
        <v>226</v>
      </c>
      <c r="D2461">
        <v>14474</v>
      </c>
      <c r="E2461" t="s">
        <v>112</v>
      </c>
      <c r="F2461" t="s">
        <v>104</v>
      </c>
      <c r="G2461">
        <v>4</v>
      </c>
      <c r="H2461">
        <v>13</v>
      </c>
      <c r="I2461" s="25">
        <v>1707</v>
      </c>
      <c r="K2461" t="s">
        <v>638</v>
      </c>
      <c r="L2461" t="s">
        <v>141</v>
      </c>
      <c r="M2461" t="s">
        <v>52</v>
      </c>
      <c r="N2461" t="s">
        <v>44</v>
      </c>
      <c r="O2461">
        <v>120</v>
      </c>
      <c r="Q2461">
        <f t="shared" si="71"/>
        <v>1</v>
      </c>
      <c r="S2461">
        <v>0</v>
      </c>
      <c r="T2461">
        <v>0</v>
      </c>
      <c r="U2461">
        <v>0</v>
      </c>
      <c r="V2461">
        <v>1</v>
      </c>
      <c r="W2461">
        <v>0</v>
      </c>
      <c r="X2461" s="2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J2461" t="s">
        <v>51</v>
      </c>
      <c r="AK2461" t="s">
        <v>95</v>
      </c>
      <c r="AL2461" t="s">
        <v>597</v>
      </c>
      <c r="AP2461" t="s">
        <v>541</v>
      </c>
    </row>
    <row r="2462" spans="1:42">
      <c r="A2462" s="1">
        <v>43853</v>
      </c>
      <c r="B2462">
        <v>4</v>
      </c>
      <c r="C2462">
        <v>226</v>
      </c>
      <c r="D2462">
        <v>14474</v>
      </c>
      <c r="E2462" t="s">
        <v>112</v>
      </c>
      <c r="F2462" t="s">
        <v>104</v>
      </c>
      <c r="G2462">
        <v>4</v>
      </c>
      <c r="H2462">
        <v>14</v>
      </c>
      <c r="I2462" s="25">
        <v>1705</v>
      </c>
      <c r="K2462" t="s">
        <v>638</v>
      </c>
      <c r="L2462" t="s">
        <v>141</v>
      </c>
      <c r="M2462" t="s">
        <v>52</v>
      </c>
      <c r="N2462" t="s">
        <v>40</v>
      </c>
      <c r="O2462">
        <v>35</v>
      </c>
      <c r="Q2462">
        <f t="shared" si="71"/>
        <v>1</v>
      </c>
      <c r="S2462">
        <v>0</v>
      </c>
      <c r="T2462">
        <v>0</v>
      </c>
      <c r="U2462">
        <v>1</v>
      </c>
      <c r="V2462">
        <v>0</v>
      </c>
      <c r="W2462">
        <v>0</v>
      </c>
      <c r="X2462" s="21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J2462" t="s">
        <v>51</v>
      </c>
      <c r="AK2462" t="s">
        <v>95</v>
      </c>
      <c r="AP2462" t="s">
        <v>541</v>
      </c>
    </row>
    <row r="2463" spans="1:42">
      <c r="A2463" s="1">
        <v>43853</v>
      </c>
      <c r="B2463">
        <v>4</v>
      </c>
      <c r="C2463">
        <v>226</v>
      </c>
      <c r="D2463">
        <v>14474</v>
      </c>
      <c r="E2463" t="s">
        <v>112</v>
      </c>
      <c r="F2463" t="s">
        <v>104</v>
      </c>
      <c r="G2463">
        <v>4</v>
      </c>
      <c r="H2463">
        <v>15</v>
      </c>
      <c r="I2463" s="25">
        <v>1703</v>
      </c>
      <c r="K2463" t="s">
        <v>638</v>
      </c>
      <c r="L2463" t="s">
        <v>141</v>
      </c>
      <c r="M2463" t="s">
        <v>52</v>
      </c>
      <c r="N2463" t="s">
        <v>40</v>
      </c>
      <c r="O2463">
        <v>34</v>
      </c>
      <c r="Q2463">
        <f t="shared" si="71"/>
        <v>1</v>
      </c>
      <c r="S2463">
        <v>0</v>
      </c>
      <c r="T2463">
        <v>0</v>
      </c>
      <c r="U2463">
        <v>1</v>
      </c>
      <c r="V2463">
        <v>0</v>
      </c>
      <c r="W2463">
        <v>0</v>
      </c>
      <c r="X2463" s="21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J2463" t="s">
        <v>51</v>
      </c>
      <c r="AK2463" t="s">
        <v>95</v>
      </c>
      <c r="AP2463" t="s">
        <v>541</v>
      </c>
    </row>
    <row r="2464" spans="1:42">
      <c r="A2464" s="1">
        <v>43853</v>
      </c>
      <c r="B2464">
        <v>4</v>
      </c>
      <c r="C2464">
        <v>226</v>
      </c>
      <c r="D2464">
        <v>14474</v>
      </c>
      <c r="E2464" t="s">
        <v>112</v>
      </c>
      <c r="F2464" t="s">
        <v>104</v>
      </c>
      <c r="G2464">
        <v>4</v>
      </c>
      <c r="H2464">
        <v>16</v>
      </c>
      <c r="I2464" s="25">
        <v>1666</v>
      </c>
      <c r="K2464" t="s">
        <v>638</v>
      </c>
      <c r="L2464" t="s">
        <v>114</v>
      </c>
      <c r="M2464" t="s">
        <v>52</v>
      </c>
      <c r="N2464" t="s">
        <v>44</v>
      </c>
      <c r="O2464">
        <v>238</v>
      </c>
      <c r="Q2464">
        <f t="shared" si="71"/>
        <v>5</v>
      </c>
      <c r="S2464">
        <v>0</v>
      </c>
      <c r="T2464">
        <v>0</v>
      </c>
      <c r="U2464">
        <v>0</v>
      </c>
      <c r="V2464">
        <v>2</v>
      </c>
      <c r="W2464">
        <v>3</v>
      </c>
      <c r="X2464" s="21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J2464" t="s">
        <v>54</v>
      </c>
      <c r="AK2464" t="s">
        <v>95</v>
      </c>
      <c r="AL2464" t="s">
        <v>639</v>
      </c>
      <c r="AP2464" t="s">
        <v>541</v>
      </c>
    </row>
    <row r="2465" spans="1:42">
      <c r="A2465" s="1">
        <v>43853</v>
      </c>
      <c r="B2465">
        <v>4</v>
      </c>
      <c r="C2465">
        <v>226</v>
      </c>
      <c r="D2465">
        <v>14474</v>
      </c>
      <c r="E2465" t="s">
        <v>112</v>
      </c>
      <c r="F2465" t="s">
        <v>104</v>
      </c>
      <c r="G2465">
        <v>4</v>
      </c>
      <c r="H2465">
        <v>17</v>
      </c>
      <c r="I2465" s="25">
        <v>1700</v>
      </c>
      <c r="K2465" t="s">
        <v>56</v>
      </c>
      <c r="L2465" t="s">
        <v>114</v>
      </c>
      <c r="M2465" t="s">
        <v>52</v>
      </c>
      <c r="N2465" t="s">
        <v>40</v>
      </c>
      <c r="O2465">
        <v>78</v>
      </c>
      <c r="Q2465">
        <f t="shared" si="71"/>
        <v>2</v>
      </c>
      <c r="S2465">
        <v>0</v>
      </c>
      <c r="T2465">
        <v>0</v>
      </c>
      <c r="U2465">
        <v>0</v>
      </c>
      <c r="V2465">
        <v>2</v>
      </c>
      <c r="W2465">
        <v>0</v>
      </c>
      <c r="X2465" s="21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J2465" t="s">
        <v>51</v>
      </c>
      <c r="AK2465" t="s">
        <v>95</v>
      </c>
      <c r="AP2465" t="s">
        <v>541</v>
      </c>
    </row>
    <row r="2466" spans="1:42">
      <c r="A2466" s="1">
        <v>43853</v>
      </c>
      <c r="B2466">
        <v>4</v>
      </c>
      <c r="C2466">
        <v>226</v>
      </c>
      <c r="D2466">
        <v>14474</v>
      </c>
      <c r="E2466" t="s">
        <v>112</v>
      </c>
      <c r="F2466" t="s">
        <v>104</v>
      </c>
      <c r="G2466">
        <v>4</v>
      </c>
      <c r="H2466">
        <v>18</v>
      </c>
      <c r="I2466" s="25">
        <v>1525</v>
      </c>
      <c r="K2466" t="s">
        <v>415</v>
      </c>
      <c r="L2466" t="s">
        <v>141</v>
      </c>
      <c r="M2466" t="s">
        <v>52</v>
      </c>
      <c r="N2466" t="s">
        <v>40</v>
      </c>
      <c r="O2466">
        <v>43</v>
      </c>
      <c r="Q2466">
        <f t="shared" si="71"/>
        <v>1</v>
      </c>
      <c r="S2466">
        <v>0</v>
      </c>
      <c r="T2466">
        <v>0</v>
      </c>
      <c r="U2466">
        <v>1</v>
      </c>
      <c r="V2466">
        <v>0</v>
      </c>
      <c r="W2466">
        <v>0</v>
      </c>
      <c r="X2466" s="21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J2466" t="s">
        <v>51</v>
      </c>
      <c r="AK2466" t="s">
        <v>52</v>
      </c>
      <c r="AP2466" t="s">
        <v>541</v>
      </c>
    </row>
    <row r="2467" spans="1:42">
      <c r="A2467" s="1">
        <v>43853</v>
      </c>
      <c r="B2467">
        <v>4</v>
      </c>
      <c r="C2467">
        <v>226</v>
      </c>
      <c r="D2467">
        <v>14474</v>
      </c>
      <c r="E2467" t="s">
        <v>112</v>
      </c>
      <c r="F2467" t="s">
        <v>104</v>
      </c>
      <c r="G2467">
        <v>4</v>
      </c>
      <c r="H2467">
        <v>19</v>
      </c>
      <c r="I2467" s="25">
        <v>1415</v>
      </c>
      <c r="K2467" t="s">
        <v>415</v>
      </c>
      <c r="L2467" t="s">
        <v>141</v>
      </c>
      <c r="M2467" t="s">
        <v>52</v>
      </c>
      <c r="N2467" t="s">
        <v>40</v>
      </c>
      <c r="O2467">
        <v>60</v>
      </c>
      <c r="Q2467">
        <f t="shared" si="71"/>
        <v>2</v>
      </c>
      <c r="S2467">
        <v>0</v>
      </c>
      <c r="T2467">
        <v>0</v>
      </c>
      <c r="U2467">
        <v>1</v>
      </c>
      <c r="V2467">
        <v>1</v>
      </c>
      <c r="W2467">
        <v>0</v>
      </c>
      <c r="X2467" s="21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J2467" t="s">
        <v>51</v>
      </c>
      <c r="AK2467" t="s">
        <v>52</v>
      </c>
      <c r="AP2467" t="s">
        <v>541</v>
      </c>
    </row>
    <row r="2468" spans="1:42">
      <c r="A2468" s="1">
        <v>43853</v>
      </c>
      <c r="B2468">
        <v>4</v>
      </c>
      <c r="C2468">
        <v>226</v>
      </c>
      <c r="D2468">
        <v>14474</v>
      </c>
      <c r="E2468" t="s">
        <v>112</v>
      </c>
      <c r="F2468" t="s">
        <v>104</v>
      </c>
      <c r="G2468">
        <v>4</v>
      </c>
      <c r="H2468">
        <v>20</v>
      </c>
      <c r="I2468" s="25">
        <v>1661</v>
      </c>
      <c r="K2468" t="s">
        <v>69</v>
      </c>
      <c r="L2468" t="s">
        <v>141</v>
      </c>
      <c r="M2468" t="s">
        <v>52</v>
      </c>
      <c r="N2468" t="s">
        <v>40</v>
      </c>
      <c r="O2468">
        <v>114</v>
      </c>
      <c r="Q2468">
        <f t="shared" si="71"/>
        <v>5</v>
      </c>
      <c r="S2468">
        <v>0</v>
      </c>
      <c r="T2468">
        <v>0</v>
      </c>
      <c r="U2468">
        <v>0</v>
      </c>
      <c r="V2468">
        <v>5</v>
      </c>
      <c r="W2468">
        <v>0</v>
      </c>
      <c r="X2468" s="21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J2468" t="s">
        <v>51</v>
      </c>
      <c r="AK2468" t="s">
        <v>95</v>
      </c>
      <c r="AL2468" t="s">
        <v>640</v>
      </c>
      <c r="AP2468" t="s">
        <v>541</v>
      </c>
    </row>
    <row r="2469" spans="1:42">
      <c r="A2469" s="1">
        <v>43853</v>
      </c>
      <c r="B2469">
        <v>4</v>
      </c>
      <c r="C2469">
        <v>226</v>
      </c>
      <c r="D2469">
        <v>14474</v>
      </c>
      <c r="E2469" t="s">
        <v>112</v>
      </c>
      <c r="F2469" t="s">
        <v>104</v>
      </c>
      <c r="G2469">
        <v>4</v>
      </c>
      <c r="H2469">
        <v>21</v>
      </c>
      <c r="I2469" s="25">
        <v>1880</v>
      </c>
      <c r="K2469" t="s">
        <v>56</v>
      </c>
      <c r="L2469" t="s">
        <v>114</v>
      </c>
      <c r="M2469" t="s">
        <v>52</v>
      </c>
      <c r="N2469" t="s">
        <v>40</v>
      </c>
      <c r="O2469">
        <v>190</v>
      </c>
      <c r="Q2469">
        <f t="shared" si="71"/>
        <v>3</v>
      </c>
      <c r="S2469">
        <v>0</v>
      </c>
      <c r="T2469">
        <v>0</v>
      </c>
      <c r="U2469">
        <v>2</v>
      </c>
      <c r="V2469">
        <v>0</v>
      </c>
      <c r="W2469">
        <v>1</v>
      </c>
      <c r="X2469" s="21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J2469" t="s">
        <v>51</v>
      </c>
      <c r="AK2469" t="s">
        <v>95</v>
      </c>
      <c r="AL2469" t="s">
        <v>641</v>
      </c>
      <c r="AP2469" t="s">
        <v>541</v>
      </c>
    </row>
    <row r="2470" spans="1:42">
      <c r="A2470" s="1">
        <v>43853</v>
      </c>
      <c r="B2470">
        <v>4</v>
      </c>
      <c r="C2470">
        <v>226</v>
      </c>
      <c r="D2470">
        <v>14474</v>
      </c>
      <c r="E2470" t="s">
        <v>112</v>
      </c>
      <c r="F2470" t="s">
        <v>104</v>
      </c>
      <c r="G2470">
        <v>4</v>
      </c>
      <c r="H2470">
        <v>22</v>
      </c>
      <c r="I2470" s="25">
        <v>1941</v>
      </c>
      <c r="K2470" t="s">
        <v>56</v>
      </c>
      <c r="L2470" t="s">
        <v>141</v>
      </c>
      <c r="M2470" t="s">
        <v>52</v>
      </c>
      <c r="N2470" t="s">
        <v>40</v>
      </c>
      <c r="O2470">
        <v>103</v>
      </c>
      <c r="Q2470">
        <f t="shared" si="71"/>
        <v>3</v>
      </c>
      <c r="S2470">
        <v>0</v>
      </c>
      <c r="T2470">
        <v>0</v>
      </c>
      <c r="U2470">
        <v>3</v>
      </c>
      <c r="V2470">
        <v>0</v>
      </c>
      <c r="W2470">
        <v>0</v>
      </c>
      <c r="X2470" s="21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J2470" t="s">
        <v>51</v>
      </c>
      <c r="AK2470" t="s">
        <v>95</v>
      </c>
      <c r="AP2470" t="s">
        <v>541</v>
      </c>
    </row>
    <row r="2471" spans="1:42">
      <c r="A2471" s="1">
        <v>43853</v>
      </c>
      <c r="B2471">
        <v>4</v>
      </c>
      <c r="C2471">
        <v>226</v>
      </c>
      <c r="D2471">
        <v>14474</v>
      </c>
      <c r="E2471" t="s">
        <v>112</v>
      </c>
      <c r="F2471" t="s">
        <v>104</v>
      </c>
      <c r="G2471">
        <v>4</v>
      </c>
      <c r="H2471">
        <v>23</v>
      </c>
      <c r="I2471" s="25">
        <v>1966</v>
      </c>
      <c r="K2471" t="s">
        <v>56</v>
      </c>
      <c r="L2471" t="s">
        <v>114</v>
      </c>
      <c r="M2471" t="s">
        <v>52</v>
      </c>
      <c r="N2471" t="s">
        <v>44</v>
      </c>
      <c r="O2471">
        <v>124</v>
      </c>
      <c r="Q2471">
        <f t="shared" si="71"/>
        <v>1</v>
      </c>
      <c r="S2471">
        <v>0</v>
      </c>
      <c r="T2471">
        <v>0</v>
      </c>
      <c r="U2471">
        <v>0</v>
      </c>
      <c r="V2471">
        <v>0</v>
      </c>
      <c r="W2471">
        <v>1</v>
      </c>
      <c r="X2471" s="2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J2471" t="s">
        <v>51</v>
      </c>
      <c r="AK2471" t="s">
        <v>95</v>
      </c>
      <c r="AL2471" t="s">
        <v>611</v>
      </c>
      <c r="AP2471" t="s">
        <v>541</v>
      </c>
    </row>
    <row r="2472" spans="1:42">
      <c r="A2472" s="1">
        <v>43853</v>
      </c>
      <c r="B2472">
        <v>4</v>
      </c>
      <c r="C2472">
        <v>226</v>
      </c>
      <c r="D2472">
        <v>14474</v>
      </c>
      <c r="E2472" t="s">
        <v>112</v>
      </c>
      <c r="F2472" t="s">
        <v>104</v>
      </c>
      <c r="G2472">
        <v>4</v>
      </c>
      <c r="H2472">
        <v>24</v>
      </c>
      <c r="I2472" s="25">
        <v>1875</v>
      </c>
      <c r="K2472" t="s">
        <v>56</v>
      </c>
      <c r="L2472" t="s">
        <v>141</v>
      </c>
      <c r="M2472" t="s">
        <v>52</v>
      </c>
      <c r="N2472" t="s">
        <v>44</v>
      </c>
      <c r="O2472">
        <v>141</v>
      </c>
      <c r="Q2472">
        <f t="shared" si="71"/>
        <v>2</v>
      </c>
      <c r="S2472">
        <v>0</v>
      </c>
      <c r="T2472">
        <v>0</v>
      </c>
      <c r="U2472">
        <v>0</v>
      </c>
      <c r="V2472">
        <v>1</v>
      </c>
      <c r="W2472">
        <v>1</v>
      </c>
      <c r="X2472" s="21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J2472" t="s">
        <v>51</v>
      </c>
      <c r="AK2472" t="s">
        <v>95</v>
      </c>
      <c r="AL2472" t="s">
        <v>642</v>
      </c>
      <c r="AP2472" t="s">
        <v>541</v>
      </c>
    </row>
    <row r="2473" spans="1:42">
      <c r="A2473" s="1">
        <v>43853</v>
      </c>
      <c r="B2473">
        <v>4</v>
      </c>
      <c r="C2473">
        <v>226</v>
      </c>
      <c r="D2473">
        <v>14474</v>
      </c>
      <c r="E2473" t="s">
        <v>112</v>
      </c>
      <c r="F2473" t="s">
        <v>104</v>
      </c>
      <c r="G2473">
        <v>4</v>
      </c>
      <c r="H2473">
        <v>25</v>
      </c>
      <c r="I2473" s="25">
        <v>1869</v>
      </c>
      <c r="K2473" t="s">
        <v>56</v>
      </c>
      <c r="L2473" t="s">
        <v>141</v>
      </c>
      <c r="M2473" t="s">
        <v>52</v>
      </c>
      <c r="N2473" t="s">
        <v>44</v>
      </c>
      <c r="O2473">
        <v>181</v>
      </c>
      <c r="Q2473">
        <f t="shared" si="71"/>
        <v>2</v>
      </c>
      <c r="S2473">
        <v>0</v>
      </c>
      <c r="T2473">
        <v>0</v>
      </c>
      <c r="U2473">
        <v>0</v>
      </c>
      <c r="V2473">
        <v>1</v>
      </c>
      <c r="W2473">
        <v>1</v>
      </c>
      <c r="X2473" s="21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J2473" t="s">
        <v>51</v>
      </c>
      <c r="AK2473" t="s">
        <v>95</v>
      </c>
      <c r="AL2473" t="s">
        <v>612</v>
      </c>
      <c r="AP2473" t="s">
        <v>541</v>
      </c>
    </row>
    <row r="2474" spans="1:42">
      <c r="A2474" s="1">
        <v>43853</v>
      </c>
      <c r="B2474">
        <v>4</v>
      </c>
      <c r="C2474">
        <v>226</v>
      </c>
      <c r="D2474">
        <v>14474</v>
      </c>
      <c r="E2474" t="s">
        <v>112</v>
      </c>
      <c r="F2474" t="s">
        <v>104</v>
      </c>
      <c r="G2474">
        <v>4</v>
      </c>
      <c r="H2474">
        <v>26</v>
      </c>
      <c r="I2474" s="25">
        <v>1865</v>
      </c>
      <c r="K2474" t="s">
        <v>56</v>
      </c>
      <c r="L2474" t="s">
        <v>141</v>
      </c>
      <c r="M2474" t="s">
        <v>52</v>
      </c>
      <c r="N2474" t="s">
        <v>44</v>
      </c>
      <c r="O2474">
        <v>251</v>
      </c>
      <c r="Q2474">
        <f t="shared" si="71"/>
        <v>2</v>
      </c>
      <c r="S2474">
        <v>0</v>
      </c>
      <c r="T2474">
        <v>0</v>
      </c>
      <c r="U2474">
        <v>0</v>
      </c>
      <c r="V2474">
        <v>1</v>
      </c>
      <c r="W2474">
        <v>1</v>
      </c>
      <c r="X2474" s="21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J2474" t="s">
        <v>51</v>
      </c>
      <c r="AK2474" t="s">
        <v>95</v>
      </c>
      <c r="AL2474" t="s">
        <v>643</v>
      </c>
      <c r="AP2474" t="s">
        <v>541</v>
      </c>
    </row>
    <row r="2475" spans="1:42">
      <c r="A2475" s="1">
        <v>43853</v>
      </c>
      <c r="B2475">
        <v>4</v>
      </c>
      <c r="C2475">
        <v>226</v>
      </c>
      <c r="D2475">
        <v>14474</v>
      </c>
      <c r="E2475" t="s">
        <v>112</v>
      </c>
      <c r="F2475" t="s">
        <v>104</v>
      </c>
      <c r="G2475">
        <v>4</v>
      </c>
      <c r="H2475">
        <v>27</v>
      </c>
      <c r="I2475" s="25">
        <v>1855</v>
      </c>
      <c r="K2475" t="s">
        <v>56</v>
      </c>
      <c r="L2475" t="s">
        <v>141</v>
      </c>
      <c r="M2475" t="s">
        <v>52</v>
      </c>
      <c r="N2475" t="s">
        <v>44</v>
      </c>
      <c r="O2475">
        <v>262</v>
      </c>
      <c r="Q2475">
        <f t="shared" si="71"/>
        <v>4</v>
      </c>
      <c r="S2475">
        <v>0</v>
      </c>
      <c r="T2475">
        <v>0</v>
      </c>
      <c r="U2475">
        <v>0</v>
      </c>
      <c r="V2475">
        <v>1</v>
      </c>
      <c r="W2475">
        <v>3</v>
      </c>
      <c r="X2475" s="21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J2475" t="s">
        <v>51</v>
      </c>
      <c r="AK2475" t="s">
        <v>95</v>
      </c>
      <c r="AL2475" t="s">
        <v>612</v>
      </c>
      <c r="AP2475" t="s">
        <v>541</v>
      </c>
    </row>
    <row r="2476" spans="1:42">
      <c r="A2476" s="1">
        <v>43853</v>
      </c>
      <c r="B2476">
        <v>4</v>
      </c>
      <c r="C2476">
        <v>226</v>
      </c>
      <c r="D2476">
        <v>14474</v>
      </c>
      <c r="E2476" t="s">
        <v>112</v>
      </c>
      <c r="F2476" t="s">
        <v>104</v>
      </c>
      <c r="G2476">
        <v>4</v>
      </c>
      <c r="H2476">
        <v>28</v>
      </c>
      <c r="I2476" s="25">
        <v>1809</v>
      </c>
      <c r="K2476" t="s">
        <v>56</v>
      </c>
      <c r="L2476" t="s">
        <v>141</v>
      </c>
      <c r="M2476" t="s">
        <v>52</v>
      </c>
      <c r="N2476" t="s">
        <v>44</v>
      </c>
      <c r="O2476">
        <v>135</v>
      </c>
      <c r="Q2476">
        <f t="shared" si="71"/>
        <v>1</v>
      </c>
      <c r="S2476">
        <v>0</v>
      </c>
      <c r="T2476">
        <v>0</v>
      </c>
      <c r="U2476">
        <v>0</v>
      </c>
      <c r="V2476">
        <v>0</v>
      </c>
      <c r="W2476">
        <v>1</v>
      </c>
      <c r="X2476" s="21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J2476" t="s">
        <v>51</v>
      </c>
      <c r="AK2476" t="s">
        <v>95</v>
      </c>
      <c r="AL2476" t="s">
        <v>636</v>
      </c>
      <c r="AP2476" t="s">
        <v>541</v>
      </c>
    </row>
    <row r="2477" spans="1:42">
      <c r="A2477" s="1">
        <v>43853</v>
      </c>
      <c r="B2477">
        <v>4</v>
      </c>
      <c r="C2477">
        <v>226</v>
      </c>
      <c r="D2477">
        <v>14474</v>
      </c>
      <c r="E2477" t="s">
        <v>112</v>
      </c>
      <c r="F2477" t="s">
        <v>104</v>
      </c>
      <c r="G2477">
        <v>4</v>
      </c>
      <c r="H2477">
        <v>29</v>
      </c>
      <c r="I2477" s="25">
        <v>1835</v>
      </c>
      <c r="K2477" t="s">
        <v>631</v>
      </c>
      <c r="L2477" t="s">
        <v>141</v>
      </c>
      <c r="M2477" t="s">
        <v>52</v>
      </c>
      <c r="N2477" t="s">
        <v>44</v>
      </c>
      <c r="O2477">
        <v>180</v>
      </c>
      <c r="Q2477">
        <f t="shared" si="71"/>
        <v>3</v>
      </c>
      <c r="S2477">
        <v>0</v>
      </c>
      <c r="T2477">
        <v>0</v>
      </c>
      <c r="U2477">
        <v>0</v>
      </c>
      <c r="V2477">
        <v>0</v>
      </c>
      <c r="W2477">
        <v>3</v>
      </c>
      <c r="X2477" s="21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J2477" t="s">
        <v>51</v>
      </c>
      <c r="AK2477" t="s">
        <v>95</v>
      </c>
      <c r="AL2477" t="s">
        <v>611</v>
      </c>
      <c r="AP2477" t="s">
        <v>541</v>
      </c>
    </row>
    <row r="2478" spans="1:42">
      <c r="A2478" s="1">
        <v>43853</v>
      </c>
      <c r="B2478">
        <v>4</v>
      </c>
      <c r="C2478">
        <v>226</v>
      </c>
      <c r="D2478">
        <v>14474</v>
      </c>
      <c r="E2478" t="s">
        <v>112</v>
      </c>
      <c r="F2478" t="s">
        <v>104</v>
      </c>
      <c r="G2478">
        <v>4</v>
      </c>
      <c r="H2478">
        <v>30</v>
      </c>
      <c r="I2478" s="25">
        <v>1855</v>
      </c>
      <c r="K2478" t="s">
        <v>68</v>
      </c>
      <c r="L2478" t="s">
        <v>141</v>
      </c>
      <c r="M2478" t="s">
        <v>52</v>
      </c>
      <c r="N2478" t="s">
        <v>44</v>
      </c>
      <c r="O2478">
        <v>136</v>
      </c>
      <c r="Q2478">
        <f t="shared" si="71"/>
        <v>2</v>
      </c>
      <c r="S2478">
        <v>0</v>
      </c>
      <c r="T2478">
        <v>0</v>
      </c>
      <c r="U2478">
        <v>0</v>
      </c>
      <c r="V2478">
        <v>0</v>
      </c>
      <c r="W2478">
        <v>2</v>
      </c>
      <c r="X2478" s="21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J2478" t="s">
        <v>51</v>
      </c>
      <c r="AK2478" t="s">
        <v>95</v>
      </c>
      <c r="AP2478" t="s">
        <v>541</v>
      </c>
    </row>
    <row r="2479" spans="1:42">
      <c r="A2479" s="1">
        <v>43853</v>
      </c>
      <c r="B2479">
        <v>4</v>
      </c>
      <c r="C2479">
        <v>226</v>
      </c>
      <c r="D2479">
        <v>14474</v>
      </c>
      <c r="E2479" t="s">
        <v>112</v>
      </c>
      <c r="F2479" t="s">
        <v>104</v>
      </c>
      <c r="G2479">
        <v>4</v>
      </c>
      <c r="H2479">
        <v>31</v>
      </c>
      <c r="I2479" s="25">
        <v>1835</v>
      </c>
      <c r="K2479" t="s">
        <v>68</v>
      </c>
      <c r="L2479" t="s">
        <v>141</v>
      </c>
      <c r="M2479" t="s">
        <v>52</v>
      </c>
      <c r="N2479" t="s">
        <v>44</v>
      </c>
      <c r="O2479">
        <v>127</v>
      </c>
      <c r="Q2479">
        <f t="shared" si="71"/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 s="21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1</v>
      </c>
      <c r="AG2479">
        <v>1</v>
      </c>
      <c r="AJ2479" t="s">
        <v>51</v>
      </c>
      <c r="AK2479" t="s">
        <v>95</v>
      </c>
      <c r="AL2479" t="s">
        <v>644</v>
      </c>
      <c r="AP2479" t="s">
        <v>541</v>
      </c>
    </row>
    <row r="2480" spans="1:42">
      <c r="A2480" s="1">
        <v>43853</v>
      </c>
      <c r="B2480">
        <v>4</v>
      </c>
      <c r="C2480">
        <v>226</v>
      </c>
      <c r="D2480">
        <v>14474</v>
      </c>
      <c r="E2480" t="s">
        <v>112</v>
      </c>
      <c r="F2480" t="s">
        <v>104</v>
      </c>
      <c r="G2480">
        <v>4</v>
      </c>
      <c r="H2480">
        <v>32</v>
      </c>
      <c r="I2480" s="25">
        <v>1801</v>
      </c>
      <c r="K2480" t="s">
        <v>68</v>
      </c>
      <c r="L2480" t="s">
        <v>141</v>
      </c>
      <c r="M2480" t="s">
        <v>52</v>
      </c>
      <c r="N2480" t="s">
        <v>44</v>
      </c>
      <c r="O2480">
        <v>203</v>
      </c>
      <c r="Q2480">
        <f t="shared" si="71"/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 s="21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1</v>
      </c>
      <c r="AG2480">
        <v>1</v>
      </c>
      <c r="AJ2480" t="s">
        <v>51</v>
      </c>
      <c r="AK2480" t="s">
        <v>95</v>
      </c>
      <c r="AL2480" t="s">
        <v>611</v>
      </c>
      <c r="AP2480" t="s">
        <v>541</v>
      </c>
    </row>
    <row r="2481" spans="1:42">
      <c r="A2481" s="1">
        <v>43853</v>
      </c>
      <c r="B2481">
        <v>4</v>
      </c>
      <c r="C2481">
        <v>226</v>
      </c>
      <c r="D2481">
        <v>14474</v>
      </c>
      <c r="E2481" t="s">
        <v>112</v>
      </c>
      <c r="F2481" t="s">
        <v>104</v>
      </c>
      <c r="G2481">
        <v>4</v>
      </c>
      <c r="H2481">
        <v>33</v>
      </c>
      <c r="I2481" s="25">
        <v>1930</v>
      </c>
      <c r="K2481" t="s">
        <v>68</v>
      </c>
      <c r="L2481" t="s">
        <v>114</v>
      </c>
      <c r="M2481" t="s">
        <v>52</v>
      </c>
      <c r="N2481" t="s">
        <v>44</v>
      </c>
      <c r="O2481">
        <v>42</v>
      </c>
      <c r="Q2481">
        <f t="shared" si="71"/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 s="2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1</v>
      </c>
      <c r="AG2481">
        <v>1</v>
      </c>
      <c r="AJ2481" t="s">
        <v>51</v>
      </c>
      <c r="AK2481" t="s">
        <v>95</v>
      </c>
      <c r="AL2481" t="s">
        <v>645</v>
      </c>
      <c r="AP2481" t="s">
        <v>541</v>
      </c>
    </row>
    <row r="2482" spans="1:42">
      <c r="A2482" s="1">
        <v>43853</v>
      </c>
      <c r="B2482">
        <v>4</v>
      </c>
      <c r="C2482">
        <v>226</v>
      </c>
      <c r="D2482">
        <v>14474</v>
      </c>
      <c r="E2482" t="s">
        <v>112</v>
      </c>
      <c r="F2482" t="s">
        <v>104</v>
      </c>
      <c r="G2482">
        <v>4</v>
      </c>
      <c r="H2482">
        <v>34</v>
      </c>
      <c r="I2482" s="25">
        <v>1950</v>
      </c>
      <c r="K2482" t="s">
        <v>68</v>
      </c>
      <c r="L2482" t="s">
        <v>114</v>
      </c>
      <c r="M2482" t="s">
        <v>52</v>
      </c>
      <c r="N2482" t="s">
        <v>44</v>
      </c>
      <c r="O2482">
        <v>43</v>
      </c>
      <c r="Q2482">
        <f t="shared" si="71"/>
        <v>1</v>
      </c>
      <c r="S2482">
        <v>0</v>
      </c>
      <c r="T2482">
        <v>0</v>
      </c>
      <c r="U2482">
        <v>0</v>
      </c>
      <c r="V2482">
        <v>1</v>
      </c>
      <c r="W2482">
        <v>0</v>
      </c>
      <c r="X2482" s="21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J2482" t="s">
        <v>51</v>
      </c>
      <c r="AK2482" t="s">
        <v>95</v>
      </c>
      <c r="AP2482" t="s">
        <v>541</v>
      </c>
    </row>
    <row r="2483" spans="1:42">
      <c r="A2483" s="1">
        <v>43853</v>
      </c>
      <c r="B2483">
        <v>4</v>
      </c>
      <c r="C2483">
        <v>226</v>
      </c>
      <c r="D2483">
        <v>14474</v>
      </c>
      <c r="E2483" t="s">
        <v>112</v>
      </c>
      <c r="F2483" t="s">
        <v>104</v>
      </c>
      <c r="G2483">
        <v>4</v>
      </c>
      <c r="H2483">
        <v>35</v>
      </c>
      <c r="I2483" s="25">
        <v>1960</v>
      </c>
      <c r="K2483" t="s">
        <v>638</v>
      </c>
      <c r="L2483" t="s">
        <v>114</v>
      </c>
      <c r="M2483" t="s">
        <v>52</v>
      </c>
      <c r="N2483" t="s">
        <v>40</v>
      </c>
      <c r="O2483">
        <v>52</v>
      </c>
      <c r="Q2483">
        <f t="shared" si="71"/>
        <v>2</v>
      </c>
      <c r="S2483">
        <v>0</v>
      </c>
      <c r="T2483">
        <v>0</v>
      </c>
      <c r="U2483">
        <v>1</v>
      </c>
      <c r="V2483">
        <v>1</v>
      </c>
      <c r="W2483">
        <v>0</v>
      </c>
      <c r="X2483" s="21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J2483" t="s">
        <v>54</v>
      </c>
      <c r="AK2483" t="s">
        <v>52</v>
      </c>
      <c r="AP2483" t="s">
        <v>541</v>
      </c>
    </row>
    <row r="2484" spans="1:42">
      <c r="A2484" s="1">
        <v>43853</v>
      </c>
      <c r="B2484">
        <v>4</v>
      </c>
      <c r="C2484">
        <v>226</v>
      </c>
      <c r="D2484">
        <v>14474</v>
      </c>
      <c r="E2484" t="s">
        <v>112</v>
      </c>
      <c r="F2484" t="s">
        <v>104</v>
      </c>
      <c r="G2484">
        <v>4</v>
      </c>
      <c r="H2484">
        <v>36</v>
      </c>
      <c r="I2484" s="25">
        <v>1950</v>
      </c>
      <c r="K2484" t="s">
        <v>68</v>
      </c>
      <c r="L2484" t="s">
        <v>114</v>
      </c>
      <c r="M2484" t="s">
        <v>52</v>
      </c>
      <c r="N2484" t="s">
        <v>44</v>
      </c>
      <c r="O2484">
        <v>210</v>
      </c>
      <c r="Q2484">
        <f t="shared" si="71"/>
        <v>1</v>
      </c>
      <c r="S2484">
        <v>0</v>
      </c>
      <c r="T2484">
        <v>0</v>
      </c>
      <c r="U2484">
        <v>1</v>
      </c>
      <c r="V2484">
        <v>0</v>
      </c>
      <c r="W2484">
        <v>0</v>
      </c>
      <c r="X2484" s="21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J2484" t="s">
        <v>51</v>
      </c>
      <c r="AK2484" t="s">
        <v>52</v>
      </c>
      <c r="AL2484" t="s">
        <v>646</v>
      </c>
      <c r="AP2484" t="s">
        <v>541</v>
      </c>
    </row>
    <row r="2485" spans="1:42">
      <c r="A2485" s="1">
        <v>43853</v>
      </c>
      <c r="B2485">
        <v>4</v>
      </c>
      <c r="C2485">
        <v>226</v>
      </c>
      <c r="D2485">
        <v>14474</v>
      </c>
      <c r="E2485" t="s">
        <v>112</v>
      </c>
      <c r="F2485" t="s">
        <v>104</v>
      </c>
      <c r="G2485">
        <v>4</v>
      </c>
      <c r="H2485">
        <v>37</v>
      </c>
      <c r="I2485" s="25">
        <v>1935</v>
      </c>
      <c r="K2485" t="s">
        <v>68</v>
      </c>
      <c r="L2485" t="s">
        <v>141</v>
      </c>
      <c r="M2485" t="s">
        <v>52</v>
      </c>
      <c r="N2485" t="s">
        <v>40</v>
      </c>
      <c r="O2485">
        <v>48</v>
      </c>
      <c r="Q2485">
        <f t="shared" si="71"/>
        <v>1</v>
      </c>
      <c r="S2485">
        <v>0</v>
      </c>
      <c r="T2485">
        <v>0</v>
      </c>
      <c r="U2485">
        <v>1</v>
      </c>
      <c r="V2485">
        <v>0</v>
      </c>
      <c r="W2485">
        <v>0</v>
      </c>
      <c r="X2485" s="21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J2485" t="s">
        <v>51</v>
      </c>
      <c r="AK2485" t="s">
        <v>52</v>
      </c>
      <c r="AP2485" t="s">
        <v>541</v>
      </c>
    </row>
    <row r="2486" spans="1:42">
      <c r="A2486" s="1">
        <v>43853</v>
      </c>
      <c r="B2486">
        <v>4</v>
      </c>
      <c r="C2486">
        <v>226</v>
      </c>
      <c r="D2486">
        <v>14474</v>
      </c>
      <c r="E2486" t="s">
        <v>112</v>
      </c>
      <c r="F2486" t="s">
        <v>104</v>
      </c>
      <c r="G2486">
        <v>4</v>
      </c>
      <c r="H2486">
        <v>38</v>
      </c>
      <c r="I2486" s="25">
        <v>1790</v>
      </c>
      <c r="K2486" t="s">
        <v>647</v>
      </c>
      <c r="L2486" t="s">
        <v>114</v>
      </c>
      <c r="M2486" t="s">
        <v>52</v>
      </c>
      <c r="N2486" t="s">
        <v>44</v>
      </c>
      <c r="O2486">
        <v>210</v>
      </c>
      <c r="Q2486">
        <f t="shared" si="71"/>
        <v>3</v>
      </c>
      <c r="S2486">
        <v>0</v>
      </c>
      <c r="T2486">
        <v>0</v>
      </c>
      <c r="U2486">
        <v>0</v>
      </c>
      <c r="V2486">
        <v>0</v>
      </c>
      <c r="W2486">
        <v>3</v>
      </c>
      <c r="X2486" s="21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J2486" t="s">
        <v>51</v>
      </c>
      <c r="AK2486" t="s">
        <v>52</v>
      </c>
      <c r="AL2486" t="s">
        <v>648</v>
      </c>
      <c r="AP2486" t="s">
        <v>541</v>
      </c>
    </row>
    <row r="2487" spans="1:42">
      <c r="A2487" s="1">
        <v>43853</v>
      </c>
      <c r="B2487">
        <v>4</v>
      </c>
      <c r="C2487">
        <v>226</v>
      </c>
      <c r="D2487">
        <v>14474</v>
      </c>
      <c r="E2487" t="s">
        <v>112</v>
      </c>
      <c r="F2487" t="s">
        <v>104</v>
      </c>
      <c r="G2487">
        <v>4</v>
      </c>
      <c r="H2487">
        <v>39</v>
      </c>
      <c r="I2487" s="25">
        <v>1795</v>
      </c>
      <c r="K2487" t="s">
        <v>605</v>
      </c>
      <c r="L2487" t="s">
        <v>141</v>
      </c>
      <c r="M2487" t="s">
        <v>52</v>
      </c>
      <c r="N2487" t="s">
        <v>40</v>
      </c>
      <c r="O2487">
        <v>195</v>
      </c>
      <c r="Q2487">
        <f t="shared" si="71"/>
        <v>2</v>
      </c>
      <c r="S2487">
        <v>0</v>
      </c>
      <c r="T2487">
        <v>0</v>
      </c>
      <c r="U2487">
        <v>1</v>
      </c>
      <c r="V2487">
        <v>1</v>
      </c>
      <c r="W2487">
        <v>0</v>
      </c>
      <c r="X2487" s="21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J2487" t="s">
        <v>51</v>
      </c>
      <c r="AK2487" t="s">
        <v>52</v>
      </c>
      <c r="AP2487" t="s">
        <v>541</v>
      </c>
    </row>
    <row r="2488" spans="1:42">
      <c r="A2488" s="1">
        <v>43853</v>
      </c>
      <c r="B2488">
        <v>4</v>
      </c>
      <c r="C2488">
        <v>226</v>
      </c>
      <c r="D2488">
        <v>14474</v>
      </c>
      <c r="E2488" t="s">
        <v>112</v>
      </c>
      <c r="F2488" t="s">
        <v>104</v>
      </c>
      <c r="G2488">
        <v>4</v>
      </c>
      <c r="H2488">
        <v>40</v>
      </c>
      <c r="I2488" s="25">
        <v>1751</v>
      </c>
      <c r="K2488" t="s">
        <v>605</v>
      </c>
      <c r="L2488" t="s">
        <v>141</v>
      </c>
      <c r="M2488" t="s">
        <v>52</v>
      </c>
      <c r="N2488" t="s">
        <v>44</v>
      </c>
      <c r="O2488">
        <v>335</v>
      </c>
      <c r="Q2488">
        <f t="shared" si="71"/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 s="21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1</v>
      </c>
      <c r="AG2488">
        <v>1</v>
      </c>
      <c r="AJ2488" t="s">
        <v>51</v>
      </c>
      <c r="AK2488" t="s">
        <v>52</v>
      </c>
      <c r="AP2488" t="s">
        <v>541</v>
      </c>
    </row>
    <row r="2489" spans="1:42">
      <c r="A2489" s="1">
        <v>43853</v>
      </c>
      <c r="B2489">
        <v>4</v>
      </c>
      <c r="C2489">
        <v>226</v>
      </c>
      <c r="D2489">
        <v>14474</v>
      </c>
      <c r="E2489" t="s">
        <v>112</v>
      </c>
      <c r="F2489" t="s">
        <v>104</v>
      </c>
      <c r="G2489">
        <v>4</v>
      </c>
      <c r="H2489">
        <v>41</v>
      </c>
      <c r="I2489" s="25">
        <v>1745</v>
      </c>
      <c r="K2489" t="s">
        <v>605</v>
      </c>
      <c r="L2489" t="s">
        <v>141</v>
      </c>
      <c r="M2489" t="s">
        <v>52</v>
      </c>
      <c r="N2489" t="s">
        <v>44</v>
      </c>
      <c r="O2489">
        <v>157</v>
      </c>
      <c r="Q2489">
        <f t="shared" ref="Q2489:Q2552" si="72">SUM(S2489:AC2489)</f>
        <v>3</v>
      </c>
      <c r="S2489">
        <v>0</v>
      </c>
      <c r="T2489">
        <v>0</v>
      </c>
      <c r="U2489">
        <v>0</v>
      </c>
      <c r="V2489">
        <v>3</v>
      </c>
      <c r="W2489">
        <v>0</v>
      </c>
      <c r="X2489" s="21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J2489" t="s">
        <v>51</v>
      </c>
      <c r="AK2489" t="s">
        <v>52</v>
      </c>
      <c r="AP2489" t="s">
        <v>541</v>
      </c>
    </row>
    <row r="2490" spans="1:42">
      <c r="A2490" s="1">
        <v>43853</v>
      </c>
      <c r="B2490">
        <v>4</v>
      </c>
      <c r="C2490">
        <v>226</v>
      </c>
      <c r="D2490">
        <v>14474</v>
      </c>
      <c r="E2490" t="s">
        <v>112</v>
      </c>
      <c r="F2490" t="s">
        <v>104</v>
      </c>
      <c r="G2490">
        <v>4</v>
      </c>
      <c r="H2490">
        <v>42</v>
      </c>
      <c r="I2490" s="25">
        <v>2006</v>
      </c>
      <c r="K2490" t="s">
        <v>516</v>
      </c>
      <c r="L2490" t="s">
        <v>114</v>
      </c>
      <c r="M2490" t="s">
        <v>52</v>
      </c>
      <c r="N2490" t="s">
        <v>44</v>
      </c>
      <c r="O2490">
        <v>43</v>
      </c>
      <c r="Q2490">
        <f t="shared" si="72"/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 s="21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1</v>
      </c>
      <c r="AG2490">
        <v>0</v>
      </c>
      <c r="AJ2490" t="s">
        <v>51</v>
      </c>
      <c r="AK2490" t="s">
        <v>52</v>
      </c>
      <c r="AP2490" t="s">
        <v>541</v>
      </c>
    </row>
    <row r="2491" spans="1:42">
      <c r="A2491" s="1">
        <v>43853</v>
      </c>
      <c r="B2491">
        <v>4</v>
      </c>
      <c r="C2491">
        <v>226</v>
      </c>
      <c r="D2491">
        <v>14474</v>
      </c>
      <c r="E2491" t="s">
        <v>112</v>
      </c>
      <c r="F2491" t="s">
        <v>104</v>
      </c>
      <c r="G2491">
        <v>4</v>
      </c>
      <c r="H2491">
        <v>43</v>
      </c>
      <c r="I2491" s="25">
        <v>1927</v>
      </c>
      <c r="K2491" t="s">
        <v>516</v>
      </c>
      <c r="L2491" t="s">
        <v>141</v>
      </c>
      <c r="M2491" t="s">
        <v>52</v>
      </c>
      <c r="N2491" t="s">
        <v>44</v>
      </c>
      <c r="O2491">
        <v>102</v>
      </c>
      <c r="Q2491">
        <f t="shared" si="72"/>
        <v>1</v>
      </c>
      <c r="S2491">
        <v>0</v>
      </c>
      <c r="T2491">
        <v>0</v>
      </c>
      <c r="U2491">
        <v>0</v>
      </c>
      <c r="V2491">
        <v>1</v>
      </c>
      <c r="W2491">
        <v>0</v>
      </c>
      <c r="X2491" s="2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J2491" t="s">
        <v>51</v>
      </c>
      <c r="AK2491" t="s">
        <v>52</v>
      </c>
      <c r="AL2491" t="s">
        <v>611</v>
      </c>
      <c r="AP2491" t="s">
        <v>541</v>
      </c>
    </row>
    <row r="2492" spans="1:42">
      <c r="A2492" s="1">
        <v>43853</v>
      </c>
      <c r="B2492">
        <v>4</v>
      </c>
      <c r="C2492">
        <v>226</v>
      </c>
      <c r="D2492">
        <v>14474</v>
      </c>
      <c r="E2492" t="s">
        <v>112</v>
      </c>
      <c r="F2492" t="s">
        <v>104</v>
      </c>
      <c r="G2492">
        <v>4</v>
      </c>
      <c r="H2492">
        <v>44</v>
      </c>
      <c r="I2492" s="25">
        <v>1927</v>
      </c>
      <c r="K2492" t="s">
        <v>516</v>
      </c>
      <c r="L2492" t="s">
        <v>141</v>
      </c>
      <c r="M2492" t="s">
        <v>52</v>
      </c>
      <c r="N2492" t="s">
        <v>44</v>
      </c>
      <c r="O2492">
        <v>47</v>
      </c>
      <c r="Q2492">
        <f t="shared" si="72"/>
        <v>2</v>
      </c>
      <c r="S2492">
        <v>0</v>
      </c>
      <c r="T2492">
        <v>0</v>
      </c>
      <c r="U2492">
        <v>1</v>
      </c>
      <c r="V2492">
        <v>1</v>
      </c>
      <c r="W2492">
        <v>0</v>
      </c>
      <c r="X2492" s="21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J2492" t="s">
        <v>51</v>
      </c>
      <c r="AK2492" t="s">
        <v>52</v>
      </c>
      <c r="AL2492" t="s">
        <v>611</v>
      </c>
      <c r="AP2492" t="s">
        <v>541</v>
      </c>
    </row>
    <row r="2493" spans="1:42">
      <c r="A2493" s="1">
        <v>43853</v>
      </c>
      <c r="B2493">
        <v>4</v>
      </c>
      <c r="C2493">
        <v>226</v>
      </c>
      <c r="D2493">
        <v>14474</v>
      </c>
      <c r="E2493" t="s">
        <v>112</v>
      </c>
      <c r="F2493" t="s">
        <v>104</v>
      </c>
      <c r="G2493">
        <v>4</v>
      </c>
      <c r="H2493">
        <v>45</v>
      </c>
      <c r="I2493" s="25">
        <v>1909</v>
      </c>
      <c r="K2493" t="s">
        <v>516</v>
      </c>
      <c r="L2493" t="s">
        <v>141</v>
      </c>
      <c r="M2493" t="s">
        <v>52</v>
      </c>
      <c r="N2493" t="s">
        <v>40</v>
      </c>
      <c r="O2493">
        <v>65</v>
      </c>
      <c r="Q2493">
        <f t="shared" si="72"/>
        <v>4</v>
      </c>
      <c r="S2493">
        <v>0</v>
      </c>
      <c r="T2493">
        <v>0</v>
      </c>
      <c r="U2493">
        <v>4</v>
      </c>
      <c r="V2493">
        <v>0</v>
      </c>
      <c r="W2493">
        <v>0</v>
      </c>
      <c r="X2493" s="21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J2493" t="s">
        <v>54</v>
      </c>
      <c r="AK2493" t="s">
        <v>52</v>
      </c>
      <c r="AP2493" t="s">
        <v>541</v>
      </c>
    </row>
    <row r="2494" spans="1:42">
      <c r="A2494" s="1">
        <v>43853</v>
      </c>
      <c r="B2494">
        <v>4</v>
      </c>
      <c r="C2494">
        <v>226</v>
      </c>
      <c r="D2494">
        <v>14474</v>
      </c>
      <c r="E2494" t="s">
        <v>112</v>
      </c>
      <c r="F2494" t="s">
        <v>104</v>
      </c>
      <c r="G2494">
        <v>4</v>
      </c>
      <c r="H2494">
        <v>46</v>
      </c>
      <c r="I2494" s="25">
        <v>1860</v>
      </c>
      <c r="K2494" t="s">
        <v>516</v>
      </c>
      <c r="L2494" t="s">
        <v>114</v>
      </c>
      <c r="M2494" t="s">
        <v>52</v>
      </c>
      <c r="N2494" t="s">
        <v>44</v>
      </c>
      <c r="O2494">
        <v>134</v>
      </c>
      <c r="Q2494">
        <f t="shared" si="72"/>
        <v>2</v>
      </c>
      <c r="S2494">
        <v>0</v>
      </c>
      <c r="T2494">
        <v>0</v>
      </c>
      <c r="U2494">
        <v>0</v>
      </c>
      <c r="V2494">
        <v>1</v>
      </c>
      <c r="W2494">
        <v>1</v>
      </c>
      <c r="X2494" s="21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J2494" t="s">
        <v>54</v>
      </c>
      <c r="AK2494" t="s">
        <v>52</v>
      </c>
      <c r="AL2494" t="s">
        <v>590</v>
      </c>
      <c r="AP2494" t="s">
        <v>541</v>
      </c>
    </row>
    <row r="2495" spans="1:42">
      <c r="A2495" s="1">
        <v>43853</v>
      </c>
      <c r="B2495">
        <v>4</v>
      </c>
      <c r="C2495">
        <v>226</v>
      </c>
      <c r="D2495">
        <v>14474</v>
      </c>
      <c r="E2495" t="s">
        <v>112</v>
      </c>
      <c r="F2495" t="s">
        <v>104</v>
      </c>
      <c r="G2495">
        <v>4</v>
      </c>
      <c r="H2495">
        <v>47</v>
      </c>
      <c r="I2495" s="25">
        <v>1840</v>
      </c>
      <c r="K2495" t="s">
        <v>516</v>
      </c>
      <c r="L2495" t="s">
        <v>114</v>
      </c>
      <c r="M2495" t="s">
        <v>52</v>
      </c>
      <c r="N2495" t="s">
        <v>44</v>
      </c>
      <c r="O2495">
        <v>139</v>
      </c>
      <c r="Q2495">
        <f t="shared" si="72"/>
        <v>2</v>
      </c>
      <c r="S2495">
        <v>0</v>
      </c>
      <c r="T2495">
        <v>0</v>
      </c>
      <c r="U2495">
        <v>0</v>
      </c>
      <c r="V2495">
        <v>0</v>
      </c>
      <c r="W2495">
        <v>2</v>
      </c>
      <c r="X2495" s="21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J2495" t="s">
        <v>54</v>
      </c>
      <c r="AK2495" t="s">
        <v>52</v>
      </c>
      <c r="AL2495" t="s">
        <v>636</v>
      </c>
      <c r="AP2495" t="s">
        <v>541</v>
      </c>
    </row>
    <row r="2496" spans="1:42">
      <c r="A2496" s="1">
        <v>43853</v>
      </c>
      <c r="B2496">
        <v>4</v>
      </c>
      <c r="C2496">
        <v>226</v>
      </c>
      <c r="D2496">
        <v>14474</v>
      </c>
      <c r="E2496" t="s">
        <v>112</v>
      </c>
      <c r="F2496" t="s">
        <v>104</v>
      </c>
      <c r="G2496">
        <v>4</v>
      </c>
      <c r="H2496">
        <v>48</v>
      </c>
      <c r="I2496" s="25">
        <v>1850</v>
      </c>
      <c r="K2496" t="s">
        <v>647</v>
      </c>
      <c r="L2496" t="s">
        <v>114</v>
      </c>
      <c r="M2496" t="s">
        <v>52</v>
      </c>
      <c r="N2496" t="s">
        <v>44</v>
      </c>
      <c r="O2496">
        <f>60*7+7</f>
        <v>427</v>
      </c>
      <c r="Q2496">
        <f t="shared" si="72"/>
        <v>3</v>
      </c>
      <c r="S2496">
        <v>0</v>
      </c>
      <c r="T2496">
        <v>0</v>
      </c>
      <c r="U2496">
        <v>0</v>
      </c>
      <c r="V2496">
        <v>0</v>
      </c>
      <c r="W2496">
        <v>3</v>
      </c>
      <c r="X2496" s="21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J2496" t="s">
        <v>54</v>
      </c>
      <c r="AK2496" t="s">
        <v>52</v>
      </c>
      <c r="AL2496" t="s">
        <v>636</v>
      </c>
      <c r="AP2496" t="s">
        <v>541</v>
      </c>
    </row>
    <row r="2497" spans="1:42">
      <c r="A2497" s="1">
        <v>43853</v>
      </c>
      <c r="B2497">
        <v>4</v>
      </c>
      <c r="C2497">
        <v>226</v>
      </c>
      <c r="D2497">
        <v>14474</v>
      </c>
      <c r="E2497" t="s">
        <v>112</v>
      </c>
      <c r="F2497" t="s">
        <v>104</v>
      </c>
      <c r="G2497">
        <v>4</v>
      </c>
      <c r="H2497">
        <v>49</v>
      </c>
      <c r="I2497" s="25">
        <v>1885</v>
      </c>
      <c r="K2497" t="s">
        <v>647</v>
      </c>
      <c r="L2497" t="s">
        <v>141</v>
      </c>
      <c r="M2497" t="s">
        <v>52</v>
      </c>
      <c r="N2497" t="s">
        <v>44</v>
      </c>
      <c r="O2497">
        <v>57</v>
      </c>
      <c r="Q2497">
        <f t="shared" si="72"/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 s="21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1</v>
      </c>
      <c r="AJ2497" t="s">
        <v>54</v>
      </c>
      <c r="AK2497" t="s">
        <v>52</v>
      </c>
      <c r="AL2497" t="s">
        <v>641</v>
      </c>
      <c r="AP2497" t="s">
        <v>541</v>
      </c>
    </row>
    <row r="2498" spans="1:42">
      <c r="A2498" s="1">
        <v>43853</v>
      </c>
      <c r="B2498">
        <v>4</v>
      </c>
      <c r="C2498">
        <v>226</v>
      </c>
      <c r="D2498">
        <v>14474</v>
      </c>
      <c r="E2498" t="s">
        <v>112</v>
      </c>
      <c r="F2498" t="s">
        <v>104</v>
      </c>
      <c r="G2498">
        <v>4</v>
      </c>
      <c r="H2498">
        <v>50</v>
      </c>
      <c r="I2498" s="25">
        <v>1885</v>
      </c>
      <c r="K2498" t="s">
        <v>605</v>
      </c>
      <c r="L2498" t="s">
        <v>141</v>
      </c>
      <c r="M2498" t="s">
        <v>52</v>
      </c>
      <c r="N2498" t="s">
        <v>44</v>
      </c>
      <c r="O2498">
        <v>170</v>
      </c>
      <c r="Q2498">
        <f t="shared" si="72"/>
        <v>1</v>
      </c>
      <c r="S2498">
        <v>0</v>
      </c>
      <c r="T2498">
        <v>0</v>
      </c>
      <c r="U2498">
        <v>0</v>
      </c>
      <c r="V2498">
        <v>1</v>
      </c>
      <c r="W2498">
        <v>0</v>
      </c>
      <c r="X2498" s="21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J2498" t="s">
        <v>51</v>
      </c>
      <c r="AK2498" t="s">
        <v>52</v>
      </c>
      <c r="AL2498" t="s">
        <v>611</v>
      </c>
      <c r="AP2498" t="s">
        <v>541</v>
      </c>
    </row>
    <row r="2499" spans="1:42">
      <c r="A2499" s="1">
        <v>43853</v>
      </c>
      <c r="B2499">
        <v>4</v>
      </c>
      <c r="C2499">
        <v>226</v>
      </c>
      <c r="D2499">
        <v>14474</v>
      </c>
      <c r="E2499" t="s">
        <v>112</v>
      </c>
      <c r="F2499" t="s">
        <v>104</v>
      </c>
      <c r="G2499">
        <v>4</v>
      </c>
      <c r="H2499">
        <v>51</v>
      </c>
      <c r="I2499" s="25">
        <v>1837</v>
      </c>
      <c r="K2499" t="s">
        <v>605</v>
      </c>
      <c r="L2499" t="s">
        <v>141</v>
      </c>
      <c r="M2499" t="s">
        <v>52</v>
      </c>
      <c r="N2499" t="s">
        <v>40</v>
      </c>
      <c r="O2499">
        <v>35</v>
      </c>
      <c r="Q2499">
        <f t="shared" si="72"/>
        <v>2</v>
      </c>
      <c r="S2499">
        <v>0</v>
      </c>
      <c r="T2499">
        <v>0</v>
      </c>
      <c r="U2499">
        <v>1</v>
      </c>
      <c r="V2499">
        <v>1</v>
      </c>
      <c r="W2499">
        <v>0</v>
      </c>
      <c r="X2499" s="21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J2499" t="s">
        <v>51</v>
      </c>
      <c r="AK2499" t="s">
        <v>52</v>
      </c>
      <c r="AP2499" t="s">
        <v>541</v>
      </c>
    </row>
    <row r="2500" spans="1:42">
      <c r="A2500" s="1">
        <v>43853</v>
      </c>
      <c r="B2500">
        <v>4</v>
      </c>
      <c r="C2500">
        <v>226</v>
      </c>
      <c r="D2500">
        <v>14474</v>
      </c>
      <c r="E2500" t="s">
        <v>112</v>
      </c>
      <c r="F2500" t="s">
        <v>104</v>
      </c>
      <c r="G2500">
        <v>4</v>
      </c>
      <c r="H2500">
        <v>52</v>
      </c>
      <c r="I2500" s="25">
        <v>1835</v>
      </c>
      <c r="K2500" t="s">
        <v>605</v>
      </c>
      <c r="L2500" t="s">
        <v>141</v>
      </c>
      <c r="M2500" t="s">
        <v>52</v>
      </c>
      <c r="N2500" t="s">
        <v>44</v>
      </c>
      <c r="O2500">
        <v>173</v>
      </c>
      <c r="Q2500">
        <f t="shared" si="72"/>
        <v>3</v>
      </c>
      <c r="S2500">
        <v>0</v>
      </c>
      <c r="T2500">
        <v>0</v>
      </c>
      <c r="U2500">
        <v>1</v>
      </c>
      <c r="V2500">
        <v>1</v>
      </c>
      <c r="W2500">
        <v>1</v>
      </c>
      <c r="X2500" s="21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J2500" t="s">
        <v>51</v>
      </c>
      <c r="AK2500" t="s">
        <v>52</v>
      </c>
      <c r="AL2500" t="s">
        <v>611</v>
      </c>
      <c r="AP2500" t="s">
        <v>541</v>
      </c>
    </row>
    <row r="2501" spans="1:42">
      <c r="A2501" s="1">
        <v>43853</v>
      </c>
      <c r="B2501">
        <v>4</v>
      </c>
      <c r="C2501">
        <v>226</v>
      </c>
      <c r="D2501">
        <v>14474</v>
      </c>
      <c r="E2501" t="s">
        <v>112</v>
      </c>
      <c r="F2501" t="s">
        <v>104</v>
      </c>
      <c r="G2501">
        <v>4</v>
      </c>
      <c r="H2501">
        <v>53</v>
      </c>
      <c r="I2501" s="25">
        <v>1750</v>
      </c>
      <c r="K2501" t="s">
        <v>605</v>
      </c>
      <c r="L2501" t="s">
        <v>114</v>
      </c>
      <c r="M2501" t="s">
        <v>52</v>
      </c>
      <c r="N2501" t="s">
        <v>44</v>
      </c>
      <c r="O2501">
        <v>203</v>
      </c>
      <c r="Q2501">
        <f t="shared" si="72"/>
        <v>2</v>
      </c>
      <c r="S2501">
        <v>0</v>
      </c>
      <c r="T2501">
        <v>0</v>
      </c>
      <c r="U2501">
        <v>0</v>
      </c>
      <c r="V2501">
        <v>1</v>
      </c>
      <c r="W2501">
        <v>1</v>
      </c>
      <c r="X2501" s="2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J2501" t="s">
        <v>51</v>
      </c>
      <c r="AK2501" t="s">
        <v>52</v>
      </c>
      <c r="AL2501" t="s">
        <v>611</v>
      </c>
      <c r="AP2501" t="s">
        <v>541</v>
      </c>
    </row>
    <row r="2502" spans="1:42">
      <c r="A2502" s="1">
        <v>43853</v>
      </c>
      <c r="B2502">
        <v>4</v>
      </c>
      <c r="C2502">
        <v>226</v>
      </c>
      <c r="D2502">
        <v>14474</v>
      </c>
      <c r="E2502" t="s">
        <v>112</v>
      </c>
      <c r="F2502" t="s">
        <v>104</v>
      </c>
      <c r="G2502">
        <v>4</v>
      </c>
      <c r="H2502">
        <v>54</v>
      </c>
      <c r="I2502" s="25">
        <v>1760</v>
      </c>
      <c r="K2502" t="s">
        <v>605</v>
      </c>
      <c r="L2502" t="s">
        <v>114</v>
      </c>
      <c r="M2502" t="s">
        <v>52</v>
      </c>
      <c r="N2502" t="s">
        <v>44</v>
      </c>
      <c r="O2502">
        <v>306</v>
      </c>
      <c r="Q2502">
        <f t="shared" si="72"/>
        <v>3</v>
      </c>
      <c r="S2502">
        <v>0</v>
      </c>
      <c r="T2502">
        <v>0</v>
      </c>
      <c r="U2502">
        <v>0</v>
      </c>
      <c r="V2502">
        <v>2</v>
      </c>
      <c r="W2502">
        <v>1</v>
      </c>
      <c r="X2502" s="21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J2502" t="s">
        <v>51</v>
      </c>
      <c r="AK2502" t="s">
        <v>52</v>
      </c>
      <c r="AL2502" t="s">
        <v>611</v>
      </c>
      <c r="AP2502" t="s">
        <v>541</v>
      </c>
    </row>
    <row r="2503" spans="1:42">
      <c r="A2503" s="1">
        <v>43853</v>
      </c>
      <c r="B2503">
        <v>4</v>
      </c>
      <c r="C2503">
        <v>226</v>
      </c>
      <c r="D2503">
        <v>14474</v>
      </c>
      <c r="E2503" t="s">
        <v>112</v>
      </c>
      <c r="F2503" t="s">
        <v>104</v>
      </c>
      <c r="G2503">
        <v>4</v>
      </c>
      <c r="H2503">
        <v>55</v>
      </c>
      <c r="I2503" s="25">
        <v>1834</v>
      </c>
      <c r="K2503" t="s">
        <v>605</v>
      </c>
      <c r="L2503" t="s">
        <v>114</v>
      </c>
      <c r="M2503" t="s">
        <v>52</v>
      </c>
      <c r="N2503" t="s">
        <v>40</v>
      </c>
      <c r="O2503">
        <v>115</v>
      </c>
      <c r="Q2503">
        <f t="shared" si="72"/>
        <v>3</v>
      </c>
      <c r="S2503">
        <v>0</v>
      </c>
      <c r="T2503">
        <v>0</v>
      </c>
      <c r="U2503">
        <v>1</v>
      </c>
      <c r="V2503">
        <v>1</v>
      </c>
      <c r="W2503">
        <v>1</v>
      </c>
      <c r="X2503" s="21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J2503" t="s">
        <v>51</v>
      </c>
      <c r="AK2503" t="s">
        <v>52</v>
      </c>
      <c r="AP2503" t="s">
        <v>541</v>
      </c>
    </row>
    <row r="2504" spans="1:42">
      <c r="A2504" s="1">
        <v>43853</v>
      </c>
      <c r="B2504">
        <v>4</v>
      </c>
      <c r="C2504">
        <v>226</v>
      </c>
      <c r="D2504">
        <v>14474</v>
      </c>
      <c r="E2504" t="s">
        <v>112</v>
      </c>
      <c r="F2504" t="s">
        <v>104</v>
      </c>
      <c r="G2504">
        <v>4</v>
      </c>
      <c r="H2504">
        <v>56</v>
      </c>
      <c r="I2504" s="25">
        <v>1870</v>
      </c>
      <c r="K2504" t="s">
        <v>605</v>
      </c>
      <c r="L2504" t="s">
        <v>114</v>
      </c>
      <c r="M2504" t="s">
        <v>52</v>
      </c>
      <c r="N2504" t="s">
        <v>44</v>
      </c>
      <c r="Q2504">
        <f t="shared" si="72"/>
        <v>7</v>
      </c>
      <c r="S2504">
        <v>0</v>
      </c>
      <c r="T2504">
        <v>0</v>
      </c>
      <c r="U2504">
        <v>0</v>
      </c>
      <c r="V2504">
        <v>2</v>
      </c>
      <c r="W2504">
        <v>5</v>
      </c>
      <c r="X2504" s="21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J2504" t="s">
        <v>51</v>
      </c>
      <c r="AK2504" t="s">
        <v>52</v>
      </c>
      <c r="AL2504" t="s">
        <v>616</v>
      </c>
      <c r="AP2504" t="s">
        <v>541</v>
      </c>
    </row>
    <row r="2505" spans="1:42">
      <c r="A2505" s="1">
        <v>43853</v>
      </c>
      <c r="B2505">
        <v>4</v>
      </c>
      <c r="C2505">
        <v>226</v>
      </c>
      <c r="D2505">
        <v>14474</v>
      </c>
      <c r="E2505" t="s">
        <v>112</v>
      </c>
      <c r="F2505" t="s">
        <v>104</v>
      </c>
      <c r="G2505">
        <v>4</v>
      </c>
      <c r="H2505">
        <v>57</v>
      </c>
      <c r="I2505" s="25">
        <v>1615</v>
      </c>
      <c r="K2505" t="s">
        <v>638</v>
      </c>
      <c r="L2505" t="s">
        <v>141</v>
      </c>
      <c r="M2505" t="s">
        <v>52</v>
      </c>
      <c r="N2505" t="s">
        <v>44</v>
      </c>
      <c r="O2505">
        <v>120</v>
      </c>
      <c r="Q2505">
        <f t="shared" si="72"/>
        <v>3</v>
      </c>
      <c r="S2505">
        <v>0</v>
      </c>
      <c r="T2505">
        <v>0</v>
      </c>
      <c r="U2505">
        <v>0</v>
      </c>
      <c r="V2505">
        <v>0</v>
      </c>
      <c r="W2505">
        <v>3</v>
      </c>
      <c r="X2505" s="21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J2505" t="s">
        <v>51</v>
      </c>
      <c r="AK2505" t="s">
        <v>52</v>
      </c>
      <c r="AL2505" t="s">
        <v>616</v>
      </c>
      <c r="AP2505" t="s">
        <v>541</v>
      </c>
    </row>
    <row r="2506" spans="1:42">
      <c r="A2506" s="1">
        <v>43857</v>
      </c>
      <c r="B2506">
        <v>1</v>
      </c>
      <c r="C2506">
        <v>246</v>
      </c>
      <c r="D2506">
        <v>14389</v>
      </c>
      <c r="E2506" t="s">
        <v>112</v>
      </c>
      <c r="F2506" t="s">
        <v>90</v>
      </c>
      <c r="G2506">
        <v>4</v>
      </c>
      <c r="H2506">
        <v>1</v>
      </c>
      <c r="I2506" s="25">
        <v>2498</v>
      </c>
      <c r="K2506" t="s">
        <v>414</v>
      </c>
      <c r="L2506" t="s">
        <v>114</v>
      </c>
      <c r="M2506" t="s">
        <v>52</v>
      </c>
      <c r="N2506" t="s">
        <v>40</v>
      </c>
      <c r="O2506">
        <v>93</v>
      </c>
      <c r="Q2506">
        <f t="shared" si="72"/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 s="21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J2506" t="s">
        <v>51</v>
      </c>
      <c r="AK2506" t="s">
        <v>95</v>
      </c>
      <c r="AL2506" t="s">
        <v>649</v>
      </c>
      <c r="AP2506" t="s">
        <v>541</v>
      </c>
    </row>
    <row r="2507" spans="1:42">
      <c r="A2507" s="1">
        <v>43857</v>
      </c>
      <c r="B2507">
        <v>1</v>
      </c>
      <c r="C2507">
        <v>246</v>
      </c>
      <c r="D2507">
        <v>14389</v>
      </c>
      <c r="E2507" t="s">
        <v>112</v>
      </c>
      <c r="F2507" t="s">
        <v>90</v>
      </c>
      <c r="G2507">
        <v>4</v>
      </c>
      <c r="H2507">
        <v>2</v>
      </c>
      <c r="I2507" s="25">
        <v>1524</v>
      </c>
      <c r="K2507" t="s">
        <v>414</v>
      </c>
      <c r="L2507" t="s">
        <v>114</v>
      </c>
      <c r="M2507" t="s">
        <v>52</v>
      </c>
      <c r="N2507" t="s">
        <v>40</v>
      </c>
      <c r="O2507">
        <v>47</v>
      </c>
      <c r="Q2507">
        <f t="shared" si="72"/>
        <v>1</v>
      </c>
      <c r="S2507">
        <v>0</v>
      </c>
      <c r="T2507">
        <v>0</v>
      </c>
      <c r="U2507">
        <v>0</v>
      </c>
      <c r="V2507">
        <v>0</v>
      </c>
      <c r="W2507">
        <v>1</v>
      </c>
      <c r="X2507" s="21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J2507" t="s">
        <v>51</v>
      </c>
      <c r="AK2507" t="s">
        <v>95</v>
      </c>
      <c r="AP2507" t="s">
        <v>541</v>
      </c>
    </row>
    <row r="2508" spans="1:42">
      <c r="A2508" s="1">
        <v>43857</v>
      </c>
      <c r="B2508">
        <v>1</v>
      </c>
      <c r="C2508">
        <v>246</v>
      </c>
      <c r="D2508">
        <v>14389</v>
      </c>
      <c r="E2508" t="s">
        <v>112</v>
      </c>
      <c r="F2508" t="s">
        <v>90</v>
      </c>
      <c r="G2508">
        <v>4</v>
      </c>
      <c r="H2508">
        <v>3</v>
      </c>
      <c r="I2508" s="25">
        <v>1544</v>
      </c>
      <c r="K2508" t="s">
        <v>414</v>
      </c>
      <c r="L2508" t="s">
        <v>114</v>
      </c>
      <c r="M2508" t="s">
        <v>52</v>
      </c>
      <c r="N2508" t="s">
        <v>40</v>
      </c>
      <c r="O2508">
        <v>136</v>
      </c>
      <c r="Q2508">
        <f t="shared" si="72"/>
        <v>1</v>
      </c>
      <c r="S2508">
        <v>0</v>
      </c>
      <c r="T2508">
        <v>0</v>
      </c>
      <c r="U2508">
        <v>0</v>
      </c>
      <c r="V2508">
        <v>1</v>
      </c>
      <c r="W2508">
        <v>0</v>
      </c>
      <c r="X2508" s="21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J2508" t="s">
        <v>51</v>
      </c>
      <c r="AK2508" t="s">
        <v>52</v>
      </c>
      <c r="AL2508" t="s">
        <v>618</v>
      </c>
      <c r="AP2508" t="s">
        <v>541</v>
      </c>
    </row>
    <row r="2509" spans="1:42">
      <c r="A2509" s="1">
        <v>43857</v>
      </c>
      <c r="B2509">
        <v>1</v>
      </c>
      <c r="C2509">
        <v>246</v>
      </c>
      <c r="D2509">
        <v>14389</v>
      </c>
      <c r="E2509" t="s">
        <v>112</v>
      </c>
      <c r="F2509" t="s">
        <v>90</v>
      </c>
      <c r="G2509">
        <v>4</v>
      </c>
      <c r="H2509">
        <v>4</v>
      </c>
      <c r="I2509" s="25">
        <v>1544</v>
      </c>
      <c r="K2509" t="s">
        <v>414</v>
      </c>
      <c r="L2509" t="s">
        <v>114</v>
      </c>
      <c r="M2509" t="s">
        <v>52</v>
      </c>
      <c r="N2509" t="s">
        <v>44</v>
      </c>
      <c r="O2509">
        <v>371</v>
      </c>
      <c r="Q2509">
        <f t="shared" si="72"/>
        <v>2</v>
      </c>
      <c r="S2509">
        <v>0</v>
      </c>
      <c r="T2509">
        <v>0</v>
      </c>
      <c r="U2509">
        <v>0</v>
      </c>
      <c r="V2509">
        <v>0</v>
      </c>
      <c r="W2509">
        <v>2</v>
      </c>
      <c r="X2509" s="21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J2509" t="s">
        <v>51</v>
      </c>
      <c r="AK2509" t="s">
        <v>95</v>
      </c>
      <c r="AP2509" t="s">
        <v>541</v>
      </c>
    </row>
    <row r="2510" spans="1:42">
      <c r="A2510" s="1">
        <v>43857</v>
      </c>
      <c r="B2510">
        <v>1</v>
      </c>
      <c r="C2510">
        <v>246</v>
      </c>
      <c r="D2510">
        <v>14389</v>
      </c>
      <c r="E2510" t="s">
        <v>112</v>
      </c>
      <c r="F2510" t="s">
        <v>90</v>
      </c>
      <c r="G2510">
        <v>4</v>
      </c>
      <c r="H2510">
        <v>5</v>
      </c>
      <c r="I2510" s="25">
        <v>1548</v>
      </c>
      <c r="K2510" t="s">
        <v>414</v>
      </c>
      <c r="L2510" t="s">
        <v>114</v>
      </c>
      <c r="M2510" t="s">
        <v>52</v>
      </c>
      <c r="N2510" t="s">
        <v>40</v>
      </c>
      <c r="O2510">
        <v>89</v>
      </c>
      <c r="Q2510">
        <f t="shared" si="72"/>
        <v>4</v>
      </c>
      <c r="S2510">
        <v>0</v>
      </c>
      <c r="T2510">
        <v>0</v>
      </c>
      <c r="U2510">
        <v>2</v>
      </c>
      <c r="V2510">
        <v>0</v>
      </c>
      <c r="W2510">
        <v>2</v>
      </c>
      <c r="X2510" s="21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J2510" t="s">
        <v>51</v>
      </c>
      <c r="AK2510" t="s">
        <v>95</v>
      </c>
      <c r="AL2510" t="s">
        <v>649</v>
      </c>
      <c r="AP2510" t="s">
        <v>541</v>
      </c>
    </row>
    <row r="2511" spans="1:42">
      <c r="A2511" s="1">
        <v>43857</v>
      </c>
      <c r="B2511">
        <v>1</v>
      </c>
      <c r="C2511">
        <v>246</v>
      </c>
      <c r="D2511">
        <v>14389</v>
      </c>
      <c r="E2511" t="s">
        <v>112</v>
      </c>
      <c r="F2511" t="s">
        <v>90</v>
      </c>
      <c r="G2511">
        <v>4</v>
      </c>
      <c r="H2511">
        <v>6</v>
      </c>
      <c r="I2511" s="25">
        <v>1600</v>
      </c>
      <c r="K2511" t="s">
        <v>414</v>
      </c>
      <c r="L2511" t="s">
        <v>114</v>
      </c>
      <c r="M2511" t="s">
        <v>52</v>
      </c>
      <c r="N2511" t="s">
        <v>40</v>
      </c>
      <c r="O2511">
        <v>34</v>
      </c>
      <c r="Q2511">
        <f t="shared" si="72"/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 s="2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J2511" t="s">
        <v>51</v>
      </c>
      <c r="AK2511" t="s">
        <v>52</v>
      </c>
      <c r="AP2511" t="s">
        <v>541</v>
      </c>
    </row>
    <row r="2512" spans="1:42">
      <c r="A2512" s="1">
        <v>43857</v>
      </c>
      <c r="B2512">
        <v>1</v>
      </c>
      <c r="C2512">
        <v>246</v>
      </c>
      <c r="D2512">
        <v>14389</v>
      </c>
      <c r="E2512" t="s">
        <v>112</v>
      </c>
      <c r="F2512" t="s">
        <v>90</v>
      </c>
      <c r="G2512">
        <v>4</v>
      </c>
      <c r="H2512">
        <v>7</v>
      </c>
      <c r="I2512" s="25">
        <v>1622</v>
      </c>
      <c r="K2512" t="s">
        <v>414</v>
      </c>
      <c r="L2512" t="s">
        <v>114</v>
      </c>
      <c r="M2512" t="s">
        <v>52</v>
      </c>
      <c r="N2512" t="s">
        <v>40</v>
      </c>
      <c r="O2512">
        <v>114</v>
      </c>
      <c r="Q2512">
        <f t="shared" si="72"/>
        <v>3</v>
      </c>
      <c r="S2512">
        <v>0</v>
      </c>
      <c r="T2512">
        <v>0</v>
      </c>
      <c r="U2512">
        <v>0</v>
      </c>
      <c r="V2512">
        <v>1</v>
      </c>
      <c r="W2512">
        <v>2</v>
      </c>
      <c r="X2512" s="21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J2512" t="s">
        <v>51</v>
      </c>
      <c r="AK2512" t="s">
        <v>52</v>
      </c>
      <c r="AL2512" t="s">
        <v>649</v>
      </c>
      <c r="AP2512" t="s">
        <v>541</v>
      </c>
    </row>
    <row r="2513" spans="1:42">
      <c r="A2513" s="1">
        <v>43857</v>
      </c>
      <c r="B2513">
        <v>1</v>
      </c>
      <c r="C2513">
        <v>246</v>
      </c>
      <c r="D2513">
        <v>14389</v>
      </c>
      <c r="E2513" t="s">
        <v>112</v>
      </c>
      <c r="F2513" t="s">
        <v>90</v>
      </c>
      <c r="G2513">
        <v>4</v>
      </c>
      <c r="H2513">
        <v>8</v>
      </c>
      <c r="I2513" s="25">
        <v>1710</v>
      </c>
      <c r="K2513" t="s">
        <v>414</v>
      </c>
      <c r="L2513" t="s">
        <v>114</v>
      </c>
      <c r="M2513" t="s">
        <v>52</v>
      </c>
      <c r="N2513" t="s">
        <v>40</v>
      </c>
      <c r="O2513">
        <v>92</v>
      </c>
      <c r="Q2513">
        <f t="shared" si="72"/>
        <v>2</v>
      </c>
      <c r="S2513">
        <v>0</v>
      </c>
      <c r="T2513">
        <v>0</v>
      </c>
      <c r="U2513">
        <v>2</v>
      </c>
      <c r="V2513">
        <v>0</v>
      </c>
      <c r="W2513">
        <v>0</v>
      </c>
      <c r="X2513" s="21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J2513" t="s">
        <v>51</v>
      </c>
      <c r="AK2513" t="s">
        <v>52</v>
      </c>
      <c r="AP2513" t="s">
        <v>541</v>
      </c>
    </row>
    <row r="2514" spans="1:42">
      <c r="A2514" s="1">
        <v>43857</v>
      </c>
      <c r="B2514">
        <v>1</v>
      </c>
      <c r="C2514">
        <v>246</v>
      </c>
      <c r="D2514">
        <v>14389</v>
      </c>
      <c r="E2514" t="s">
        <v>112</v>
      </c>
      <c r="F2514" t="s">
        <v>90</v>
      </c>
      <c r="G2514">
        <v>4</v>
      </c>
      <c r="H2514">
        <v>9</v>
      </c>
      <c r="I2514" s="25">
        <v>1720</v>
      </c>
      <c r="K2514" t="s">
        <v>414</v>
      </c>
      <c r="L2514" t="s">
        <v>114</v>
      </c>
      <c r="M2514" t="s">
        <v>52</v>
      </c>
      <c r="N2514" t="s">
        <v>40</v>
      </c>
      <c r="O2514">
        <v>43</v>
      </c>
      <c r="Q2514">
        <f t="shared" si="72"/>
        <v>2</v>
      </c>
      <c r="S2514">
        <v>0</v>
      </c>
      <c r="T2514">
        <v>0</v>
      </c>
      <c r="U2514">
        <v>2</v>
      </c>
      <c r="V2514">
        <v>0</v>
      </c>
      <c r="W2514">
        <v>0</v>
      </c>
      <c r="X2514" s="21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J2514" t="s">
        <v>51</v>
      </c>
      <c r="AK2514" t="s">
        <v>52</v>
      </c>
      <c r="AP2514" t="s">
        <v>541</v>
      </c>
    </row>
    <row r="2515" spans="1:42">
      <c r="A2515" s="1">
        <v>43857</v>
      </c>
      <c r="B2515">
        <v>1</v>
      </c>
      <c r="C2515">
        <v>246</v>
      </c>
      <c r="D2515">
        <v>14389</v>
      </c>
      <c r="E2515" t="s">
        <v>112</v>
      </c>
      <c r="F2515" t="s">
        <v>90</v>
      </c>
      <c r="G2515">
        <v>4</v>
      </c>
      <c r="H2515">
        <v>10</v>
      </c>
      <c r="I2515" s="25">
        <v>1750</v>
      </c>
      <c r="K2515" t="s">
        <v>414</v>
      </c>
      <c r="L2515" t="s">
        <v>114</v>
      </c>
      <c r="M2515" t="s">
        <v>52</v>
      </c>
      <c r="N2515" t="s">
        <v>40</v>
      </c>
      <c r="O2515">
        <v>42</v>
      </c>
      <c r="Q2515">
        <f t="shared" si="72"/>
        <v>2</v>
      </c>
      <c r="S2515">
        <v>0</v>
      </c>
      <c r="T2515">
        <v>0</v>
      </c>
      <c r="U2515">
        <v>2</v>
      </c>
      <c r="V2515">
        <v>0</v>
      </c>
      <c r="W2515">
        <v>0</v>
      </c>
      <c r="X2515" s="21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1</v>
      </c>
      <c r="AG2515">
        <v>0</v>
      </c>
      <c r="AJ2515" t="s">
        <v>51</v>
      </c>
      <c r="AK2515" t="s">
        <v>52</v>
      </c>
      <c r="AP2515" t="s">
        <v>541</v>
      </c>
    </row>
    <row r="2516" spans="1:42">
      <c r="A2516" s="1">
        <v>43857</v>
      </c>
      <c r="B2516">
        <v>1</v>
      </c>
      <c r="C2516">
        <v>246</v>
      </c>
      <c r="D2516">
        <v>14389</v>
      </c>
      <c r="E2516" t="s">
        <v>112</v>
      </c>
      <c r="F2516" t="s">
        <v>90</v>
      </c>
      <c r="G2516">
        <v>4</v>
      </c>
      <c r="H2516">
        <v>11</v>
      </c>
      <c r="I2516" s="25">
        <v>1754</v>
      </c>
      <c r="K2516" t="s">
        <v>414</v>
      </c>
      <c r="L2516" t="s">
        <v>114</v>
      </c>
      <c r="M2516" t="s">
        <v>52</v>
      </c>
      <c r="N2516" t="s">
        <v>40</v>
      </c>
      <c r="O2516">
        <v>77</v>
      </c>
      <c r="Q2516">
        <f t="shared" si="72"/>
        <v>3</v>
      </c>
      <c r="S2516">
        <v>0</v>
      </c>
      <c r="T2516">
        <v>0</v>
      </c>
      <c r="U2516">
        <v>3</v>
      </c>
      <c r="V2516">
        <v>0</v>
      </c>
      <c r="W2516">
        <v>0</v>
      </c>
      <c r="X2516" s="21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J2516" t="s">
        <v>51</v>
      </c>
      <c r="AK2516" t="s">
        <v>52</v>
      </c>
      <c r="AL2516" t="s">
        <v>649</v>
      </c>
      <c r="AP2516" t="s">
        <v>541</v>
      </c>
    </row>
    <row r="2517" spans="1:42">
      <c r="A2517" s="1">
        <v>43857</v>
      </c>
      <c r="B2517">
        <v>1</v>
      </c>
      <c r="C2517">
        <v>246</v>
      </c>
      <c r="D2517">
        <v>14389</v>
      </c>
      <c r="E2517" t="s">
        <v>112</v>
      </c>
      <c r="F2517" t="s">
        <v>90</v>
      </c>
      <c r="G2517">
        <v>4</v>
      </c>
      <c r="H2517">
        <v>12</v>
      </c>
      <c r="I2517" s="25">
        <v>1800</v>
      </c>
      <c r="K2517" t="s">
        <v>414</v>
      </c>
      <c r="L2517" t="s">
        <v>114</v>
      </c>
      <c r="M2517" t="s">
        <v>52</v>
      </c>
      <c r="N2517" t="s">
        <v>40</v>
      </c>
      <c r="O2517">
        <v>29</v>
      </c>
      <c r="Q2517">
        <f t="shared" si="72"/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 s="21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J2517" t="s">
        <v>51</v>
      </c>
      <c r="AK2517" t="s">
        <v>52</v>
      </c>
      <c r="AL2517" t="s">
        <v>649</v>
      </c>
      <c r="AP2517" t="s">
        <v>541</v>
      </c>
    </row>
    <row r="2518" spans="1:42">
      <c r="A2518" s="1">
        <v>43857</v>
      </c>
      <c r="B2518">
        <v>1</v>
      </c>
      <c r="C2518">
        <v>246</v>
      </c>
      <c r="D2518">
        <v>14389</v>
      </c>
      <c r="E2518" t="s">
        <v>112</v>
      </c>
      <c r="F2518" t="s">
        <v>90</v>
      </c>
      <c r="G2518">
        <v>4</v>
      </c>
      <c r="H2518">
        <v>13</v>
      </c>
      <c r="I2518" s="25">
        <v>1900</v>
      </c>
      <c r="K2518" t="s">
        <v>414</v>
      </c>
      <c r="L2518" t="s">
        <v>114</v>
      </c>
      <c r="M2518" t="s">
        <v>52</v>
      </c>
      <c r="N2518" t="s">
        <v>40</v>
      </c>
      <c r="O2518">
        <v>27</v>
      </c>
      <c r="Q2518">
        <f t="shared" si="72"/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 s="21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J2518" t="s">
        <v>54</v>
      </c>
      <c r="AK2518" t="s">
        <v>52</v>
      </c>
      <c r="AL2518" t="s">
        <v>611</v>
      </c>
      <c r="AP2518" t="s">
        <v>541</v>
      </c>
    </row>
    <row r="2519" spans="1:42">
      <c r="A2519" s="1">
        <v>43857</v>
      </c>
      <c r="B2519">
        <v>1</v>
      </c>
      <c r="C2519">
        <v>246</v>
      </c>
      <c r="D2519">
        <v>14389</v>
      </c>
      <c r="E2519" t="s">
        <v>112</v>
      </c>
      <c r="F2519" t="s">
        <v>90</v>
      </c>
      <c r="G2519">
        <v>4</v>
      </c>
      <c r="H2519">
        <v>14</v>
      </c>
      <c r="I2519" s="25">
        <v>1958</v>
      </c>
      <c r="K2519" t="s">
        <v>414</v>
      </c>
      <c r="L2519" t="s">
        <v>114</v>
      </c>
      <c r="M2519" t="s">
        <v>52</v>
      </c>
      <c r="N2519" t="s">
        <v>44</v>
      </c>
      <c r="O2519">
        <v>268</v>
      </c>
      <c r="Q2519">
        <f t="shared" si="72"/>
        <v>2</v>
      </c>
      <c r="S2519">
        <v>0</v>
      </c>
      <c r="T2519">
        <v>0</v>
      </c>
      <c r="U2519">
        <v>1</v>
      </c>
      <c r="V2519">
        <v>1</v>
      </c>
      <c r="W2519">
        <v>0</v>
      </c>
      <c r="X2519" s="21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J2519" t="s">
        <v>54</v>
      </c>
      <c r="AK2519" t="s">
        <v>52</v>
      </c>
      <c r="AL2519" t="s">
        <v>649</v>
      </c>
      <c r="AP2519" t="s">
        <v>541</v>
      </c>
    </row>
    <row r="2520" spans="1:42">
      <c r="A2520" s="1">
        <v>43857</v>
      </c>
      <c r="B2520">
        <v>1</v>
      </c>
      <c r="C2520">
        <v>246</v>
      </c>
      <c r="D2520">
        <v>14389</v>
      </c>
      <c r="E2520" t="s">
        <v>112</v>
      </c>
      <c r="F2520" t="s">
        <v>90</v>
      </c>
      <c r="G2520">
        <v>4</v>
      </c>
      <c r="H2520">
        <v>15</v>
      </c>
      <c r="I2520" s="25">
        <v>2000</v>
      </c>
      <c r="K2520" t="s">
        <v>414</v>
      </c>
      <c r="L2520" t="s">
        <v>114</v>
      </c>
      <c r="M2520" t="s">
        <v>52</v>
      </c>
      <c r="N2520" t="s">
        <v>40</v>
      </c>
      <c r="O2520">
        <v>34</v>
      </c>
      <c r="Q2520">
        <f t="shared" si="72"/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 s="21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J2520" t="s">
        <v>54</v>
      </c>
      <c r="AK2520" t="s">
        <v>52</v>
      </c>
      <c r="AP2520" t="s">
        <v>541</v>
      </c>
    </row>
    <row r="2521" spans="1:42">
      <c r="A2521" s="1">
        <v>43857</v>
      </c>
      <c r="B2521">
        <v>1</v>
      </c>
      <c r="C2521">
        <v>246</v>
      </c>
      <c r="D2521">
        <v>14389</v>
      </c>
      <c r="E2521" t="s">
        <v>112</v>
      </c>
      <c r="F2521" t="s">
        <v>90</v>
      </c>
      <c r="G2521">
        <v>4</v>
      </c>
      <c r="H2521">
        <v>16</v>
      </c>
      <c r="I2521" s="25">
        <v>2048</v>
      </c>
      <c r="K2521" t="s">
        <v>414</v>
      </c>
      <c r="L2521" t="s">
        <v>114</v>
      </c>
      <c r="M2521" t="s">
        <v>52</v>
      </c>
      <c r="N2521" t="s">
        <v>40</v>
      </c>
      <c r="O2521">
        <v>180</v>
      </c>
      <c r="Q2521">
        <f t="shared" si="72"/>
        <v>5</v>
      </c>
      <c r="S2521">
        <v>0</v>
      </c>
      <c r="T2521">
        <v>0</v>
      </c>
      <c r="U2521">
        <v>0</v>
      </c>
      <c r="V2521">
        <v>0</v>
      </c>
      <c r="W2521">
        <v>5</v>
      </c>
      <c r="X2521" s="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J2521" t="s">
        <v>54</v>
      </c>
      <c r="AK2521" t="s">
        <v>52</v>
      </c>
      <c r="AL2521" t="s">
        <v>649</v>
      </c>
      <c r="AP2521" t="s">
        <v>541</v>
      </c>
    </row>
    <row r="2522" spans="1:42">
      <c r="A2522" s="1">
        <v>43857</v>
      </c>
      <c r="B2522">
        <v>1</v>
      </c>
      <c r="C2522">
        <v>246</v>
      </c>
      <c r="D2522">
        <v>14389</v>
      </c>
      <c r="E2522" t="s">
        <v>112</v>
      </c>
      <c r="F2522" t="s">
        <v>90</v>
      </c>
      <c r="G2522">
        <v>4</v>
      </c>
      <c r="H2522">
        <v>17</v>
      </c>
      <c r="I2522" s="25">
        <v>2120</v>
      </c>
      <c r="K2522" t="s">
        <v>414</v>
      </c>
      <c r="L2522" t="s">
        <v>114</v>
      </c>
      <c r="M2522" t="s">
        <v>52</v>
      </c>
      <c r="N2522" t="s">
        <v>40</v>
      </c>
      <c r="O2522">
        <v>138</v>
      </c>
      <c r="Q2522">
        <f t="shared" si="72"/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 s="21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J2522" t="s">
        <v>51</v>
      </c>
      <c r="AK2522" t="s">
        <v>52</v>
      </c>
      <c r="AL2522" t="s">
        <v>611</v>
      </c>
      <c r="AP2522" t="s">
        <v>541</v>
      </c>
    </row>
    <row r="2523" spans="1:42">
      <c r="A2523" s="1">
        <v>43857</v>
      </c>
      <c r="B2523">
        <v>1</v>
      </c>
      <c r="C2523">
        <v>246</v>
      </c>
      <c r="D2523">
        <v>14389</v>
      </c>
      <c r="E2523" t="s">
        <v>112</v>
      </c>
      <c r="F2523" t="s">
        <v>90</v>
      </c>
      <c r="G2523">
        <v>4</v>
      </c>
      <c r="H2523">
        <v>18</v>
      </c>
      <c r="I2523" s="25">
        <v>2120</v>
      </c>
      <c r="K2523" t="s">
        <v>414</v>
      </c>
      <c r="L2523" t="s">
        <v>114</v>
      </c>
      <c r="M2523" t="s">
        <v>52</v>
      </c>
      <c r="N2523" t="s">
        <v>44</v>
      </c>
      <c r="O2523">
        <v>162</v>
      </c>
      <c r="Q2523">
        <f t="shared" si="72"/>
        <v>1</v>
      </c>
      <c r="S2523">
        <v>0</v>
      </c>
      <c r="T2523">
        <v>0</v>
      </c>
      <c r="U2523">
        <v>0</v>
      </c>
      <c r="V2523">
        <v>0</v>
      </c>
      <c r="W2523">
        <v>1</v>
      </c>
      <c r="X2523" s="21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J2523" t="s">
        <v>51</v>
      </c>
      <c r="AK2523" t="s">
        <v>52</v>
      </c>
      <c r="AP2523" t="s">
        <v>541</v>
      </c>
    </row>
    <row r="2524" spans="1:42">
      <c r="A2524" s="1">
        <v>43857</v>
      </c>
      <c r="B2524">
        <v>1</v>
      </c>
      <c r="C2524">
        <v>246</v>
      </c>
      <c r="D2524">
        <v>14389</v>
      </c>
      <c r="E2524" t="s">
        <v>112</v>
      </c>
      <c r="F2524" t="s">
        <v>90</v>
      </c>
      <c r="G2524">
        <v>4</v>
      </c>
      <c r="H2524">
        <v>19</v>
      </c>
      <c r="I2524" s="25">
        <v>2162</v>
      </c>
      <c r="K2524" t="s">
        <v>414</v>
      </c>
      <c r="L2524" t="s">
        <v>114</v>
      </c>
      <c r="M2524" t="s">
        <v>52</v>
      </c>
      <c r="N2524" t="s">
        <v>40</v>
      </c>
      <c r="O2524">
        <v>35</v>
      </c>
      <c r="Q2524">
        <f t="shared" si="72"/>
        <v>2</v>
      </c>
      <c r="S2524">
        <v>0</v>
      </c>
      <c r="T2524">
        <v>0</v>
      </c>
      <c r="U2524">
        <v>1</v>
      </c>
      <c r="V2524">
        <v>1</v>
      </c>
      <c r="W2524">
        <v>0</v>
      </c>
      <c r="X2524" s="21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J2524" t="s">
        <v>51</v>
      </c>
      <c r="AK2524" t="s">
        <v>52</v>
      </c>
      <c r="AL2524" t="s">
        <v>612</v>
      </c>
      <c r="AP2524" t="s">
        <v>541</v>
      </c>
    </row>
    <row r="2525" spans="1:42">
      <c r="A2525" s="1">
        <v>43857</v>
      </c>
      <c r="B2525">
        <v>1</v>
      </c>
      <c r="C2525">
        <v>246</v>
      </c>
      <c r="D2525">
        <v>14389</v>
      </c>
      <c r="E2525" t="s">
        <v>112</v>
      </c>
      <c r="F2525" t="s">
        <v>90</v>
      </c>
      <c r="G2525">
        <v>4</v>
      </c>
      <c r="H2525">
        <v>20</v>
      </c>
      <c r="I2525" s="25">
        <v>2208</v>
      </c>
      <c r="K2525" t="s">
        <v>414</v>
      </c>
      <c r="L2525" t="s">
        <v>114</v>
      </c>
      <c r="M2525" t="s">
        <v>52</v>
      </c>
      <c r="N2525" t="s">
        <v>44</v>
      </c>
      <c r="O2525">
        <v>330</v>
      </c>
      <c r="Q2525">
        <f t="shared" si="72"/>
        <v>3</v>
      </c>
      <c r="S2525">
        <v>0</v>
      </c>
      <c r="T2525">
        <v>0</v>
      </c>
      <c r="U2525">
        <v>0</v>
      </c>
      <c r="V2525">
        <v>0</v>
      </c>
      <c r="W2525">
        <v>3</v>
      </c>
      <c r="X2525" s="21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J2525" t="s">
        <v>51</v>
      </c>
      <c r="AK2525" t="s">
        <v>52</v>
      </c>
      <c r="AP2525" t="s">
        <v>541</v>
      </c>
    </row>
    <row r="2526" spans="1:42">
      <c r="A2526" s="1">
        <v>43857</v>
      </c>
      <c r="B2526">
        <v>1</v>
      </c>
      <c r="C2526">
        <v>246</v>
      </c>
      <c r="D2526">
        <v>14389</v>
      </c>
      <c r="E2526" t="s">
        <v>112</v>
      </c>
      <c r="F2526" t="s">
        <v>90</v>
      </c>
      <c r="G2526">
        <v>4</v>
      </c>
      <c r="H2526">
        <v>21</v>
      </c>
      <c r="I2526" s="25">
        <v>2216</v>
      </c>
      <c r="K2526" t="s">
        <v>414</v>
      </c>
      <c r="L2526" t="s">
        <v>114</v>
      </c>
      <c r="M2526" t="s">
        <v>52</v>
      </c>
      <c r="N2526" t="s">
        <v>40</v>
      </c>
      <c r="O2526">
        <v>71</v>
      </c>
      <c r="Q2526">
        <f t="shared" si="72"/>
        <v>4</v>
      </c>
      <c r="S2526">
        <v>0</v>
      </c>
      <c r="T2526">
        <v>0</v>
      </c>
      <c r="U2526">
        <v>2</v>
      </c>
      <c r="V2526">
        <v>1</v>
      </c>
      <c r="W2526">
        <v>1</v>
      </c>
      <c r="X2526" s="21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J2526" t="s">
        <v>51</v>
      </c>
      <c r="AK2526" t="s">
        <v>95</v>
      </c>
      <c r="AP2526" t="s">
        <v>541</v>
      </c>
    </row>
    <row r="2527" spans="1:42">
      <c r="A2527" s="1">
        <v>43857</v>
      </c>
      <c r="B2527">
        <v>1</v>
      </c>
      <c r="C2527">
        <v>246</v>
      </c>
      <c r="D2527">
        <v>14389</v>
      </c>
      <c r="E2527" t="s">
        <v>112</v>
      </c>
      <c r="F2527" t="s">
        <v>90</v>
      </c>
      <c r="G2527">
        <v>4</v>
      </c>
      <c r="H2527">
        <v>22</v>
      </c>
      <c r="I2527" s="25">
        <v>2234</v>
      </c>
      <c r="K2527" t="s">
        <v>414</v>
      </c>
      <c r="L2527" t="s">
        <v>114</v>
      </c>
      <c r="M2527" t="s">
        <v>52</v>
      </c>
      <c r="N2527" t="s">
        <v>40</v>
      </c>
      <c r="O2527">
        <v>73</v>
      </c>
      <c r="Q2527">
        <f t="shared" si="72"/>
        <v>2</v>
      </c>
      <c r="S2527">
        <v>0</v>
      </c>
      <c r="T2527">
        <v>0</v>
      </c>
      <c r="U2527">
        <v>0</v>
      </c>
      <c r="V2527">
        <v>2</v>
      </c>
      <c r="W2527">
        <v>0</v>
      </c>
      <c r="X2527" s="21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J2527" t="s">
        <v>51</v>
      </c>
      <c r="AK2527" t="s">
        <v>95</v>
      </c>
      <c r="AP2527" t="s">
        <v>541</v>
      </c>
    </row>
    <row r="2528" spans="1:42">
      <c r="A2528" s="1">
        <v>43857</v>
      </c>
      <c r="B2528">
        <v>1</v>
      </c>
      <c r="C2528">
        <v>246</v>
      </c>
      <c r="D2528">
        <v>14389</v>
      </c>
      <c r="E2528" t="s">
        <v>112</v>
      </c>
      <c r="F2528" t="s">
        <v>90</v>
      </c>
      <c r="G2528">
        <v>4</v>
      </c>
      <c r="H2528">
        <v>23</v>
      </c>
      <c r="I2528" s="25">
        <v>2316</v>
      </c>
      <c r="K2528" t="s">
        <v>414</v>
      </c>
      <c r="L2528" t="s">
        <v>114</v>
      </c>
      <c r="M2528" t="s">
        <v>52</v>
      </c>
      <c r="N2528" t="s">
        <v>40</v>
      </c>
      <c r="O2528">
        <v>98</v>
      </c>
      <c r="Q2528">
        <f t="shared" si="72"/>
        <v>3</v>
      </c>
      <c r="S2528">
        <v>0</v>
      </c>
      <c r="T2528">
        <v>0</v>
      </c>
      <c r="U2528">
        <v>0</v>
      </c>
      <c r="V2528">
        <v>0</v>
      </c>
      <c r="W2528">
        <v>3</v>
      </c>
      <c r="X2528" s="21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J2528" t="s">
        <v>51</v>
      </c>
      <c r="AK2528" t="s">
        <v>95</v>
      </c>
      <c r="AP2528" t="s">
        <v>541</v>
      </c>
    </row>
    <row r="2529" spans="1:42">
      <c r="A2529" s="1">
        <v>43857</v>
      </c>
      <c r="B2529">
        <v>1</v>
      </c>
      <c r="C2529">
        <v>246</v>
      </c>
      <c r="D2529">
        <v>14389</v>
      </c>
      <c r="E2529" t="s">
        <v>112</v>
      </c>
      <c r="F2529" t="s">
        <v>90</v>
      </c>
      <c r="G2529">
        <v>4</v>
      </c>
      <c r="H2529">
        <v>24</v>
      </c>
      <c r="I2529" s="25">
        <v>2330</v>
      </c>
      <c r="K2529" t="s">
        <v>414</v>
      </c>
      <c r="L2529" t="s">
        <v>114</v>
      </c>
      <c r="M2529" t="s">
        <v>52</v>
      </c>
      <c r="N2529" t="s">
        <v>40</v>
      </c>
      <c r="O2529">
        <v>149</v>
      </c>
      <c r="Q2529">
        <f t="shared" si="72"/>
        <v>4</v>
      </c>
      <c r="S2529">
        <v>0</v>
      </c>
      <c r="T2529">
        <v>0</v>
      </c>
      <c r="U2529">
        <v>0</v>
      </c>
      <c r="V2529">
        <v>2</v>
      </c>
      <c r="W2529">
        <v>2</v>
      </c>
      <c r="X2529" s="21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J2529" t="s">
        <v>51</v>
      </c>
      <c r="AK2529" t="s">
        <v>52</v>
      </c>
      <c r="AP2529" t="s">
        <v>541</v>
      </c>
    </row>
    <row r="2530" spans="1:42">
      <c r="A2530" s="1">
        <v>43857</v>
      </c>
      <c r="B2530">
        <v>1</v>
      </c>
      <c r="C2530">
        <v>246</v>
      </c>
      <c r="D2530">
        <v>14389</v>
      </c>
      <c r="E2530" t="s">
        <v>112</v>
      </c>
      <c r="F2530" t="s">
        <v>90</v>
      </c>
      <c r="G2530">
        <v>4</v>
      </c>
      <c r="H2530">
        <v>25</v>
      </c>
      <c r="I2530" s="25">
        <v>2340</v>
      </c>
      <c r="K2530" t="s">
        <v>414</v>
      </c>
      <c r="L2530" t="s">
        <v>114</v>
      </c>
      <c r="M2530" t="s">
        <v>52</v>
      </c>
      <c r="N2530" t="s">
        <v>40</v>
      </c>
      <c r="O2530">
        <v>101</v>
      </c>
      <c r="Q2530">
        <f t="shared" si="72"/>
        <v>2</v>
      </c>
      <c r="S2530">
        <v>0</v>
      </c>
      <c r="T2530">
        <v>0</v>
      </c>
      <c r="U2530">
        <v>1</v>
      </c>
      <c r="V2530">
        <v>1</v>
      </c>
      <c r="W2530">
        <v>0</v>
      </c>
      <c r="X2530" s="21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1</v>
      </c>
      <c r="AG2530">
        <v>0</v>
      </c>
      <c r="AJ2530" t="s">
        <v>51</v>
      </c>
      <c r="AK2530" t="s">
        <v>52</v>
      </c>
      <c r="AP2530" t="s">
        <v>541</v>
      </c>
    </row>
    <row r="2531" spans="1:42">
      <c r="A2531" s="1">
        <v>43857</v>
      </c>
      <c r="B2531">
        <v>1</v>
      </c>
      <c r="C2531">
        <v>246</v>
      </c>
      <c r="D2531">
        <v>14389</v>
      </c>
      <c r="E2531" t="s">
        <v>112</v>
      </c>
      <c r="F2531" t="s">
        <v>90</v>
      </c>
      <c r="G2531">
        <v>4</v>
      </c>
      <c r="H2531">
        <v>26</v>
      </c>
      <c r="I2531" s="25">
        <v>2350</v>
      </c>
      <c r="K2531" t="s">
        <v>414</v>
      </c>
      <c r="L2531" t="s">
        <v>114</v>
      </c>
      <c r="M2531" t="s">
        <v>52</v>
      </c>
      <c r="N2531" t="s">
        <v>40</v>
      </c>
      <c r="O2531">
        <v>64</v>
      </c>
      <c r="Q2531">
        <f t="shared" si="72"/>
        <v>2</v>
      </c>
      <c r="S2531">
        <v>0</v>
      </c>
      <c r="T2531">
        <v>0</v>
      </c>
      <c r="U2531">
        <v>0</v>
      </c>
      <c r="V2531">
        <v>0</v>
      </c>
      <c r="W2531">
        <v>2</v>
      </c>
      <c r="X2531" s="2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J2531" t="s">
        <v>51</v>
      </c>
      <c r="AK2531" t="s">
        <v>52</v>
      </c>
      <c r="AL2531" t="s">
        <v>649</v>
      </c>
      <c r="AP2531" t="s">
        <v>541</v>
      </c>
    </row>
    <row r="2532" spans="1:42">
      <c r="A2532" s="1">
        <v>43857</v>
      </c>
      <c r="B2532">
        <v>1</v>
      </c>
      <c r="C2532">
        <v>246</v>
      </c>
      <c r="D2532">
        <v>14389</v>
      </c>
      <c r="E2532" t="s">
        <v>112</v>
      </c>
      <c r="F2532" t="s">
        <v>90</v>
      </c>
      <c r="G2532">
        <v>4</v>
      </c>
      <c r="H2532">
        <v>27</v>
      </c>
      <c r="I2532" s="25">
        <v>2400</v>
      </c>
      <c r="K2532" t="s">
        <v>414</v>
      </c>
      <c r="L2532" t="s">
        <v>114</v>
      </c>
      <c r="M2532" t="s">
        <v>52</v>
      </c>
      <c r="N2532" t="s">
        <v>40</v>
      </c>
      <c r="O2532">
        <v>80</v>
      </c>
      <c r="Q2532">
        <f t="shared" si="72"/>
        <v>2</v>
      </c>
      <c r="S2532">
        <v>0</v>
      </c>
      <c r="T2532">
        <v>0</v>
      </c>
      <c r="U2532">
        <v>2</v>
      </c>
      <c r="V2532">
        <v>0</v>
      </c>
      <c r="W2532">
        <v>0</v>
      </c>
      <c r="X2532" s="21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1</v>
      </c>
      <c r="AG2532">
        <v>0</v>
      </c>
      <c r="AJ2532" t="s">
        <v>51</v>
      </c>
      <c r="AK2532" t="s">
        <v>52</v>
      </c>
      <c r="AP2532" t="s">
        <v>541</v>
      </c>
    </row>
    <row r="2533" spans="1:42">
      <c r="A2533" s="1">
        <v>43857</v>
      </c>
      <c r="B2533">
        <v>1</v>
      </c>
      <c r="C2533">
        <v>246</v>
      </c>
      <c r="D2533">
        <v>14389</v>
      </c>
      <c r="E2533" t="s">
        <v>112</v>
      </c>
      <c r="F2533" t="s">
        <v>90</v>
      </c>
      <c r="G2533">
        <v>4</v>
      </c>
      <c r="H2533">
        <v>28</v>
      </c>
      <c r="I2533" s="25">
        <v>2401</v>
      </c>
      <c r="K2533" t="s">
        <v>414</v>
      </c>
      <c r="L2533" t="s">
        <v>141</v>
      </c>
      <c r="M2533" t="s">
        <v>52</v>
      </c>
      <c r="N2533" t="s">
        <v>40</v>
      </c>
      <c r="O2533">
        <v>109</v>
      </c>
      <c r="Q2533">
        <f t="shared" si="72"/>
        <v>2</v>
      </c>
      <c r="S2533">
        <v>0</v>
      </c>
      <c r="T2533">
        <v>0</v>
      </c>
      <c r="U2533">
        <v>0</v>
      </c>
      <c r="V2533">
        <v>1</v>
      </c>
      <c r="W2533">
        <v>1</v>
      </c>
      <c r="X2533" s="21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J2533" t="s">
        <v>51</v>
      </c>
      <c r="AK2533" t="s">
        <v>52</v>
      </c>
      <c r="AP2533" t="s">
        <v>541</v>
      </c>
    </row>
    <row r="2534" spans="1:42">
      <c r="A2534" s="1">
        <v>43857</v>
      </c>
      <c r="B2534">
        <v>1</v>
      </c>
      <c r="C2534">
        <v>246</v>
      </c>
      <c r="D2534">
        <v>14389</v>
      </c>
      <c r="E2534" t="s">
        <v>112</v>
      </c>
      <c r="F2534" t="s">
        <v>90</v>
      </c>
      <c r="G2534">
        <v>4</v>
      </c>
      <c r="H2534">
        <v>29</v>
      </c>
      <c r="I2534" s="25">
        <v>2325</v>
      </c>
      <c r="K2534" t="s">
        <v>414</v>
      </c>
      <c r="L2534" t="s">
        <v>141</v>
      </c>
      <c r="M2534" t="s">
        <v>52</v>
      </c>
      <c r="N2534" t="s">
        <v>40</v>
      </c>
      <c r="O2534">
        <v>189</v>
      </c>
      <c r="Q2534">
        <f t="shared" si="72"/>
        <v>5</v>
      </c>
      <c r="S2534">
        <v>0</v>
      </c>
      <c r="T2534">
        <v>0</v>
      </c>
      <c r="U2534">
        <v>2</v>
      </c>
      <c r="V2534">
        <v>2</v>
      </c>
      <c r="W2534">
        <v>1</v>
      </c>
      <c r="X2534" s="21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1</v>
      </c>
      <c r="AG2534">
        <v>0</v>
      </c>
      <c r="AJ2534" t="s">
        <v>51</v>
      </c>
      <c r="AK2534" t="s">
        <v>52</v>
      </c>
      <c r="AP2534" t="s">
        <v>541</v>
      </c>
    </row>
    <row r="2535" spans="1:42">
      <c r="A2535" s="1">
        <v>43857</v>
      </c>
      <c r="B2535">
        <v>1</v>
      </c>
      <c r="C2535">
        <v>246</v>
      </c>
      <c r="D2535">
        <v>14389</v>
      </c>
      <c r="E2535" t="s">
        <v>112</v>
      </c>
      <c r="F2535" t="s">
        <v>90</v>
      </c>
      <c r="G2535">
        <v>4</v>
      </c>
      <c r="H2535">
        <v>30</v>
      </c>
      <c r="I2535" s="25">
        <v>2209</v>
      </c>
      <c r="K2535" t="s">
        <v>414</v>
      </c>
      <c r="L2535" t="s">
        <v>141</v>
      </c>
      <c r="M2535" t="s">
        <v>52</v>
      </c>
      <c r="N2535" t="s">
        <v>40</v>
      </c>
      <c r="O2535">
        <v>54</v>
      </c>
      <c r="Q2535">
        <f t="shared" si="72"/>
        <v>2</v>
      </c>
      <c r="S2535">
        <v>0</v>
      </c>
      <c r="T2535">
        <v>0</v>
      </c>
      <c r="U2535">
        <v>0</v>
      </c>
      <c r="V2535">
        <v>0</v>
      </c>
      <c r="W2535">
        <v>2</v>
      </c>
      <c r="X2535" s="21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J2535" t="s">
        <v>51</v>
      </c>
      <c r="AK2535" t="s">
        <v>52</v>
      </c>
      <c r="AP2535" t="s">
        <v>541</v>
      </c>
    </row>
    <row r="2536" spans="1:42">
      <c r="A2536" s="1">
        <v>43857</v>
      </c>
      <c r="B2536">
        <v>1</v>
      </c>
      <c r="C2536">
        <v>246</v>
      </c>
      <c r="D2536">
        <v>14389</v>
      </c>
      <c r="E2536" t="s">
        <v>112</v>
      </c>
      <c r="F2536" t="s">
        <v>90</v>
      </c>
      <c r="G2536">
        <v>4</v>
      </c>
      <c r="H2536">
        <v>31</v>
      </c>
      <c r="I2536" s="25">
        <v>2139</v>
      </c>
      <c r="K2536" t="s">
        <v>414</v>
      </c>
      <c r="L2536" t="s">
        <v>141</v>
      </c>
      <c r="M2536" t="s">
        <v>52</v>
      </c>
      <c r="N2536" t="s">
        <v>40</v>
      </c>
      <c r="O2536">
        <v>104</v>
      </c>
      <c r="Q2536">
        <f t="shared" si="72"/>
        <v>5</v>
      </c>
      <c r="S2536">
        <v>0</v>
      </c>
      <c r="T2536">
        <v>0</v>
      </c>
      <c r="U2536">
        <v>4</v>
      </c>
      <c r="V2536">
        <v>1</v>
      </c>
      <c r="W2536">
        <v>0</v>
      </c>
      <c r="X2536" s="21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J2536" t="s">
        <v>51</v>
      </c>
      <c r="AK2536" t="s">
        <v>52</v>
      </c>
      <c r="AP2536" t="s">
        <v>541</v>
      </c>
    </row>
    <row r="2537" spans="1:42">
      <c r="A2537" s="1">
        <v>43857</v>
      </c>
      <c r="B2537">
        <v>1</v>
      </c>
      <c r="C2537">
        <v>246</v>
      </c>
      <c r="D2537">
        <v>14389</v>
      </c>
      <c r="E2537" t="s">
        <v>112</v>
      </c>
      <c r="F2537" t="s">
        <v>90</v>
      </c>
      <c r="G2537">
        <v>4</v>
      </c>
      <c r="H2537">
        <v>32</v>
      </c>
      <c r="I2537" s="25">
        <v>2109</v>
      </c>
      <c r="K2537" t="s">
        <v>414</v>
      </c>
      <c r="L2537" t="s">
        <v>141</v>
      </c>
      <c r="M2537" t="s">
        <v>52</v>
      </c>
      <c r="N2537" t="s">
        <v>40</v>
      </c>
      <c r="O2537">
        <v>132</v>
      </c>
      <c r="Q2537">
        <f t="shared" si="72"/>
        <v>4</v>
      </c>
      <c r="S2537">
        <v>0</v>
      </c>
      <c r="T2537">
        <v>0</v>
      </c>
      <c r="U2537">
        <v>1</v>
      </c>
      <c r="V2537">
        <v>3</v>
      </c>
      <c r="W2537">
        <v>0</v>
      </c>
      <c r="X2537" s="21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J2537" t="s">
        <v>51</v>
      </c>
      <c r="AK2537" t="s">
        <v>52</v>
      </c>
      <c r="AL2537" t="s">
        <v>649</v>
      </c>
      <c r="AP2537" t="s">
        <v>541</v>
      </c>
    </row>
    <row r="2538" spans="1:42">
      <c r="A2538" s="1">
        <v>43857</v>
      </c>
      <c r="B2538">
        <v>1</v>
      </c>
      <c r="C2538">
        <v>246</v>
      </c>
      <c r="D2538">
        <v>14389</v>
      </c>
      <c r="E2538" t="s">
        <v>112</v>
      </c>
      <c r="F2538" t="s">
        <v>90</v>
      </c>
      <c r="G2538">
        <v>4</v>
      </c>
      <c r="H2538">
        <v>33</v>
      </c>
      <c r="I2538" s="25">
        <v>2031</v>
      </c>
      <c r="K2538" t="s">
        <v>414</v>
      </c>
      <c r="L2538" t="s">
        <v>141</v>
      </c>
      <c r="M2538" t="s">
        <v>52</v>
      </c>
      <c r="N2538" t="s">
        <v>40</v>
      </c>
      <c r="O2538">
        <v>71</v>
      </c>
      <c r="Q2538">
        <f t="shared" si="72"/>
        <v>2</v>
      </c>
      <c r="S2538">
        <v>0</v>
      </c>
      <c r="T2538">
        <v>0</v>
      </c>
      <c r="U2538">
        <v>0</v>
      </c>
      <c r="V2538">
        <v>0</v>
      </c>
      <c r="W2538">
        <v>2</v>
      </c>
      <c r="X2538" s="21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J2538" t="s">
        <v>54</v>
      </c>
      <c r="AK2538" t="s">
        <v>52</v>
      </c>
      <c r="AP2538" t="s">
        <v>541</v>
      </c>
    </row>
    <row r="2539" spans="1:42">
      <c r="A2539" s="1">
        <v>43857</v>
      </c>
      <c r="B2539">
        <v>1</v>
      </c>
      <c r="C2539">
        <v>246</v>
      </c>
      <c r="D2539">
        <v>14389</v>
      </c>
      <c r="E2539" t="s">
        <v>112</v>
      </c>
      <c r="F2539" t="s">
        <v>90</v>
      </c>
      <c r="G2539">
        <v>4</v>
      </c>
      <c r="H2539">
        <v>34</v>
      </c>
      <c r="I2539" s="25">
        <v>1723</v>
      </c>
      <c r="K2539" t="s">
        <v>414</v>
      </c>
      <c r="L2539" t="s">
        <v>141</v>
      </c>
      <c r="M2539" t="s">
        <v>52</v>
      </c>
      <c r="N2539" t="s">
        <v>40</v>
      </c>
      <c r="O2539">
        <v>56</v>
      </c>
      <c r="Q2539">
        <f t="shared" si="72"/>
        <v>2</v>
      </c>
      <c r="S2539">
        <v>0</v>
      </c>
      <c r="T2539">
        <v>0</v>
      </c>
      <c r="U2539">
        <v>0</v>
      </c>
      <c r="V2539">
        <v>2</v>
      </c>
      <c r="W2539">
        <v>0</v>
      </c>
      <c r="X2539" s="21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J2539" t="s">
        <v>54</v>
      </c>
      <c r="AK2539" t="s">
        <v>52</v>
      </c>
      <c r="AP2539" t="s">
        <v>541</v>
      </c>
    </row>
    <row r="2540" spans="1:42">
      <c r="A2540" s="1">
        <v>43857</v>
      </c>
      <c r="B2540">
        <v>1</v>
      </c>
      <c r="C2540">
        <v>246</v>
      </c>
      <c r="D2540">
        <v>14389</v>
      </c>
      <c r="E2540" t="s">
        <v>112</v>
      </c>
      <c r="F2540" t="s">
        <v>90</v>
      </c>
      <c r="G2540">
        <v>4</v>
      </c>
      <c r="H2540">
        <v>35</v>
      </c>
      <c r="I2540" s="25">
        <v>1695</v>
      </c>
      <c r="K2540" t="s">
        <v>414</v>
      </c>
      <c r="L2540" t="s">
        <v>141</v>
      </c>
      <c r="M2540" t="s">
        <v>52</v>
      </c>
      <c r="N2540" t="s">
        <v>40</v>
      </c>
      <c r="O2540">
        <v>81</v>
      </c>
      <c r="Q2540">
        <f t="shared" si="72"/>
        <v>2</v>
      </c>
      <c r="S2540">
        <v>0</v>
      </c>
      <c r="T2540">
        <v>0</v>
      </c>
      <c r="U2540">
        <v>2</v>
      </c>
      <c r="V2540">
        <v>0</v>
      </c>
      <c r="W2540">
        <v>0</v>
      </c>
      <c r="X2540" s="21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1</v>
      </c>
      <c r="AG2540">
        <v>0</v>
      </c>
      <c r="AJ2540" t="s">
        <v>51</v>
      </c>
      <c r="AK2540" t="s">
        <v>52</v>
      </c>
      <c r="AP2540" t="s">
        <v>541</v>
      </c>
    </row>
    <row r="2541" spans="1:42">
      <c r="A2541" s="1">
        <v>43857</v>
      </c>
      <c r="B2541">
        <v>1</v>
      </c>
      <c r="C2541">
        <v>246</v>
      </c>
      <c r="D2541">
        <v>14389</v>
      </c>
      <c r="E2541" t="s">
        <v>112</v>
      </c>
      <c r="F2541" t="s">
        <v>90</v>
      </c>
      <c r="G2541">
        <v>4</v>
      </c>
      <c r="H2541">
        <v>36</v>
      </c>
      <c r="I2541" s="25">
        <v>1639</v>
      </c>
      <c r="K2541" t="s">
        <v>414</v>
      </c>
      <c r="L2541" t="s">
        <v>141</v>
      </c>
      <c r="M2541" t="s">
        <v>52</v>
      </c>
      <c r="N2541" t="s">
        <v>40</v>
      </c>
      <c r="O2541">
        <v>43</v>
      </c>
      <c r="Q2541">
        <f t="shared" si="72"/>
        <v>2</v>
      </c>
      <c r="S2541">
        <v>0</v>
      </c>
      <c r="T2541">
        <v>0</v>
      </c>
      <c r="U2541">
        <v>2</v>
      </c>
      <c r="V2541">
        <v>0</v>
      </c>
      <c r="W2541">
        <v>0</v>
      </c>
      <c r="X2541" s="2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1</v>
      </c>
      <c r="AG2541">
        <v>0</v>
      </c>
      <c r="AJ2541" t="s">
        <v>51</v>
      </c>
      <c r="AK2541" t="s">
        <v>52</v>
      </c>
      <c r="AP2541" t="s">
        <v>541</v>
      </c>
    </row>
    <row r="2542" spans="1:42">
      <c r="A2542" s="1">
        <v>43857</v>
      </c>
      <c r="B2542">
        <v>1</v>
      </c>
      <c r="C2542">
        <v>246</v>
      </c>
      <c r="D2542">
        <v>14389</v>
      </c>
      <c r="E2542" t="s">
        <v>112</v>
      </c>
      <c r="F2542" t="s">
        <v>90</v>
      </c>
      <c r="G2542">
        <v>4</v>
      </c>
      <c r="H2542">
        <v>37</v>
      </c>
      <c r="I2542" s="25">
        <v>1625</v>
      </c>
      <c r="K2542" t="s">
        <v>414</v>
      </c>
      <c r="L2542" t="s">
        <v>141</v>
      </c>
      <c r="M2542" t="s">
        <v>52</v>
      </c>
      <c r="N2542" t="s">
        <v>44</v>
      </c>
      <c r="O2542">
        <v>510</v>
      </c>
      <c r="Q2542">
        <f t="shared" si="72"/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 s="21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J2542" t="s">
        <v>51</v>
      </c>
      <c r="AK2542" t="s">
        <v>52</v>
      </c>
      <c r="AL2542" t="s">
        <v>650</v>
      </c>
      <c r="AP2542" t="s">
        <v>541</v>
      </c>
    </row>
    <row r="2543" spans="1:42">
      <c r="A2543" s="1">
        <v>43857</v>
      </c>
      <c r="B2543">
        <v>1</v>
      </c>
      <c r="C2543">
        <v>246</v>
      </c>
      <c r="D2543">
        <v>14389</v>
      </c>
      <c r="E2543" t="s">
        <v>112</v>
      </c>
      <c r="F2543" t="s">
        <v>90</v>
      </c>
      <c r="G2543">
        <v>4</v>
      </c>
      <c r="H2543">
        <v>38</v>
      </c>
      <c r="I2543" s="25">
        <v>1621</v>
      </c>
      <c r="K2543" t="s">
        <v>414</v>
      </c>
      <c r="L2543" t="s">
        <v>141</v>
      </c>
      <c r="M2543" t="s">
        <v>52</v>
      </c>
      <c r="N2543" t="s">
        <v>40</v>
      </c>
      <c r="O2543">
        <v>48</v>
      </c>
      <c r="Q2543">
        <f t="shared" si="72"/>
        <v>2</v>
      </c>
      <c r="S2543">
        <v>0</v>
      </c>
      <c r="T2543">
        <v>0</v>
      </c>
      <c r="U2543">
        <v>0</v>
      </c>
      <c r="V2543">
        <v>1</v>
      </c>
      <c r="W2543">
        <v>1</v>
      </c>
      <c r="X2543" s="21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J2543" t="s">
        <v>51</v>
      </c>
      <c r="AK2543" t="s">
        <v>52</v>
      </c>
      <c r="AP2543" t="s">
        <v>541</v>
      </c>
    </row>
    <row r="2544" spans="1:42">
      <c r="A2544" s="1">
        <v>43857</v>
      </c>
      <c r="B2544">
        <v>1</v>
      </c>
      <c r="C2544">
        <v>246</v>
      </c>
      <c r="D2544">
        <v>14389</v>
      </c>
      <c r="E2544" t="s">
        <v>112</v>
      </c>
      <c r="F2544" t="s">
        <v>90</v>
      </c>
      <c r="G2544">
        <v>4</v>
      </c>
      <c r="H2544">
        <v>39</v>
      </c>
      <c r="I2544" s="25">
        <v>1605</v>
      </c>
      <c r="K2544" t="s">
        <v>414</v>
      </c>
      <c r="L2544" t="s">
        <v>141</v>
      </c>
      <c r="M2544" t="s">
        <v>52</v>
      </c>
      <c r="N2544" t="s">
        <v>40</v>
      </c>
      <c r="O2544">
        <v>66</v>
      </c>
      <c r="Q2544">
        <f t="shared" si="72"/>
        <v>3</v>
      </c>
      <c r="S2544">
        <v>0</v>
      </c>
      <c r="T2544">
        <v>0</v>
      </c>
      <c r="U2544">
        <v>3</v>
      </c>
      <c r="V2544">
        <v>0</v>
      </c>
      <c r="W2544">
        <v>0</v>
      </c>
      <c r="X2544" s="21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J2544" t="s">
        <v>51</v>
      </c>
      <c r="AK2544" t="s">
        <v>52</v>
      </c>
      <c r="AP2544" t="s">
        <v>541</v>
      </c>
    </row>
    <row r="2545" spans="1:42">
      <c r="A2545" s="1">
        <v>43857</v>
      </c>
      <c r="B2545">
        <v>1</v>
      </c>
      <c r="C2545">
        <v>246</v>
      </c>
      <c r="D2545">
        <v>14389</v>
      </c>
      <c r="E2545" t="s">
        <v>112</v>
      </c>
      <c r="F2545" t="s">
        <v>90</v>
      </c>
      <c r="G2545">
        <v>4</v>
      </c>
      <c r="H2545">
        <v>40</v>
      </c>
      <c r="I2545" s="25">
        <v>1563</v>
      </c>
      <c r="K2545" t="s">
        <v>414</v>
      </c>
      <c r="L2545" t="s">
        <v>141</v>
      </c>
      <c r="M2545" t="s">
        <v>52</v>
      </c>
      <c r="N2545" t="s">
        <v>40</v>
      </c>
      <c r="O2545">
        <v>129</v>
      </c>
      <c r="Q2545">
        <f t="shared" si="72"/>
        <v>4</v>
      </c>
      <c r="S2545">
        <v>0</v>
      </c>
      <c r="T2545">
        <v>0</v>
      </c>
      <c r="U2545">
        <v>2</v>
      </c>
      <c r="V2545">
        <v>2</v>
      </c>
      <c r="W2545">
        <v>0</v>
      </c>
      <c r="X2545" s="21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J2545" t="s">
        <v>51</v>
      </c>
      <c r="AK2545" t="s">
        <v>52</v>
      </c>
      <c r="AP2545" t="s">
        <v>541</v>
      </c>
    </row>
    <row r="2546" spans="1:42">
      <c r="A2546" s="1">
        <v>43857</v>
      </c>
      <c r="B2546">
        <v>1</v>
      </c>
      <c r="C2546">
        <v>246</v>
      </c>
      <c r="D2546">
        <v>14389</v>
      </c>
      <c r="E2546" t="s">
        <v>112</v>
      </c>
      <c r="F2546" t="s">
        <v>90</v>
      </c>
      <c r="G2546">
        <v>4</v>
      </c>
      <c r="H2546">
        <v>41</v>
      </c>
      <c r="I2546" s="25">
        <v>1507</v>
      </c>
      <c r="K2546" t="s">
        <v>414</v>
      </c>
      <c r="L2546" t="s">
        <v>141</v>
      </c>
      <c r="M2546" t="s">
        <v>52</v>
      </c>
      <c r="N2546" t="s">
        <v>40</v>
      </c>
      <c r="O2546">
        <v>163</v>
      </c>
      <c r="Q2546">
        <f t="shared" si="72"/>
        <v>5</v>
      </c>
      <c r="S2546">
        <v>0</v>
      </c>
      <c r="T2546">
        <v>0</v>
      </c>
      <c r="U2546">
        <v>0</v>
      </c>
      <c r="V2546">
        <v>5</v>
      </c>
      <c r="W2546">
        <v>0</v>
      </c>
      <c r="X2546" s="21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1</v>
      </c>
      <c r="AG2546">
        <v>0</v>
      </c>
      <c r="AJ2546" t="s">
        <v>51</v>
      </c>
      <c r="AK2546" t="s">
        <v>52</v>
      </c>
      <c r="AL2546" t="s">
        <v>649</v>
      </c>
      <c r="AP2546" t="s">
        <v>541</v>
      </c>
    </row>
    <row r="2547" spans="1:42">
      <c r="A2547" s="1">
        <v>43857</v>
      </c>
      <c r="B2547">
        <v>1</v>
      </c>
      <c r="C2547">
        <v>246</v>
      </c>
      <c r="D2547">
        <v>14389</v>
      </c>
      <c r="E2547" t="s">
        <v>112</v>
      </c>
      <c r="F2547" t="s">
        <v>90</v>
      </c>
      <c r="G2547">
        <v>4</v>
      </c>
      <c r="H2547">
        <v>42</v>
      </c>
      <c r="I2547" s="25">
        <v>1381</v>
      </c>
      <c r="K2547" t="s">
        <v>414</v>
      </c>
      <c r="L2547" t="s">
        <v>141</v>
      </c>
      <c r="M2547" t="s">
        <v>52</v>
      </c>
      <c r="N2547" t="s">
        <v>44</v>
      </c>
      <c r="O2547">
        <v>505</v>
      </c>
      <c r="Q2547">
        <f t="shared" si="72"/>
        <v>2</v>
      </c>
      <c r="S2547">
        <v>0</v>
      </c>
      <c r="T2547">
        <v>0</v>
      </c>
      <c r="U2547">
        <v>1</v>
      </c>
      <c r="V2547">
        <v>0</v>
      </c>
      <c r="W2547">
        <v>1</v>
      </c>
      <c r="X2547" s="21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J2547" t="s">
        <v>51</v>
      </c>
      <c r="AK2547" t="s">
        <v>52</v>
      </c>
      <c r="AL2547" t="s">
        <v>651</v>
      </c>
      <c r="AP2547" t="s">
        <v>541</v>
      </c>
    </row>
    <row r="2548" spans="1:42">
      <c r="A2548" s="1">
        <v>43857</v>
      </c>
      <c r="B2548">
        <v>1</v>
      </c>
      <c r="C2548">
        <v>246</v>
      </c>
      <c r="D2548">
        <v>14389</v>
      </c>
      <c r="E2548" t="s">
        <v>112</v>
      </c>
      <c r="F2548" t="s">
        <v>90</v>
      </c>
      <c r="G2548">
        <v>4</v>
      </c>
      <c r="H2548">
        <v>43</v>
      </c>
      <c r="I2548" s="25">
        <v>2560</v>
      </c>
      <c r="K2548" t="s">
        <v>414</v>
      </c>
      <c r="L2548" t="s">
        <v>114</v>
      </c>
      <c r="M2548" t="s">
        <v>52</v>
      </c>
      <c r="N2548" t="s">
        <v>44</v>
      </c>
      <c r="O2548">
        <v>367</v>
      </c>
      <c r="Q2548">
        <f t="shared" si="72"/>
        <v>4</v>
      </c>
      <c r="S2548">
        <v>0</v>
      </c>
      <c r="T2548">
        <v>0</v>
      </c>
      <c r="U2548">
        <v>0</v>
      </c>
      <c r="V2548">
        <v>0</v>
      </c>
      <c r="W2548">
        <v>4</v>
      </c>
      <c r="X2548" s="21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J2548" t="s">
        <v>51</v>
      </c>
      <c r="AK2548" t="s">
        <v>52</v>
      </c>
      <c r="AL2548" t="s">
        <v>651</v>
      </c>
      <c r="AP2548" t="s">
        <v>541</v>
      </c>
    </row>
    <row r="2549" spans="1:42">
      <c r="A2549" s="1">
        <v>43857</v>
      </c>
      <c r="B2549">
        <v>1</v>
      </c>
      <c r="C2549">
        <v>246</v>
      </c>
      <c r="D2549">
        <v>14389</v>
      </c>
      <c r="E2549" t="s">
        <v>112</v>
      </c>
      <c r="F2549" t="s">
        <v>90</v>
      </c>
      <c r="G2549">
        <v>4</v>
      </c>
      <c r="H2549">
        <v>44</v>
      </c>
      <c r="I2549" s="25">
        <v>2580</v>
      </c>
      <c r="K2549" t="s">
        <v>414</v>
      </c>
      <c r="L2549" t="s">
        <v>114</v>
      </c>
      <c r="M2549" t="s">
        <v>52</v>
      </c>
      <c r="N2549" t="s">
        <v>44</v>
      </c>
      <c r="O2549">
        <v>261</v>
      </c>
      <c r="Q2549">
        <f t="shared" si="72"/>
        <v>4</v>
      </c>
      <c r="S2549">
        <v>0</v>
      </c>
      <c r="T2549">
        <v>0</v>
      </c>
      <c r="U2549">
        <v>0</v>
      </c>
      <c r="V2549">
        <v>0</v>
      </c>
      <c r="W2549">
        <v>4</v>
      </c>
      <c r="X2549" s="21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J2549" t="s">
        <v>51</v>
      </c>
      <c r="AK2549" t="s">
        <v>52</v>
      </c>
      <c r="AL2549" t="s">
        <v>651</v>
      </c>
      <c r="AP2549" t="s">
        <v>541</v>
      </c>
    </row>
    <row r="2550" spans="1:42">
      <c r="A2550" s="1">
        <v>43857</v>
      </c>
      <c r="B2550">
        <v>1</v>
      </c>
      <c r="C2550">
        <v>246</v>
      </c>
      <c r="D2550">
        <v>14389</v>
      </c>
      <c r="E2550" t="s">
        <v>112</v>
      </c>
      <c r="F2550" t="s">
        <v>90</v>
      </c>
      <c r="G2550">
        <v>4</v>
      </c>
      <c r="H2550">
        <v>45</v>
      </c>
      <c r="I2550" s="25">
        <v>2557</v>
      </c>
      <c r="K2550" t="s">
        <v>414</v>
      </c>
      <c r="L2550" t="s">
        <v>141</v>
      </c>
      <c r="M2550" t="s">
        <v>52</v>
      </c>
      <c r="N2550" t="s">
        <v>44</v>
      </c>
      <c r="O2550">
        <v>530</v>
      </c>
      <c r="Q2550">
        <f t="shared" si="72"/>
        <v>4</v>
      </c>
      <c r="S2550">
        <v>0</v>
      </c>
      <c r="T2550">
        <v>0</v>
      </c>
      <c r="U2550">
        <v>0</v>
      </c>
      <c r="V2550">
        <v>0</v>
      </c>
      <c r="W2550">
        <v>4</v>
      </c>
      <c r="X2550" s="21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J2550" t="s">
        <v>51</v>
      </c>
      <c r="AK2550" t="s">
        <v>52</v>
      </c>
      <c r="AL2550" t="s">
        <v>651</v>
      </c>
      <c r="AP2550" t="s">
        <v>541</v>
      </c>
    </row>
    <row r="2551" spans="1:42">
      <c r="A2551" s="1">
        <v>43857</v>
      </c>
      <c r="B2551">
        <v>1</v>
      </c>
      <c r="C2551">
        <v>246</v>
      </c>
      <c r="D2551">
        <v>14389</v>
      </c>
      <c r="E2551" t="s">
        <v>112</v>
      </c>
      <c r="F2551" t="s">
        <v>90</v>
      </c>
      <c r="G2551">
        <v>4</v>
      </c>
      <c r="H2551">
        <v>46</v>
      </c>
      <c r="I2551" s="25">
        <v>2545</v>
      </c>
      <c r="K2551" t="s">
        <v>414</v>
      </c>
      <c r="L2551" t="s">
        <v>141</v>
      </c>
      <c r="M2551" t="s">
        <v>52</v>
      </c>
      <c r="N2551" t="s">
        <v>44</v>
      </c>
      <c r="O2551">
        <v>188</v>
      </c>
      <c r="Q2551">
        <f t="shared" si="72"/>
        <v>2</v>
      </c>
      <c r="S2551">
        <v>0</v>
      </c>
      <c r="T2551">
        <v>0</v>
      </c>
      <c r="U2551">
        <v>0</v>
      </c>
      <c r="V2551">
        <v>0</v>
      </c>
      <c r="W2551">
        <v>2</v>
      </c>
      <c r="X2551" s="2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J2551" t="s">
        <v>51</v>
      </c>
      <c r="AK2551" t="s">
        <v>52</v>
      </c>
      <c r="AL2551" t="s">
        <v>651</v>
      </c>
      <c r="AP2551" t="s">
        <v>541</v>
      </c>
    </row>
    <row r="2552" spans="1:42">
      <c r="A2552" s="1">
        <v>43857</v>
      </c>
      <c r="B2552">
        <v>1</v>
      </c>
      <c r="C2552">
        <v>246</v>
      </c>
      <c r="D2552">
        <v>14389</v>
      </c>
      <c r="E2552" t="s">
        <v>112</v>
      </c>
      <c r="F2552" t="s">
        <v>90</v>
      </c>
      <c r="G2552">
        <v>4</v>
      </c>
      <c r="H2552">
        <v>47</v>
      </c>
      <c r="I2552" s="25">
        <v>2539</v>
      </c>
      <c r="K2552" t="s">
        <v>414</v>
      </c>
      <c r="L2552" t="s">
        <v>141</v>
      </c>
      <c r="M2552" t="s">
        <v>52</v>
      </c>
      <c r="N2552" t="s">
        <v>44</v>
      </c>
      <c r="O2552">
        <v>150</v>
      </c>
      <c r="Q2552">
        <f t="shared" si="72"/>
        <v>2</v>
      </c>
      <c r="S2552">
        <v>0</v>
      </c>
      <c r="T2552">
        <v>0</v>
      </c>
      <c r="U2552">
        <v>0</v>
      </c>
      <c r="V2552">
        <v>0</v>
      </c>
      <c r="W2552">
        <v>2</v>
      </c>
      <c r="X2552" s="21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J2552" t="s">
        <v>51</v>
      </c>
      <c r="AK2552" t="s">
        <v>52</v>
      </c>
      <c r="AL2552" t="s">
        <v>651</v>
      </c>
      <c r="AP2552" t="s">
        <v>541</v>
      </c>
    </row>
    <row r="2553" spans="1:42">
      <c r="A2553" s="1">
        <v>43857</v>
      </c>
      <c r="B2553">
        <v>1</v>
      </c>
      <c r="C2553">
        <v>246</v>
      </c>
      <c r="D2553">
        <v>14389</v>
      </c>
      <c r="E2553" t="s">
        <v>112</v>
      </c>
      <c r="F2553" t="s">
        <v>90</v>
      </c>
      <c r="G2553">
        <v>4</v>
      </c>
      <c r="H2553">
        <v>48</v>
      </c>
      <c r="I2553" s="25">
        <v>2531</v>
      </c>
      <c r="K2553" t="s">
        <v>414</v>
      </c>
      <c r="L2553" t="s">
        <v>141</v>
      </c>
      <c r="M2553" t="s">
        <v>52</v>
      </c>
      <c r="N2553" t="s">
        <v>44</v>
      </c>
      <c r="O2553">
        <v>103</v>
      </c>
      <c r="Q2553">
        <f t="shared" ref="Q2553:Q2579" si="73">SUM(S2553:AC2553)</f>
        <v>2</v>
      </c>
      <c r="S2553">
        <v>0</v>
      </c>
      <c r="T2553">
        <v>0</v>
      </c>
      <c r="U2553">
        <v>0</v>
      </c>
      <c r="V2553">
        <v>0</v>
      </c>
      <c r="W2553">
        <v>2</v>
      </c>
      <c r="X2553" s="21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J2553" t="s">
        <v>51</v>
      </c>
      <c r="AK2553" t="s">
        <v>52</v>
      </c>
      <c r="AL2553" t="s">
        <v>651</v>
      </c>
      <c r="AP2553" t="s">
        <v>541</v>
      </c>
    </row>
    <row r="2554" spans="1:42">
      <c r="A2554" s="1">
        <v>43857</v>
      </c>
      <c r="B2554">
        <v>1</v>
      </c>
      <c r="C2554">
        <v>246</v>
      </c>
      <c r="D2554">
        <v>14389</v>
      </c>
      <c r="E2554" t="s">
        <v>112</v>
      </c>
      <c r="F2554" t="s">
        <v>90</v>
      </c>
      <c r="G2554">
        <v>4</v>
      </c>
      <c r="H2554">
        <v>49</v>
      </c>
      <c r="I2554" s="25">
        <v>2527</v>
      </c>
      <c r="K2554" t="s">
        <v>414</v>
      </c>
      <c r="L2554" t="s">
        <v>141</v>
      </c>
      <c r="M2554" t="s">
        <v>52</v>
      </c>
      <c r="N2554" t="s">
        <v>44</v>
      </c>
      <c r="O2554">
        <v>180</v>
      </c>
      <c r="Q2554">
        <f t="shared" si="73"/>
        <v>3</v>
      </c>
      <c r="S2554">
        <v>0</v>
      </c>
      <c r="T2554">
        <v>0</v>
      </c>
      <c r="U2554">
        <v>0</v>
      </c>
      <c r="V2554">
        <v>0</v>
      </c>
      <c r="W2554">
        <v>3</v>
      </c>
      <c r="X2554" s="21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J2554" t="s">
        <v>51</v>
      </c>
      <c r="AK2554" t="s">
        <v>52</v>
      </c>
      <c r="AL2554" t="s">
        <v>611</v>
      </c>
      <c r="AP2554" t="s">
        <v>541</v>
      </c>
    </row>
    <row r="2555" spans="1:42">
      <c r="A2555" s="1">
        <v>43857</v>
      </c>
      <c r="B2555">
        <v>1</v>
      </c>
      <c r="C2555">
        <v>246</v>
      </c>
      <c r="D2555">
        <v>14389</v>
      </c>
      <c r="E2555" t="s">
        <v>112</v>
      </c>
      <c r="F2555" t="s">
        <v>90</v>
      </c>
      <c r="G2555">
        <v>4</v>
      </c>
      <c r="H2555">
        <v>50</v>
      </c>
      <c r="I2555" s="25">
        <v>2444</v>
      </c>
      <c r="K2555" t="s">
        <v>414</v>
      </c>
      <c r="L2555" t="s">
        <v>114</v>
      </c>
      <c r="M2555" t="s">
        <v>52</v>
      </c>
      <c r="N2555" t="s">
        <v>44</v>
      </c>
      <c r="O2555">
        <v>298</v>
      </c>
      <c r="Q2555">
        <f t="shared" si="73"/>
        <v>3</v>
      </c>
      <c r="S2555">
        <v>0</v>
      </c>
      <c r="T2555">
        <v>0</v>
      </c>
      <c r="U2555">
        <v>0</v>
      </c>
      <c r="V2555">
        <v>0</v>
      </c>
      <c r="W2555">
        <v>3</v>
      </c>
      <c r="X2555" s="21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J2555" t="s">
        <v>51</v>
      </c>
      <c r="AK2555" t="s">
        <v>52</v>
      </c>
      <c r="AL2555" t="s">
        <v>611</v>
      </c>
      <c r="AP2555" t="s">
        <v>541</v>
      </c>
    </row>
    <row r="2556" spans="1:42">
      <c r="A2556" s="1">
        <v>43857</v>
      </c>
      <c r="B2556">
        <v>1</v>
      </c>
      <c r="C2556">
        <v>246</v>
      </c>
      <c r="D2556">
        <v>14389</v>
      </c>
      <c r="E2556" t="s">
        <v>112</v>
      </c>
      <c r="F2556" t="s">
        <v>90</v>
      </c>
      <c r="G2556">
        <v>4</v>
      </c>
      <c r="H2556">
        <v>51</v>
      </c>
      <c r="I2556" s="25">
        <v>2433</v>
      </c>
      <c r="K2556" t="s">
        <v>414</v>
      </c>
      <c r="L2556" t="s">
        <v>141</v>
      </c>
      <c r="M2556" t="s">
        <v>52</v>
      </c>
      <c r="N2556" t="s">
        <v>44</v>
      </c>
      <c r="O2556">
        <v>171</v>
      </c>
      <c r="Q2556">
        <f t="shared" si="73"/>
        <v>3</v>
      </c>
      <c r="S2556">
        <v>0</v>
      </c>
      <c r="T2556">
        <v>0</v>
      </c>
      <c r="U2556">
        <v>0</v>
      </c>
      <c r="V2556">
        <v>0</v>
      </c>
      <c r="W2556">
        <v>3</v>
      </c>
      <c r="X2556" s="21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J2556" t="s">
        <v>51</v>
      </c>
      <c r="AK2556" t="s">
        <v>52</v>
      </c>
      <c r="AL2556" t="s">
        <v>652</v>
      </c>
      <c r="AP2556" t="s">
        <v>541</v>
      </c>
    </row>
    <row r="2557" spans="1:42">
      <c r="A2557" s="1">
        <v>43857</v>
      </c>
      <c r="B2557">
        <v>1</v>
      </c>
      <c r="C2557">
        <v>246</v>
      </c>
      <c r="D2557">
        <v>14389</v>
      </c>
      <c r="E2557" t="s">
        <v>112</v>
      </c>
      <c r="F2557" t="s">
        <v>90</v>
      </c>
      <c r="G2557">
        <v>4</v>
      </c>
      <c r="H2557">
        <v>52</v>
      </c>
      <c r="I2557" s="25">
        <v>1330</v>
      </c>
      <c r="K2557" t="s">
        <v>156</v>
      </c>
      <c r="L2557" t="s">
        <v>141</v>
      </c>
      <c r="M2557" t="s">
        <v>52</v>
      </c>
      <c r="N2557" t="s">
        <v>44</v>
      </c>
      <c r="O2557">
        <v>437</v>
      </c>
      <c r="Q2557">
        <f t="shared" si="73"/>
        <v>6</v>
      </c>
      <c r="S2557">
        <v>0</v>
      </c>
      <c r="T2557">
        <v>0</v>
      </c>
      <c r="U2557">
        <v>0</v>
      </c>
      <c r="V2557">
        <v>0</v>
      </c>
      <c r="W2557">
        <v>6</v>
      </c>
      <c r="X2557" s="21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J2557" t="s">
        <v>54</v>
      </c>
      <c r="AK2557" t="s">
        <v>52</v>
      </c>
      <c r="AL2557" t="s">
        <v>611</v>
      </c>
      <c r="AP2557" t="s">
        <v>541</v>
      </c>
    </row>
    <row r="2558" spans="1:42">
      <c r="A2558" s="1">
        <v>43857</v>
      </c>
      <c r="B2558">
        <v>1</v>
      </c>
      <c r="C2558">
        <v>246</v>
      </c>
      <c r="D2558">
        <v>14389</v>
      </c>
      <c r="E2558" t="s">
        <v>112</v>
      </c>
      <c r="F2558" t="s">
        <v>90</v>
      </c>
      <c r="G2558">
        <v>4</v>
      </c>
      <c r="H2558">
        <v>53</v>
      </c>
      <c r="I2558" s="25" t="s">
        <v>653</v>
      </c>
      <c r="K2558" t="s">
        <v>156</v>
      </c>
      <c r="L2558" t="s">
        <v>114</v>
      </c>
      <c r="M2558" t="s">
        <v>52</v>
      </c>
      <c r="N2558" t="s">
        <v>44</v>
      </c>
      <c r="O2558">
        <v>77</v>
      </c>
      <c r="Q2558">
        <f t="shared" si="73"/>
        <v>2</v>
      </c>
      <c r="S2558">
        <v>0</v>
      </c>
      <c r="T2558">
        <v>0</v>
      </c>
      <c r="U2558">
        <v>0</v>
      </c>
      <c r="V2558">
        <v>0</v>
      </c>
      <c r="W2558">
        <v>2</v>
      </c>
      <c r="X2558" s="21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J2558" t="s">
        <v>54</v>
      </c>
      <c r="AK2558" t="s">
        <v>52</v>
      </c>
      <c r="AL2558" t="s">
        <v>611</v>
      </c>
      <c r="AP2558" t="s">
        <v>541</v>
      </c>
    </row>
    <row r="2559" spans="1:42">
      <c r="A2559" s="1">
        <v>43857</v>
      </c>
      <c r="B2559">
        <v>1</v>
      </c>
      <c r="C2559">
        <v>246</v>
      </c>
      <c r="D2559">
        <v>14389</v>
      </c>
      <c r="E2559" t="s">
        <v>112</v>
      </c>
      <c r="F2559" t="s">
        <v>90</v>
      </c>
      <c r="G2559">
        <v>4</v>
      </c>
      <c r="H2559">
        <v>54</v>
      </c>
      <c r="I2559" s="25">
        <v>1440</v>
      </c>
      <c r="K2559" t="s">
        <v>156</v>
      </c>
      <c r="L2559" t="s">
        <v>114</v>
      </c>
      <c r="M2559" t="s">
        <v>52</v>
      </c>
      <c r="N2559" t="s">
        <v>44</v>
      </c>
      <c r="O2559">
        <v>185</v>
      </c>
      <c r="Q2559">
        <f t="shared" si="73"/>
        <v>6</v>
      </c>
      <c r="S2559">
        <v>0</v>
      </c>
      <c r="T2559">
        <v>0</v>
      </c>
      <c r="U2559">
        <v>0</v>
      </c>
      <c r="V2559">
        <v>0</v>
      </c>
      <c r="W2559">
        <v>6</v>
      </c>
      <c r="X2559" s="21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J2559" t="s">
        <v>54</v>
      </c>
      <c r="AK2559" t="s">
        <v>52</v>
      </c>
      <c r="AL2559" t="s">
        <v>611</v>
      </c>
      <c r="AP2559" t="s">
        <v>541</v>
      </c>
    </row>
    <row r="2560" spans="1:42">
      <c r="A2560" s="1">
        <v>43857</v>
      </c>
      <c r="B2560">
        <v>1</v>
      </c>
      <c r="C2560">
        <v>246</v>
      </c>
      <c r="D2560">
        <v>14389</v>
      </c>
      <c r="E2560" t="s">
        <v>112</v>
      </c>
      <c r="F2560" t="s">
        <v>90</v>
      </c>
      <c r="G2560">
        <v>4</v>
      </c>
      <c r="H2560">
        <v>55</v>
      </c>
      <c r="I2560" s="25">
        <v>1455</v>
      </c>
      <c r="K2560" t="s">
        <v>148</v>
      </c>
      <c r="L2560" t="s">
        <v>141</v>
      </c>
      <c r="M2560" t="s">
        <v>52</v>
      </c>
      <c r="N2560" t="s">
        <v>44</v>
      </c>
      <c r="O2560">
        <f>60*12+14</f>
        <v>734</v>
      </c>
      <c r="Q2560">
        <f t="shared" si="73"/>
        <v>6</v>
      </c>
      <c r="S2560">
        <v>0</v>
      </c>
      <c r="T2560">
        <v>0</v>
      </c>
      <c r="U2560">
        <v>0</v>
      </c>
      <c r="V2560">
        <v>0</v>
      </c>
      <c r="W2560">
        <v>6</v>
      </c>
      <c r="X2560" s="21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J2560" t="s">
        <v>54</v>
      </c>
      <c r="AK2560" t="s">
        <v>52</v>
      </c>
      <c r="AL2560" t="s">
        <v>611</v>
      </c>
      <c r="AP2560" t="s">
        <v>541</v>
      </c>
    </row>
    <row r="2561" spans="1:42">
      <c r="A2561" s="1">
        <v>43857</v>
      </c>
      <c r="B2561">
        <v>1</v>
      </c>
      <c r="C2561">
        <v>246</v>
      </c>
      <c r="D2561">
        <v>14389</v>
      </c>
      <c r="E2561" t="s">
        <v>112</v>
      </c>
      <c r="F2561" t="s">
        <v>90</v>
      </c>
      <c r="G2561">
        <v>4</v>
      </c>
      <c r="H2561">
        <v>56</v>
      </c>
      <c r="I2561" s="25">
        <v>1380</v>
      </c>
      <c r="K2561" t="s">
        <v>148</v>
      </c>
      <c r="L2561" t="s">
        <v>114</v>
      </c>
      <c r="M2561" t="s">
        <v>52</v>
      </c>
      <c r="N2561" t="s">
        <v>44</v>
      </c>
      <c r="O2561">
        <v>165</v>
      </c>
      <c r="Q2561">
        <f t="shared" si="73"/>
        <v>2</v>
      </c>
      <c r="S2561">
        <v>0</v>
      </c>
      <c r="T2561">
        <v>0</v>
      </c>
      <c r="U2561">
        <v>0</v>
      </c>
      <c r="V2561">
        <v>0</v>
      </c>
      <c r="W2561">
        <v>2</v>
      </c>
      <c r="X2561" s="2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J2561" t="s">
        <v>54</v>
      </c>
      <c r="AK2561" t="s">
        <v>52</v>
      </c>
      <c r="AL2561" t="s">
        <v>611</v>
      </c>
      <c r="AP2561" t="s">
        <v>541</v>
      </c>
    </row>
    <row r="2562" spans="1:42">
      <c r="A2562" s="1">
        <v>43857</v>
      </c>
      <c r="B2562">
        <v>1</v>
      </c>
      <c r="C2562">
        <v>246</v>
      </c>
      <c r="D2562">
        <v>14389</v>
      </c>
      <c r="E2562" t="s">
        <v>112</v>
      </c>
      <c r="F2562" t="s">
        <v>90</v>
      </c>
      <c r="G2562">
        <v>4</v>
      </c>
      <c r="H2562">
        <v>57</v>
      </c>
      <c r="I2562" s="25">
        <v>1382</v>
      </c>
      <c r="K2562" t="s">
        <v>148</v>
      </c>
      <c r="L2562" t="s">
        <v>114</v>
      </c>
      <c r="M2562" t="s">
        <v>52</v>
      </c>
      <c r="N2562" t="s">
        <v>44</v>
      </c>
      <c r="O2562">
        <v>300</v>
      </c>
      <c r="Q2562">
        <f t="shared" si="73"/>
        <v>2</v>
      </c>
      <c r="S2562">
        <v>0</v>
      </c>
      <c r="T2562">
        <v>0</v>
      </c>
      <c r="U2562">
        <v>0</v>
      </c>
      <c r="V2562">
        <v>0</v>
      </c>
      <c r="W2562">
        <v>2</v>
      </c>
      <c r="X2562" s="21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J2562" t="s">
        <v>54</v>
      </c>
      <c r="AK2562" t="s">
        <v>52</v>
      </c>
      <c r="AL2562" t="s">
        <v>611</v>
      </c>
      <c r="AP2562" t="s">
        <v>541</v>
      </c>
    </row>
    <row r="2563" spans="1:42">
      <c r="A2563" s="1">
        <v>43857</v>
      </c>
      <c r="B2563">
        <v>1</v>
      </c>
      <c r="C2563">
        <v>246</v>
      </c>
      <c r="D2563">
        <v>14389</v>
      </c>
      <c r="E2563" t="s">
        <v>112</v>
      </c>
      <c r="F2563" t="s">
        <v>90</v>
      </c>
      <c r="G2563">
        <v>4</v>
      </c>
      <c r="H2563">
        <v>58</v>
      </c>
      <c r="I2563" s="25">
        <v>1455</v>
      </c>
      <c r="K2563" t="s">
        <v>213</v>
      </c>
      <c r="L2563" t="s">
        <v>141</v>
      </c>
      <c r="M2563" t="s">
        <v>52</v>
      </c>
      <c r="N2563" t="s">
        <v>44</v>
      </c>
      <c r="O2563">
        <v>427</v>
      </c>
      <c r="Q2563">
        <f t="shared" si="73"/>
        <v>2</v>
      </c>
      <c r="S2563">
        <v>0</v>
      </c>
      <c r="T2563">
        <v>0</v>
      </c>
      <c r="U2563">
        <v>0</v>
      </c>
      <c r="V2563">
        <v>0</v>
      </c>
      <c r="W2563">
        <v>2</v>
      </c>
      <c r="X2563" s="21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J2563" t="s">
        <v>54</v>
      </c>
      <c r="AK2563" t="s">
        <v>52</v>
      </c>
      <c r="AL2563" t="s">
        <v>611</v>
      </c>
      <c r="AP2563" t="s">
        <v>541</v>
      </c>
    </row>
    <row r="2564" spans="1:42">
      <c r="A2564" s="1">
        <v>43857</v>
      </c>
      <c r="B2564">
        <v>1</v>
      </c>
      <c r="C2564">
        <v>246</v>
      </c>
      <c r="D2564">
        <v>14389</v>
      </c>
      <c r="E2564" t="s">
        <v>112</v>
      </c>
      <c r="F2564" t="s">
        <v>90</v>
      </c>
      <c r="G2564">
        <v>4</v>
      </c>
      <c r="H2564">
        <v>59</v>
      </c>
      <c r="I2564" s="25">
        <v>1445</v>
      </c>
      <c r="K2564" t="s">
        <v>213</v>
      </c>
      <c r="L2564" t="s">
        <v>141</v>
      </c>
      <c r="M2564" t="s">
        <v>52</v>
      </c>
      <c r="N2564" t="s">
        <v>44</v>
      </c>
      <c r="O2564">
        <v>258</v>
      </c>
      <c r="Q2564">
        <f t="shared" si="73"/>
        <v>2</v>
      </c>
      <c r="S2564">
        <v>0</v>
      </c>
      <c r="T2564">
        <v>0</v>
      </c>
      <c r="U2564">
        <v>0</v>
      </c>
      <c r="V2564">
        <v>0</v>
      </c>
      <c r="W2564">
        <v>2</v>
      </c>
      <c r="X2564" s="21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J2564" t="s">
        <v>54</v>
      </c>
      <c r="AK2564" t="s">
        <v>52</v>
      </c>
      <c r="AL2564" t="s">
        <v>611</v>
      </c>
      <c r="AP2564" t="s">
        <v>541</v>
      </c>
    </row>
    <row r="2565" spans="1:42">
      <c r="A2565" s="1">
        <v>43857</v>
      </c>
      <c r="B2565">
        <v>1</v>
      </c>
      <c r="C2565">
        <v>246</v>
      </c>
      <c r="D2565">
        <v>14389</v>
      </c>
      <c r="E2565" t="s">
        <v>112</v>
      </c>
      <c r="F2565" t="s">
        <v>90</v>
      </c>
      <c r="G2565">
        <v>4</v>
      </c>
      <c r="H2565">
        <v>60</v>
      </c>
      <c r="I2565" s="25">
        <v>2415</v>
      </c>
      <c r="K2565" t="s">
        <v>420</v>
      </c>
      <c r="L2565" t="s">
        <v>141</v>
      </c>
      <c r="M2565" t="s">
        <v>52</v>
      </c>
      <c r="N2565" t="s">
        <v>44</v>
      </c>
      <c r="O2565">
        <v>152</v>
      </c>
      <c r="Q2565">
        <f t="shared" si="73"/>
        <v>2</v>
      </c>
      <c r="S2565">
        <v>0</v>
      </c>
      <c r="T2565">
        <v>0</v>
      </c>
      <c r="U2565">
        <v>0</v>
      </c>
      <c r="V2565">
        <v>0</v>
      </c>
      <c r="W2565">
        <v>2</v>
      </c>
      <c r="X2565" s="21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J2565" t="s">
        <v>54</v>
      </c>
      <c r="AK2565" t="s">
        <v>52</v>
      </c>
      <c r="AL2565" t="s">
        <v>611</v>
      </c>
      <c r="AP2565" t="s">
        <v>541</v>
      </c>
    </row>
    <row r="2566" spans="1:42">
      <c r="A2566" s="1">
        <v>43857</v>
      </c>
      <c r="B2566">
        <v>1</v>
      </c>
      <c r="C2566">
        <v>246</v>
      </c>
      <c r="D2566">
        <v>14389</v>
      </c>
      <c r="E2566" t="s">
        <v>112</v>
      </c>
      <c r="F2566" t="s">
        <v>90</v>
      </c>
      <c r="G2566">
        <v>4</v>
      </c>
      <c r="H2566">
        <v>61</v>
      </c>
      <c r="I2566" s="25">
        <v>2600</v>
      </c>
      <c r="K2566" t="s">
        <v>415</v>
      </c>
      <c r="L2566" t="s">
        <v>114</v>
      </c>
      <c r="M2566" t="s">
        <v>52</v>
      </c>
      <c r="N2566" t="s">
        <v>44</v>
      </c>
      <c r="O2566">
        <v>418</v>
      </c>
      <c r="Q2566">
        <f t="shared" si="73"/>
        <v>4</v>
      </c>
      <c r="S2566">
        <v>0</v>
      </c>
      <c r="T2566">
        <v>0</v>
      </c>
      <c r="U2566">
        <v>0</v>
      </c>
      <c r="V2566">
        <v>0</v>
      </c>
      <c r="W2566">
        <v>4</v>
      </c>
      <c r="X2566" s="21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J2566" t="s">
        <v>54</v>
      </c>
      <c r="AK2566" t="s">
        <v>52</v>
      </c>
      <c r="AL2566" t="s">
        <v>611</v>
      </c>
      <c r="AP2566" t="s">
        <v>541</v>
      </c>
    </row>
    <row r="2567" spans="1:42">
      <c r="A2567" s="1">
        <v>43857</v>
      </c>
      <c r="B2567">
        <v>1</v>
      </c>
      <c r="C2567">
        <v>246</v>
      </c>
      <c r="D2567">
        <v>14389</v>
      </c>
      <c r="E2567" t="s">
        <v>112</v>
      </c>
      <c r="F2567" t="s">
        <v>90</v>
      </c>
      <c r="G2567">
        <v>4</v>
      </c>
      <c r="H2567">
        <v>62</v>
      </c>
      <c r="I2567" s="25">
        <v>2642</v>
      </c>
      <c r="K2567" t="s">
        <v>415</v>
      </c>
      <c r="L2567" t="s">
        <v>114</v>
      </c>
      <c r="M2567" t="s">
        <v>52</v>
      </c>
      <c r="N2567" t="s">
        <v>44</v>
      </c>
      <c r="O2567">
        <v>206</v>
      </c>
      <c r="Q2567">
        <f t="shared" si="73"/>
        <v>2</v>
      </c>
      <c r="S2567">
        <v>0</v>
      </c>
      <c r="T2567">
        <v>0</v>
      </c>
      <c r="U2567">
        <v>0</v>
      </c>
      <c r="V2567">
        <v>0</v>
      </c>
      <c r="W2567">
        <v>2</v>
      </c>
      <c r="X2567" s="21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J2567" t="s">
        <v>54</v>
      </c>
      <c r="AK2567" t="s">
        <v>52</v>
      </c>
      <c r="AL2567" t="s">
        <v>590</v>
      </c>
      <c r="AP2567" t="s">
        <v>541</v>
      </c>
    </row>
    <row r="2568" spans="1:42">
      <c r="A2568" s="1">
        <v>43857</v>
      </c>
      <c r="B2568">
        <v>1</v>
      </c>
      <c r="C2568">
        <v>246</v>
      </c>
      <c r="D2568">
        <v>14389</v>
      </c>
      <c r="E2568" t="s">
        <v>112</v>
      </c>
      <c r="F2568" t="s">
        <v>90</v>
      </c>
      <c r="G2568">
        <v>4</v>
      </c>
      <c r="H2568">
        <v>63</v>
      </c>
      <c r="I2568" s="25">
        <v>1415</v>
      </c>
      <c r="K2568" t="s">
        <v>628</v>
      </c>
      <c r="L2568" t="s">
        <v>141</v>
      </c>
      <c r="M2568" t="s">
        <v>52</v>
      </c>
      <c r="N2568" t="s">
        <v>44</v>
      </c>
      <c r="O2568">
        <v>165</v>
      </c>
      <c r="Q2568">
        <f t="shared" si="73"/>
        <v>2</v>
      </c>
      <c r="S2568">
        <v>0</v>
      </c>
      <c r="T2568">
        <v>0</v>
      </c>
      <c r="U2568">
        <v>0</v>
      </c>
      <c r="V2568">
        <v>0</v>
      </c>
      <c r="W2568">
        <v>2</v>
      </c>
      <c r="X2568" s="21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J2568" t="s">
        <v>54</v>
      </c>
      <c r="AK2568" t="s">
        <v>52</v>
      </c>
      <c r="AL2568" t="s">
        <v>590</v>
      </c>
      <c r="AP2568" t="s">
        <v>541</v>
      </c>
    </row>
    <row r="2569" spans="1:42">
      <c r="A2569" s="1">
        <v>43857</v>
      </c>
      <c r="B2569">
        <v>1</v>
      </c>
      <c r="C2569">
        <v>246</v>
      </c>
      <c r="D2569">
        <v>14389</v>
      </c>
      <c r="E2569" t="s">
        <v>112</v>
      </c>
      <c r="F2569" t="s">
        <v>90</v>
      </c>
      <c r="G2569">
        <v>4</v>
      </c>
      <c r="H2569">
        <v>64</v>
      </c>
      <c r="I2569" s="25">
        <v>1418</v>
      </c>
      <c r="K2569" t="s">
        <v>628</v>
      </c>
      <c r="L2569" t="s">
        <v>114</v>
      </c>
      <c r="M2569" t="s">
        <v>52</v>
      </c>
      <c r="N2569" t="s">
        <v>44</v>
      </c>
      <c r="O2569">
        <v>215</v>
      </c>
      <c r="Q2569">
        <f t="shared" si="73"/>
        <v>2</v>
      </c>
      <c r="S2569">
        <v>0</v>
      </c>
      <c r="T2569">
        <v>0</v>
      </c>
      <c r="U2569">
        <v>0</v>
      </c>
      <c r="V2569">
        <v>0</v>
      </c>
      <c r="W2569">
        <v>2</v>
      </c>
      <c r="X2569" s="21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J2569" t="s">
        <v>54</v>
      </c>
      <c r="AK2569" t="s">
        <v>52</v>
      </c>
      <c r="AL2569" t="s">
        <v>611</v>
      </c>
      <c r="AP2569" t="s">
        <v>541</v>
      </c>
    </row>
    <row r="2570" spans="1:42">
      <c r="A2570" s="1">
        <v>43857</v>
      </c>
      <c r="B2570">
        <v>1</v>
      </c>
      <c r="C2570">
        <v>246</v>
      </c>
      <c r="D2570">
        <v>14389</v>
      </c>
      <c r="E2570" t="s">
        <v>112</v>
      </c>
      <c r="F2570" t="s">
        <v>90</v>
      </c>
      <c r="G2570">
        <v>4</v>
      </c>
      <c r="H2570">
        <v>65</v>
      </c>
      <c r="I2570" s="25">
        <v>1429</v>
      </c>
      <c r="K2570" t="s">
        <v>628</v>
      </c>
      <c r="L2570" t="s">
        <v>141</v>
      </c>
      <c r="M2570" t="s">
        <v>52</v>
      </c>
      <c r="N2570" t="s">
        <v>44</v>
      </c>
      <c r="O2570">
        <v>205</v>
      </c>
      <c r="Q2570">
        <f t="shared" si="73"/>
        <v>2</v>
      </c>
      <c r="S2570">
        <v>0</v>
      </c>
      <c r="T2570">
        <v>0</v>
      </c>
      <c r="U2570">
        <v>0</v>
      </c>
      <c r="V2570">
        <v>0</v>
      </c>
      <c r="W2570">
        <v>2</v>
      </c>
      <c r="X2570" s="21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J2570" t="s">
        <v>54</v>
      </c>
      <c r="AK2570" t="s">
        <v>52</v>
      </c>
      <c r="AL2570" t="s">
        <v>611</v>
      </c>
      <c r="AP2570" t="s">
        <v>541</v>
      </c>
    </row>
    <row r="2571" spans="1:42">
      <c r="A2571" s="1">
        <v>43857</v>
      </c>
      <c r="B2571">
        <v>1</v>
      </c>
      <c r="C2571">
        <v>246</v>
      </c>
      <c r="D2571">
        <v>14389</v>
      </c>
      <c r="E2571" t="s">
        <v>112</v>
      </c>
      <c r="F2571" t="s">
        <v>90</v>
      </c>
      <c r="G2571">
        <v>4</v>
      </c>
      <c r="H2571">
        <v>66</v>
      </c>
      <c r="I2571" s="25">
        <v>1312</v>
      </c>
      <c r="K2571" t="s">
        <v>647</v>
      </c>
      <c r="L2571" t="s">
        <v>114</v>
      </c>
      <c r="M2571" t="s">
        <v>52</v>
      </c>
      <c r="N2571" t="s">
        <v>44</v>
      </c>
      <c r="O2571">
        <v>58</v>
      </c>
      <c r="Q2571">
        <f t="shared" si="73"/>
        <v>1</v>
      </c>
      <c r="S2571">
        <v>0</v>
      </c>
      <c r="T2571">
        <v>0</v>
      </c>
      <c r="U2571">
        <v>0</v>
      </c>
      <c r="V2571">
        <v>0</v>
      </c>
      <c r="W2571">
        <v>1</v>
      </c>
      <c r="X2571" s="2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J2571" t="s">
        <v>54</v>
      </c>
      <c r="AK2571" t="s">
        <v>52</v>
      </c>
      <c r="AL2571" t="s">
        <v>611</v>
      </c>
      <c r="AP2571" t="s">
        <v>541</v>
      </c>
    </row>
    <row r="2572" spans="1:42">
      <c r="A2572" s="1">
        <v>43857</v>
      </c>
      <c r="B2572">
        <v>1</v>
      </c>
      <c r="C2572">
        <v>246</v>
      </c>
      <c r="D2572">
        <v>14389</v>
      </c>
      <c r="E2572" t="s">
        <v>112</v>
      </c>
      <c r="F2572" t="s">
        <v>90</v>
      </c>
      <c r="G2572">
        <v>4</v>
      </c>
      <c r="H2572">
        <v>67</v>
      </c>
      <c r="I2572" s="25">
        <v>1501</v>
      </c>
      <c r="K2572" t="s">
        <v>628</v>
      </c>
      <c r="L2572" t="s">
        <v>141</v>
      </c>
      <c r="M2572" t="s">
        <v>95</v>
      </c>
      <c r="N2572" t="s">
        <v>44</v>
      </c>
      <c r="O2572">
        <v>240</v>
      </c>
      <c r="Q2572">
        <f t="shared" si="73"/>
        <v>4</v>
      </c>
      <c r="S2572">
        <v>0</v>
      </c>
      <c r="T2572">
        <v>0</v>
      </c>
      <c r="U2572">
        <v>0</v>
      </c>
      <c r="V2572">
        <v>1</v>
      </c>
      <c r="W2572">
        <v>3</v>
      </c>
      <c r="X2572" s="21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J2572" t="s">
        <v>54</v>
      </c>
      <c r="AK2572" t="s">
        <v>52</v>
      </c>
      <c r="AL2572" t="s">
        <v>611</v>
      </c>
      <c r="AP2572" t="s">
        <v>541</v>
      </c>
    </row>
    <row r="2573" spans="1:42">
      <c r="A2573" s="1">
        <v>43857</v>
      </c>
      <c r="B2573">
        <v>1</v>
      </c>
      <c r="C2573">
        <v>246</v>
      </c>
      <c r="D2573">
        <v>14389</v>
      </c>
      <c r="E2573" t="s">
        <v>112</v>
      </c>
      <c r="F2573" t="s">
        <v>90</v>
      </c>
      <c r="G2573">
        <v>4</v>
      </c>
      <c r="H2573">
        <v>68</v>
      </c>
      <c r="I2573" s="25">
        <v>1515</v>
      </c>
      <c r="K2573" t="s">
        <v>628</v>
      </c>
      <c r="L2573" t="s">
        <v>141</v>
      </c>
      <c r="M2573" t="s">
        <v>52</v>
      </c>
      <c r="N2573" t="s">
        <v>44</v>
      </c>
      <c r="O2573">
        <v>90</v>
      </c>
      <c r="Q2573">
        <f t="shared" si="73"/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 s="21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1</v>
      </c>
      <c r="AG2573">
        <v>0</v>
      </c>
      <c r="AJ2573" t="s">
        <v>54</v>
      </c>
      <c r="AK2573" t="s">
        <v>52</v>
      </c>
      <c r="AL2573" t="s">
        <v>611</v>
      </c>
      <c r="AP2573" t="s">
        <v>541</v>
      </c>
    </row>
    <row r="2574" spans="1:42">
      <c r="A2574" s="1">
        <v>43857</v>
      </c>
      <c r="B2574">
        <v>1</v>
      </c>
      <c r="C2574">
        <v>246</v>
      </c>
      <c r="D2574">
        <v>14389</v>
      </c>
      <c r="E2574" t="s">
        <v>112</v>
      </c>
      <c r="F2574" t="s">
        <v>90</v>
      </c>
      <c r="G2574">
        <v>4</v>
      </c>
      <c r="H2574">
        <v>69</v>
      </c>
      <c r="I2574" s="25">
        <v>1610</v>
      </c>
      <c r="K2574" t="s">
        <v>628</v>
      </c>
      <c r="L2574" t="s">
        <v>114</v>
      </c>
      <c r="M2574" t="s">
        <v>52</v>
      </c>
      <c r="N2574" t="s">
        <v>44</v>
      </c>
      <c r="O2574">
        <v>100</v>
      </c>
      <c r="Q2574">
        <f t="shared" si="73"/>
        <v>2</v>
      </c>
      <c r="S2574">
        <v>0</v>
      </c>
      <c r="T2574">
        <v>0</v>
      </c>
      <c r="U2574">
        <v>0</v>
      </c>
      <c r="V2574">
        <v>2</v>
      </c>
      <c r="W2574">
        <v>0</v>
      </c>
      <c r="X2574" s="21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J2574" t="s">
        <v>54</v>
      </c>
      <c r="AK2574" t="s">
        <v>52</v>
      </c>
      <c r="AL2574" t="s">
        <v>611</v>
      </c>
      <c r="AP2574" t="s">
        <v>541</v>
      </c>
    </row>
    <row r="2575" spans="1:42">
      <c r="A2575" s="1">
        <v>43857</v>
      </c>
      <c r="B2575">
        <v>1</v>
      </c>
      <c r="C2575">
        <v>246</v>
      </c>
      <c r="D2575">
        <v>14389</v>
      </c>
      <c r="E2575" t="s">
        <v>112</v>
      </c>
      <c r="F2575" t="s">
        <v>90</v>
      </c>
      <c r="G2575">
        <v>4</v>
      </c>
      <c r="H2575">
        <v>70</v>
      </c>
      <c r="I2575" s="25">
        <v>1620</v>
      </c>
      <c r="K2575" t="s">
        <v>628</v>
      </c>
      <c r="L2575" t="s">
        <v>114</v>
      </c>
      <c r="M2575" t="s">
        <v>52</v>
      </c>
      <c r="N2575" t="s">
        <v>44</v>
      </c>
      <c r="O2575">
        <v>135</v>
      </c>
      <c r="Q2575">
        <f t="shared" si="73"/>
        <v>3</v>
      </c>
      <c r="S2575">
        <v>0</v>
      </c>
      <c r="T2575">
        <v>0</v>
      </c>
      <c r="U2575">
        <v>0</v>
      </c>
      <c r="V2575">
        <v>3</v>
      </c>
      <c r="W2575">
        <v>0</v>
      </c>
      <c r="X2575" s="21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J2575" t="s">
        <v>54</v>
      </c>
      <c r="AK2575" t="s">
        <v>52</v>
      </c>
      <c r="AL2575" t="s">
        <v>611</v>
      </c>
      <c r="AP2575" t="s">
        <v>541</v>
      </c>
    </row>
    <row r="2576" spans="1:42">
      <c r="A2576" s="1">
        <v>43857</v>
      </c>
      <c r="B2576">
        <v>1</v>
      </c>
      <c r="C2576">
        <v>246</v>
      </c>
      <c r="D2576">
        <v>14389</v>
      </c>
      <c r="E2576" t="s">
        <v>112</v>
      </c>
      <c r="F2576" t="s">
        <v>90</v>
      </c>
      <c r="G2576">
        <v>4</v>
      </c>
      <c r="H2576">
        <v>71</v>
      </c>
      <c r="I2576" s="25">
        <v>1625</v>
      </c>
      <c r="K2576" t="s">
        <v>628</v>
      </c>
      <c r="L2576" t="s">
        <v>141</v>
      </c>
      <c r="M2576" t="s">
        <v>52</v>
      </c>
      <c r="N2576" t="s">
        <v>44</v>
      </c>
      <c r="O2576">
        <v>155</v>
      </c>
      <c r="Q2576">
        <f t="shared" si="73"/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 s="21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1</v>
      </c>
      <c r="AJ2576" t="s">
        <v>54</v>
      </c>
      <c r="AK2576" t="s">
        <v>52</v>
      </c>
      <c r="AL2576" t="s">
        <v>611</v>
      </c>
      <c r="AP2576" t="s">
        <v>541</v>
      </c>
    </row>
    <row r="2577" spans="1:42">
      <c r="A2577" s="1">
        <v>43857</v>
      </c>
      <c r="B2577">
        <v>1</v>
      </c>
      <c r="C2577">
        <v>246</v>
      </c>
      <c r="D2577">
        <v>14389</v>
      </c>
      <c r="E2577" t="s">
        <v>112</v>
      </c>
      <c r="F2577" t="s">
        <v>90</v>
      </c>
      <c r="G2577">
        <v>4</v>
      </c>
      <c r="H2577">
        <v>72</v>
      </c>
      <c r="I2577" s="25">
        <v>1449</v>
      </c>
      <c r="K2577" t="s">
        <v>628</v>
      </c>
      <c r="L2577" t="s">
        <v>141</v>
      </c>
      <c r="M2577" t="s">
        <v>52</v>
      </c>
      <c r="N2577" t="s">
        <v>44</v>
      </c>
      <c r="O2577">
        <v>60</v>
      </c>
      <c r="Q2577">
        <f t="shared" si="73"/>
        <v>1</v>
      </c>
      <c r="S2577">
        <v>0</v>
      </c>
      <c r="T2577">
        <v>0</v>
      </c>
      <c r="U2577">
        <v>0</v>
      </c>
      <c r="V2577">
        <v>0</v>
      </c>
      <c r="W2577">
        <v>1</v>
      </c>
      <c r="X2577" s="21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J2577" t="s">
        <v>54</v>
      </c>
      <c r="AK2577" t="s">
        <v>52</v>
      </c>
      <c r="AL2577" t="s">
        <v>612</v>
      </c>
      <c r="AP2577" t="s">
        <v>541</v>
      </c>
    </row>
    <row r="2578" spans="1:42">
      <c r="A2578" s="1">
        <v>43857</v>
      </c>
      <c r="B2578">
        <v>1</v>
      </c>
      <c r="C2578">
        <v>246</v>
      </c>
      <c r="D2578">
        <v>14389</v>
      </c>
      <c r="E2578" t="s">
        <v>112</v>
      </c>
      <c r="F2578" t="s">
        <v>90</v>
      </c>
      <c r="G2578">
        <v>4</v>
      </c>
      <c r="H2578">
        <v>73</v>
      </c>
      <c r="I2578" s="25">
        <v>1430</v>
      </c>
      <c r="K2578" t="s">
        <v>628</v>
      </c>
      <c r="L2578" t="s">
        <v>114</v>
      </c>
      <c r="M2578" t="s">
        <v>52</v>
      </c>
      <c r="N2578" t="s">
        <v>44</v>
      </c>
      <c r="Q2578">
        <f t="shared" si="73"/>
        <v>1</v>
      </c>
      <c r="S2578">
        <v>0</v>
      </c>
      <c r="T2578">
        <v>0</v>
      </c>
      <c r="U2578">
        <v>0</v>
      </c>
      <c r="V2578">
        <v>0</v>
      </c>
      <c r="W2578">
        <v>1</v>
      </c>
      <c r="X2578" s="21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J2578" t="s">
        <v>54</v>
      </c>
      <c r="AK2578" t="s">
        <v>52</v>
      </c>
      <c r="AL2578" t="s">
        <v>611</v>
      </c>
      <c r="AP2578" t="s">
        <v>541</v>
      </c>
    </row>
    <row r="2579" spans="1:42">
      <c r="A2579" s="1">
        <v>43857</v>
      </c>
      <c r="B2579">
        <v>1</v>
      </c>
      <c r="C2579">
        <v>246</v>
      </c>
      <c r="D2579">
        <v>14389</v>
      </c>
      <c r="E2579" t="s">
        <v>112</v>
      </c>
      <c r="F2579" t="s">
        <v>90</v>
      </c>
      <c r="G2579">
        <v>4</v>
      </c>
      <c r="H2579">
        <v>74</v>
      </c>
      <c r="I2579" s="25">
        <v>1310</v>
      </c>
      <c r="K2579" t="s">
        <v>213</v>
      </c>
      <c r="L2579" t="s">
        <v>114</v>
      </c>
      <c r="M2579" t="s">
        <v>52</v>
      </c>
      <c r="N2579" t="s">
        <v>44</v>
      </c>
      <c r="O2579">
        <v>244</v>
      </c>
      <c r="Q2579">
        <f t="shared" si="73"/>
        <v>2</v>
      </c>
      <c r="S2579">
        <v>0</v>
      </c>
      <c r="T2579">
        <v>0</v>
      </c>
      <c r="U2579">
        <v>0</v>
      </c>
      <c r="V2579">
        <v>1</v>
      </c>
      <c r="W2579">
        <v>1</v>
      </c>
      <c r="X2579" s="21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1</v>
      </c>
      <c r="AG2579">
        <v>0</v>
      </c>
      <c r="AJ2579" t="s">
        <v>54</v>
      </c>
      <c r="AK2579" t="s">
        <v>52</v>
      </c>
      <c r="AL2579" t="s">
        <v>611</v>
      </c>
      <c r="AP2579" t="s">
        <v>541</v>
      </c>
    </row>
    <row r="2580" spans="1:42">
      <c r="A2580" s="9">
        <v>43839</v>
      </c>
      <c r="B2580">
        <v>4</v>
      </c>
      <c r="C2580">
        <v>980</v>
      </c>
      <c r="D2580">
        <v>10266</v>
      </c>
      <c r="E2580" t="s">
        <v>37</v>
      </c>
      <c r="F2580" t="s">
        <v>520</v>
      </c>
      <c r="G2580">
        <v>2</v>
      </c>
      <c r="H2580">
        <v>1</v>
      </c>
      <c r="I2580" s="25">
        <v>1418</v>
      </c>
      <c r="K2580" t="s">
        <v>91</v>
      </c>
      <c r="L2580" t="s">
        <v>114</v>
      </c>
      <c r="M2580" t="s">
        <v>52</v>
      </c>
      <c r="N2580" t="s">
        <v>44</v>
      </c>
      <c r="O2580">
        <v>75</v>
      </c>
      <c r="Q2580">
        <v>1</v>
      </c>
      <c r="R2580">
        <v>1</v>
      </c>
      <c r="S2580">
        <v>0</v>
      </c>
      <c r="T2580">
        <v>0</v>
      </c>
      <c r="U2580">
        <v>0</v>
      </c>
      <c r="V2580">
        <v>0</v>
      </c>
      <c r="W2580">
        <v>1</v>
      </c>
      <c r="X2580" s="21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J2580" t="s">
        <v>54</v>
      </c>
      <c r="AK2580" t="s">
        <v>52</v>
      </c>
      <c r="AL2580" t="s">
        <v>654</v>
      </c>
      <c r="AP2580" t="s">
        <v>116</v>
      </c>
    </row>
    <row r="2581" spans="1:42">
      <c r="A2581" s="9">
        <v>43839</v>
      </c>
      <c r="B2581">
        <v>4</v>
      </c>
      <c r="C2581">
        <v>980</v>
      </c>
      <c r="D2581">
        <v>10266</v>
      </c>
      <c r="E2581" t="s">
        <v>37</v>
      </c>
      <c r="F2581" t="s">
        <v>520</v>
      </c>
      <c r="G2581">
        <v>2</v>
      </c>
      <c r="H2581">
        <v>2</v>
      </c>
      <c r="I2581" s="25">
        <v>1430</v>
      </c>
      <c r="K2581" t="s">
        <v>91</v>
      </c>
      <c r="L2581" t="s">
        <v>114</v>
      </c>
      <c r="M2581" t="s">
        <v>52</v>
      </c>
      <c r="N2581" t="s">
        <v>44</v>
      </c>
      <c r="O2581">
        <v>70</v>
      </c>
      <c r="Q2581">
        <v>1</v>
      </c>
      <c r="R2581">
        <v>1</v>
      </c>
      <c r="S2581">
        <v>0</v>
      </c>
      <c r="T2581">
        <v>0</v>
      </c>
      <c r="U2581">
        <v>0</v>
      </c>
      <c r="V2581">
        <v>0</v>
      </c>
      <c r="W2581">
        <v>1</v>
      </c>
      <c r="X2581" s="2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J2581" t="s">
        <v>54</v>
      </c>
      <c r="AK2581" t="s">
        <v>52</v>
      </c>
      <c r="AP2581" t="s">
        <v>116</v>
      </c>
    </row>
    <row r="2582" spans="1:42">
      <c r="A2582" s="9">
        <v>43839</v>
      </c>
      <c r="B2582">
        <v>4</v>
      </c>
      <c r="C2582">
        <v>980</v>
      </c>
      <c r="D2582">
        <v>10266</v>
      </c>
      <c r="E2582" t="s">
        <v>37</v>
      </c>
      <c r="F2582" t="s">
        <v>520</v>
      </c>
      <c r="G2582">
        <v>2</v>
      </c>
      <c r="H2582">
        <v>4</v>
      </c>
      <c r="I2582" s="25" t="s">
        <v>655</v>
      </c>
      <c r="K2582" t="s">
        <v>91</v>
      </c>
      <c r="M2582" t="s">
        <v>95</v>
      </c>
      <c r="N2582" t="s">
        <v>44</v>
      </c>
      <c r="O2582">
        <v>170</v>
      </c>
      <c r="Q2582">
        <v>3</v>
      </c>
      <c r="R2582">
        <v>1</v>
      </c>
      <c r="S2582">
        <v>0</v>
      </c>
      <c r="T2582">
        <v>0</v>
      </c>
      <c r="U2582">
        <v>1</v>
      </c>
      <c r="V2582">
        <v>0</v>
      </c>
      <c r="W2582">
        <v>2</v>
      </c>
      <c r="X2582" s="21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J2582" t="s">
        <v>54</v>
      </c>
      <c r="AK2582" t="s">
        <v>52</v>
      </c>
      <c r="AP2582" t="s">
        <v>116</v>
      </c>
    </row>
    <row r="2583" spans="1:42">
      <c r="A2583" s="9">
        <v>43839</v>
      </c>
      <c r="B2583">
        <v>4</v>
      </c>
      <c r="C2583">
        <v>980</v>
      </c>
      <c r="D2583">
        <v>10266</v>
      </c>
      <c r="E2583" t="s">
        <v>37</v>
      </c>
      <c r="F2583" t="s">
        <v>520</v>
      </c>
      <c r="G2583">
        <v>2</v>
      </c>
      <c r="H2583">
        <v>5</v>
      </c>
      <c r="I2583" s="25" t="s">
        <v>656</v>
      </c>
      <c r="K2583" t="s">
        <v>91</v>
      </c>
      <c r="L2583" t="s">
        <v>141</v>
      </c>
      <c r="M2583" t="s">
        <v>52</v>
      </c>
      <c r="N2583" t="s">
        <v>42</v>
      </c>
      <c r="O2583">
        <v>174</v>
      </c>
      <c r="Q2583">
        <v>2</v>
      </c>
      <c r="R2583">
        <v>1</v>
      </c>
      <c r="S2583">
        <v>0</v>
      </c>
      <c r="T2583">
        <v>0</v>
      </c>
      <c r="U2583">
        <v>1</v>
      </c>
      <c r="V2583">
        <v>0</v>
      </c>
      <c r="W2583">
        <v>1</v>
      </c>
      <c r="X2583" s="21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J2583" t="s">
        <v>54</v>
      </c>
      <c r="AK2583" t="s">
        <v>52</v>
      </c>
      <c r="AP2583" t="s">
        <v>116</v>
      </c>
    </row>
    <row r="2584" spans="1:42">
      <c r="A2584" s="9">
        <v>43839</v>
      </c>
      <c r="B2584">
        <v>4</v>
      </c>
      <c r="C2584">
        <v>980</v>
      </c>
      <c r="D2584">
        <v>10266</v>
      </c>
      <c r="E2584" t="s">
        <v>37</v>
      </c>
      <c r="F2584" t="s">
        <v>520</v>
      </c>
      <c r="G2584">
        <v>2</v>
      </c>
      <c r="H2584">
        <v>6</v>
      </c>
      <c r="I2584" s="25" t="s">
        <v>657</v>
      </c>
      <c r="K2584" t="s">
        <v>91</v>
      </c>
      <c r="L2584" t="s">
        <v>114</v>
      </c>
      <c r="M2584" t="s">
        <v>52</v>
      </c>
      <c r="N2584" t="s">
        <v>42</v>
      </c>
      <c r="O2584">
        <v>108</v>
      </c>
      <c r="Q2584">
        <v>3</v>
      </c>
      <c r="R2584">
        <v>1</v>
      </c>
      <c r="S2584">
        <v>0</v>
      </c>
      <c r="T2584">
        <v>0</v>
      </c>
      <c r="U2584">
        <v>1</v>
      </c>
      <c r="V2584">
        <v>0</v>
      </c>
      <c r="W2584">
        <v>2</v>
      </c>
      <c r="X2584" s="21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J2584" t="s">
        <v>54</v>
      </c>
      <c r="AK2584" t="s">
        <v>52</v>
      </c>
      <c r="AL2584" t="s">
        <v>658</v>
      </c>
      <c r="AP2584" t="s">
        <v>116</v>
      </c>
    </row>
    <row r="2585" spans="1:42">
      <c r="A2585" s="9">
        <v>43839</v>
      </c>
      <c r="B2585">
        <v>4</v>
      </c>
      <c r="C2585">
        <v>980</v>
      </c>
      <c r="D2585">
        <v>10266</v>
      </c>
      <c r="E2585" t="s">
        <v>37</v>
      </c>
      <c r="F2585" t="s">
        <v>520</v>
      </c>
      <c r="G2585">
        <v>2</v>
      </c>
      <c r="H2585">
        <v>7</v>
      </c>
      <c r="I2585" s="25" t="s">
        <v>659</v>
      </c>
      <c r="K2585" t="s">
        <v>660</v>
      </c>
      <c r="M2585" t="s">
        <v>95</v>
      </c>
      <c r="N2585" t="s">
        <v>42</v>
      </c>
      <c r="O2585">
        <v>162</v>
      </c>
      <c r="Q2585">
        <v>3</v>
      </c>
      <c r="R2585">
        <v>1</v>
      </c>
      <c r="S2585">
        <v>0</v>
      </c>
      <c r="T2585">
        <v>0</v>
      </c>
      <c r="U2585">
        <v>1</v>
      </c>
      <c r="V2585">
        <v>0</v>
      </c>
      <c r="W2585">
        <v>2</v>
      </c>
      <c r="X2585" s="21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J2585" t="s">
        <v>54</v>
      </c>
      <c r="AK2585" t="s">
        <v>52</v>
      </c>
      <c r="AL2585" t="s">
        <v>661</v>
      </c>
      <c r="AP2585" t="s">
        <v>116</v>
      </c>
    </row>
    <row r="2586" spans="1:42">
      <c r="A2586" s="9">
        <v>43839</v>
      </c>
      <c r="B2586">
        <v>4</v>
      </c>
      <c r="C2586">
        <v>980</v>
      </c>
      <c r="D2586">
        <v>10266</v>
      </c>
      <c r="E2586" t="s">
        <v>37</v>
      </c>
      <c r="F2586" t="s">
        <v>520</v>
      </c>
      <c r="G2586">
        <v>2</v>
      </c>
      <c r="H2586">
        <v>8</v>
      </c>
      <c r="I2586" s="25">
        <v>831</v>
      </c>
      <c r="K2586" t="s">
        <v>185</v>
      </c>
      <c r="L2586" t="s">
        <v>141</v>
      </c>
      <c r="M2586" t="s">
        <v>52</v>
      </c>
      <c r="N2586" t="s">
        <v>40</v>
      </c>
      <c r="O2586">
        <v>15</v>
      </c>
      <c r="Q2586">
        <v>1</v>
      </c>
      <c r="R2586">
        <v>1</v>
      </c>
      <c r="S2586">
        <v>0</v>
      </c>
      <c r="T2586">
        <v>0</v>
      </c>
      <c r="U2586">
        <v>1</v>
      </c>
      <c r="V2586">
        <v>0</v>
      </c>
      <c r="W2586">
        <v>0</v>
      </c>
      <c r="X2586" s="21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J2586" t="s">
        <v>54</v>
      </c>
      <c r="AK2586" t="s">
        <v>52</v>
      </c>
      <c r="AP2586" t="s">
        <v>116</v>
      </c>
    </row>
    <row r="2587" spans="1:42">
      <c r="A2587" s="9">
        <v>43839</v>
      </c>
      <c r="B2587">
        <v>4</v>
      </c>
      <c r="C2587">
        <v>980</v>
      </c>
      <c r="D2587">
        <v>10266</v>
      </c>
      <c r="E2587" t="s">
        <v>37</v>
      </c>
      <c r="F2587" t="s">
        <v>520</v>
      </c>
      <c r="G2587">
        <v>2</v>
      </c>
      <c r="H2587">
        <v>9</v>
      </c>
      <c r="I2587" s="25">
        <v>814</v>
      </c>
      <c r="K2587" t="s">
        <v>185</v>
      </c>
      <c r="L2587" t="s">
        <v>114</v>
      </c>
      <c r="M2587" t="s">
        <v>52</v>
      </c>
      <c r="N2587" t="s">
        <v>40</v>
      </c>
      <c r="O2587">
        <v>30</v>
      </c>
      <c r="Q2587">
        <v>1</v>
      </c>
      <c r="R2587">
        <v>1</v>
      </c>
      <c r="S2587">
        <v>0</v>
      </c>
      <c r="T2587">
        <v>0</v>
      </c>
      <c r="U2587">
        <v>1</v>
      </c>
      <c r="V2587">
        <v>0</v>
      </c>
      <c r="W2587">
        <v>0</v>
      </c>
      <c r="X2587" s="21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J2587" t="s">
        <v>54</v>
      </c>
      <c r="AK2587" t="s">
        <v>52</v>
      </c>
      <c r="AP2587" t="s">
        <v>116</v>
      </c>
    </row>
    <row r="2588" spans="1:42">
      <c r="A2588" s="9">
        <v>43839</v>
      </c>
      <c r="B2588">
        <v>4</v>
      </c>
      <c r="C2588">
        <v>980</v>
      </c>
      <c r="D2588">
        <v>10266</v>
      </c>
      <c r="E2588" t="s">
        <v>37</v>
      </c>
      <c r="F2588" t="s">
        <v>520</v>
      </c>
      <c r="G2588">
        <v>2</v>
      </c>
      <c r="H2588">
        <v>10</v>
      </c>
      <c r="I2588" s="25">
        <v>801</v>
      </c>
      <c r="K2588" t="s">
        <v>156</v>
      </c>
      <c r="L2588" t="s">
        <v>141</v>
      </c>
      <c r="M2588" t="s">
        <v>52</v>
      </c>
      <c r="N2588" t="s">
        <v>40</v>
      </c>
      <c r="O2588">
        <v>91</v>
      </c>
      <c r="Q2588">
        <v>1</v>
      </c>
      <c r="R2588">
        <v>1</v>
      </c>
      <c r="S2588">
        <v>0</v>
      </c>
      <c r="T2588">
        <v>0</v>
      </c>
      <c r="U2588">
        <v>0</v>
      </c>
      <c r="V2588">
        <v>1</v>
      </c>
      <c r="W2588">
        <v>0</v>
      </c>
      <c r="X2588" s="21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1</v>
      </c>
      <c r="AG2588">
        <v>0</v>
      </c>
      <c r="AJ2588" t="s">
        <v>54</v>
      </c>
      <c r="AK2588" t="s">
        <v>52</v>
      </c>
      <c r="AL2588" t="s">
        <v>662</v>
      </c>
      <c r="AP2588" t="s">
        <v>116</v>
      </c>
    </row>
    <row r="2589" spans="1:42">
      <c r="A2589" s="9">
        <v>43839</v>
      </c>
      <c r="B2589">
        <v>4</v>
      </c>
      <c r="C2589">
        <v>980</v>
      </c>
      <c r="D2589">
        <v>10266</v>
      </c>
      <c r="E2589" t="s">
        <v>37</v>
      </c>
      <c r="F2589" t="s">
        <v>520</v>
      </c>
      <c r="G2589">
        <v>2</v>
      </c>
      <c r="H2589">
        <v>11</v>
      </c>
      <c r="I2589" s="25">
        <v>859</v>
      </c>
      <c r="K2589" t="s">
        <v>156</v>
      </c>
      <c r="L2589" t="s">
        <v>141</v>
      </c>
      <c r="M2589" t="s">
        <v>52</v>
      </c>
      <c r="N2589" t="s">
        <v>44</v>
      </c>
      <c r="O2589">
        <v>89</v>
      </c>
      <c r="Q2589">
        <v>1</v>
      </c>
      <c r="R2589">
        <v>1</v>
      </c>
      <c r="S2589">
        <v>0</v>
      </c>
      <c r="T2589">
        <v>0</v>
      </c>
      <c r="U2589">
        <v>0</v>
      </c>
      <c r="V2589">
        <v>0</v>
      </c>
      <c r="W2589">
        <v>1</v>
      </c>
      <c r="X2589" s="21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J2589" t="s">
        <v>54</v>
      </c>
      <c r="AK2589" t="s">
        <v>52</v>
      </c>
      <c r="AL2589" t="s">
        <v>654</v>
      </c>
      <c r="AP2589" t="s">
        <v>116</v>
      </c>
    </row>
    <row r="2590" spans="1:42">
      <c r="A2590" s="9">
        <v>43839</v>
      </c>
      <c r="B2590">
        <v>4</v>
      </c>
      <c r="C2590">
        <v>980</v>
      </c>
      <c r="D2590">
        <v>10266</v>
      </c>
      <c r="E2590" t="s">
        <v>37</v>
      </c>
      <c r="F2590" t="s">
        <v>520</v>
      </c>
      <c r="G2590">
        <v>2</v>
      </c>
      <c r="H2590">
        <v>13</v>
      </c>
      <c r="I2590" s="25">
        <v>940</v>
      </c>
      <c r="K2590" t="s">
        <v>156</v>
      </c>
      <c r="L2590" t="s">
        <v>114</v>
      </c>
      <c r="M2590" t="s">
        <v>52</v>
      </c>
      <c r="N2590" t="s">
        <v>44</v>
      </c>
      <c r="O2590">
        <v>89</v>
      </c>
      <c r="Q2590">
        <v>1</v>
      </c>
      <c r="R2590">
        <v>1</v>
      </c>
      <c r="S2590">
        <v>0</v>
      </c>
      <c r="T2590">
        <v>0</v>
      </c>
      <c r="U2590">
        <v>0</v>
      </c>
      <c r="V2590">
        <v>0</v>
      </c>
      <c r="W2590">
        <v>1</v>
      </c>
      <c r="X2590" s="21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J2590" t="s">
        <v>54</v>
      </c>
      <c r="AK2590" t="s">
        <v>52</v>
      </c>
      <c r="AP2590" t="s">
        <v>116</v>
      </c>
    </row>
    <row r="2591" spans="1:42">
      <c r="A2591" s="9">
        <v>43839</v>
      </c>
      <c r="B2591">
        <v>4</v>
      </c>
      <c r="C2591">
        <v>980</v>
      </c>
      <c r="D2591">
        <v>10266</v>
      </c>
      <c r="E2591" t="s">
        <v>37</v>
      </c>
      <c r="F2591" t="s">
        <v>520</v>
      </c>
      <c r="G2591">
        <v>2</v>
      </c>
      <c r="H2591">
        <v>14</v>
      </c>
      <c r="I2591" s="25">
        <v>988</v>
      </c>
      <c r="K2591" t="s">
        <v>156</v>
      </c>
      <c r="L2591" t="s">
        <v>114</v>
      </c>
      <c r="M2591" t="s">
        <v>52</v>
      </c>
      <c r="N2591" t="s">
        <v>44</v>
      </c>
      <c r="O2591">
        <v>47</v>
      </c>
      <c r="Q2591">
        <v>1</v>
      </c>
      <c r="R2591">
        <v>1</v>
      </c>
      <c r="S2591">
        <v>0</v>
      </c>
      <c r="T2591">
        <v>0</v>
      </c>
      <c r="U2591">
        <v>0</v>
      </c>
      <c r="V2591">
        <v>0</v>
      </c>
      <c r="W2591">
        <v>1</v>
      </c>
      <c r="X2591" s="2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J2591" t="s">
        <v>54</v>
      </c>
      <c r="AK2591" t="s">
        <v>52</v>
      </c>
      <c r="AP2591" t="s">
        <v>116</v>
      </c>
    </row>
    <row r="2592" spans="1:42">
      <c r="A2592" s="9">
        <v>43839</v>
      </c>
      <c r="B2592">
        <v>4</v>
      </c>
      <c r="C2592">
        <v>980</v>
      </c>
      <c r="D2592">
        <v>10266</v>
      </c>
      <c r="E2592" t="s">
        <v>37</v>
      </c>
      <c r="F2592" t="s">
        <v>520</v>
      </c>
      <c r="G2592">
        <v>2</v>
      </c>
      <c r="H2592">
        <v>15</v>
      </c>
      <c r="I2592" s="25">
        <v>1000</v>
      </c>
      <c r="K2592" t="s">
        <v>156</v>
      </c>
      <c r="L2592" t="s">
        <v>114</v>
      </c>
      <c r="M2592" t="s">
        <v>52</v>
      </c>
      <c r="N2592" t="s">
        <v>44</v>
      </c>
      <c r="O2592">
        <v>77</v>
      </c>
      <c r="Q2592">
        <v>2</v>
      </c>
      <c r="R2592">
        <v>1</v>
      </c>
      <c r="S2592">
        <v>0</v>
      </c>
      <c r="T2592">
        <v>0</v>
      </c>
      <c r="U2592">
        <v>0</v>
      </c>
      <c r="V2592">
        <v>0</v>
      </c>
      <c r="W2592">
        <v>2</v>
      </c>
      <c r="X2592" s="21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J2592" t="s">
        <v>54</v>
      </c>
      <c r="AK2592" t="s">
        <v>52</v>
      </c>
      <c r="AL2592" t="s">
        <v>663</v>
      </c>
      <c r="AP2592" t="s">
        <v>116</v>
      </c>
    </row>
    <row r="2593" spans="1:42">
      <c r="A2593" s="9">
        <v>43839</v>
      </c>
      <c r="B2593">
        <v>4</v>
      </c>
      <c r="C2593">
        <v>980</v>
      </c>
      <c r="D2593">
        <v>10266</v>
      </c>
      <c r="E2593" t="s">
        <v>37</v>
      </c>
      <c r="F2593" t="s">
        <v>520</v>
      </c>
      <c r="G2593">
        <v>2</v>
      </c>
      <c r="H2593">
        <v>16</v>
      </c>
      <c r="I2593" s="25">
        <v>1074</v>
      </c>
      <c r="K2593" t="s">
        <v>156</v>
      </c>
      <c r="L2593" t="s">
        <v>114</v>
      </c>
      <c r="M2593" t="s">
        <v>52</v>
      </c>
      <c r="N2593" t="s">
        <v>44</v>
      </c>
      <c r="O2593">
        <v>55</v>
      </c>
      <c r="Q2593">
        <v>1</v>
      </c>
      <c r="R2593">
        <v>1</v>
      </c>
      <c r="S2593">
        <v>0</v>
      </c>
      <c r="T2593">
        <v>0</v>
      </c>
      <c r="U2593">
        <v>0</v>
      </c>
      <c r="V2593">
        <v>0</v>
      </c>
      <c r="W2593">
        <v>1</v>
      </c>
      <c r="X2593" s="21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J2593" t="s">
        <v>54</v>
      </c>
      <c r="AK2593" t="s">
        <v>52</v>
      </c>
      <c r="AL2593" t="s">
        <v>654</v>
      </c>
      <c r="AP2593" t="s">
        <v>116</v>
      </c>
    </row>
    <row r="2594" spans="1:42">
      <c r="A2594" s="9">
        <v>43839</v>
      </c>
      <c r="B2594">
        <v>4</v>
      </c>
      <c r="C2594">
        <v>980</v>
      </c>
      <c r="D2594">
        <v>10266</v>
      </c>
      <c r="E2594" t="s">
        <v>37</v>
      </c>
      <c r="F2594" t="s">
        <v>520</v>
      </c>
      <c r="G2594">
        <v>2</v>
      </c>
      <c r="H2594">
        <v>18</v>
      </c>
      <c r="I2594" s="25">
        <v>1083</v>
      </c>
      <c r="K2594" t="s">
        <v>156</v>
      </c>
      <c r="L2594" t="s">
        <v>141</v>
      </c>
      <c r="M2594" t="s">
        <v>52</v>
      </c>
      <c r="N2594" t="s">
        <v>44</v>
      </c>
      <c r="O2594">
        <v>92</v>
      </c>
      <c r="Q2594">
        <v>1</v>
      </c>
      <c r="R2594">
        <v>1</v>
      </c>
      <c r="S2594">
        <v>0</v>
      </c>
      <c r="T2594">
        <v>0</v>
      </c>
      <c r="U2594">
        <v>0</v>
      </c>
      <c r="V2594">
        <v>0</v>
      </c>
      <c r="W2594">
        <v>1</v>
      </c>
      <c r="X2594" s="21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J2594" t="s">
        <v>54</v>
      </c>
      <c r="AK2594" t="s">
        <v>52</v>
      </c>
      <c r="AL2594" t="s">
        <v>654</v>
      </c>
      <c r="AP2594" t="s">
        <v>116</v>
      </c>
    </row>
    <row r="2595" spans="1:42">
      <c r="A2595" s="9">
        <v>43839</v>
      </c>
      <c r="B2595">
        <v>4</v>
      </c>
      <c r="C2595">
        <v>980</v>
      </c>
      <c r="D2595">
        <v>10266</v>
      </c>
      <c r="E2595" t="s">
        <v>37</v>
      </c>
      <c r="F2595" t="s">
        <v>520</v>
      </c>
      <c r="G2595">
        <v>2</v>
      </c>
      <c r="H2595">
        <v>19</v>
      </c>
      <c r="I2595" s="25" t="s">
        <v>664</v>
      </c>
      <c r="K2595" t="s">
        <v>156</v>
      </c>
      <c r="L2595" t="s">
        <v>141</v>
      </c>
      <c r="M2595" t="s">
        <v>52</v>
      </c>
      <c r="N2595" t="s">
        <v>44</v>
      </c>
      <c r="O2595">
        <v>175</v>
      </c>
      <c r="Q2595">
        <v>2</v>
      </c>
      <c r="R2595">
        <v>1</v>
      </c>
      <c r="S2595">
        <v>0</v>
      </c>
      <c r="T2595">
        <v>0</v>
      </c>
      <c r="U2595">
        <v>0</v>
      </c>
      <c r="V2595">
        <v>0</v>
      </c>
      <c r="W2595">
        <v>2</v>
      </c>
      <c r="X2595" s="21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J2595" t="s">
        <v>54</v>
      </c>
      <c r="AK2595" t="s">
        <v>95</v>
      </c>
      <c r="AP2595" t="s">
        <v>116</v>
      </c>
    </row>
    <row r="2596" spans="1:42">
      <c r="A2596" s="9">
        <v>43839</v>
      </c>
      <c r="B2596">
        <v>4</v>
      </c>
      <c r="C2596">
        <v>980</v>
      </c>
      <c r="D2596">
        <v>10266</v>
      </c>
      <c r="E2596" t="s">
        <v>37</v>
      </c>
      <c r="F2596" t="s">
        <v>520</v>
      </c>
      <c r="G2596">
        <v>2</v>
      </c>
      <c r="H2596">
        <v>20</v>
      </c>
      <c r="I2596" s="25">
        <v>1960</v>
      </c>
      <c r="K2596" t="s">
        <v>103</v>
      </c>
      <c r="L2596" t="s">
        <v>114</v>
      </c>
      <c r="M2596" t="s">
        <v>52</v>
      </c>
      <c r="N2596" t="s">
        <v>40</v>
      </c>
      <c r="O2596">
        <v>45</v>
      </c>
      <c r="Q2596">
        <v>1</v>
      </c>
      <c r="R2596">
        <v>1</v>
      </c>
      <c r="S2596">
        <v>0</v>
      </c>
      <c r="T2596">
        <v>0</v>
      </c>
      <c r="U2596">
        <v>0</v>
      </c>
      <c r="V2596">
        <v>0</v>
      </c>
      <c r="W2596">
        <v>1</v>
      </c>
      <c r="X2596" s="21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J2596" t="s">
        <v>54</v>
      </c>
      <c r="AK2596" t="s">
        <v>95</v>
      </c>
      <c r="AP2596" t="s">
        <v>116</v>
      </c>
    </row>
    <row r="2597" spans="1:42">
      <c r="A2597" s="9">
        <v>43839</v>
      </c>
      <c r="B2597">
        <v>4</v>
      </c>
      <c r="C2597">
        <v>980</v>
      </c>
      <c r="D2597">
        <v>10266</v>
      </c>
      <c r="E2597" t="s">
        <v>37</v>
      </c>
      <c r="F2597" t="s">
        <v>520</v>
      </c>
      <c r="G2597">
        <v>2</v>
      </c>
      <c r="H2597">
        <v>21</v>
      </c>
      <c r="I2597" s="25">
        <v>945</v>
      </c>
      <c r="K2597" t="s">
        <v>156</v>
      </c>
      <c r="L2597" t="s">
        <v>141</v>
      </c>
      <c r="M2597" t="s">
        <v>52</v>
      </c>
      <c r="N2597" t="s">
        <v>44</v>
      </c>
      <c r="O2597">
        <v>260</v>
      </c>
      <c r="Q2597">
        <v>4</v>
      </c>
      <c r="R2597">
        <v>1</v>
      </c>
      <c r="S2597">
        <v>0</v>
      </c>
      <c r="T2597">
        <v>0</v>
      </c>
      <c r="U2597">
        <v>0</v>
      </c>
      <c r="V2597">
        <v>0</v>
      </c>
      <c r="W2597">
        <v>4</v>
      </c>
      <c r="X2597" s="21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J2597" t="s">
        <v>54</v>
      </c>
      <c r="AK2597" t="s">
        <v>52</v>
      </c>
      <c r="AL2597" t="s">
        <v>665</v>
      </c>
      <c r="AP2597" t="s">
        <v>116</v>
      </c>
    </row>
    <row r="2598" spans="1:42">
      <c r="A2598" s="9">
        <v>43839</v>
      </c>
      <c r="B2598">
        <v>4</v>
      </c>
      <c r="C2598">
        <v>980</v>
      </c>
      <c r="D2598">
        <v>10266</v>
      </c>
      <c r="E2598" t="s">
        <v>37</v>
      </c>
      <c r="F2598" t="s">
        <v>520</v>
      </c>
      <c r="G2598">
        <v>2</v>
      </c>
      <c r="H2598">
        <v>22</v>
      </c>
      <c r="I2598" s="25">
        <v>801</v>
      </c>
      <c r="K2598" t="s">
        <v>156</v>
      </c>
      <c r="L2598" t="s">
        <v>141</v>
      </c>
      <c r="M2598" t="s">
        <v>52</v>
      </c>
      <c r="N2598" t="s">
        <v>44</v>
      </c>
      <c r="O2598">
        <v>66</v>
      </c>
      <c r="Q2598">
        <v>2</v>
      </c>
      <c r="R2598">
        <v>1</v>
      </c>
      <c r="S2598">
        <v>0</v>
      </c>
      <c r="T2598">
        <v>0</v>
      </c>
      <c r="U2598">
        <v>0</v>
      </c>
      <c r="V2598">
        <v>0</v>
      </c>
      <c r="W2598">
        <v>2</v>
      </c>
      <c r="X2598" s="21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J2598" t="s">
        <v>54</v>
      </c>
      <c r="AK2598" t="s">
        <v>52</v>
      </c>
      <c r="AP2598" t="s">
        <v>116</v>
      </c>
    </row>
    <row r="2599" spans="1:42">
      <c r="A2599" s="9">
        <v>43839</v>
      </c>
      <c r="B2599">
        <v>4</v>
      </c>
      <c r="C2599">
        <v>980</v>
      </c>
      <c r="D2599">
        <v>10266</v>
      </c>
      <c r="E2599" t="s">
        <v>37</v>
      </c>
      <c r="F2599" t="s">
        <v>520</v>
      </c>
      <c r="G2599">
        <v>2</v>
      </c>
      <c r="H2599">
        <v>23</v>
      </c>
      <c r="I2599" s="25">
        <v>882</v>
      </c>
      <c r="K2599" t="s">
        <v>119</v>
      </c>
      <c r="L2599" t="s">
        <v>114</v>
      </c>
      <c r="M2599" t="s">
        <v>52</v>
      </c>
      <c r="N2599" t="s">
        <v>44</v>
      </c>
      <c r="O2599">
        <v>55</v>
      </c>
      <c r="Q2599">
        <v>1</v>
      </c>
      <c r="R2599">
        <v>1</v>
      </c>
      <c r="S2599">
        <v>0</v>
      </c>
      <c r="T2599">
        <v>0</v>
      </c>
      <c r="U2599">
        <v>0</v>
      </c>
      <c r="V2599">
        <v>1</v>
      </c>
      <c r="W2599">
        <v>0</v>
      </c>
      <c r="X2599" s="21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J2599" t="s">
        <v>54</v>
      </c>
      <c r="AK2599" t="s">
        <v>52</v>
      </c>
      <c r="AL2599" t="s">
        <v>666</v>
      </c>
      <c r="AP2599" t="s">
        <v>116</v>
      </c>
    </row>
    <row r="2600" spans="1:42">
      <c r="A2600" s="9">
        <v>43839</v>
      </c>
      <c r="B2600">
        <v>4</v>
      </c>
      <c r="C2600">
        <v>980</v>
      </c>
      <c r="D2600">
        <v>10266</v>
      </c>
      <c r="E2600" t="s">
        <v>37</v>
      </c>
      <c r="F2600" t="s">
        <v>520</v>
      </c>
      <c r="G2600">
        <v>2</v>
      </c>
      <c r="H2600">
        <v>24</v>
      </c>
      <c r="I2600" s="25" t="s">
        <v>667</v>
      </c>
      <c r="K2600" t="s">
        <v>119</v>
      </c>
      <c r="L2600" t="s">
        <v>114</v>
      </c>
      <c r="M2600" t="s">
        <v>52</v>
      </c>
      <c r="N2600" t="s">
        <v>42</v>
      </c>
      <c r="O2600">
        <v>85</v>
      </c>
      <c r="Q2600">
        <v>3</v>
      </c>
      <c r="R2600">
        <v>1</v>
      </c>
      <c r="S2600">
        <v>0</v>
      </c>
      <c r="T2600">
        <v>0</v>
      </c>
      <c r="U2600">
        <v>1</v>
      </c>
      <c r="V2600">
        <v>0</v>
      </c>
      <c r="W2600">
        <v>2</v>
      </c>
      <c r="X2600" s="21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J2600" t="s">
        <v>54</v>
      </c>
      <c r="AK2600" t="s">
        <v>52</v>
      </c>
      <c r="AL2600" t="s">
        <v>668</v>
      </c>
      <c r="AP2600" t="s">
        <v>116</v>
      </c>
    </row>
    <row r="2601" spans="1:42">
      <c r="A2601" s="9">
        <v>43839</v>
      </c>
      <c r="B2601">
        <v>4</v>
      </c>
      <c r="C2601">
        <v>980</v>
      </c>
      <c r="D2601">
        <v>10266</v>
      </c>
      <c r="E2601" t="s">
        <v>37</v>
      </c>
      <c r="F2601" t="s">
        <v>520</v>
      </c>
      <c r="G2601">
        <v>2</v>
      </c>
      <c r="H2601">
        <v>25</v>
      </c>
      <c r="I2601" s="25">
        <v>856</v>
      </c>
      <c r="K2601" t="s">
        <v>119</v>
      </c>
      <c r="L2601" t="s">
        <v>114</v>
      </c>
      <c r="M2601" t="s">
        <v>52</v>
      </c>
      <c r="N2601" t="s">
        <v>44</v>
      </c>
      <c r="O2601">
        <v>144</v>
      </c>
      <c r="Q2601">
        <v>2</v>
      </c>
      <c r="R2601">
        <v>1</v>
      </c>
      <c r="S2601">
        <v>0</v>
      </c>
      <c r="T2601">
        <v>0</v>
      </c>
      <c r="U2601">
        <v>0</v>
      </c>
      <c r="V2601">
        <v>0</v>
      </c>
      <c r="W2601">
        <v>2</v>
      </c>
      <c r="X2601" s="2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J2601" t="s">
        <v>54</v>
      </c>
      <c r="AK2601" t="s">
        <v>52</v>
      </c>
      <c r="AL2601" t="s">
        <v>665</v>
      </c>
      <c r="AP2601" t="s">
        <v>116</v>
      </c>
    </row>
    <row r="2602" spans="1:42">
      <c r="A2602" s="9">
        <v>43839</v>
      </c>
      <c r="B2602">
        <v>4</v>
      </c>
      <c r="C2602">
        <v>980</v>
      </c>
      <c r="D2602">
        <v>10266</v>
      </c>
      <c r="E2602" t="s">
        <v>37</v>
      </c>
      <c r="F2602" t="s">
        <v>520</v>
      </c>
      <c r="G2602">
        <v>2</v>
      </c>
      <c r="H2602">
        <v>26</v>
      </c>
      <c r="I2602" s="25" t="s">
        <v>669</v>
      </c>
      <c r="K2602" t="s">
        <v>119</v>
      </c>
      <c r="L2602" t="s">
        <v>114</v>
      </c>
      <c r="M2602" t="s">
        <v>52</v>
      </c>
      <c r="N2602" t="s">
        <v>42</v>
      </c>
      <c r="O2602">
        <v>168</v>
      </c>
      <c r="Q2602">
        <v>3</v>
      </c>
      <c r="R2602">
        <v>1</v>
      </c>
      <c r="S2602">
        <v>0</v>
      </c>
      <c r="T2602">
        <v>0</v>
      </c>
      <c r="U2602">
        <v>2</v>
      </c>
      <c r="V2602">
        <v>1</v>
      </c>
      <c r="W2602">
        <v>0</v>
      </c>
      <c r="X2602" s="21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J2602" t="s">
        <v>54</v>
      </c>
      <c r="AK2602" t="s">
        <v>52</v>
      </c>
      <c r="AL2602" t="s">
        <v>670</v>
      </c>
      <c r="AP2602" t="s">
        <v>116</v>
      </c>
    </row>
    <row r="2603" spans="1:42">
      <c r="A2603" s="9">
        <v>43839</v>
      </c>
      <c r="B2603">
        <v>4</v>
      </c>
      <c r="C2603">
        <v>980</v>
      </c>
      <c r="D2603">
        <v>10266</v>
      </c>
      <c r="E2603" t="s">
        <v>37</v>
      </c>
      <c r="F2603" t="s">
        <v>520</v>
      </c>
      <c r="G2603">
        <v>2</v>
      </c>
      <c r="H2603">
        <v>27</v>
      </c>
      <c r="I2603" s="25" t="s">
        <v>671</v>
      </c>
      <c r="K2603" t="s">
        <v>119</v>
      </c>
      <c r="L2603" t="s">
        <v>114</v>
      </c>
      <c r="M2603" t="s">
        <v>52</v>
      </c>
      <c r="N2603" t="s">
        <v>42</v>
      </c>
      <c r="O2603">
        <v>135</v>
      </c>
      <c r="Q2603">
        <v>4</v>
      </c>
      <c r="R2603">
        <v>1</v>
      </c>
      <c r="S2603">
        <v>0</v>
      </c>
      <c r="T2603">
        <v>0</v>
      </c>
      <c r="U2603">
        <v>0</v>
      </c>
      <c r="V2603">
        <v>0</v>
      </c>
      <c r="W2603">
        <v>4</v>
      </c>
      <c r="X2603" s="21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J2603" t="s">
        <v>54</v>
      </c>
      <c r="AK2603" t="s">
        <v>52</v>
      </c>
      <c r="AL2603" t="s">
        <v>670</v>
      </c>
      <c r="AP2603" t="s">
        <v>116</v>
      </c>
    </row>
    <row r="2604" spans="1:42">
      <c r="A2604" s="9">
        <v>43839</v>
      </c>
      <c r="B2604">
        <v>4</v>
      </c>
      <c r="C2604">
        <v>980</v>
      </c>
      <c r="D2604">
        <v>10266</v>
      </c>
      <c r="E2604" t="s">
        <v>37</v>
      </c>
      <c r="F2604" t="s">
        <v>520</v>
      </c>
      <c r="G2604">
        <v>2</v>
      </c>
      <c r="H2604">
        <v>28</v>
      </c>
      <c r="I2604" s="25" t="s">
        <v>672</v>
      </c>
      <c r="K2604" t="s">
        <v>119</v>
      </c>
      <c r="L2604" t="s">
        <v>114</v>
      </c>
      <c r="M2604" t="s">
        <v>52</v>
      </c>
      <c r="N2604" t="s">
        <v>40</v>
      </c>
      <c r="O2604">
        <v>52</v>
      </c>
      <c r="Q2604">
        <v>2</v>
      </c>
      <c r="R2604">
        <v>1</v>
      </c>
      <c r="S2604">
        <v>0</v>
      </c>
      <c r="T2604">
        <v>0</v>
      </c>
      <c r="U2604">
        <v>2</v>
      </c>
      <c r="V2604">
        <v>0</v>
      </c>
      <c r="W2604">
        <v>0</v>
      </c>
      <c r="X2604" s="21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J2604" t="s">
        <v>54</v>
      </c>
      <c r="AK2604" t="s">
        <v>52</v>
      </c>
      <c r="AP2604" t="s">
        <v>116</v>
      </c>
    </row>
    <row r="2605" spans="1:42">
      <c r="A2605" s="9">
        <v>43839</v>
      </c>
      <c r="B2605">
        <v>4</v>
      </c>
      <c r="C2605">
        <v>980</v>
      </c>
      <c r="D2605">
        <v>10266</v>
      </c>
      <c r="E2605" t="s">
        <v>37</v>
      </c>
      <c r="F2605" t="s">
        <v>520</v>
      </c>
      <c r="G2605">
        <v>2</v>
      </c>
      <c r="H2605">
        <v>29</v>
      </c>
      <c r="I2605" s="25" t="s">
        <v>673</v>
      </c>
      <c r="K2605" t="s">
        <v>185</v>
      </c>
      <c r="L2605" t="s">
        <v>141</v>
      </c>
      <c r="M2605" t="s">
        <v>52</v>
      </c>
      <c r="N2605" t="s">
        <v>44</v>
      </c>
      <c r="O2605">
        <v>108</v>
      </c>
      <c r="Q2605">
        <v>2</v>
      </c>
      <c r="R2605">
        <v>1</v>
      </c>
      <c r="S2605">
        <v>0</v>
      </c>
      <c r="T2605">
        <v>0</v>
      </c>
      <c r="U2605">
        <v>0</v>
      </c>
      <c r="V2605">
        <v>0</v>
      </c>
      <c r="W2605">
        <v>2</v>
      </c>
      <c r="X2605" s="21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J2605" t="s">
        <v>54</v>
      </c>
      <c r="AK2605" t="s">
        <v>52</v>
      </c>
      <c r="AL2605" t="s">
        <v>674</v>
      </c>
      <c r="AP2605" t="s">
        <v>116</v>
      </c>
    </row>
    <row r="2606" spans="1:42">
      <c r="A2606" s="9">
        <v>43839</v>
      </c>
      <c r="B2606">
        <v>4</v>
      </c>
      <c r="C2606">
        <v>980</v>
      </c>
      <c r="D2606">
        <v>10266</v>
      </c>
      <c r="E2606" t="s">
        <v>37</v>
      </c>
      <c r="F2606" t="s">
        <v>520</v>
      </c>
      <c r="G2606">
        <v>2</v>
      </c>
      <c r="H2606">
        <v>30</v>
      </c>
      <c r="I2606" s="25" t="s">
        <v>675</v>
      </c>
      <c r="K2606" t="s">
        <v>185</v>
      </c>
      <c r="L2606" t="s">
        <v>141</v>
      </c>
      <c r="M2606" t="s">
        <v>52</v>
      </c>
      <c r="N2606" t="s">
        <v>44</v>
      </c>
      <c r="O2606">
        <v>387</v>
      </c>
      <c r="Q2606">
        <v>3</v>
      </c>
      <c r="R2606">
        <v>1</v>
      </c>
      <c r="S2606">
        <v>0</v>
      </c>
      <c r="T2606">
        <v>0</v>
      </c>
      <c r="U2606">
        <v>0</v>
      </c>
      <c r="V2606">
        <v>1</v>
      </c>
      <c r="W2606">
        <v>2</v>
      </c>
      <c r="X2606" s="21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J2606" t="s">
        <v>54</v>
      </c>
      <c r="AK2606" t="s">
        <v>52</v>
      </c>
      <c r="AL2606" t="s">
        <v>676</v>
      </c>
      <c r="AP2606" t="s">
        <v>116</v>
      </c>
    </row>
    <row r="2607" spans="1:42">
      <c r="A2607" s="9">
        <v>43839</v>
      </c>
      <c r="B2607">
        <v>4</v>
      </c>
      <c r="C2607">
        <v>980</v>
      </c>
      <c r="D2607">
        <v>10266</v>
      </c>
      <c r="E2607" t="s">
        <v>37</v>
      </c>
      <c r="F2607" t="s">
        <v>520</v>
      </c>
      <c r="G2607">
        <v>2</v>
      </c>
      <c r="H2607">
        <v>31</v>
      </c>
      <c r="I2607" s="25" t="s">
        <v>677</v>
      </c>
      <c r="K2607" t="s">
        <v>185</v>
      </c>
      <c r="L2607" t="s">
        <v>141</v>
      </c>
      <c r="M2607" t="s">
        <v>52</v>
      </c>
      <c r="N2607" t="s">
        <v>44</v>
      </c>
      <c r="O2607">
        <v>195</v>
      </c>
      <c r="Q2607">
        <v>2</v>
      </c>
      <c r="R2607">
        <v>1</v>
      </c>
      <c r="S2607">
        <v>0</v>
      </c>
      <c r="T2607">
        <v>0</v>
      </c>
      <c r="U2607">
        <v>0</v>
      </c>
      <c r="V2607">
        <v>2</v>
      </c>
      <c r="W2607">
        <v>0</v>
      </c>
      <c r="X2607" s="21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J2607" t="s">
        <v>54</v>
      </c>
      <c r="AK2607" t="s">
        <v>52</v>
      </c>
      <c r="AL2607" t="s">
        <v>670</v>
      </c>
      <c r="AP2607" t="s">
        <v>116</v>
      </c>
    </row>
    <row r="2608" spans="1:42">
      <c r="A2608" s="9">
        <v>43839</v>
      </c>
      <c r="B2608">
        <v>4</v>
      </c>
      <c r="C2608">
        <v>980</v>
      </c>
      <c r="D2608">
        <v>10266</v>
      </c>
      <c r="E2608" t="s">
        <v>37</v>
      </c>
      <c r="F2608" t="s">
        <v>520</v>
      </c>
      <c r="G2608">
        <v>2</v>
      </c>
      <c r="H2608">
        <v>32</v>
      </c>
      <c r="I2608" s="25" t="s">
        <v>678</v>
      </c>
      <c r="K2608" t="s">
        <v>185</v>
      </c>
      <c r="L2608" t="s">
        <v>141</v>
      </c>
      <c r="M2608" t="s">
        <v>52</v>
      </c>
      <c r="N2608" t="s">
        <v>40</v>
      </c>
      <c r="O2608">
        <v>211</v>
      </c>
      <c r="Q2608">
        <v>2</v>
      </c>
      <c r="R2608">
        <v>1</v>
      </c>
      <c r="S2608">
        <v>0</v>
      </c>
      <c r="T2608">
        <v>0</v>
      </c>
      <c r="U2608">
        <v>1</v>
      </c>
      <c r="V2608">
        <v>1</v>
      </c>
      <c r="W2608">
        <v>0</v>
      </c>
      <c r="X2608" s="21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J2608" t="s">
        <v>54</v>
      </c>
      <c r="AK2608" t="s">
        <v>52</v>
      </c>
      <c r="AL2608" t="s">
        <v>679</v>
      </c>
      <c r="AP2608" t="s">
        <v>116</v>
      </c>
    </row>
    <row r="2609" spans="1:42">
      <c r="A2609" s="9">
        <v>43839</v>
      </c>
      <c r="B2609">
        <v>4</v>
      </c>
      <c r="C2609">
        <v>980</v>
      </c>
      <c r="D2609">
        <v>10266</v>
      </c>
      <c r="E2609" t="s">
        <v>37</v>
      </c>
      <c r="F2609" t="s">
        <v>520</v>
      </c>
      <c r="G2609">
        <v>2</v>
      </c>
      <c r="H2609">
        <v>33</v>
      </c>
      <c r="I2609" s="25">
        <v>1508</v>
      </c>
      <c r="K2609" t="s">
        <v>101</v>
      </c>
      <c r="L2609" t="s">
        <v>114</v>
      </c>
      <c r="M2609" t="s">
        <v>95</v>
      </c>
      <c r="N2609" t="s">
        <v>44</v>
      </c>
      <c r="O2609">
        <v>88</v>
      </c>
      <c r="Q2609">
        <v>2</v>
      </c>
      <c r="R2609">
        <v>1</v>
      </c>
      <c r="S2609">
        <v>0</v>
      </c>
      <c r="T2609">
        <v>0</v>
      </c>
      <c r="U2609">
        <v>0</v>
      </c>
      <c r="V2609">
        <v>2</v>
      </c>
      <c r="W2609">
        <v>0</v>
      </c>
      <c r="X2609" s="21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J2609" t="s">
        <v>51</v>
      </c>
      <c r="AK2609" t="s">
        <v>52</v>
      </c>
      <c r="AP2609" t="s">
        <v>116</v>
      </c>
    </row>
    <row r="2610" spans="1:42">
      <c r="A2610" s="9">
        <v>43839</v>
      </c>
      <c r="B2610">
        <v>4</v>
      </c>
      <c r="C2610">
        <v>980</v>
      </c>
      <c r="D2610">
        <v>10266</v>
      </c>
      <c r="E2610" t="s">
        <v>37</v>
      </c>
      <c r="F2610" t="s">
        <v>520</v>
      </c>
      <c r="G2610">
        <v>2</v>
      </c>
      <c r="H2610">
        <v>34</v>
      </c>
      <c r="I2610" s="25">
        <v>1198</v>
      </c>
      <c r="K2610" t="s">
        <v>605</v>
      </c>
      <c r="L2610" t="s">
        <v>114</v>
      </c>
      <c r="M2610" t="s">
        <v>52</v>
      </c>
      <c r="N2610" t="s">
        <v>40</v>
      </c>
      <c r="O2610">
        <v>60</v>
      </c>
      <c r="Q2610">
        <v>1</v>
      </c>
      <c r="R2610">
        <v>1</v>
      </c>
      <c r="S2610">
        <v>0</v>
      </c>
      <c r="T2610">
        <v>0</v>
      </c>
      <c r="U2610">
        <v>0</v>
      </c>
      <c r="V2610">
        <v>0</v>
      </c>
      <c r="W2610">
        <v>1</v>
      </c>
      <c r="X2610" s="21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J2610" t="s">
        <v>51</v>
      </c>
      <c r="AK2610" t="s">
        <v>52</v>
      </c>
      <c r="AL2610" t="s">
        <v>680</v>
      </c>
      <c r="AP2610" t="s">
        <v>116</v>
      </c>
    </row>
    <row r="2611" spans="1:42">
      <c r="A2611" s="9">
        <v>43839</v>
      </c>
      <c r="B2611">
        <v>4</v>
      </c>
      <c r="C2611">
        <v>980</v>
      </c>
      <c r="D2611">
        <v>10266</v>
      </c>
      <c r="E2611" t="s">
        <v>37</v>
      </c>
      <c r="F2611" t="s">
        <v>520</v>
      </c>
      <c r="G2611">
        <v>2</v>
      </c>
      <c r="H2611">
        <v>35</v>
      </c>
      <c r="I2611" s="25">
        <v>1619</v>
      </c>
      <c r="K2611" t="s">
        <v>103</v>
      </c>
      <c r="L2611" t="s">
        <v>141</v>
      </c>
      <c r="M2611" t="s">
        <v>95</v>
      </c>
      <c r="N2611" t="s">
        <v>40</v>
      </c>
      <c r="O2611">
        <v>38</v>
      </c>
      <c r="Q2611">
        <v>1</v>
      </c>
      <c r="R2611">
        <v>1</v>
      </c>
      <c r="S2611">
        <v>0</v>
      </c>
      <c r="T2611">
        <v>0</v>
      </c>
      <c r="U2611">
        <v>0</v>
      </c>
      <c r="V2611">
        <v>1</v>
      </c>
      <c r="W2611">
        <v>0</v>
      </c>
      <c r="X2611" s="2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J2611" t="s">
        <v>51</v>
      </c>
      <c r="AK2611" t="s">
        <v>52</v>
      </c>
      <c r="AP2611" t="s">
        <v>116</v>
      </c>
    </row>
    <row r="2612" spans="1:42">
      <c r="A2612" s="9">
        <v>43839</v>
      </c>
      <c r="B2612">
        <v>4</v>
      </c>
      <c r="C2612">
        <v>980</v>
      </c>
      <c r="D2612">
        <v>10266</v>
      </c>
      <c r="E2612" t="s">
        <v>37</v>
      </c>
      <c r="F2612" t="s">
        <v>520</v>
      </c>
      <c r="G2612">
        <v>2</v>
      </c>
      <c r="H2612">
        <v>36</v>
      </c>
      <c r="I2612" s="25" t="s">
        <v>681</v>
      </c>
      <c r="K2612" t="s">
        <v>103</v>
      </c>
      <c r="M2612" t="s">
        <v>52</v>
      </c>
      <c r="N2612" t="s">
        <v>40</v>
      </c>
      <c r="O2612">
        <v>116</v>
      </c>
      <c r="Q2612">
        <v>4</v>
      </c>
      <c r="R2612">
        <v>1</v>
      </c>
      <c r="S2612">
        <v>0</v>
      </c>
      <c r="T2612">
        <v>0</v>
      </c>
      <c r="U2612">
        <v>1</v>
      </c>
      <c r="V2612">
        <v>1</v>
      </c>
      <c r="W2612">
        <v>2</v>
      </c>
      <c r="X2612" s="21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J2612" t="s">
        <v>51</v>
      </c>
      <c r="AK2612" t="s">
        <v>52</v>
      </c>
      <c r="AP2612" t="s">
        <v>116</v>
      </c>
    </row>
    <row r="2613" spans="1:42">
      <c r="A2613" s="9">
        <v>43839</v>
      </c>
      <c r="B2613">
        <v>4</v>
      </c>
      <c r="C2613">
        <v>980</v>
      </c>
      <c r="D2613">
        <v>10266</v>
      </c>
      <c r="E2613" t="s">
        <v>37</v>
      </c>
      <c r="F2613" t="s">
        <v>520</v>
      </c>
      <c r="G2613">
        <v>2</v>
      </c>
      <c r="H2613">
        <v>37</v>
      </c>
      <c r="I2613" s="25" t="s">
        <v>682</v>
      </c>
      <c r="K2613" t="s">
        <v>103</v>
      </c>
      <c r="L2613" t="s">
        <v>141</v>
      </c>
      <c r="M2613" t="s">
        <v>52</v>
      </c>
      <c r="N2613" t="s">
        <v>40</v>
      </c>
      <c r="O2613">
        <v>66</v>
      </c>
      <c r="Q2613">
        <v>2</v>
      </c>
      <c r="R2613">
        <v>1</v>
      </c>
      <c r="S2613">
        <v>0</v>
      </c>
      <c r="T2613">
        <v>0</v>
      </c>
      <c r="U2613">
        <v>0</v>
      </c>
      <c r="V2613">
        <v>0</v>
      </c>
      <c r="W2613">
        <v>2</v>
      </c>
      <c r="X2613" s="21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J2613" t="s">
        <v>51</v>
      </c>
      <c r="AK2613" t="s">
        <v>52</v>
      </c>
      <c r="AP2613" t="s">
        <v>116</v>
      </c>
    </row>
    <row r="2614" spans="1:42">
      <c r="A2614" s="9">
        <v>43839</v>
      </c>
      <c r="B2614">
        <v>4</v>
      </c>
      <c r="C2614">
        <v>980</v>
      </c>
      <c r="D2614">
        <v>10266</v>
      </c>
      <c r="E2614" t="s">
        <v>37</v>
      </c>
      <c r="F2614" t="s">
        <v>520</v>
      </c>
      <c r="G2614">
        <v>2</v>
      </c>
      <c r="H2614">
        <v>38</v>
      </c>
      <c r="I2614" s="25" t="s">
        <v>683</v>
      </c>
      <c r="K2614" t="s">
        <v>103</v>
      </c>
      <c r="M2614" t="s">
        <v>95</v>
      </c>
      <c r="N2614" t="s">
        <v>42</v>
      </c>
      <c r="O2614">
        <v>238</v>
      </c>
      <c r="Q2614">
        <v>4</v>
      </c>
      <c r="R2614">
        <v>1</v>
      </c>
      <c r="S2614">
        <v>0</v>
      </c>
      <c r="T2614">
        <v>0</v>
      </c>
      <c r="U2614">
        <v>2</v>
      </c>
      <c r="V2614">
        <v>1</v>
      </c>
      <c r="W2614">
        <v>1</v>
      </c>
      <c r="X2614" s="21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J2614" t="s">
        <v>51</v>
      </c>
      <c r="AK2614" t="s">
        <v>52</v>
      </c>
      <c r="AL2614" t="s">
        <v>684</v>
      </c>
      <c r="AP2614" t="s">
        <v>116</v>
      </c>
    </row>
    <row r="2615" spans="1:42">
      <c r="A2615" s="9">
        <v>43839</v>
      </c>
      <c r="B2615">
        <v>4</v>
      </c>
      <c r="C2615">
        <v>980</v>
      </c>
      <c r="D2615">
        <v>10266</v>
      </c>
      <c r="E2615" t="s">
        <v>37</v>
      </c>
      <c r="F2615" t="s">
        <v>520</v>
      </c>
      <c r="G2615">
        <v>2</v>
      </c>
      <c r="H2615">
        <v>39</v>
      </c>
      <c r="I2615" s="25" t="s">
        <v>685</v>
      </c>
      <c r="K2615" t="s">
        <v>686</v>
      </c>
      <c r="L2615" t="s">
        <v>141</v>
      </c>
      <c r="M2615" t="s">
        <v>52</v>
      </c>
      <c r="N2615" t="s">
        <v>40</v>
      </c>
      <c r="O2615">
        <v>148</v>
      </c>
      <c r="Q2615">
        <v>4</v>
      </c>
      <c r="R2615">
        <v>1</v>
      </c>
      <c r="S2615">
        <v>0</v>
      </c>
      <c r="T2615">
        <v>0</v>
      </c>
      <c r="U2615">
        <v>1</v>
      </c>
      <c r="V2615">
        <v>1</v>
      </c>
      <c r="W2615">
        <v>2</v>
      </c>
      <c r="X2615" s="21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J2615" t="s">
        <v>51</v>
      </c>
      <c r="AK2615" t="s">
        <v>52</v>
      </c>
      <c r="AL2615" t="s">
        <v>687</v>
      </c>
      <c r="AP2615" t="s">
        <v>116</v>
      </c>
    </row>
    <row r="2616" spans="1:42">
      <c r="A2616" s="9">
        <v>43839</v>
      </c>
      <c r="B2616">
        <v>4</v>
      </c>
      <c r="C2616">
        <v>980</v>
      </c>
      <c r="D2616">
        <v>10266</v>
      </c>
      <c r="E2616" t="s">
        <v>37</v>
      </c>
      <c r="F2616" t="s">
        <v>520</v>
      </c>
      <c r="G2616">
        <v>2</v>
      </c>
      <c r="H2616">
        <v>40</v>
      </c>
      <c r="I2616" s="25" t="s">
        <v>688</v>
      </c>
      <c r="K2616" t="s">
        <v>103</v>
      </c>
      <c r="L2616" t="s">
        <v>141</v>
      </c>
      <c r="M2616" t="s">
        <v>52</v>
      </c>
      <c r="N2616" t="s">
        <v>40</v>
      </c>
      <c r="O2616">
        <v>73</v>
      </c>
      <c r="Q2616">
        <v>2</v>
      </c>
      <c r="R2616">
        <v>1</v>
      </c>
      <c r="S2616">
        <v>0</v>
      </c>
      <c r="T2616">
        <v>0</v>
      </c>
      <c r="U2616">
        <v>0</v>
      </c>
      <c r="V2616">
        <v>0</v>
      </c>
      <c r="W2616">
        <v>2</v>
      </c>
      <c r="X2616" s="21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J2616" t="s">
        <v>51</v>
      </c>
      <c r="AK2616" t="s">
        <v>52</v>
      </c>
      <c r="AP2616" t="s">
        <v>116</v>
      </c>
    </row>
    <row r="2617" spans="1:42">
      <c r="A2617" s="9">
        <v>43839</v>
      </c>
      <c r="B2617">
        <v>4</v>
      </c>
      <c r="C2617">
        <v>980</v>
      </c>
      <c r="D2617">
        <v>10266</v>
      </c>
      <c r="E2617" t="s">
        <v>37</v>
      </c>
      <c r="F2617" t="s">
        <v>520</v>
      </c>
      <c r="G2617">
        <v>2</v>
      </c>
      <c r="H2617">
        <v>41</v>
      </c>
      <c r="I2617" s="25">
        <v>990</v>
      </c>
      <c r="K2617" t="s">
        <v>119</v>
      </c>
      <c r="L2617" t="s">
        <v>114</v>
      </c>
      <c r="M2617" t="s">
        <v>52</v>
      </c>
      <c r="N2617" t="s">
        <v>44</v>
      </c>
      <c r="O2617">
        <v>165</v>
      </c>
      <c r="Q2617">
        <v>1</v>
      </c>
      <c r="R2617">
        <v>1</v>
      </c>
      <c r="S2617">
        <v>0</v>
      </c>
      <c r="T2617">
        <v>0</v>
      </c>
      <c r="U2617">
        <v>0</v>
      </c>
      <c r="V2617">
        <v>0</v>
      </c>
      <c r="W2617">
        <v>1</v>
      </c>
      <c r="X2617" s="21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J2617" t="s">
        <v>54</v>
      </c>
      <c r="AK2617" t="s">
        <v>95</v>
      </c>
      <c r="AL2617" t="s">
        <v>689</v>
      </c>
      <c r="AP2617" t="s">
        <v>116</v>
      </c>
    </row>
    <row r="2618" spans="1:42">
      <c r="A2618" s="9">
        <v>43839</v>
      </c>
      <c r="B2618">
        <v>4</v>
      </c>
      <c r="C2618">
        <v>980</v>
      </c>
      <c r="D2618">
        <v>10266</v>
      </c>
      <c r="E2618" t="s">
        <v>37</v>
      </c>
      <c r="F2618" t="s">
        <v>520</v>
      </c>
      <c r="G2618">
        <v>2</v>
      </c>
      <c r="H2618">
        <v>42</v>
      </c>
      <c r="I2618" s="25">
        <v>1000</v>
      </c>
      <c r="K2618" t="s">
        <v>119</v>
      </c>
      <c r="L2618" t="s">
        <v>114</v>
      </c>
      <c r="M2618" t="s">
        <v>95</v>
      </c>
      <c r="N2618" t="s">
        <v>44</v>
      </c>
      <c r="O2618">
        <v>113</v>
      </c>
      <c r="Q2618">
        <v>4</v>
      </c>
      <c r="R2618">
        <v>1</v>
      </c>
      <c r="S2618">
        <v>0</v>
      </c>
      <c r="T2618">
        <v>0</v>
      </c>
      <c r="U2618">
        <v>0</v>
      </c>
      <c r="V2618">
        <v>0</v>
      </c>
      <c r="W2618">
        <v>4</v>
      </c>
      <c r="X2618" s="21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J2618" t="s">
        <v>54</v>
      </c>
      <c r="AK2618" t="s">
        <v>95</v>
      </c>
      <c r="AL2618" t="s">
        <v>665</v>
      </c>
      <c r="AP2618" t="s">
        <v>116</v>
      </c>
    </row>
    <row r="2619" spans="1:42">
      <c r="A2619" s="9">
        <v>43839</v>
      </c>
      <c r="B2619">
        <v>4</v>
      </c>
      <c r="C2619">
        <v>980</v>
      </c>
      <c r="D2619">
        <v>10266</v>
      </c>
      <c r="E2619" t="s">
        <v>37</v>
      </c>
      <c r="F2619" t="s">
        <v>520</v>
      </c>
      <c r="G2619">
        <v>2</v>
      </c>
      <c r="H2619">
        <v>43</v>
      </c>
      <c r="I2619" s="25" t="s">
        <v>690</v>
      </c>
      <c r="K2619" t="s">
        <v>691</v>
      </c>
      <c r="M2619" t="s">
        <v>52</v>
      </c>
      <c r="N2619" t="s">
        <v>44</v>
      </c>
      <c r="O2619">
        <v>370</v>
      </c>
      <c r="Q2619">
        <v>8</v>
      </c>
      <c r="R2619">
        <v>1</v>
      </c>
      <c r="S2619">
        <v>0</v>
      </c>
      <c r="T2619">
        <v>0</v>
      </c>
      <c r="U2619">
        <v>8</v>
      </c>
      <c r="V2619">
        <v>0</v>
      </c>
      <c r="W2619">
        <v>0</v>
      </c>
      <c r="X2619" s="21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J2619" t="s">
        <v>54</v>
      </c>
      <c r="AK2619" t="s">
        <v>52</v>
      </c>
      <c r="AL2619" t="s">
        <v>692</v>
      </c>
      <c r="AP2619" t="s">
        <v>116</v>
      </c>
    </row>
    <row r="2620" spans="1:42">
      <c r="A2620" s="9">
        <v>43839</v>
      </c>
      <c r="B2620">
        <v>4</v>
      </c>
      <c r="C2620">
        <v>980</v>
      </c>
      <c r="D2620">
        <v>10266</v>
      </c>
      <c r="E2620" t="s">
        <v>37</v>
      </c>
      <c r="F2620" t="s">
        <v>520</v>
      </c>
      <c r="G2620">
        <v>2</v>
      </c>
      <c r="H2620">
        <v>44</v>
      </c>
      <c r="I2620" s="25" t="s">
        <v>693</v>
      </c>
      <c r="K2620" t="s">
        <v>103</v>
      </c>
      <c r="M2620" t="s">
        <v>95</v>
      </c>
      <c r="N2620" t="s">
        <v>44</v>
      </c>
      <c r="O2620">
        <v>206</v>
      </c>
      <c r="Q2620">
        <v>5</v>
      </c>
      <c r="R2620">
        <v>1</v>
      </c>
      <c r="S2620">
        <v>0</v>
      </c>
      <c r="T2620">
        <v>0</v>
      </c>
      <c r="U2620">
        <v>0</v>
      </c>
      <c r="V2620">
        <v>1</v>
      </c>
      <c r="W2620">
        <v>4</v>
      </c>
      <c r="X2620" s="21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J2620" t="s">
        <v>54</v>
      </c>
      <c r="AK2620" t="s">
        <v>52</v>
      </c>
      <c r="AL2620" t="s">
        <v>694</v>
      </c>
      <c r="AP2620" t="s">
        <v>116</v>
      </c>
    </row>
    <row r="2621" spans="1:42">
      <c r="A2621" s="9">
        <v>43839</v>
      </c>
      <c r="B2621">
        <v>4</v>
      </c>
      <c r="C2621">
        <v>980</v>
      </c>
      <c r="D2621">
        <v>10266</v>
      </c>
      <c r="E2621" t="s">
        <v>37</v>
      </c>
      <c r="F2621" t="s">
        <v>520</v>
      </c>
      <c r="G2621">
        <v>2</v>
      </c>
      <c r="H2621">
        <v>45</v>
      </c>
      <c r="I2621" s="25">
        <v>1955</v>
      </c>
      <c r="K2621" t="s">
        <v>103</v>
      </c>
      <c r="L2621" t="s">
        <v>141</v>
      </c>
      <c r="M2621" t="s">
        <v>52</v>
      </c>
      <c r="N2621" t="s">
        <v>44</v>
      </c>
      <c r="O2621">
        <v>165</v>
      </c>
      <c r="Q2621">
        <v>1</v>
      </c>
      <c r="R2621">
        <v>1</v>
      </c>
      <c r="S2621">
        <v>0</v>
      </c>
      <c r="T2621">
        <v>0</v>
      </c>
      <c r="U2621">
        <v>0</v>
      </c>
      <c r="V2621">
        <v>0</v>
      </c>
      <c r="W2621">
        <v>1</v>
      </c>
      <c r="X2621" s="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J2621" t="s">
        <v>54</v>
      </c>
      <c r="AK2621" t="s">
        <v>52</v>
      </c>
      <c r="AL2621" t="s">
        <v>695</v>
      </c>
      <c r="AP2621" t="s">
        <v>116</v>
      </c>
    </row>
    <row r="2622" spans="1:42">
      <c r="A2622" s="9">
        <v>43839</v>
      </c>
      <c r="B2622">
        <v>4</v>
      </c>
      <c r="C2622">
        <v>980</v>
      </c>
      <c r="D2622">
        <v>10266</v>
      </c>
      <c r="E2622" t="s">
        <v>37</v>
      </c>
      <c r="F2622" t="s">
        <v>520</v>
      </c>
      <c r="G2622">
        <v>2</v>
      </c>
      <c r="H2622">
        <v>46</v>
      </c>
      <c r="I2622" s="25" t="s">
        <v>696</v>
      </c>
      <c r="K2622" t="s">
        <v>697</v>
      </c>
      <c r="M2622" t="s">
        <v>95</v>
      </c>
      <c r="N2622" t="s">
        <v>42</v>
      </c>
      <c r="O2622">
        <v>175</v>
      </c>
      <c r="Q2622">
        <v>5</v>
      </c>
      <c r="R2622">
        <v>1</v>
      </c>
      <c r="S2622">
        <v>0</v>
      </c>
      <c r="T2622">
        <v>0</v>
      </c>
      <c r="U2622">
        <v>2</v>
      </c>
      <c r="V2622">
        <v>3</v>
      </c>
      <c r="W2622">
        <v>0</v>
      </c>
      <c r="X2622" s="21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J2622" t="s">
        <v>54</v>
      </c>
      <c r="AK2622" t="s">
        <v>95</v>
      </c>
      <c r="AP2622" t="s">
        <v>116</v>
      </c>
    </row>
    <row r="2623" spans="1:42">
      <c r="A2623" s="9">
        <v>43839</v>
      </c>
      <c r="B2623">
        <v>4</v>
      </c>
      <c r="C2623">
        <v>980</v>
      </c>
      <c r="D2623">
        <v>10266</v>
      </c>
      <c r="E2623" t="s">
        <v>37</v>
      </c>
      <c r="F2623" t="s">
        <v>520</v>
      </c>
      <c r="G2623">
        <v>2</v>
      </c>
      <c r="H2623">
        <v>47</v>
      </c>
      <c r="I2623" s="25">
        <v>1075</v>
      </c>
      <c r="K2623" t="s">
        <v>148</v>
      </c>
      <c r="L2623" t="s">
        <v>141</v>
      </c>
      <c r="M2623" t="s">
        <v>52</v>
      </c>
      <c r="N2623" t="s">
        <v>44</v>
      </c>
      <c r="O2623">
        <v>71</v>
      </c>
      <c r="Q2623">
        <v>1</v>
      </c>
      <c r="R2623">
        <v>1</v>
      </c>
      <c r="S2623">
        <v>0</v>
      </c>
      <c r="T2623">
        <v>0</v>
      </c>
      <c r="U2623">
        <v>0</v>
      </c>
      <c r="V2623">
        <v>1</v>
      </c>
      <c r="W2623">
        <v>0</v>
      </c>
      <c r="X2623" s="21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J2623" t="s">
        <v>54</v>
      </c>
      <c r="AK2623" t="s">
        <v>95</v>
      </c>
      <c r="AP2623" t="s">
        <v>116</v>
      </c>
    </row>
    <row r="2624" spans="1:42">
      <c r="A2624" s="9">
        <v>43839</v>
      </c>
      <c r="B2624">
        <v>4</v>
      </c>
      <c r="C2624">
        <v>980</v>
      </c>
      <c r="D2624">
        <v>10266</v>
      </c>
      <c r="E2624" t="s">
        <v>37</v>
      </c>
      <c r="F2624" t="s">
        <v>520</v>
      </c>
      <c r="G2624">
        <v>2</v>
      </c>
      <c r="H2624">
        <v>48</v>
      </c>
      <c r="I2624" s="25" t="s">
        <v>698</v>
      </c>
      <c r="K2624" t="s">
        <v>148</v>
      </c>
      <c r="M2624" t="s">
        <v>95</v>
      </c>
      <c r="N2624" t="s">
        <v>42</v>
      </c>
      <c r="O2624">
        <v>307</v>
      </c>
      <c r="Q2624">
        <v>6</v>
      </c>
      <c r="R2624">
        <v>1</v>
      </c>
      <c r="S2624">
        <v>0</v>
      </c>
      <c r="T2624">
        <v>0</v>
      </c>
      <c r="U2624">
        <v>1</v>
      </c>
      <c r="V2624">
        <v>2</v>
      </c>
      <c r="W2624">
        <v>3</v>
      </c>
      <c r="X2624" s="21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J2624" t="s">
        <v>54</v>
      </c>
      <c r="AK2624" t="s">
        <v>95</v>
      </c>
      <c r="AL2624" t="s">
        <v>699</v>
      </c>
      <c r="AP2624" t="s">
        <v>116</v>
      </c>
    </row>
    <row r="2625" spans="1:42">
      <c r="A2625" s="9">
        <v>43839</v>
      </c>
      <c r="B2625">
        <v>4</v>
      </c>
      <c r="C2625">
        <v>980</v>
      </c>
      <c r="D2625">
        <v>10266</v>
      </c>
      <c r="E2625" t="s">
        <v>37</v>
      </c>
      <c r="F2625" t="s">
        <v>520</v>
      </c>
      <c r="G2625">
        <v>2</v>
      </c>
      <c r="H2625">
        <v>49</v>
      </c>
      <c r="I2625" s="25" t="s">
        <v>700</v>
      </c>
      <c r="K2625" t="s">
        <v>148</v>
      </c>
      <c r="M2625" t="s">
        <v>95</v>
      </c>
      <c r="N2625" t="s">
        <v>42</v>
      </c>
      <c r="O2625">
        <v>215</v>
      </c>
      <c r="Q2625">
        <v>6</v>
      </c>
      <c r="R2625">
        <v>1</v>
      </c>
      <c r="S2625">
        <v>0</v>
      </c>
      <c r="T2625">
        <v>0</v>
      </c>
      <c r="U2625">
        <v>0</v>
      </c>
      <c r="V2625">
        <v>4</v>
      </c>
      <c r="W2625">
        <v>2</v>
      </c>
      <c r="X2625" s="21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J2625" t="s">
        <v>54</v>
      </c>
      <c r="AK2625" t="s">
        <v>95</v>
      </c>
      <c r="AL2625" t="s">
        <v>701</v>
      </c>
      <c r="AP2625" t="s">
        <v>116</v>
      </c>
    </row>
    <row r="2626" spans="1:42">
      <c r="A2626" s="9">
        <v>43839</v>
      </c>
      <c r="B2626">
        <v>4</v>
      </c>
      <c r="C2626">
        <v>980</v>
      </c>
      <c r="D2626">
        <v>10266</v>
      </c>
      <c r="E2626" t="s">
        <v>37</v>
      </c>
      <c r="F2626" t="s">
        <v>520</v>
      </c>
      <c r="G2626">
        <v>2</v>
      </c>
      <c r="H2626">
        <v>50</v>
      </c>
      <c r="I2626" s="25" t="s">
        <v>702</v>
      </c>
      <c r="K2626" t="s">
        <v>148</v>
      </c>
      <c r="L2626" t="s">
        <v>141</v>
      </c>
      <c r="M2626" t="s">
        <v>52</v>
      </c>
      <c r="N2626" t="s">
        <v>40</v>
      </c>
      <c r="O2626">
        <v>53</v>
      </c>
      <c r="Q2626">
        <v>1</v>
      </c>
      <c r="R2626">
        <v>1</v>
      </c>
      <c r="S2626">
        <v>0</v>
      </c>
      <c r="T2626">
        <v>0</v>
      </c>
      <c r="U2626">
        <v>0</v>
      </c>
      <c r="V2626">
        <v>0</v>
      </c>
      <c r="W2626">
        <v>1</v>
      </c>
      <c r="X2626" s="21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J2626" t="s">
        <v>54</v>
      </c>
      <c r="AK2626" t="s">
        <v>95</v>
      </c>
      <c r="AP2626" t="s">
        <v>116</v>
      </c>
    </row>
    <row r="2627" spans="1:42">
      <c r="A2627" s="9">
        <v>43839</v>
      </c>
      <c r="B2627">
        <v>4</v>
      </c>
      <c r="C2627">
        <v>980</v>
      </c>
      <c r="D2627">
        <v>10266</v>
      </c>
      <c r="E2627" t="s">
        <v>37</v>
      </c>
      <c r="F2627" t="s">
        <v>520</v>
      </c>
      <c r="G2627">
        <v>2</v>
      </c>
      <c r="H2627">
        <v>51</v>
      </c>
      <c r="I2627" s="25" t="s">
        <v>703</v>
      </c>
      <c r="K2627" t="s">
        <v>148</v>
      </c>
      <c r="L2627" t="s">
        <v>114</v>
      </c>
      <c r="M2627" t="s">
        <v>95</v>
      </c>
      <c r="N2627" t="s">
        <v>42</v>
      </c>
      <c r="O2627">
        <v>144</v>
      </c>
      <c r="Q2627">
        <v>3</v>
      </c>
      <c r="R2627">
        <v>1</v>
      </c>
      <c r="S2627">
        <v>0</v>
      </c>
      <c r="T2627">
        <v>0</v>
      </c>
      <c r="U2627">
        <v>0</v>
      </c>
      <c r="V2627">
        <v>2</v>
      </c>
      <c r="W2627">
        <v>1</v>
      </c>
      <c r="X2627" s="21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1</v>
      </c>
      <c r="AJ2627" t="s">
        <v>54</v>
      </c>
      <c r="AK2627" t="s">
        <v>52</v>
      </c>
      <c r="AL2627" t="s">
        <v>704</v>
      </c>
      <c r="AP2627" t="s">
        <v>116</v>
      </c>
    </row>
    <row r="2628" spans="1:42">
      <c r="A2628" s="9">
        <v>43839</v>
      </c>
      <c r="B2628">
        <v>4</v>
      </c>
      <c r="C2628">
        <v>980</v>
      </c>
      <c r="D2628">
        <v>10266</v>
      </c>
      <c r="E2628" t="s">
        <v>37</v>
      </c>
      <c r="F2628" t="s">
        <v>520</v>
      </c>
      <c r="G2628">
        <v>2</v>
      </c>
      <c r="H2628">
        <v>52</v>
      </c>
      <c r="I2628" s="25">
        <v>1000</v>
      </c>
      <c r="K2628" t="s">
        <v>148</v>
      </c>
      <c r="L2628" t="s">
        <v>114</v>
      </c>
      <c r="M2628" t="s">
        <v>95</v>
      </c>
      <c r="N2628" t="s">
        <v>44</v>
      </c>
      <c r="O2628">
        <v>100</v>
      </c>
      <c r="Q2628">
        <v>2</v>
      </c>
      <c r="R2628">
        <v>1</v>
      </c>
      <c r="S2628">
        <v>0</v>
      </c>
      <c r="T2628">
        <v>0</v>
      </c>
      <c r="U2628">
        <v>0</v>
      </c>
      <c r="V2628">
        <v>0</v>
      </c>
      <c r="W2628">
        <v>2</v>
      </c>
      <c r="X2628" s="21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J2628" t="s">
        <v>54</v>
      </c>
      <c r="AK2628" t="s">
        <v>52</v>
      </c>
      <c r="AL2628" t="s">
        <v>654</v>
      </c>
      <c r="AP2628" t="s">
        <v>116</v>
      </c>
    </row>
    <row r="2629" spans="1:42">
      <c r="A2629" s="9">
        <v>43839</v>
      </c>
      <c r="B2629">
        <v>4</v>
      </c>
      <c r="C2629">
        <v>980</v>
      </c>
      <c r="D2629">
        <v>10266</v>
      </c>
      <c r="E2629" t="s">
        <v>37</v>
      </c>
      <c r="F2629" t="s">
        <v>520</v>
      </c>
      <c r="G2629">
        <v>2</v>
      </c>
      <c r="H2629">
        <v>53</v>
      </c>
      <c r="I2629" s="25">
        <v>949</v>
      </c>
      <c r="K2629" t="s">
        <v>148</v>
      </c>
      <c r="L2629" t="s">
        <v>141</v>
      </c>
      <c r="M2629" t="s">
        <v>52</v>
      </c>
      <c r="N2629" t="s">
        <v>44</v>
      </c>
      <c r="O2629">
        <v>80</v>
      </c>
      <c r="Q2629">
        <v>1</v>
      </c>
      <c r="R2629">
        <v>1</v>
      </c>
      <c r="S2629">
        <v>0</v>
      </c>
      <c r="T2629">
        <v>0</v>
      </c>
      <c r="U2629">
        <v>0</v>
      </c>
      <c r="V2629">
        <v>0</v>
      </c>
      <c r="W2629">
        <v>1</v>
      </c>
      <c r="X2629" s="21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J2629" t="s">
        <v>51</v>
      </c>
      <c r="AK2629" t="s">
        <v>52</v>
      </c>
      <c r="AL2629" t="s">
        <v>670</v>
      </c>
      <c r="AP2629" t="s">
        <v>116</v>
      </c>
    </row>
    <row r="2630" spans="1:42">
      <c r="A2630" s="9">
        <v>43839</v>
      </c>
      <c r="B2630">
        <v>4</v>
      </c>
      <c r="C2630">
        <v>980</v>
      </c>
      <c r="D2630">
        <v>10266</v>
      </c>
      <c r="E2630" t="s">
        <v>37</v>
      </c>
      <c r="F2630" t="s">
        <v>520</v>
      </c>
      <c r="G2630">
        <v>2</v>
      </c>
      <c r="H2630">
        <v>54</v>
      </c>
      <c r="I2630" s="25" t="s">
        <v>705</v>
      </c>
      <c r="K2630" t="s">
        <v>706</v>
      </c>
      <c r="M2630" t="s">
        <v>95</v>
      </c>
      <c r="N2630" t="s">
        <v>42</v>
      </c>
      <c r="O2630">
        <v>192</v>
      </c>
      <c r="Q2630">
        <v>7</v>
      </c>
      <c r="R2630">
        <v>1</v>
      </c>
      <c r="S2630">
        <v>0</v>
      </c>
      <c r="T2630">
        <v>0</v>
      </c>
      <c r="U2630">
        <v>4</v>
      </c>
      <c r="V2630">
        <v>2</v>
      </c>
      <c r="W2630">
        <v>1</v>
      </c>
      <c r="X2630" s="21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J2630" t="s">
        <v>51</v>
      </c>
      <c r="AK2630" t="s">
        <v>52</v>
      </c>
      <c r="AL2630" t="s">
        <v>707</v>
      </c>
      <c r="AP2630" t="s">
        <v>116</v>
      </c>
    </row>
    <row r="2631" spans="1:42">
      <c r="A2631" s="9">
        <v>43839</v>
      </c>
      <c r="B2631">
        <v>4</v>
      </c>
      <c r="C2631">
        <v>980</v>
      </c>
      <c r="D2631">
        <v>10266</v>
      </c>
      <c r="E2631" t="s">
        <v>37</v>
      </c>
      <c r="F2631" t="s">
        <v>520</v>
      </c>
      <c r="G2631">
        <v>2</v>
      </c>
      <c r="H2631">
        <v>55</v>
      </c>
      <c r="I2631" s="25" t="s">
        <v>708</v>
      </c>
      <c r="K2631" t="s">
        <v>148</v>
      </c>
      <c r="M2631" t="s">
        <v>95</v>
      </c>
      <c r="N2631" t="s">
        <v>40</v>
      </c>
      <c r="O2631">
        <v>90</v>
      </c>
      <c r="Q2631">
        <v>3</v>
      </c>
      <c r="R2631">
        <v>1</v>
      </c>
      <c r="S2631">
        <v>0</v>
      </c>
      <c r="T2631">
        <v>0</v>
      </c>
      <c r="U2631">
        <v>0</v>
      </c>
      <c r="V2631">
        <v>1</v>
      </c>
      <c r="W2631">
        <v>2</v>
      </c>
      <c r="X2631" s="2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J2631" t="s">
        <v>51</v>
      </c>
      <c r="AK2631" t="s">
        <v>52</v>
      </c>
      <c r="AP2631" t="s">
        <v>116</v>
      </c>
    </row>
    <row r="2632" spans="1:42">
      <c r="A2632" s="9">
        <v>43839</v>
      </c>
      <c r="B2632">
        <v>4</v>
      </c>
      <c r="C2632">
        <v>980</v>
      </c>
      <c r="D2632">
        <v>10266</v>
      </c>
      <c r="E2632" t="s">
        <v>37</v>
      </c>
      <c r="F2632" t="s">
        <v>520</v>
      </c>
      <c r="G2632">
        <v>2</v>
      </c>
      <c r="H2632">
        <v>56</v>
      </c>
      <c r="I2632" s="25" t="s">
        <v>709</v>
      </c>
      <c r="K2632" t="s">
        <v>148</v>
      </c>
      <c r="M2632" t="s">
        <v>95</v>
      </c>
      <c r="N2632" t="s">
        <v>42</v>
      </c>
      <c r="O2632">
        <v>350</v>
      </c>
      <c r="Q2632">
        <v>6</v>
      </c>
      <c r="R2632">
        <v>1</v>
      </c>
      <c r="S2632">
        <v>0</v>
      </c>
      <c r="T2632">
        <v>0</v>
      </c>
      <c r="U2632">
        <v>1</v>
      </c>
      <c r="V2632">
        <v>2</v>
      </c>
      <c r="W2632">
        <v>3</v>
      </c>
      <c r="X2632" s="21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J2632" t="s">
        <v>51</v>
      </c>
      <c r="AK2632" t="s">
        <v>52</v>
      </c>
      <c r="AL2632" t="s">
        <v>710</v>
      </c>
      <c r="AP2632" t="s">
        <v>116</v>
      </c>
    </row>
    <row r="2633" spans="1:42">
      <c r="A2633" s="9">
        <v>43839</v>
      </c>
      <c r="B2633">
        <v>4</v>
      </c>
      <c r="C2633">
        <v>980</v>
      </c>
      <c r="D2633">
        <v>10266</v>
      </c>
      <c r="E2633" t="s">
        <v>37</v>
      </c>
      <c r="F2633" t="s">
        <v>520</v>
      </c>
      <c r="G2633">
        <v>2</v>
      </c>
      <c r="H2633">
        <v>57</v>
      </c>
      <c r="I2633" s="25" t="s">
        <v>711</v>
      </c>
      <c r="K2633" t="s">
        <v>148</v>
      </c>
      <c r="M2633" t="s">
        <v>95</v>
      </c>
      <c r="N2633" t="s">
        <v>40</v>
      </c>
      <c r="O2633">
        <v>201</v>
      </c>
      <c r="Q2633">
        <v>2</v>
      </c>
      <c r="R2633">
        <v>1</v>
      </c>
      <c r="S2633">
        <v>0</v>
      </c>
      <c r="T2633">
        <v>0</v>
      </c>
      <c r="U2633">
        <v>0</v>
      </c>
      <c r="V2633">
        <v>0</v>
      </c>
      <c r="W2633">
        <v>2</v>
      </c>
      <c r="X2633" s="21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J2633" t="s">
        <v>51</v>
      </c>
      <c r="AK2633" t="s">
        <v>52</v>
      </c>
      <c r="AP2633" t="s">
        <v>116</v>
      </c>
    </row>
    <row r="2634" spans="1:42">
      <c r="A2634" s="9">
        <v>43839</v>
      </c>
      <c r="B2634">
        <v>4</v>
      </c>
      <c r="C2634">
        <v>980</v>
      </c>
      <c r="D2634">
        <v>10266</v>
      </c>
      <c r="E2634" t="s">
        <v>37</v>
      </c>
      <c r="F2634" t="s">
        <v>520</v>
      </c>
      <c r="G2634">
        <v>2</v>
      </c>
      <c r="H2634">
        <v>58</v>
      </c>
      <c r="I2634" s="25" t="s">
        <v>712</v>
      </c>
      <c r="K2634" t="s">
        <v>148</v>
      </c>
      <c r="M2634" t="s">
        <v>95</v>
      </c>
      <c r="N2634" t="s">
        <v>40</v>
      </c>
      <c r="O2634">
        <v>165</v>
      </c>
      <c r="Q2634">
        <v>7</v>
      </c>
      <c r="R2634">
        <v>1</v>
      </c>
      <c r="S2634">
        <v>0</v>
      </c>
      <c r="T2634">
        <v>0</v>
      </c>
      <c r="U2634">
        <v>4</v>
      </c>
      <c r="V2634">
        <v>2</v>
      </c>
      <c r="W2634">
        <v>1</v>
      </c>
      <c r="X2634" s="21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J2634" t="s">
        <v>51</v>
      </c>
      <c r="AK2634" t="s">
        <v>52</v>
      </c>
      <c r="AP2634" t="s">
        <v>116</v>
      </c>
    </row>
    <row r="2635" spans="1:42">
      <c r="A2635" s="9">
        <v>43839</v>
      </c>
      <c r="B2635">
        <v>4</v>
      </c>
      <c r="C2635">
        <v>980</v>
      </c>
      <c r="D2635">
        <v>10266</v>
      </c>
      <c r="E2635" t="s">
        <v>37</v>
      </c>
      <c r="F2635" t="s">
        <v>520</v>
      </c>
      <c r="G2635">
        <v>2</v>
      </c>
      <c r="H2635">
        <v>59</v>
      </c>
      <c r="I2635" s="25" t="s">
        <v>713</v>
      </c>
      <c r="K2635" t="s">
        <v>148</v>
      </c>
      <c r="M2635" t="s">
        <v>95</v>
      </c>
      <c r="N2635" t="s">
        <v>42</v>
      </c>
      <c r="O2635">
        <v>165</v>
      </c>
      <c r="Q2635">
        <v>5</v>
      </c>
      <c r="R2635">
        <v>1</v>
      </c>
      <c r="S2635">
        <v>0</v>
      </c>
      <c r="T2635">
        <v>0</v>
      </c>
      <c r="U2635">
        <v>2</v>
      </c>
      <c r="V2635">
        <v>1</v>
      </c>
      <c r="W2635">
        <v>2</v>
      </c>
      <c r="X2635" s="21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J2635" t="s">
        <v>51</v>
      </c>
      <c r="AK2635" t="s">
        <v>52</v>
      </c>
      <c r="AL2635" t="s">
        <v>670</v>
      </c>
      <c r="AP2635" t="s">
        <v>116</v>
      </c>
    </row>
    <row r="2636" spans="1:42">
      <c r="A2636" s="9">
        <v>43839</v>
      </c>
      <c r="B2636">
        <v>4</v>
      </c>
      <c r="C2636">
        <v>980</v>
      </c>
      <c r="D2636">
        <v>10266</v>
      </c>
      <c r="E2636" t="s">
        <v>37</v>
      </c>
      <c r="F2636" t="s">
        <v>520</v>
      </c>
      <c r="G2636">
        <v>2</v>
      </c>
      <c r="H2636">
        <v>60</v>
      </c>
      <c r="I2636" s="25" t="s">
        <v>714</v>
      </c>
      <c r="K2636" t="s">
        <v>91</v>
      </c>
      <c r="L2636" t="s">
        <v>141</v>
      </c>
      <c r="M2636" t="s">
        <v>52</v>
      </c>
      <c r="N2636" t="s">
        <v>44</v>
      </c>
      <c r="O2636">
        <v>225</v>
      </c>
      <c r="Q2636">
        <v>4</v>
      </c>
      <c r="R2636">
        <v>1</v>
      </c>
      <c r="S2636">
        <v>0</v>
      </c>
      <c r="T2636">
        <v>0</v>
      </c>
      <c r="U2636">
        <v>2</v>
      </c>
      <c r="V2636">
        <v>0</v>
      </c>
      <c r="W2636">
        <v>2</v>
      </c>
      <c r="X2636" s="21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J2636" t="s">
        <v>51</v>
      </c>
      <c r="AK2636" t="s">
        <v>52</v>
      </c>
      <c r="AL2636" t="s">
        <v>715</v>
      </c>
      <c r="AP2636" t="s">
        <v>116</v>
      </c>
    </row>
    <row r="2637" spans="1:42">
      <c r="A2637" s="9">
        <v>43839</v>
      </c>
      <c r="B2637">
        <v>4</v>
      </c>
      <c r="C2637">
        <v>980</v>
      </c>
      <c r="D2637">
        <v>10266</v>
      </c>
      <c r="E2637" t="s">
        <v>37</v>
      </c>
      <c r="F2637" t="s">
        <v>520</v>
      </c>
      <c r="G2637">
        <v>2</v>
      </c>
      <c r="H2637">
        <v>61</v>
      </c>
      <c r="I2637" s="25" t="s">
        <v>716</v>
      </c>
      <c r="K2637" t="s">
        <v>91</v>
      </c>
      <c r="M2637" t="s">
        <v>52</v>
      </c>
      <c r="N2637" t="s">
        <v>42</v>
      </c>
      <c r="O2637">
        <v>188</v>
      </c>
      <c r="Q2637">
        <v>3</v>
      </c>
      <c r="R2637">
        <v>1</v>
      </c>
      <c r="S2637">
        <v>0</v>
      </c>
      <c r="T2637">
        <v>0</v>
      </c>
      <c r="U2637">
        <v>0</v>
      </c>
      <c r="V2637">
        <v>2</v>
      </c>
      <c r="W2637">
        <v>1</v>
      </c>
      <c r="X2637" s="21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J2637" t="s">
        <v>54</v>
      </c>
      <c r="AK2637" t="s">
        <v>52</v>
      </c>
      <c r="AL2637" t="s">
        <v>666</v>
      </c>
      <c r="AP2637" t="s">
        <v>116</v>
      </c>
    </row>
    <row r="2638" spans="1:42">
      <c r="A2638" s="9">
        <v>43839</v>
      </c>
      <c r="B2638">
        <v>4</v>
      </c>
      <c r="C2638">
        <v>980</v>
      </c>
      <c r="D2638">
        <v>10266</v>
      </c>
      <c r="E2638" t="s">
        <v>37</v>
      </c>
      <c r="F2638" t="s">
        <v>520</v>
      </c>
      <c r="G2638">
        <v>2</v>
      </c>
      <c r="H2638">
        <v>62</v>
      </c>
      <c r="I2638" s="25">
        <v>1815</v>
      </c>
      <c r="K2638" t="s">
        <v>91</v>
      </c>
      <c r="L2638" t="s">
        <v>141</v>
      </c>
      <c r="M2638" t="s">
        <v>52</v>
      </c>
      <c r="N2638" t="s">
        <v>44</v>
      </c>
      <c r="O2638">
        <v>72</v>
      </c>
      <c r="Q2638">
        <v>1</v>
      </c>
      <c r="R2638">
        <v>1</v>
      </c>
      <c r="S2638">
        <v>0</v>
      </c>
      <c r="T2638">
        <v>0</v>
      </c>
      <c r="U2638">
        <v>0</v>
      </c>
      <c r="V2638">
        <v>0</v>
      </c>
      <c r="W2638">
        <v>1</v>
      </c>
      <c r="X2638" s="21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J2638" t="s">
        <v>54</v>
      </c>
      <c r="AK2638" t="s">
        <v>52</v>
      </c>
      <c r="AL2638" t="s">
        <v>694</v>
      </c>
      <c r="AP2638" t="s">
        <v>116</v>
      </c>
    </row>
    <row r="2639" spans="1:42">
      <c r="A2639" s="9">
        <v>43839</v>
      </c>
      <c r="B2639">
        <v>4</v>
      </c>
      <c r="C2639">
        <v>980</v>
      </c>
      <c r="D2639">
        <v>10266</v>
      </c>
      <c r="E2639" t="s">
        <v>37</v>
      </c>
      <c r="F2639" t="s">
        <v>520</v>
      </c>
      <c r="G2639">
        <v>2</v>
      </c>
      <c r="H2639">
        <v>63</v>
      </c>
      <c r="I2639" s="25" t="s">
        <v>717</v>
      </c>
      <c r="K2639" t="s">
        <v>91</v>
      </c>
      <c r="M2639" t="s">
        <v>95</v>
      </c>
      <c r="N2639" t="s">
        <v>44</v>
      </c>
      <c r="O2639">
        <v>327</v>
      </c>
      <c r="Q2639">
        <v>5</v>
      </c>
      <c r="R2639">
        <v>1</v>
      </c>
      <c r="S2639">
        <v>0</v>
      </c>
      <c r="T2639">
        <v>0</v>
      </c>
      <c r="U2639">
        <v>2</v>
      </c>
      <c r="V2639">
        <v>0</v>
      </c>
      <c r="W2639">
        <v>3</v>
      </c>
      <c r="X2639" s="21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J2639" t="s">
        <v>54</v>
      </c>
      <c r="AK2639" t="s">
        <v>52</v>
      </c>
      <c r="AL2639" t="s">
        <v>718</v>
      </c>
      <c r="AP2639" t="s">
        <v>116</v>
      </c>
    </row>
    <row r="2640" spans="1:42">
      <c r="A2640" s="9">
        <v>43839</v>
      </c>
      <c r="B2640">
        <v>4</v>
      </c>
      <c r="C2640">
        <v>980</v>
      </c>
      <c r="D2640">
        <v>10266</v>
      </c>
      <c r="E2640" t="s">
        <v>37</v>
      </c>
      <c r="F2640" t="s">
        <v>520</v>
      </c>
      <c r="G2640">
        <v>2</v>
      </c>
      <c r="H2640">
        <v>64</v>
      </c>
      <c r="I2640" s="25" t="s">
        <v>719</v>
      </c>
      <c r="K2640" t="s">
        <v>91</v>
      </c>
      <c r="M2640" t="s">
        <v>95</v>
      </c>
      <c r="N2640" t="s">
        <v>44</v>
      </c>
      <c r="O2640">
        <v>140</v>
      </c>
      <c r="Q2640">
        <v>2</v>
      </c>
      <c r="R2640">
        <v>1</v>
      </c>
      <c r="S2640">
        <v>0</v>
      </c>
      <c r="T2640">
        <v>0</v>
      </c>
      <c r="U2640">
        <v>0</v>
      </c>
      <c r="V2640">
        <v>0</v>
      </c>
      <c r="W2640">
        <v>2</v>
      </c>
      <c r="X2640" s="21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J2640" t="s">
        <v>51</v>
      </c>
      <c r="AK2640" t="s">
        <v>52</v>
      </c>
      <c r="AL2640" t="s">
        <v>720</v>
      </c>
      <c r="AP2640" t="s">
        <v>116</v>
      </c>
    </row>
    <row r="2641" spans="1:42">
      <c r="A2641" s="9">
        <v>43839</v>
      </c>
      <c r="B2641">
        <v>4</v>
      </c>
      <c r="C2641">
        <v>980</v>
      </c>
      <c r="D2641">
        <v>10266</v>
      </c>
      <c r="E2641" t="s">
        <v>37</v>
      </c>
      <c r="F2641" t="s">
        <v>520</v>
      </c>
      <c r="G2641">
        <v>2</v>
      </c>
      <c r="H2641">
        <v>65</v>
      </c>
      <c r="I2641" s="25">
        <v>1200</v>
      </c>
      <c r="K2641" t="s">
        <v>647</v>
      </c>
      <c r="L2641" t="s">
        <v>114</v>
      </c>
      <c r="M2641" t="s">
        <v>95</v>
      </c>
      <c r="N2641" t="s">
        <v>40</v>
      </c>
      <c r="O2641">
        <v>45</v>
      </c>
      <c r="Q2641">
        <v>2</v>
      </c>
      <c r="R2641">
        <v>1</v>
      </c>
      <c r="S2641">
        <v>0</v>
      </c>
      <c r="T2641">
        <v>0</v>
      </c>
      <c r="U2641">
        <v>0</v>
      </c>
      <c r="V2641">
        <v>0</v>
      </c>
      <c r="W2641">
        <v>2</v>
      </c>
      <c r="X2641" s="2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J2641" t="s">
        <v>54</v>
      </c>
      <c r="AK2641" t="s">
        <v>52</v>
      </c>
      <c r="AP2641" t="s">
        <v>116</v>
      </c>
    </row>
    <row r="2642" spans="1:42">
      <c r="A2642" s="9">
        <v>43839</v>
      </c>
      <c r="B2642">
        <v>4</v>
      </c>
      <c r="C2642">
        <v>980</v>
      </c>
      <c r="D2642">
        <v>10266</v>
      </c>
      <c r="E2642" t="s">
        <v>37</v>
      </c>
      <c r="F2642" t="s">
        <v>520</v>
      </c>
      <c r="G2642">
        <v>2</v>
      </c>
      <c r="H2642">
        <v>66</v>
      </c>
      <c r="I2642" s="25" t="s">
        <v>721</v>
      </c>
      <c r="K2642" t="s">
        <v>103</v>
      </c>
      <c r="M2642" t="s">
        <v>95</v>
      </c>
      <c r="N2642" t="s">
        <v>42</v>
      </c>
      <c r="O2642">
        <v>240</v>
      </c>
      <c r="Q2642">
        <v>6</v>
      </c>
      <c r="R2642">
        <v>1</v>
      </c>
      <c r="S2642">
        <v>0</v>
      </c>
      <c r="T2642">
        <v>0</v>
      </c>
      <c r="U2642">
        <v>2</v>
      </c>
      <c r="V2642">
        <v>1</v>
      </c>
      <c r="W2642">
        <v>3</v>
      </c>
      <c r="X2642" s="21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J2642" t="s">
        <v>54</v>
      </c>
      <c r="AK2642" t="s">
        <v>52</v>
      </c>
      <c r="AL2642" t="s">
        <v>722</v>
      </c>
      <c r="AP2642" t="s">
        <v>116</v>
      </c>
    </row>
    <row r="2643" spans="1:42">
      <c r="A2643" s="9">
        <v>43839</v>
      </c>
      <c r="B2643">
        <v>4</v>
      </c>
      <c r="C2643">
        <v>980</v>
      </c>
      <c r="D2643">
        <v>10266</v>
      </c>
      <c r="E2643" t="s">
        <v>37</v>
      </c>
      <c r="F2643" t="s">
        <v>520</v>
      </c>
      <c r="G2643">
        <v>2</v>
      </c>
      <c r="H2643">
        <v>67</v>
      </c>
      <c r="I2643" s="25" t="s">
        <v>723</v>
      </c>
      <c r="K2643" t="s">
        <v>103</v>
      </c>
      <c r="M2643" t="s">
        <v>95</v>
      </c>
      <c r="N2643" t="s">
        <v>42</v>
      </c>
      <c r="O2643">
        <v>194</v>
      </c>
      <c r="Q2643">
        <v>4</v>
      </c>
      <c r="R2643">
        <v>1</v>
      </c>
      <c r="S2643">
        <v>0</v>
      </c>
      <c r="T2643">
        <v>0</v>
      </c>
      <c r="U2643">
        <v>0</v>
      </c>
      <c r="V2643">
        <v>0</v>
      </c>
      <c r="W2643">
        <v>4</v>
      </c>
      <c r="X2643" s="21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J2643" t="s">
        <v>54</v>
      </c>
      <c r="AK2643" t="s">
        <v>52</v>
      </c>
      <c r="AL2643" t="s">
        <v>722</v>
      </c>
      <c r="AP2643" t="s">
        <v>116</v>
      </c>
    </row>
    <row r="2644" spans="1:42">
      <c r="A2644" s="9">
        <v>43839</v>
      </c>
      <c r="B2644">
        <v>4</v>
      </c>
      <c r="C2644">
        <v>980</v>
      </c>
      <c r="D2644">
        <v>10266</v>
      </c>
      <c r="E2644" t="s">
        <v>37</v>
      </c>
      <c r="F2644" t="s">
        <v>520</v>
      </c>
      <c r="G2644">
        <v>2</v>
      </c>
      <c r="H2644">
        <v>68</v>
      </c>
      <c r="I2644" s="25" t="s">
        <v>724</v>
      </c>
      <c r="K2644" t="s">
        <v>725</v>
      </c>
      <c r="L2644" t="s">
        <v>141</v>
      </c>
      <c r="M2644" t="s">
        <v>95</v>
      </c>
      <c r="N2644" t="s">
        <v>40</v>
      </c>
      <c r="O2644">
        <v>105</v>
      </c>
      <c r="Q2644">
        <v>4</v>
      </c>
      <c r="R2644">
        <v>1</v>
      </c>
      <c r="S2644">
        <v>0</v>
      </c>
      <c r="T2644">
        <v>0</v>
      </c>
      <c r="U2644">
        <v>1</v>
      </c>
      <c r="V2644">
        <v>0</v>
      </c>
      <c r="W2644">
        <v>3</v>
      </c>
      <c r="X2644" s="21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J2644" t="s">
        <v>51</v>
      </c>
      <c r="AK2644" t="s">
        <v>52</v>
      </c>
      <c r="AP2644" t="s">
        <v>116</v>
      </c>
    </row>
    <row r="2645" spans="1:42">
      <c r="A2645" s="9">
        <v>43839</v>
      </c>
      <c r="B2645">
        <v>4</v>
      </c>
      <c r="C2645">
        <v>980</v>
      </c>
      <c r="D2645">
        <v>10266</v>
      </c>
      <c r="E2645" t="s">
        <v>37</v>
      </c>
      <c r="F2645" t="s">
        <v>520</v>
      </c>
      <c r="G2645">
        <v>2</v>
      </c>
      <c r="H2645">
        <v>69</v>
      </c>
      <c r="I2645" s="25" t="s">
        <v>726</v>
      </c>
      <c r="K2645" t="s">
        <v>727</v>
      </c>
      <c r="L2645" t="s">
        <v>114</v>
      </c>
      <c r="M2645" t="s">
        <v>52</v>
      </c>
      <c r="N2645" t="s">
        <v>40</v>
      </c>
      <c r="O2645">
        <v>72</v>
      </c>
      <c r="Q2645">
        <v>3</v>
      </c>
      <c r="R2645">
        <v>1</v>
      </c>
      <c r="S2645">
        <v>0</v>
      </c>
      <c r="T2645">
        <v>0</v>
      </c>
      <c r="U2645">
        <v>3</v>
      </c>
      <c r="V2645">
        <v>0</v>
      </c>
      <c r="W2645">
        <v>0</v>
      </c>
      <c r="X2645" s="21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J2645" t="s">
        <v>51</v>
      </c>
      <c r="AK2645" t="s">
        <v>95</v>
      </c>
      <c r="AP2645" t="s">
        <v>116</v>
      </c>
    </row>
    <row r="2646" spans="1:42">
      <c r="A2646" s="9">
        <v>43839</v>
      </c>
      <c r="B2646">
        <v>4</v>
      </c>
      <c r="C2646">
        <v>980</v>
      </c>
      <c r="D2646">
        <v>10266</v>
      </c>
      <c r="E2646" t="s">
        <v>37</v>
      </c>
      <c r="F2646" t="s">
        <v>520</v>
      </c>
      <c r="G2646">
        <v>2</v>
      </c>
      <c r="H2646">
        <v>70</v>
      </c>
      <c r="I2646" s="25" t="s">
        <v>728</v>
      </c>
      <c r="K2646" t="s">
        <v>727</v>
      </c>
      <c r="M2646" t="s">
        <v>52</v>
      </c>
      <c r="N2646" t="s">
        <v>40</v>
      </c>
      <c r="O2646">
        <v>69</v>
      </c>
      <c r="Q2646">
        <v>3</v>
      </c>
      <c r="R2646">
        <v>1</v>
      </c>
      <c r="S2646">
        <v>0</v>
      </c>
      <c r="T2646">
        <v>0</v>
      </c>
      <c r="U2646">
        <v>2</v>
      </c>
      <c r="V2646">
        <v>1</v>
      </c>
      <c r="W2646">
        <v>0</v>
      </c>
      <c r="X2646" s="21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J2646" t="s">
        <v>51</v>
      </c>
      <c r="AK2646" t="s">
        <v>95</v>
      </c>
      <c r="AP2646" t="s">
        <v>116</v>
      </c>
    </row>
    <row r="2647" spans="1:42">
      <c r="A2647" s="9">
        <v>43839</v>
      </c>
      <c r="B2647">
        <v>4</v>
      </c>
      <c r="C2647">
        <v>980</v>
      </c>
      <c r="D2647">
        <v>10266</v>
      </c>
      <c r="E2647" t="s">
        <v>37</v>
      </c>
      <c r="F2647" t="s">
        <v>520</v>
      </c>
      <c r="G2647">
        <v>2</v>
      </c>
      <c r="H2647">
        <v>71</v>
      </c>
      <c r="I2647" s="25" t="s">
        <v>729</v>
      </c>
      <c r="K2647" t="s">
        <v>727</v>
      </c>
      <c r="L2647" t="s">
        <v>114</v>
      </c>
      <c r="M2647" t="s">
        <v>52</v>
      </c>
      <c r="N2647" t="s">
        <v>40</v>
      </c>
      <c r="O2647">
        <v>67</v>
      </c>
      <c r="Q2647">
        <v>3</v>
      </c>
      <c r="R2647">
        <v>1</v>
      </c>
      <c r="S2647">
        <v>0</v>
      </c>
      <c r="T2647">
        <v>0</v>
      </c>
      <c r="U2647">
        <v>2</v>
      </c>
      <c r="V2647">
        <v>1</v>
      </c>
      <c r="W2647">
        <v>0</v>
      </c>
      <c r="X2647" s="21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J2647" t="s">
        <v>51</v>
      </c>
      <c r="AK2647" t="s">
        <v>95</v>
      </c>
      <c r="AP2647" t="s">
        <v>116</v>
      </c>
    </row>
    <row r="2648" spans="1:42">
      <c r="A2648" s="9">
        <v>43839</v>
      </c>
      <c r="B2648">
        <v>4</v>
      </c>
      <c r="C2648">
        <v>980</v>
      </c>
      <c r="D2648">
        <v>10266</v>
      </c>
      <c r="E2648" t="s">
        <v>37</v>
      </c>
      <c r="F2648" t="s">
        <v>520</v>
      </c>
      <c r="G2648">
        <v>2</v>
      </c>
      <c r="H2648">
        <v>72</v>
      </c>
      <c r="I2648" s="25" t="s">
        <v>730</v>
      </c>
      <c r="K2648" t="s">
        <v>727</v>
      </c>
      <c r="M2648" t="s">
        <v>95</v>
      </c>
      <c r="N2648" t="s">
        <v>40</v>
      </c>
      <c r="O2648">
        <v>79</v>
      </c>
      <c r="Q2648">
        <v>2</v>
      </c>
      <c r="R2648">
        <v>1</v>
      </c>
      <c r="S2648">
        <v>0</v>
      </c>
      <c r="T2648">
        <v>0</v>
      </c>
      <c r="U2648">
        <v>2</v>
      </c>
      <c r="V2648">
        <v>0</v>
      </c>
      <c r="W2648">
        <v>0</v>
      </c>
      <c r="X2648" s="21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1</v>
      </c>
      <c r="AG2648">
        <v>0</v>
      </c>
      <c r="AJ2648" t="s">
        <v>51</v>
      </c>
      <c r="AK2648" t="s">
        <v>95</v>
      </c>
      <c r="AL2648" t="s">
        <v>662</v>
      </c>
      <c r="AP2648" t="s">
        <v>116</v>
      </c>
    </row>
    <row r="2649" spans="1:42">
      <c r="A2649" s="9">
        <v>43839</v>
      </c>
      <c r="B2649">
        <v>4</v>
      </c>
      <c r="C2649">
        <v>980</v>
      </c>
      <c r="D2649">
        <v>10266</v>
      </c>
      <c r="E2649" t="s">
        <v>37</v>
      </c>
      <c r="F2649" t="s">
        <v>520</v>
      </c>
      <c r="G2649">
        <v>2</v>
      </c>
      <c r="H2649">
        <v>73</v>
      </c>
      <c r="I2649" s="25" t="s">
        <v>731</v>
      </c>
      <c r="K2649" t="s">
        <v>732</v>
      </c>
      <c r="L2649" t="s">
        <v>114</v>
      </c>
      <c r="M2649" t="s">
        <v>52</v>
      </c>
      <c r="N2649" t="s">
        <v>42</v>
      </c>
      <c r="O2649">
        <v>137</v>
      </c>
      <c r="Q2649">
        <v>3</v>
      </c>
      <c r="R2649">
        <v>1</v>
      </c>
      <c r="S2649">
        <v>0</v>
      </c>
      <c r="T2649">
        <v>0</v>
      </c>
      <c r="U2649">
        <v>1</v>
      </c>
      <c r="V2649">
        <v>1</v>
      </c>
      <c r="W2649">
        <v>1</v>
      </c>
      <c r="X2649" s="21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J2649" t="s">
        <v>51</v>
      </c>
      <c r="AK2649" t="s">
        <v>95</v>
      </c>
      <c r="AL2649" t="s">
        <v>733</v>
      </c>
      <c r="AP2649" t="s">
        <v>116</v>
      </c>
    </row>
    <row r="2650" spans="1:42">
      <c r="A2650" s="9">
        <v>43839</v>
      </c>
      <c r="B2650">
        <v>4</v>
      </c>
      <c r="C2650">
        <v>980</v>
      </c>
      <c r="D2650">
        <v>10266</v>
      </c>
      <c r="E2650" t="s">
        <v>37</v>
      </c>
      <c r="F2650" t="s">
        <v>520</v>
      </c>
      <c r="G2650">
        <v>2</v>
      </c>
      <c r="H2650">
        <v>74</v>
      </c>
      <c r="I2650" s="25">
        <v>1707</v>
      </c>
      <c r="K2650" t="s">
        <v>91</v>
      </c>
      <c r="L2650" t="s">
        <v>141</v>
      </c>
      <c r="M2650" t="s">
        <v>52</v>
      </c>
      <c r="N2650" t="s">
        <v>40</v>
      </c>
      <c r="O2650">
        <v>84</v>
      </c>
      <c r="Q2650">
        <v>1</v>
      </c>
      <c r="R2650">
        <v>1</v>
      </c>
      <c r="S2650">
        <v>0</v>
      </c>
      <c r="T2650">
        <v>0</v>
      </c>
      <c r="U2650">
        <v>0</v>
      </c>
      <c r="V2650">
        <v>1</v>
      </c>
      <c r="W2650">
        <v>0</v>
      </c>
      <c r="X2650" s="21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J2650" t="s">
        <v>54</v>
      </c>
      <c r="AK2650" t="s">
        <v>52</v>
      </c>
      <c r="AL2650" t="s">
        <v>734</v>
      </c>
      <c r="AP2650" t="s">
        <v>116</v>
      </c>
    </row>
    <row r="2651" spans="1:42">
      <c r="A2651" s="9">
        <v>43839</v>
      </c>
      <c r="B2651">
        <v>4</v>
      </c>
      <c r="C2651">
        <v>980</v>
      </c>
      <c r="D2651">
        <v>10266</v>
      </c>
      <c r="E2651" t="s">
        <v>37</v>
      </c>
      <c r="F2651" t="s">
        <v>520</v>
      </c>
      <c r="G2651">
        <v>2</v>
      </c>
      <c r="H2651">
        <v>75</v>
      </c>
      <c r="I2651" s="25" t="s">
        <v>735</v>
      </c>
      <c r="K2651" t="s">
        <v>185</v>
      </c>
      <c r="L2651" t="s">
        <v>114</v>
      </c>
      <c r="M2651" t="s">
        <v>52</v>
      </c>
      <c r="N2651" t="s">
        <v>42</v>
      </c>
      <c r="O2651">
        <v>132</v>
      </c>
      <c r="Q2651">
        <v>3</v>
      </c>
      <c r="R2651">
        <v>1</v>
      </c>
      <c r="S2651">
        <v>0</v>
      </c>
      <c r="T2651">
        <v>0</v>
      </c>
      <c r="U2651">
        <v>2</v>
      </c>
      <c r="V2651">
        <v>1</v>
      </c>
      <c r="W2651">
        <v>0</v>
      </c>
      <c r="X2651" s="2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2</v>
      </c>
      <c r="AG2651">
        <v>0</v>
      </c>
      <c r="AJ2651" t="s">
        <v>54</v>
      </c>
      <c r="AK2651" t="s">
        <v>52</v>
      </c>
      <c r="AL2651" t="s">
        <v>736</v>
      </c>
      <c r="AP2651" t="s">
        <v>116</v>
      </c>
    </row>
    <row r="2652" spans="1:42">
      <c r="A2652" s="9">
        <v>43839</v>
      </c>
      <c r="B2652">
        <v>4</v>
      </c>
      <c r="C2652">
        <v>980</v>
      </c>
      <c r="D2652">
        <v>10266</v>
      </c>
      <c r="E2652" t="s">
        <v>37</v>
      </c>
      <c r="F2652" t="s">
        <v>520</v>
      </c>
      <c r="G2652">
        <v>2</v>
      </c>
      <c r="H2652">
        <v>76</v>
      </c>
      <c r="I2652" s="25" t="s">
        <v>737</v>
      </c>
      <c r="K2652" t="s">
        <v>185</v>
      </c>
      <c r="L2652" t="s">
        <v>114</v>
      </c>
      <c r="M2652" t="s">
        <v>52</v>
      </c>
      <c r="N2652" t="s">
        <v>44</v>
      </c>
      <c r="O2652">
        <v>157</v>
      </c>
      <c r="Q2652">
        <v>2</v>
      </c>
      <c r="R2652">
        <v>1</v>
      </c>
      <c r="S2652">
        <v>0</v>
      </c>
      <c r="T2652">
        <v>0</v>
      </c>
      <c r="U2652">
        <v>0</v>
      </c>
      <c r="V2652">
        <v>0</v>
      </c>
      <c r="W2652">
        <v>2</v>
      </c>
      <c r="X2652" s="21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J2652" t="s">
        <v>54</v>
      </c>
      <c r="AK2652" t="s">
        <v>52</v>
      </c>
      <c r="AL2652" t="s">
        <v>738</v>
      </c>
      <c r="AP2652" t="s">
        <v>116</v>
      </c>
    </row>
    <row r="2653" spans="1:42">
      <c r="A2653" s="9">
        <v>43839</v>
      </c>
      <c r="B2653">
        <v>4</v>
      </c>
      <c r="C2653">
        <v>980</v>
      </c>
      <c r="D2653">
        <v>10266</v>
      </c>
      <c r="E2653" t="s">
        <v>37</v>
      </c>
      <c r="F2653" t="s">
        <v>520</v>
      </c>
      <c r="G2653">
        <v>2</v>
      </c>
      <c r="H2653">
        <v>77</v>
      </c>
      <c r="I2653" s="25" t="s">
        <v>739</v>
      </c>
      <c r="K2653" t="s">
        <v>185</v>
      </c>
      <c r="L2653" t="s">
        <v>114</v>
      </c>
      <c r="M2653" t="s">
        <v>52</v>
      </c>
      <c r="N2653" t="s">
        <v>40</v>
      </c>
      <c r="O2653">
        <v>134</v>
      </c>
      <c r="Q2653">
        <v>3</v>
      </c>
      <c r="R2653">
        <v>1</v>
      </c>
      <c r="S2653">
        <v>0</v>
      </c>
      <c r="T2653">
        <v>0</v>
      </c>
      <c r="U2653">
        <v>0</v>
      </c>
      <c r="V2653">
        <v>1</v>
      </c>
      <c r="W2653">
        <v>2</v>
      </c>
      <c r="X2653" s="21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J2653" t="s">
        <v>54</v>
      </c>
      <c r="AK2653" t="s">
        <v>52</v>
      </c>
      <c r="AP2653" t="s">
        <v>116</v>
      </c>
    </row>
    <row r="2654" spans="1:42">
      <c r="A2654" s="9">
        <v>43839</v>
      </c>
      <c r="B2654">
        <v>4</v>
      </c>
      <c r="C2654">
        <v>980</v>
      </c>
      <c r="D2654">
        <v>10266</v>
      </c>
      <c r="E2654" t="s">
        <v>37</v>
      </c>
      <c r="F2654" t="s">
        <v>520</v>
      </c>
      <c r="G2654">
        <v>2</v>
      </c>
      <c r="H2654">
        <v>78</v>
      </c>
      <c r="I2654" s="25" t="s">
        <v>740</v>
      </c>
      <c r="K2654" t="s">
        <v>185</v>
      </c>
      <c r="L2654" t="s">
        <v>114</v>
      </c>
      <c r="M2654" t="s">
        <v>52</v>
      </c>
      <c r="N2654" t="s">
        <v>40</v>
      </c>
      <c r="O2654">
        <v>141</v>
      </c>
      <c r="Q2654">
        <v>3</v>
      </c>
      <c r="R2654">
        <v>1</v>
      </c>
      <c r="S2654">
        <v>0</v>
      </c>
      <c r="T2654">
        <v>0</v>
      </c>
      <c r="U2654">
        <v>2</v>
      </c>
      <c r="V2654">
        <v>0</v>
      </c>
      <c r="W2654">
        <v>1</v>
      </c>
      <c r="X2654" s="21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J2654" t="s">
        <v>54</v>
      </c>
      <c r="AK2654" t="s">
        <v>52</v>
      </c>
      <c r="AP2654" t="s">
        <v>116</v>
      </c>
    </row>
    <row r="2655" spans="1:42">
      <c r="A2655" s="9">
        <v>43839</v>
      </c>
      <c r="B2655">
        <v>4</v>
      </c>
      <c r="C2655">
        <v>980</v>
      </c>
      <c r="D2655">
        <v>10266</v>
      </c>
      <c r="E2655" t="s">
        <v>37</v>
      </c>
      <c r="F2655" t="s">
        <v>520</v>
      </c>
      <c r="G2655">
        <v>2</v>
      </c>
      <c r="H2655">
        <v>79</v>
      </c>
      <c r="I2655" s="25" t="s">
        <v>741</v>
      </c>
      <c r="K2655" t="s">
        <v>742</v>
      </c>
      <c r="L2655" t="s">
        <v>114</v>
      </c>
      <c r="M2655" t="s">
        <v>52</v>
      </c>
      <c r="N2655" t="s">
        <v>40</v>
      </c>
      <c r="O2655">
        <v>59</v>
      </c>
      <c r="Q2655">
        <v>2</v>
      </c>
      <c r="R2655">
        <v>1</v>
      </c>
      <c r="S2655">
        <v>0</v>
      </c>
      <c r="T2655">
        <v>0</v>
      </c>
      <c r="U2655">
        <v>0</v>
      </c>
      <c r="V2655">
        <v>2</v>
      </c>
      <c r="W2655">
        <v>0</v>
      </c>
      <c r="X2655" s="21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J2655" t="s">
        <v>54</v>
      </c>
      <c r="AK2655" t="s">
        <v>52</v>
      </c>
      <c r="AP2655" t="s">
        <v>116</v>
      </c>
    </row>
    <row r="2656" spans="1:42">
      <c r="A2656" s="9">
        <v>43839</v>
      </c>
      <c r="B2656">
        <v>4</v>
      </c>
      <c r="C2656">
        <v>980</v>
      </c>
      <c r="D2656">
        <v>10266</v>
      </c>
      <c r="E2656" t="s">
        <v>37</v>
      </c>
      <c r="F2656" t="s">
        <v>520</v>
      </c>
      <c r="G2656">
        <v>2</v>
      </c>
      <c r="H2656">
        <v>80</v>
      </c>
      <c r="I2656" s="25" t="s">
        <v>743</v>
      </c>
      <c r="K2656" t="s">
        <v>585</v>
      </c>
      <c r="M2656" t="s">
        <v>95</v>
      </c>
      <c r="N2656" t="s">
        <v>44</v>
      </c>
      <c r="O2656">
        <v>268</v>
      </c>
      <c r="Q2656">
        <v>5</v>
      </c>
      <c r="R2656">
        <v>1</v>
      </c>
      <c r="S2656">
        <v>0</v>
      </c>
      <c r="T2656">
        <v>0</v>
      </c>
      <c r="U2656">
        <v>0</v>
      </c>
      <c r="V2656">
        <v>0</v>
      </c>
      <c r="W2656">
        <v>5</v>
      </c>
      <c r="X2656" s="21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J2656" t="s">
        <v>51</v>
      </c>
      <c r="AK2656" t="s">
        <v>52</v>
      </c>
      <c r="AL2656" t="s">
        <v>744</v>
      </c>
      <c r="AP2656" t="s">
        <v>116</v>
      </c>
    </row>
    <row r="2657" spans="1:42">
      <c r="A2657" s="9">
        <v>43839</v>
      </c>
      <c r="B2657">
        <v>4</v>
      </c>
      <c r="C2657">
        <v>980</v>
      </c>
      <c r="D2657">
        <v>10266</v>
      </c>
      <c r="E2657" t="s">
        <v>37</v>
      </c>
      <c r="F2657" t="s">
        <v>520</v>
      </c>
      <c r="G2657">
        <v>2</v>
      </c>
      <c r="H2657">
        <v>82</v>
      </c>
      <c r="I2657" s="25" t="s">
        <v>745</v>
      </c>
      <c r="K2657" t="s">
        <v>585</v>
      </c>
      <c r="M2657" t="s">
        <v>95</v>
      </c>
      <c r="N2657" t="s">
        <v>42</v>
      </c>
      <c r="O2657">
        <v>220</v>
      </c>
      <c r="Q2657">
        <v>6</v>
      </c>
      <c r="R2657">
        <v>1</v>
      </c>
      <c r="S2657">
        <v>0</v>
      </c>
      <c r="T2657">
        <v>0</v>
      </c>
      <c r="U2657">
        <v>0</v>
      </c>
      <c r="V2657">
        <v>2</v>
      </c>
      <c r="W2657">
        <v>4</v>
      </c>
      <c r="X2657" s="21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J2657" t="s">
        <v>51</v>
      </c>
      <c r="AK2657" t="s">
        <v>52</v>
      </c>
      <c r="AL2657" t="s">
        <v>665</v>
      </c>
      <c r="AP2657" t="s">
        <v>116</v>
      </c>
    </row>
    <row r="2658" spans="1:42">
      <c r="A2658" s="9">
        <v>43839</v>
      </c>
      <c r="B2658">
        <v>4</v>
      </c>
      <c r="C2658">
        <v>980</v>
      </c>
      <c r="D2658">
        <v>10266</v>
      </c>
      <c r="E2658" t="s">
        <v>37</v>
      </c>
      <c r="F2658" t="s">
        <v>520</v>
      </c>
      <c r="G2658">
        <v>2</v>
      </c>
      <c r="H2658">
        <v>83</v>
      </c>
      <c r="I2658" s="25" t="s">
        <v>746</v>
      </c>
      <c r="K2658" t="s">
        <v>585</v>
      </c>
      <c r="M2658" t="s">
        <v>95</v>
      </c>
      <c r="N2658" t="s">
        <v>40</v>
      </c>
      <c r="O2658">
        <v>195</v>
      </c>
      <c r="Q2658">
        <v>5</v>
      </c>
      <c r="R2658">
        <v>1</v>
      </c>
      <c r="S2658">
        <v>0</v>
      </c>
      <c r="T2658">
        <v>0</v>
      </c>
      <c r="U2658">
        <v>2</v>
      </c>
      <c r="V2658">
        <v>1</v>
      </c>
      <c r="W2658">
        <v>2</v>
      </c>
      <c r="X2658" s="21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J2658" t="s">
        <v>51</v>
      </c>
      <c r="AK2658" t="s">
        <v>52</v>
      </c>
      <c r="AP2658" t="s">
        <v>116</v>
      </c>
    </row>
    <row r="2659" spans="1:42">
      <c r="A2659" s="9">
        <v>43839</v>
      </c>
      <c r="B2659">
        <v>4</v>
      </c>
      <c r="C2659">
        <v>980</v>
      </c>
      <c r="D2659">
        <v>10266</v>
      </c>
      <c r="E2659" t="s">
        <v>37</v>
      </c>
      <c r="F2659" t="s">
        <v>520</v>
      </c>
      <c r="G2659">
        <v>2</v>
      </c>
      <c r="H2659">
        <v>84</v>
      </c>
      <c r="I2659" s="25" t="s">
        <v>747</v>
      </c>
      <c r="K2659" t="s">
        <v>585</v>
      </c>
      <c r="L2659" t="s">
        <v>141</v>
      </c>
      <c r="M2659" t="s">
        <v>52</v>
      </c>
      <c r="N2659" t="s">
        <v>40</v>
      </c>
      <c r="O2659">
        <v>87</v>
      </c>
      <c r="Q2659">
        <v>4</v>
      </c>
      <c r="R2659">
        <v>1</v>
      </c>
      <c r="S2659">
        <v>0</v>
      </c>
      <c r="T2659">
        <v>0</v>
      </c>
      <c r="U2659">
        <v>0</v>
      </c>
      <c r="V2659">
        <v>4</v>
      </c>
      <c r="W2659">
        <v>0</v>
      </c>
      <c r="X2659" s="21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J2659" t="s">
        <v>51</v>
      </c>
      <c r="AK2659" t="s">
        <v>52</v>
      </c>
      <c r="AP2659" t="s">
        <v>116</v>
      </c>
    </row>
    <row r="2660" spans="1:42">
      <c r="A2660" s="9">
        <v>43839</v>
      </c>
      <c r="B2660">
        <v>4</v>
      </c>
      <c r="C2660">
        <v>980</v>
      </c>
      <c r="D2660">
        <v>10266</v>
      </c>
      <c r="E2660" t="s">
        <v>37</v>
      </c>
      <c r="F2660" t="s">
        <v>520</v>
      </c>
      <c r="G2660">
        <v>2</v>
      </c>
      <c r="H2660">
        <v>85</v>
      </c>
      <c r="I2660" s="25" t="s">
        <v>748</v>
      </c>
      <c r="K2660" t="s">
        <v>585</v>
      </c>
      <c r="M2660" t="s">
        <v>95</v>
      </c>
      <c r="N2660" t="s">
        <v>40</v>
      </c>
      <c r="O2660">
        <v>117</v>
      </c>
      <c r="Q2660">
        <v>3</v>
      </c>
      <c r="R2660">
        <v>1</v>
      </c>
      <c r="S2660">
        <v>0</v>
      </c>
      <c r="T2660">
        <v>0</v>
      </c>
      <c r="U2660">
        <v>0</v>
      </c>
      <c r="V2660">
        <v>2</v>
      </c>
      <c r="W2660">
        <v>1</v>
      </c>
      <c r="X2660" s="21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J2660" t="s">
        <v>51</v>
      </c>
      <c r="AK2660" t="s">
        <v>52</v>
      </c>
      <c r="AP2660" t="s">
        <v>116</v>
      </c>
    </row>
    <row r="2661" spans="1:42">
      <c r="A2661" s="9">
        <v>43839</v>
      </c>
      <c r="B2661">
        <v>4</v>
      </c>
      <c r="C2661">
        <v>980</v>
      </c>
      <c r="D2661">
        <v>10266</v>
      </c>
      <c r="E2661" t="s">
        <v>37</v>
      </c>
      <c r="F2661" t="s">
        <v>520</v>
      </c>
      <c r="G2661">
        <v>2</v>
      </c>
      <c r="H2661">
        <v>86</v>
      </c>
      <c r="I2661" s="25" t="s">
        <v>749</v>
      </c>
      <c r="K2661" t="s">
        <v>119</v>
      </c>
      <c r="L2661" t="s">
        <v>141</v>
      </c>
      <c r="M2661" t="s">
        <v>52</v>
      </c>
      <c r="N2661" t="s">
        <v>44</v>
      </c>
      <c r="O2661">
        <v>345</v>
      </c>
      <c r="Q2661">
        <v>5</v>
      </c>
      <c r="R2661">
        <v>1</v>
      </c>
      <c r="S2661">
        <v>0</v>
      </c>
      <c r="T2661">
        <v>0</v>
      </c>
      <c r="U2661">
        <v>0</v>
      </c>
      <c r="V2661">
        <v>0</v>
      </c>
      <c r="W2661">
        <v>5</v>
      </c>
      <c r="X2661" s="2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J2661" t="s">
        <v>51</v>
      </c>
      <c r="AK2661" t="s">
        <v>52</v>
      </c>
      <c r="AL2661" t="s">
        <v>750</v>
      </c>
      <c r="AP2661" t="s">
        <v>116</v>
      </c>
    </row>
    <row r="2662" spans="1:42">
      <c r="A2662" s="9">
        <v>43839</v>
      </c>
      <c r="B2662">
        <v>4</v>
      </c>
      <c r="C2662">
        <v>980</v>
      </c>
      <c r="D2662">
        <v>10266</v>
      </c>
      <c r="E2662" t="s">
        <v>37</v>
      </c>
      <c r="F2662" t="s">
        <v>520</v>
      </c>
      <c r="G2662">
        <v>2</v>
      </c>
      <c r="H2662">
        <v>87</v>
      </c>
      <c r="I2662" s="25" t="s">
        <v>751</v>
      </c>
      <c r="K2662" t="s">
        <v>752</v>
      </c>
      <c r="M2662" t="s">
        <v>52</v>
      </c>
      <c r="N2662" t="s">
        <v>42</v>
      </c>
      <c r="O2662">
        <v>182</v>
      </c>
      <c r="Q2662">
        <v>2</v>
      </c>
      <c r="R2662">
        <v>1</v>
      </c>
      <c r="S2662">
        <v>0</v>
      </c>
      <c r="T2662">
        <v>0</v>
      </c>
      <c r="U2662">
        <v>0</v>
      </c>
      <c r="V2662">
        <v>1</v>
      </c>
      <c r="W2662">
        <v>1</v>
      </c>
      <c r="X2662" s="21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J2662" t="s">
        <v>51</v>
      </c>
      <c r="AK2662" t="s">
        <v>52</v>
      </c>
      <c r="AL2662" t="s">
        <v>753</v>
      </c>
      <c r="AP2662" t="s">
        <v>116</v>
      </c>
    </row>
    <row r="2663" spans="1:42">
      <c r="A2663" s="9">
        <v>43839</v>
      </c>
      <c r="B2663">
        <v>4</v>
      </c>
      <c r="C2663">
        <v>980</v>
      </c>
      <c r="D2663">
        <v>10266</v>
      </c>
      <c r="E2663" t="s">
        <v>37</v>
      </c>
      <c r="F2663" t="s">
        <v>520</v>
      </c>
      <c r="G2663">
        <v>2</v>
      </c>
      <c r="H2663">
        <v>88</v>
      </c>
      <c r="I2663" s="25" t="s">
        <v>754</v>
      </c>
      <c r="K2663" t="s">
        <v>119</v>
      </c>
      <c r="L2663" t="s">
        <v>114</v>
      </c>
      <c r="M2663" t="s">
        <v>52</v>
      </c>
      <c r="N2663" t="s">
        <v>42</v>
      </c>
      <c r="O2663">
        <v>72</v>
      </c>
      <c r="Q2663">
        <v>3</v>
      </c>
      <c r="R2663">
        <v>1</v>
      </c>
      <c r="S2663">
        <v>0</v>
      </c>
      <c r="T2663">
        <v>0</v>
      </c>
      <c r="U2663">
        <v>0</v>
      </c>
      <c r="V2663">
        <v>1</v>
      </c>
      <c r="W2663">
        <v>2</v>
      </c>
      <c r="X2663" s="21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J2663" t="s">
        <v>51</v>
      </c>
      <c r="AK2663" t="s">
        <v>52</v>
      </c>
      <c r="AL2663" t="s">
        <v>755</v>
      </c>
      <c r="AP2663" t="s">
        <v>116</v>
      </c>
    </row>
    <row r="2664" spans="1:42">
      <c r="A2664" s="9">
        <v>43839</v>
      </c>
      <c r="B2664">
        <v>4</v>
      </c>
      <c r="C2664">
        <v>980</v>
      </c>
      <c r="D2664">
        <v>10266</v>
      </c>
      <c r="E2664" t="s">
        <v>37</v>
      </c>
      <c r="F2664" t="s">
        <v>520</v>
      </c>
      <c r="G2664">
        <v>2</v>
      </c>
      <c r="H2664">
        <v>89</v>
      </c>
      <c r="I2664" s="25">
        <v>1833</v>
      </c>
      <c r="K2664" t="s">
        <v>103</v>
      </c>
      <c r="L2664" t="s">
        <v>141</v>
      </c>
      <c r="M2664" t="s">
        <v>52</v>
      </c>
      <c r="N2664" t="s">
        <v>40</v>
      </c>
      <c r="O2664">
        <v>30</v>
      </c>
      <c r="Q2664">
        <v>1</v>
      </c>
      <c r="R2664">
        <v>1</v>
      </c>
      <c r="S2664">
        <v>0</v>
      </c>
      <c r="T2664">
        <v>0</v>
      </c>
      <c r="U2664">
        <v>0</v>
      </c>
      <c r="V2664">
        <v>1</v>
      </c>
      <c r="W2664">
        <v>0</v>
      </c>
      <c r="X2664" s="21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J2664" t="s">
        <v>51</v>
      </c>
      <c r="AK2664" t="s">
        <v>52</v>
      </c>
      <c r="AL2664" t="s">
        <v>756</v>
      </c>
      <c r="AP2664" t="s">
        <v>116</v>
      </c>
    </row>
    <row r="2665" spans="1:42">
      <c r="A2665" s="9">
        <v>43839</v>
      </c>
      <c r="B2665">
        <v>4</v>
      </c>
      <c r="C2665">
        <v>980</v>
      </c>
      <c r="D2665">
        <v>10266</v>
      </c>
      <c r="E2665" t="s">
        <v>37</v>
      </c>
      <c r="F2665" t="s">
        <v>520</v>
      </c>
      <c r="G2665">
        <v>2</v>
      </c>
      <c r="H2665">
        <v>90</v>
      </c>
      <c r="I2665" s="25" t="s">
        <v>757</v>
      </c>
      <c r="K2665" t="s">
        <v>103</v>
      </c>
      <c r="M2665" t="s">
        <v>95</v>
      </c>
      <c r="N2665" t="s">
        <v>42</v>
      </c>
      <c r="O2665">
        <v>187</v>
      </c>
      <c r="Q2665">
        <v>3</v>
      </c>
      <c r="R2665">
        <v>1</v>
      </c>
      <c r="S2665">
        <v>0</v>
      </c>
      <c r="T2665">
        <v>0</v>
      </c>
      <c r="U2665">
        <v>1</v>
      </c>
      <c r="V2665">
        <v>2</v>
      </c>
      <c r="W2665">
        <v>0</v>
      </c>
      <c r="X2665" s="21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J2665" t="s">
        <v>54</v>
      </c>
      <c r="AK2665" t="s">
        <v>52</v>
      </c>
      <c r="AL2665" t="s">
        <v>744</v>
      </c>
      <c r="AP2665" t="s">
        <v>116</v>
      </c>
    </row>
    <row r="2666" spans="1:42">
      <c r="A2666" s="9">
        <v>43839</v>
      </c>
      <c r="B2666">
        <v>4</v>
      </c>
      <c r="C2666">
        <v>980</v>
      </c>
      <c r="D2666">
        <v>10266</v>
      </c>
      <c r="E2666" t="s">
        <v>37</v>
      </c>
      <c r="F2666" t="s">
        <v>520</v>
      </c>
      <c r="G2666">
        <v>2</v>
      </c>
      <c r="H2666">
        <v>91</v>
      </c>
      <c r="I2666" s="25">
        <v>1650</v>
      </c>
      <c r="K2666" t="s">
        <v>103</v>
      </c>
      <c r="L2666" t="s">
        <v>114</v>
      </c>
      <c r="M2666" t="s">
        <v>52</v>
      </c>
      <c r="N2666" t="s">
        <v>44</v>
      </c>
      <c r="O2666">
        <v>170</v>
      </c>
      <c r="Q2666">
        <v>2</v>
      </c>
      <c r="R2666">
        <v>1</v>
      </c>
      <c r="S2666">
        <v>0</v>
      </c>
      <c r="T2666">
        <v>0</v>
      </c>
      <c r="U2666">
        <v>0</v>
      </c>
      <c r="V2666">
        <v>2</v>
      </c>
      <c r="W2666">
        <v>0</v>
      </c>
      <c r="X2666" s="21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J2666" t="s">
        <v>54</v>
      </c>
      <c r="AK2666" t="s">
        <v>52</v>
      </c>
      <c r="AL2666" t="s">
        <v>670</v>
      </c>
      <c r="AP2666" t="s">
        <v>116</v>
      </c>
    </row>
    <row r="2667" spans="1:42">
      <c r="A2667" s="9">
        <v>43839</v>
      </c>
      <c r="B2667">
        <v>4</v>
      </c>
      <c r="C2667">
        <v>980</v>
      </c>
      <c r="D2667">
        <v>10266</v>
      </c>
      <c r="E2667" t="s">
        <v>37</v>
      </c>
      <c r="F2667" t="s">
        <v>520</v>
      </c>
      <c r="G2667">
        <v>2</v>
      </c>
      <c r="H2667">
        <v>92</v>
      </c>
      <c r="I2667" s="25" t="s">
        <v>758</v>
      </c>
      <c r="K2667" t="s">
        <v>103</v>
      </c>
      <c r="L2667" t="s">
        <v>114</v>
      </c>
      <c r="M2667" t="s">
        <v>52</v>
      </c>
      <c r="N2667" t="s">
        <v>44</v>
      </c>
      <c r="O2667">
        <v>61</v>
      </c>
      <c r="Q2667">
        <v>2</v>
      </c>
      <c r="R2667">
        <v>1</v>
      </c>
      <c r="S2667">
        <v>0</v>
      </c>
      <c r="T2667">
        <v>0</v>
      </c>
      <c r="U2667">
        <v>0</v>
      </c>
      <c r="V2667">
        <v>0</v>
      </c>
      <c r="W2667">
        <v>2</v>
      </c>
      <c r="X2667" s="21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J2667" t="s">
        <v>54</v>
      </c>
      <c r="AK2667" t="s">
        <v>52</v>
      </c>
      <c r="AL2667" t="s">
        <v>759</v>
      </c>
      <c r="AP2667" t="s">
        <v>116</v>
      </c>
    </row>
    <row r="2668" spans="1:42">
      <c r="A2668" s="9">
        <v>43839</v>
      </c>
      <c r="B2668">
        <v>4</v>
      </c>
      <c r="C2668">
        <v>980</v>
      </c>
      <c r="D2668">
        <v>10266</v>
      </c>
      <c r="E2668" t="s">
        <v>37</v>
      </c>
      <c r="F2668" t="s">
        <v>520</v>
      </c>
      <c r="G2668">
        <v>2</v>
      </c>
      <c r="H2668">
        <v>93</v>
      </c>
      <c r="I2668" s="25">
        <v>83</v>
      </c>
      <c r="K2668" t="s">
        <v>727</v>
      </c>
      <c r="L2668" t="s">
        <v>141</v>
      </c>
      <c r="M2668" t="s">
        <v>52</v>
      </c>
      <c r="N2668" t="s">
        <v>40</v>
      </c>
      <c r="O2668">
        <v>45</v>
      </c>
      <c r="Q2668">
        <v>1</v>
      </c>
      <c r="R2668">
        <v>1</v>
      </c>
      <c r="S2668">
        <v>0</v>
      </c>
      <c r="T2668">
        <v>0</v>
      </c>
      <c r="U2668">
        <v>0</v>
      </c>
      <c r="V2668">
        <v>1</v>
      </c>
      <c r="W2668">
        <v>0</v>
      </c>
      <c r="X2668" s="21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1</v>
      </c>
      <c r="AG2668">
        <v>0</v>
      </c>
      <c r="AJ2668" t="s">
        <v>54</v>
      </c>
      <c r="AK2668" t="s">
        <v>52</v>
      </c>
      <c r="AL2668" t="s">
        <v>760</v>
      </c>
      <c r="AP2668" t="s">
        <v>116</v>
      </c>
    </row>
    <row r="2669" spans="1:42">
      <c r="A2669" s="9">
        <v>43839</v>
      </c>
      <c r="B2669">
        <v>4</v>
      </c>
      <c r="C2669">
        <v>980</v>
      </c>
      <c r="D2669">
        <v>10266</v>
      </c>
      <c r="E2669" t="s">
        <v>37</v>
      </c>
      <c r="F2669" t="s">
        <v>520</v>
      </c>
      <c r="G2669">
        <v>2</v>
      </c>
      <c r="H2669">
        <v>94</v>
      </c>
      <c r="I2669" s="25" t="s">
        <v>761</v>
      </c>
      <c r="K2669" t="s">
        <v>727</v>
      </c>
      <c r="M2669" t="s">
        <v>95</v>
      </c>
      <c r="N2669" t="s">
        <v>40</v>
      </c>
      <c r="O2669">
        <v>59</v>
      </c>
      <c r="Q2669">
        <v>3</v>
      </c>
      <c r="R2669">
        <v>1</v>
      </c>
      <c r="S2669">
        <v>0</v>
      </c>
      <c r="T2669">
        <v>0</v>
      </c>
      <c r="U2669">
        <v>2</v>
      </c>
      <c r="V2669">
        <v>1</v>
      </c>
      <c r="W2669">
        <v>0</v>
      </c>
      <c r="X2669" s="21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J2669" t="s">
        <v>54</v>
      </c>
      <c r="AK2669" t="s">
        <v>52</v>
      </c>
      <c r="AP2669" t="s">
        <v>116</v>
      </c>
    </row>
    <row r="2670" spans="1:42">
      <c r="A2670" s="9">
        <v>43839</v>
      </c>
      <c r="B2670">
        <v>4</v>
      </c>
      <c r="C2670">
        <v>980</v>
      </c>
      <c r="D2670">
        <v>10266</v>
      </c>
      <c r="E2670" t="s">
        <v>37</v>
      </c>
      <c r="F2670" t="s">
        <v>520</v>
      </c>
      <c r="G2670">
        <v>2</v>
      </c>
      <c r="H2670">
        <v>95</v>
      </c>
      <c r="I2670" s="25" t="s">
        <v>762</v>
      </c>
      <c r="K2670" t="s">
        <v>727</v>
      </c>
      <c r="M2670" t="s">
        <v>95</v>
      </c>
      <c r="N2670" t="s">
        <v>44</v>
      </c>
      <c r="O2670">
        <v>220</v>
      </c>
      <c r="Q2670">
        <v>4</v>
      </c>
      <c r="R2670">
        <v>1</v>
      </c>
      <c r="S2670">
        <v>0</v>
      </c>
      <c r="T2670">
        <v>0</v>
      </c>
      <c r="U2670">
        <v>1</v>
      </c>
      <c r="V2670">
        <v>2</v>
      </c>
      <c r="W2670">
        <v>1</v>
      </c>
      <c r="X2670" s="21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J2670" t="s">
        <v>54</v>
      </c>
      <c r="AK2670" t="s">
        <v>52</v>
      </c>
      <c r="AL2670" t="s">
        <v>666</v>
      </c>
      <c r="AP2670" t="s">
        <v>116</v>
      </c>
    </row>
    <row r="2671" spans="1:42">
      <c r="A2671" s="9">
        <v>43839</v>
      </c>
      <c r="B2671">
        <v>4</v>
      </c>
      <c r="C2671">
        <v>980</v>
      </c>
      <c r="D2671">
        <v>10266</v>
      </c>
      <c r="E2671" t="s">
        <v>37</v>
      </c>
      <c r="F2671" t="s">
        <v>520</v>
      </c>
      <c r="G2671">
        <v>2</v>
      </c>
      <c r="H2671">
        <v>96</v>
      </c>
      <c r="I2671" s="25" t="s">
        <v>763</v>
      </c>
      <c r="K2671" t="s">
        <v>727</v>
      </c>
      <c r="M2671" t="s">
        <v>95</v>
      </c>
      <c r="N2671" t="s">
        <v>40</v>
      </c>
      <c r="O2671">
        <v>102</v>
      </c>
      <c r="Q2671">
        <v>4</v>
      </c>
      <c r="R2671">
        <v>1</v>
      </c>
      <c r="S2671">
        <v>0</v>
      </c>
      <c r="T2671">
        <v>0</v>
      </c>
      <c r="U2671">
        <v>2</v>
      </c>
      <c r="V2671">
        <v>2</v>
      </c>
      <c r="W2671">
        <v>0</v>
      </c>
      <c r="X2671" s="2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J2671" t="s">
        <v>54</v>
      </c>
      <c r="AK2671" t="s">
        <v>52</v>
      </c>
      <c r="AP2671" t="s">
        <v>116</v>
      </c>
    </row>
    <row r="2672" spans="1:42">
      <c r="A2672" s="9">
        <v>43839</v>
      </c>
      <c r="B2672">
        <v>4</v>
      </c>
      <c r="C2672">
        <v>980</v>
      </c>
      <c r="D2672">
        <v>10266</v>
      </c>
      <c r="E2672" t="s">
        <v>37</v>
      </c>
      <c r="F2672" t="s">
        <v>520</v>
      </c>
      <c r="G2672">
        <v>2</v>
      </c>
      <c r="H2672">
        <v>97</v>
      </c>
      <c r="I2672" s="25" t="s">
        <v>764</v>
      </c>
      <c r="K2672" t="s">
        <v>727</v>
      </c>
      <c r="M2672" t="s">
        <v>95</v>
      </c>
      <c r="N2672" t="s">
        <v>40</v>
      </c>
      <c r="O2672">
        <v>160</v>
      </c>
      <c r="Q2672">
        <v>7</v>
      </c>
      <c r="R2672">
        <v>1</v>
      </c>
      <c r="S2672">
        <v>0</v>
      </c>
      <c r="T2672">
        <v>0</v>
      </c>
      <c r="U2672">
        <v>1</v>
      </c>
      <c r="V2672">
        <v>5</v>
      </c>
      <c r="W2672">
        <v>1</v>
      </c>
      <c r="X2672" s="21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J2672" t="s">
        <v>54</v>
      </c>
      <c r="AK2672" t="s">
        <v>52</v>
      </c>
      <c r="AP2672" t="s">
        <v>116</v>
      </c>
    </row>
    <row r="2673" spans="1:42">
      <c r="A2673" s="9">
        <v>43839</v>
      </c>
      <c r="B2673">
        <v>4</v>
      </c>
      <c r="C2673">
        <v>980</v>
      </c>
      <c r="D2673">
        <v>10266</v>
      </c>
      <c r="E2673" t="s">
        <v>37</v>
      </c>
      <c r="F2673" t="s">
        <v>520</v>
      </c>
      <c r="G2673">
        <v>2</v>
      </c>
      <c r="H2673">
        <v>98</v>
      </c>
      <c r="I2673" s="25" t="s">
        <v>765</v>
      </c>
      <c r="K2673" t="s">
        <v>727</v>
      </c>
      <c r="M2673" t="s">
        <v>95</v>
      </c>
      <c r="N2673" t="s">
        <v>40</v>
      </c>
      <c r="O2673">
        <v>87</v>
      </c>
      <c r="Q2673">
        <v>3</v>
      </c>
      <c r="R2673">
        <v>1</v>
      </c>
      <c r="S2673">
        <v>0</v>
      </c>
      <c r="T2673">
        <v>0</v>
      </c>
      <c r="U2673">
        <v>1</v>
      </c>
      <c r="V2673">
        <v>2</v>
      </c>
      <c r="W2673">
        <v>0</v>
      </c>
      <c r="X2673" s="21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J2673" t="s">
        <v>54</v>
      </c>
      <c r="AK2673" t="s">
        <v>52</v>
      </c>
      <c r="AP2673" t="s">
        <v>116</v>
      </c>
    </row>
    <row r="2674" spans="1:42">
      <c r="A2674" s="9">
        <v>43839</v>
      </c>
      <c r="B2674">
        <v>4</v>
      </c>
      <c r="C2674">
        <v>980</v>
      </c>
      <c r="D2674">
        <v>10266</v>
      </c>
      <c r="E2674" t="s">
        <v>37</v>
      </c>
      <c r="F2674" t="s">
        <v>520</v>
      </c>
      <c r="G2674">
        <v>2</v>
      </c>
      <c r="H2674">
        <v>99</v>
      </c>
      <c r="I2674" s="25" t="s">
        <v>766</v>
      </c>
      <c r="K2674" t="s">
        <v>767</v>
      </c>
      <c r="M2674" t="s">
        <v>52</v>
      </c>
      <c r="N2674" t="s">
        <v>42</v>
      </c>
      <c r="O2674">
        <v>177</v>
      </c>
      <c r="Q2674">
        <v>4</v>
      </c>
      <c r="R2674">
        <v>1</v>
      </c>
      <c r="S2674">
        <v>0</v>
      </c>
      <c r="T2674">
        <v>0</v>
      </c>
      <c r="U2674">
        <v>1</v>
      </c>
      <c r="V2674">
        <v>2</v>
      </c>
      <c r="W2674">
        <v>1</v>
      </c>
      <c r="X2674" s="21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J2674" t="s">
        <v>54</v>
      </c>
      <c r="AK2674" t="s">
        <v>52</v>
      </c>
      <c r="AL2674" t="s">
        <v>744</v>
      </c>
      <c r="AP2674" t="s">
        <v>116</v>
      </c>
    </row>
    <row r="2675" spans="1:42">
      <c r="A2675" s="9">
        <v>43839</v>
      </c>
      <c r="B2675">
        <v>4</v>
      </c>
      <c r="C2675">
        <v>980</v>
      </c>
      <c r="D2675">
        <v>10266</v>
      </c>
      <c r="E2675" t="s">
        <v>37</v>
      </c>
      <c r="F2675" t="s">
        <v>520</v>
      </c>
      <c r="G2675">
        <v>2</v>
      </c>
      <c r="H2675">
        <v>100</v>
      </c>
      <c r="I2675" s="25">
        <v>890</v>
      </c>
      <c r="K2675" t="s">
        <v>119</v>
      </c>
      <c r="L2675" t="s">
        <v>114</v>
      </c>
      <c r="M2675" t="s">
        <v>52</v>
      </c>
      <c r="N2675" t="s">
        <v>44</v>
      </c>
      <c r="O2675">
        <v>90</v>
      </c>
      <c r="Q2675">
        <v>3</v>
      </c>
      <c r="R2675">
        <v>1</v>
      </c>
      <c r="S2675">
        <v>0</v>
      </c>
      <c r="T2675">
        <v>0</v>
      </c>
      <c r="U2675">
        <v>0</v>
      </c>
      <c r="V2675">
        <v>3</v>
      </c>
      <c r="W2675">
        <v>0</v>
      </c>
      <c r="X2675" s="21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J2675" t="s">
        <v>54</v>
      </c>
      <c r="AK2675" t="s">
        <v>52</v>
      </c>
      <c r="AL2675" t="s">
        <v>768</v>
      </c>
      <c r="AP2675" t="s">
        <v>116</v>
      </c>
    </row>
    <row r="2676" spans="1:42">
      <c r="A2676" s="9">
        <v>43839</v>
      </c>
      <c r="B2676">
        <v>4</v>
      </c>
      <c r="C2676">
        <v>980</v>
      </c>
      <c r="D2676">
        <v>10266</v>
      </c>
      <c r="E2676" t="s">
        <v>37</v>
      </c>
      <c r="F2676" t="s">
        <v>520</v>
      </c>
      <c r="G2676">
        <v>2</v>
      </c>
      <c r="H2676">
        <v>101</v>
      </c>
      <c r="I2676" s="25" t="s">
        <v>769</v>
      </c>
      <c r="K2676" t="s">
        <v>101</v>
      </c>
      <c r="M2676" t="s">
        <v>95</v>
      </c>
      <c r="N2676" t="s">
        <v>40</v>
      </c>
      <c r="O2676">
        <v>145</v>
      </c>
      <c r="Q2676">
        <v>3</v>
      </c>
      <c r="R2676">
        <v>1</v>
      </c>
      <c r="S2676">
        <v>0</v>
      </c>
      <c r="T2676">
        <v>0</v>
      </c>
      <c r="U2676">
        <v>0</v>
      </c>
      <c r="V2676">
        <v>0</v>
      </c>
      <c r="W2676">
        <v>3</v>
      </c>
      <c r="X2676" s="21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J2676" t="s">
        <v>54</v>
      </c>
      <c r="AK2676" t="s">
        <v>52</v>
      </c>
      <c r="AL2676" t="s">
        <v>770</v>
      </c>
      <c r="AP2676" t="s">
        <v>116</v>
      </c>
    </row>
    <row r="2677" spans="1:42">
      <c r="A2677" s="9">
        <v>43839</v>
      </c>
      <c r="B2677">
        <v>4</v>
      </c>
      <c r="C2677">
        <v>980</v>
      </c>
      <c r="D2677">
        <v>10266</v>
      </c>
      <c r="E2677" t="s">
        <v>37</v>
      </c>
      <c r="F2677" t="s">
        <v>520</v>
      </c>
      <c r="G2677">
        <v>2</v>
      </c>
      <c r="H2677">
        <v>102</v>
      </c>
      <c r="I2677" s="25" t="s">
        <v>771</v>
      </c>
      <c r="K2677" t="s">
        <v>101</v>
      </c>
      <c r="L2677" t="s">
        <v>114</v>
      </c>
      <c r="M2677" t="s">
        <v>52</v>
      </c>
      <c r="N2677" t="s">
        <v>40</v>
      </c>
      <c r="O2677">
        <v>126</v>
      </c>
      <c r="Q2677">
        <v>4</v>
      </c>
      <c r="R2677">
        <v>1</v>
      </c>
      <c r="S2677">
        <v>0</v>
      </c>
      <c r="T2677">
        <v>0</v>
      </c>
      <c r="U2677">
        <v>2</v>
      </c>
      <c r="V2677">
        <v>2</v>
      </c>
      <c r="W2677">
        <v>0</v>
      </c>
      <c r="X2677" s="21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J2677" t="s">
        <v>54</v>
      </c>
      <c r="AK2677" t="s">
        <v>52</v>
      </c>
      <c r="AL2677" t="s">
        <v>770</v>
      </c>
      <c r="AP2677" t="s">
        <v>116</v>
      </c>
    </row>
    <row r="2678" spans="1:42">
      <c r="A2678" s="9">
        <v>43839</v>
      </c>
      <c r="B2678">
        <v>4</v>
      </c>
      <c r="C2678">
        <v>980</v>
      </c>
      <c r="D2678">
        <v>10266</v>
      </c>
      <c r="E2678" t="s">
        <v>37</v>
      </c>
      <c r="F2678" t="s">
        <v>520</v>
      </c>
      <c r="G2678">
        <v>2</v>
      </c>
      <c r="H2678">
        <v>103</v>
      </c>
      <c r="I2678" s="25" t="s">
        <v>772</v>
      </c>
      <c r="K2678" t="s">
        <v>773</v>
      </c>
      <c r="L2678" t="s">
        <v>141</v>
      </c>
      <c r="M2678" t="s">
        <v>52</v>
      </c>
      <c r="N2678" t="s">
        <v>42</v>
      </c>
      <c r="O2678">
        <v>209</v>
      </c>
      <c r="Q2678">
        <v>4</v>
      </c>
      <c r="R2678">
        <v>1</v>
      </c>
      <c r="S2678">
        <v>0</v>
      </c>
      <c r="T2678">
        <v>0</v>
      </c>
      <c r="U2678">
        <v>1</v>
      </c>
      <c r="V2678">
        <v>1</v>
      </c>
      <c r="W2678">
        <v>2</v>
      </c>
      <c r="X2678" s="21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J2678" t="s">
        <v>54</v>
      </c>
      <c r="AK2678" t="s">
        <v>52</v>
      </c>
      <c r="AL2678" t="s">
        <v>774</v>
      </c>
      <c r="AP2678" t="s">
        <v>116</v>
      </c>
    </row>
    <row r="2679" spans="1:42">
      <c r="A2679" s="9">
        <v>43840</v>
      </c>
      <c r="B2679">
        <v>5</v>
      </c>
      <c r="C2679">
        <v>980</v>
      </c>
      <c r="D2679">
        <v>10267</v>
      </c>
      <c r="E2679" t="s">
        <v>37</v>
      </c>
      <c r="F2679" t="s">
        <v>520</v>
      </c>
      <c r="G2679">
        <v>2</v>
      </c>
      <c r="H2679">
        <v>1</v>
      </c>
      <c r="I2679" s="25">
        <v>1275</v>
      </c>
      <c r="K2679" t="s">
        <v>516</v>
      </c>
      <c r="L2679" t="s">
        <v>141</v>
      </c>
      <c r="M2679" t="s">
        <v>52</v>
      </c>
      <c r="N2679" t="s">
        <v>44</v>
      </c>
      <c r="O2679">
        <v>102</v>
      </c>
      <c r="Q2679">
        <v>2</v>
      </c>
      <c r="R2679">
        <v>1</v>
      </c>
      <c r="S2679">
        <v>0</v>
      </c>
      <c r="T2679">
        <v>0</v>
      </c>
      <c r="U2679">
        <v>0</v>
      </c>
      <c r="V2679">
        <v>0</v>
      </c>
      <c r="W2679">
        <v>2</v>
      </c>
      <c r="X2679" s="21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J2679" t="s">
        <v>54</v>
      </c>
      <c r="AK2679" t="s">
        <v>52</v>
      </c>
      <c r="AL2679" t="s">
        <v>775</v>
      </c>
      <c r="AP2679" t="s">
        <v>116</v>
      </c>
    </row>
    <row r="2680" spans="1:42">
      <c r="A2680" s="9">
        <v>43840</v>
      </c>
      <c r="B2680">
        <v>5</v>
      </c>
      <c r="C2680">
        <v>980</v>
      </c>
      <c r="D2680">
        <v>10267</v>
      </c>
      <c r="E2680" t="s">
        <v>37</v>
      </c>
      <c r="F2680" t="s">
        <v>520</v>
      </c>
      <c r="G2680">
        <v>2</v>
      </c>
      <c r="H2680">
        <v>2</v>
      </c>
      <c r="I2680" s="25">
        <v>1265</v>
      </c>
      <c r="K2680" t="s">
        <v>516</v>
      </c>
      <c r="L2680" t="s">
        <v>141</v>
      </c>
      <c r="M2680" t="s">
        <v>52</v>
      </c>
      <c r="N2680" t="s">
        <v>44</v>
      </c>
      <c r="O2680">
        <v>47</v>
      </c>
      <c r="Q2680">
        <v>2</v>
      </c>
      <c r="R2680">
        <v>1</v>
      </c>
      <c r="S2680">
        <v>0</v>
      </c>
      <c r="T2680">
        <v>0</v>
      </c>
      <c r="U2680">
        <v>0</v>
      </c>
      <c r="V2680">
        <v>0</v>
      </c>
      <c r="W2680">
        <v>2</v>
      </c>
      <c r="X2680" s="21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J2680" t="s">
        <v>54</v>
      </c>
      <c r="AK2680" t="s">
        <v>52</v>
      </c>
      <c r="AL2680" t="s">
        <v>775</v>
      </c>
      <c r="AP2680" t="s">
        <v>116</v>
      </c>
    </row>
    <row r="2681" spans="1:42">
      <c r="A2681" s="9">
        <v>43840</v>
      </c>
      <c r="B2681">
        <v>5</v>
      </c>
      <c r="C2681">
        <v>980</v>
      </c>
      <c r="D2681">
        <v>10267</v>
      </c>
      <c r="E2681" t="s">
        <v>37</v>
      </c>
      <c r="F2681" t="s">
        <v>520</v>
      </c>
      <c r="G2681">
        <v>2</v>
      </c>
      <c r="H2681">
        <v>3</v>
      </c>
      <c r="I2681" s="25">
        <v>1225</v>
      </c>
      <c r="K2681" t="s">
        <v>516</v>
      </c>
      <c r="L2681" t="s">
        <v>141</v>
      </c>
      <c r="M2681" t="s">
        <v>52</v>
      </c>
      <c r="N2681" t="s">
        <v>44</v>
      </c>
      <c r="O2681">
        <v>85</v>
      </c>
      <c r="Q2681">
        <v>1</v>
      </c>
      <c r="R2681">
        <v>1</v>
      </c>
      <c r="S2681">
        <v>0</v>
      </c>
      <c r="T2681">
        <v>0</v>
      </c>
      <c r="U2681">
        <v>0</v>
      </c>
      <c r="V2681">
        <v>0</v>
      </c>
      <c r="W2681">
        <v>1</v>
      </c>
      <c r="X2681" s="2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1</v>
      </c>
      <c r="AG2681">
        <v>0</v>
      </c>
      <c r="AJ2681" t="s">
        <v>54</v>
      </c>
      <c r="AK2681" t="s">
        <v>52</v>
      </c>
      <c r="AL2681" t="s">
        <v>776</v>
      </c>
      <c r="AP2681" t="s">
        <v>116</v>
      </c>
    </row>
    <row r="2682" spans="1:42">
      <c r="A2682" s="9">
        <v>43840</v>
      </c>
      <c r="B2682">
        <v>5</v>
      </c>
      <c r="C2682">
        <v>980</v>
      </c>
      <c r="D2682">
        <v>10267</v>
      </c>
      <c r="E2682" t="s">
        <v>37</v>
      </c>
      <c r="F2682" t="s">
        <v>520</v>
      </c>
      <c r="G2682">
        <v>2</v>
      </c>
      <c r="H2682">
        <v>4</v>
      </c>
      <c r="I2682" s="25" t="s">
        <v>777</v>
      </c>
      <c r="K2682" t="s">
        <v>778</v>
      </c>
      <c r="M2682" t="s">
        <v>52</v>
      </c>
      <c r="N2682" t="s">
        <v>44</v>
      </c>
      <c r="O2682">
        <v>154</v>
      </c>
      <c r="Q2682">
        <v>3</v>
      </c>
      <c r="R2682">
        <v>1</v>
      </c>
      <c r="S2682">
        <v>0</v>
      </c>
      <c r="T2682">
        <v>0</v>
      </c>
      <c r="U2682">
        <v>0</v>
      </c>
      <c r="V2682">
        <v>0</v>
      </c>
      <c r="W2682">
        <v>3</v>
      </c>
      <c r="X2682" s="21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J2682" t="s">
        <v>54</v>
      </c>
      <c r="AK2682" t="s">
        <v>52</v>
      </c>
      <c r="AL2682" t="s">
        <v>779</v>
      </c>
      <c r="AP2682" t="s">
        <v>116</v>
      </c>
    </row>
    <row r="2683" spans="1:42">
      <c r="A2683" s="9">
        <v>43840</v>
      </c>
      <c r="B2683">
        <v>5</v>
      </c>
      <c r="C2683">
        <v>980</v>
      </c>
      <c r="D2683">
        <v>10267</v>
      </c>
      <c r="E2683" t="s">
        <v>37</v>
      </c>
      <c r="F2683" t="s">
        <v>520</v>
      </c>
      <c r="G2683">
        <v>2</v>
      </c>
      <c r="H2683">
        <v>5</v>
      </c>
      <c r="I2683" s="25">
        <v>1142</v>
      </c>
      <c r="K2683" t="s">
        <v>647</v>
      </c>
      <c r="L2683" t="s">
        <v>114</v>
      </c>
      <c r="M2683" t="s">
        <v>52</v>
      </c>
      <c r="N2683" t="s">
        <v>44</v>
      </c>
      <c r="O2683">
        <v>62</v>
      </c>
      <c r="Q2683">
        <v>1</v>
      </c>
      <c r="R2683">
        <v>1</v>
      </c>
      <c r="S2683">
        <v>0</v>
      </c>
      <c r="T2683">
        <v>0</v>
      </c>
      <c r="U2683">
        <v>0</v>
      </c>
      <c r="V2683">
        <v>0</v>
      </c>
      <c r="W2683">
        <v>1</v>
      </c>
      <c r="X2683" s="21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J2683" t="s">
        <v>54</v>
      </c>
      <c r="AK2683" t="s">
        <v>52</v>
      </c>
      <c r="AL2683" t="s">
        <v>780</v>
      </c>
      <c r="AP2683" t="s">
        <v>116</v>
      </c>
    </row>
    <row r="2684" spans="1:42">
      <c r="A2684" s="9">
        <v>43840</v>
      </c>
      <c r="B2684">
        <v>5</v>
      </c>
      <c r="C2684">
        <v>980</v>
      </c>
      <c r="D2684">
        <v>10267</v>
      </c>
      <c r="E2684" t="s">
        <v>37</v>
      </c>
      <c r="F2684" t="s">
        <v>520</v>
      </c>
      <c r="G2684">
        <v>2</v>
      </c>
      <c r="H2684">
        <v>6</v>
      </c>
      <c r="I2684" s="25">
        <v>1152</v>
      </c>
      <c r="K2684" t="s">
        <v>647</v>
      </c>
      <c r="L2684" t="s">
        <v>114</v>
      </c>
      <c r="M2684" t="s">
        <v>52</v>
      </c>
      <c r="N2684" t="s">
        <v>44</v>
      </c>
      <c r="O2684">
        <v>129</v>
      </c>
      <c r="Q2684">
        <v>1</v>
      </c>
      <c r="R2684">
        <v>1</v>
      </c>
      <c r="S2684">
        <v>0</v>
      </c>
      <c r="T2684">
        <v>0</v>
      </c>
      <c r="U2684">
        <v>0</v>
      </c>
      <c r="V2684">
        <v>0</v>
      </c>
      <c r="W2684">
        <v>1</v>
      </c>
      <c r="X2684" s="21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J2684" t="s">
        <v>54</v>
      </c>
      <c r="AK2684" t="s">
        <v>52</v>
      </c>
      <c r="AL2684" t="s">
        <v>781</v>
      </c>
      <c r="AP2684" t="s">
        <v>116</v>
      </c>
    </row>
    <row r="2685" spans="1:42">
      <c r="A2685" s="9">
        <v>43840</v>
      </c>
      <c r="B2685">
        <v>5</v>
      </c>
      <c r="C2685">
        <v>980</v>
      </c>
      <c r="D2685">
        <v>10267</v>
      </c>
      <c r="E2685" t="s">
        <v>37</v>
      </c>
      <c r="F2685" t="s">
        <v>520</v>
      </c>
      <c r="G2685">
        <v>2</v>
      </c>
      <c r="H2685">
        <v>7</v>
      </c>
      <c r="I2685" s="25">
        <v>1180</v>
      </c>
      <c r="K2685" t="s">
        <v>647</v>
      </c>
      <c r="L2685" t="s">
        <v>114</v>
      </c>
      <c r="M2685" t="s">
        <v>52</v>
      </c>
      <c r="N2685" t="s">
        <v>44</v>
      </c>
      <c r="O2685">
        <v>155</v>
      </c>
      <c r="Q2685">
        <v>1</v>
      </c>
      <c r="R2685">
        <v>1</v>
      </c>
      <c r="S2685">
        <v>0</v>
      </c>
      <c r="T2685">
        <v>0</v>
      </c>
      <c r="U2685">
        <v>0</v>
      </c>
      <c r="V2685">
        <v>1</v>
      </c>
      <c r="W2685">
        <v>0</v>
      </c>
      <c r="X2685" s="21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J2685" t="s">
        <v>54</v>
      </c>
      <c r="AK2685" t="s">
        <v>52</v>
      </c>
      <c r="AL2685" t="s">
        <v>781</v>
      </c>
      <c r="AP2685" t="s">
        <v>116</v>
      </c>
    </row>
    <row r="2686" spans="1:42">
      <c r="A2686" s="9">
        <v>43840</v>
      </c>
      <c r="B2686">
        <v>5</v>
      </c>
      <c r="C2686">
        <v>980</v>
      </c>
      <c r="D2686">
        <v>10267</v>
      </c>
      <c r="E2686" t="s">
        <v>37</v>
      </c>
      <c r="F2686" t="s">
        <v>520</v>
      </c>
      <c r="G2686">
        <v>2</v>
      </c>
      <c r="H2686">
        <v>8</v>
      </c>
      <c r="I2686" s="25" t="s">
        <v>782</v>
      </c>
      <c r="K2686" t="s">
        <v>647</v>
      </c>
      <c r="M2686" t="s">
        <v>52</v>
      </c>
      <c r="N2686" t="s">
        <v>42</v>
      </c>
      <c r="O2686">
        <v>135</v>
      </c>
      <c r="Q2686">
        <v>2</v>
      </c>
      <c r="R2686">
        <v>1</v>
      </c>
      <c r="S2686">
        <v>0</v>
      </c>
      <c r="T2686">
        <v>0</v>
      </c>
      <c r="U2686">
        <v>0</v>
      </c>
      <c r="V2686">
        <v>0</v>
      </c>
      <c r="W2686">
        <v>2</v>
      </c>
      <c r="X2686" s="21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J2686" t="s">
        <v>54</v>
      </c>
      <c r="AK2686" t="s">
        <v>52</v>
      </c>
      <c r="AL2686" t="s">
        <v>783</v>
      </c>
      <c r="AP2686" t="s">
        <v>116</v>
      </c>
    </row>
    <row r="2687" spans="1:42">
      <c r="A2687" s="9">
        <v>43840</v>
      </c>
      <c r="B2687">
        <v>5</v>
      </c>
      <c r="C2687">
        <v>980</v>
      </c>
      <c r="D2687">
        <v>10267</v>
      </c>
      <c r="E2687" t="s">
        <v>37</v>
      </c>
      <c r="F2687" t="s">
        <v>520</v>
      </c>
      <c r="G2687">
        <v>2</v>
      </c>
      <c r="H2687">
        <v>9</v>
      </c>
      <c r="I2687" s="25">
        <v>1401</v>
      </c>
      <c r="K2687" t="s">
        <v>103</v>
      </c>
      <c r="L2687" t="s">
        <v>141</v>
      </c>
      <c r="M2687" t="s">
        <v>52</v>
      </c>
      <c r="N2687" t="s">
        <v>44</v>
      </c>
      <c r="O2687">
        <v>83</v>
      </c>
      <c r="Q2687">
        <v>2</v>
      </c>
      <c r="R2687">
        <v>1</v>
      </c>
      <c r="S2687">
        <v>0</v>
      </c>
      <c r="T2687">
        <v>0</v>
      </c>
      <c r="U2687">
        <v>0</v>
      </c>
      <c r="V2687">
        <v>0</v>
      </c>
      <c r="W2687">
        <v>2</v>
      </c>
      <c r="X2687" s="21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J2687" t="s">
        <v>54</v>
      </c>
      <c r="AK2687" t="s">
        <v>52</v>
      </c>
      <c r="AP2687" t="s">
        <v>116</v>
      </c>
    </row>
    <row r="2688" spans="1:42">
      <c r="A2688" s="9">
        <v>43840</v>
      </c>
      <c r="B2688">
        <v>5</v>
      </c>
      <c r="C2688">
        <v>980</v>
      </c>
      <c r="D2688">
        <v>10267</v>
      </c>
      <c r="E2688" t="s">
        <v>37</v>
      </c>
      <c r="F2688" t="s">
        <v>520</v>
      </c>
      <c r="G2688">
        <v>2</v>
      </c>
      <c r="H2688">
        <v>10</v>
      </c>
      <c r="I2688" s="25" t="s">
        <v>784</v>
      </c>
      <c r="K2688" t="s">
        <v>516</v>
      </c>
      <c r="L2688" t="s">
        <v>114</v>
      </c>
      <c r="M2688" t="s">
        <v>52</v>
      </c>
      <c r="N2688" t="s">
        <v>44</v>
      </c>
      <c r="O2688">
        <v>161</v>
      </c>
      <c r="Q2688">
        <v>7</v>
      </c>
      <c r="R2688">
        <v>1</v>
      </c>
      <c r="S2688">
        <v>0</v>
      </c>
      <c r="T2688">
        <v>0</v>
      </c>
      <c r="U2688">
        <v>0</v>
      </c>
      <c r="V2688">
        <v>0</v>
      </c>
      <c r="W2688">
        <v>7</v>
      </c>
      <c r="X2688" s="21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J2688" t="s">
        <v>54</v>
      </c>
      <c r="AK2688" t="s">
        <v>52</v>
      </c>
      <c r="AL2688" t="s">
        <v>785</v>
      </c>
      <c r="AP2688" t="s">
        <v>116</v>
      </c>
    </row>
    <row r="2689" spans="1:42">
      <c r="A2689" s="9">
        <v>43840</v>
      </c>
      <c r="B2689">
        <v>5</v>
      </c>
      <c r="C2689">
        <v>980</v>
      </c>
      <c r="D2689">
        <v>10267</v>
      </c>
      <c r="E2689" t="s">
        <v>37</v>
      </c>
      <c r="F2689" t="s">
        <v>520</v>
      </c>
      <c r="G2689">
        <v>2</v>
      </c>
      <c r="H2689">
        <v>11</v>
      </c>
      <c r="I2689" s="25" t="s">
        <v>786</v>
      </c>
      <c r="K2689" t="s">
        <v>516</v>
      </c>
      <c r="M2689" t="s">
        <v>52</v>
      </c>
      <c r="N2689" t="s">
        <v>44</v>
      </c>
      <c r="O2689">
        <v>147</v>
      </c>
      <c r="Q2689">
        <v>3</v>
      </c>
      <c r="R2689">
        <v>1</v>
      </c>
      <c r="S2689">
        <v>0</v>
      </c>
      <c r="T2689">
        <v>0</v>
      </c>
      <c r="U2689">
        <v>0</v>
      </c>
      <c r="V2689">
        <v>0</v>
      </c>
      <c r="W2689">
        <v>3</v>
      </c>
      <c r="X2689" s="21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J2689" t="s">
        <v>54</v>
      </c>
      <c r="AK2689" t="s">
        <v>52</v>
      </c>
      <c r="AL2689" t="s">
        <v>785</v>
      </c>
      <c r="AP2689" t="s">
        <v>116</v>
      </c>
    </row>
    <row r="2690" spans="1:42">
      <c r="A2690" s="9">
        <v>43840</v>
      </c>
      <c r="B2690">
        <v>5</v>
      </c>
      <c r="C2690">
        <v>980</v>
      </c>
      <c r="D2690">
        <v>10267</v>
      </c>
      <c r="E2690" t="s">
        <v>37</v>
      </c>
      <c r="F2690" t="s">
        <v>520</v>
      </c>
      <c r="G2690">
        <v>2</v>
      </c>
      <c r="H2690">
        <v>12</v>
      </c>
      <c r="I2690" s="25">
        <v>1380</v>
      </c>
      <c r="K2690" t="s">
        <v>516</v>
      </c>
      <c r="L2690" t="s">
        <v>114</v>
      </c>
      <c r="M2690" t="s">
        <v>52</v>
      </c>
      <c r="N2690" t="s">
        <v>44</v>
      </c>
      <c r="O2690">
        <v>72</v>
      </c>
      <c r="Q2690">
        <v>1</v>
      </c>
      <c r="R2690">
        <v>1</v>
      </c>
      <c r="S2690">
        <v>0</v>
      </c>
      <c r="T2690">
        <v>0</v>
      </c>
      <c r="U2690">
        <v>0</v>
      </c>
      <c r="V2690">
        <v>0</v>
      </c>
      <c r="W2690">
        <v>1</v>
      </c>
      <c r="X2690" s="21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J2690" t="s">
        <v>54</v>
      </c>
      <c r="AK2690" t="s">
        <v>52</v>
      </c>
      <c r="AL2690" t="s">
        <v>787</v>
      </c>
      <c r="AP2690" t="s">
        <v>116</v>
      </c>
    </row>
    <row r="2691" spans="1:42">
      <c r="A2691" s="9">
        <v>43840</v>
      </c>
      <c r="B2691">
        <v>5</v>
      </c>
      <c r="C2691">
        <v>980</v>
      </c>
      <c r="D2691">
        <v>10267</v>
      </c>
      <c r="E2691" t="s">
        <v>37</v>
      </c>
      <c r="F2691" t="s">
        <v>520</v>
      </c>
      <c r="G2691">
        <v>2</v>
      </c>
      <c r="H2691">
        <v>13</v>
      </c>
      <c r="I2691" s="25">
        <v>1400</v>
      </c>
      <c r="K2691" t="s">
        <v>516</v>
      </c>
      <c r="L2691" t="s">
        <v>114</v>
      </c>
      <c r="M2691" t="s">
        <v>52</v>
      </c>
      <c r="N2691" t="s">
        <v>40</v>
      </c>
      <c r="O2691">
        <v>137</v>
      </c>
      <c r="Q2691">
        <v>6</v>
      </c>
      <c r="R2691">
        <v>1</v>
      </c>
      <c r="S2691">
        <v>0</v>
      </c>
      <c r="T2691">
        <v>0</v>
      </c>
      <c r="U2691">
        <v>0</v>
      </c>
      <c r="V2691">
        <v>0</v>
      </c>
      <c r="W2691">
        <v>6</v>
      </c>
      <c r="X2691" s="2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J2691" t="s">
        <v>54</v>
      </c>
      <c r="AK2691" t="s">
        <v>52</v>
      </c>
      <c r="AL2691" t="s">
        <v>788</v>
      </c>
      <c r="AP2691" t="s">
        <v>116</v>
      </c>
    </row>
    <row r="2692" spans="1:42">
      <c r="A2692" s="9">
        <v>43840</v>
      </c>
      <c r="B2692">
        <v>5</v>
      </c>
      <c r="C2692">
        <v>980</v>
      </c>
      <c r="D2692">
        <v>10267</v>
      </c>
      <c r="E2692" t="s">
        <v>37</v>
      </c>
      <c r="F2692" t="s">
        <v>520</v>
      </c>
      <c r="G2692">
        <v>2</v>
      </c>
      <c r="H2692">
        <v>14</v>
      </c>
      <c r="I2692" s="25">
        <v>1415</v>
      </c>
      <c r="K2692" t="s">
        <v>516</v>
      </c>
      <c r="L2692" t="s">
        <v>141</v>
      </c>
      <c r="M2692" t="s">
        <v>95</v>
      </c>
      <c r="N2692" t="s">
        <v>44</v>
      </c>
      <c r="O2692">
        <v>57</v>
      </c>
      <c r="Q2692">
        <v>2</v>
      </c>
      <c r="R2692">
        <v>1</v>
      </c>
      <c r="S2692">
        <v>0</v>
      </c>
      <c r="T2692">
        <v>0</v>
      </c>
      <c r="U2692">
        <v>0</v>
      </c>
      <c r="V2692">
        <v>0</v>
      </c>
      <c r="W2692">
        <v>2</v>
      </c>
      <c r="X2692" s="21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J2692" t="s">
        <v>54</v>
      </c>
      <c r="AK2692" t="s">
        <v>52</v>
      </c>
      <c r="AL2692" t="s">
        <v>665</v>
      </c>
      <c r="AP2692" t="s">
        <v>116</v>
      </c>
    </row>
    <row r="2693" spans="1:42">
      <c r="A2693" s="9">
        <v>43840</v>
      </c>
      <c r="B2693">
        <v>5</v>
      </c>
      <c r="C2693">
        <v>980</v>
      </c>
      <c r="D2693">
        <v>10267</v>
      </c>
      <c r="E2693" t="s">
        <v>37</v>
      </c>
      <c r="F2693" t="s">
        <v>520</v>
      </c>
      <c r="G2693">
        <v>2</v>
      </c>
      <c r="H2693">
        <v>15</v>
      </c>
      <c r="I2693" s="25" t="s">
        <v>789</v>
      </c>
      <c r="K2693" t="s">
        <v>91</v>
      </c>
      <c r="L2693" t="s">
        <v>141</v>
      </c>
      <c r="M2693" t="s">
        <v>95</v>
      </c>
      <c r="N2693" t="s">
        <v>44</v>
      </c>
      <c r="O2693">
        <v>132</v>
      </c>
      <c r="Q2693">
        <v>2</v>
      </c>
      <c r="R2693">
        <v>1</v>
      </c>
      <c r="S2693">
        <v>0</v>
      </c>
      <c r="T2693">
        <v>0</v>
      </c>
      <c r="U2693">
        <v>0</v>
      </c>
      <c r="V2693">
        <v>1</v>
      </c>
      <c r="W2693">
        <v>1</v>
      </c>
      <c r="X2693" s="21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J2693" t="s">
        <v>54</v>
      </c>
      <c r="AK2693" t="s">
        <v>52</v>
      </c>
      <c r="AL2693" t="s">
        <v>694</v>
      </c>
      <c r="AP2693" t="s">
        <v>116</v>
      </c>
    </row>
    <row r="2694" spans="1:42">
      <c r="A2694" s="9">
        <v>43840</v>
      </c>
      <c r="B2694">
        <v>5</v>
      </c>
      <c r="C2694">
        <v>980</v>
      </c>
      <c r="D2694">
        <v>10267</v>
      </c>
      <c r="E2694" t="s">
        <v>37</v>
      </c>
      <c r="F2694" t="s">
        <v>520</v>
      </c>
      <c r="G2694">
        <v>2</v>
      </c>
      <c r="H2694">
        <v>16</v>
      </c>
      <c r="I2694" s="25">
        <v>1455</v>
      </c>
      <c r="K2694" t="s">
        <v>91</v>
      </c>
      <c r="L2694" t="s">
        <v>141</v>
      </c>
      <c r="M2694" t="s">
        <v>95</v>
      </c>
      <c r="N2694" t="s">
        <v>44</v>
      </c>
      <c r="O2694">
        <v>181</v>
      </c>
      <c r="Q2694">
        <v>2</v>
      </c>
      <c r="R2694">
        <v>1</v>
      </c>
      <c r="S2694">
        <v>0</v>
      </c>
      <c r="T2694">
        <v>0</v>
      </c>
      <c r="U2694">
        <v>1</v>
      </c>
      <c r="V2694">
        <v>0</v>
      </c>
      <c r="W2694">
        <v>1</v>
      </c>
      <c r="X2694" s="21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J2694" t="s">
        <v>54</v>
      </c>
      <c r="AK2694" t="s">
        <v>52</v>
      </c>
      <c r="AL2694" t="s">
        <v>695</v>
      </c>
      <c r="AP2694" t="s">
        <v>116</v>
      </c>
    </row>
    <row r="2695" spans="1:42">
      <c r="A2695" s="9">
        <v>43840</v>
      </c>
      <c r="B2695">
        <v>5</v>
      </c>
      <c r="C2695">
        <v>980</v>
      </c>
      <c r="D2695">
        <v>10267</v>
      </c>
      <c r="E2695" t="s">
        <v>37</v>
      </c>
      <c r="F2695" t="s">
        <v>520</v>
      </c>
      <c r="G2695">
        <v>2</v>
      </c>
      <c r="H2695">
        <v>17</v>
      </c>
      <c r="I2695" s="25" t="s">
        <v>790</v>
      </c>
      <c r="K2695" t="s">
        <v>91</v>
      </c>
      <c r="L2695" t="s">
        <v>114</v>
      </c>
      <c r="M2695" t="s">
        <v>52</v>
      </c>
      <c r="N2695" t="s">
        <v>44</v>
      </c>
      <c r="O2695">
        <v>174</v>
      </c>
      <c r="Q2695">
        <v>2</v>
      </c>
      <c r="R2695">
        <v>1</v>
      </c>
      <c r="S2695">
        <v>0</v>
      </c>
      <c r="T2695">
        <v>0</v>
      </c>
      <c r="U2695">
        <v>0</v>
      </c>
      <c r="V2695">
        <v>1</v>
      </c>
      <c r="W2695">
        <v>1</v>
      </c>
      <c r="X2695" s="21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J2695" t="s">
        <v>51</v>
      </c>
      <c r="AK2695" t="s">
        <v>52</v>
      </c>
      <c r="AL2695" t="s">
        <v>791</v>
      </c>
      <c r="AP2695" t="s">
        <v>116</v>
      </c>
    </row>
    <row r="2696" spans="1:42">
      <c r="A2696" s="9">
        <v>43840</v>
      </c>
      <c r="B2696">
        <v>5</v>
      </c>
      <c r="C2696">
        <v>980</v>
      </c>
      <c r="D2696">
        <v>10267</v>
      </c>
      <c r="E2696" t="s">
        <v>37</v>
      </c>
      <c r="F2696" t="s">
        <v>520</v>
      </c>
      <c r="G2696">
        <v>2</v>
      </c>
      <c r="H2696">
        <v>18</v>
      </c>
      <c r="I2696" s="25">
        <v>1290</v>
      </c>
      <c r="K2696" t="s">
        <v>647</v>
      </c>
      <c r="L2696" t="s">
        <v>114</v>
      </c>
      <c r="M2696" t="s">
        <v>52</v>
      </c>
      <c r="N2696" t="s">
        <v>44</v>
      </c>
      <c r="O2696">
        <v>94</v>
      </c>
      <c r="Q2696">
        <v>1</v>
      </c>
      <c r="R2696">
        <v>1</v>
      </c>
      <c r="S2696">
        <v>0</v>
      </c>
      <c r="T2696">
        <v>0</v>
      </c>
      <c r="U2696">
        <v>0</v>
      </c>
      <c r="V2696">
        <v>0</v>
      </c>
      <c r="W2696">
        <v>1</v>
      </c>
      <c r="X2696" s="21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J2696" t="s">
        <v>51</v>
      </c>
      <c r="AK2696" t="s">
        <v>52</v>
      </c>
      <c r="AL2696" t="s">
        <v>670</v>
      </c>
      <c r="AP2696" t="s">
        <v>116</v>
      </c>
    </row>
    <row r="2697" spans="1:42">
      <c r="A2697" s="9">
        <v>43840</v>
      </c>
      <c r="B2697">
        <v>5</v>
      </c>
      <c r="C2697">
        <v>980</v>
      </c>
      <c r="D2697">
        <v>10267</v>
      </c>
      <c r="E2697" t="s">
        <v>37</v>
      </c>
      <c r="F2697" t="s">
        <v>520</v>
      </c>
      <c r="G2697">
        <v>2</v>
      </c>
      <c r="H2697">
        <v>19</v>
      </c>
      <c r="I2697" s="25">
        <v>1535</v>
      </c>
      <c r="K2697" t="s">
        <v>91</v>
      </c>
      <c r="L2697" t="s">
        <v>141</v>
      </c>
      <c r="M2697" t="s">
        <v>95</v>
      </c>
      <c r="N2697" t="s">
        <v>44</v>
      </c>
      <c r="O2697">
        <v>115</v>
      </c>
      <c r="Q2697">
        <v>1</v>
      </c>
      <c r="R2697">
        <v>1</v>
      </c>
      <c r="S2697">
        <v>0</v>
      </c>
      <c r="T2697">
        <v>0</v>
      </c>
      <c r="U2697">
        <v>0</v>
      </c>
      <c r="V2697">
        <v>0</v>
      </c>
      <c r="W2697">
        <v>1</v>
      </c>
      <c r="X2697" s="21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J2697" t="s">
        <v>51</v>
      </c>
      <c r="AK2697" t="s">
        <v>52</v>
      </c>
      <c r="AL2697" t="s">
        <v>670</v>
      </c>
      <c r="AP2697" t="s">
        <v>116</v>
      </c>
    </row>
    <row r="2698" spans="1:42">
      <c r="A2698" s="9">
        <v>43840</v>
      </c>
      <c r="B2698">
        <v>5</v>
      </c>
      <c r="C2698">
        <v>980</v>
      </c>
      <c r="D2698">
        <v>10267</v>
      </c>
      <c r="E2698" t="s">
        <v>37</v>
      </c>
      <c r="F2698" t="s">
        <v>520</v>
      </c>
      <c r="G2698">
        <v>2</v>
      </c>
      <c r="H2698">
        <v>20</v>
      </c>
      <c r="I2698" s="25" t="s">
        <v>792</v>
      </c>
      <c r="K2698" t="s">
        <v>605</v>
      </c>
      <c r="L2698" t="s">
        <v>114</v>
      </c>
      <c r="M2698" t="s">
        <v>95</v>
      </c>
      <c r="N2698" t="s">
        <v>44</v>
      </c>
      <c r="O2698">
        <v>100</v>
      </c>
      <c r="Q2698">
        <v>2</v>
      </c>
      <c r="R2698">
        <v>1</v>
      </c>
      <c r="S2698">
        <v>0</v>
      </c>
      <c r="T2698">
        <v>0</v>
      </c>
      <c r="U2698">
        <v>0</v>
      </c>
      <c r="V2698">
        <v>1</v>
      </c>
      <c r="W2698">
        <v>1</v>
      </c>
      <c r="X2698" s="21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J2698" t="s">
        <v>51</v>
      </c>
      <c r="AK2698" t="s">
        <v>95</v>
      </c>
      <c r="AL2698" t="s">
        <v>793</v>
      </c>
      <c r="AP2698" t="s">
        <v>116</v>
      </c>
    </row>
    <row r="2699" spans="1:42">
      <c r="A2699" s="9">
        <v>43840</v>
      </c>
      <c r="B2699">
        <v>5</v>
      </c>
      <c r="C2699">
        <v>980</v>
      </c>
      <c r="D2699">
        <v>10267</v>
      </c>
      <c r="E2699" t="s">
        <v>37</v>
      </c>
      <c r="F2699" t="s">
        <v>520</v>
      </c>
      <c r="G2699">
        <v>2</v>
      </c>
      <c r="H2699">
        <v>21</v>
      </c>
      <c r="I2699" s="25">
        <v>1198</v>
      </c>
      <c r="K2699" t="s">
        <v>605</v>
      </c>
      <c r="L2699" t="s">
        <v>114</v>
      </c>
      <c r="M2699" t="s">
        <v>95</v>
      </c>
      <c r="N2699" t="s">
        <v>40</v>
      </c>
      <c r="O2699">
        <v>59</v>
      </c>
      <c r="Q2699">
        <v>1</v>
      </c>
      <c r="R2699">
        <v>1</v>
      </c>
      <c r="S2699">
        <v>0</v>
      </c>
      <c r="T2699">
        <v>0</v>
      </c>
      <c r="U2699">
        <v>0</v>
      </c>
      <c r="V2699">
        <v>1</v>
      </c>
      <c r="W2699">
        <v>0</v>
      </c>
      <c r="X2699" s="21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J2699" t="s">
        <v>51</v>
      </c>
      <c r="AK2699" t="s">
        <v>95</v>
      </c>
      <c r="AP2699" t="s">
        <v>116</v>
      </c>
    </row>
    <row r="2700" spans="1:42">
      <c r="A2700" s="9">
        <v>43840</v>
      </c>
      <c r="B2700">
        <v>5</v>
      </c>
      <c r="C2700">
        <v>980</v>
      </c>
      <c r="D2700">
        <v>10267</v>
      </c>
      <c r="E2700" t="s">
        <v>37</v>
      </c>
      <c r="F2700" t="s">
        <v>520</v>
      </c>
      <c r="G2700">
        <v>2</v>
      </c>
      <c r="H2700">
        <v>22</v>
      </c>
      <c r="I2700" s="25">
        <v>1192</v>
      </c>
      <c r="K2700" t="s">
        <v>605</v>
      </c>
      <c r="L2700" t="s">
        <v>114</v>
      </c>
      <c r="M2700" t="s">
        <v>95</v>
      </c>
      <c r="N2700" t="s">
        <v>40</v>
      </c>
      <c r="O2700">
        <v>50</v>
      </c>
      <c r="Q2700">
        <v>2</v>
      </c>
      <c r="R2700">
        <v>1</v>
      </c>
      <c r="S2700">
        <v>0</v>
      </c>
      <c r="T2700">
        <v>0</v>
      </c>
      <c r="U2700">
        <v>0</v>
      </c>
      <c r="V2700">
        <v>2</v>
      </c>
      <c r="W2700">
        <v>0</v>
      </c>
      <c r="X2700" s="21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J2700" t="s">
        <v>51</v>
      </c>
      <c r="AK2700" t="s">
        <v>95</v>
      </c>
      <c r="AP2700" t="s">
        <v>116</v>
      </c>
    </row>
    <row r="2701" spans="1:42">
      <c r="A2701" s="9">
        <v>43840</v>
      </c>
      <c r="B2701">
        <v>5</v>
      </c>
      <c r="C2701">
        <v>980</v>
      </c>
      <c r="D2701">
        <v>10267</v>
      </c>
      <c r="E2701" t="s">
        <v>37</v>
      </c>
      <c r="F2701" t="s">
        <v>520</v>
      </c>
      <c r="G2701">
        <v>2</v>
      </c>
      <c r="H2701">
        <v>23</v>
      </c>
      <c r="I2701" s="25" t="s">
        <v>794</v>
      </c>
      <c r="K2701" t="s">
        <v>795</v>
      </c>
      <c r="M2701" t="s">
        <v>95</v>
      </c>
      <c r="N2701" t="s">
        <v>42</v>
      </c>
      <c r="O2701">
        <v>145</v>
      </c>
      <c r="Q2701">
        <v>5</v>
      </c>
      <c r="R2701">
        <v>1</v>
      </c>
      <c r="S2701">
        <v>0</v>
      </c>
      <c r="T2701">
        <v>0</v>
      </c>
      <c r="U2701">
        <v>1</v>
      </c>
      <c r="V2701">
        <v>1</v>
      </c>
      <c r="W2701">
        <v>3</v>
      </c>
      <c r="X2701" s="2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J2701" t="s">
        <v>54</v>
      </c>
      <c r="AK2701" t="s">
        <v>52</v>
      </c>
      <c r="AL2701" t="s">
        <v>796</v>
      </c>
      <c r="AP2701" t="s">
        <v>116</v>
      </c>
    </row>
    <row r="2702" spans="1:42">
      <c r="A2702" s="9">
        <v>43840</v>
      </c>
      <c r="B2702">
        <v>5</v>
      </c>
      <c r="C2702">
        <v>980</v>
      </c>
      <c r="D2702">
        <v>10267</v>
      </c>
      <c r="E2702" t="s">
        <v>37</v>
      </c>
      <c r="F2702" t="s">
        <v>520</v>
      </c>
      <c r="G2702">
        <v>2</v>
      </c>
      <c r="H2702">
        <v>24</v>
      </c>
      <c r="I2702" s="25" t="s">
        <v>797</v>
      </c>
      <c r="K2702" t="s">
        <v>605</v>
      </c>
      <c r="M2702" t="s">
        <v>95</v>
      </c>
      <c r="N2702" t="s">
        <v>40</v>
      </c>
      <c r="O2702">
        <v>111</v>
      </c>
      <c r="Q2702">
        <v>3</v>
      </c>
      <c r="R2702">
        <v>1</v>
      </c>
      <c r="S2702">
        <v>0</v>
      </c>
      <c r="T2702">
        <v>0</v>
      </c>
      <c r="U2702">
        <v>2</v>
      </c>
      <c r="V2702">
        <v>0</v>
      </c>
      <c r="W2702">
        <v>1</v>
      </c>
      <c r="X2702" s="21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J2702" t="s">
        <v>54</v>
      </c>
      <c r="AK2702" t="s">
        <v>52</v>
      </c>
      <c r="AP2702" t="s">
        <v>116</v>
      </c>
    </row>
    <row r="2703" spans="1:42">
      <c r="A2703" s="9">
        <v>43840</v>
      </c>
      <c r="B2703">
        <v>5</v>
      </c>
      <c r="C2703">
        <v>980</v>
      </c>
      <c r="D2703">
        <v>10267</v>
      </c>
      <c r="E2703" t="s">
        <v>37</v>
      </c>
      <c r="F2703" t="s">
        <v>520</v>
      </c>
      <c r="G2703">
        <v>2</v>
      </c>
      <c r="H2703">
        <v>25</v>
      </c>
      <c r="I2703" s="25" t="s">
        <v>798</v>
      </c>
      <c r="K2703" t="s">
        <v>799</v>
      </c>
      <c r="M2703" t="s">
        <v>95</v>
      </c>
      <c r="N2703" t="s">
        <v>42</v>
      </c>
      <c r="O2703">
        <v>189</v>
      </c>
      <c r="Q2703">
        <v>7</v>
      </c>
      <c r="R2703">
        <v>1</v>
      </c>
      <c r="S2703">
        <v>0</v>
      </c>
      <c r="T2703">
        <v>0</v>
      </c>
      <c r="U2703">
        <v>4</v>
      </c>
      <c r="V2703">
        <v>2</v>
      </c>
      <c r="W2703">
        <v>1</v>
      </c>
      <c r="X2703" s="21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J2703" t="s">
        <v>54</v>
      </c>
      <c r="AK2703" t="s">
        <v>95</v>
      </c>
      <c r="AL2703" t="s">
        <v>800</v>
      </c>
      <c r="AP2703" t="s">
        <v>116</v>
      </c>
    </row>
    <row r="2704" spans="1:42">
      <c r="A2704" s="9">
        <v>43840</v>
      </c>
      <c r="B2704">
        <v>5</v>
      </c>
      <c r="C2704">
        <v>980</v>
      </c>
      <c r="D2704">
        <v>10267</v>
      </c>
      <c r="E2704" t="s">
        <v>37</v>
      </c>
      <c r="F2704" t="s">
        <v>520</v>
      </c>
      <c r="G2704">
        <v>2</v>
      </c>
      <c r="H2704">
        <v>26</v>
      </c>
      <c r="I2704" s="25" t="s">
        <v>801</v>
      </c>
      <c r="K2704" t="s">
        <v>605</v>
      </c>
      <c r="M2704" t="s">
        <v>95</v>
      </c>
      <c r="N2704" t="s">
        <v>40</v>
      </c>
      <c r="O2704">
        <v>50</v>
      </c>
      <c r="Q2704">
        <v>2</v>
      </c>
      <c r="R2704">
        <v>1</v>
      </c>
      <c r="S2704">
        <v>0</v>
      </c>
      <c r="T2704">
        <v>0</v>
      </c>
      <c r="U2704">
        <v>2</v>
      </c>
      <c r="V2704">
        <v>0</v>
      </c>
      <c r="W2704">
        <v>0</v>
      </c>
      <c r="X2704" s="21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J2704" t="s">
        <v>54</v>
      </c>
      <c r="AK2704" t="s">
        <v>95</v>
      </c>
      <c r="AP2704" t="s">
        <v>116</v>
      </c>
    </row>
    <row r="2705" spans="1:42">
      <c r="A2705" s="9">
        <v>43840</v>
      </c>
      <c r="B2705">
        <v>5</v>
      </c>
      <c r="C2705">
        <v>980</v>
      </c>
      <c r="D2705">
        <v>10267</v>
      </c>
      <c r="E2705" t="s">
        <v>37</v>
      </c>
      <c r="F2705" t="s">
        <v>520</v>
      </c>
      <c r="G2705">
        <v>2</v>
      </c>
      <c r="H2705">
        <v>27</v>
      </c>
      <c r="I2705" s="25" t="s">
        <v>802</v>
      </c>
      <c r="K2705" t="s">
        <v>605</v>
      </c>
      <c r="M2705" t="s">
        <v>95</v>
      </c>
      <c r="N2705" t="s">
        <v>42</v>
      </c>
      <c r="O2705">
        <v>275</v>
      </c>
      <c r="Q2705">
        <v>9</v>
      </c>
      <c r="R2705">
        <v>1</v>
      </c>
      <c r="S2705">
        <v>0</v>
      </c>
      <c r="T2705">
        <v>0</v>
      </c>
      <c r="U2705">
        <v>3</v>
      </c>
      <c r="V2705">
        <v>3</v>
      </c>
      <c r="W2705">
        <v>3</v>
      </c>
      <c r="X2705" s="21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J2705" t="s">
        <v>54</v>
      </c>
      <c r="AK2705" t="s">
        <v>95</v>
      </c>
      <c r="AL2705" t="s">
        <v>803</v>
      </c>
      <c r="AP2705" t="s">
        <v>116</v>
      </c>
    </row>
    <row r="2706" spans="1:42">
      <c r="A2706" s="9">
        <v>43840</v>
      </c>
      <c r="B2706">
        <v>5</v>
      </c>
      <c r="C2706">
        <v>980</v>
      </c>
      <c r="D2706">
        <v>10267</v>
      </c>
      <c r="E2706" t="s">
        <v>37</v>
      </c>
      <c r="F2706" t="s">
        <v>520</v>
      </c>
      <c r="G2706">
        <v>2</v>
      </c>
      <c r="H2706">
        <v>28</v>
      </c>
      <c r="I2706" s="25">
        <v>1503</v>
      </c>
      <c r="K2706" t="s">
        <v>101</v>
      </c>
      <c r="L2706" t="s">
        <v>141</v>
      </c>
      <c r="M2706" t="s">
        <v>95</v>
      </c>
      <c r="N2706" t="s">
        <v>44</v>
      </c>
      <c r="O2706">
        <v>155</v>
      </c>
      <c r="Q2706">
        <v>2</v>
      </c>
      <c r="R2706">
        <v>1</v>
      </c>
      <c r="S2706">
        <v>0</v>
      </c>
      <c r="T2706">
        <v>0</v>
      </c>
      <c r="U2706">
        <v>1</v>
      </c>
      <c r="V2706">
        <v>0</v>
      </c>
      <c r="W2706">
        <v>0</v>
      </c>
      <c r="X2706" s="21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J2706" t="s">
        <v>54</v>
      </c>
      <c r="AK2706" t="s">
        <v>52</v>
      </c>
      <c r="AL2706" t="s">
        <v>715</v>
      </c>
      <c r="AP2706" t="s">
        <v>116</v>
      </c>
    </row>
    <row r="2707" spans="1:42">
      <c r="A2707" s="9">
        <v>43840</v>
      </c>
      <c r="B2707">
        <v>5</v>
      </c>
      <c r="C2707">
        <v>980</v>
      </c>
      <c r="D2707">
        <v>10267</v>
      </c>
      <c r="E2707" t="s">
        <v>37</v>
      </c>
      <c r="F2707" t="s">
        <v>520</v>
      </c>
      <c r="G2707">
        <v>2</v>
      </c>
      <c r="H2707">
        <v>29</v>
      </c>
      <c r="I2707" s="25">
        <v>999</v>
      </c>
      <c r="K2707" t="s">
        <v>185</v>
      </c>
      <c r="L2707" t="s">
        <v>141</v>
      </c>
      <c r="M2707" t="s">
        <v>52</v>
      </c>
      <c r="N2707" t="s">
        <v>44</v>
      </c>
      <c r="O2707">
        <v>98</v>
      </c>
      <c r="Q2707">
        <v>1</v>
      </c>
      <c r="R2707">
        <v>1</v>
      </c>
      <c r="S2707">
        <v>0</v>
      </c>
      <c r="T2707">
        <v>0</v>
      </c>
      <c r="U2707">
        <v>0</v>
      </c>
      <c r="V2707">
        <v>1</v>
      </c>
      <c r="W2707">
        <v>0</v>
      </c>
      <c r="X2707" s="21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J2707" t="s">
        <v>54</v>
      </c>
      <c r="AK2707" t="s">
        <v>52</v>
      </c>
      <c r="AL2707" t="s">
        <v>670</v>
      </c>
      <c r="AP2707" t="s">
        <v>116</v>
      </c>
    </row>
    <row r="2708" spans="1:42">
      <c r="A2708" s="9">
        <v>43840</v>
      </c>
      <c r="B2708">
        <v>5</v>
      </c>
      <c r="C2708">
        <v>980</v>
      </c>
      <c r="D2708">
        <v>10267</v>
      </c>
      <c r="E2708" t="s">
        <v>37</v>
      </c>
      <c r="F2708" t="s">
        <v>520</v>
      </c>
      <c r="G2708">
        <v>2</v>
      </c>
      <c r="H2708">
        <v>30</v>
      </c>
      <c r="I2708" s="25">
        <v>1441</v>
      </c>
      <c r="K2708" t="s">
        <v>804</v>
      </c>
      <c r="L2708" t="s">
        <v>141</v>
      </c>
      <c r="M2708" t="s">
        <v>52</v>
      </c>
      <c r="N2708" t="s">
        <v>44</v>
      </c>
      <c r="O2708">
        <v>131</v>
      </c>
      <c r="Q2708">
        <v>2</v>
      </c>
      <c r="R2708">
        <v>1</v>
      </c>
      <c r="S2708">
        <v>0</v>
      </c>
      <c r="T2708">
        <v>0</v>
      </c>
      <c r="U2708">
        <v>0</v>
      </c>
      <c r="V2708">
        <v>2</v>
      </c>
      <c r="W2708">
        <v>0</v>
      </c>
      <c r="X2708" s="21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2</v>
      </c>
      <c r="AG2708">
        <v>0</v>
      </c>
      <c r="AJ2708" t="s">
        <v>54</v>
      </c>
      <c r="AK2708" t="s">
        <v>52</v>
      </c>
      <c r="AL2708" t="s">
        <v>805</v>
      </c>
      <c r="AP2708" t="s">
        <v>116</v>
      </c>
    </row>
    <row r="2709" spans="1:42">
      <c r="A2709" s="9">
        <v>43840</v>
      </c>
      <c r="B2709">
        <v>5</v>
      </c>
      <c r="C2709">
        <v>980</v>
      </c>
      <c r="D2709">
        <v>10267</v>
      </c>
      <c r="E2709" t="s">
        <v>37</v>
      </c>
      <c r="F2709" t="s">
        <v>520</v>
      </c>
      <c r="G2709">
        <v>2</v>
      </c>
      <c r="H2709">
        <v>31</v>
      </c>
      <c r="I2709" s="25">
        <v>1401</v>
      </c>
      <c r="K2709" t="s">
        <v>804</v>
      </c>
      <c r="L2709" t="s">
        <v>141</v>
      </c>
      <c r="M2709" t="s">
        <v>52</v>
      </c>
      <c r="N2709" t="s">
        <v>40</v>
      </c>
      <c r="O2709">
        <v>43</v>
      </c>
      <c r="Q2709">
        <v>1</v>
      </c>
      <c r="R2709">
        <v>1</v>
      </c>
      <c r="S2709">
        <v>0</v>
      </c>
      <c r="T2709">
        <v>0</v>
      </c>
      <c r="U2709">
        <v>1</v>
      </c>
      <c r="V2709">
        <v>0</v>
      </c>
      <c r="W2709">
        <v>0</v>
      </c>
      <c r="X2709" s="21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</v>
      </c>
      <c r="AG2709">
        <v>0</v>
      </c>
      <c r="AJ2709" t="s">
        <v>51</v>
      </c>
      <c r="AK2709" t="s">
        <v>95</v>
      </c>
      <c r="AL2709" t="s">
        <v>760</v>
      </c>
      <c r="AP2709" t="s">
        <v>116</v>
      </c>
    </row>
    <row r="2710" spans="1:42">
      <c r="A2710" s="9">
        <v>43840</v>
      </c>
      <c r="B2710">
        <v>5</v>
      </c>
      <c r="C2710">
        <v>980</v>
      </c>
      <c r="D2710">
        <v>10267</v>
      </c>
      <c r="E2710" t="s">
        <v>37</v>
      </c>
      <c r="F2710" t="s">
        <v>520</v>
      </c>
      <c r="G2710">
        <v>2</v>
      </c>
      <c r="H2710">
        <v>32</v>
      </c>
      <c r="I2710" s="25" t="s">
        <v>806</v>
      </c>
      <c r="K2710" t="s">
        <v>804</v>
      </c>
      <c r="L2710" t="s">
        <v>114</v>
      </c>
      <c r="M2710" t="s">
        <v>52</v>
      </c>
      <c r="N2710" t="s">
        <v>44</v>
      </c>
      <c r="O2710">
        <v>136</v>
      </c>
      <c r="Q2710">
        <v>5</v>
      </c>
      <c r="R2710">
        <v>1</v>
      </c>
      <c r="S2710">
        <v>0</v>
      </c>
      <c r="T2710">
        <v>0</v>
      </c>
      <c r="U2710">
        <v>0</v>
      </c>
      <c r="V2710">
        <v>3</v>
      </c>
      <c r="W2710">
        <v>2</v>
      </c>
      <c r="X2710" s="21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J2710" t="s">
        <v>51</v>
      </c>
      <c r="AK2710" t="s">
        <v>52</v>
      </c>
      <c r="AL2710" t="s">
        <v>807</v>
      </c>
      <c r="AP2710" t="s">
        <v>116</v>
      </c>
    </row>
    <row r="2711" spans="1:42">
      <c r="A2711" s="9">
        <v>43840</v>
      </c>
      <c r="B2711">
        <v>5</v>
      </c>
      <c r="C2711">
        <v>980</v>
      </c>
      <c r="D2711">
        <v>10267</v>
      </c>
      <c r="E2711" t="s">
        <v>37</v>
      </c>
      <c r="F2711" t="s">
        <v>520</v>
      </c>
      <c r="G2711">
        <v>2</v>
      </c>
      <c r="H2711">
        <v>33</v>
      </c>
      <c r="I2711" s="25">
        <v>840</v>
      </c>
      <c r="K2711" t="s">
        <v>185</v>
      </c>
      <c r="L2711" t="s">
        <v>114</v>
      </c>
      <c r="M2711" t="s">
        <v>52</v>
      </c>
      <c r="N2711" t="s">
        <v>44</v>
      </c>
      <c r="O2711">
        <v>105</v>
      </c>
      <c r="Q2711">
        <v>3</v>
      </c>
      <c r="R2711">
        <v>1</v>
      </c>
      <c r="S2711">
        <v>0</v>
      </c>
      <c r="T2711">
        <v>0</v>
      </c>
      <c r="U2711">
        <v>0</v>
      </c>
      <c r="V2711">
        <v>0</v>
      </c>
      <c r="W2711">
        <v>3</v>
      </c>
      <c r="X2711" s="2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J2711" t="s">
        <v>51</v>
      </c>
      <c r="AK2711" t="s">
        <v>95</v>
      </c>
      <c r="AL2711" t="s">
        <v>665</v>
      </c>
      <c r="AP2711" t="s">
        <v>116</v>
      </c>
    </row>
    <row r="2712" spans="1:42">
      <c r="A2712" s="9">
        <v>43840</v>
      </c>
      <c r="B2712">
        <v>5</v>
      </c>
      <c r="C2712">
        <v>980</v>
      </c>
      <c r="D2712">
        <v>10267</v>
      </c>
      <c r="E2712" t="s">
        <v>37</v>
      </c>
      <c r="F2712" t="s">
        <v>520</v>
      </c>
      <c r="G2712">
        <v>2</v>
      </c>
      <c r="H2712">
        <v>34</v>
      </c>
      <c r="I2712" s="25">
        <v>1483</v>
      </c>
      <c r="K2712" t="s">
        <v>102</v>
      </c>
      <c r="L2712" t="s">
        <v>141</v>
      </c>
      <c r="M2712" t="s">
        <v>52</v>
      </c>
      <c r="N2712" t="s">
        <v>40</v>
      </c>
      <c r="O2712">
        <v>128</v>
      </c>
      <c r="Q2712">
        <v>5</v>
      </c>
      <c r="R2712">
        <v>1</v>
      </c>
      <c r="S2712">
        <v>0</v>
      </c>
      <c r="T2712">
        <v>0</v>
      </c>
      <c r="U2712">
        <v>4</v>
      </c>
      <c r="V2712">
        <v>0</v>
      </c>
      <c r="W2712">
        <v>1</v>
      </c>
      <c r="X2712" s="21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J2712" t="s">
        <v>51</v>
      </c>
      <c r="AK2712" t="s">
        <v>52</v>
      </c>
      <c r="AP2712" t="s">
        <v>116</v>
      </c>
    </row>
    <row r="2713" spans="1:42">
      <c r="A2713" s="9">
        <v>43840</v>
      </c>
      <c r="B2713">
        <v>5</v>
      </c>
      <c r="C2713">
        <v>980</v>
      </c>
      <c r="D2713">
        <v>10267</v>
      </c>
      <c r="E2713" t="s">
        <v>37</v>
      </c>
      <c r="F2713" t="s">
        <v>520</v>
      </c>
      <c r="G2713">
        <v>2</v>
      </c>
      <c r="H2713">
        <v>35</v>
      </c>
      <c r="I2713" s="25">
        <v>875</v>
      </c>
      <c r="K2713" t="s">
        <v>185</v>
      </c>
      <c r="L2713" t="s">
        <v>141</v>
      </c>
      <c r="M2713" t="s">
        <v>52</v>
      </c>
      <c r="N2713" t="s">
        <v>44</v>
      </c>
      <c r="O2713">
        <v>56</v>
      </c>
      <c r="Q2713">
        <v>1</v>
      </c>
      <c r="R2713">
        <v>1</v>
      </c>
      <c r="S2713">
        <v>0</v>
      </c>
      <c r="T2713">
        <v>0</v>
      </c>
      <c r="U2713">
        <v>0</v>
      </c>
      <c r="V2713">
        <v>1</v>
      </c>
      <c r="W2713">
        <v>0</v>
      </c>
      <c r="X2713" s="21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J2713" t="s">
        <v>51</v>
      </c>
      <c r="AK2713" t="s">
        <v>52</v>
      </c>
      <c r="AL2713" t="s">
        <v>744</v>
      </c>
      <c r="AP2713" t="s">
        <v>116</v>
      </c>
    </row>
    <row r="2714" spans="1:42">
      <c r="A2714" s="9">
        <v>43840</v>
      </c>
      <c r="B2714">
        <v>5</v>
      </c>
      <c r="C2714">
        <v>980</v>
      </c>
      <c r="D2714">
        <v>10267</v>
      </c>
      <c r="E2714" t="s">
        <v>37</v>
      </c>
      <c r="F2714" t="s">
        <v>520</v>
      </c>
      <c r="G2714">
        <v>2</v>
      </c>
      <c r="H2714">
        <v>36</v>
      </c>
      <c r="I2714" s="25">
        <v>831</v>
      </c>
      <c r="K2714" t="s">
        <v>185</v>
      </c>
      <c r="L2714" t="s">
        <v>141</v>
      </c>
      <c r="M2714" t="s">
        <v>52</v>
      </c>
      <c r="N2714" t="s">
        <v>40</v>
      </c>
      <c r="O2714">
        <v>60</v>
      </c>
      <c r="Q2714">
        <v>1</v>
      </c>
      <c r="R2714">
        <v>1</v>
      </c>
      <c r="S2714">
        <v>0</v>
      </c>
      <c r="T2714">
        <v>0</v>
      </c>
      <c r="U2714">
        <v>1</v>
      </c>
      <c r="V2714">
        <v>0</v>
      </c>
      <c r="W2714">
        <v>0</v>
      </c>
      <c r="X2714" s="21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J2714" t="s">
        <v>51</v>
      </c>
      <c r="AK2714" t="s">
        <v>52</v>
      </c>
      <c r="AP2714" t="s">
        <v>116</v>
      </c>
    </row>
    <row r="2715" spans="1:42">
      <c r="A2715" s="9">
        <v>43840</v>
      </c>
      <c r="B2715">
        <v>5</v>
      </c>
      <c r="C2715">
        <v>980</v>
      </c>
      <c r="D2715">
        <v>10267</v>
      </c>
      <c r="E2715" t="s">
        <v>37</v>
      </c>
      <c r="F2715" t="s">
        <v>520</v>
      </c>
      <c r="G2715">
        <v>2</v>
      </c>
      <c r="H2715">
        <v>37</v>
      </c>
      <c r="I2715" s="25" t="s">
        <v>808</v>
      </c>
      <c r="K2715" t="s">
        <v>185</v>
      </c>
      <c r="L2715" t="s">
        <v>141</v>
      </c>
      <c r="M2715" t="s">
        <v>52</v>
      </c>
      <c r="N2715" t="s">
        <v>42</v>
      </c>
      <c r="O2715">
        <v>117</v>
      </c>
      <c r="Q2715">
        <v>2</v>
      </c>
      <c r="R2715">
        <v>1</v>
      </c>
      <c r="S2715">
        <v>0</v>
      </c>
      <c r="T2715">
        <v>0</v>
      </c>
      <c r="U2715">
        <v>1</v>
      </c>
      <c r="V2715">
        <v>1</v>
      </c>
      <c r="W2715">
        <v>0</v>
      </c>
      <c r="X2715" s="21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J2715" t="s">
        <v>51</v>
      </c>
      <c r="AK2715" t="s">
        <v>52</v>
      </c>
      <c r="AL2715" t="s">
        <v>670</v>
      </c>
      <c r="AP2715" t="s">
        <v>116</v>
      </c>
    </row>
    <row r="2716" spans="1:42">
      <c r="A2716" s="9">
        <v>43840</v>
      </c>
      <c r="B2716">
        <v>5</v>
      </c>
      <c r="C2716">
        <v>980</v>
      </c>
      <c r="D2716">
        <v>10267</v>
      </c>
      <c r="E2716" t="s">
        <v>37</v>
      </c>
      <c r="F2716" t="s">
        <v>520</v>
      </c>
      <c r="G2716">
        <v>2</v>
      </c>
      <c r="H2716">
        <v>38</v>
      </c>
      <c r="I2716" s="25" t="s">
        <v>809</v>
      </c>
      <c r="K2716" t="s">
        <v>605</v>
      </c>
      <c r="L2716" t="s">
        <v>114</v>
      </c>
      <c r="M2716" t="s">
        <v>52</v>
      </c>
      <c r="N2716" t="s">
        <v>44</v>
      </c>
      <c r="O2716">
        <v>280</v>
      </c>
      <c r="Q2716">
        <v>3</v>
      </c>
      <c r="R2716">
        <v>1</v>
      </c>
      <c r="S2716">
        <v>0</v>
      </c>
      <c r="T2716">
        <v>0</v>
      </c>
      <c r="U2716">
        <v>0</v>
      </c>
      <c r="V2716">
        <v>0</v>
      </c>
      <c r="W2716">
        <v>3</v>
      </c>
      <c r="X2716" s="21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J2716" t="s">
        <v>54</v>
      </c>
      <c r="AK2716" t="s">
        <v>52</v>
      </c>
      <c r="AL2716" t="s">
        <v>733</v>
      </c>
      <c r="AP2716" t="s">
        <v>116</v>
      </c>
    </row>
    <row r="2717" spans="1:42">
      <c r="A2717" s="9">
        <v>43840</v>
      </c>
      <c r="B2717">
        <v>5</v>
      </c>
      <c r="C2717">
        <v>980</v>
      </c>
      <c r="D2717">
        <v>10267</v>
      </c>
      <c r="E2717" t="s">
        <v>37</v>
      </c>
      <c r="F2717" t="s">
        <v>520</v>
      </c>
      <c r="G2717">
        <v>2</v>
      </c>
      <c r="H2717">
        <v>39</v>
      </c>
      <c r="I2717" s="25" t="s">
        <v>810</v>
      </c>
      <c r="K2717" t="s">
        <v>811</v>
      </c>
      <c r="M2717" t="s">
        <v>95</v>
      </c>
      <c r="N2717" t="s">
        <v>44</v>
      </c>
      <c r="O2717">
        <v>97</v>
      </c>
      <c r="Q2717">
        <v>2</v>
      </c>
      <c r="R2717">
        <v>1</v>
      </c>
      <c r="S2717">
        <v>0</v>
      </c>
      <c r="T2717">
        <v>0</v>
      </c>
      <c r="U2717">
        <v>0</v>
      </c>
      <c r="V2717">
        <v>0</v>
      </c>
      <c r="W2717">
        <v>2</v>
      </c>
      <c r="X2717" s="21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J2717" t="s">
        <v>54</v>
      </c>
      <c r="AK2717" t="s">
        <v>52</v>
      </c>
      <c r="AL2717" t="s">
        <v>812</v>
      </c>
      <c r="AP2717" t="s">
        <v>116</v>
      </c>
    </row>
    <row r="2718" spans="1:42">
      <c r="A2718" s="9">
        <v>43840</v>
      </c>
      <c r="B2718">
        <v>5</v>
      </c>
      <c r="C2718">
        <v>980</v>
      </c>
      <c r="D2718">
        <v>10267</v>
      </c>
      <c r="E2718" t="s">
        <v>37</v>
      </c>
      <c r="F2718" t="s">
        <v>520</v>
      </c>
      <c r="G2718">
        <v>2</v>
      </c>
      <c r="H2718">
        <v>40</v>
      </c>
      <c r="I2718" s="25" t="s">
        <v>813</v>
      </c>
      <c r="K2718" t="s">
        <v>814</v>
      </c>
      <c r="L2718" t="s">
        <v>114</v>
      </c>
      <c r="M2718" t="s">
        <v>95</v>
      </c>
      <c r="N2718" t="s">
        <v>40</v>
      </c>
      <c r="O2718">
        <v>95</v>
      </c>
      <c r="Q2718">
        <v>3</v>
      </c>
      <c r="R2718">
        <v>1</v>
      </c>
      <c r="S2718">
        <v>0</v>
      </c>
      <c r="T2718">
        <v>0</v>
      </c>
      <c r="U2718">
        <v>0</v>
      </c>
      <c r="V2718">
        <v>0</v>
      </c>
      <c r="W2718">
        <v>3</v>
      </c>
      <c r="X2718" s="21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J2718" t="s">
        <v>54</v>
      </c>
      <c r="AK2718" t="s">
        <v>95</v>
      </c>
      <c r="AP2718" t="s">
        <v>116</v>
      </c>
    </row>
    <row r="2719" spans="1:42">
      <c r="A2719" s="9">
        <v>43840</v>
      </c>
      <c r="B2719">
        <v>5</v>
      </c>
      <c r="C2719">
        <v>980</v>
      </c>
      <c r="D2719">
        <v>10267</v>
      </c>
      <c r="E2719" t="s">
        <v>37</v>
      </c>
      <c r="F2719" t="s">
        <v>520</v>
      </c>
      <c r="G2719">
        <v>2</v>
      </c>
      <c r="H2719">
        <v>41</v>
      </c>
      <c r="I2719" s="25">
        <v>1403</v>
      </c>
      <c r="K2719" t="s">
        <v>102</v>
      </c>
      <c r="L2719" t="s">
        <v>141</v>
      </c>
      <c r="M2719" t="s">
        <v>95</v>
      </c>
      <c r="N2719" t="s">
        <v>44</v>
      </c>
      <c r="O2719">
        <v>86</v>
      </c>
      <c r="Q2719">
        <v>1</v>
      </c>
      <c r="R2719">
        <v>1</v>
      </c>
      <c r="S2719">
        <v>0</v>
      </c>
      <c r="T2719">
        <v>0</v>
      </c>
      <c r="U2719">
        <v>0</v>
      </c>
      <c r="V2719">
        <v>0</v>
      </c>
      <c r="W2719">
        <v>1</v>
      </c>
      <c r="X2719" s="21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J2719" t="s">
        <v>54</v>
      </c>
      <c r="AK2719" t="s">
        <v>52</v>
      </c>
      <c r="AL2719" t="s">
        <v>670</v>
      </c>
      <c r="AP2719" t="s">
        <v>116</v>
      </c>
    </row>
    <row r="2720" spans="1:42">
      <c r="A2720" s="9">
        <v>43840</v>
      </c>
      <c r="B2720">
        <v>5</v>
      </c>
      <c r="C2720">
        <v>980</v>
      </c>
      <c r="D2720">
        <v>10267</v>
      </c>
      <c r="E2720" t="s">
        <v>37</v>
      </c>
      <c r="F2720" t="s">
        <v>520</v>
      </c>
      <c r="G2720">
        <v>2</v>
      </c>
      <c r="H2720">
        <v>42</v>
      </c>
      <c r="I2720" s="25">
        <v>1445</v>
      </c>
      <c r="K2720" t="s">
        <v>102</v>
      </c>
      <c r="L2720" t="s">
        <v>141</v>
      </c>
      <c r="M2720" t="s">
        <v>95</v>
      </c>
      <c r="N2720" t="s">
        <v>44</v>
      </c>
      <c r="O2720">
        <v>91</v>
      </c>
      <c r="Q2720">
        <v>1</v>
      </c>
      <c r="R2720">
        <v>1</v>
      </c>
      <c r="S2720">
        <v>0</v>
      </c>
      <c r="T2720">
        <v>0</v>
      </c>
      <c r="U2720">
        <v>0</v>
      </c>
      <c r="V2720">
        <v>0</v>
      </c>
      <c r="W2720">
        <v>1</v>
      </c>
      <c r="X2720" s="21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J2720" t="s">
        <v>54</v>
      </c>
      <c r="AK2720" t="s">
        <v>52</v>
      </c>
      <c r="AL2720" t="s">
        <v>755</v>
      </c>
      <c r="AP2720" t="s">
        <v>116</v>
      </c>
    </row>
    <row r="2721" spans="1:42">
      <c r="A2721" s="9">
        <v>43840</v>
      </c>
      <c r="B2721">
        <v>5</v>
      </c>
      <c r="C2721">
        <v>980</v>
      </c>
      <c r="D2721">
        <v>10267</v>
      </c>
      <c r="E2721" t="s">
        <v>37</v>
      </c>
      <c r="F2721" t="s">
        <v>520</v>
      </c>
      <c r="G2721">
        <v>2</v>
      </c>
      <c r="H2721">
        <v>43</v>
      </c>
      <c r="I2721" s="25" t="s">
        <v>815</v>
      </c>
      <c r="K2721" t="s">
        <v>816</v>
      </c>
      <c r="L2721" t="s">
        <v>141</v>
      </c>
      <c r="M2721" t="s">
        <v>95</v>
      </c>
      <c r="N2721" t="s">
        <v>42</v>
      </c>
      <c r="O2721">
        <v>152</v>
      </c>
      <c r="Q2721">
        <v>3</v>
      </c>
      <c r="R2721">
        <v>1</v>
      </c>
      <c r="S2721">
        <v>0</v>
      </c>
      <c r="T2721">
        <v>0</v>
      </c>
      <c r="U2721">
        <v>0</v>
      </c>
      <c r="V2721">
        <v>1</v>
      </c>
      <c r="W2721">
        <v>2</v>
      </c>
      <c r="X2721" s="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J2721" t="s">
        <v>54</v>
      </c>
      <c r="AK2721" t="s">
        <v>95</v>
      </c>
      <c r="AL2721" t="s">
        <v>744</v>
      </c>
      <c r="AP2721" t="s">
        <v>116</v>
      </c>
    </row>
    <row r="2722" spans="1:42">
      <c r="A2722" s="9">
        <v>43840</v>
      </c>
      <c r="B2722">
        <v>5</v>
      </c>
      <c r="C2722">
        <v>980</v>
      </c>
      <c r="D2722">
        <v>10267</v>
      </c>
      <c r="E2722" t="s">
        <v>37</v>
      </c>
      <c r="F2722" t="s">
        <v>520</v>
      </c>
      <c r="G2722">
        <v>2</v>
      </c>
      <c r="H2722">
        <v>44</v>
      </c>
      <c r="I2722" s="25">
        <v>851</v>
      </c>
      <c r="K2722" t="s">
        <v>156</v>
      </c>
      <c r="L2722" t="s">
        <v>141</v>
      </c>
      <c r="M2722" t="s">
        <v>52</v>
      </c>
      <c r="N2722" t="s">
        <v>40</v>
      </c>
      <c r="O2722">
        <v>39</v>
      </c>
      <c r="Q2722">
        <v>1</v>
      </c>
      <c r="R2722">
        <v>1</v>
      </c>
      <c r="S2722">
        <v>0</v>
      </c>
      <c r="T2722">
        <v>0</v>
      </c>
      <c r="U2722">
        <v>0</v>
      </c>
      <c r="V2722">
        <v>1</v>
      </c>
      <c r="W2722">
        <v>0</v>
      </c>
      <c r="X2722" s="21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J2722" t="s">
        <v>54</v>
      </c>
      <c r="AK2722" t="s">
        <v>52</v>
      </c>
      <c r="AP2722" t="s">
        <v>116</v>
      </c>
    </row>
    <row r="2723" spans="1:42">
      <c r="A2723" s="9">
        <v>43840</v>
      </c>
      <c r="B2723">
        <v>5</v>
      </c>
      <c r="C2723">
        <v>980</v>
      </c>
      <c r="D2723">
        <v>10267</v>
      </c>
      <c r="E2723" t="s">
        <v>37</v>
      </c>
      <c r="F2723" t="s">
        <v>520</v>
      </c>
      <c r="G2723">
        <v>2</v>
      </c>
      <c r="H2723">
        <v>45</v>
      </c>
      <c r="I2723" s="25">
        <v>1020</v>
      </c>
      <c r="K2723" t="s">
        <v>156</v>
      </c>
      <c r="L2723" t="s">
        <v>114</v>
      </c>
      <c r="M2723" t="s">
        <v>52</v>
      </c>
      <c r="N2723" t="s">
        <v>44</v>
      </c>
      <c r="O2723">
        <v>180</v>
      </c>
      <c r="Q2723">
        <v>2</v>
      </c>
      <c r="R2723">
        <v>1</v>
      </c>
      <c r="S2723">
        <v>0</v>
      </c>
      <c r="T2723">
        <v>0</v>
      </c>
      <c r="U2723">
        <v>0</v>
      </c>
      <c r="V2723">
        <v>0</v>
      </c>
      <c r="W2723">
        <v>2</v>
      </c>
      <c r="X2723" s="21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J2723" t="s">
        <v>54</v>
      </c>
      <c r="AK2723" t="s">
        <v>52</v>
      </c>
      <c r="AL2723" t="s">
        <v>817</v>
      </c>
      <c r="AP2723" t="s">
        <v>116</v>
      </c>
    </row>
    <row r="2724" spans="1:42">
      <c r="A2724" s="9">
        <v>43840</v>
      </c>
      <c r="B2724">
        <v>5</v>
      </c>
      <c r="C2724">
        <v>980</v>
      </c>
      <c r="D2724">
        <v>10267</v>
      </c>
      <c r="E2724" t="s">
        <v>37</v>
      </c>
      <c r="F2724" t="s">
        <v>520</v>
      </c>
      <c r="G2724">
        <v>2</v>
      </c>
      <c r="H2724">
        <v>46</v>
      </c>
      <c r="I2724" s="25">
        <v>1059</v>
      </c>
      <c r="K2724" t="s">
        <v>156</v>
      </c>
      <c r="L2724" t="s">
        <v>141</v>
      </c>
      <c r="M2724" t="s">
        <v>95</v>
      </c>
      <c r="N2724" t="s">
        <v>44</v>
      </c>
      <c r="O2724">
        <v>137</v>
      </c>
      <c r="Q2724">
        <v>2</v>
      </c>
      <c r="R2724">
        <v>1</v>
      </c>
      <c r="S2724">
        <v>0</v>
      </c>
      <c r="T2724">
        <v>0</v>
      </c>
      <c r="U2724">
        <v>0</v>
      </c>
      <c r="V2724">
        <v>0</v>
      </c>
      <c r="W2724">
        <v>2</v>
      </c>
      <c r="X2724" s="21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J2724" t="s">
        <v>54</v>
      </c>
      <c r="AK2724" t="s">
        <v>52</v>
      </c>
      <c r="AL2724" t="s">
        <v>818</v>
      </c>
      <c r="AP2724" t="s">
        <v>116</v>
      </c>
    </row>
    <row r="2725" spans="1:42">
      <c r="A2725" s="9">
        <v>43840</v>
      </c>
      <c r="B2725">
        <v>5</v>
      </c>
      <c r="C2725">
        <v>980</v>
      </c>
      <c r="D2725">
        <v>10267</v>
      </c>
      <c r="E2725" t="s">
        <v>37</v>
      </c>
      <c r="F2725" t="s">
        <v>520</v>
      </c>
      <c r="G2725">
        <v>2</v>
      </c>
      <c r="H2725">
        <v>47</v>
      </c>
      <c r="I2725" s="25">
        <v>1048</v>
      </c>
      <c r="K2725" t="s">
        <v>156</v>
      </c>
      <c r="L2725" t="s">
        <v>114</v>
      </c>
      <c r="M2725" t="s">
        <v>52</v>
      </c>
      <c r="N2725" t="s">
        <v>44</v>
      </c>
      <c r="O2725">
        <v>135</v>
      </c>
      <c r="Q2725">
        <v>2</v>
      </c>
      <c r="R2725">
        <v>1</v>
      </c>
      <c r="S2725">
        <v>0</v>
      </c>
      <c r="T2725">
        <v>0</v>
      </c>
      <c r="U2725">
        <v>0</v>
      </c>
      <c r="V2725">
        <v>0</v>
      </c>
      <c r="W2725">
        <v>2</v>
      </c>
      <c r="X2725" s="21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J2725" t="s">
        <v>54</v>
      </c>
      <c r="AK2725" t="s">
        <v>52</v>
      </c>
      <c r="AL2725" t="s">
        <v>819</v>
      </c>
      <c r="AP2725" t="s">
        <v>116</v>
      </c>
    </row>
    <row r="2726" spans="1:42">
      <c r="A2726" s="9">
        <v>43840</v>
      </c>
      <c r="B2726">
        <v>5</v>
      </c>
      <c r="C2726">
        <v>980</v>
      </c>
      <c r="D2726">
        <v>10267</v>
      </c>
      <c r="E2726" t="s">
        <v>37</v>
      </c>
      <c r="F2726" t="s">
        <v>520</v>
      </c>
      <c r="G2726">
        <v>2</v>
      </c>
      <c r="H2726">
        <v>48</v>
      </c>
      <c r="I2726" s="25">
        <v>1082</v>
      </c>
      <c r="K2726" t="s">
        <v>156</v>
      </c>
      <c r="L2726" t="s">
        <v>114</v>
      </c>
      <c r="M2726" t="s">
        <v>52</v>
      </c>
      <c r="N2726" t="s">
        <v>44</v>
      </c>
      <c r="O2726">
        <v>65</v>
      </c>
      <c r="Q2726">
        <v>1</v>
      </c>
      <c r="R2726">
        <v>1</v>
      </c>
      <c r="S2726">
        <v>0</v>
      </c>
      <c r="T2726">
        <v>0</v>
      </c>
      <c r="U2726">
        <v>0</v>
      </c>
      <c r="V2726">
        <v>0</v>
      </c>
      <c r="W2726">
        <v>1</v>
      </c>
      <c r="X2726" s="21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J2726" t="s">
        <v>54</v>
      </c>
      <c r="AK2726" t="s">
        <v>52</v>
      </c>
      <c r="AL2726" t="s">
        <v>670</v>
      </c>
      <c r="AP2726" t="s">
        <v>116</v>
      </c>
    </row>
    <row r="2727" spans="1:42">
      <c r="A2727" s="9">
        <v>43840</v>
      </c>
      <c r="B2727">
        <v>5</v>
      </c>
      <c r="C2727">
        <v>980</v>
      </c>
      <c r="D2727">
        <v>10267</v>
      </c>
      <c r="E2727" t="s">
        <v>37</v>
      </c>
      <c r="F2727" t="s">
        <v>520</v>
      </c>
      <c r="G2727">
        <v>2</v>
      </c>
      <c r="H2727">
        <v>49</v>
      </c>
      <c r="I2727" s="25">
        <v>1100</v>
      </c>
      <c r="K2727" t="s">
        <v>156</v>
      </c>
      <c r="L2727" t="s">
        <v>114</v>
      </c>
      <c r="M2727" t="s">
        <v>95</v>
      </c>
      <c r="N2727" t="s">
        <v>40</v>
      </c>
      <c r="O2727">
        <v>45</v>
      </c>
      <c r="Q2727">
        <v>2</v>
      </c>
      <c r="R2727">
        <v>1</v>
      </c>
      <c r="S2727">
        <v>0</v>
      </c>
      <c r="T2727">
        <v>0</v>
      </c>
      <c r="U2727">
        <v>0</v>
      </c>
      <c r="V2727">
        <v>0</v>
      </c>
      <c r="W2727">
        <v>2</v>
      </c>
      <c r="X2727" s="21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J2727" t="s">
        <v>54</v>
      </c>
      <c r="AK2727" t="s">
        <v>95</v>
      </c>
      <c r="AL2727" t="s">
        <v>788</v>
      </c>
      <c r="AP2727" t="s">
        <v>116</v>
      </c>
    </row>
    <row r="2728" spans="1:42">
      <c r="A2728" s="9">
        <v>43840</v>
      </c>
      <c r="B2728">
        <v>5</v>
      </c>
      <c r="C2728">
        <v>980</v>
      </c>
      <c r="D2728">
        <v>10267</v>
      </c>
      <c r="E2728" t="s">
        <v>37</v>
      </c>
      <c r="F2728" t="s">
        <v>520</v>
      </c>
      <c r="G2728">
        <v>2</v>
      </c>
      <c r="H2728">
        <v>50</v>
      </c>
      <c r="I2728" s="25" t="s">
        <v>820</v>
      </c>
      <c r="K2728" t="s">
        <v>91</v>
      </c>
      <c r="M2728" t="s">
        <v>95</v>
      </c>
      <c r="N2728" t="s">
        <v>44</v>
      </c>
      <c r="O2728">
        <v>165</v>
      </c>
      <c r="Q2728">
        <v>2</v>
      </c>
      <c r="R2728">
        <v>1</v>
      </c>
      <c r="S2728">
        <v>0</v>
      </c>
      <c r="T2728">
        <v>0</v>
      </c>
      <c r="U2728">
        <v>0</v>
      </c>
      <c r="V2728">
        <v>0</v>
      </c>
      <c r="W2728">
        <v>2</v>
      </c>
      <c r="X2728" s="21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J2728" t="s">
        <v>54</v>
      </c>
      <c r="AK2728" t="s">
        <v>52</v>
      </c>
      <c r="AL2728" t="s">
        <v>821</v>
      </c>
      <c r="AP2728" t="s">
        <v>116</v>
      </c>
    </row>
    <row r="2729" spans="1:42">
      <c r="A2729" s="9">
        <v>43840</v>
      </c>
      <c r="B2729">
        <v>5</v>
      </c>
      <c r="C2729">
        <v>980</v>
      </c>
      <c r="D2729">
        <v>10267</v>
      </c>
      <c r="E2729" t="s">
        <v>37</v>
      </c>
      <c r="F2729" t="s">
        <v>520</v>
      </c>
      <c r="G2729">
        <v>2</v>
      </c>
      <c r="H2729">
        <v>51</v>
      </c>
      <c r="I2729" s="25">
        <v>2060</v>
      </c>
      <c r="K2729" t="s">
        <v>91</v>
      </c>
      <c r="L2729" t="s">
        <v>114</v>
      </c>
      <c r="M2729" t="s">
        <v>52</v>
      </c>
      <c r="N2729" t="s">
        <v>44</v>
      </c>
      <c r="O2729">
        <v>90</v>
      </c>
      <c r="Q2729">
        <v>1</v>
      </c>
      <c r="R2729">
        <v>1</v>
      </c>
      <c r="S2729">
        <v>0</v>
      </c>
      <c r="T2729">
        <v>0</v>
      </c>
      <c r="U2729">
        <v>0</v>
      </c>
      <c r="V2729">
        <v>0</v>
      </c>
      <c r="W2729">
        <v>1</v>
      </c>
      <c r="X2729" s="21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J2729" t="s">
        <v>54</v>
      </c>
      <c r="AK2729" t="s">
        <v>52</v>
      </c>
      <c r="AL2729" t="s">
        <v>781</v>
      </c>
      <c r="AP2729" t="s">
        <v>116</v>
      </c>
    </row>
    <row r="2730" spans="1:42">
      <c r="A2730" s="9">
        <v>43840</v>
      </c>
      <c r="B2730">
        <v>5</v>
      </c>
      <c r="C2730">
        <v>980</v>
      </c>
      <c r="D2730">
        <v>10267</v>
      </c>
      <c r="E2730" t="s">
        <v>37</v>
      </c>
      <c r="F2730" t="s">
        <v>520</v>
      </c>
      <c r="G2730">
        <v>2</v>
      </c>
      <c r="H2730">
        <v>52</v>
      </c>
      <c r="I2730" s="25">
        <v>1000</v>
      </c>
      <c r="K2730" t="s">
        <v>103</v>
      </c>
      <c r="L2730" t="s">
        <v>114</v>
      </c>
      <c r="M2730" t="s">
        <v>95</v>
      </c>
      <c r="N2730" t="s">
        <v>44</v>
      </c>
      <c r="O2730">
        <v>45</v>
      </c>
      <c r="Q2730">
        <v>1</v>
      </c>
      <c r="R2730">
        <v>1</v>
      </c>
      <c r="S2730">
        <v>0</v>
      </c>
      <c r="T2730">
        <v>0</v>
      </c>
      <c r="U2730">
        <v>0</v>
      </c>
      <c r="V2730">
        <v>0</v>
      </c>
      <c r="W2730">
        <v>1</v>
      </c>
      <c r="X2730" s="21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J2730" t="s">
        <v>54</v>
      </c>
      <c r="AK2730" t="s">
        <v>52</v>
      </c>
      <c r="AL2730" t="s">
        <v>781</v>
      </c>
      <c r="AP2730" t="s">
        <v>116</v>
      </c>
    </row>
    <row r="2731" spans="1:42">
      <c r="A2731" s="9">
        <v>43840</v>
      </c>
      <c r="B2731">
        <v>5</v>
      </c>
      <c r="C2731">
        <v>980</v>
      </c>
      <c r="D2731">
        <v>10267</v>
      </c>
      <c r="E2731" t="s">
        <v>37</v>
      </c>
      <c r="F2731" t="s">
        <v>520</v>
      </c>
      <c r="G2731">
        <v>2</v>
      </c>
      <c r="H2731">
        <v>53</v>
      </c>
      <c r="I2731" s="25" t="s">
        <v>822</v>
      </c>
      <c r="K2731" t="s">
        <v>823</v>
      </c>
      <c r="L2731" t="s">
        <v>114</v>
      </c>
      <c r="M2731" t="s">
        <v>52</v>
      </c>
      <c r="N2731" t="s">
        <v>44</v>
      </c>
      <c r="O2731">
        <v>259</v>
      </c>
      <c r="Q2731">
        <v>6</v>
      </c>
      <c r="R2731">
        <v>1</v>
      </c>
      <c r="S2731">
        <v>0</v>
      </c>
      <c r="T2731">
        <v>0</v>
      </c>
      <c r="U2731">
        <v>0</v>
      </c>
      <c r="V2731">
        <v>0</v>
      </c>
      <c r="W2731">
        <v>6</v>
      </c>
      <c r="X2731" s="2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J2731" t="s">
        <v>51</v>
      </c>
      <c r="AK2731" t="s">
        <v>52</v>
      </c>
      <c r="AL2731" t="s">
        <v>807</v>
      </c>
      <c r="AP2731" t="s">
        <v>116</v>
      </c>
    </row>
    <row r="2732" spans="1:42">
      <c r="A2732" s="9">
        <v>43840</v>
      </c>
      <c r="B2732">
        <v>5</v>
      </c>
      <c r="C2732">
        <v>980</v>
      </c>
      <c r="D2732">
        <v>10267</v>
      </c>
      <c r="E2732" t="s">
        <v>37</v>
      </c>
      <c r="F2732" t="s">
        <v>520</v>
      </c>
      <c r="G2732">
        <v>2</v>
      </c>
      <c r="H2732">
        <v>54</v>
      </c>
      <c r="I2732" s="25">
        <v>1900</v>
      </c>
      <c r="K2732" t="s">
        <v>91</v>
      </c>
      <c r="L2732" t="s">
        <v>114</v>
      </c>
      <c r="M2732" t="s">
        <v>52</v>
      </c>
      <c r="N2732" t="s">
        <v>44</v>
      </c>
      <c r="O2732">
        <v>121</v>
      </c>
      <c r="Q2732">
        <v>2</v>
      </c>
      <c r="R2732">
        <v>1</v>
      </c>
      <c r="S2732">
        <v>0</v>
      </c>
      <c r="T2732">
        <v>0</v>
      </c>
      <c r="U2732">
        <v>0</v>
      </c>
      <c r="V2732">
        <v>1</v>
      </c>
      <c r="W2732">
        <v>1</v>
      </c>
      <c r="X2732" s="21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J2732" t="s">
        <v>51</v>
      </c>
      <c r="AK2732" t="s">
        <v>52</v>
      </c>
      <c r="AL2732" t="s">
        <v>665</v>
      </c>
      <c r="AP2732" t="s">
        <v>116</v>
      </c>
    </row>
    <row r="2733" spans="1:42">
      <c r="A2733" s="9">
        <v>43840</v>
      </c>
      <c r="B2733">
        <v>5</v>
      </c>
      <c r="C2733">
        <v>980</v>
      </c>
      <c r="D2733">
        <v>10267</v>
      </c>
      <c r="E2733" t="s">
        <v>37</v>
      </c>
      <c r="F2733" t="s">
        <v>520</v>
      </c>
      <c r="G2733">
        <v>2</v>
      </c>
      <c r="H2733">
        <v>55</v>
      </c>
      <c r="I2733" s="25">
        <v>1050</v>
      </c>
      <c r="K2733" t="s">
        <v>119</v>
      </c>
      <c r="L2733" t="s">
        <v>114</v>
      </c>
      <c r="M2733" t="s">
        <v>52</v>
      </c>
      <c r="N2733" t="s">
        <v>44</v>
      </c>
      <c r="O2733">
        <v>95</v>
      </c>
      <c r="Q2733">
        <v>1</v>
      </c>
      <c r="R2733">
        <v>1</v>
      </c>
      <c r="S2733">
        <v>0</v>
      </c>
      <c r="T2733">
        <v>0</v>
      </c>
      <c r="U2733">
        <v>0</v>
      </c>
      <c r="V2733">
        <v>0</v>
      </c>
      <c r="W2733">
        <v>1</v>
      </c>
      <c r="X2733" s="21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J2733" t="s">
        <v>51</v>
      </c>
      <c r="AK2733" t="s">
        <v>52</v>
      </c>
      <c r="AL2733" t="s">
        <v>733</v>
      </c>
      <c r="AP2733" t="s">
        <v>116</v>
      </c>
    </row>
    <row r="2734" spans="1:42">
      <c r="A2734" s="9">
        <v>43840</v>
      </c>
      <c r="B2734">
        <v>5</v>
      </c>
      <c r="C2734">
        <v>980</v>
      </c>
      <c r="D2734">
        <v>10267</v>
      </c>
      <c r="E2734" t="s">
        <v>37</v>
      </c>
      <c r="F2734" t="s">
        <v>520</v>
      </c>
      <c r="G2734">
        <v>2</v>
      </c>
      <c r="H2734">
        <v>56</v>
      </c>
      <c r="I2734" s="25">
        <v>1101</v>
      </c>
      <c r="K2734" t="s">
        <v>119</v>
      </c>
      <c r="L2734" t="s">
        <v>141</v>
      </c>
      <c r="M2734" t="s">
        <v>52</v>
      </c>
      <c r="N2734" t="s">
        <v>44</v>
      </c>
      <c r="O2734">
        <v>135</v>
      </c>
      <c r="Q2734">
        <v>4</v>
      </c>
      <c r="R2734">
        <v>1</v>
      </c>
      <c r="S2734">
        <v>0</v>
      </c>
      <c r="T2734">
        <v>0</v>
      </c>
      <c r="U2734">
        <v>0</v>
      </c>
      <c r="V2734">
        <v>0</v>
      </c>
      <c r="W2734">
        <v>4</v>
      </c>
      <c r="X2734" s="21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J2734" t="s">
        <v>54</v>
      </c>
      <c r="AK2734" t="s">
        <v>52</v>
      </c>
      <c r="AL2734" t="s">
        <v>788</v>
      </c>
      <c r="AP2734" t="s">
        <v>116</v>
      </c>
    </row>
    <row r="2735" spans="1:42">
      <c r="A2735" s="9">
        <v>43840</v>
      </c>
      <c r="B2735">
        <v>5</v>
      </c>
      <c r="C2735">
        <v>980</v>
      </c>
      <c r="D2735">
        <v>10267</v>
      </c>
      <c r="E2735" t="s">
        <v>37</v>
      </c>
      <c r="F2735" t="s">
        <v>520</v>
      </c>
      <c r="G2735">
        <v>2</v>
      </c>
      <c r="H2735">
        <v>57</v>
      </c>
      <c r="I2735" s="25" t="s">
        <v>824</v>
      </c>
      <c r="K2735" t="s">
        <v>91</v>
      </c>
      <c r="M2735" t="s">
        <v>95</v>
      </c>
      <c r="N2735" t="s">
        <v>44</v>
      </c>
      <c r="O2735">
        <v>237</v>
      </c>
      <c r="Q2735">
        <v>6</v>
      </c>
      <c r="R2735">
        <v>1</v>
      </c>
      <c r="S2735">
        <v>0</v>
      </c>
      <c r="T2735">
        <v>0</v>
      </c>
      <c r="U2735">
        <v>0</v>
      </c>
      <c r="V2735">
        <v>0</v>
      </c>
      <c r="W2735">
        <v>6</v>
      </c>
      <c r="X2735" s="21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J2735" t="s">
        <v>54</v>
      </c>
      <c r="AK2735" t="s">
        <v>52</v>
      </c>
      <c r="AL2735" t="s">
        <v>825</v>
      </c>
      <c r="AP2735" t="s">
        <v>116</v>
      </c>
    </row>
    <row r="2736" spans="1:42">
      <c r="A2736" s="9">
        <v>43840</v>
      </c>
      <c r="B2736">
        <v>5</v>
      </c>
      <c r="C2736">
        <v>980</v>
      </c>
      <c r="D2736">
        <v>10267</v>
      </c>
      <c r="E2736" t="s">
        <v>37</v>
      </c>
      <c r="F2736" t="s">
        <v>520</v>
      </c>
      <c r="G2736">
        <v>2</v>
      </c>
      <c r="H2736">
        <v>58</v>
      </c>
      <c r="I2736" s="25">
        <v>1701</v>
      </c>
      <c r="K2736" t="s">
        <v>103</v>
      </c>
      <c r="L2736" t="s">
        <v>141</v>
      </c>
      <c r="M2736" t="s">
        <v>52</v>
      </c>
      <c r="N2736" t="s">
        <v>40</v>
      </c>
      <c r="O2736">
        <v>30</v>
      </c>
      <c r="Q2736">
        <v>1</v>
      </c>
      <c r="R2736">
        <v>1</v>
      </c>
      <c r="S2736">
        <v>0</v>
      </c>
      <c r="T2736">
        <v>0</v>
      </c>
      <c r="U2736">
        <v>1</v>
      </c>
      <c r="V2736">
        <v>0</v>
      </c>
      <c r="W2736">
        <v>0</v>
      </c>
      <c r="X2736" s="21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J2736" t="s">
        <v>54</v>
      </c>
      <c r="AK2736" t="s">
        <v>52</v>
      </c>
      <c r="AP2736" t="s">
        <v>116</v>
      </c>
    </row>
    <row r="2737" spans="1:42">
      <c r="A2737" s="9">
        <v>43840</v>
      </c>
      <c r="B2737">
        <v>5</v>
      </c>
      <c r="C2737">
        <v>980</v>
      </c>
      <c r="D2737">
        <v>10267</v>
      </c>
      <c r="E2737" t="s">
        <v>37</v>
      </c>
      <c r="F2737" t="s">
        <v>520</v>
      </c>
      <c r="G2737">
        <v>2</v>
      </c>
      <c r="H2737">
        <v>59</v>
      </c>
      <c r="I2737" s="25" t="s">
        <v>826</v>
      </c>
      <c r="K2737" t="s">
        <v>185</v>
      </c>
      <c r="L2737" t="s">
        <v>141</v>
      </c>
      <c r="M2737" t="s">
        <v>95</v>
      </c>
      <c r="N2737" t="s">
        <v>44</v>
      </c>
      <c r="O2737">
        <v>161</v>
      </c>
      <c r="Q2737">
        <v>3</v>
      </c>
      <c r="R2737">
        <v>1</v>
      </c>
      <c r="S2737">
        <v>0</v>
      </c>
      <c r="T2737">
        <v>0</v>
      </c>
      <c r="U2737">
        <v>0</v>
      </c>
      <c r="V2737">
        <v>0</v>
      </c>
      <c r="W2737">
        <v>3</v>
      </c>
      <c r="X2737" s="21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J2737" t="s">
        <v>54</v>
      </c>
      <c r="AK2737" t="s">
        <v>52</v>
      </c>
      <c r="AL2737" t="s">
        <v>670</v>
      </c>
      <c r="AP2737" t="s">
        <v>116</v>
      </c>
    </row>
    <row r="2738" spans="1:42">
      <c r="A2738" s="9">
        <v>43840</v>
      </c>
      <c r="B2738">
        <v>5</v>
      </c>
      <c r="C2738">
        <v>980</v>
      </c>
      <c r="D2738">
        <v>10267</v>
      </c>
      <c r="E2738" t="s">
        <v>37</v>
      </c>
      <c r="F2738" t="s">
        <v>520</v>
      </c>
      <c r="G2738">
        <v>2</v>
      </c>
      <c r="H2738">
        <v>60</v>
      </c>
      <c r="I2738" s="25">
        <v>1157</v>
      </c>
      <c r="K2738" t="s">
        <v>185</v>
      </c>
      <c r="L2738" t="s">
        <v>141</v>
      </c>
      <c r="M2738" t="s">
        <v>95</v>
      </c>
      <c r="N2738" t="s">
        <v>44</v>
      </c>
      <c r="O2738">
        <v>97</v>
      </c>
      <c r="Q2738">
        <v>2</v>
      </c>
      <c r="R2738">
        <v>1</v>
      </c>
      <c r="S2738">
        <v>0</v>
      </c>
      <c r="T2738">
        <v>0</v>
      </c>
      <c r="U2738">
        <v>2</v>
      </c>
      <c r="V2738">
        <v>0</v>
      </c>
      <c r="W2738">
        <v>0</v>
      </c>
      <c r="X2738" s="21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J2738" t="s">
        <v>54</v>
      </c>
      <c r="AK2738" t="s">
        <v>52</v>
      </c>
      <c r="AL2738" t="s">
        <v>695</v>
      </c>
      <c r="AP2738" t="s">
        <v>116</v>
      </c>
    </row>
    <row r="2739" spans="1:42">
      <c r="A2739" s="9">
        <v>43840</v>
      </c>
      <c r="B2739">
        <v>5</v>
      </c>
      <c r="C2739">
        <v>980</v>
      </c>
      <c r="D2739">
        <v>10267</v>
      </c>
      <c r="E2739" t="s">
        <v>37</v>
      </c>
      <c r="F2739" t="s">
        <v>520</v>
      </c>
      <c r="G2739">
        <v>2</v>
      </c>
      <c r="H2739">
        <v>61</v>
      </c>
      <c r="I2739" s="25">
        <v>1656</v>
      </c>
      <c r="K2739" t="s">
        <v>91</v>
      </c>
      <c r="L2739" t="s">
        <v>114</v>
      </c>
      <c r="M2739" t="s">
        <v>52</v>
      </c>
      <c r="N2739" t="s">
        <v>44</v>
      </c>
      <c r="O2739">
        <v>109</v>
      </c>
      <c r="Q2739">
        <v>3</v>
      </c>
      <c r="R2739">
        <v>1</v>
      </c>
      <c r="S2739">
        <v>0</v>
      </c>
      <c r="T2739">
        <v>0</v>
      </c>
      <c r="U2739">
        <v>0</v>
      </c>
      <c r="V2739">
        <v>0</v>
      </c>
      <c r="W2739">
        <v>3</v>
      </c>
      <c r="X2739" s="21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J2739" t="s">
        <v>54</v>
      </c>
      <c r="AK2739" t="s">
        <v>52</v>
      </c>
      <c r="AL2739" t="s">
        <v>654</v>
      </c>
      <c r="AP2739" t="s">
        <v>116</v>
      </c>
    </row>
    <row r="2740" spans="1:42">
      <c r="A2740" s="9">
        <v>43840</v>
      </c>
      <c r="B2740">
        <v>5</v>
      </c>
      <c r="C2740">
        <v>980</v>
      </c>
      <c r="D2740">
        <v>10267</v>
      </c>
      <c r="E2740" t="s">
        <v>37</v>
      </c>
      <c r="F2740" t="s">
        <v>520</v>
      </c>
      <c r="G2740">
        <v>2</v>
      </c>
      <c r="H2740">
        <v>62</v>
      </c>
      <c r="I2740" s="25">
        <v>1260</v>
      </c>
      <c r="K2740" t="s">
        <v>185</v>
      </c>
      <c r="L2740" t="s">
        <v>114</v>
      </c>
      <c r="M2740" t="s">
        <v>52</v>
      </c>
      <c r="N2740" t="s">
        <v>44</v>
      </c>
      <c r="O2740">
        <v>88</v>
      </c>
      <c r="Q2740">
        <v>2</v>
      </c>
      <c r="R2740">
        <v>1</v>
      </c>
      <c r="S2740">
        <v>0</v>
      </c>
      <c r="T2740">
        <v>0</v>
      </c>
      <c r="U2740">
        <v>0</v>
      </c>
      <c r="V2740">
        <v>0</v>
      </c>
      <c r="W2740">
        <v>2</v>
      </c>
      <c r="X2740" s="21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J2740" t="s">
        <v>51</v>
      </c>
      <c r="AK2740" t="s">
        <v>52</v>
      </c>
      <c r="AL2740" t="s">
        <v>827</v>
      </c>
      <c r="AP2740" t="s">
        <v>116</v>
      </c>
    </row>
    <row r="2741" spans="1:42">
      <c r="A2741" s="9">
        <v>43840</v>
      </c>
      <c r="B2741">
        <v>5</v>
      </c>
      <c r="C2741">
        <v>980</v>
      </c>
      <c r="D2741">
        <v>10267</v>
      </c>
      <c r="E2741" t="s">
        <v>37</v>
      </c>
      <c r="F2741" t="s">
        <v>520</v>
      </c>
      <c r="G2741">
        <v>2</v>
      </c>
      <c r="H2741">
        <v>63</v>
      </c>
      <c r="I2741" s="25">
        <v>1642</v>
      </c>
      <c r="K2741" t="s">
        <v>828</v>
      </c>
      <c r="L2741" t="s">
        <v>114</v>
      </c>
      <c r="M2741" t="s">
        <v>52</v>
      </c>
      <c r="N2741" t="s">
        <v>44</v>
      </c>
      <c r="O2741">
        <v>220</v>
      </c>
      <c r="Q2741">
        <v>2</v>
      </c>
      <c r="R2741">
        <v>1</v>
      </c>
      <c r="S2741">
        <v>0</v>
      </c>
      <c r="T2741">
        <v>0</v>
      </c>
      <c r="U2741">
        <v>0</v>
      </c>
      <c r="V2741">
        <v>0</v>
      </c>
      <c r="W2741">
        <v>2</v>
      </c>
      <c r="X2741" s="2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2</v>
      </c>
      <c r="AG2741">
        <v>0</v>
      </c>
      <c r="AJ2741" t="s">
        <v>51</v>
      </c>
      <c r="AK2741" t="s">
        <v>52</v>
      </c>
      <c r="AL2741" t="s">
        <v>829</v>
      </c>
      <c r="AP2741" t="s">
        <v>116</v>
      </c>
    </row>
    <row r="2742" spans="1:42">
      <c r="A2742" s="9">
        <v>43840</v>
      </c>
      <c r="B2742">
        <v>5</v>
      </c>
      <c r="C2742">
        <v>980</v>
      </c>
      <c r="D2742">
        <v>10267</v>
      </c>
      <c r="E2742" t="s">
        <v>37</v>
      </c>
      <c r="F2742" t="s">
        <v>520</v>
      </c>
      <c r="G2742">
        <v>2</v>
      </c>
      <c r="H2742">
        <v>64</v>
      </c>
      <c r="I2742" s="25" t="s">
        <v>830</v>
      </c>
      <c r="K2742" t="s">
        <v>103</v>
      </c>
      <c r="L2742" t="s">
        <v>114</v>
      </c>
      <c r="M2742" t="s">
        <v>52</v>
      </c>
      <c r="N2742" t="s">
        <v>44</v>
      </c>
      <c r="O2742">
        <v>283</v>
      </c>
      <c r="Q2742">
        <v>5</v>
      </c>
      <c r="R2742">
        <v>1</v>
      </c>
      <c r="S2742">
        <v>0</v>
      </c>
      <c r="T2742">
        <v>0</v>
      </c>
      <c r="U2742">
        <v>0</v>
      </c>
      <c r="V2742">
        <v>0</v>
      </c>
      <c r="W2742">
        <v>5</v>
      </c>
      <c r="X2742" s="21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J2742" t="s">
        <v>54</v>
      </c>
      <c r="AK2742" t="s">
        <v>52</v>
      </c>
      <c r="AL2742" t="s">
        <v>825</v>
      </c>
      <c r="AP2742" t="s">
        <v>116</v>
      </c>
    </row>
    <row r="2743" spans="1:42">
      <c r="A2743" s="9">
        <v>43840</v>
      </c>
      <c r="B2743">
        <v>5</v>
      </c>
      <c r="C2743">
        <v>980</v>
      </c>
      <c r="D2743">
        <v>10267</v>
      </c>
      <c r="E2743" t="s">
        <v>37</v>
      </c>
      <c r="F2743" t="s">
        <v>520</v>
      </c>
      <c r="G2743">
        <v>2</v>
      </c>
      <c r="H2743">
        <v>65</v>
      </c>
      <c r="I2743" s="25">
        <v>1424</v>
      </c>
      <c r="K2743" t="s">
        <v>103</v>
      </c>
      <c r="L2743" t="s">
        <v>114</v>
      </c>
      <c r="M2743" t="s">
        <v>52</v>
      </c>
      <c r="N2743" t="s">
        <v>44</v>
      </c>
      <c r="O2743">
        <v>121</v>
      </c>
      <c r="Q2743">
        <v>1</v>
      </c>
      <c r="R2743">
        <v>1</v>
      </c>
      <c r="S2743">
        <v>0</v>
      </c>
      <c r="T2743">
        <v>0</v>
      </c>
      <c r="U2743">
        <v>0</v>
      </c>
      <c r="V2743">
        <v>0</v>
      </c>
      <c r="W2743">
        <v>1</v>
      </c>
      <c r="X2743" s="21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J2743" t="s">
        <v>54</v>
      </c>
      <c r="AK2743" t="s">
        <v>52</v>
      </c>
      <c r="AL2743" t="s">
        <v>694</v>
      </c>
      <c r="AP2743" t="s">
        <v>116</v>
      </c>
    </row>
    <row r="2744" spans="1:42">
      <c r="A2744" s="9">
        <v>43840</v>
      </c>
      <c r="B2744">
        <v>5</v>
      </c>
      <c r="C2744">
        <v>980</v>
      </c>
      <c r="D2744">
        <v>10267</v>
      </c>
      <c r="E2744" t="s">
        <v>37</v>
      </c>
      <c r="F2744" t="s">
        <v>520</v>
      </c>
      <c r="G2744">
        <v>2</v>
      </c>
      <c r="H2744">
        <v>66</v>
      </c>
      <c r="I2744" s="25" t="s">
        <v>831</v>
      </c>
      <c r="K2744" t="s">
        <v>103</v>
      </c>
      <c r="M2744" t="s">
        <v>95</v>
      </c>
      <c r="N2744" t="s">
        <v>44</v>
      </c>
      <c r="O2744">
        <v>188</v>
      </c>
      <c r="Q2744">
        <v>5</v>
      </c>
      <c r="R2744">
        <v>1</v>
      </c>
      <c r="S2744">
        <v>0</v>
      </c>
      <c r="T2744">
        <v>0</v>
      </c>
      <c r="U2744">
        <v>0</v>
      </c>
      <c r="V2744">
        <v>0</v>
      </c>
      <c r="W2744">
        <v>5</v>
      </c>
      <c r="X2744" s="21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J2744" t="s">
        <v>54</v>
      </c>
      <c r="AK2744" t="s">
        <v>52</v>
      </c>
      <c r="AL2744" t="s">
        <v>832</v>
      </c>
      <c r="AP2744" t="s">
        <v>116</v>
      </c>
    </row>
    <row r="2745" spans="1:42">
      <c r="A2745" s="9">
        <v>43840</v>
      </c>
      <c r="B2745">
        <v>5</v>
      </c>
      <c r="C2745">
        <v>980</v>
      </c>
      <c r="D2745">
        <v>10267</v>
      </c>
      <c r="E2745" t="s">
        <v>37</v>
      </c>
      <c r="F2745" t="s">
        <v>520</v>
      </c>
      <c r="G2745">
        <v>2</v>
      </c>
      <c r="H2745">
        <v>67</v>
      </c>
      <c r="I2745" s="25" t="s">
        <v>833</v>
      </c>
      <c r="K2745" t="s">
        <v>103</v>
      </c>
      <c r="M2745" t="s">
        <v>95</v>
      </c>
      <c r="N2745" t="s">
        <v>42</v>
      </c>
      <c r="O2745">
        <v>301</v>
      </c>
      <c r="Q2745">
        <v>7</v>
      </c>
      <c r="R2745">
        <v>1</v>
      </c>
      <c r="S2745">
        <v>0</v>
      </c>
      <c r="T2745">
        <v>0</v>
      </c>
      <c r="U2745">
        <v>0</v>
      </c>
      <c r="V2745">
        <v>0</v>
      </c>
      <c r="W2745">
        <v>7</v>
      </c>
      <c r="X2745" s="21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J2745" t="s">
        <v>54</v>
      </c>
      <c r="AK2745" t="s">
        <v>52</v>
      </c>
      <c r="AL2745" t="s">
        <v>694</v>
      </c>
      <c r="AP2745" t="s">
        <v>116</v>
      </c>
    </row>
    <row r="2746" spans="1:42">
      <c r="A2746" s="9">
        <v>43840</v>
      </c>
      <c r="B2746">
        <v>5</v>
      </c>
      <c r="C2746">
        <v>980</v>
      </c>
      <c r="D2746">
        <v>10267</v>
      </c>
      <c r="E2746" t="s">
        <v>37</v>
      </c>
      <c r="F2746" t="s">
        <v>520</v>
      </c>
      <c r="G2746">
        <v>2</v>
      </c>
      <c r="H2746">
        <v>68</v>
      </c>
      <c r="I2746" s="25">
        <v>1224</v>
      </c>
      <c r="K2746" t="s">
        <v>516</v>
      </c>
      <c r="L2746" t="s">
        <v>114</v>
      </c>
      <c r="M2746" t="s">
        <v>52</v>
      </c>
      <c r="N2746" t="s">
        <v>44</v>
      </c>
      <c r="O2746">
        <v>114</v>
      </c>
      <c r="Q2746">
        <v>1</v>
      </c>
      <c r="R2746">
        <v>1</v>
      </c>
      <c r="S2746">
        <v>0</v>
      </c>
      <c r="T2746">
        <v>0</v>
      </c>
      <c r="U2746">
        <v>0</v>
      </c>
      <c r="V2746">
        <v>1</v>
      </c>
      <c r="W2746">
        <v>0</v>
      </c>
      <c r="X2746" s="21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J2746" t="s">
        <v>54</v>
      </c>
      <c r="AK2746" t="s">
        <v>52</v>
      </c>
      <c r="AL2746" t="s">
        <v>780</v>
      </c>
      <c r="AP2746" t="s">
        <v>116</v>
      </c>
    </row>
    <row r="2747" spans="1:42">
      <c r="A2747" s="9">
        <v>43840</v>
      </c>
      <c r="B2747">
        <v>5</v>
      </c>
      <c r="C2747">
        <v>980</v>
      </c>
      <c r="D2747">
        <v>10267</v>
      </c>
      <c r="E2747" t="s">
        <v>37</v>
      </c>
      <c r="F2747" t="s">
        <v>520</v>
      </c>
      <c r="G2747">
        <v>2</v>
      </c>
      <c r="H2747">
        <v>69</v>
      </c>
      <c r="I2747" s="25">
        <v>1200</v>
      </c>
      <c r="K2747" t="s">
        <v>516</v>
      </c>
      <c r="L2747" t="s">
        <v>114</v>
      </c>
      <c r="M2747" t="s">
        <v>52</v>
      </c>
      <c r="N2747" t="s">
        <v>44</v>
      </c>
      <c r="O2747">
        <v>100</v>
      </c>
      <c r="Q2747">
        <v>1</v>
      </c>
      <c r="R2747">
        <v>1</v>
      </c>
      <c r="S2747">
        <v>0</v>
      </c>
      <c r="T2747">
        <v>0</v>
      </c>
      <c r="U2747">
        <v>0</v>
      </c>
      <c r="V2747">
        <v>0</v>
      </c>
      <c r="W2747">
        <v>1</v>
      </c>
      <c r="X2747" s="21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J2747" t="s">
        <v>54</v>
      </c>
      <c r="AK2747" t="s">
        <v>52</v>
      </c>
      <c r="AL2747" t="s">
        <v>665</v>
      </c>
      <c r="AP2747" t="s">
        <v>116</v>
      </c>
    </row>
    <row r="2748" spans="1:42">
      <c r="A2748" s="9">
        <v>43840</v>
      </c>
      <c r="B2748">
        <v>5</v>
      </c>
      <c r="C2748">
        <v>980</v>
      </c>
      <c r="D2748">
        <v>10267</v>
      </c>
      <c r="E2748" t="s">
        <v>37</v>
      </c>
      <c r="F2748" t="s">
        <v>520</v>
      </c>
      <c r="G2748">
        <v>2</v>
      </c>
      <c r="H2748">
        <v>70</v>
      </c>
      <c r="I2748" s="25">
        <v>1100</v>
      </c>
      <c r="K2748" t="s">
        <v>647</v>
      </c>
      <c r="L2748" t="s">
        <v>114</v>
      </c>
      <c r="M2748" t="s">
        <v>95</v>
      </c>
      <c r="N2748" t="s">
        <v>44</v>
      </c>
      <c r="O2748">
        <v>103</v>
      </c>
      <c r="Q2748">
        <v>1</v>
      </c>
      <c r="R2748">
        <v>1</v>
      </c>
      <c r="S2748">
        <v>0</v>
      </c>
      <c r="T2748">
        <v>0</v>
      </c>
      <c r="U2748">
        <v>0</v>
      </c>
      <c r="V2748">
        <v>0</v>
      </c>
      <c r="W2748">
        <v>1</v>
      </c>
      <c r="X2748" s="21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1</v>
      </c>
      <c r="AG2748">
        <v>0</v>
      </c>
      <c r="AJ2748" t="s">
        <v>51</v>
      </c>
      <c r="AK2748" t="s">
        <v>52</v>
      </c>
      <c r="AL2748" t="s">
        <v>834</v>
      </c>
      <c r="AP2748" t="s">
        <v>116</v>
      </c>
    </row>
    <row r="2749" spans="1:42">
      <c r="A2749" s="9">
        <v>43840</v>
      </c>
      <c r="B2749">
        <v>5</v>
      </c>
      <c r="C2749">
        <v>980</v>
      </c>
      <c r="D2749">
        <v>10267</v>
      </c>
      <c r="E2749" t="s">
        <v>37</v>
      </c>
      <c r="F2749" t="s">
        <v>520</v>
      </c>
      <c r="G2749">
        <v>2</v>
      </c>
      <c r="H2749">
        <v>71</v>
      </c>
      <c r="I2749" s="25" t="s">
        <v>835</v>
      </c>
      <c r="K2749" t="s">
        <v>101</v>
      </c>
      <c r="M2749" t="s">
        <v>95</v>
      </c>
      <c r="N2749" t="s">
        <v>44</v>
      </c>
      <c r="O2749">
        <v>354</v>
      </c>
      <c r="Q2749">
        <v>8</v>
      </c>
      <c r="R2749">
        <v>1</v>
      </c>
      <c r="S2749">
        <v>0</v>
      </c>
      <c r="T2749">
        <v>0</v>
      </c>
      <c r="U2749">
        <v>0</v>
      </c>
      <c r="V2749">
        <v>1</v>
      </c>
      <c r="W2749">
        <v>7</v>
      </c>
      <c r="X2749" s="21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J2749" t="s">
        <v>51</v>
      </c>
      <c r="AK2749" t="s">
        <v>52</v>
      </c>
      <c r="AL2749" t="s">
        <v>781</v>
      </c>
      <c r="AP2749" t="s">
        <v>116</v>
      </c>
    </row>
    <row r="2750" spans="1:42">
      <c r="A2750" s="9">
        <v>43840</v>
      </c>
      <c r="B2750">
        <v>5</v>
      </c>
      <c r="C2750">
        <v>980</v>
      </c>
      <c r="D2750">
        <v>10267</v>
      </c>
      <c r="E2750" t="s">
        <v>37</v>
      </c>
      <c r="F2750" t="s">
        <v>520</v>
      </c>
      <c r="G2750">
        <v>2</v>
      </c>
      <c r="H2750">
        <v>72</v>
      </c>
      <c r="I2750" s="25" t="s">
        <v>836</v>
      </c>
      <c r="K2750" t="s">
        <v>101</v>
      </c>
      <c r="M2750" t="s">
        <v>95</v>
      </c>
      <c r="N2750" t="s">
        <v>44</v>
      </c>
      <c r="O2750">
        <v>352</v>
      </c>
      <c r="Q2750">
        <v>6</v>
      </c>
      <c r="R2750">
        <v>1</v>
      </c>
      <c r="S2750">
        <v>0</v>
      </c>
      <c r="T2750">
        <v>0</v>
      </c>
      <c r="U2750">
        <v>0</v>
      </c>
      <c r="V2750">
        <v>1</v>
      </c>
      <c r="W2750">
        <v>5</v>
      </c>
      <c r="X2750" s="21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J2750" t="s">
        <v>51</v>
      </c>
      <c r="AK2750" t="s">
        <v>52</v>
      </c>
      <c r="AL2750" t="s">
        <v>837</v>
      </c>
      <c r="AP2750" t="s">
        <v>116</v>
      </c>
    </row>
    <row r="2751" spans="1:42">
      <c r="A2751" s="9">
        <v>43840</v>
      </c>
      <c r="B2751">
        <v>5</v>
      </c>
      <c r="C2751">
        <v>980</v>
      </c>
      <c r="D2751">
        <v>10267</v>
      </c>
      <c r="E2751" t="s">
        <v>37</v>
      </c>
      <c r="F2751" t="s">
        <v>520</v>
      </c>
      <c r="G2751">
        <v>2</v>
      </c>
      <c r="H2751">
        <v>73</v>
      </c>
      <c r="I2751" s="25">
        <v>1036</v>
      </c>
      <c r="K2751" t="s">
        <v>585</v>
      </c>
      <c r="L2751" t="s">
        <v>114</v>
      </c>
      <c r="M2751" t="s">
        <v>52</v>
      </c>
      <c r="N2751" t="s">
        <v>40</v>
      </c>
      <c r="O2751">
        <v>92</v>
      </c>
      <c r="Q2751">
        <v>2</v>
      </c>
      <c r="R2751">
        <v>1</v>
      </c>
      <c r="S2751">
        <v>0</v>
      </c>
      <c r="T2751">
        <v>0</v>
      </c>
      <c r="U2751">
        <v>0</v>
      </c>
      <c r="V2751">
        <v>0</v>
      </c>
      <c r="W2751">
        <v>2</v>
      </c>
      <c r="X2751" s="2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J2751" t="s">
        <v>54</v>
      </c>
      <c r="AK2751" t="s">
        <v>52</v>
      </c>
      <c r="AL2751" t="s">
        <v>838</v>
      </c>
      <c r="AP2751" t="s">
        <v>116</v>
      </c>
    </row>
    <row r="2752" spans="1:42">
      <c r="A2752" s="9">
        <v>43840</v>
      </c>
      <c r="B2752">
        <v>5</v>
      </c>
      <c r="C2752">
        <v>980</v>
      </c>
      <c r="D2752">
        <v>10267</v>
      </c>
      <c r="E2752" t="s">
        <v>37</v>
      </c>
      <c r="F2752" t="s">
        <v>520</v>
      </c>
      <c r="G2752">
        <v>2</v>
      </c>
      <c r="H2752">
        <v>74</v>
      </c>
      <c r="I2752" s="25" t="s">
        <v>839</v>
      </c>
      <c r="K2752" t="s">
        <v>101</v>
      </c>
      <c r="M2752" t="s">
        <v>95</v>
      </c>
      <c r="N2752" t="s">
        <v>44</v>
      </c>
      <c r="O2752">
        <v>91</v>
      </c>
      <c r="Q2752">
        <v>2</v>
      </c>
      <c r="R2752">
        <v>1</v>
      </c>
      <c r="S2752">
        <v>0</v>
      </c>
      <c r="T2752">
        <v>0</v>
      </c>
      <c r="U2752">
        <v>0</v>
      </c>
      <c r="V2752">
        <v>0</v>
      </c>
      <c r="W2752">
        <v>2</v>
      </c>
      <c r="X2752" s="21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J2752" t="s">
        <v>51</v>
      </c>
      <c r="AK2752" t="s">
        <v>52</v>
      </c>
      <c r="AL2752" t="s">
        <v>684</v>
      </c>
      <c r="AP2752" t="s">
        <v>116</v>
      </c>
    </row>
    <row r="2753" spans="1:42">
      <c r="A2753" s="9">
        <v>43840</v>
      </c>
      <c r="B2753">
        <v>5</v>
      </c>
      <c r="C2753">
        <v>980</v>
      </c>
      <c r="D2753">
        <v>10267</v>
      </c>
      <c r="E2753" t="s">
        <v>37</v>
      </c>
      <c r="F2753" t="s">
        <v>520</v>
      </c>
      <c r="G2753">
        <v>2</v>
      </c>
      <c r="H2753">
        <v>75</v>
      </c>
      <c r="I2753" s="25">
        <v>1534</v>
      </c>
      <c r="K2753" t="s">
        <v>101</v>
      </c>
      <c r="L2753" t="s">
        <v>114</v>
      </c>
      <c r="M2753" t="s">
        <v>52</v>
      </c>
      <c r="N2753" t="s">
        <v>44</v>
      </c>
      <c r="O2753">
        <v>190</v>
      </c>
      <c r="Q2753">
        <v>3</v>
      </c>
      <c r="R2753">
        <v>1</v>
      </c>
      <c r="S2753">
        <v>0</v>
      </c>
      <c r="T2753">
        <v>0</v>
      </c>
      <c r="U2753">
        <v>0</v>
      </c>
      <c r="V2753">
        <v>1</v>
      </c>
      <c r="W2753">
        <v>2</v>
      </c>
      <c r="X2753" s="21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J2753" t="s">
        <v>51</v>
      </c>
      <c r="AK2753" t="s">
        <v>52</v>
      </c>
      <c r="AL2753" t="s">
        <v>715</v>
      </c>
      <c r="AP2753" t="s">
        <v>116</v>
      </c>
    </row>
    <row r="2754" spans="1:42">
      <c r="A2754" s="9">
        <v>43840</v>
      </c>
      <c r="B2754">
        <v>5</v>
      </c>
      <c r="C2754">
        <v>980</v>
      </c>
      <c r="D2754">
        <v>10267</v>
      </c>
      <c r="E2754" t="s">
        <v>37</v>
      </c>
      <c r="F2754" t="s">
        <v>520</v>
      </c>
      <c r="G2754">
        <v>2</v>
      </c>
      <c r="H2754">
        <v>76</v>
      </c>
      <c r="I2754" s="25">
        <v>1556</v>
      </c>
      <c r="K2754" t="s">
        <v>101</v>
      </c>
      <c r="L2754" t="s">
        <v>114</v>
      </c>
      <c r="M2754" t="s">
        <v>52</v>
      </c>
      <c r="N2754" t="s">
        <v>44</v>
      </c>
      <c r="O2754">
        <v>58</v>
      </c>
      <c r="Q2754">
        <v>1</v>
      </c>
      <c r="R2754">
        <v>1</v>
      </c>
      <c r="S2754">
        <v>0</v>
      </c>
      <c r="T2754">
        <v>0</v>
      </c>
      <c r="U2754">
        <v>0</v>
      </c>
      <c r="V2754">
        <v>0</v>
      </c>
      <c r="W2754">
        <v>1</v>
      </c>
      <c r="X2754" s="21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J2754" t="s">
        <v>51</v>
      </c>
      <c r="AK2754" t="s">
        <v>52</v>
      </c>
      <c r="AL2754" t="s">
        <v>654</v>
      </c>
      <c r="AP2754" t="s">
        <v>116</v>
      </c>
    </row>
    <row r="2755" spans="1:42">
      <c r="A2755" s="9">
        <v>43840</v>
      </c>
      <c r="B2755">
        <v>5</v>
      </c>
      <c r="C2755">
        <v>980</v>
      </c>
      <c r="D2755">
        <v>10267</v>
      </c>
      <c r="E2755" t="s">
        <v>37</v>
      </c>
      <c r="F2755" t="s">
        <v>520</v>
      </c>
      <c r="G2755">
        <v>2</v>
      </c>
      <c r="H2755">
        <v>77</v>
      </c>
      <c r="I2755" s="25">
        <v>1616</v>
      </c>
      <c r="K2755" t="s">
        <v>101</v>
      </c>
      <c r="L2755" t="s">
        <v>114</v>
      </c>
      <c r="M2755" t="s">
        <v>52</v>
      </c>
      <c r="N2755" t="s">
        <v>44</v>
      </c>
      <c r="O2755">
        <v>93</v>
      </c>
      <c r="Q2755">
        <v>1</v>
      </c>
      <c r="R2755">
        <v>1</v>
      </c>
      <c r="S2755">
        <v>0</v>
      </c>
      <c r="T2755">
        <v>0</v>
      </c>
      <c r="U2755">
        <v>0</v>
      </c>
      <c r="V2755">
        <v>0</v>
      </c>
      <c r="W2755">
        <v>1</v>
      </c>
      <c r="X2755" s="21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J2755" t="s">
        <v>54</v>
      </c>
      <c r="AK2755" t="s">
        <v>52</v>
      </c>
      <c r="AL2755" t="s">
        <v>733</v>
      </c>
      <c r="AP2755" t="s">
        <v>116</v>
      </c>
    </row>
    <row r="2756" spans="1:42">
      <c r="A2756" s="9">
        <v>43840</v>
      </c>
      <c r="B2756">
        <v>5</v>
      </c>
      <c r="C2756">
        <v>980</v>
      </c>
      <c r="D2756">
        <v>10267</v>
      </c>
      <c r="E2756" t="s">
        <v>37</v>
      </c>
      <c r="F2756" t="s">
        <v>520</v>
      </c>
      <c r="G2756">
        <v>2</v>
      </c>
      <c r="H2756">
        <v>78</v>
      </c>
      <c r="I2756" s="25" t="s">
        <v>840</v>
      </c>
      <c r="K2756" t="s">
        <v>101</v>
      </c>
      <c r="L2756" t="s">
        <v>114</v>
      </c>
      <c r="M2756" t="s">
        <v>52</v>
      </c>
      <c r="N2756" t="s">
        <v>44</v>
      </c>
      <c r="O2756">
        <v>419</v>
      </c>
      <c r="Q2756">
        <v>5</v>
      </c>
      <c r="R2756">
        <v>1</v>
      </c>
      <c r="S2756">
        <v>0</v>
      </c>
      <c r="T2756">
        <v>0</v>
      </c>
      <c r="U2756">
        <v>0</v>
      </c>
      <c r="V2756">
        <v>1</v>
      </c>
      <c r="W2756">
        <v>4</v>
      </c>
      <c r="X2756" s="21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J2756" t="s">
        <v>54</v>
      </c>
      <c r="AK2756" t="s">
        <v>52</v>
      </c>
      <c r="AL2756" t="s">
        <v>841</v>
      </c>
      <c r="AP2756" t="s">
        <v>116</v>
      </c>
    </row>
    <row r="2757" spans="1:42">
      <c r="A2757" s="9">
        <v>43840</v>
      </c>
      <c r="B2757">
        <v>5</v>
      </c>
      <c r="C2757">
        <v>980</v>
      </c>
      <c r="D2757">
        <v>10267</v>
      </c>
      <c r="E2757" t="s">
        <v>37</v>
      </c>
      <c r="F2757" t="s">
        <v>520</v>
      </c>
      <c r="G2757">
        <v>2</v>
      </c>
      <c r="H2757">
        <v>79</v>
      </c>
      <c r="I2757" s="25" t="s">
        <v>842</v>
      </c>
      <c r="K2757" t="s">
        <v>101</v>
      </c>
      <c r="M2757" t="s">
        <v>52</v>
      </c>
      <c r="N2757" t="s">
        <v>42</v>
      </c>
      <c r="O2757">
        <v>195</v>
      </c>
      <c r="Q2757">
        <v>6</v>
      </c>
      <c r="R2757">
        <v>1</v>
      </c>
      <c r="S2757">
        <v>0</v>
      </c>
      <c r="T2757">
        <v>0</v>
      </c>
      <c r="U2757">
        <v>0</v>
      </c>
      <c r="V2757">
        <v>0</v>
      </c>
      <c r="W2757">
        <v>6</v>
      </c>
      <c r="X2757" s="21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J2757" t="s">
        <v>54</v>
      </c>
      <c r="AK2757" t="s">
        <v>95</v>
      </c>
      <c r="AL2757" t="s">
        <v>665</v>
      </c>
      <c r="AP2757" t="s">
        <v>116</v>
      </c>
    </row>
    <row r="2758" spans="1:42">
      <c r="A2758" s="9">
        <v>43840</v>
      </c>
      <c r="B2758">
        <v>5</v>
      </c>
      <c r="C2758">
        <v>980</v>
      </c>
      <c r="D2758">
        <v>10267</v>
      </c>
      <c r="E2758" t="s">
        <v>37</v>
      </c>
      <c r="F2758" t="s">
        <v>520</v>
      </c>
      <c r="G2758">
        <v>2</v>
      </c>
      <c r="H2758">
        <v>80</v>
      </c>
      <c r="I2758" s="25">
        <v>889</v>
      </c>
      <c r="K2758" t="s">
        <v>119</v>
      </c>
      <c r="L2758" t="s">
        <v>141</v>
      </c>
      <c r="M2758" t="s">
        <v>52</v>
      </c>
      <c r="N2758" t="s">
        <v>44</v>
      </c>
      <c r="O2758">
        <v>374</v>
      </c>
      <c r="Q2758">
        <v>4</v>
      </c>
      <c r="R2758">
        <v>1</v>
      </c>
      <c r="S2758">
        <v>0</v>
      </c>
      <c r="T2758">
        <v>0</v>
      </c>
      <c r="U2758">
        <v>0</v>
      </c>
      <c r="V2758">
        <v>0</v>
      </c>
      <c r="W2758">
        <v>4</v>
      </c>
      <c r="X2758" s="21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J2758" t="s">
        <v>54</v>
      </c>
      <c r="AK2758" t="s">
        <v>52</v>
      </c>
      <c r="AL2758" t="s">
        <v>843</v>
      </c>
      <c r="AP2758" t="s">
        <v>116</v>
      </c>
    </row>
    <row r="2759" spans="1:42">
      <c r="A2759" s="9">
        <v>43840</v>
      </c>
      <c r="B2759">
        <v>5</v>
      </c>
      <c r="C2759">
        <v>980</v>
      </c>
      <c r="D2759">
        <v>10267</v>
      </c>
      <c r="E2759" t="s">
        <v>37</v>
      </c>
      <c r="F2759" t="s">
        <v>520</v>
      </c>
      <c r="G2759">
        <v>2</v>
      </c>
      <c r="H2759">
        <v>81</v>
      </c>
      <c r="I2759" s="25">
        <v>900</v>
      </c>
      <c r="K2759" t="s">
        <v>119</v>
      </c>
      <c r="L2759" t="s">
        <v>114</v>
      </c>
      <c r="M2759" t="s">
        <v>52</v>
      </c>
      <c r="N2759" t="s">
        <v>44</v>
      </c>
      <c r="O2759">
        <v>89</v>
      </c>
      <c r="Q2759">
        <v>2</v>
      </c>
      <c r="R2759">
        <v>1</v>
      </c>
      <c r="S2759">
        <v>0</v>
      </c>
      <c r="T2759">
        <v>0</v>
      </c>
      <c r="U2759">
        <v>0</v>
      </c>
      <c r="V2759">
        <v>0</v>
      </c>
      <c r="W2759">
        <v>2</v>
      </c>
      <c r="X2759" s="21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J2759" t="s">
        <v>54</v>
      </c>
      <c r="AK2759" t="s">
        <v>52</v>
      </c>
      <c r="AL2759" t="s">
        <v>694</v>
      </c>
      <c r="AP2759" t="s">
        <v>116</v>
      </c>
    </row>
    <row r="2760" spans="1:42">
      <c r="A2760" s="9">
        <v>43840</v>
      </c>
      <c r="B2760">
        <v>5</v>
      </c>
      <c r="C2760">
        <v>980</v>
      </c>
      <c r="D2760">
        <v>10267</v>
      </c>
      <c r="E2760" t="s">
        <v>37</v>
      </c>
      <c r="F2760" t="s">
        <v>520</v>
      </c>
      <c r="G2760">
        <v>2</v>
      </c>
      <c r="H2760">
        <v>82</v>
      </c>
      <c r="I2760" s="25" t="s">
        <v>844</v>
      </c>
      <c r="K2760" t="s">
        <v>845</v>
      </c>
      <c r="M2760" t="s">
        <v>95</v>
      </c>
      <c r="N2760" t="s">
        <v>44</v>
      </c>
      <c r="O2760">
        <v>429</v>
      </c>
      <c r="Q2760">
        <v>6</v>
      </c>
      <c r="R2760">
        <v>1</v>
      </c>
      <c r="S2760">
        <v>0</v>
      </c>
      <c r="T2760">
        <v>0</v>
      </c>
      <c r="U2760">
        <v>4</v>
      </c>
      <c r="V2760">
        <v>2</v>
      </c>
      <c r="W2760">
        <v>0</v>
      </c>
      <c r="X2760" s="21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J2760" t="s">
        <v>54</v>
      </c>
      <c r="AK2760" t="s">
        <v>52</v>
      </c>
      <c r="AL2760" t="s">
        <v>846</v>
      </c>
      <c r="AP2760" t="s">
        <v>116</v>
      </c>
    </row>
    <row r="2761" spans="1:42">
      <c r="A2761" s="9">
        <v>43845</v>
      </c>
      <c r="B2761">
        <v>3</v>
      </c>
      <c r="C2761">
        <v>990</v>
      </c>
      <c r="D2761">
        <v>14523</v>
      </c>
      <c r="E2761" t="s">
        <v>847</v>
      </c>
      <c r="F2761" t="s">
        <v>520</v>
      </c>
      <c r="G2761">
        <v>2</v>
      </c>
      <c r="H2761">
        <v>1</v>
      </c>
      <c r="I2761" s="25">
        <v>3450</v>
      </c>
      <c r="K2761" t="s">
        <v>192</v>
      </c>
      <c r="L2761" t="s">
        <v>114</v>
      </c>
      <c r="M2761" t="s">
        <v>52</v>
      </c>
      <c r="N2761" t="s">
        <v>44</v>
      </c>
      <c r="O2761">
        <v>117</v>
      </c>
      <c r="Q2761">
        <v>1</v>
      </c>
      <c r="R2761">
        <v>1</v>
      </c>
      <c r="S2761">
        <v>0</v>
      </c>
      <c r="T2761">
        <v>0</v>
      </c>
      <c r="U2761">
        <v>0</v>
      </c>
      <c r="V2761">
        <v>0</v>
      </c>
      <c r="W2761">
        <v>1</v>
      </c>
      <c r="X2761" s="2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J2761" t="s">
        <v>51</v>
      </c>
      <c r="AK2761" t="s">
        <v>52</v>
      </c>
      <c r="AL2761" t="s">
        <v>694</v>
      </c>
      <c r="AP2761" t="s">
        <v>116</v>
      </c>
    </row>
    <row r="2762" spans="1:42">
      <c r="A2762" s="9">
        <v>43845</v>
      </c>
      <c r="B2762">
        <v>3</v>
      </c>
      <c r="C2762">
        <v>990</v>
      </c>
      <c r="D2762">
        <v>14523</v>
      </c>
      <c r="E2762" t="s">
        <v>847</v>
      </c>
      <c r="F2762" t="s">
        <v>520</v>
      </c>
      <c r="G2762">
        <v>2</v>
      </c>
      <c r="H2762">
        <v>2</v>
      </c>
      <c r="I2762" s="25">
        <v>75</v>
      </c>
      <c r="K2762" t="s">
        <v>848</v>
      </c>
      <c r="L2762" t="s">
        <v>141</v>
      </c>
      <c r="M2762" t="s">
        <v>52</v>
      </c>
      <c r="N2762" t="s">
        <v>44</v>
      </c>
      <c r="O2762">
        <v>102</v>
      </c>
      <c r="Q2762">
        <v>1</v>
      </c>
      <c r="R2762">
        <v>1</v>
      </c>
      <c r="S2762">
        <v>0</v>
      </c>
      <c r="T2762">
        <v>0</v>
      </c>
      <c r="U2762">
        <v>0</v>
      </c>
      <c r="V2762">
        <v>0</v>
      </c>
      <c r="W2762">
        <v>1</v>
      </c>
      <c r="X2762" s="21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J2762" t="s">
        <v>51</v>
      </c>
      <c r="AK2762" t="s">
        <v>95</v>
      </c>
      <c r="AL2762" t="s">
        <v>670</v>
      </c>
      <c r="AP2762" t="s">
        <v>116</v>
      </c>
    </row>
    <row r="2763" spans="1:42">
      <c r="A2763" s="9">
        <v>43845</v>
      </c>
      <c r="B2763">
        <v>3</v>
      </c>
      <c r="C2763">
        <v>990</v>
      </c>
      <c r="D2763">
        <v>14523</v>
      </c>
      <c r="E2763" t="s">
        <v>847</v>
      </c>
      <c r="F2763" t="s">
        <v>520</v>
      </c>
      <c r="G2763">
        <v>2</v>
      </c>
      <c r="H2763">
        <v>3</v>
      </c>
      <c r="I2763" s="25">
        <v>50</v>
      </c>
      <c r="K2763" t="s">
        <v>848</v>
      </c>
      <c r="L2763" t="s">
        <v>114</v>
      </c>
      <c r="M2763" t="s">
        <v>52</v>
      </c>
      <c r="N2763" t="s">
        <v>44</v>
      </c>
      <c r="O2763">
        <v>114</v>
      </c>
      <c r="Q2763">
        <v>1</v>
      </c>
      <c r="R2763">
        <v>1</v>
      </c>
      <c r="S2763">
        <v>0</v>
      </c>
      <c r="T2763">
        <v>0</v>
      </c>
      <c r="U2763">
        <v>0</v>
      </c>
      <c r="V2763">
        <v>0</v>
      </c>
      <c r="W2763">
        <v>1</v>
      </c>
      <c r="X2763" s="21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J2763" t="s">
        <v>51</v>
      </c>
      <c r="AK2763" t="s">
        <v>95</v>
      </c>
      <c r="AL2763" t="s">
        <v>849</v>
      </c>
      <c r="AP2763" t="s">
        <v>116</v>
      </c>
    </row>
    <row r="2764" spans="1:42">
      <c r="A2764" s="9">
        <v>43845</v>
      </c>
      <c r="B2764">
        <v>3</v>
      </c>
      <c r="C2764">
        <v>990</v>
      </c>
      <c r="D2764">
        <v>14523</v>
      </c>
      <c r="E2764" t="s">
        <v>847</v>
      </c>
      <c r="F2764" t="s">
        <v>520</v>
      </c>
      <c r="G2764">
        <v>2</v>
      </c>
      <c r="H2764">
        <v>4</v>
      </c>
      <c r="I2764" s="25">
        <v>3514</v>
      </c>
      <c r="K2764" t="s">
        <v>192</v>
      </c>
      <c r="L2764" t="s">
        <v>114</v>
      </c>
      <c r="M2764" t="s">
        <v>52</v>
      </c>
      <c r="N2764" t="s">
        <v>40</v>
      </c>
      <c r="O2764">
        <v>85</v>
      </c>
      <c r="Q2764">
        <v>2</v>
      </c>
      <c r="R2764">
        <v>1</v>
      </c>
      <c r="S2764">
        <v>0</v>
      </c>
      <c r="T2764">
        <v>0</v>
      </c>
      <c r="U2764">
        <v>0</v>
      </c>
      <c r="V2764">
        <v>2</v>
      </c>
      <c r="W2764">
        <v>0</v>
      </c>
      <c r="X2764" s="21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J2764" t="s">
        <v>51</v>
      </c>
      <c r="AK2764" t="s">
        <v>52</v>
      </c>
      <c r="AP2764" t="s">
        <v>116</v>
      </c>
    </row>
    <row r="2765" spans="1:42">
      <c r="A2765" s="9">
        <v>43845</v>
      </c>
      <c r="B2765">
        <v>3</v>
      </c>
      <c r="C2765">
        <v>990</v>
      </c>
      <c r="D2765">
        <v>14523</v>
      </c>
      <c r="E2765" t="s">
        <v>847</v>
      </c>
      <c r="F2765" t="s">
        <v>520</v>
      </c>
      <c r="G2765">
        <v>2</v>
      </c>
      <c r="H2765">
        <v>5</v>
      </c>
      <c r="I2765" s="25">
        <v>3526</v>
      </c>
      <c r="K2765" t="s">
        <v>192</v>
      </c>
      <c r="L2765" t="s">
        <v>114</v>
      </c>
      <c r="M2765" t="s">
        <v>52</v>
      </c>
      <c r="N2765" t="s">
        <v>40</v>
      </c>
      <c r="O2765">
        <v>61</v>
      </c>
      <c r="Q2765">
        <v>2</v>
      </c>
      <c r="R2765">
        <v>1</v>
      </c>
      <c r="S2765">
        <v>0</v>
      </c>
      <c r="T2765">
        <v>0</v>
      </c>
      <c r="U2765">
        <v>1</v>
      </c>
      <c r="V2765">
        <v>1</v>
      </c>
      <c r="W2765">
        <v>0</v>
      </c>
      <c r="X2765" s="21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J2765" t="s">
        <v>51</v>
      </c>
      <c r="AK2765" t="s">
        <v>52</v>
      </c>
      <c r="AP2765" t="s">
        <v>116</v>
      </c>
    </row>
    <row r="2766" spans="1:42">
      <c r="A2766" s="9">
        <v>43845</v>
      </c>
      <c r="B2766">
        <v>3</v>
      </c>
      <c r="C2766">
        <v>990</v>
      </c>
      <c r="D2766">
        <v>14523</v>
      </c>
      <c r="E2766" t="s">
        <v>847</v>
      </c>
      <c r="F2766" t="s">
        <v>520</v>
      </c>
      <c r="G2766">
        <v>2</v>
      </c>
      <c r="H2766">
        <v>6</v>
      </c>
      <c r="I2766" s="25">
        <v>3540</v>
      </c>
      <c r="K2766" t="s">
        <v>192</v>
      </c>
      <c r="L2766" t="s">
        <v>114</v>
      </c>
      <c r="M2766" t="s">
        <v>52</v>
      </c>
      <c r="N2766" t="s">
        <v>40</v>
      </c>
      <c r="O2766">
        <v>46</v>
      </c>
      <c r="Q2766">
        <v>1</v>
      </c>
      <c r="R2766">
        <v>1</v>
      </c>
      <c r="S2766">
        <v>0</v>
      </c>
      <c r="T2766">
        <v>0</v>
      </c>
      <c r="U2766">
        <v>0</v>
      </c>
      <c r="V2766">
        <v>1</v>
      </c>
      <c r="W2766">
        <v>0</v>
      </c>
      <c r="X2766" s="21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J2766" t="s">
        <v>51</v>
      </c>
      <c r="AK2766" t="s">
        <v>52</v>
      </c>
      <c r="AP2766" t="s">
        <v>116</v>
      </c>
    </row>
    <row r="2767" spans="1:42">
      <c r="A2767" s="9">
        <v>43845</v>
      </c>
      <c r="B2767">
        <v>3</v>
      </c>
      <c r="C2767">
        <v>990</v>
      </c>
      <c r="D2767">
        <v>14523</v>
      </c>
      <c r="E2767" t="s">
        <v>847</v>
      </c>
      <c r="F2767" t="s">
        <v>520</v>
      </c>
      <c r="G2767">
        <v>2</v>
      </c>
      <c r="H2767">
        <v>7</v>
      </c>
      <c r="I2767" s="25">
        <v>3548</v>
      </c>
      <c r="K2767" t="s">
        <v>192</v>
      </c>
      <c r="L2767" t="s">
        <v>114</v>
      </c>
      <c r="M2767" t="s">
        <v>52</v>
      </c>
      <c r="N2767" t="s">
        <v>44</v>
      </c>
      <c r="O2767">
        <v>120</v>
      </c>
      <c r="Q2767">
        <v>1</v>
      </c>
      <c r="R2767">
        <v>1</v>
      </c>
      <c r="S2767">
        <v>0</v>
      </c>
      <c r="T2767">
        <v>0</v>
      </c>
      <c r="U2767">
        <v>0</v>
      </c>
      <c r="V2767">
        <v>1</v>
      </c>
      <c r="W2767">
        <v>0</v>
      </c>
      <c r="X2767" s="21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J2767" t="s">
        <v>51</v>
      </c>
      <c r="AK2767" t="s">
        <v>52</v>
      </c>
      <c r="AL2767" t="s">
        <v>654</v>
      </c>
      <c r="AP2767" t="s">
        <v>116</v>
      </c>
    </row>
    <row r="2768" spans="1:42">
      <c r="A2768" s="9">
        <v>43845</v>
      </c>
      <c r="B2768">
        <v>3</v>
      </c>
      <c r="C2768">
        <v>990</v>
      </c>
      <c r="D2768">
        <v>14523</v>
      </c>
      <c r="E2768" t="s">
        <v>847</v>
      </c>
      <c r="F2768" t="s">
        <v>520</v>
      </c>
      <c r="G2768">
        <v>2</v>
      </c>
      <c r="H2768">
        <v>8</v>
      </c>
      <c r="I2768" s="25">
        <v>3560</v>
      </c>
      <c r="K2768" t="s">
        <v>192</v>
      </c>
      <c r="L2768" t="s">
        <v>114</v>
      </c>
      <c r="M2768" t="s">
        <v>52</v>
      </c>
      <c r="N2768" t="s">
        <v>44</v>
      </c>
      <c r="O2768">
        <v>99</v>
      </c>
      <c r="Q2768">
        <v>1</v>
      </c>
      <c r="R2768">
        <v>1</v>
      </c>
      <c r="S2768">
        <v>0</v>
      </c>
      <c r="T2768">
        <v>0</v>
      </c>
      <c r="U2768">
        <v>0</v>
      </c>
      <c r="V2768">
        <v>0</v>
      </c>
      <c r="W2768">
        <v>1</v>
      </c>
      <c r="X2768" s="21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J2768" t="s">
        <v>51</v>
      </c>
      <c r="AK2768" t="s">
        <v>52</v>
      </c>
      <c r="AL2768" t="s">
        <v>694</v>
      </c>
      <c r="AP2768" t="s">
        <v>116</v>
      </c>
    </row>
    <row r="2769" spans="1:42">
      <c r="A2769" s="9">
        <v>43845</v>
      </c>
      <c r="B2769">
        <v>3</v>
      </c>
      <c r="C2769">
        <v>990</v>
      </c>
      <c r="D2769">
        <v>14523</v>
      </c>
      <c r="E2769" t="s">
        <v>847</v>
      </c>
      <c r="F2769" t="s">
        <v>520</v>
      </c>
      <c r="G2769">
        <v>2</v>
      </c>
      <c r="H2769">
        <v>9</v>
      </c>
      <c r="I2769" s="25">
        <v>3570</v>
      </c>
      <c r="K2769" t="s">
        <v>192</v>
      </c>
      <c r="L2769" t="s">
        <v>114</v>
      </c>
      <c r="M2769" t="s">
        <v>52</v>
      </c>
      <c r="N2769" t="s">
        <v>44</v>
      </c>
      <c r="O2769">
        <v>114</v>
      </c>
      <c r="Q2769">
        <v>1</v>
      </c>
      <c r="R2769">
        <v>1</v>
      </c>
      <c r="S2769">
        <v>0</v>
      </c>
      <c r="T2769">
        <v>0</v>
      </c>
      <c r="U2769">
        <v>0</v>
      </c>
      <c r="V2769">
        <v>0</v>
      </c>
      <c r="W2769">
        <v>1</v>
      </c>
      <c r="X2769" s="21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J2769" t="s">
        <v>51</v>
      </c>
      <c r="AK2769" t="s">
        <v>52</v>
      </c>
      <c r="AL2769" t="s">
        <v>694</v>
      </c>
      <c r="AP2769" t="s">
        <v>116</v>
      </c>
    </row>
    <row r="2770" spans="1:42">
      <c r="A2770" s="9">
        <v>43845</v>
      </c>
      <c r="B2770">
        <v>3</v>
      </c>
      <c r="C2770">
        <v>990</v>
      </c>
      <c r="D2770">
        <v>14523</v>
      </c>
      <c r="E2770" t="s">
        <v>847</v>
      </c>
      <c r="F2770" t="s">
        <v>520</v>
      </c>
      <c r="G2770">
        <v>2</v>
      </c>
      <c r="H2770">
        <v>10</v>
      </c>
      <c r="I2770" s="25" t="s">
        <v>850</v>
      </c>
      <c r="K2770" t="s">
        <v>192</v>
      </c>
      <c r="L2770" t="s">
        <v>114</v>
      </c>
      <c r="M2770" t="s">
        <v>52</v>
      </c>
      <c r="N2770" t="s">
        <v>40</v>
      </c>
      <c r="O2770">
        <v>132</v>
      </c>
      <c r="Q2770">
        <v>4</v>
      </c>
      <c r="R2770">
        <v>1</v>
      </c>
      <c r="S2770">
        <v>0</v>
      </c>
      <c r="T2770">
        <v>0</v>
      </c>
      <c r="U2770">
        <v>2</v>
      </c>
      <c r="V2770">
        <v>2</v>
      </c>
      <c r="W2770">
        <v>0</v>
      </c>
      <c r="X2770" s="21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J2770" t="s">
        <v>51</v>
      </c>
      <c r="AK2770" t="s">
        <v>52</v>
      </c>
      <c r="AP2770" t="s">
        <v>116</v>
      </c>
    </row>
    <row r="2771" spans="1:42">
      <c r="A2771" s="9">
        <v>43845</v>
      </c>
      <c r="B2771">
        <v>3</v>
      </c>
      <c r="C2771">
        <v>990</v>
      </c>
      <c r="D2771">
        <v>14523</v>
      </c>
      <c r="E2771" t="s">
        <v>847</v>
      </c>
      <c r="F2771" t="s">
        <v>520</v>
      </c>
      <c r="G2771">
        <v>2</v>
      </c>
      <c r="H2771">
        <v>11</v>
      </c>
      <c r="I2771" s="25">
        <v>3590</v>
      </c>
      <c r="K2771" t="s">
        <v>192</v>
      </c>
      <c r="L2771" t="s">
        <v>114</v>
      </c>
      <c r="M2771" t="s">
        <v>52</v>
      </c>
      <c r="N2771" t="s">
        <v>40</v>
      </c>
      <c r="O2771">
        <v>63</v>
      </c>
      <c r="Q2771">
        <v>1</v>
      </c>
      <c r="R2771">
        <v>1</v>
      </c>
      <c r="S2771">
        <v>0</v>
      </c>
      <c r="T2771">
        <v>0</v>
      </c>
      <c r="U2771">
        <v>0</v>
      </c>
      <c r="V2771">
        <v>1</v>
      </c>
      <c r="W2771">
        <v>0</v>
      </c>
      <c r="X2771" s="2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J2771" t="s">
        <v>51</v>
      </c>
      <c r="AK2771" t="s">
        <v>52</v>
      </c>
      <c r="AP2771" t="s">
        <v>116</v>
      </c>
    </row>
    <row r="2772" spans="1:42">
      <c r="A2772" s="9">
        <v>43845</v>
      </c>
      <c r="B2772">
        <v>3</v>
      </c>
      <c r="C2772">
        <v>990</v>
      </c>
      <c r="D2772">
        <v>14523</v>
      </c>
      <c r="E2772" t="s">
        <v>847</v>
      </c>
      <c r="F2772" t="s">
        <v>520</v>
      </c>
      <c r="G2772">
        <v>2</v>
      </c>
      <c r="H2772">
        <v>12</v>
      </c>
      <c r="I2772" s="25" t="s">
        <v>851</v>
      </c>
      <c r="K2772" t="s">
        <v>192</v>
      </c>
      <c r="L2772" t="s">
        <v>141</v>
      </c>
      <c r="M2772" t="s">
        <v>52</v>
      </c>
      <c r="N2772" t="s">
        <v>40</v>
      </c>
      <c r="O2772">
        <v>102</v>
      </c>
      <c r="Q2772">
        <v>2</v>
      </c>
      <c r="R2772">
        <v>1</v>
      </c>
      <c r="S2772">
        <v>0</v>
      </c>
      <c r="T2772">
        <v>0</v>
      </c>
      <c r="U2772">
        <v>0</v>
      </c>
      <c r="V2772">
        <v>1</v>
      </c>
      <c r="W2772">
        <v>1</v>
      </c>
      <c r="X2772" s="21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J2772" t="s">
        <v>51</v>
      </c>
      <c r="AK2772" t="s">
        <v>52</v>
      </c>
      <c r="AP2772" t="s">
        <v>116</v>
      </c>
    </row>
    <row r="2773" spans="1:42">
      <c r="A2773" s="9">
        <v>43845</v>
      </c>
      <c r="B2773">
        <v>3</v>
      </c>
      <c r="C2773">
        <v>990</v>
      </c>
      <c r="D2773">
        <v>14523</v>
      </c>
      <c r="E2773" t="s">
        <v>847</v>
      </c>
      <c r="F2773" t="s">
        <v>520</v>
      </c>
      <c r="G2773">
        <v>2</v>
      </c>
      <c r="H2773">
        <v>13</v>
      </c>
      <c r="I2773" s="25" t="s">
        <v>852</v>
      </c>
      <c r="K2773" t="s">
        <v>192</v>
      </c>
      <c r="L2773" t="s">
        <v>141</v>
      </c>
      <c r="M2773" t="s">
        <v>52</v>
      </c>
      <c r="N2773" t="s">
        <v>40</v>
      </c>
      <c r="O2773">
        <v>57</v>
      </c>
      <c r="Q2773">
        <v>2</v>
      </c>
      <c r="R2773">
        <v>1</v>
      </c>
      <c r="S2773">
        <v>0</v>
      </c>
      <c r="T2773">
        <v>0</v>
      </c>
      <c r="U2773">
        <v>0</v>
      </c>
      <c r="V2773">
        <v>2</v>
      </c>
      <c r="W2773">
        <v>0</v>
      </c>
      <c r="X2773" s="21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J2773" t="s">
        <v>51</v>
      </c>
      <c r="AK2773" t="s">
        <v>52</v>
      </c>
      <c r="AP2773" t="s">
        <v>116</v>
      </c>
    </row>
    <row r="2774" spans="1:42">
      <c r="A2774" s="9">
        <v>43845</v>
      </c>
      <c r="B2774">
        <v>3</v>
      </c>
      <c r="C2774">
        <v>990</v>
      </c>
      <c r="D2774">
        <v>14523</v>
      </c>
      <c r="E2774" t="s">
        <v>847</v>
      </c>
      <c r="F2774" t="s">
        <v>520</v>
      </c>
      <c r="G2774">
        <v>2</v>
      </c>
      <c r="H2774">
        <v>14</v>
      </c>
      <c r="I2774" s="25">
        <v>3567</v>
      </c>
      <c r="K2774" t="s">
        <v>192</v>
      </c>
      <c r="L2774" t="s">
        <v>141</v>
      </c>
      <c r="M2774" t="s">
        <v>52</v>
      </c>
      <c r="N2774" t="s">
        <v>44</v>
      </c>
      <c r="O2774">
        <v>92</v>
      </c>
      <c r="Q2774">
        <v>1</v>
      </c>
      <c r="R2774">
        <v>1</v>
      </c>
      <c r="S2774">
        <v>0</v>
      </c>
      <c r="T2774">
        <v>0</v>
      </c>
      <c r="U2774">
        <v>0</v>
      </c>
      <c r="V2774">
        <v>1</v>
      </c>
      <c r="W2774">
        <v>0</v>
      </c>
      <c r="X2774" s="21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J2774" t="s">
        <v>51</v>
      </c>
      <c r="AK2774" t="s">
        <v>52</v>
      </c>
      <c r="AL2774" t="s">
        <v>694</v>
      </c>
      <c r="AP2774" t="s">
        <v>116</v>
      </c>
    </row>
    <row r="2775" spans="1:42">
      <c r="A2775" s="9">
        <v>43845</v>
      </c>
      <c r="B2775">
        <v>3</v>
      </c>
      <c r="C2775">
        <v>990</v>
      </c>
      <c r="D2775">
        <v>14523</v>
      </c>
      <c r="E2775" t="s">
        <v>847</v>
      </c>
      <c r="F2775" t="s">
        <v>520</v>
      </c>
      <c r="G2775">
        <v>2</v>
      </c>
      <c r="H2775">
        <v>15</v>
      </c>
      <c r="I2775" s="25" t="s">
        <v>853</v>
      </c>
      <c r="K2775" t="s">
        <v>192</v>
      </c>
      <c r="L2775" t="s">
        <v>141</v>
      </c>
      <c r="M2775" t="s">
        <v>52</v>
      </c>
      <c r="N2775" t="s">
        <v>40</v>
      </c>
      <c r="O2775">
        <v>98</v>
      </c>
      <c r="Q2775">
        <v>3</v>
      </c>
      <c r="R2775">
        <v>1</v>
      </c>
      <c r="S2775">
        <v>0</v>
      </c>
      <c r="T2775">
        <v>0</v>
      </c>
      <c r="U2775">
        <v>0</v>
      </c>
      <c r="V2775">
        <v>3</v>
      </c>
      <c r="W2775">
        <v>0</v>
      </c>
      <c r="X2775" s="21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J2775" t="s">
        <v>51</v>
      </c>
      <c r="AK2775" t="s">
        <v>52</v>
      </c>
      <c r="AP2775" t="s">
        <v>116</v>
      </c>
    </row>
    <row r="2776" spans="1:42">
      <c r="A2776" s="9">
        <v>43845</v>
      </c>
      <c r="B2776">
        <v>3</v>
      </c>
      <c r="C2776">
        <v>990</v>
      </c>
      <c r="D2776">
        <v>14523</v>
      </c>
      <c r="E2776" t="s">
        <v>847</v>
      </c>
      <c r="F2776" t="s">
        <v>520</v>
      </c>
      <c r="G2776">
        <v>2</v>
      </c>
      <c r="H2776">
        <v>16</v>
      </c>
      <c r="I2776" s="25" t="s">
        <v>854</v>
      </c>
      <c r="K2776" t="s">
        <v>192</v>
      </c>
      <c r="L2776" t="s">
        <v>141</v>
      </c>
      <c r="M2776" t="s">
        <v>52</v>
      </c>
      <c r="N2776" t="s">
        <v>40</v>
      </c>
      <c r="O2776">
        <v>93</v>
      </c>
      <c r="Q2776">
        <v>3</v>
      </c>
      <c r="R2776">
        <v>1</v>
      </c>
      <c r="S2776">
        <v>0</v>
      </c>
      <c r="T2776">
        <v>0</v>
      </c>
      <c r="U2776">
        <v>0</v>
      </c>
      <c r="V2776">
        <v>2</v>
      </c>
      <c r="W2776">
        <v>1</v>
      </c>
      <c r="X2776" s="21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J2776" t="s">
        <v>51</v>
      </c>
      <c r="AK2776" t="s">
        <v>52</v>
      </c>
      <c r="AP2776" t="s">
        <v>116</v>
      </c>
    </row>
    <row r="2777" spans="1:42">
      <c r="A2777" s="9">
        <v>43845</v>
      </c>
      <c r="B2777">
        <v>3</v>
      </c>
      <c r="C2777">
        <v>990</v>
      </c>
      <c r="D2777">
        <v>14523</v>
      </c>
      <c r="E2777" t="s">
        <v>847</v>
      </c>
      <c r="F2777" t="s">
        <v>520</v>
      </c>
      <c r="G2777">
        <v>2</v>
      </c>
      <c r="H2777">
        <v>17</v>
      </c>
      <c r="I2777" s="25" t="s">
        <v>855</v>
      </c>
      <c r="K2777" t="s">
        <v>192</v>
      </c>
      <c r="L2777" t="s">
        <v>141</v>
      </c>
      <c r="M2777" t="s">
        <v>52</v>
      </c>
      <c r="N2777" t="s">
        <v>40</v>
      </c>
      <c r="O2777">
        <v>63</v>
      </c>
      <c r="Q2777">
        <v>2</v>
      </c>
      <c r="R2777">
        <v>1</v>
      </c>
      <c r="S2777">
        <v>0</v>
      </c>
      <c r="T2777">
        <v>0</v>
      </c>
      <c r="U2777">
        <v>0</v>
      </c>
      <c r="V2777">
        <v>1</v>
      </c>
      <c r="W2777">
        <v>1</v>
      </c>
      <c r="X2777" s="21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J2777" t="s">
        <v>51</v>
      </c>
      <c r="AK2777" t="s">
        <v>52</v>
      </c>
      <c r="AL2777" t="s">
        <v>856</v>
      </c>
      <c r="AP2777" t="s">
        <v>116</v>
      </c>
    </row>
    <row r="2778" spans="1:42">
      <c r="A2778" s="9">
        <v>43845</v>
      </c>
      <c r="B2778">
        <v>3</v>
      </c>
      <c r="C2778">
        <v>990</v>
      </c>
      <c r="D2778">
        <v>14523</v>
      </c>
      <c r="E2778" t="s">
        <v>847</v>
      </c>
      <c r="F2778" t="s">
        <v>520</v>
      </c>
      <c r="G2778">
        <v>2</v>
      </c>
      <c r="H2778">
        <v>18</v>
      </c>
      <c r="I2778" s="25">
        <v>3513</v>
      </c>
      <c r="K2778" t="s">
        <v>192</v>
      </c>
      <c r="L2778" t="s">
        <v>141</v>
      </c>
      <c r="M2778" t="s">
        <v>52</v>
      </c>
      <c r="N2778" t="s">
        <v>44</v>
      </c>
      <c r="O2778">
        <v>150</v>
      </c>
      <c r="Q2778">
        <v>1</v>
      </c>
      <c r="R2778">
        <v>1</v>
      </c>
      <c r="S2778">
        <v>0</v>
      </c>
      <c r="T2778">
        <v>0</v>
      </c>
      <c r="U2778">
        <v>0</v>
      </c>
      <c r="V2778">
        <v>1</v>
      </c>
      <c r="W2778">
        <v>0</v>
      </c>
      <c r="X2778" s="21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J2778" t="s">
        <v>51</v>
      </c>
      <c r="AK2778" t="s">
        <v>52</v>
      </c>
      <c r="AL2778" t="s">
        <v>857</v>
      </c>
      <c r="AP2778" t="s">
        <v>116</v>
      </c>
    </row>
    <row r="2779" spans="1:42">
      <c r="A2779" s="9">
        <v>43845</v>
      </c>
      <c r="B2779">
        <v>3</v>
      </c>
      <c r="C2779">
        <v>990</v>
      </c>
      <c r="D2779">
        <v>14523</v>
      </c>
      <c r="E2779" t="s">
        <v>847</v>
      </c>
      <c r="F2779" t="s">
        <v>520</v>
      </c>
      <c r="G2779">
        <v>2</v>
      </c>
      <c r="H2779">
        <v>19</v>
      </c>
      <c r="I2779" s="25">
        <v>100</v>
      </c>
      <c r="K2779" t="s">
        <v>848</v>
      </c>
      <c r="L2779" t="s">
        <v>114</v>
      </c>
      <c r="M2779" t="s">
        <v>52</v>
      </c>
      <c r="N2779" t="s">
        <v>44</v>
      </c>
      <c r="O2779">
        <v>119</v>
      </c>
      <c r="Q2779">
        <v>1</v>
      </c>
      <c r="R2779">
        <v>1</v>
      </c>
      <c r="S2779">
        <v>0</v>
      </c>
      <c r="T2779">
        <v>0</v>
      </c>
      <c r="U2779">
        <v>0</v>
      </c>
      <c r="V2779">
        <v>0</v>
      </c>
      <c r="W2779">
        <v>1</v>
      </c>
      <c r="X2779" s="21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J2779" t="s">
        <v>51</v>
      </c>
      <c r="AK2779" t="s">
        <v>52</v>
      </c>
      <c r="AL2779" t="s">
        <v>858</v>
      </c>
      <c r="AP2779" t="s">
        <v>116</v>
      </c>
    </row>
    <row r="2780" spans="1:42">
      <c r="A2780" s="9">
        <v>43845</v>
      </c>
      <c r="B2780">
        <v>3</v>
      </c>
      <c r="C2780">
        <v>990</v>
      </c>
      <c r="D2780">
        <v>14523</v>
      </c>
      <c r="E2780" t="s">
        <v>847</v>
      </c>
      <c r="F2780" t="s">
        <v>520</v>
      </c>
      <c r="G2780">
        <v>2</v>
      </c>
      <c r="H2780">
        <v>20</v>
      </c>
      <c r="I2780" s="25">
        <v>101</v>
      </c>
      <c r="K2780" t="s">
        <v>848</v>
      </c>
      <c r="L2780" t="s">
        <v>141</v>
      </c>
      <c r="M2780" t="s">
        <v>52</v>
      </c>
      <c r="N2780" t="s">
        <v>44</v>
      </c>
      <c r="O2780">
        <v>85</v>
      </c>
      <c r="Q2780">
        <v>0</v>
      </c>
      <c r="R2780">
        <v>1</v>
      </c>
      <c r="S2780">
        <v>0</v>
      </c>
      <c r="T2780">
        <v>0</v>
      </c>
      <c r="U2780">
        <v>0</v>
      </c>
      <c r="V2780">
        <v>0</v>
      </c>
      <c r="W2780">
        <v>0</v>
      </c>
      <c r="X2780" s="21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J2780" t="s">
        <v>51</v>
      </c>
      <c r="AK2780" t="s">
        <v>95</v>
      </c>
      <c r="AL2780" t="s">
        <v>859</v>
      </c>
      <c r="AP2780" t="s">
        <v>116</v>
      </c>
    </row>
    <row r="2781" spans="1:42">
      <c r="A2781" s="9">
        <v>43845</v>
      </c>
      <c r="B2781">
        <v>3</v>
      </c>
      <c r="C2781">
        <v>990</v>
      </c>
      <c r="D2781">
        <v>14523</v>
      </c>
      <c r="E2781" t="s">
        <v>847</v>
      </c>
      <c r="F2781" t="s">
        <v>520</v>
      </c>
      <c r="G2781">
        <v>2</v>
      </c>
      <c r="H2781">
        <v>21</v>
      </c>
      <c r="I2781" s="25">
        <v>3481</v>
      </c>
      <c r="K2781" t="s">
        <v>192</v>
      </c>
      <c r="L2781" t="s">
        <v>141</v>
      </c>
      <c r="M2781" t="s">
        <v>52</v>
      </c>
      <c r="N2781" t="s">
        <v>44</v>
      </c>
      <c r="O2781">
        <v>110</v>
      </c>
      <c r="Q2781">
        <v>1</v>
      </c>
      <c r="R2781">
        <v>1</v>
      </c>
      <c r="S2781">
        <v>0</v>
      </c>
      <c r="T2781">
        <v>0</v>
      </c>
      <c r="U2781">
        <v>0</v>
      </c>
      <c r="V2781">
        <v>0</v>
      </c>
      <c r="W2781">
        <v>1</v>
      </c>
      <c r="X2781" s="2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1</v>
      </c>
      <c r="AG2781">
        <v>0</v>
      </c>
      <c r="AJ2781" t="s">
        <v>51</v>
      </c>
      <c r="AK2781" t="s">
        <v>95</v>
      </c>
      <c r="AL2781" t="s">
        <v>849</v>
      </c>
      <c r="AP2781" t="s">
        <v>116</v>
      </c>
    </row>
    <row r="2782" spans="1:42">
      <c r="A2782" s="9">
        <v>43845</v>
      </c>
      <c r="B2782">
        <v>3</v>
      </c>
      <c r="C2782">
        <v>990</v>
      </c>
      <c r="D2782">
        <v>14523</v>
      </c>
      <c r="E2782" t="s">
        <v>847</v>
      </c>
      <c r="F2782" t="s">
        <v>520</v>
      </c>
      <c r="G2782">
        <v>2</v>
      </c>
      <c r="H2782">
        <v>22</v>
      </c>
      <c r="I2782" s="25">
        <v>3445</v>
      </c>
      <c r="K2782" t="s">
        <v>192</v>
      </c>
      <c r="L2782" t="s">
        <v>141</v>
      </c>
      <c r="M2782" t="s">
        <v>52</v>
      </c>
      <c r="N2782" t="s">
        <v>44</v>
      </c>
      <c r="O2782">
        <v>270</v>
      </c>
      <c r="Q2782">
        <v>4</v>
      </c>
      <c r="R2782">
        <v>1</v>
      </c>
      <c r="S2782">
        <v>0</v>
      </c>
      <c r="T2782">
        <v>0</v>
      </c>
      <c r="U2782">
        <v>0</v>
      </c>
      <c r="V2782">
        <v>0</v>
      </c>
      <c r="W2782">
        <v>4</v>
      </c>
      <c r="X2782" s="21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J2782" t="s">
        <v>51</v>
      </c>
      <c r="AK2782" t="s">
        <v>95</v>
      </c>
      <c r="AL2782" t="s">
        <v>860</v>
      </c>
      <c r="AP2782" t="s">
        <v>116</v>
      </c>
    </row>
    <row r="2783" spans="1:42">
      <c r="A2783" s="9">
        <v>43845</v>
      </c>
      <c r="B2783">
        <v>3</v>
      </c>
      <c r="C2783">
        <v>990</v>
      </c>
      <c r="D2783">
        <v>14523</v>
      </c>
      <c r="E2783" t="s">
        <v>847</v>
      </c>
      <c r="F2783" t="s">
        <v>520</v>
      </c>
      <c r="G2783">
        <v>2</v>
      </c>
      <c r="H2783">
        <v>23</v>
      </c>
      <c r="I2783" s="25">
        <v>3415</v>
      </c>
      <c r="K2783" t="s">
        <v>192</v>
      </c>
      <c r="L2783" t="s">
        <v>141</v>
      </c>
      <c r="M2783" t="s">
        <v>52</v>
      </c>
      <c r="N2783" t="s">
        <v>44</v>
      </c>
      <c r="O2783">
        <v>79</v>
      </c>
      <c r="Q2783">
        <v>1</v>
      </c>
      <c r="R2783">
        <v>1</v>
      </c>
      <c r="S2783">
        <v>0</v>
      </c>
      <c r="T2783">
        <v>0</v>
      </c>
      <c r="U2783">
        <v>0</v>
      </c>
      <c r="V2783">
        <v>0</v>
      </c>
      <c r="W2783">
        <v>1</v>
      </c>
      <c r="X2783" s="21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J2783" t="s">
        <v>51</v>
      </c>
      <c r="AK2783" t="s">
        <v>95</v>
      </c>
      <c r="AL2783" t="s">
        <v>849</v>
      </c>
      <c r="AP2783" t="s">
        <v>116</v>
      </c>
    </row>
    <row r="2784" spans="1:42">
      <c r="A2784" s="9">
        <v>43845</v>
      </c>
      <c r="B2784">
        <v>3</v>
      </c>
      <c r="C2784">
        <v>990</v>
      </c>
      <c r="D2784">
        <v>14523</v>
      </c>
      <c r="E2784" t="s">
        <v>847</v>
      </c>
      <c r="F2784" t="s">
        <v>520</v>
      </c>
      <c r="G2784">
        <v>2</v>
      </c>
      <c r="H2784">
        <v>24</v>
      </c>
      <c r="I2784" s="25">
        <v>200</v>
      </c>
      <c r="K2784" t="s">
        <v>861</v>
      </c>
      <c r="L2784" t="s">
        <v>114</v>
      </c>
      <c r="M2784" t="s">
        <v>52</v>
      </c>
      <c r="N2784" t="s">
        <v>44</v>
      </c>
      <c r="O2784">
        <v>121</v>
      </c>
      <c r="Q2784">
        <v>2</v>
      </c>
      <c r="R2784">
        <v>1</v>
      </c>
      <c r="S2784">
        <v>0</v>
      </c>
      <c r="T2784">
        <v>0</v>
      </c>
      <c r="U2784">
        <v>0</v>
      </c>
      <c r="V2784">
        <v>0</v>
      </c>
      <c r="W2784">
        <v>2</v>
      </c>
      <c r="X2784" s="21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J2784" t="s">
        <v>51</v>
      </c>
      <c r="AK2784" t="s">
        <v>95</v>
      </c>
      <c r="AL2784" t="s">
        <v>694</v>
      </c>
      <c r="AP2784" t="s">
        <v>116</v>
      </c>
    </row>
    <row r="2785" spans="1:42">
      <c r="A2785" s="9">
        <v>43845</v>
      </c>
      <c r="B2785">
        <v>3</v>
      </c>
      <c r="C2785">
        <v>990</v>
      </c>
      <c r="D2785">
        <v>14523</v>
      </c>
      <c r="E2785" t="s">
        <v>847</v>
      </c>
      <c r="F2785" t="s">
        <v>520</v>
      </c>
      <c r="G2785">
        <v>2</v>
      </c>
      <c r="H2785">
        <v>25</v>
      </c>
      <c r="I2785" s="25">
        <v>2200</v>
      </c>
      <c r="K2785" t="s">
        <v>862</v>
      </c>
      <c r="L2785" t="s">
        <v>114</v>
      </c>
      <c r="M2785" t="s">
        <v>52</v>
      </c>
      <c r="N2785" t="s">
        <v>44</v>
      </c>
      <c r="O2785">
        <v>123</v>
      </c>
      <c r="Q2785">
        <v>1</v>
      </c>
      <c r="R2785">
        <v>1</v>
      </c>
      <c r="S2785">
        <v>0</v>
      </c>
      <c r="T2785">
        <v>0</v>
      </c>
      <c r="U2785">
        <v>0</v>
      </c>
      <c r="V2785">
        <v>1</v>
      </c>
      <c r="W2785">
        <v>0</v>
      </c>
      <c r="X2785" s="21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J2785" t="s">
        <v>51</v>
      </c>
      <c r="AK2785" t="s">
        <v>52</v>
      </c>
      <c r="AL2785" t="s">
        <v>863</v>
      </c>
      <c r="AP2785" t="s">
        <v>116</v>
      </c>
    </row>
    <row r="2786" spans="1:42">
      <c r="A2786" s="9">
        <v>43845</v>
      </c>
      <c r="B2786">
        <v>3</v>
      </c>
      <c r="C2786">
        <v>990</v>
      </c>
      <c r="D2786">
        <v>14523</v>
      </c>
      <c r="E2786" t="s">
        <v>847</v>
      </c>
      <c r="F2786" t="s">
        <v>520</v>
      </c>
      <c r="G2786">
        <v>2</v>
      </c>
      <c r="H2786">
        <v>26</v>
      </c>
      <c r="I2786" s="25" t="s">
        <v>864</v>
      </c>
      <c r="K2786" t="s">
        <v>862</v>
      </c>
      <c r="L2786" t="s">
        <v>114</v>
      </c>
      <c r="M2786" t="s">
        <v>52</v>
      </c>
      <c r="N2786" t="s">
        <v>40</v>
      </c>
      <c r="O2786">
        <v>88</v>
      </c>
      <c r="Q2786">
        <v>2</v>
      </c>
      <c r="R2786">
        <v>1</v>
      </c>
      <c r="S2786">
        <v>0</v>
      </c>
      <c r="T2786">
        <v>0</v>
      </c>
      <c r="U2786">
        <v>0</v>
      </c>
      <c r="V2786">
        <v>2</v>
      </c>
      <c r="W2786">
        <v>0</v>
      </c>
      <c r="X2786" s="21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J2786" t="s">
        <v>51</v>
      </c>
      <c r="AK2786" t="s">
        <v>52</v>
      </c>
      <c r="AP2786" t="s">
        <v>116</v>
      </c>
    </row>
    <row r="2787" spans="1:42">
      <c r="A2787" s="9">
        <v>43845</v>
      </c>
      <c r="B2787">
        <v>3</v>
      </c>
      <c r="C2787">
        <v>990</v>
      </c>
      <c r="D2787">
        <v>14523</v>
      </c>
      <c r="E2787" t="s">
        <v>847</v>
      </c>
      <c r="F2787" t="s">
        <v>520</v>
      </c>
      <c r="G2787">
        <v>2</v>
      </c>
      <c r="H2787">
        <v>27</v>
      </c>
      <c r="I2787" s="25">
        <v>2230</v>
      </c>
      <c r="K2787" t="s">
        <v>862</v>
      </c>
      <c r="L2787" t="s">
        <v>114</v>
      </c>
      <c r="M2787" t="s">
        <v>52</v>
      </c>
      <c r="N2787" t="s">
        <v>44</v>
      </c>
      <c r="O2787">
        <v>108</v>
      </c>
      <c r="Q2787">
        <v>1</v>
      </c>
      <c r="R2787">
        <v>1</v>
      </c>
      <c r="S2787">
        <v>0</v>
      </c>
      <c r="T2787">
        <v>0</v>
      </c>
      <c r="U2787">
        <v>0</v>
      </c>
      <c r="V2787">
        <v>0</v>
      </c>
      <c r="W2787">
        <v>1</v>
      </c>
      <c r="X2787" s="21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J2787" t="s">
        <v>51</v>
      </c>
      <c r="AK2787" t="s">
        <v>52</v>
      </c>
      <c r="AP2787" t="s">
        <v>116</v>
      </c>
    </row>
    <row r="2788" spans="1:42">
      <c r="A2788" s="9">
        <v>43845</v>
      </c>
      <c r="B2788">
        <v>3</v>
      </c>
      <c r="C2788">
        <v>990</v>
      </c>
      <c r="D2788">
        <v>14523</v>
      </c>
      <c r="E2788" t="s">
        <v>847</v>
      </c>
      <c r="F2788" t="s">
        <v>520</v>
      </c>
      <c r="G2788">
        <v>2</v>
      </c>
      <c r="H2788">
        <v>28</v>
      </c>
      <c r="I2788" s="25">
        <v>224</v>
      </c>
      <c r="K2788" t="s">
        <v>862</v>
      </c>
      <c r="L2788" t="s">
        <v>114</v>
      </c>
      <c r="M2788" t="s">
        <v>52</v>
      </c>
      <c r="N2788" t="s">
        <v>40</v>
      </c>
      <c r="O2788">
        <v>90</v>
      </c>
      <c r="Q2788">
        <v>2</v>
      </c>
      <c r="R2788">
        <v>1</v>
      </c>
      <c r="S2788">
        <v>0</v>
      </c>
      <c r="T2788">
        <v>0</v>
      </c>
      <c r="U2788">
        <v>0</v>
      </c>
      <c r="V2788">
        <v>2</v>
      </c>
      <c r="W2788">
        <v>0</v>
      </c>
      <c r="X2788" s="21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J2788" t="s">
        <v>51</v>
      </c>
      <c r="AK2788" t="s">
        <v>52</v>
      </c>
      <c r="AP2788" t="s">
        <v>116</v>
      </c>
    </row>
    <row r="2789" spans="1:42">
      <c r="A2789" s="9">
        <v>43845</v>
      </c>
      <c r="B2789">
        <v>3</v>
      </c>
      <c r="C2789">
        <v>990</v>
      </c>
      <c r="D2789">
        <v>14523</v>
      </c>
      <c r="E2789" t="s">
        <v>847</v>
      </c>
      <c r="F2789" t="s">
        <v>520</v>
      </c>
      <c r="G2789">
        <v>2</v>
      </c>
      <c r="H2789">
        <v>29</v>
      </c>
      <c r="I2789" s="25" t="s">
        <v>865</v>
      </c>
      <c r="K2789" t="s">
        <v>862</v>
      </c>
      <c r="L2789" t="s">
        <v>114</v>
      </c>
      <c r="M2789" t="s">
        <v>52</v>
      </c>
      <c r="N2789" t="s">
        <v>40</v>
      </c>
      <c r="O2789">
        <v>101</v>
      </c>
      <c r="Q2789">
        <v>4</v>
      </c>
      <c r="R2789">
        <v>1</v>
      </c>
      <c r="S2789">
        <v>0</v>
      </c>
      <c r="T2789">
        <v>0</v>
      </c>
      <c r="U2789">
        <v>0</v>
      </c>
      <c r="V2789">
        <v>4</v>
      </c>
      <c r="W2789">
        <v>0</v>
      </c>
      <c r="X2789" s="21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J2789" t="s">
        <v>51</v>
      </c>
      <c r="AK2789" t="s">
        <v>52</v>
      </c>
      <c r="AP2789" t="s">
        <v>116</v>
      </c>
    </row>
    <row r="2790" spans="1:42">
      <c r="A2790" s="9">
        <v>43845</v>
      </c>
      <c r="B2790">
        <v>3</v>
      </c>
      <c r="C2790">
        <v>990</v>
      </c>
      <c r="D2790">
        <v>14523</v>
      </c>
      <c r="E2790" t="s">
        <v>847</v>
      </c>
      <c r="F2790" t="s">
        <v>520</v>
      </c>
      <c r="G2790">
        <v>2</v>
      </c>
      <c r="H2790">
        <v>30</v>
      </c>
      <c r="I2790" s="25" t="s">
        <v>866</v>
      </c>
      <c r="K2790" t="s">
        <v>862</v>
      </c>
      <c r="L2790" t="s">
        <v>114</v>
      </c>
      <c r="M2790" t="s">
        <v>52</v>
      </c>
      <c r="N2790" t="s">
        <v>40</v>
      </c>
      <c r="O2790">
        <v>97</v>
      </c>
      <c r="Q2790">
        <v>2</v>
      </c>
      <c r="R2790">
        <v>1</v>
      </c>
      <c r="S2790">
        <v>0</v>
      </c>
      <c r="T2790">
        <v>0</v>
      </c>
      <c r="U2790">
        <v>1</v>
      </c>
      <c r="V2790">
        <v>0</v>
      </c>
      <c r="W2790">
        <v>1</v>
      </c>
      <c r="X2790" s="21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J2790" t="s">
        <v>51</v>
      </c>
      <c r="AK2790" t="s">
        <v>95</v>
      </c>
      <c r="AP2790" t="s">
        <v>116</v>
      </c>
    </row>
    <row r="2791" spans="1:42">
      <c r="A2791" s="9">
        <v>43845</v>
      </c>
      <c r="B2791">
        <v>3</v>
      </c>
      <c r="C2791">
        <v>990</v>
      </c>
      <c r="D2791">
        <v>14523</v>
      </c>
      <c r="E2791" t="s">
        <v>847</v>
      </c>
      <c r="F2791" t="s">
        <v>520</v>
      </c>
      <c r="G2791">
        <v>2</v>
      </c>
      <c r="H2791">
        <v>31</v>
      </c>
      <c r="I2791" s="25">
        <v>2300</v>
      </c>
      <c r="K2791" t="s">
        <v>862</v>
      </c>
      <c r="L2791" t="s">
        <v>114</v>
      </c>
      <c r="M2791" t="s">
        <v>52</v>
      </c>
      <c r="N2791" t="s">
        <v>44</v>
      </c>
      <c r="O2791">
        <v>127</v>
      </c>
      <c r="Q2791">
        <v>2</v>
      </c>
      <c r="R2791">
        <v>1</v>
      </c>
      <c r="S2791">
        <v>0</v>
      </c>
      <c r="T2791">
        <v>0</v>
      </c>
      <c r="U2791">
        <v>0</v>
      </c>
      <c r="V2791">
        <v>2</v>
      </c>
      <c r="W2791">
        <v>0</v>
      </c>
      <c r="X2791" s="2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J2791" t="s">
        <v>51</v>
      </c>
      <c r="AK2791" t="s">
        <v>52</v>
      </c>
      <c r="AL2791" t="s">
        <v>849</v>
      </c>
      <c r="AP2791" t="s">
        <v>116</v>
      </c>
    </row>
    <row r="2792" spans="1:42">
      <c r="A2792" s="9">
        <v>43845</v>
      </c>
      <c r="B2792">
        <v>3</v>
      </c>
      <c r="C2792">
        <v>990</v>
      </c>
      <c r="D2792">
        <v>14523</v>
      </c>
      <c r="E2792" t="s">
        <v>847</v>
      </c>
      <c r="F2792" t="s">
        <v>520</v>
      </c>
      <c r="G2792">
        <v>2</v>
      </c>
      <c r="H2792">
        <v>32</v>
      </c>
      <c r="I2792" s="25">
        <v>2324</v>
      </c>
      <c r="K2792" t="s">
        <v>862</v>
      </c>
      <c r="L2792" t="s">
        <v>114</v>
      </c>
      <c r="M2792" t="s">
        <v>52</v>
      </c>
      <c r="N2792" t="s">
        <v>40</v>
      </c>
      <c r="O2792">
        <v>48</v>
      </c>
      <c r="Q2792">
        <v>2</v>
      </c>
      <c r="R2792">
        <v>1</v>
      </c>
      <c r="S2792">
        <v>0</v>
      </c>
      <c r="T2792">
        <v>0</v>
      </c>
      <c r="U2792">
        <v>0</v>
      </c>
      <c r="V2792">
        <v>2</v>
      </c>
      <c r="W2792">
        <v>0</v>
      </c>
      <c r="X2792" s="21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J2792" t="s">
        <v>51</v>
      </c>
      <c r="AK2792" t="s">
        <v>52</v>
      </c>
      <c r="AP2792" t="s">
        <v>116</v>
      </c>
    </row>
    <row r="2793" spans="1:42">
      <c r="A2793" s="9">
        <v>43845</v>
      </c>
      <c r="B2793">
        <v>3</v>
      </c>
      <c r="C2793">
        <v>990</v>
      </c>
      <c r="D2793">
        <v>14523</v>
      </c>
      <c r="E2793" t="s">
        <v>847</v>
      </c>
      <c r="F2793" t="s">
        <v>520</v>
      </c>
      <c r="G2793">
        <v>2</v>
      </c>
      <c r="H2793">
        <v>33</v>
      </c>
      <c r="I2793" s="25" t="s">
        <v>867</v>
      </c>
      <c r="K2793" t="s">
        <v>862</v>
      </c>
      <c r="L2793" t="s">
        <v>114</v>
      </c>
      <c r="M2793" t="s">
        <v>52</v>
      </c>
      <c r="N2793" t="s">
        <v>40</v>
      </c>
      <c r="O2793">
        <v>51</v>
      </c>
      <c r="Q2793">
        <v>2</v>
      </c>
      <c r="R2793">
        <v>1</v>
      </c>
      <c r="S2793">
        <v>0</v>
      </c>
      <c r="T2793">
        <v>0</v>
      </c>
      <c r="U2793">
        <v>1</v>
      </c>
      <c r="V2793">
        <v>1</v>
      </c>
      <c r="W2793">
        <v>0</v>
      </c>
      <c r="X2793" s="21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J2793" t="s">
        <v>51</v>
      </c>
      <c r="AK2793" t="s">
        <v>52</v>
      </c>
      <c r="AP2793" t="s">
        <v>116</v>
      </c>
    </row>
    <row r="2794" spans="1:42">
      <c r="A2794" s="9">
        <v>43845</v>
      </c>
      <c r="B2794">
        <v>3</v>
      </c>
      <c r="C2794">
        <v>990</v>
      </c>
      <c r="D2794">
        <v>14523</v>
      </c>
      <c r="E2794" t="s">
        <v>847</v>
      </c>
      <c r="F2794" t="s">
        <v>520</v>
      </c>
      <c r="G2794">
        <v>2</v>
      </c>
      <c r="H2794">
        <v>34</v>
      </c>
      <c r="I2794" s="25">
        <v>2340</v>
      </c>
      <c r="K2794" t="s">
        <v>862</v>
      </c>
      <c r="L2794" t="s">
        <v>114</v>
      </c>
      <c r="M2794" t="s">
        <v>52</v>
      </c>
      <c r="N2794" t="s">
        <v>44</v>
      </c>
      <c r="O2794">
        <v>82</v>
      </c>
      <c r="Q2794">
        <v>1</v>
      </c>
      <c r="R2794">
        <v>1</v>
      </c>
      <c r="S2794">
        <v>0</v>
      </c>
      <c r="T2794">
        <v>0</v>
      </c>
      <c r="U2794">
        <v>0</v>
      </c>
      <c r="V2794">
        <v>0</v>
      </c>
      <c r="W2794">
        <v>1</v>
      </c>
      <c r="X2794" s="21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J2794" t="s">
        <v>51</v>
      </c>
      <c r="AK2794" t="s">
        <v>52</v>
      </c>
      <c r="AL2794" t="s">
        <v>868</v>
      </c>
      <c r="AP2794" t="s">
        <v>116</v>
      </c>
    </row>
    <row r="2795" spans="1:42">
      <c r="A2795" s="9">
        <v>43845</v>
      </c>
      <c r="B2795">
        <v>3</v>
      </c>
      <c r="C2795">
        <v>990</v>
      </c>
      <c r="D2795">
        <v>14523</v>
      </c>
      <c r="E2795" t="s">
        <v>847</v>
      </c>
      <c r="F2795" t="s">
        <v>520</v>
      </c>
      <c r="G2795">
        <v>2</v>
      </c>
      <c r="H2795">
        <v>35</v>
      </c>
      <c r="I2795" s="25" t="s">
        <v>869</v>
      </c>
      <c r="K2795" t="s">
        <v>862</v>
      </c>
      <c r="L2795" t="s">
        <v>114</v>
      </c>
      <c r="M2795" t="s">
        <v>52</v>
      </c>
      <c r="N2795" t="s">
        <v>40</v>
      </c>
      <c r="O2795">
        <v>88</v>
      </c>
      <c r="Q2795">
        <v>3</v>
      </c>
      <c r="R2795">
        <v>1</v>
      </c>
      <c r="S2795">
        <v>0</v>
      </c>
      <c r="T2795">
        <v>0</v>
      </c>
      <c r="U2795">
        <v>0</v>
      </c>
      <c r="V2795">
        <v>3</v>
      </c>
      <c r="W2795">
        <v>0</v>
      </c>
      <c r="X2795" s="21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1</v>
      </c>
      <c r="AG2795">
        <v>0</v>
      </c>
      <c r="AJ2795" t="s">
        <v>51</v>
      </c>
      <c r="AK2795" t="s">
        <v>52</v>
      </c>
      <c r="AL2795" t="s">
        <v>760</v>
      </c>
      <c r="AP2795" t="s">
        <v>116</v>
      </c>
    </row>
    <row r="2796" spans="1:42">
      <c r="A2796" s="9">
        <v>43845</v>
      </c>
      <c r="B2796">
        <v>3</v>
      </c>
      <c r="C2796">
        <v>990</v>
      </c>
      <c r="D2796">
        <v>14523</v>
      </c>
      <c r="E2796" t="s">
        <v>847</v>
      </c>
      <c r="F2796" t="s">
        <v>520</v>
      </c>
      <c r="G2796">
        <v>2</v>
      </c>
      <c r="H2796">
        <v>36</v>
      </c>
      <c r="I2796" s="25" t="s">
        <v>870</v>
      </c>
      <c r="K2796" t="s">
        <v>862</v>
      </c>
      <c r="L2796" t="s">
        <v>114</v>
      </c>
      <c r="M2796" t="s">
        <v>52</v>
      </c>
      <c r="N2796" t="s">
        <v>40</v>
      </c>
      <c r="O2796">
        <v>62</v>
      </c>
      <c r="Q2796">
        <v>2</v>
      </c>
      <c r="R2796">
        <v>1</v>
      </c>
      <c r="S2796">
        <v>0</v>
      </c>
      <c r="T2796">
        <v>0</v>
      </c>
      <c r="U2796">
        <v>0</v>
      </c>
      <c r="V2796">
        <v>0</v>
      </c>
      <c r="W2796">
        <v>2</v>
      </c>
      <c r="X2796" s="21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1</v>
      </c>
      <c r="AG2796">
        <v>0</v>
      </c>
      <c r="AJ2796" t="s">
        <v>51</v>
      </c>
      <c r="AK2796" t="s">
        <v>52</v>
      </c>
      <c r="AL2796" t="s">
        <v>760</v>
      </c>
      <c r="AP2796" t="s">
        <v>116</v>
      </c>
    </row>
    <row r="2797" spans="1:42">
      <c r="A2797" s="9">
        <v>43845</v>
      </c>
      <c r="B2797">
        <v>3</v>
      </c>
      <c r="C2797">
        <v>990</v>
      </c>
      <c r="D2797">
        <v>14523</v>
      </c>
      <c r="E2797" t="s">
        <v>847</v>
      </c>
      <c r="F2797" t="s">
        <v>520</v>
      </c>
      <c r="G2797">
        <v>2</v>
      </c>
      <c r="H2797">
        <v>37</v>
      </c>
      <c r="I2797" s="25" t="s">
        <v>871</v>
      </c>
      <c r="K2797" s="21" t="s">
        <v>329</v>
      </c>
      <c r="L2797" t="s">
        <v>114</v>
      </c>
      <c r="M2797" t="s">
        <v>52</v>
      </c>
      <c r="N2797" t="s">
        <v>40</v>
      </c>
      <c r="P2797">
        <v>317</v>
      </c>
      <c r="Q2797">
        <v>8</v>
      </c>
      <c r="R2797">
        <v>1</v>
      </c>
      <c r="S2797">
        <v>0</v>
      </c>
      <c r="T2797">
        <v>0</v>
      </c>
      <c r="U2797">
        <v>5</v>
      </c>
      <c r="V2797">
        <v>3</v>
      </c>
      <c r="W2797">
        <v>0</v>
      </c>
      <c r="X2797" s="21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1</v>
      </c>
      <c r="AJ2797" t="s">
        <v>51</v>
      </c>
      <c r="AK2797" t="s">
        <v>52</v>
      </c>
      <c r="AL2797" t="s">
        <v>872</v>
      </c>
      <c r="AP2797" t="s">
        <v>116</v>
      </c>
    </row>
    <row r="2798" spans="1:42">
      <c r="A2798" s="9">
        <v>43845</v>
      </c>
      <c r="B2798">
        <v>3</v>
      </c>
      <c r="C2798">
        <v>990</v>
      </c>
      <c r="D2798">
        <v>14523</v>
      </c>
      <c r="E2798" t="s">
        <v>847</v>
      </c>
      <c r="F2798" t="s">
        <v>520</v>
      </c>
      <c r="G2798">
        <v>2</v>
      </c>
      <c r="H2798">
        <v>38</v>
      </c>
      <c r="I2798" s="25" t="s">
        <v>873</v>
      </c>
      <c r="K2798" s="21" t="s">
        <v>329</v>
      </c>
      <c r="L2798" t="s">
        <v>114</v>
      </c>
      <c r="M2798" t="s">
        <v>52</v>
      </c>
      <c r="N2798" t="s">
        <v>40</v>
      </c>
      <c r="P2798">
        <v>104</v>
      </c>
      <c r="Q2798">
        <v>3</v>
      </c>
      <c r="R2798">
        <v>1</v>
      </c>
      <c r="S2798">
        <v>0</v>
      </c>
      <c r="T2798">
        <v>0</v>
      </c>
      <c r="U2798">
        <v>0</v>
      </c>
      <c r="V2798">
        <v>3</v>
      </c>
      <c r="W2798">
        <v>0</v>
      </c>
      <c r="X2798" s="21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J2798" t="s">
        <v>51</v>
      </c>
      <c r="AK2798" t="s">
        <v>52</v>
      </c>
      <c r="AP2798" t="s">
        <v>116</v>
      </c>
    </row>
    <row r="2799" spans="1:42">
      <c r="A2799" s="9">
        <v>43845</v>
      </c>
      <c r="B2799">
        <v>3</v>
      </c>
      <c r="C2799">
        <v>990</v>
      </c>
      <c r="D2799">
        <v>14523</v>
      </c>
      <c r="E2799" t="s">
        <v>847</v>
      </c>
      <c r="F2799" t="s">
        <v>520</v>
      </c>
      <c r="G2799">
        <v>2</v>
      </c>
      <c r="H2799">
        <v>39</v>
      </c>
      <c r="I2799" s="25" t="s">
        <v>874</v>
      </c>
      <c r="K2799" s="21" t="s">
        <v>329</v>
      </c>
      <c r="L2799" t="s">
        <v>141</v>
      </c>
      <c r="M2799" t="s">
        <v>52</v>
      </c>
      <c r="N2799" t="s">
        <v>40</v>
      </c>
      <c r="P2799">
        <v>677</v>
      </c>
      <c r="Q2799">
        <v>11</v>
      </c>
      <c r="R2799">
        <v>1</v>
      </c>
      <c r="S2799">
        <v>0</v>
      </c>
      <c r="T2799">
        <v>0</v>
      </c>
      <c r="U2799">
        <v>3</v>
      </c>
      <c r="V2799">
        <v>8</v>
      </c>
      <c r="W2799">
        <v>0</v>
      </c>
      <c r="X2799" s="21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2</v>
      </c>
      <c r="AG2799">
        <v>0</v>
      </c>
      <c r="AJ2799" t="s">
        <v>51</v>
      </c>
      <c r="AK2799" t="s">
        <v>95</v>
      </c>
      <c r="AL2799" t="s">
        <v>875</v>
      </c>
      <c r="AP2799" t="s">
        <v>116</v>
      </c>
    </row>
    <row r="2800" spans="1:42">
      <c r="A2800" s="9">
        <v>43845</v>
      </c>
      <c r="B2800">
        <v>3</v>
      </c>
      <c r="C2800">
        <v>990</v>
      </c>
      <c r="D2800">
        <v>14523</v>
      </c>
      <c r="E2800" t="s">
        <v>847</v>
      </c>
      <c r="F2800" t="s">
        <v>520</v>
      </c>
      <c r="G2800">
        <v>2</v>
      </c>
      <c r="H2800">
        <v>41</v>
      </c>
      <c r="I2800" s="25" t="s">
        <v>876</v>
      </c>
      <c r="K2800" t="s">
        <v>862</v>
      </c>
      <c r="L2800" t="s">
        <v>141</v>
      </c>
      <c r="M2800" t="s">
        <v>52</v>
      </c>
      <c r="N2800" t="s">
        <v>40</v>
      </c>
      <c r="O2800">
        <v>103</v>
      </c>
      <c r="Q2800">
        <v>4</v>
      </c>
      <c r="R2800">
        <v>1</v>
      </c>
      <c r="S2800">
        <v>0</v>
      </c>
      <c r="T2800">
        <v>0</v>
      </c>
      <c r="U2800">
        <v>2</v>
      </c>
      <c r="V2800">
        <v>1</v>
      </c>
      <c r="W2800">
        <v>1</v>
      </c>
      <c r="X2800" s="21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J2800" t="s">
        <v>51</v>
      </c>
      <c r="AK2800" t="s">
        <v>52</v>
      </c>
      <c r="AP2800" t="s">
        <v>116</v>
      </c>
    </row>
    <row r="2801" spans="1:42">
      <c r="A2801" s="9">
        <v>43845</v>
      </c>
      <c r="B2801">
        <v>3</v>
      </c>
      <c r="C2801">
        <v>990</v>
      </c>
      <c r="D2801">
        <v>14523</v>
      </c>
      <c r="E2801" t="s">
        <v>847</v>
      </c>
      <c r="F2801" t="s">
        <v>520</v>
      </c>
      <c r="G2801">
        <v>2</v>
      </c>
      <c r="H2801">
        <v>42</v>
      </c>
      <c r="I2801" s="25">
        <v>2347</v>
      </c>
      <c r="K2801" t="s">
        <v>862</v>
      </c>
      <c r="L2801" t="s">
        <v>141</v>
      </c>
      <c r="M2801" t="s">
        <v>52</v>
      </c>
      <c r="N2801" t="s">
        <v>44</v>
      </c>
      <c r="O2801">
        <v>107</v>
      </c>
      <c r="Q2801">
        <v>1</v>
      </c>
      <c r="R2801">
        <v>1</v>
      </c>
      <c r="S2801">
        <v>0</v>
      </c>
      <c r="T2801">
        <v>0</v>
      </c>
      <c r="U2801">
        <v>0</v>
      </c>
      <c r="V2801">
        <v>1</v>
      </c>
      <c r="W2801">
        <v>0</v>
      </c>
      <c r="X2801" s="2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J2801" t="s">
        <v>51</v>
      </c>
      <c r="AK2801" t="s">
        <v>52</v>
      </c>
      <c r="AL2801" t="s">
        <v>694</v>
      </c>
      <c r="AP2801" t="s">
        <v>116</v>
      </c>
    </row>
    <row r="2802" spans="1:42">
      <c r="A2802" s="9">
        <v>43845</v>
      </c>
      <c r="B2802">
        <v>3</v>
      </c>
      <c r="C2802">
        <v>990</v>
      </c>
      <c r="D2802">
        <v>14523</v>
      </c>
      <c r="E2802" t="s">
        <v>847</v>
      </c>
      <c r="F2802" t="s">
        <v>520</v>
      </c>
      <c r="G2802">
        <v>2</v>
      </c>
      <c r="H2802">
        <v>43</v>
      </c>
      <c r="I2802" s="25">
        <v>2351</v>
      </c>
      <c r="K2802" t="s">
        <v>862</v>
      </c>
      <c r="L2802" t="s">
        <v>141</v>
      </c>
      <c r="M2802" t="s">
        <v>52</v>
      </c>
      <c r="N2802" t="s">
        <v>40</v>
      </c>
      <c r="O2802">
        <v>47</v>
      </c>
      <c r="Q2802">
        <v>1</v>
      </c>
      <c r="R2802">
        <v>1</v>
      </c>
      <c r="S2802">
        <v>0</v>
      </c>
      <c r="T2802">
        <v>0</v>
      </c>
      <c r="U2802">
        <v>0</v>
      </c>
      <c r="V2802">
        <v>0</v>
      </c>
      <c r="W2802">
        <v>1</v>
      </c>
      <c r="X2802" s="21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J2802" t="s">
        <v>51</v>
      </c>
      <c r="AK2802" t="s">
        <v>52</v>
      </c>
      <c r="AP2802" t="s">
        <v>116</v>
      </c>
    </row>
    <row r="2803" spans="1:42">
      <c r="A2803" s="9">
        <v>43845</v>
      </c>
      <c r="B2803">
        <v>3</v>
      </c>
      <c r="C2803">
        <v>990</v>
      </c>
      <c r="D2803">
        <v>14523</v>
      </c>
      <c r="E2803" t="s">
        <v>847</v>
      </c>
      <c r="F2803" t="s">
        <v>520</v>
      </c>
      <c r="G2803">
        <v>2</v>
      </c>
      <c r="H2803">
        <v>44</v>
      </c>
      <c r="I2803" s="25">
        <v>2341</v>
      </c>
      <c r="K2803" t="s">
        <v>862</v>
      </c>
      <c r="L2803" t="s">
        <v>141</v>
      </c>
      <c r="M2803" t="s">
        <v>52</v>
      </c>
      <c r="N2803" t="s">
        <v>40</v>
      </c>
      <c r="O2803">
        <v>28</v>
      </c>
      <c r="Q2803">
        <v>1</v>
      </c>
      <c r="R2803">
        <v>1</v>
      </c>
      <c r="S2803">
        <v>0</v>
      </c>
      <c r="T2803">
        <v>0</v>
      </c>
      <c r="U2803">
        <v>0</v>
      </c>
      <c r="V2803">
        <v>1</v>
      </c>
      <c r="W2803">
        <v>0</v>
      </c>
      <c r="X2803" s="21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J2803" t="s">
        <v>51</v>
      </c>
      <c r="AK2803" t="s">
        <v>52</v>
      </c>
      <c r="AP2803" t="s">
        <v>116</v>
      </c>
    </row>
    <row r="2804" spans="1:42">
      <c r="A2804" s="9">
        <v>43845</v>
      </c>
      <c r="B2804">
        <v>3</v>
      </c>
      <c r="C2804">
        <v>990</v>
      </c>
      <c r="D2804">
        <v>14523</v>
      </c>
      <c r="E2804" t="s">
        <v>847</v>
      </c>
      <c r="F2804" t="s">
        <v>520</v>
      </c>
      <c r="G2804">
        <v>2</v>
      </c>
      <c r="H2804">
        <v>45</v>
      </c>
      <c r="I2804" s="25" t="s">
        <v>877</v>
      </c>
      <c r="K2804" t="s">
        <v>862</v>
      </c>
      <c r="L2804" t="s">
        <v>141</v>
      </c>
      <c r="M2804" t="s">
        <v>52</v>
      </c>
      <c r="N2804" t="s">
        <v>40</v>
      </c>
      <c r="O2804">
        <v>72</v>
      </c>
      <c r="Q2804">
        <v>2</v>
      </c>
      <c r="R2804">
        <v>1</v>
      </c>
      <c r="S2804">
        <v>0</v>
      </c>
      <c r="T2804">
        <v>0</v>
      </c>
      <c r="U2804">
        <v>0</v>
      </c>
      <c r="V2804">
        <v>2</v>
      </c>
      <c r="W2804">
        <v>0</v>
      </c>
      <c r="X2804" s="21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J2804" t="s">
        <v>51</v>
      </c>
      <c r="AK2804" t="s">
        <v>52</v>
      </c>
      <c r="AP2804" t="s">
        <v>116</v>
      </c>
    </row>
    <row r="2805" spans="1:42">
      <c r="A2805" s="9">
        <v>43845</v>
      </c>
      <c r="B2805">
        <v>3</v>
      </c>
      <c r="C2805">
        <v>990</v>
      </c>
      <c r="D2805">
        <v>14523</v>
      </c>
      <c r="E2805" t="s">
        <v>847</v>
      </c>
      <c r="F2805" t="s">
        <v>520</v>
      </c>
      <c r="G2805">
        <v>2</v>
      </c>
      <c r="H2805">
        <v>46</v>
      </c>
      <c r="I2805" s="25">
        <v>2301</v>
      </c>
      <c r="K2805" t="s">
        <v>862</v>
      </c>
      <c r="L2805" t="s">
        <v>141</v>
      </c>
      <c r="M2805" t="s">
        <v>52</v>
      </c>
      <c r="N2805" t="s">
        <v>44</v>
      </c>
      <c r="O2805">
        <v>130</v>
      </c>
      <c r="Q2805">
        <v>2</v>
      </c>
      <c r="R2805">
        <v>1</v>
      </c>
      <c r="S2805">
        <v>0</v>
      </c>
      <c r="T2805">
        <v>0</v>
      </c>
      <c r="U2805">
        <v>0</v>
      </c>
      <c r="V2805">
        <v>2</v>
      </c>
      <c r="W2805">
        <v>0</v>
      </c>
      <c r="X2805" s="21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J2805" t="s">
        <v>51</v>
      </c>
      <c r="AK2805" t="s">
        <v>52</v>
      </c>
      <c r="AL2805" t="s">
        <v>694</v>
      </c>
      <c r="AP2805" t="s">
        <v>116</v>
      </c>
    </row>
    <row r="2806" spans="1:42">
      <c r="A2806" s="9">
        <v>43845</v>
      </c>
      <c r="B2806">
        <v>3</v>
      </c>
      <c r="C2806">
        <v>990</v>
      </c>
      <c r="D2806">
        <v>14523</v>
      </c>
      <c r="E2806" t="s">
        <v>847</v>
      </c>
      <c r="F2806" t="s">
        <v>520</v>
      </c>
      <c r="G2806">
        <v>2</v>
      </c>
      <c r="H2806">
        <v>47</v>
      </c>
      <c r="I2806" s="25">
        <v>2295</v>
      </c>
      <c r="K2806" t="s">
        <v>862</v>
      </c>
      <c r="L2806" t="s">
        <v>141</v>
      </c>
      <c r="M2806" t="s">
        <v>52</v>
      </c>
      <c r="N2806" t="s">
        <v>44</v>
      </c>
      <c r="O2806">
        <v>80</v>
      </c>
      <c r="Q2806">
        <v>1</v>
      </c>
      <c r="R2806">
        <v>1</v>
      </c>
      <c r="S2806">
        <v>0</v>
      </c>
      <c r="T2806">
        <v>0</v>
      </c>
      <c r="U2806">
        <v>0</v>
      </c>
      <c r="V2806">
        <v>0</v>
      </c>
      <c r="W2806">
        <v>1</v>
      </c>
      <c r="X2806" s="21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J2806" t="s">
        <v>51</v>
      </c>
      <c r="AK2806" t="s">
        <v>52</v>
      </c>
      <c r="AL2806" t="s">
        <v>694</v>
      </c>
      <c r="AP2806" t="s">
        <v>116</v>
      </c>
    </row>
    <row r="2807" spans="1:42">
      <c r="A2807" s="9">
        <v>43845</v>
      </c>
      <c r="B2807">
        <v>3</v>
      </c>
      <c r="C2807">
        <v>990</v>
      </c>
      <c r="D2807">
        <v>14523</v>
      </c>
      <c r="E2807" t="s">
        <v>847</v>
      </c>
      <c r="F2807" t="s">
        <v>520</v>
      </c>
      <c r="G2807">
        <v>2</v>
      </c>
      <c r="H2807">
        <v>48</v>
      </c>
      <c r="I2807" s="25" t="s">
        <v>878</v>
      </c>
      <c r="K2807" t="s">
        <v>862</v>
      </c>
      <c r="L2807" t="s">
        <v>141</v>
      </c>
      <c r="M2807" t="s">
        <v>52</v>
      </c>
      <c r="N2807" t="s">
        <v>40</v>
      </c>
      <c r="O2807">
        <v>95</v>
      </c>
      <c r="Q2807">
        <v>2</v>
      </c>
      <c r="R2807">
        <v>1</v>
      </c>
      <c r="S2807">
        <v>0</v>
      </c>
      <c r="T2807">
        <v>0</v>
      </c>
      <c r="U2807">
        <v>0</v>
      </c>
      <c r="V2807">
        <v>1</v>
      </c>
      <c r="W2807">
        <v>1</v>
      </c>
      <c r="X2807" s="21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2</v>
      </c>
      <c r="AG2807">
        <v>0</v>
      </c>
      <c r="AJ2807" t="s">
        <v>51</v>
      </c>
      <c r="AK2807" t="s">
        <v>52</v>
      </c>
      <c r="AL2807" t="s">
        <v>879</v>
      </c>
      <c r="AP2807" t="s">
        <v>116</v>
      </c>
    </row>
    <row r="2808" spans="1:42">
      <c r="A2808" s="9">
        <v>43845</v>
      </c>
      <c r="B2808">
        <v>3</v>
      </c>
      <c r="C2808">
        <v>990</v>
      </c>
      <c r="D2808">
        <v>14523</v>
      </c>
      <c r="E2808" t="s">
        <v>847</v>
      </c>
      <c r="F2808" t="s">
        <v>520</v>
      </c>
      <c r="G2808">
        <v>2</v>
      </c>
      <c r="H2808">
        <v>49</v>
      </c>
      <c r="I2808" s="25" t="s">
        <v>880</v>
      </c>
      <c r="K2808" t="s">
        <v>862</v>
      </c>
      <c r="L2808" t="s">
        <v>141</v>
      </c>
      <c r="M2808" t="s">
        <v>52</v>
      </c>
      <c r="N2808" t="s">
        <v>40</v>
      </c>
      <c r="O2808">
        <v>77</v>
      </c>
      <c r="Q2808">
        <v>3</v>
      </c>
      <c r="R2808">
        <v>1</v>
      </c>
      <c r="S2808">
        <v>0</v>
      </c>
      <c r="T2808">
        <v>0</v>
      </c>
      <c r="U2808">
        <v>2</v>
      </c>
      <c r="V2808">
        <v>1</v>
      </c>
      <c r="W2808">
        <v>0</v>
      </c>
      <c r="X2808" s="21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J2808" t="s">
        <v>51</v>
      </c>
      <c r="AK2808" t="s">
        <v>52</v>
      </c>
      <c r="AP2808" t="s">
        <v>116</v>
      </c>
    </row>
    <row r="2809" spans="1:42">
      <c r="A2809" s="9">
        <v>43845</v>
      </c>
      <c r="B2809">
        <v>3</v>
      </c>
      <c r="C2809">
        <v>990</v>
      </c>
      <c r="D2809">
        <v>14523</v>
      </c>
      <c r="E2809" t="s">
        <v>847</v>
      </c>
      <c r="F2809" t="s">
        <v>520</v>
      </c>
      <c r="G2809">
        <v>2</v>
      </c>
      <c r="H2809">
        <v>50</v>
      </c>
      <c r="I2809" s="25" t="s">
        <v>881</v>
      </c>
      <c r="K2809" t="s">
        <v>862</v>
      </c>
      <c r="L2809" t="s">
        <v>141</v>
      </c>
      <c r="M2809" t="s">
        <v>52</v>
      </c>
      <c r="N2809" t="s">
        <v>40</v>
      </c>
      <c r="O2809">
        <v>131</v>
      </c>
      <c r="Q2809">
        <v>4</v>
      </c>
      <c r="R2809">
        <v>1</v>
      </c>
      <c r="S2809">
        <v>0</v>
      </c>
      <c r="T2809">
        <v>0</v>
      </c>
      <c r="U2809">
        <v>0</v>
      </c>
      <c r="V2809">
        <v>4</v>
      </c>
      <c r="W2809">
        <v>0</v>
      </c>
      <c r="X2809" s="21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J2809" t="s">
        <v>51</v>
      </c>
      <c r="AK2809" t="s">
        <v>52</v>
      </c>
      <c r="AP2809" t="s">
        <v>116</v>
      </c>
    </row>
    <row r="2810" spans="1:42">
      <c r="A2810" s="9">
        <v>43845</v>
      </c>
      <c r="B2810">
        <v>3</v>
      </c>
      <c r="C2810">
        <v>990</v>
      </c>
      <c r="D2810">
        <v>14523</v>
      </c>
      <c r="E2810" t="s">
        <v>847</v>
      </c>
      <c r="F2810" t="s">
        <v>520</v>
      </c>
      <c r="G2810">
        <v>2</v>
      </c>
      <c r="H2810">
        <v>51</v>
      </c>
      <c r="I2810" s="25" t="s">
        <v>882</v>
      </c>
      <c r="K2810" t="s">
        <v>862</v>
      </c>
      <c r="L2810" t="s">
        <v>141</v>
      </c>
      <c r="M2810" t="s">
        <v>52</v>
      </c>
      <c r="N2810" t="s">
        <v>40</v>
      </c>
      <c r="O2810">
        <v>70</v>
      </c>
      <c r="Q2810">
        <v>2</v>
      </c>
      <c r="R2810">
        <v>1</v>
      </c>
      <c r="S2810">
        <v>0</v>
      </c>
      <c r="T2810">
        <v>0</v>
      </c>
      <c r="U2810">
        <v>0</v>
      </c>
      <c r="V2810">
        <v>1</v>
      </c>
      <c r="W2810">
        <v>1</v>
      </c>
      <c r="X2810" s="21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J2810" t="s">
        <v>51</v>
      </c>
      <c r="AK2810" t="s">
        <v>52</v>
      </c>
      <c r="AP2810" t="s">
        <v>116</v>
      </c>
    </row>
    <row r="2811" spans="1:42">
      <c r="A2811" s="9">
        <v>43845</v>
      </c>
      <c r="B2811">
        <v>3</v>
      </c>
      <c r="C2811">
        <v>990</v>
      </c>
      <c r="D2811">
        <v>14523</v>
      </c>
      <c r="E2811" t="s">
        <v>847</v>
      </c>
      <c r="F2811" t="s">
        <v>520</v>
      </c>
      <c r="G2811">
        <v>2</v>
      </c>
      <c r="H2811">
        <v>52</v>
      </c>
      <c r="I2811" s="25" t="s">
        <v>883</v>
      </c>
      <c r="K2811" t="s">
        <v>884</v>
      </c>
      <c r="L2811" t="s">
        <v>114</v>
      </c>
      <c r="M2811" t="s">
        <v>52</v>
      </c>
      <c r="N2811" t="s">
        <v>40</v>
      </c>
      <c r="O2811">
        <v>94</v>
      </c>
      <c r="Q2811">
        <v>4</v>
      </c>
      <c r="R2811">
        <v>1</v>
      </c>
      <c r="S2811">
        <v>0</v>
      </c>
      <c r="T2811">
        <v>0</v>
      </c>
      <c r="U2811">
        <v>0</v>
      </c>
      <c r="V2811">
        <v>4</v>
      </c>
      <c r="W2811">
        <v>0</v>
      </c>
      <c r="X2811" s="2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J2811" t="s">
        <v>51</v>
      </c>
      <c r="AK2811" t="s">
        <v>52</v>
      </c>
      <c r="AP2811" t="s">
        <v>116</v>
      </c>
    </row>
    <row r="2812" spans="1:42">
      <c r="A2812" s="9">
        <v>43845</v>
      </c>
      <c r="B2812">
        <v>3</v>
      </c>
      <c r="C2812">
        <v>990</v>
      </c>
      <c r="D2812">
        <v>14523</v>
      </c>
      <c r="E2812" t="s">
        <v>847</v>
      </c>
      <c r="F2812" t="s">
        <v>520</v>
      </c>
      <c r="G2812">
        <v>2</v>
      </c>
      <c r="H2812">
        <v>53</v>
      </c>
      <c r="I2812" s="25" t="s">
        <v>885</v>
      </c>
      <c r="K2812" t="s">
        <v>884</v>
      </c>
      <c r="L2812" t="s">
        <v>114</v>
      </c>
      <c r="M2812" t="s">
        <v>52</v>
      </c>
      <c r="N2812" t="s">
        <v>40</v>
      </c>
      <c r="O2812">
        <v>66</v>
      </c>
      <c r="Q2812">
        <v>2</v>
      </c>
      <c r="R2812">
        <v>1</v>
      </c>
      <c r="S2812">
        <v>0</v>
      </c>
      <c r="T2812">
        <v>0</v>
      </c>
      <c r="U2812">
        <v>0</v>
      </c>
      <c r="V2812">
        <v>2</v>
      </c>
      <c r="W2812">
        <v>0</v>
      </c>
      <c r="X2812" s="21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J2812" t="s">
        <v>51</v>
      </c>
      <c r="AK2812" t="s">
        <v>52</v>
      </c>
      <c r="AP2812" t="s">
        <v>116</v>
      </c>
    </row>
    <row r="2813" spans="1:42">
      <c r="A2813" s="9">
        <v>43845</v>
      </c>
      <c r="B2813">
        <v>3</v>
      </c>
      <c r="C2813">
        <v>990</v>
      </c>
      <c r="D2813">
        <v>14523</v>
      </c>
      <c r="E2813" t="s">
        <v>847</v>
      </c>
      <c r="F2813" t="s">
        <v>520</v>
      </c>
      <c r="G2813">
        <v>2</v>
      </c>
      <c r="H2813">
        <v>54</v>
      </c>
      <c r="I2813" s="25" t="s">
        <v>886</v>
      </c>
      <c r="K2813" t="s">
        <v>884</v>
      </c>
      <c r="L2813" t="s">
        <v>114</v>
      </c>
      <c r="M2813" t="s">
        <v>52</v>
      </c>
      <c r="N2813" t="s">
        <v>40</v>
      </c>
      <c r="O2813">
        <v>109</v>
      </c>
      <c r="Q2813">
        <v>4</v>
      </c>
      <c r="R2813">
        <v>1</v>
      </c>
      <c r="S2813">
        <v>0</v>
      </c>
      <c r="T2813">
        <v>0</v>
      </c>
      <c r="U2813">
        <v>1</v>
      </c>
      <c r="V2813">
        <v>3</v>
      </c>
      <c r="W2813">
        <v>0</v>
      </c>
      <c r="X2813" s="21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J2813" t="s">
        <v>51</v>
      </c>
      <c r="AK2813" t="s">
        <v>52</v>
      </c>
      <c r="AP2813" t="s">
        <v>116</v>
      </c>
    </row>
    <row r="2814" spans="1:42">
      <c r="A2814" s="9">
        <v>43845</v>
      </c>
      <c r="B2814">
        <v>3</v>
      </c>
      <c r="C2814">
        <v>990</v>
      </c>
      <c r="D2814">
        <v>14523</v>
      </c>
      <c r="E2814" t="s">
        <v>847</v>
      </c>
      <c r="F2814" t="s">
        <v>520</v>
      </c>
      <c r="G2814">
        <v>2</v>
      </c>
      <c r="H2814">
        <v>55</v>
      </c>
      <c r="I2814" s="25">
        <v>2170</v>
      </c>
      <c r="K2814" t="s">
        <v>884</v>
      </c>
      <c r="L2814" t="s">
        <v>114</v>
      </c>
      <c r="M2814" t="s">
        <v>52</v>
      </c>
      <c r="N2814" t="s">
        <v>40</v>
      </c>
      <c r="O2814">
        <v>30</v>
      </c>
      <c r="Q2814">
        <v>1</v>
      </c>
      <c r="R2814">
        <v>1</v>
      </c>
      <c r="S2814">
        <v>0</v>
      </c>
      <c r="T2814">
        <v>0</v>
      </c>
      <c r="U2814">
        <v>0</v>
      </c>
      <c r="V2814">
        <v>0</v>
      </c>
      <c r="W2814">
        <v>1</v>
      </c>
      <c r="X2814" s="21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J2814" t="s">
        <v>51</v>
      </c>
      <c r="AK2814" t="s">
        <v>52</v>
      </c>
      <c r="AP2814" t="s">
        <v>116</v>
      </c>
    </row>
    <row r="2815" spans="1:42">
      <c r="A2815" s="9">
        <v>43845</v>
      </c>
      <c r="B2815">
        <v>3</v>
      </c>
      <c r="C2815">
        <v>990</v>
      </c>
      <c r="D2815">
        <v>14523</v>
      </c>
      <c r="E2815" t="s">
        <v>847</v>
      </c>
      <c r="F2815" t="s">
        <v>520</v>
      </c>
      <c r="G2815">
        <v>2</v>
      </c>
      <c r="H2815">
        <v>56</v>
      </c>
      <c r="I2815" s="25">
        <v>2190</v>
      </c>
      <c r="K2815" t="s">
        <v>884</v>
      </c>
      <c r="L2815" t="s">
        <v>114</v>
      </c>
      <c r="M2815" t="s">
        <v>52</v>
      </c>
      <c r="N2815" t="s">
        <v>44</v>
      </c>
      <c r="O2815">
        <v>73</v>
      </c>
      <c r="Q2815">
        <v>1</v>
      </c>
      <c r="R2815">
        <v>1</v>
      </c>
      <c r="S2815">
        <v>0</v>
      </c>
      <c r="T2815">
        <v>0</v>
      </c>
      <c r="U2815">
        <v>0</v>
      </c>
      <c r="V2815">
        <v>0</v>
      </c>
      <c r="W2815">
        <v>1</v>
      </c>
      <c r="X2815" s="21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J2815" t="s">
        <v>51</v>
      </c>
      <c r="AK2815" t="s">
        <v>52</v>
      </c>
      <c r="AL2815" t="s">
        <v>694</v>
      </c>
      <c r="AP2815" t="s">
        <v>116</v>
      </c>
    </row>
    <row r="2816" spans="1:42">
      <c r="A2816" s="9">
        <v>43845</v>
      </c>
      <c r="B2816">
        <v>3</v>
      </c>
      <c r="C2816">
        <v>990</v>
      </c>
      <c r="D2816">
        <v>14523</v>
      </c>
      <c r="E2816" t="s">
        <v>847</v>
      </c>
      <c r="F2816" t="s">
        <v>520</v>
      </c>
      <c r="G2816">
        <v>2</v>
      </c>
      <c r="H2816">
        <v>57</v>
      </c>
      <c r="I2816" s="25">
        <v>3501</v>
      </c>
      <c r="K2816" t="s">
        <v>256</v>
      </c>
      <c r="L2816" t="s">
        <v>141</v>
      </c>
      <c r="M2816" t="s">
        <v>52</v>
      </c>
      <c r="N2816" t="s">
        <v>44</v>
      </c>
      <c r="O2816">
        <v>132</v>
      </c>
      <c r="Q2816">
        <v>2</v>
      </c>
      <c r="R2816">
        <v>1</v>
      </c>
      <c r="S2816">
        <v>0</v>
      </c>
      <c r="T2816">
        <v>0</v>
      </c>
      <c r="U2816">
        <v>0</v>
      </c>
      <c r="V2816">
        <v>0</v>
      </c>
      <c r="W2816">
        <v>2</v>
      </c>
      <c r="X2816" s="21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J2816" t="s">
        <v>51</v>
      </c>
      <c r="AK2816" t="s">
        <v>95</v>
      </c>
      <c r="AL2816" t="s">
        <v>694</v>
      </c>
      <c r="AP2816" t="s">
        <v>116</v>
      </c>
    </row>
    <row r="2817" spans="1:42">
      <c r="A2817" s="9">
        <v>43845</v>
      </c>
      <c r="B2817">
        <v>3</v>
      </c>
      <c r="C2817">
        <v>990</v>
      </c>
      <c r="D2817">
        <v>14523</v>
      </c>
      <c r="E2817" t="s">
        <v>847</v>
      </c>
      <c r="F2817" t="s">
        <v>520</v>
      </c>
      <c r="G2817">
        <v>2</v>
      </c>
      <c r="H2817">
        <v>58</v>
      </c>
      <c r="I2817" s="25">
        <v>2301</v>
      </c>
      <c r="K2817" t="s">
        <v>884</v>
      </c>
      <c r="L2817" t="s">
        <v>141</v>
      </c>
      <c r="M2817" t="s">
        <v>52</v>
      </c>
      <c r="N2817" t="s">
        <v>44</v>
      </c>
      <c r="O2817">
        <v>84</v>
      </c>
      <c r="Q2817">
        <v>1</v>
      </c>
      <c r="R2817">
        <v>1</v>
      </c>
      <c r="S2817">
        <v>0</v>
      </c>
      <c r="T2817">
        <v>0</v>
      </c>
      <c r="U2817">
        <v>0</v>
      </c>
      <c r="V2817">
        <v>0</v>
      </c>
      <c r="W2817">
        <v>1</v>
      </c>
      <c r="X2817" s="21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J2817" t="s">
        <v>51</v>
      </c>
      <c r="AK2817" t="s">
        <v>52</v>
      </c>
      <c r="AL2817" t="s">
        <v>694</v>
      </c>
      <c r="AP2817" t="s">
        <v>116</v>
      </c>
    </row>
    <row r="2818" spans="1:42">
      <c r="A2818" s="9">
        <v>43845</v>
      </c>
      <c r="B2818">
        <v>3</v>
      </c>
      <c r="C2818">
        <v>990</v>
      </c>
      <c r="D2818">
        <v>14523</v>
      </c>
      <c r="E2818" t="s">
        <v>847</v>
      </c>
      <c r="F2818" t="s">
        <v>520</v>
      </c>
      <c r="G2818">
        <v>2</v>
      </c>
      <c r="H2818">
        <v>59</v>
      </c>
      <c r="I2818" s="25">
        <v>2185</v>
      </c>
      <c r="K2818" t="s">
        <v>884</v>
      </c>
      <c r="L2818" t="s">
        <v>141</v>
      </c>
      <c r="M2818" t="s">
        <v>52</v>
      </c>
      <c r="N2818" t="s">
        <v>44</v>
      </c>
      <c r="O2818">
        <v>102</v>
      </c>
      <c r="Q2818">
        <v>2</v>
      </c>
      <c r="R2818">
        <v>1</v>
      </c>
      <c r="S2818">
        <v>0</v>
      </c>
      <c r="T2818">
        <v>0</v>
      </c>
      <c r="U2818">
        <v>0</v>
      </c>
      <c r="V2818">
        <v>0</v>
      </c>
      <c r="W2818">
        <v>2</v>
      </c>
      <c r="X2818" s="21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J2818" t="s">
        <v>51</v>
      </c>
      <c r="AK2818" t="s">
        <v>95</v>
      </c>
      <c r="AL2818" t="s">
        <v>694</v>
      </c>
      <c r="AP2818" t="s">
        <v>116</v>
      </c>
    </row>
    <row r="2819" spans="1:42">
      <c r="A2819" s="9">
        <v>43845</v>
      </c>
      <c r="B2819">
        <v>3</v>
      </c>
      <c r="C2819">
        <v>990</v>
      </c>
      <c r="D2819">
        <v>14523</v>
      </c>
      <c r="E2819" t="s">
        <v>847</v>
      </c>
      <c r="F2819" t="s">
        <v>520</v>
      </c>
      <c r="G2819">
        <v>2</v>
      </c>
      <c r="H2819">
        <v>60</v>
      </c>
      <c r="I2819" s="25">
        <v>2171</v>
      </c>
      <c r="K2819" t="s">
        <v>884</v>
      </c>
      <c r="L2819" t="s">
        <v>141</v>
      </c>
      <c r="M2819" t="s">
        <v>52</v>
      </c>
      <c r="N2819" t="s">
        <v>40</v>
      </c>
      <c r="O2819">
        <v>100</v>
      </c>
      <c r="Q2819">
        <v>2</v>
      </c>
      <c r="R2819">
        <v>1</v>
      </c>
      <c r="S2819">
        <v>0</v>
      </c>
      <c r="T2819">
        <v>0</v>
      </c>
      <c r="U2819">
        <v>1</v>
      </c>
      <c r="V2819">
        <v>1</v>
      </c>
      <c r="W2819">
        <v>0</v>
      </c>
      <c r="X2819" s="21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1</v>
      </c>
      <c r="AG2819">
        <v>0</v>
      </c>
      <c r="AJ2819" t="s">
        <v>51</v>
      </c>
      <c r="AK2819" t="s">
        <v>95</v>
      </c>
      <c r="AL2819" t="s">
        <v>887</v>
      </c>
      <c r="AP2819" t="s">
        <v>116</v>
      </c>
    </row>
    <row r="2820" spans="1:42">
      <c r="A2820" s="9">
        <v>43845</v>
      </c>
      <c r="B2820">
        <v>3</v>
      </c>
      <c r="C2820">
        <v>990</v>
      </c>
      <c r="D2820">
        <v>14523</v>
      </c>
      <c r="E2820" t="s">
        <v>847</v>
      </c>
      <c r="F2820" t="s">
        <v>520</v>
      </c>
      <c r="G2820">
        <v>2</v>
      </c>
      <c r="H2820">
        <v>61</v>
      </c>
      <c r="I2820" s="25">
        <v>2159</v>
      </c>
      <c r="K2820" t="s">
        <v>884</v>
      </c>
      <c r="L2820" t="s">
        <v>141</v>
      </c>
      <c r="M2820" t="s">
        <v>52</v>
      </c>
      <c r="N2820" t="s">
        <v>40</v>
      </c>
      <c r="O2820">
        <v>30</v>
      </c>
      <c r="Q2820">
        <v>1</v>
      </c>
      <c r="R2820">
        <v>1</v>
      </c>
      <c r="S2820">
        <v>0</v>
      </c>
      <c r="T2820">
        <v>0</v>
      </c>
      <c r="U2820">
        <v>0</v>
      </c>
      <c r="V2820">
        <v>0</v>
      </c>
      <c r="W2820">
        <v>1</v>
      </c>
      <c r="X2820" s="21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J2820" t="s">
        <v>51</v>
      </c>
      <c r="AK2820" t="s">
        <v>52</v>
      </c>
      <c r="AP2820" t="s">
        <v>116</v>
      </c>
    </row>
    <row r="2821" spans="1:42">
      <c r="A2821" s="9">
        <v>43845</v>
      </c>
      <c r="B2821">
        <v>3</v>
      </c>
      <c r="C2821">
        <v>990</v>
      </c>
      <c r="D2821">
        <v>14523</v>
      </c>
      <c r="E2821" t="s">
        <v>847</v>
      </c>
      <c r="F2821" t="s">
        <v>520</v>
      </c>
      <c r="G2821">
        <v>2</v>
      </c>
      <c r="H2821">
        <v>62</v>
      </c>
      <c r="I2821" s="25">
        <v>2155</v>
      </c>
      <c r="K2821" t="s">
        <v>884</v>
      </c>
      <c r="L2821" t="s">
        <v>141</v>
      </c>
      <c r="M2821" t="s">
        <v>52</v>
      </c>
      <c r="N2821" t="s">
        <v>40</v>
      </c>
      <c r="O2821">
        <v>63</v>
      </c>
      <c r="Q2821">
        <v>1</v>
      </c>
      <c r="R2821">
        <v>1</v>
      </c>
      <c r="S2821">
        <v>0</v>
      </c>
      <c r="T2821">
        <v>0</v>
      </c>
      <c r="U2821">
        <v>0</v>
      </c>
      <c r="V2821">
        <v>1</v>
      </c>
      <c r="W2821">
        <v>0</v>
      </c>
      <c r="X2821" s="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J2821" t="s">
        <v>51</v>
      </c>
      <c r="AK2821" t="s">
        <v>52</v>
      </c>
      <c r="AP2821" t="s">
        <v>116</v>
      </c>
    </row>
    <row r="2822" spans="1:42">
      <c r="A2822" s="9">
        <v>43845</v>
      </c>
      <c r="B2822">
        <v>3</v>
      </c>
      <c r="C2822">
        <v>990</v>
      </c>
      <c r="D2822">
        <v>14523</v>
      </c>
      <c r="E2822" t="s">
        <v>847</v>
      </c>
      <c r="F2822" t="s">
        <v>520</v>
      </c>
      <c r="G2822">
        <v>2</v>
      </c>
      <c r="H2822">
        <v>63</v>
      </c>
      <c r="I2822" s="25">
        <v>2143</v>
      </c>
      <c r="K2822" t="s">
        <v>884</v>
      </c>
      <c r="L2822" t="s">
        <v>141</v>
      </c>
      <c r="M2822" t="s">
        <v>52</v>
      </c>
      <c r="N2822" t="s">
        <v>40</v>
      </c>
      <c r="O2822">
        <v>73</v>
      </c>
      <c r="Q2822">
        <v>2</v>
      </c>
      <c r="R2822">
        <v>1</v>
      </c>
      <c r="S2822">
        <v>0</v>
      </c>
      <c r="T2822">
        <v>0</v>
      </c>
      <c r="U2822">
        <v>0</v>
      </c>
      <c r="V2822">
        <v>1</v>
      </c>
      <c r="W2822">
        <v>1</v>
      </c>
      <c r="X2822" s="21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1</v>
      </c>
      <c r="AG2822">
        <v>0</v>
      </c>
      <c r="AJ2822" t="s">
        <v>51</v>
      </c>
      <c r="AK2822" t="s">
        <v>52</v>
      </c>
      <c r="AL2822" t="s">
        <v>887</v>
      </c>
      <c r="AP2822" t="s">
        <v>116</v>
      </c>
    </row>
    <row r="2823" spans="1:42">
      <c r="A2823" s="9">
        <v>43845</v>
      </c>
      <c r="B2823">
        <v>3</v>
      </c>
      <c r="C2823">
        <v>990</v>
      </c>
      <c r="D2823">
        <v>14523</v>
      </c>
      <c r="E2823" t="s">
        <v>847</v>
      </c>
      <c r="F2823" t="s">
        <v>520</v>
      </c>
      <c r="G2823">
        <v>2</v>
      </c>
      <c r="H2823">
        <v>64</v>
      </c>
      <c r="I2823" s="25">
        <v>2135</v>
      </c>
      <c r="K2823" t="s">
        <v>884</v>
      </c>
      <c r="L2823" t="s">
        <v>141</v>
      </c>
      <c r="M2823" t="s">
        <v>52</v>
      </c>
      <c r="N2823" t="s">
        <v>44</v>
      </c>
      <c r="O2823">
        <v>67</v>
      </c>
      <c r="Q2823">
        <v>1</v>
      </c>
      <c r="R2823">
        <v>1</v>
      </c>
      <c r="S2823">
        <v>0</v>
      </c>
      <c r="T2823">
        <v>0</v>
      </c>
      <c r="U2823">
        <v>0</v>
      </c>
      <c r="V2823">
        <v>1</v>
      </c>
      <c r="W2823">
        <v>0</v>
      </c>
      <c r="X2823" s="21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J2823" t="s">
        <v>51</v>
      </c>
      <c r="AK2823" t="s">
        <v>52</v>
      </c>
      <c r="AL2823" t="s">
        <v>888</v>
      </c>
      <c r="AP2823" t="s">
        <v>116</v>
      </c>
    </row>
    <row r="2824" spans="1:42">
      <c r="A2824" s="9">
        <v>43845</v>
      </c>
      <c r="B2824">
        <v>3</v>
      </c>
      <c r="C2824">
        <v>990</v>
      </c>
      <c r="D2824">
        <v>14523</v>
      </c>
      <c r="E2824" t="s">
        <v>847</v>
      </c>
      <c r="F2824" t="s">
        <v>520</v>
      </c>
      <c r="G2824">
        <v>2</v>
      </c>
      <c r="H2824">
        <v>65</v>
      </c>
      <c r="I2824" s="25" t="s">
        <v>889</v>
      </c>
      <c r="K2824" t="s">
        <v>884</v>
      </c>
      <c r="L2824" t="s">
        <v>141</v>
      </c>
      <c r="M2824" t="s">
        <v>52</v>
      </c>
      <c r="N2824" t="s">
        <v>40</v>
      </c>
      <c r="O2824">
        <v>82</v>
      </c>
      <c r="Q2824">
        <v>4</v>
      </c>
      <c r="R2824">
        <v>1</v>
      </c>
      <c r="S2824">
        <v>0</v>
      </c>
      <c r="T2824">
        <v>0</v>
      </c>
      <c r="U2824">
        <v>0</v>
      </c>
      <c r="V2824">
        <v>4</v>
      </c>
      <c r="W2824">
        <v>0</v>
      </c>
      <c r="X2824" s="21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J2824" t="s">
        <v>51</v>
      </c>
      <c r="AK2824" t="s">
        <v>52</v>
      </c>
      <c r="AP2824" t="s">
        <v>116</v>
      </c>
    </row>
    <row r="2825" spans="1:42">
      <c r="A2825" s="9">
        <v>43845</v>
      </c>
      <c r="B2825">
        <v>3</v>
      </c>
      <c r="C2825">
        <v>990</v>
      </c>
      <c r="D2825">
        <v>14523</v>
      </c>
      <c r="E2825" t="s">
        <v>847</v>
      </c>
      <c r="F2825" t="s">
        <v>520</v>
      </c>
      <c r="G2825">
        <v>2</v>
      </c>
      <c r="H2825">
        <v>66</v>
      </c>
      <c r="I2825" s="25">
        <v>2101</v>
      </c>
      <c r="K2825" t="s">
        <v>884</v>
      </c>
      <c r="L2825" t="s">
        <v>141</v>
      </c>
      <c r="M2825" t="s">
        <v>52</v>
      </c>
      <c r="N2825" t="s">
        <v>44</v>
      </c>
      <c r="O2825">
        <v>190</v>
      </c>
      <c r="Q2825">
        <v>1</v>
      </c>
      <c r="R2825">
        <v>1</v>
      </c>
      <c r="S2825">
        <v>0</v>
      </c>
      <c r="T2825">
        <v>0</v>
      </c>
      <c r="U2825">
        <v>0</v>
      </c>
      <c r="V2825">
        <v>0</v>
      </c>
      <c r="W2825">
        <v>1</v>
      </c>
      <c r="X2825" s="21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2</v>
      </c>
      <c r="AG2825">
        <v>0</v>
      </c>
      <c r="AJ2825" t="s">
        <v>51</v>
      </c>
      <c r="AK2825" t="s">
        <v>52</v>
      </c>
      <c r="AL2825" t="s">
        <v>890</v>
      </c>
      <c r="AP2825" t="s">
        <v>116</v>
      </c>
    </row>
    <row r="2826" spans="1:42">
      <c r="A2826" s="9">
        <v>43845</v>
      </c>
      <c r="B2826">
        <v>3</v>
      </c>
      <c r="C2826">
        <v>990</v>
      </c>
      <c r="D2826">
        <v>14523</v>
      </c>
      <c r="E2826" t="s">
        <v>847</v>
      </c>
      <c r="F2826" t="s">
        <v>520</v>
      </c>
      <c r="G2826">
        <v>2</v>
      </c>
      <c r="H2826">
        <v>67</v>
      </c>
      <c r="I2826" s="25">
        <v>3490</v>
      </c>
      <c r="K2826" t="s">
        <v>175</v>
      </c>
      <c r="L2826" t="s">
        <v>114</v>
      </c>
      <c r="M2826" t="s">
        <v>52</v>
      </c>
      <c r="N2826" t="s">
        <v>44</v>
      </c>
      <c r="O2826">
        <v>101</v>
      </c>
      <c r="Q2826">
        <v>1</v>
      </c>
      <c r="R2826">
        <v>1</v>
      </c>
      <c r="S2826">
        <v>0</v>
      </c>
      <c r="T2826">
        <v>0</v>
      </c>
      <c r="U2826">
        <v>0</v>
      </c>
      <c r="V2826">
        <v>0</v>
      </c>
      <c r="W2826">
        <v>1</v>
      </c>
      <c r="X2826" s="21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J2826" t="s">
        <v>51</v>
      </c>
      <c r="AK2826" t="s">
        <v>52</v>
      </c>
      <c r="AL2826" t="s">
        <v>891</v>
      </c>
      <c r="AP2826" t="s">
        <v>116</v>
      </c>
    </row>
    <row r="2827" spans="1:42">
      <c r="A2827" s="9">
        <v>43845</v>
      </c>
      <c r="B2827">
        <v>3</v>
      </c>
      <c r="C2827">
        <v>990</v>
      </c>
      <c r="D2827">
        <v>14523</v>
      </c>
      <c r="E2827" t="s">
        <v>847</v>
      </c>
      <c r="F2827" t="s">
        <v>520</v>
      </c>
      <c r="G2827">
        <v>2</v>
      </c>
      <c r="H2827">
        <v>68</v>
      </c>
      <c r="I2827" s="25">
        <v>3500</v>
      </c>
      <c r="K2827" t="s">
        <v>175</v>
      </c>
      <c r="L2827" t="s">
        <v>114</v>
      </c>
      <c r="M2827" t="s">
        <v>52</v>
      </c>
      <c r="N2827" t="s">
        <v>40</v>
      </c>
      <c r="O2827">
        <v>31</v>
      </c>
      <c r="Q2827">
        <v>1</v>
      </c>
      <c r="R2827">
        <v>1</v>
      </c>
      <c r="S2827">
        <v>0</v>
      </c>
      <c r="T2827">
        <v>0</v>
      </c>
      <c r="U2827">
        <v>0</v>
      </c>
      <c r="V2827">
        <v>1</v>
      </c>
      <c r="W2827">
        <v>0</v>
      </c>
      <c r="X2827" s="21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J2827" t="s">
        <v>51</v>
      </c>
      <c r="AK2827" t="s">
        <v>52</v>
      </c>
      <c r="AP2827" t="s">
        <v>116</v>
      </c>
    </row>
    <row r="2828" spans="1:42">
      <c r="A2828" s="9">
        <v>43845</v>
      </c>
      <c r="B2828">
        <v>3</v>
      </c>
      <c r="C2828">
        <v>990</v>
      </c>
      <c r="D2828">
        <v>14523</v>
      </c>
      <c r="E2828" t="s">
        <v>847</v>
      </c>
      <c r="F2828" t="s">
        <v>520</v>
      </c>
      <c r="G2828">
        <v>2</v>
      </c>
      <c r="H2828">
        <v>69</v>
      </c>
      <c r="I2828" s="25" t="s">
        <v>892</v>
      </c>
      <c r="K2828" t="s">
        <v>175</v>
      </c>
      <c r="L2828" t="s">
        <v>114</v>
      </c>
      <c r="M2828" t="s">
        <v>52</v>
      </c>
      <c r="N2828" t="s">
        <v>40</v>
      </c>
      <c r="O2828">
        <v>77</v>
      </c>
      <c r="Q2828">
        <v>2</v>
      </c>
      <c r="R2828">
        <v>1</v>
      </c>
      <c r="S2828">
        <v>0</v>
      </c>
      <c r="T2828">
        <v>0</v>
      </c>
      <c r="U2828">
        <v>0</v>
      </c>
      <c r="V2828">
        <v>1</v>
      </c>
      <c r="W2828">
        <v>1</v>
      </c>
      <c r="X2828" s="21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J2828" t="s">
        <v>51</v>
      </c>
      <c r="AK2828" t="s">
        <v>52</v>
      </c>
      <c r="AP2828" t="s">
        <v>116</v>
      </c>
    </row>
    <row r="2829" spans="1:42">
      <c r="A2829" s="9">
        <v>43845</v>
      </c>
      <c r="B2829">
        <v>3</v>
      </c>
      <c r="C2829">
        <v>990</v>
      </c>
      <c r="D2829">
        <v>14523</v>
      </c>
      <c r="E2829" t="s">
        <v>847</v>
      </c>
      <c r="F2829" t="s">
        <v>520</v>
      </c>
      <c r="G2829">
        <v>2</v>
      </c>
      <c r="H2829">
        <v>70</v>
      </c>
      <c r="I2829" s="25" t="s">
        <v>893</v>
      </c>
      <c r="K2829" t="s">
        <v>175</v>
      </c>
      <c r="L2829" t="s">
        <v>114</v>
      </c>
      <c r="M2829" t="s">
        <v>52</v>
      </c>
      <c r="N2829" t="s">
        <v>44</v>
      </c>
      <c r="O2829">
        <v>52</v>
      </c>
      <c r="Q2829">
        <v>1</v>
      </c>
      <c r="R2829">
        <v>1</v>
      </c>
      <c r="S2829">
        <v>0</v>
      </c>
      <c r="T2829">
        <v>0</v>
      </c>
      <c r="U2829">
        <v>0</v>
      </c>
      <c r="V2829">
        <v>1</v>
      </c>
      <c r="W2829">
        <v>0</v>
      </c>
      <c r="X2829" s="21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J2829" t="s">
        <v>51</v>
      </c>
      <c r="AK2829" t="s">
        <v>52</v>
      </c>
      <c r="AL2829" t="s">
        <v>670</v>
      </c>
      <c r="AP2829" t="s">
        <v>116</v>
      </c>
    </row>
    <row r="2830" spans="1:42">
      <c r="A2830" s="9">
        <v>43845</v>
      </c>
      <c r="B2830">
        <v>3</v>
      </c>
      <c r="C2830">
        <v>990</v>
      </c>
      <c r="D2830">
        <v>14523</v>
      </c>
      <c r="E2830" t="s">
        <v>847</v>
      </c>
      <c r="F2830" t="s">
        <v>520</v>
      </c>
      <c r="G2830">
        <v>2</v>
      </c>
      <c r="H2830">
        <v>71</v>
      </c>
      <c r="I2830" s="25" t="s">
        <v>894</v>
      </c>
      <c r="K2830" t="s">
        <v>175</v>
      </c>
      <c r="L2830" t="s">
        <v>114</v>
      </c>
      <c r="M2830" t="s">
        <v>52</v>
      </c>
      <c r="N2830" t="s">
        <v>44</v>
      </c>
      <c r="O2830">
        <v>61</v>
      </c>
      <c r="Q2830">
        <v>1</v>
      </c>
      <c r="R2830">
        <v>1</v>
      </c>
      <c r="S2830">
        <v>0</v>
      </c>
      <c r="T2830">
        <v>0</v>
      </c>
      <c r="U2830">
        <v>1</v>
      </c>
      <c r="V2830">
        <v>0</v>
      </c>
      <c r="W2830">
        <v>0</v>
      </c>
      <c r="X2830" s="21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J2830" t="s">
        <v>51</v>
      </c>
      <c r="AK2830" t="s">
        <v>52</v>
      </c>
      <c r="AL2830" t="s">
        <v>670</v>
      </c>
      <c r="AP2830" t="s">
        <v>116</v>
      </c>
    </row>
    <row r="2831" spans="1:42">
      <c r="A2831" s="9">
        <v>43845</v>
      </c>
      <c r="B2831">
        <v>3</v>
      </c>
      <c r="C2831">
        <v>990</v>
      </c>
      <c r="D2831">
        <v>14523</v>
      </c>
      <c r="E2831" t="s">
        <v>847</v>
      </c>
      <c r="F2831" t="s">
        <v>520</v>
      </c>
      <c r="G2831">
        <v>2</v>
      </c>
      <c r="H2831">
        <v>72</v>
      </c>
      <c r="I2831" s="25" t="s">
        <v>895</v>
      </c>
      <c r="K2831" t="s">
        <v>175</v>
      </c>
      <c r="L2831" t="s">
        <v>114</v>
      </c>
      <c r="M2831" t="s">
        <v>52</v>
      </c>
      <c r="N2831" t="s">
        <v>40</v>
      </c>
      <c r="O2831">
        <v>50</v>
      </c>
      <c r="Q2831">
        <v>2</v>
      </c>
      <c r="R2831">
        <v>1</v>
      </c>
      <c r="S2831">
        <v>0</v>
      </c>
      <c r="T2831">
        <v>0</v>
      </c>
      <c r="U2831">
        <v>0</v>
      </c>
      <c r="V2831">
        <v>1</v>
      </c>
      <c r="W2831">
        <v>1</v>
      </c>
      <c r="X2831" s="2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J2831" t="s">
        <v>51</v>
      </c>
      <c r="AK2831" t="s">
        <v>52</v>
      </c>
      <c r="AP2831" t="s">
        <v>116</v>
      </c>
    </row>
    <row r="2832" spans="1:42">
      <c r="A2832" s="9">
        <v>43845</v>
      </c>
      <c r="B2832">
        <v>3</v>
      </c>
      <c r="C2832">
        <v>990</v>
      </c>
      <c r="D2832">
        <v>14523</v>
      </c>
      <c r="E2832" t="s">
        <v>847</v>
      </c>
      <c r="F2832" t="s">
        <v>520</v>
      </c>
      <c r="G2832">
        <v>2</v>
      </c>
      <c r="H2832">
        <v>73</v>
      </c>
      <c r="I2832" s="25" t="s">
        <v>896</v>
      </c>
      <c r="K2832" t="s">
        <v>175</v>
      </c>
      <c r="L2832" t="s">
        <v>114</v>
      </c>
      <c r="M2832" t="s">
        <v>52</v>
      </c>
      <c r="N2832" t="s">
        <v>40</v>
      </c>
      <c r="O2832">
        <v>69</v>
      </c>
      <c r="Q2832">
        <v>2</v>
      </c>
      <c r="R2832">
        <v>1</v>
      </c>
      <c r="S2832">
        <v>0</v>
      </c>
      <c r="T2832">
        <v>0</v>
      </c>
      <c r="U2832">
        <v>1</v>
      </c>
      <c r="V2832">
        <v>1</v>
      </c>
      <c r="W2832">
        <v>0</v>
      </c>
      <c r="X2832" s="21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J2832" t="s">
        <v>51</v>
      </c>
      <c r="AK2832" t="s">
        <v>52</v>
      </c>
      <c r="AP2832" t="s">
        <v>116</v>
      </c>
    </row>
    <row r="2833" spans="1:42">
      <c r="A2833" s="9">
        <v>43845</v>
      </c>
      <c r="B2833">
        <v>3</v>
      </c>
      <c r="C2833">
        <v>990</v>
      </c>
      <c r="D2833">
        <v>14523</v>
      </c>
      <c r="E2833" t="s">
        <v>847</v>
      </c>
      <c r="F2833" t="s">
        <v>520</v>
      </c>
      <c r="G2833">
        <v>2</v>
      </c>
      <c r="H2833">
        <v>74</v>
      </c>
      <c r="I2833" s="25" t="s">
        <v>897</v>
      </c>
      <c r="K2833" t="s">
        <v>175</v>
      </c>
      <c r="L2833" t="s">
        <v>114</v>
      </c>
      <c r="M2833" t="s">
        <v>52</v>
      </c>
      <c r="N2833" t="s">
        <v>40</v>
      </c>
      <c r="O2833">
        <v>41</v>
      </c>
      <c r="Q2833">
        <v>2</v>
      </c>
      <c r="R2833">
        <v>1</v>
      </c>
      <c r="S2833">
        <v>0</v>
      </c>
      <c r="T2833">
        <v>0</v>
      </c>
      <c r="U2833">
        <v>0</v>
      </c>
      <c r="V2833">
        <v>2</v>
      </c>
      <c r="W2833">
        <v>0</v>
      </c>
      <c r="X2833" s="21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J2833" t="s">
        <v>51</v>
      </c>
      <c r="AK2833" t="s">
        <v>52</v>
      </c>
      <c r="AL2833" t="s">
        <v>898</v>
      </c>
      <c r="AP2833" t="s">
        <v>116</v>
      </c>
    </row>
    <row r="2834" spans="1:42">
      <c r="A2834" s="9">
        <v>43845</v>
      </c>
      <c r="B2834">
        <v>3</v>
      </c>
      <c r="C2834">
        <v>990</v>
      </c>
      <c r="D2834">
        <v>14523</v>
      </c>
      <c r="E2834" t="s">
        <v>847</v>
      </c>
      <c r="F2834" t="s">
        <v>520</v>
      </c>
      <c r="G2834">
        <v>2</v>
      </c>
      <c r="H2834">
        <v>75</v>
      </c>
      <c r="I2834" s="25">
        <v>3630</v>
      </c>
      <c r="K2834" t="s">
        <v>175</v>
      </c>
      <c r="L2834" t="s">
        <v>114</v>
      </c>
      <c r="M2834" t="s">
        <v>52</v>
      </c>
      <c r="N2834" t="s">
        <v>40</v>
      </c>
      <c r="O2834">
        <v>62</v>
      </c>
      <c r="Q2834">
        <v>1</v>
      </c>
      <c r="R2834">
        <v>1</v>
      </c>
      <c r="S2834">
        <v>0</v>
      </c>
      <c r="T2834">
        <v>0</v>
      </c>
      <c r="U2834">
        <v>0</v>
      </c>
      <c r="V2834">
        <v>1</v>
      </c>
      <c r="W2834">
        <v>0</v>
      </c>
      <c r="X2834" s="21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J2834" t="s">
        <v>51</v>
      </c>
      <c r="AK2834" t="s">
        <v>52</v>
      </c>
      <c r="AL2834" t="s">
        <v>899</v>
      </c>
      <c r="AP2834" t="s">
        <v>116</v>
      </c>
    </row>
    <row r="2835" spans="1:42">
      <c r="A2835" s="9">
        <v>43845</v>
      </c>
      <c r="B2835">
        <v>3</v>
      </c>
      <c r="C2835">
        <v>990</v>
      </c>
      <c r="D2835">
        <v>14523</v>
      </c>
      <c r="E2835" t="s">
        <v>847</v>
      </c>
      <c r="F2835" t="s">
        <v>520</v>
      </c>
      <c r="G2835">
        <v>2</v>
      </c>
      <c r="H2835">
        <v>76</v>
      </c>
      <c r="I2835" s="25">
        <v>3636</v>
      </c>
      <c r="K2835" t="s">
        <v>175</v>
      </c>
      <c r="L2835" t="s">
        <v>114</v>
      </c>
      <c r="M2835" t="s">
        <v>52</v>
      </c>
      <c r="N2835" t="s">
        <v>44</v>
      </c>
      <c r="O2835">
        <v>115</v>
      </c>
      <c r="Q2835">
        <v>1</v>
      </c>
      <c r="R2835">
        <v>1</v>
      </c>
      <c r="S2835">
        <v>0</v>
      </c>
      <c r="T2835">
        <v>0</v>
      </c>
      <c r="U2835">
        <v>0</v>
      </c>
      <c r="V2835">
        <v>0</v>
      </c>
      <c r="W2835">
        <v>1</v>
      </c>
      <c r="X2835" s="21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J2835" t="s">
        <v>51</v>
      </c>
      <c r="AK2835" t="s">
        <v>52</v>
      </c>
      <c r="AL2835" t="s">
        <v>694</v>
      </c>
      <c r="AP2835" t="s">
        <v>116</v>
      </c>
    </row>
    <row r="2836" spans="1:42">
      <c r="A2836" s="9">
        <v>43845</v>
      </c>
      <c r="B2836">
        <v>3</v>
      </c>
      <c r="C2836">
        <v>990</v>
      </c>
      <c r="D2836">
        <v>14523</v>
      </c>
      <c r="E2836" t="s">
        <v>847</v>
      </c>
      <c r="F2836" t="s">
        <v>520</v>
      </c>
      <c r="G2836">
        <v>2</v>
      </c>
      <c r="H2836">
        <v>77</v>
      </c>
      <c r="I2836" s="25">
        <v>3720</v>
      </c>
      <c r="K2836" t="s">
        <v>175</v>
      </c>
      <c r="L2836" t="s">
        <v>114</v>
      </c>
      <c r="M2836" t="s">
        <v>52</v>
      </c>
      <c r="N2836" t="s">
        <v>44</v>
      </c>
      <c r="O2836">
        <v>75</v>
      </c>
      <c r="Q2836">
        <v>1</v>
      </c>
      <c r="R2836">
        <v>1</v>
      </c>
      <c r="S2836">
        <v>0</v>
      </c>
      <c r="T2836">
        <v>0</v>
      </c>
      <c r="U2836">
        <v>0</v>
      </c>
      <c r="V2836">
        <v>0</v>
      </c>
      <c r="W2836">
        <v>1</v>
      </c>
      <c r="X2836" s="21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J2836" t="s">
        <v>51</v>
      </c>
      <c r="AK2836" t="s">
        <v>52</v>
      </c>
      <c r="AL2836" t="s">
        <v>694</v>
      </c>
      <c r="AP2836" t="s">
        <v>116</v>
      </c>
    </row>
    <row r="2837" spans="1:42">
      <c r="A2837" s="9">
        <v>43845</v>
      </c>
      <c r="B2837">
        <v>3</v>
      </c>
      <c r="C2837">
        <v>990</v>
      </c>
      <c r="D2837">
        <v>14523</v>
      </c>
      <c r="E2837" t="s">
        <v>847</v>
      </c>
      <c r="F2837" t="s">
        <v>520</v>
      </c>
      <c r="G2837">
        <v>2</v>
      </c>
      <c r="H2837">
        <v>78</v>
      </c>
      <c r="I2837" s="25">
        <v>3730</v>
      </c>
      <c r="K2837" t="s">
        <v>175</v>
      </c>
      <c r="L2837" t="s">
        <v>114</v>
      </c>
      <c r="M2837" t="s">
        <v>52</v>
      </c>
      <c r="N2837" t="s">
        <v>44</v>
      </c>
      <c r="O2837">
        <v>135</v>
      </c>
      <c r="Q2837">
        <v>1</v>
      </c>
      <c r="R2837">
        <v>1</v>
      </c>
      <c r="S2837">
        <v>0</v>
      </c>
      <c r="T2837">
        <v>0</v>
      </c>
      <c r="U2837">
        <v>0</v>
      </c>
      <c r="V2837">
        <v>0</v>
      </c>
      <c r="W2837">
        <v>1</v>
      </c>
      <c r="X2837" s="21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J2837" t="s">
        <v>51</v>
      </c>
      <c r="AK2837" t="s">
        <v>95</v>
      </c>
      <c r="AL2837" t="s">
        <v>694</v>
      </c>
      <c r="AP2837" t="s">
        <v>116</v>
      </c>
    </row>
    <row r="2838" spans="1:42">
      <c r="A2838" s="9">
        <v>43845</v>
      </c>
      <c r="B2838">
        <v>3</v>
      </c>
      <c r="C2838">
        <v>990</v>
      </c>
      <c r="D2838">
        <v>14523</v>
      </c>
      <c r="E2838" t="s">
        <v>847</v>
      </c>
      <c r="F2838" t="s">
        <v>520</v>
      </c>
      <c r="G2838">
        <v>2</v>
      </c>
      <c r="H2838">
        <v>79</v>
      </c>
      <c r="I2838" s="25" t="s">
        <v>900</v>
      </c>
      <c r="K2838" t="s">
        <v>175</v>
      </c>
      <c r="L2838" t="s">
        <v>114</v>
      </c>
      <c r="M2838" t="s">
        <v>52</v>
      </c>
      <c r="N2838" t="s">
        <v>40</v>
      </c>
      <c r="O2838">
        <v>26</v>
      </c>
      <c r="Q2838">
        <v>1</v>
      </c>
      <c r="R2838">
        <v>1</v>
      </c>
      <c r="S2838">
        <v>0</v>
      </c>
      <c r="T2838">
        <v>0</v>
      </c>
      <c r="U2838">
        <v>0</v>
      </c>
      <c r="V2838">
        <v>1</v>
      </c>
      <c r="W2838">
        <v>0</v>
      </c>
      <c r="X2838" s="21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J2838" t="s">
        <v>51</v>
      </c>
      <c r="AK2838" t="s">
        <v>52</v>
      </c>
      <c r="AP2838" t="s">
        <v>116</v>
      </c>
    </row>
    <row r="2839" spans="1:42">
      <c r="A2839" s="9">
        <v>43845</v>
      </c>
      <c r="B2839">
        <v>3</v>
      </c>
      <c r="C2839">
        <v>990</v>
      </c>
      <c r="D2839">
        <v>14523</v>
      </c>
      <c r="E2839" t="s">
        <v>847</v>
      </c>
      <c r="F2839" t="s">
        <v>520</v>
      </c>
      <c r="G2839">
        <v>2</v>
      </c>
      <c r="H2839">
        <v>80</v>
      </c>
      <c r="I2839" s="25">
        <v>3750</v>
      </c>
      <c r="K2839" t="s">
        <v>175</v>
      </c>
      <c r="L2839" t="s">
        <v>114</v>
      </c>
      <c r="M2839" t="s">
        <v>52</v>
      </c>
      <c r="N2839" t="s">
        <v>44</v>
      </c>
      <c r="O2839">
        <v>91</v>
      </c>
      <c r="Q2839">
        <v>1</v>
      </c>
      <c r="R2839">
        <v>1</v>
      </c>
      <c r="S2839">
        <v>0</v>
      </c>
      <c r="T2839">
        <v>0</v>
      </c>
      <c r="U2839">
        <v>0</v>
      </c>
      <c r="V2839">
        <v>0</v>
      </c>
      <c r="W2839">
        <v>1</v>
      </c>
      <c r="X2839" s="21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J2839" t="s">
        <v>51</v>
      </c>
      <c r="AK2839" t="s">
        <v>52</v>
      </c>
      <c r="AL2839" t="s">
        <v>694</v>
      </c>
      <c r="AP2839" t="s">
        <v>116</v>
      </c>
    </row>
    <row r="2840" spans="1:42">
      <c r="A2840" s="9">
        <v>43845</v>
      </c>
      <c r="B2840">
        <v>3</v>
      </c>
      <c r="C2840">
        <v>990</v>
      </c>
      <c r="D2840">
        <v>14523</v>
      </c>
      <c r="E2840" t="s">
        <v>847</v>
      </c>
      <c r="F2840" t="s">
        <v>520</v>
      </c>
      <c r="G2840">
        <v>2</v>
      </c>
      <c r="H2840">
        <v>81</v>
      </c>
      <c r="I2840" s="25" t="s">
        <v>901</v>
      </c>
      <c r="K2840" t="s">
        <v>175</v>
      </c>
      <c r="L2840" t="s">
        <v>114</v>
      </c>
      <c r="M2840" t="s">
        <v>52</v>
      </c>
      <c r="N2840" t="s">
        <v>44</v>
      </c>
      <c r="O2840">
        <v>310</v>
      </c>
      <c r="Q2840">
        <v>2</v>
      </c>
      <c r="R2840">
        <v>1</v>
      </c>
      <c r="S2840">
        <v>0</v>
      </c>
      <c r="T2840">
        <v>0</v>
      </c>
      <c r="U2840">
        <v>0</v>
      </c>
      <c r="V2840">
        <v>1</v>
      </c>
      <c r="W2840">
        <v>1</v>
      </c>
      <c r="X2840" s="21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J2840" t="s">
        <v>51</v>
      </c>
      <c r="AK2840" t="s">
        <v>52</v>
      </c>
      <c r="AL2840" t="s">
        <v>694</v>
      </c>
      <c r="AP2840" t="s">
        <v>116</v>
      </c>
    </row>
    <row r="2841" spans="1:42">
      <c r="A2841" s="9">
        <v>43845</v>
      </c>
      <c r="B2841">
        <v>3</v>
      </c>
      <c r="C2841">
        <v>990</v>
      </c>
      <c r="D2841">
        <v>14523</v>
      </c>
      <c r="E2841" t="s">
        <v>847</v>
      </c>
      <c r="F2841" t="s">
        <v>520</v>
      </c>
      <c r="G2841">
        <v>2</v>
      </c>
      <c r="H2841">
        <v>82</v>
      </c>
      <c r="I2841" s="25">
        <v>233</v>
      </c>
      <c r="K2841" t="s">
        <v>902</v>
      </c>
      <c r="L2841" t="s">
        <v>141</v>
      </c>
      <c r="M2841" t="s">
        <v>52</v>
      </c>
      <c r="N2841" t="s">
        <v>44</v>
      </c>
      <c r="O2841">
        <v>53</v>
      </c>
      <c r="Q2841">
        <v>1</v>
      </c>
      <c r="R2841">
        <v>1</v>
      </c>
      <c r="S2841">
        <v>0</v>
      </c>
      <c r="T2841">
        <v>0</v>
      </c>
      <c r="U2841">
        <v>0</v>
      </c>
      <c r="V2841">
        <v>1</v>
      </c>
      <c r="W2841">
        <v>0</v>
      </c>
      <c r="X2841" s="2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J2841" t="s">
        <v>51</v>
      </c>
      <c r="AK2841" t="s">
        <v>95</v>
      </c>
      <c r="AL2841" t="s">
        <v>903</v>
      </c>
      <c r="AP2841" t="s">
        <v>116</v>
      </c>
    </row>
    <row r="2842" spans="1:42">
      <c r="A2842" s="9">
        <v>43845</v>
      </c>
      <c r="B2842">
        <v>3</v>
      </c>
      <c r="C2842">
        <v>990</v>
      </c>
      <c r="D2842">
        <v>14523</v>
      </c>
      <c r="E2842" t="s">
        <v>847</v>
      </c>
      <c r="F2842" t="s">
        <v>520</v>
      </c>
      <c r="G2842">
        <v>2</v>
      </c>
      <c r="H2842">
        <v>83</v>
      </c>
      <c r="I2842" s="25">
        <v>5</v>
      </c>
      <c r="K2842" t="s">
        <v>904</v>
      </c>
      <c r="L2842" t="s">
        <v>141</v>
      </c>
      <c r="M2842" t="s">
        <v>52</v>
      </c>
      <c r="N2842" t="s">
        <v>44</v>
      </c>
      <c r="O2842">
        <v>64</v>
      </c>
      <c r="Q2842">
        <v>1</v>
      </c>
      <c r="R2842">
        <v>1</v>
      </c>
      <c r="S2842">
        <v>0</v>
      </c>
      <c r="T2842">
        <v>0</v>
      </c>
      <c r="U2842">
        <v>0</v>
      </c>
      <c r="V2842">
        <v>0</v>
      </c>
      <c r="W2842">
        <v>1</v>
      </c>
      <c r="X2842" s="21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J2842" t="s">
        <v>51</v>
      </c>
      <c r="AK2842" t="s">
        <v>52</v>
      </c>
      <c r="AL2842" t="s">
        <v>905</v>
      </c>
      <c r="AP2842" t="s">
        <v>116</v>
      </c>
    </row>
    <row r="2843" spans="1:42">
      <c r="A2843" s="9">
        <v>43845</v>
      </c>
      <c r="B2843">
        <v>3</v>
      </c>
      <c r="C2843">
        <v>990</v>
      </c>
      <c r="D2843">
        <v>14523</v>
      </c>
      <c r="E2843" t="s">
        <v>847</v>
      </c>
      <c r="F2843" t="s">
        <v>520</v>
      </c>
      <c r="G2843">
        <v>2</v>
      </c>
      <c r="H2843">
        <v>84</v>
      </c>
      <c r="I2843" s="25">
        <v>101</v>
      </c>
      <c r="K2843" t="s">
        <v>902</v>
      </c>
      <c r="L2843" t="s">
        <v>141</v>
      </c>
      <c r="M2843" t="s">
        <v>52</v>
      </c>
      <c r="N2843" t="s">
        <v>44</v>
      </c>
      <c r="O2843">
        <v>99</v>
      </c>
      <c r="Q2843">
        <v>2</v>
      </c>
      <c r="R2843">
        <v>1</v>
      </c>
      <c r="S2843">
        <v>0</v>
      </c>
      <c r="T2843">
        <v>0</v>
      </c>
      <c r="U2843">
        <v>0</v>
      </c>
      <c r="V2843">
        <v>0</v>
      </c>
      <c r="W2843">
        <v>2</v>
      </c>
      <c r="X2843" s="21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J2843" t="s">
        <v>51</v>
      </c>
      <c r="AK2843" t="s">
        <v>95</v>
      </c>
      <c r="AL2843" t="s">
        <v>694</v>
      </c>
      <c r="AP2843" t="s">
        <v>116</v>
      </c>
    </row>
    <row r="2844" spans="1:42">
      <c r="A2844" s="9">
        <v>43845</v>
      </c>
      <c r="B2844">
        <v>3</v>
      </c>
      <c r="C2844">
        <v>990</v>
      </c>
      <c r="D2844">
        <v>14523</v>
      </c>
      <c r="E2844" t="s">
        <v>847</v>
      </c>
      <c r="F2844" t="s">
        <v>520</v>
      </c>
      <c r="G2844">
        <v>2</v>
      </c>
      <c r="H2844">
        <v>85</v>
      </c>
      <c r="I2844" s="25">
        <v>1830</v>
      </c>
      <c r="K2844" t="s">
        <v>906</v>
      </c>
      <c r="L2844" t="s">
        <v>114</v>
      </c>
      <c r="M2844" t="s">
        <v>52</v>
      </c>
      <c r="N2844" t="s">
        <v>44</v>
      </c>
      <c r="O2844">
        <v>44</v>
      </c>
      <c r="Q2844">
        <v>1</v>
      </c>
      <c r="R2844">
        <v>1</v>
      </c>
      <c r="S2844">
        <v>0</v>
      </c>
      <c r="T2844">
        <v>0</v>
      </c>
      <c r="U2844">
        <v>0</v>
      </c>
      <c r="V2844">
        <v>0</v>
      </c>
      <c r="W2844">
        <v>1</v>
      </c>
      <c r="X2844" s="21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J2844" t="s">
        <v>51</v>
      </c>
      <c r="AK2844" t="s">
        <v>52</v>
      </c>
      <c r="AL2844" t="s">
        <v>670</v>
      </c>
      <c r="AP2844" t="s">
        <v>116</v>
      </c>
    </row>
    <row r="2845" spans="1:42">
      <c r="A2845" s="9">
        <v>43845</v>
      </c>
      <c r="B2845">
        <v>3</v>
      </c>
      <c r="C2845">
        <v>990</v>
      </c>
      <c r="D2845">
        <v>14523</v>
      </c>
      <c r="E2845" t="s">
        <v>847</v>
      </c>
      <c r="F2845" t="s">
        <v>520</v>
      </c>
      <c r="G2845">
        <v>2</v>
      </c>
      <c r="H2845">
        <v>86</v>
      </c>
      <c r="I2845" s="25">
        <v>1900</v>
      </c>
      <c r="K2845" t="s">
        <v>906</v>
      </c>
      <c r="L2845" t="s">
        <v>114</v>
      </c>
      <c r="M2845" t="s">
        <v>52</v>
      </c>
      <c r="N2845" t="s">
        <v>44</v>
      </c>
      <c r="O2845">
        <v>227</v>
      </c>
      <c r="Q2845">
        <v>2</v>
      </c>
      <c r="R2845">
        <v>1</v>
      </c>
      <c r="S2845">
        <v>0</v>
      </c>
      <c r="T2845">
        <v>0</v>
      </c>
      <c r="U2845">
        <v>0</v>
      </c>
      <c r="V2845">
        <v>0</v>
      </c>
      <c r="W2845">
        <v>2</v>
      </c>
      <c r="X2845" s="21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J2845" t="s">
        <v>51</v>
      </c>
      <c r="AK2845" t="s">
        <v>52</v>
      </c>
      <c r="AL2845" t="s">
        <v>670</v>
      </c>
      <c r="AP2845" t="s">
        <v>116</v>
      </c>
    </row>
    <row r="2846" spans="1:42">
      <c r="A2846" s="9">
        <v>43845</v>
      </c>
      <c r="B2846">
        <v>3</v>
      </c>
      <c r="C2846">
        <v>990</v>
      </c>
      <c r="D2846">
        <v>14523</v>
      </c>
      <c r="E2846" t="s">
        <v>847</v>
      </c>
      <c r="F2846" t="s">
        <v>520</v>
      </c>
      <c r="G2846">
        <v>2</v>
      </c>
      <c r="H2846">
        <v>87</v>
      </c>
      <c r="I2846" s="25">
        <v>45</v>
      </c>
      <c r="K2846" t="s">
        <v>904</v>
      </c>
      <c r="L2846" t="s">
        <v>141</v>
      </c>
      <c r="M2846" t="s">
        <v>52</v>
      </c>
      <c r="N2846" t="s">
        <v>40</v>
      </c>
      <c r="O2846">
        <v>19</v>
      </c>
      <c r="Q2846">
        <v>1</v>
      </c>
      <c r="R2846">
        <v>1</v>
      </c>
      <c r="S2846">
        <v>0</v>
      </c>
      <c r="T2846">
        <v>0</v>
      </c>
      <c r="U2846">
        <v>0</v>
      </c>
      <c r="V2846">
        <v>1</v>
      </c>
      <c r="W2846">
        <v>0</v>
      </c>
      <c r="X2846" s="21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J2846" t="s">
        <v>51</v>
      </c>
      <c r="AK2846" t="s">
        <v>95</v>
      </c>
      <c r="AP2846" t="s">
        <v>116</v>
      </c>
    </row>
    <row r="2847" spans="1:42">
      <c r="A2847" s="9">
        <v>43845</v>
      </c>
      <c r="B2847">
        <v>3</v>
      </c>
      <c r="C2847">
        <v>990</v>
      </c>
      <c r="D2847">
        <v>14523</v>
      </c>
      <c r="E2847" t="s">
        <v>847</v>
      </c>
      <c r="F2847" t="s">
        <v>520</v>
      </c>
      <c r="G2847">
        <v>2</v>
      </c>
      <c r="H2847">
        <v>88</v>
      </c>
      <c r="I2847" s="25">
        <v>401</v>
      </c>
      <c r="K2847" t="s">
        <v>907</v>
      </c>
      <c r="L2847" t="s">
        <v>141</v>
      </c>
      <c r="M2847" t="s">
        <v>52</v>
      </c>
      <c r="N2847" t="s">
        <v>44</v>
      </c>
      <c r="O2847">
        <v>118</v>
      </c>
      <c r="Q2847">
        <v>2</v>
      </c>
      <c r="R2847">
        <v>1</v>
      </c>
      <c r="S2847">
        <v>0</v>
      </c>
      <c r="T2847">
        <v>0</v>
      </c>
      <c r="U2847">
        <v>0</v>
      </c>
      <c r="V2847">
        <v>0</v>
      </c>
      <c r="W2847">
        <v>2</v>
      </c>
      <c r="X2847" s="21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J2847" t="s">
        <v>51</v>
      </c>
      <c r="AK2847" t="s">
        <v>52</v>
      </c>
      <c r="AL2847" t="s">
        <v>694</v>
      </c>
      <c r="AP2847" t="s">
        <v>116</v>
      </c>
    </row>
    <row r="2848" spans="1:42">
      <c r="A2848" s="9">
        <v>43845</v>
      </c>
      <c r="B2848">
        <v>3</v>
      </c>
      <c r="C2848">
        <v>990</v>
      </c>
      <c r="D2848">
        <v>14523</v>
      </c>
      <c r="E2848" t="s">
        <v>847</v>
      </c>
      <c r="F2848" t="s">
        <v>520</v>
      </c>
      <c r="G2848">
        <v>2</v>
      </c>
      <c r="H2848">
        <v>89</v>
      </c>
      <c r="I2848" s="25">
        <v>22</v>
      </c>
      <c r="K2848" t="s">
        <v>904</v>
      </c>
      <c r="L2848" t="s">
        <v>114</v>
      </c>
      <c r="M2848" t="s">
        <v>52</v>
      </c>
      <c r="N2848" t="s">
        <v>40</v>
      </c>
      <c r="O2848">
        <v>19</v>
      </c>
      <c r="Q2848">
        <v>1</v>
      </c>
      <c r="R2848">
        <v>1</v>
      </c>
      <c r="S2848">
        <v>0</v>
      </c>
      <c r="T2848">
        <v>0</v>
      </c>
      <c r="U2848">
        <v>0</v>
      </c>
      <c r="V2848">
        <v>1</v>
      </c>
      <c r="W2848">
        <v>0</v>
      </c>
      <c r="X2848" s="21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J2848" t="s">
        <v>51</v>
      </c>
      <c r="AK2848" t="s">
        <v>52</v>
      </c>
      <c r="AP2848" t="s">
        <v>116</v>
      </c>
    </row>
    <row r="2849" spans="1:42">
      <c r="A2849" s="9">
        <v>43845</v>
      </c>
      <c r="B2849">
        <v>3</v>
      </c>
      <c r="C2849">
        <v>990</v>
      </c>
      <c r="D2849">
        <v>14523</v>
      </c>
      <c r="E2849" t="s">
        <v>847</v>
      </c>
      <c r="F2849" t="s">
        <v>520</v>
      </c>
      <c r="G2849">
        <v>2</v>
      </c>
      <c r="H2849">
        <v>90</v>
      </c>
      <c r="I2849" s="25" t="s">
        <v>908</v>
      </c>
      <c r="K2849" t="s">
        <v>904</v>
      </c>
      <c r="L2849" t="s">
        <v>114</v>
      </c>
      <c r="M2849" t="s">
        <v>52</v>
      </c>
      <c r="N2849" t="s">
        <v>40</v>
      </c>
      <c r="O2849">
        <v>37</v>
      </c>
      <c r="Q2849">
        <v>2</v>
      </c>
      <c r="R2849">
        <v>1</v>
      </c>
      <c r="S2849">
        <v>0</v>
      </c>
      <c r="T2849">
        <v>0</v>
      </c>
      <c r="U2849">
        <v>1</v>
      </c>
      <c r="V2849">
        <v>1</v>
      </c>
      <c r="W2849">
        <v>0</v>
      </c>
      <c r="X2849" s="21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J2849" t="s">
        <v>51</v>
      </c>
      <c r="AK2849" t="s">
        <v>52</v>
      </c>
      <c r="AP2849" t="s">
        <v>116</v>
      </c>
    </row>
    <row r="2850" spans="1:42">
      <c r="A2850" s="9">
        <v>43845</v>
      </c>
      <c r="B2850">
        <v>3</v>
      </c>
      <c r="C2850">
        <v>990</v>
      </c>
      <c r="D2850">
        <v>14523</v>
      </c>
      <c r="E2850" t="s">
        <v>847</v>
      </c>
      <c r="F2850" t="s">
        <v>520</v>
      </c>
      <c r="G2850">
        <v>2</v>
      </c>
      <c r="H2850">
        <v>91</v>
      </c>
      <c r="I2850" s="25">
        <v>1825</v>
      </c>
      <c r="K2850" t="s">
        <v>906</v>
      </c>
      <c r="L2850" t="s">
        <v>141</v>
      </c>
      <c r="M2850" t="s">
        <v>52</v>
      </c>
      <c r="N2850" t="s">
        <v>40</v>
      </c>
      <c r="O2850">
        <v>30</v>
      </c>
      <c r="Q2850">
        <v>1</v>
      </c>
      <c r="R2850">
        <v>1</v>
      </c>
      <c r="S2850">
        <v>0</v>
      </c>
      <c r="T2850">
        <v>0</v>
      </c>
      <c r="U2850">
        <v>1</v>
      </c>
      <c r="V2850">
        <v>0</v>
      </c>
      <c r="W2850">
        <v>0</v>
      </c>
      <c r="X2850" s="21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J2850" t="s">
        <v>51</v>
      </c>
      <c r="AK2850" t="s">
        <v>52</v>
      </c>
      <c r="AP2850" t="s">
        <v>116</v>
      </c>
    </row>
    <row r="2851" spans="1:42">
      <c r="A2851" s="9">
        <v>43845</v>
      </c>
      <c r="B2851">
        <v>3</v>
      </c>
      <c r="C2851">
        <v>990</v>
      </c>
      <c r="D2851">
        <v>14523</v>
      </c>
      <c r="E2851" t="s">
        <v>847</v>
      </c>
      <c r="F2851" t="s">
        <v>520</v>
      </c>
      <c r="G2851">
        <v>2</v>
      </c>
      <c r="H2851">
        <v>92</v>
      </c>
      <c r="I2851" s="25">
        <v>1801</v>
      </c>
      <c r="K2851" t="s">
        <v>906</v>
      </c>
      <c r="L2851" t="s">
        <v>141</v>
      </c>
      <c r="M2851" t="s">
        <v>52</v>
      </c>
      <c r="N2851" t="s">
        <v>44</v>
      </c>
      <c r="O2851">
        <v>228</v>
      </c>
      <c r="Q2851">
        <v>2</v>
      </c>
      <c r="R2851">
        <v>1</v>
      </c>
      <c r="S2851">
        <v>0</v>
      </c>
      <c r="T2851">
        <v>0</v>
      </c>
      <c r="U2851">
        <v>0</v>
      </c>
      <c r="V2851">
        <v>0</v>
      </c>
      <c r="W2851">
        <v>2</v>
      </c>
      <c r="X2851" s="2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J2851" t="s">
        <v>51</v>
      </c>
      <c r="AK2851" t="s">
        <v>52</v>
      </c>
      <c r="AL2851" t="s">
        <v>694</v>
      </c>
      <c r="AP2851" t="s">
        <v>116</v>
      </c>
    </row>
    <row r="2852" spans="1:42">
      <c r="A2852" s="9">
        <v>43845</v>
      </c>
      <c r="B2852">
        <v>3</v>
      </c>
      <c r="C2852">
        <v>990</v>
      </c>
      <c r="D2852">
        <v>14523</v>
      </c>
      <c r="E2852" t="s">
        <v>847</v>
      </c>
      <c r="F2852" t="s">
        <v>520</v>
      </c>
      <c r="G2852">
        <v>2</v>
      </c>
      <c r="H2852">
        <v>93</v>
      </c>
      <c r="I2852" s="25">
        <v>1745</v>
      </c>
      <c r="K2852" t="s">
        <v>906</v>
      </c>
      <c r="L2852" t="s">
        <v>141</v>
      </c>
      <c r="M2852" t="s">
        <v>52</v>
      </c>
      <c r="N2852" t="s">
        <v>44</v>
      </c>
      <c r="O2852">
        <v>132</v>
      </c>
      <c r="Q2852">
        <v>2</v>
      </c>
      <c r="R2852">
        <v>1</v>
      </c>
      <c r="S2852">
        <v>0</v>
      </c>
      <c r="T2852">
        <v>0</v>
      </c>
      <c r="U2852">
        <v>0</v>
      </c>
      <c r="V2852">
        <v>0</v>
      </c>
      <c r="W2852">
        <v>2</v>
      </c>
      <c r="X2852" s="21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J2852" t="s">
        <v>51</v>
      </c>
      <c r="AK2852" t="s">
        <v>52</v>
      </c>
      <c r="AL2852" t="s">
        <v>694</v>
      </c>
      <c r="AP2852" t="s">
        <v>116</v>
      </c>
    </row>
    <row r="2853" spans="1:42">
      <c r="A2853" s="9">
        <v>43845</v>
      </c>
      <c r="B2853">
        <v>3</v>
      </c>
      <c r="C2853">
        <v>990</v>
      </c>
      <c r="D2853">
        <v>14523</v>
      </c>
      <c r="E2853" t="s">
        <v>847</v>
      </c>
      <c r="F2853" t="s">
        <v>520</v>
      </c>
      <c r="G2853">
        <v>2</v>
      </c>
      <c r="H2853">
        <v>94</v>
      </c>
      <c r="I2853" s="25">
        <v>1701</v>
      </c>
      <c r="K2853" t="s">
        <v>906</v>
      </c>
      <c r="L2853" t="s">
        <v>141</v>
      </c>
      <c r="M2853" t="s">
        <v>52</v>
      </c>
      <c r="N2853" t="s">
        <v>44</v>
      </c>
      <c r="O2853">
        <v>76</v>
      </c>
      <c r="Q2853">
        <v>1</v>
      </c>
      <c r="R2853">
        <v>1</v>
      </c>
      <c r="S2853">
        <v>0</v>
      </c>
      <c r="T2853">
        <v>0</v>
      </c>
      <c r="U2853">
        <v>0</v>
      </c>
      <c r="V2853">
        <v>0</v>
      </c>
      <c r="W2853">
        <v>1</v>
      </c>
      <c r="X2853" s="21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J2853" t="s">
        <v>51</v>
      </c>
      <c r="AK2853" t="s">
        <v>95</v>
      </c>
      <c r="AL2853" t="s">
        <v>694</v>
      </c>
      <c r="AP2853" t="s">
        <v>116</v>
      </c>
    </row>
    <row r="2854" spans="1:42">
      <c r="A2854" s="9">
        <v>43845</v>
      </c>
      <c r="B2854">
        <v>3</v>
      </c>
      <c r="C2854">
        <v>990</v>
      </c>
      <c r="D2854">
        <v>14523</v>
      </c>
      <c r="E2854" t="s">
        <v>847</v>
      </c>
      <c r="F2854" t="s">
        <v>520</v>
      </c>
      <c r="G2854">
        <v>2</v>
      </c>
      <c r="H2854">
        <v>95</v>
      </c>
      <c r="I2854" s="25">
        <v>3789</v>
      </c>
      <c r="K2854" t="s">
        <v>909</v>
      </c>
      <c r="L2854" t="s">
        <v>141</v>
      </c>
      <c r="M2854" t="s">
        <v>52</v>
      </c>
      <c r="N2854" t="s">
        <v>44</v>
      </c>
      <c r="O2854">
        <v>88</v>
      </c>
      <c r="Q2854">
        <v>1</v>
      </c>
      <c r="R2854">
        <v>1</v>
      </c>
      <c r="S2854">
        <v>0</v>
      </c>
      <c r="T2854">
        <v>0</v>
      </c>
      <c r="U2854">
        <v>0</v>
      </c>
      <c r="V2854">
        <v>0</v>
      </c>
      <c r="W2854">
        <v>1</v>
      </c>
      <c r="X2854" s="21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J2854" t="s">
        <v>51</v>
      </c>
      <c r="AK2854" t="s">
        <v>52</v>
      </c>
      <c r="AL2854" t="s">
        <v>694</v>
      </c>
      <c r="AP2854" t="s">
        <v>116</v>
      </c>
    </row>
    <row r="2855" spans="1:42">
      <c r="A2855" s="9">
        <v>43845</v>
      </c>
      <c r="B2855">
        <v>3</v>
      </c>
      <c r="C2855">
        <v>990</v>
      </c>
      <c r="D2855">
        <v>14523</v>
      </c>
      <c r="E2855" t="s">
        <v>847</v>
      </c>
      <c r="F2855" t="s">
        <v>520</v>
      </c>
      <c r="G2855">
        <v>2</v>
      </c>
      <c r="H2855">
        <v>96</v>
      </c>
      <c r="I2855" s="25">
        <v>2</v>
      </c>
      <c r="K2855" t="s">
        <v>910</v>
      </c>
      <c r="L2855" t="s">
        <v>114</v>
      </c>
      <c r="M2855" t="s">
        <v>52</v>
      </c>
      <c r="N2855" t="s">
        <v>44</v>
      </c>
      <c r="O2855">
        <v>190</v>
      </c>
      <c r="Q2855">
        <v>2</v>
      </c>
      <c r="R2855">
        <v>1</v>
      </c>
      <c r="S2855">
        <v>0</v>
      </c>
      <c r="T2855">
        <v>0</v>
      </c>
      <c r="U2855">
        <v>0</v>
      </c>
      <c r="V2855">
        <v>0</v>
      </c>
      <c r="W2855">
        <v>2</v>
      </c>
      <c r="X2855" s="21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J2855" t="s">
        <v>51</v>
      </c>
      <c r="AK2855" t="s">
        <v>52</v>
      </c>
      <c r="AL2855" t="s">
        <v>733</v>
      </c>
      <c r="AP2855" t="s">
        <v>116</v>
      </c>
    </row>
    <row r="2856" spans="1:42">
      <c r="A2856" s="9">
        <v>43845</v>
      </c>
      <c r="B2856">
        <v>3</v>
      </c>
      <c r="C2856">
        <v>990</v>
      </c>
      <c r="D2856">
        <v>14523</v>
      </c>
      <c r="E2856" t="s">
        <v>847</v>
      </c>
      <c r="F2856" t="s">
        <v>520</v>
      </c>
      <c r="G2856">
        <v>2</v>
      </c>
      <c r="H2856">
        <v>97</v>
      </c>
      <c r="I2856" s="25">
        <v>5</v>
      </c>
      <c r="K2856" t="s">
        <v>911</v>
      </c>
      <c r="L2856" t="s">
        <v>141</v>
      </c>
      <c r="M2856" t="s">
        <v>52</v>
      </c>
      <c r="N2856" t="s">
        <v>44</v>
      </c>
      <c r="O2856">
        <v>110</v>
      </c>
      <c r="Q2856">
        <v>1</v>
      </c>
      <c r="R2856">
        <v>1</v>
      </c>
      <c r="S2856">
        <v>0</v>
      </c>
      <c r="T2856">
        <v>0</v>
      </c>
      <c r="U2856">
        <v>0</v>
      </c>
      <c r="V2856">
        <v>0</v>
      </c>
      <c r="W2856">
        <v>1</v>
      </c>
      <c r="X2856" s="21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J2856" t="s">
        <v>51</v>
      </c>
      <c r="AK2856" t="s">
        <v>52</v>
      </c>
      <c r="AL2856" t="s">
        <v>694</v>
      </c>
      <c r="AP2856" t="s">
        <v>116</v>
      </c>
    </row>
    <row r="2857" spans="1:42">
      <c r="A2857" s="9">
        <v>43845</v>
      </c>
      <c r="B2857">
        <v>3</v>
      </c>
      <c r="C2857">
        <v>990</v>
      </c>
      <c r="D2857">
        <v>14523</v>
      </c>
      <c r="E2857" t="s">
        <v>847</v>
      </c>
      <c r="F2857" t="s">
        <v>520</v>
      </c>
      <c r="G2857">
        <v>2</v>
      </c>
      <c r="H2857">
        <v>98</v>
      </c>
      <c r="I2857" s="25">
        <v>1740</v>
      </c>
      <c r="K2857" t="s">
        <v>906</v>
      </c>
      <c r="L2857" t="s">
        <v>114</v>
      </c>
      <c r="M2857" t="s">
        <v>52</v>
      </c>
      <c r="N2857" t="s">
        <v>44</v>
      </c>
      <c r="O2857">
        <v>72</v>
      </c>
      <c r="Q2857">
        <v>1</v>
      </c>
      <c r="R2857">
        <v>1</v>
      </c>
      <c r="S2857">
        <v>0</v>
      </c>
      <c r="T2857">
        <v>0</v>
      </c>
      <c r="U2857">
        <v>0</v>
      </c>
      <c r="V2857">
        <v>0</v>
      </c>
      <c r="W2857">
        <v>1</v>
      </c>
      <c r="X2857" s="21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J2857" t="s">
        <v>51</v>
      </c>
      <c r="AK2857" t="s">
        <v>52</v>
      </c>
      <c r="AL2857" t="s">
        <v>912</v>
      </c>
      <c r="AP2857" t="s">
        <v>116</v>
      </c>
    </row>
    <row r="2858" spans="1:42">
      <c r="A2858" s="9">
        <v>43845</v>
      </c>
      <c r="B2858">
        <v>3</v>
      </c>
      <c r="C2858">
        <v>990</v>
      </c>
      <c r="D2858">
        <v>14523</v>
      </c>
      <c r="E2858" t="s">
        <v>847</v>
      </c>
      <c r="F2858" t="s">
        <v>520</v>
      </c>
      <c r="G2858">
        <v>2</v>
      </c>
      <c r="H2858">
        <v>99</v>
      </c>
      <c r="I2858" s="25">
        <v>1750</v>
      </c>
      <c r="K2858" t="s">
        <v>906</v>
      </c>
      <c r="L2858" t="s">
        <v>114</v>
      </c>
      <c r="M2858" t="s">
        <v>52</v>
      </c>
      <c r="N2858" t="s">
        <v>40</v>
      </c>
      <c r="O2858">
        <v>21</v>
      </c>
      <c r="Q2858">
        <v>1</v>
      </c>
      <c r="R2858">
        <v>1</v>
      </c>
      <c r="S2858">
        <v>0</v>
      </c>
      <c r="T2858">
        <v>0</v>
      </c>
      <c r="U2858">
        <v>0</v>
      </c>
      <c r="V2858">
        <v>0</v>
      </c>
      <c r="W2858">
        <v>1</v>
      </c>
      <c r="X2858" s="21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J2858" t="s">
        <v>51</v>
      </c>
      <c r="AK2858" t="s">
        <v>95</v>
      </c>
      <c r="AP2858" t="s">
        <v>116</v>
      </c>
    </row>
    <row r="2859" spans="1:42">
      <c r="A2859" s="9">
        <v>43845</v>
      </c>
      <c r="B2859">
        <v>3</v>
      </c>
      <c r="C2859">
        <v>990</v>
      </c>
      <c r="D2859">
        <v>14523</v>
      </c>
      <c r="E2859" t="s">
        <v>847</v>
      </c>
      <c r="F2859" t="s">
        <v>520</v>
      </c>
      <c r="G2859">
        <v>2</v>
      </c>
      <c r="H2859">
        <v>100</v>
      </c>
      <c r="I2859" s="25">
        <v>190</v>
      </c>
      <c r="K2859" t="s">
        <v>902</v>
      </c>
      <c r="L2859" t="s">
        <v>114</v>
      </c>
      <c r="M2859" t="s">
        <v>52</v>
      </c>
      <c r="N2859" t="s">
        <v>40</v>
      </c>
      <c r="O2859">
        <v>20</v>
      </c>
      <c r="Q2859">
        <v>1</v>
      </c>
      <c r="R2859">
        <v>1</v>
      </c>
      <c r="S2859">
        <v>0</v>
      </c>
      <c r="T2859">
        <v>0</v>
      </c>
      <c r="U2859">
        <v>0</v>
      </c>
      <c r="V2859">
        <v>0</v>
      </c>
      <c r="W2859">
        <v>1</v>
      </c>
      <c r="X2859" s="21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J2859" t="s">
        <v>51</v>
      </c>
      <c r="AK2859" t="s">
        <v>52</v>
      </c>
      <c r="AP2859" t="s">
        <v>116</v>
      </c>
    </row>
    <row r="2860" spans="1:42">
      <c r="A2860" s="9">
        <v>43845</v>
      </c>
      <c r="B2860">
        <v>3</v>
      </c>
      <c r="C2860">
        <v>990</v>
      </c>
      <c r="D2860">
        <v>14523</v>
      </c>
      <c r="E2860" t="s">
        <v>847</v>
      </c>
      <c r="F2860" t="s">
        <v>520</v>
      </c>
      <c r="G2860">
        <v>2</v>
      </c>
      <c r="H2860">
        <v>101</v>
      </c>
      <c r="I2860" s="25">
        <v>75</v>
      </c>
      <c r="K2860" t="s">
        <v>910</v>
      </c>
      <c r="L2860" t="s">
        <v>141</v>
      </c>
      <c r="M2860" t="s">
        <v>52</v>
      </c>
      <c r="N2860" t="s">
        <v>44</v>
      </c>
      <c r="O2860">
        <v>74</v>
      </c>
      <c r="Q2860">
        <v>1</v>
      </c>
      <c r="R2860">
        <v>1</v>
      </c>
      <c r="S2860">
        <v>0</v>
      </c>
      <c r="T2860">
        <v>0</v>
      </c>
      <c r="U2860">
        <v>0</v>
      </c>
      <c r="V2860">
        <v>0</v>
      </c>
      <c r="W2860">
        <v>1</v>
      </c>
      <c r="X2860" s="21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J2860" t="s">
        <v>51</v>
      </c>
      <c r="AK2860" t="s">
        <v>52</v>
      </c>
      <c r="AL2860" t="s">
        <v>849</v>
      </c>
      <c r="AP2860" t="s">
        <v>116</v>
      </c>
    </row>
    <row r="2861" spans="1:42">
      <c r="A2861" s="9">
        <v>43845</v>
      </c>
      <c r="B2861">
        <v>3</v>
      </c>
      <c r="C2861">
        <v>990</v>
      </c>
      <c r="D2861">
        <v>14523</v>
      </c>
      <c r="E2861" t="s">
        <v>847</v>
      </c>
      <c r="F2861" t="s">
        <v>520</v>
      </c>
      <c r="G2861">
        <v>2</v>
      </c>
      <c r="H2861">
        <v>102</v>
      </c>
      <c r="I2861" s="25">
        <v>35</v>
      </c>
      <c r="K2861" t="s">
        <v>910</v>
      </c>
      <c r="L2861" t="s">
        <v>141</v>
      </c>
      <c r="M2861" t="s">
        <v>52</v>
      </c>
      <c r="N2861" t="s">
        <v>44</v>
      </c>
      <c r="O2861">
        <v>95</v>
      </c>
      <c r="Q2861">
        <v>2</v>
      </c>
      <c r="R2861">
        <v>1</v>
      </c>
      <c r="S2861">
        <v>0</v>
      </c>
      <c r="T2861">
        <v>0</v>
      </c>
      <c r="U2861">
        <v>0</v>
      </c>
      <c r="V2861">
        <v>2</v>
      </c>
      <c r="W2861">
        <v>0</v>
      </c>
      <c r="X2861" s="2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J2861" t="s">
        <v>51</v>
      </c>
      <c r="AK2861" t="s">
        <v>95</v>
      </c>
      <c r="AL2861" t="s">
        <v>670</v>
      </c>
      <c r="AP2861" t="s">
        <v>116</v>
      </c>
    </row>
    <row r="2862" spans="1:42">
      <c r="A2862" s="9">
        <v>43845</v>
      </c>
      <c r="B2862">
        <v>3</v>
      </c>
      <c r="C2862">
        <v>990</v>
      </c>
      <c r="D2862">
        <v>14523</v>
      </c>
      <c r="E2862" t="s">
        <v>847</v>
      </c>
      <c r="F2862" t="s">
        <v>520</v>
      </c>
      <c r="G2862">
        <v>2</v>
      </c>
      <c r="H2862">
        <v>103</v>
      </c>
      <c r="I2862" s="25">
        <v>3825</v>
      </c>
      <c r="K2862" t="s">
        <v>175</v>
      </c>
      <c r="L2862" t="s">
        <v>141</v>
      </c>
      <c r="M2862" t="s">
        <v>52</v>
      </c>
      <c r="N2862" t="s">
        <v>44</v>
      </c>
      <c r="O2862">
        <v>130</v>
      </c>
      <c r="Q2862">
        <v>1</v>
      </c>
      <c r="R2862">
        <v>1</v>
      </c>
      <c r="S2862">
        <v>0</v>
      </c>
      <c r="T2862">
        <v>0</v>
      </c>
      <c r="U2862">
        <v>0</v>
      </c>
      <c r="V2862">
        <v>0</v>
      </c>
      <c r="W2862">
        <v>1</v>
      </c>
      <c r="X2862" s="21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J2862" t="s">
        <v>51</v>
      </c>
      <c r="AK2862" t="s">
        <v>95</v>
      </c>
      <c r="AL2862" t="s">
        <v>670</v>
      </c>
      <c r="AP2862" t="s">
        <v>116</v>
      </c>
    </row>
    <row r="2863" spans="1:42">
      <c r="A2863" s="9">
        <v>43845</v>
      </c>
      <c r="B2863">
        <v>3</v>
      </c>
      <c r="C2863">
        <v>990</v>
      </c>
      <c r="D2863">
        <v>14523</v>
      </c>
      <c r="E2863" t="s">
        <v>847</v>
      </c>
      <c r="F2863" t="s">
        <v>520</v>
      </c>
      <c r="G2863">
        <v>2</v>
      </c>
      <c r="H2863">
        <v>104</v>
      </c>
      <c r="I2863" s="25">
        <v>1870</v>
      </c>
      <c r="K2863" t="s">
        <v>913</v>
      </c>
      <c r="L2863" t="s">
        <v>114</v>
      </c>
      <c r="M2863" t="s">
        <v>52</v>
      </c>
      <c r="N2863" t="s">
        <v>44</v>
      </c>
      <c r="O2863">
        <v>70</v>
      </c>
      <c r="Q2863">
        <v>1</v>
      </c>
      <c r="R2863">
        <v>1</v>
      </c>
      <c r="S2863">
        <v>0</v>
      </c>
      <c r="T2863">
        <v>0</v>
      </c>
      <c r="U2863">
        <v>0</v>
      </c>
      <c r="V2863">
        <v>0</v>
      </c>
      <c r="W2863">
        <v>1</v>
      </c>
      <c r="X2863" s="21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J2863" t="s">
        <v>51</v>
      </c>
      <c r="AK2863" t="s">
        <v>52</v>
      </c>
      <c r="AL2863" t="s">
        <v>694</v>
      </c>
      <c r="AP2863" t="s">
        <v>116</v>
      </c>
    </row>
    <row r="2864" spans="1:42">
      <c r="A2864" s="9">
        <v>43845</v>
      </c>
      <c r="B2864">
        <v>3</v>
      </c>
      <c r="C2864">
        <v>990</v>
      </c>
      <c r="D2864">
        <v>14523</v>
      </c>
      <c r="E2864" t="s">
        <v>847</v>
      </c>
      <c r="F2864" t="s">
        <v>520</v>
      </c>
      <c r="G2864">
        <v>2</v>
      </c>
      <c r="H2864">
        <v>105</v>
      </c>
      <c r="I2864" s="25">
        <v>1980</v>
      </c>
      <c r="K2864" t="s">
        <v>913</v>
      </c>
      <c r="L2864" t="s">
        <v>114</v>
      </c>
      <c r="M2864" t="s">
        <v>52</v>
      </c>
      <c r="N2864" t="s">
        <v>44</v>
      </c>
      <c r="O2864">
        <v>103</v>
      </c>
      <c r="Q2864">
        <v>1</v>
      </c>
      <c r="R2864">
        <v>1</v>
      </c>
      <c r="S2864">
        <v>0</v>
      </c>
      <c r="T2864">
        <v>0</v>
      </c>
      <c r="U2864">
        <v>0</v>
      </c>
      <c r="V2864">
        <v>0</v>
      </c>
      <c r="W2864">
        <v>1</v>
      </c>
      <c r="X2864" s="21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J2864" t="s">
        <v>51</v>
      </c>
      <c r="AK2864" t="s">
        <v>52</v>
      </c>
      <c r="AL2864" t="s">
        <v>694</v>
      </c>
      <c r="AP2864" t="s">
        <v>116</v>
      </c>
    </row>
    <row r="2865" spans="1:42">
      <c r="A2865" s="9">
        <v>43845</v>
      </c>
      <c r="B2865">
        <v>3</v>
      </c>
      <c r="C2865">
        <v>990</v>
      </c>
      <c r="D2865">
        <v>14523</v>
      </c>
      <c r="E2865" t="s">
        <v>847</v>
      </c>
      <c r="F2865" t="s">
        <v>520</v>
      </c>
      <c r="G2865">
        <v>2</v>
      </c>
      <c r="H2865">
        <v>106</v>
      </c>
      <c r="I2865" s="25">
        <v>2040</v>
      </c>
      <c r="K2865" t="s">
        <v>913</v>
      </c>
      <c r="L2865" t="s">
        <v>114</v>
      </c>
      <c r="M2865" t="s">
        <v>52</v>
      </c>
      <c r="N2865" t="s">
        <v>44</v>
      </c>
      <c r="O2865">
        <v>131</v>
      </c>
      <c r="Q2865">
        <v>2</v>
      </c>
      <c r="R2865">
        <v>1</v>
      </c>
      <c r="S2865">
        <v>0</v>
      </c>
      <c r="T2865">
        <v>0</v>
      </c>
      <c r="U2865">
        <v>0</v>
      </c>
      <c r="V2865">
        <v>0</v>
      </c>
      <c r="W2865">
        <v>2</v>
      </c>
      <c r="X2865" s="21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J2865" t="s">
        <v>51</v>
      </c>
      <c r="AK2865" t="s">
        <v>95</v>
      </c>
      <c r="AL2865" t="s">
        <v>694</v>
      </c>
      <c r="AP2865" t="s">
        <v>116</v>
      </c>
    </row>
    <row r="2866" spans="1:42">
      <c r="A2866" s="9">
        <v>43845</v>
      </c>
      <c r="B2866">
        <v>3</v>
      </c>
      <c r="C2866">
        <v>990</v>
      </c>
      <c r="D2866">
        <v>14523</v>
      </c>
      <c r="E2866" t="s">
        <v>847</v>
      </c>
      <c r="F2866" t="s">
        <v>520</v>
      </c>
      <c r="G2866">
        <v>2</v>
      </c>
      <c r="H2866">
        <v>108</v>
      </c>
      <c r="I2866" s="25">
        <v>3465</v>
      </c>
      <c r="K2866" t="s">
        <v>220</v>
      </c>
      <c r="L2866" t="s">
        <v>141</v>
      </c>
      <c r="M2866" t="s">
        <v>52</v>
      </c>
      <c r="N2866" t="s">
        <v>44</v>
      </c>
      <c r="O2866">
        <v>87</v>
      </c>
      <c r="Q2866">
        <v>1</v>
      </c>
      <c r="R2866">
        <v>1</v>
      </c>
      <c r="S2866">
        <v>0</v>
      </c>
      <c r="T2866">
        <v>0</v>
      </c>
      <c r="U2866">
        <v>0</v>
      </c>
      <c r="V2866">
        <v>0</v>
      </c>
      <c r="W2866">
        <v>1</v>
      </c>
      <c r="X2866" s="21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J2866" t="s">
        <v>51</v>
      </c>
      <c r="AK2866" t="s">
        <v>95</v>
      </c>
      <c r="AL2866" t="s">
        <v>670</v>
      </c>
      <c r="AP2866" t="s">
        <v>116</v>
      </c>
    </row>
    <row r="2867" spans="1:42">
      <c r="A2867" s="9">
        <v>43845</v>
      </c>
      <c r="B2867">
        <v>3</v>
      </c>
      <c r="C2867">
        <v>990</v>
      </c>
      <c r="D2867">
        <v>14523</v>
      </c>
      <c r="E2867" t="s">
        <v>847</v>
      </c>
      <c r="F2867" t="s">
        <v>520</v>
      </c>
      <c r="G2867">
        <v>2</v>
      </c>
      <c r="H2867">
        <v>109</v>
      </c>
      <c r="I2867" s="25">
        <v>2300</v>
      </c>
      <c r="K2867" t="s">
        <v>884</v>
      </c>
      <c r="L2867" t="s">
        <v>114</v>
      </c>
      <c r="M2867" t="s">
        <v>52</v>
      </c>
      <c r="N2867" t="s">
        <v>44</v>
      </c>
      <c r="O2867">
        <v>92</v>
      </c>
      <c r="Q2867">
        <v>1</v>
      </c>
      <c r="R2867">
        <v>1</v>
      </c>
      <c r="S2867">
        <v>0</v>
      </c>
      <c r="T2867">
        <v>0</v>
      </c>
      <c r="U2867">
        <v>0</v>
      </c>
      <c r="V2867">
        <v>0</v>
      </c>
      <c r="W2867">
        <v>1</v>
      </c>
      <c r="X2867" s="21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J2867" t="s">
        <v>51</v>
      </c>
      <c r="AK2867" t="s">
        <v>52</v>
      </c>
      <c r="AL2867" t="s">
        <v>694</v>
      </c>
      <c r="AP2867" t="s">
        <v>116</v>
      </c>
    </row>
    <row r="2868" spans="1:42">
      <c r="A2868" s="9">
        <v>43845</v>
      </c>
      <c r="B2868">
        <v>3</v>
      </c>
      <c r="C2868">
        <v>990</v>
      </c>
      <c r="D2868">
        <v>14523</v>
      </c>
      <c r="E2868" t="s">
        <v>847</v>
      </c>
      <c r="F2868" t="s">
        <v>520</v>
      </c>
      <c r="G2868">
        <v>2</v>
      </c>
      <c r="H2868">
        <v>110</v>
      </c>
      <c r="I2868" s="25">
        <v>3333</v>
      </c>
      <c r="K2868" t="s">
        <v>220</v>
      </c>
      <c r="L2868" t="s">
        <v>141</v>
      </c>
      <c r="M2868" t="s">
        <v>52</v>
      </c>
      <c r="N2868" t="s">
        <v>44</v>
      </c>
      <c r="O2868">
        <v>120</v>
      </c>
      <c r="Q2868">
        <v>1</v>
      </c>
      <c r="R2868">
        <v>1</v>
      </c>
      <c r="S2868">
        <v>0</v>
      </c>
      <c r="T2868">
        <v>0</v>
      </c>
      <c r="U2868">
        <v>0</v>
      </c>
      <c r="V2868">
        <v>0</v>
      </c>
      <c r="W2868">
        <v>1</v>
      </c>
      <c r="X2868" s="21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J2868" t="s">
        <v>51</v>
      </c>
      <c r="AK2868" t="s">
        <v>52</v>
      </c>
      <c r="AL2868" t="s">
        <v>694</v>
      </c>
      <c r="AP2868" t="s">
        <v>116</v>
      </c>
    </row>
    <row r="2869" spans="1:42">
      <c r="A2869" s="9">
        <v>43845</v>
      </c>
      <c r="B2869">
        <v>3</v>
      </c>
      <c r="C2869">
        <v>990</v>
      </c>
      <c r="D2869">
        <v>14523</v>
      </c>
      <c r="E2869" t="s">
        <v>847</v>
      </c>
      <c r="F2869" t="s">
        <v>520</v>
      </c>
      <c r="G2869">
        <v>2</v>
      </c>
      <c r="H2869">
        <v>111</v>
      </c>
      <c r="I2869" s="25">
        <v>3255</v>
      </c>
      <c r="K2869" t="s">
        <v>220</v>
      </c>
      <c r="L2869" t="s">
        <v>141</v>
      </c>
      <c r="M2869" t="s">
        <v>52</v>
      </c>
      <c r="N2869" t="s">
        <v>44</v>
      </c>
      <c r="O2869">
        <v>107</v>
      </c>
      <c r="Q2869">
        <v>2</v>
      </c>
      <c r="R2869">
        <v>1</v>
      </c>
      <c r="S2869">
        <v>0</v>
      </c>
      <c r="T2869">
        <v>0</v>
      </c>
      <c r="U2869">
        <v>0</v>
      </c>
      <c r="V2869">
        <v>0</v>
      </c>
      <c r="W2869">
        <v>2</v>
      </c>
      <c r="X2869" s="21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J2869" t="s">
        <v>51</v>
      </c>
      <c r="AK2869" t="s">
        <v>52</v>
      </c>
      <c r="AL2869" t="s">
        <v>914</v>
      </c>
      <c r="AP2869" t="s">
        <v>116</v>
      </c>
    </row>
    <row r="2870" spans="1:42">
      <c r="A2870" s="9">
        <v>43845</v>
      </c>
      <c r="B2870">
        <v>3</v>
      </c>
      <c r="C2870">
        <v>990</v>
      </c>
      <c r="D2870">
        <v>14523</v>
      </c>
      <c r="E2870" t="s">
        <v>847</v>
      </c>
      <c r="F2870" t="s">
        <v>520</v>
      </c>
      <c r="G2870">
        <v>2</v>
      </c>
      <c r="H2870">
        <v>112</v>
      </c>
      <c r="I2870" s="25">
        <v>2500</v>
      </c>
      <c r="K2870" t="s">
        <v>324</v>
      </c>
      <c r="L2870" t="s">
        <v>114</v>
      </c>
      <c r="M2870" t="s">
        <v>52</v>
      </c>
      <c r="N2870" t="s">
        <v>44</v>
      </c>
      <c r="O2870">
        <v>96</v>
      </c>
      <c r="Q2870">
        <v>1</v>
      </c>
      <c r="R2870">
        <v>1</v>
      </c>
      <c r="S2870">
        <v>0</v>
      </c>
      <c r="T2870">
        <v>0</v>
      </c>
      <c r="U2870">
        <v>0</v>
      </c>
      <c r="V2870">
        <v>0</v>
      </c>
      <c r="W2870">
        <v>1</v>
      </c>
      <c r="X2870" s="21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J2870" t="s">
        <v>51</v>
      </c>
      <c r="AK2870" t="s">
        <v>52</v>
      </c>
      <c r="AL2870" t="s">
        <v>670</v>
      </c>
      <c r="AP2870" t="s">
        <v>116</v>
      </c>
    </row>
    <row r="2871" spans="1:42">
      <c r="A2871" s="9">
        <v>43845</v>
      </c>
      <c r="B2871">
        <v>3</v>
      </c>
      <c r="C2871">
        <v>990</v>
      </c>
      <c r="D2871">
        <v>14523</v>
      </c>
      <c r="E2871" t="s">
        <v>847</v>
      </c>
      <c r="F2871" t="s">
        <v>520</v>
      </c>
      <c r="G2871">
        <v>2</v>
      </c>
      <c r="H2871">
        <v>113</v>
      </c>
      <c r="I2871" s="25">
        <v>3330</v>
      </c>
      <c r="K2871" t="s">
        <v>220</v>
      </c>
      <c r="L2871" t="s">
        <v>114</v>
      </c>
      <c r="M2871" t="s">
        <v>52</v>
      </c>
      <c r="N2871" t="s">
        <v>44</v>
      </c>
      <c r="O2871">
        <v>78</v>
      </c>
      <c r="Q2871">
        <v>1</v>
      </c>
      <c r="R2871">
        <v>1</v>
      </c>
      <c r="S2871">
        <v>0</v>
      </c>
      <c r="T2871">
        <v>0</v>
      </c>
      <c r="U2871">
        <v>0</v>
      </c>
      <c r="V2871">
        <v>0</v>
      </c>
      <c r="W2871">
        <v>1</v>
      </c>
      <c r="X2871" s="2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J2871" t="s">
        <v>51</v>
      </c>
      <c r="AK2871" t="s">
        <v>52</v>
      </c>
      <c r="AL2871" t="s">
        <v>694</v>
      </c>
      <c r="AP2871" t="s">
        <v>116</v>
      </c>
    </row>
    <row r="2872" spans="1:42">
      <c r="A2872" s="9">
        <v>43845</v>
      </c>
      <c r="B2872">
        <v>3</v>
      </c>
      <c r="C2872">
        <v>990</v>
      </c>
      <c r="D2872">
        <v>14523</v>
      </c>
      <c r="E2872" t="s">
        <v>847</v>
      </c>
      <c r="F2872" t="s">
        <v>520</v>
      </c>
      <c r="G2872">
        <v>2</v>
      </c>
      <c r="H2872">
        <v>114</v>
      </c>
      <c r="I2872" s="25">
        <v>3450</v>
      </c>
      <c r="K2872" t="s">
        <v>220</v>
      </c>
      <c r="L2872" t="s">
        <v>114</v>
      </c>
      <c r="M2872" t="s">
        <v>52</v>
      </c>
      <c r="N2872" t="s">
        <v>44</v>
      </c>
      <c r="O2872">
        <v>110</v>
      </c>
      <c r="Q2872">
        <v>2</v>
      </c>
      <c r="R2872">
        <v>1</v>
      </c>
      <c r="S2872">
        <v>0</v>
      </c>
      <c r="T2872">
        <v>0</v>
      </c>
      <c r="U2872">
        <v>0</v>
      </c>
      <c r="V2872">
        <v>0</v>
      </c>
      <c r="W2872">
        <v>2</v>
      </c>
      <c r="X2872" s="21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J2872" t="s">
        <v>51</v>
      </c>
      <c r="AK2872" t="s">
        <v>52</v>
      </c>
      <c r="AL2872" t="s">
        <v>849</v>
      </c>
      <c r="AP2872" t="s">
        <v>116</v>
      </c>
    </row>
    <row r="2873" spans="1:42">
      <c r="A2873" s="9">
        <v>43845</v>
      </c>
      <c r="B2873">
        <v>3</v>
      </c>
      <c r="C2873">
        <v>990</v>
      </c>
      <c r="D2873">
        <v>14523</v>
      </c>
      <c r="E2873" t="s">
        <v>847</v>
      </c>
      <c r="F2873" t="s">
        <v>520</v>
      </c>
      <c r="G2873">
        <v>2</v>
      </c>
      <c r="H2873">
        <v>115</v>
      </c>
      <c r="I2873" s="25">
        <v>2290</v>
      </c>
      <c r="K2873" t="s">
        <v>570</v>
      </c>
      <c r="L2873" t="s">
        <v>114</v>
      </c>
      <c r="M2873" t="s">
        <v>52</v>
      </c>
      <c r="N2873" t="s">
        <v>44</v>
      </c>
      <c r="O2873">
        <v>99</v>
      </c>
      <c r="Q2873">
        <v>2</v>
      </c>
      <c r="R2873">
        <v>1</v>
      </c>
      <c r="S2873">
        <v>0</v>
      </c>
      <c r="T2873">
        <v>0</v>
      </c>
      <c r="U2873">
        <v>0</v>
      </c>
      <c r="V2873">
        <v>0</v>
      </c>
      <c r="W2873">
        <v>2</v>
      </c>
      <c r="X2873" s="21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J2873" t="s">
        <v>51</v>
      </c>
      <c r="AK2873" t="s">
        <v>52</v>
      </c>
      <c r="AL2873" t="s">
        <v>670</v>
      </c>
      <c r="AP2873" t="s">
        <v>116</v>
      </c>
    </row>
    <row r="2874" spans="1:42">
      <c r="A2874" s="9">
        <v>43845</v>
      </c>
      <c r="B2874">
        <v>3</v>
      </c>
      <c r="C2874">
        <v>990</v>
      </c>
      <c r="D2874">
        <v>14523</v>
      </c>
      <c r="E2874" t="s">
        <v>847</v>
      </c>
      <c r="F2874" t="s">
        <v>520</v>
      </c>
      <c r="G2874">
        <v>2</v>
      </c>
      <c r="H2874">
        <v>116</v>
      </c>
      <c r="I2874" s="25">
        <v>2190</v>
      </c>
      <c r="K2874" t="s">
        <v>906</v>
      </c>
      <c r="L2874" t="s">
        <v>114</v>
      </c>
      <c r="M2874" t="s">
        <v>52</v>
      </c>
      <c r="N2874" t="s">
        <v>44</v>
      </c>
      <c r="O2874">
        <v>110</v>
      </c>
      <c r="Q2874">
        <v>1</v>
      </c>
      <c r="R2874">
        <v>1</v>
      </c>
      <c r="S2874">
        <v>0</v>
      </c>
      <c r="T2874">
        <v>0</v>
      </c>
      <c r="U2874">
        <v>0</v>
      </c>
      <c r="V2874">
        <v>0</v>
      </c>
      <c r="W2874">
        <v>1</v>
      </c>
      <c r="X2874" s="21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J2874" t="s">
        <v>51</v>
      </c>
      <c r="AK2874" t="s">
        <v>95</v>
      </c>
      <c r="AL2874" t="s">
        <v>915</v>
      </c>
      <c r="AP2874" t="s">
        <v>116</v>
      </c>
    </row>
    <row r="2875" spans="1:42">
      <c r="A2875" s="9">
        <v>43845</v>
      </c>
      <c r="B2875">
        <v>3</v>
      </c>
      <c r="C2875">
        <v>990</v>
      </c>
      <c r="D2875">
        <v>14523</v>
      </c>
      <c r="E2875" t="s">
        <v>847</v>
      </c>
      <c r="F2875" t="s">
        <v>520</v>
      </c>
      <c r="G2875">
        <v>2</v>
      </c>
      <c r="H2875">
        <v>117</v>
      </c>
      <c r="I2875" s="25" t="s">
        <v>916</v>
      </c>
      <c r="K2875" t="s">
        <v>220</v>
      </c>
      <c r="L2875" t="s">
        <v>114</v>
      </c>
      <c r="M2875" t="s">
        <v>52</v>
      </c>
      <c r="N2875" t="s">
        <v>44</v>
      </c>
      <c r="O2875">
        <v>180</v>
      </c>
      <c r="Q2875">
        <v>2</v>
      </c>
      <c r="R2875">
        <v>1</v>
      </c>
      <c r="S2875">
        <v>0</v>
      </c>
      <c r="T2875">
        <v>0</v>
      </c>
      <c r="U2875">
        <v>0</v>
      </c>
      <c r="V2875">
        <v>0</v>
      </c>
      <c r="W2875">
        <v>2</v>
      </c>
      <c r="X2875" s="21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J2875" t="s">
        <v>51</v>
      </c>
      <c r="AK2875" t="s">
        <v>52</v>
      </c>
      <c r="AL2875" t="s">
        <v>694</v>
      </c>
      <c r="AP2875" t="s">
        <v>116</v>
      </c>
    </row>
    <row r="2876" spans="1:42">
      <c r="A2876" s="9">
        <v>43845</v>
      </c>
      <c r="B2876">
        <v>3</v>
      </c>
      <c r="C2876">
        <v>990</v>
      </c>
      <c r="D2876">
        <v>14523</v>
      </c>
      <c r="E2876" t="s">
        <v>847</v>
      </c>
      <c r="F2876" t="s">
        <v>520</v>
      </c>
      <c r="G2876">
        <v>2</v>
      </c>
      <c r="H2876">
        <v>118</v>
      </c>
      <c r="I2876" s="25" t="s">
        <v>917</v>
      </c>
      <c r="K2876" t="s">
        <v>918</v>
      </c>
      <c r="L2876" t="s">
        <v>141</v>
      </c>
      <c r="M2876" t="s">
        <v>52</v>
      </c>
      <c r="N2876" t="s">
        <v>44</v>
      </c>
      <c r="O2876">
        <v>340</v>
      </c>
      <c r="Q2876">
        <v>5</v>
      </c>
      <c r="R2876">
        <v>1</v>
      </c>
      <c r="S2876">
        <v>0</v>
      </c>
      <c r="T2876">
        <v>0</v>
      </c>
      <c r="U2876">
        <v>0</v>
      </c>
      <c r="V2876">
        <v>0</v>
      </c>
      <c r="W2876">
        <v>5</v>
      </c>
      <c r="X2876" s="21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J2876" t="s">
        <v>51</v>
      </c>
      <c r="AK2876" t="s">
        <v>95</v>
      </c>
      <c r="AL2876" t="s">
        <v>694</v>
      </c>
      <c r="AP2876" t="s">
        <v>116</v>
      </c>
    </row>
    <row r="2877" spans="1:42">
      <c r="A2877" s="9">
        <v>43845</v>
      </c>
      <c r="B2877">
        <v>3</v>
      </c>
      <c r="C2877">
        <v>990</v>
      </c>
      <c r="D2877">
        <v>14523</v>
      </c>
      <c r="E2877" t="s">
        <v>847</v>
      </c>
      <c r="F2877" t="s">
        <v>520</v>
      </c>
      <c r="G2877">
        <v>2</v>
      </c>
      <c r="H2877">
        <v>119</v>
      </c>
      <c r="I2877" s="25">
        <v>1921</v>
      </c>
      <c r="K2877" t="s">
        <v>913</v>
      </c>
      <c r="L2877" t="s">
        <v>141</v>
      </c>
      <c r="M2877" t="s">
        <v>52</v>
      </c>
      <c r="N2877" t="s">
        <v>44</v>
      </c>
      <c r="O2877">
        <v>90</v>
      </c>
      <c r="Q2877">
        <v>1</v>
      </c>
      <c r="R2877">
        <v>1</v>
      </c>
      <c r="S2877">
        <v>0</v>
      </c>
      <c r="T2877">
        <v>0</v>
      </c>
      <c r="U2877">
        <v>0</v>
      </c>
      <c r="V2877">
        <v>0</v>
      </c>
      <c r="W2877">
        <v>1</v>
      </c>
      <c r="X2877" s="21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J2877" t="s">
        <v>51</v>
      </c>
      <c r="AK2877" t="s">
        <v>52</v>
      </c>
      <c r="AL2877" t="s">
        <v>670</v>
      </c>
      <c r="AP2877" t="s">
        <v>116</v>
      </c>
    </row>
    <row r="2878" spans="1:42">
      <c r="A2878" s="9">
        <v>43845</v>
      </c>
      <c r="B2878">
        <v>3</v>
      </c>
      <c r="C2878">
        <v>990</v>
      </c>
      <c r="D2878">
        <v>14523</v>
      </c>
      <c r="E2878" t="s">
        <v>847</v>
      </c>
      <c r="F2878" t="s">
        <v>520</v>
      </c>
      <c r="G2878">
        <v>2</v>
      </c>
      <c r="H2878">
        <v>121</v>
      </c>
      <c r="I2878" s="25">
        <v>2130</v>
      </c>
      <c r="K2878" t="s">
        <v>906</v>
      </c>
      <c r="L2878" t="s">
        <v>114</v>
      </c>
      <c r="M2878" t="s">
        <v>52</v>
      </c>
      <c r="N2878" t="s">
        <v>44</v>
      </c>
      <c r="O2878">
        <v>63</v>
      </c>
      <c r="Q2878">
        <v>1</v>
      </c>
      <c r="R2878">
        <v>1</v>
      </c>
      <c r="S2878">
        <v>0</v>
      </c>
      <c r="T2878">
        <v>0</v>
      </c>
      <c r="U2878">
        <v>0</v>
      </c>
      <c r="V2878">
        <v>0</v>
      </c>
      <c r="W2878">
        <v>1</v>
      </c>
      <c r="X2878" s="21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J2878" t="s">
        <v>51</v>
      </c>
      <c r="AK2878" t="s">
        <v>52</v>
      </c>
      <c r="AL2878" t="s">
        <v>919</v>
      </c>
      <c r="AP2878" t="s">
        <v>116</v>
      </c>
    </row>
    <row r="2879" spans="1:42">
      <c r="A2879" s="9">
        <v>43845</v>
      </c>
      <c r="B2879">
        <v>3</v>
      </c>
      <c r="C2879">
        <v>990</v>
      </c>
      <c r="D2879">
        <v>14523</v>
      </c>
      <c r="E2879" t="s">
        <v>847</v>
      </c>
      <c r="F2879" t="s">
        <v>520</v>
      </c>
      <c r="G2879">
        <v>2</v>
      </c>
      <c r="H2879">
        <v>122</v>
      </c>
      <c r="I2879" s="25">
        <v>3655</v>
      </c>
      <c r="K2879" t="s">
        <v>220</v>
      </c>
      <c r="L2879" t="s">
        <v>141</v>
      </c>
      <c r="M2879" t="s">
        <v>52</v>
      </c>
      <c r="N2879" t="s">
        <v>44</v>
      </c>
      <c r="O2879">
        <v>92</v>
      </c>
      <c r="Q2879">
        <v>2</v>
      </c>
      <c r="R2879">
        <v>1</v>
      </c>
      <c r="S2879">
        <v>0</v>
      </c>
      <c r="T2879">
        <v>0</v>
      </c>
      <c r="U2879">
        <v>0</v>
      </c>
      <c r="V2879">
        <v>0</v>
      </c>
      <c r="W2879">
        <v>2</v>
      </c>
      <c r="X2879" s="21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J2879" t="s">
        <v>51</v>
      </c>
      <c r="AK2879" t="s">
        <v>52</v>
      </c>
      <c r="AL2879" t="s">
        <v>920</v>
      </c>
      <c r="AP2879" t="s">
        <v>116</v>
      </c>
    </row>
    <row r="2880" spans="1:42">
      <c r="A2880" s="9">
        <v>43845</v>
      </c>
      <c r="B2880">
        <v>3</v>
      </c>
      <c r="C2880">
        <v>990</v>
      </c>
      <c r="D2880">
        <v>14523</v>
      </c>
      <c r="E2880" t="s">
        <v>847</v>
      </c>
      <c r="F2880" t="s">
        <v>520</v>
      </c>
      <c r="G2880">
        <v>2</v>
      </c>
      <c r="H2880">
        <v>123</v>
      </c>
      <c r="I2880" s="25" t="s">
        <v>921</v>
      </c>
      <c r="K2880" t="s">
        <v>913</v>
      </c>
      <c r="L2880" t="s">
        <v>141</v>
      </c>
      <c r="M2880" t="s">
        <v>52</v>
      </c>
      <c r="N2880" t="s">
        <v>44</v>
      </c>
      <c r="O2880">
        <v>246</v>
      </c>
      <c r="Q2880">
        <v>2</v>
      </c>
      <c r="R2880">
        <v>1</v>
      </c>
      <c r="S2880">
        <v>0</v>
      </c>
      <c r="T2880">
        <v>0</v>
      </c>
      <c r="U2880">
        <v>0</v>
      </c>
      <c r="V2880">
        <v>0</v>
      </c>
      <c r="W2880">
        <v>2</v>
      </c>
      <c r="X2880" s="21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J2880" t="s">
        <v>51</v>
      </c>
      <c r="AK2880" t="s">
        <v>52</v>
      </c>
      <c r="AL2880" t="s">
        <v>922</v>
      </c>
      <c r="AP2880" t="s">
        <v>116</v>
      </c>
    </row>
    <row r="2881" spans="1:42">
      <c r="A2881" s="9">
        <v>43845</v>
      </c>
      <c r="B2881">
        <v>3</v>
      </c>
      <c r="C2881">
        <v>990</v>
      </c>
      <c r="D2881">
        <v>14523</v>
      </c>
      <c r="E2881" t="s">
        <v>847</v>
      </c>
      <c r="F2881" t="s">
        <v>520</v>
      </c>
      <c r="G2881">
        <v>2</v>
      </c>
      <c r="H2881">
        <v>124</v>
      </c>
      <c r="I2881" s="25">
        <v>1925</v>
      </c>
      <c r="K2881" t="s">
        <v>913</v>
      </c>
      <c r="L2881" t="s">
        <v>141</v>
      </c>
      <c r="M2881" t="s">
        <v>52</v>
      </c>
      <c r="N2881" t="s">
        <v>44</v>
      </c>
      <c r="O2881">
        <v>138</v>
      </c>
      <c r="Q2881">
        <v>1</v>
      </c>
      <c r="R2881">
        <v>1</v>
      </c>
      <c r="S2881">
        <v>0</v>
      </c>
      <c r="T2881">
        <v>0</v>
      </c>
      <c r="U2881">
        <v>0</v>
      </c>
      <c r="V2881">
        <v>0</v>
      </c>
      <c r="W2881">
        <v>1</v>
      </c>
      <c r="X2881" s="2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J2881" t="s">
        <v>51</v>
      </c>
      <c r="AK2881" t="s">
        <v>52</v>
      </c>
      <c r="AL2881" t="s">
        <v>923</v>
      </c>
      <c r="AP2881" t="s">
        <v>116</v>
      </c>
    </row>
    <row r="2882" spans="1:42">
      <c r="A2882" s="9">
        <v>43845</v>
      </c>
      <c r="B2882">
        <v>3</v>
      </c>
      <c r="C2882">
        <v>990</v>
      </c>
      <c r="D2882">
        <v>14523</v>
      </c>
      <c r="E2882" t="s">
        <v>847</v>
      </c>
      <c r="F2882" t="s">
        <v>520</v>
      </c>
      <c r="G2882">
        <v>2</v>
      </c>
      <c r="H2882">
        <v>125</v>
      </c>
      <c r="I2882" s="25">
        <v>1895</v>
      </c>
      <c r="K2882" t="s">
        <v>913</v>
      </c>
      <c r="L2882" t="s">
        <v>141</v>
      </c>
      <c r="M2882" t="s">
        <v>52</v>
      </c>
      <c r="N2882" t="s">
        <v>44</v>
      </c>
      <c r="O2882">
        <v>130</v>
      </c>
      <c r="Q2882">
        <v>2</v>
      </c>
      <c r="R2882">
        <v>1</v>
      </c>
      <c r="S2882">
        <v>0</v>
      </c>
      <c r="T2882">
        <v>0</v>
      </c>
      <c r="U2882">
        <v>0</v>
      </c>
      <c r="V2882">
        <v>0</v>
      </c>
      <c r="W2882">
        <v>2</v>
      </c>
      <c r="X2882" s="21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J2882" t="s">
        <v>51</v>
      </c>
      <c r="AK2882" t="s">
        <v>52</v>
      </c>
      <c r="AP2882" t="s">
        <v>116</v>
      </c>
    </row>
    <row r="2883" spans="1:42">
      <c r="A2883" s="9">
        <v>43845</v>
      </c>
      <c r="B2883">
        <v>3</v>
      </c>
      <c r="C2883">
        <v>990</v>
      </c>
      <c r="D2883">
        <v>14523</v>
      </c>
      <c r="E2883" t="s">
        <v>847</v>
      </c>
      <c r="F2883" t="s">
        <v>520</v>
      </c>
      <c r="G2883">
        <v>2</v>
      </c>
      <c r="H2883">
        <v>126</v>
      </c>
      <c r="I2883" s="25">
        <v>2000</v>
      </c>
      <c r="K2883" t="s">
        <v>906</v>
      </c>
      <c r="L2883" t="s">
        <v>114</v>
      </c>
      <c r="M2883" t="s">
        <v>52</v>
      </c>
      <c r="N2883" t="s">
        <v>44</v>
      </c>
      <c r="O2883">
        <v>73</v>
      </c>
      <c r="Q2883">
        <v>2</v>
      </c>
      <c r="R2883">
        <v>1</v>
      </c>
      <c r="S2883">
        <v>0</v>
      </c>
      <c r="T2883">
        <v>0</v>
      </c>
      <c r="U2883">
        <v>0</v>
      </c>
      <c r="V2883">
        <v>0</v>
      </c>
      <c r="W2883">
        <v>2</v>
      </c>
      <c r="X2883" s="21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J2883" t="s">
        <v>51</v>
      </c>
      <c r="AK2883" t="s">
        <v>52</v>
      </c>
      <c r="AL2883" t="s">
        <v>694</v>
      </c>
      <c r="AP2883" t="s">
        <v>116</v>
      </c>
    </row>
    <row r="2884" spans="1:42">
      <c r="A2884" s="9">
        <v>43845</v>
      </c>
      <c r="B2884">
        <v>3</v>
      </c>
      <c r="C2884">
        <v>990</v>
      </c>
      <c r="D2884">
        <v>14523</v>
      </c>
      <c r="E2884" t="s">
        <v>847</v>
      </c>
      <c r="F2884" t="s">
        <v>520</v>
      </c>
      <c r="G2884">
        <v>2</v>
      </c>
      <c r="H2884">
        <v>127</v>
      </c>
      <c r="I2884" s="25" t="s">
        <v>924</v>
      </c>
      <c r="K2884" t="s">
        <v>906</v>
      </c>
      <c r="L2884" t="s">
        <v>114</v>
      </c>
      <c r="M2884" t="s">
        <v>52</v>
      </c>
      <c r="N2884" t="s">
        <v>40</v>
      </c>
      <c r="P2884">
        <v>335</v>
      </c>
      <c r="Q2884">
        <v>8</v>
      </c>
      <c r="R2884">
        <v>1</v>
      </c>
      <c r="S2884">
        <v>0</v>
      </c>
      <c r="T2884">
        <v>0</v>
      </c>
      <c r="U2884">
        <v>2</v>
      </c>
      <c r="V2884">
        <v>5</v>
      </c>
      <c r="W2884">
        <v>1</v>
      </c>
      <c r="X2884" s="21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J2884" t="s">
        <v>51</v>
      </c>
      <c r="AK2884" t="s">
        <v>52</v>
      </c>
      <c r="AP2884" t="s">
        <v>116</v>
      </c>
    </row>
    <row r="2885" spans="1:42">
      <c r="A2885" s="9">
        <v>43845</v>
      </c>
      <c r="B2885">
        <v>3</v>
      </c>
      <c r="C2885">
        <v>990</v>
      </c>
      <c r="D2885">
        <v>14523</v>
      </c>
      <c r="E2885" t="s">
        <v>847</v>
      </c>
      <c r="F2885" t="s">
        <v>520</v>
      </c>
      <c r="G2885">
        <v>2</v>
      </c>
      <c r="H2885">
        <v>128</v>
      </c>
      <c r="I2885" s="25" t="s">
        <v>925</v>
      </c>
      <c r="K2885" t="s">
        <v>256</v>
      </c>
      <c r="L2885" t="s">
        <v>114</v>
      </c>
      <c r="M2885" t="s">
        <v>52</v>
      </c>
      <c r="N2885" t="s">
        <v>44</v>
      </c>
      <c r="O2885">
        <v>237</v>
      </c>
      <c r="Q2885">
        <v>3</v>
      </c>
      <c r="R2885">
        <v>1</v>
      </c>
      <c r="S2885">
        <v>0</v>
      </c>
      <c r="T2885">
        <v>0</v>
      </c>
      <c r="U2885">
        <v>0</v>
      </c>
      <c r="V2885">
        <v>0</v>
      </c>
      <c r="W2885">
        <v>3</v>
      </c>
      <c r="X2885" s="21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J2885" t="s">
        <v>51</v>
      </c>
      <c r="AK2885" t="s">
        <v>52</v>
      </c>
      <c r="AL2885" t="s">
        <v>926</v>
      </c>
      <c r="AP2885" t="s">
        <v>116</v>
      </c>
    </row>
    <row r="2886" spans="1:42">
      <c r="A2886" s="9">
        <v>43845</v>
      </c>
      <c r="B2886">
        <v>3</v>
      </c>
      <c r="C2886">
        <v>990</v>
      </c>
      <c r="D2886">
        <v>14523</v>
      </c>
      <c r="E2886" t="s">
        <v>847</v>
      </c>
      <c r="F2886" t="s">
        <v>520</v>
      </c>
      <c r="G2886">
        <v>2</v>
      </c>
      <c r="H2886">
        <v>129</v>
      </c>
      <c r="I2886" s="25">
        <v>3835</v>
      </c>
      <c r="K2886" t="s">
        <v>175</v>
      </c>
      <c r="L2886" t="s">
        <v>141</v>
      </c>
      <c r="M2886" t="s">
        <v>52</v>
      </c>
      <c r="N2886" t="s">
        <v>44</v>
      </c>
      <c r="O2886">
        <v>140</v>
      </c>
      <c r="Q2886">
        <v>2</v>
      </c>
      <c r="R2886">
        <v>1</v>
      </c>
      <c r="S2886">
        <v>0</v>
      </c>
      <c r="T2886">
        <v>0</v>
      </c>
      <c r="U2886">
        <v>0</v>
      </c>
      <c r="V2886">
        <v>0</v>
      </c>
      <c r="W2886">
        <v>2</v>
      </c>
      <c r="X2886" s="21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J2886" t="s">
        <v>51</v>
      </c>
      <c r="AK2886" t="s">
        <v>52</v>
      </c>
      <c r="AL2886" t="s">
        <v>927</v>
      </c>
      <c r="AP2886" t="s">
        <v>116</v>
      </c>
    </row>
    <row r="2887" spans="1:42">
      <c r="A2887" s="9">
        <v>43845</v>
      </c>
      <c r="B2887">
        <v>3</v>
      </c>
      <c r="C2887">
        <v>990</v>
      </c>
      <c r="D2887">
        <v>14523</v>
      </c>
      <c r="E2887" t="s">
        <v>847</v>
      </c>
      <c r="F2887" t="s">
        <v>520</v>
      </c>
      <c r="G2887">
        <v>2</v>
      </c>
      <c r="H2887">
        <v>130</v>
      </c>
      <c r="I2887" s="25" t="s">
        <v>928</v>
      </c>
      <c r="K2887" t="s">
        <v>929</v>
      </c>
      <c r="L2887" t="s">
        <v>141</v>
      </c>
      <c r="M2887" t="s">
        <v>52</v>
      </c>
      <c r="N2887" t="s">
        <v>44</v>
      </c>
      <c r="O2887">
        <v>136</v>
      </c>
      <c r="Q2887">
        <v>0</v>
      </c>
      <c r="R2887">
        <v>1</v>
      </c>
      <c r="S2887">
        <v>0</v>
      </c>
      <c r="T2887">
        <v>0</v>
      </c>
      <c r="U2887">
        <v>0</v>
      </c>
      <c r="V2887">
        <v>0</v>
      </c>
      <c r="W2887">
        <v>0</v>
      </c>
      <c r="X2887" s="21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J2887" t="s">
        <v>51</v>
      </c>
      <c r="AK2887" t="s">
        <v>52</v>
      </c>
      <c r="AL2887" t="s">
        <v>930</v>
      </c>
      <c r="AP2887" t="s">
        <v>116</v>
      </c>
    </row>
    <row r="2888" spans="1:42">
      <c r="A2888" s="9">
        <v>43845</v>
      </c>
      <c r="B2888">
        <v>3</v>
      </c>
      <c r="C2888">
        <v>990</v>
      </c>
      <c r="D2888">
        <v>14523</v>
      </c>
      <c r="E2888" t="s">
        <v>847</v>
      </c>
      <c r="F2888" t="s">
        <v>520</v>
      </c>
      <c r="G2888">
        <v>2</v>
      </c>
      <c r="H2888">
        <v>131</v>
      </c>
      <c r="I2888" s="25" t="s">
        <v>931</v>
      </c>
      <c r="K2888" t="s">
        <v>175</v>
      </c>
      <c r="L2888" t="s">
        <v>141</v>
      </c>
      <c r="M2888" t="s">
        <v>52</v>
      </c>
      <c r="N2888" t="s">
        <v>40</v>
      </c>
      <c r="P2888">
        <v>120</v>
      </c>
      <c r="Q2888">
        <v>3</v>
      </c>
      <c r="R2888">
        <v>1</v>
      </c>
      <c r="S2888">
        <v>0</v>
      </c>
      <c r="T2888">
        <v>0</v>
      </c>
      <c r="U2888">
        <v>2</v>
      </c>
      <c r="V2888">
        <v>1</v>
      </c>
      <c r="W2888">
        <v>0</v>
      </c>
      <c r="X2888" s="21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J2888" t="s">
        <v>51</v>
      </c>
      <c r="AK2888" t="s">
        <v>52</v>
      </c>
      <c r="AP2888" t="s">
        <v>116</v>
      </c>
    </row>
    <row r="2889" spans="1:42">
      <c r="A2889" s="9">
        <v>43845</v>
      </c>
      <c r="B2889">
        <v>3</v>
      </c>
      <c r="C2889">
        <v>990</v>
      </c>
      <c r="D2889">
        <v>14523</v>
      </c>
      <c r="E2889" t="s">
        <v>847</v>
      </c>
      <c r="F2889" t="s">
        <v>520</v>
      </c>
      <c r="G2889">
        <v>2</v>
      </c>
      <c r="H2889">
        <v>132</v>
      </c>
      <c r="I2889" s="25">
        <v>3665</v>
      </c>
      <c r="K2889" t="s">
        <v>175</v>
      </c>
      <c r="L2889" t="s">
        <v>141</v>
      </c>
      <c r="M2889" t="s">
        <v>52</v>
      </c>
      <c r="N2889" t="s">
        <v>44</v>
      </c>
      <c r="O2889">
        <v>70</v>
      </c>
      <c r="Q2889">
        <v>2</v>
      </c>
      <c r="R2889">
        <v>1</v>
      </c>
      <c r="S2889">
        <v>0</v>
      </c>
      <c r="T2889">
        <v>0</v>
      </c>
      <c r="U2889">
        <v>0</v>
      </c>
      <c r="V2889">
        <v>0</v>
      </c>
      <c r="W2889">
        <v>2</v>
      </c>
      <c r="X2889" s="21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J2889" t="s">
        <v>51</v>
      </c>
      <c r="AK2889" t="s">
        <v>52</v>
      </c>
      <c r="AL2889" t="s">
        <v>932</v>
      </c>
      <c r="AP2889" t="s">
        <v>116</v>
      </c>
    </row>
    <row r="2890" spans="1:42">
      <c r="A2890" s="9">
        <v>43845</v>
      </c>
      <c r="B2890">
        <v>3</v>
      </c>
      <c r="C2890">
        <v>990</v>
      </c>
      <c r="D2890">
        <v>14523</v>
      </c>
      <c r="E2890" t="s">
        <v>847</v>
      </c>
      <c r="F2890" t="s">
        <v>520</v>
      </c>
      <c r="G2890">
        <v>2</v>
      </c>
      <c r="H2890">
        <v>133</v>
      </c>
      <c r="I2890" s="25" t="s">
        <v>933</v>
      </c>
      <c r="K2890" t="s">
        <v>175</v>
      </c>
      <c r="L2890" t="s">
        <v>141</v>
      </c>
      <c r="M2890" t="s">
        <v>52</v>
      </c>
      <c r="N2890" t="s">
        <v>40</v>
      </c>
      <c r="P2890">
        <v>211</v>
      </c>
      <c r="Q2890">
        <v>6</v>
      </c>
      <c r="R2890">
        <v>1</v>
      </c>
      <c r="S2890">
        <v>0</v>
      </c>
      <c r="T2890">
        <v>0</v>
      </c>
      <c r="U2890">
        <v>2</v>
      </c>
      <c r="V2890">
        <v>4</v>
      </c>
      <c r="W2890">
        <v>0</v>
      </c>
      <c r="X2890" s="21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J2890" t="s">
        <v>51</v>
      </c>
      <c r="AK2890" t="s">
        <v>52</v>
      </c>
      <c r="AP2890" t="s">
        <v>116</v>
      </c>
    </row>
    <row r="2891" spans="1:42">
      <c r="A2891" s="9">
        <v>43845</v>
      </c>
      <c r="B2891">
        <v>3</v>
      </c>
      <c r="C2891">
        <v>990</v>
      </c>
      <c r="D2891">
        <v>14523</v>
      </c>
      <c r="E2891" t="s">
        <v>847</v>
      </c>
      <c r="F2891" t="s">
        <v>520</v>
      </c>
      <c r="G2891">
        <v>2</v>
      </c>
      <c r="H2891">
        <v>134</v>
      </c>
      <c r="I2891" s="25">
        <v>3639</v>
      </c>
      <c r="K2891" t="s">
        <v>175</v>
      </c>
      <c r="L2891" t="s">
        <v>141</v>
      </c>
      <c r="M2891" t="s">
        <v>52</v>
      </c>
      <c r="N2891" t="s">
        <v>44</v>
      </c>
      <c r="O2891">
        <v>44</v>
      </c>
      <c r="Q2891">
        <v>1</v>
      </c>
      <c r="R2891">
        <v>1</v>
      </c>
      <c r="S2891">
        <v>0</v>
      </c>
      <c r="T2891">
        <v>0</v>
      </c>
      <c r="U2891">
        <v>0</v>
      </c>
      <c r="V2891">
        <v>1</v>
      </c>
      <c r="W2891">
        <v>0</v>
      </c>
      <c r="X2891" s="2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J2891" t="s">
        <v>51</v>
      </c>
      <c r="AK2891" t="s">
        <v>52</v>
      </c>
      <c r="AL2891" t="s">
        <v>934</v>
      </c>
      <c r="AP2891" t="s">
        <v>116</v>
      </c>
    </row>
    <row r="2892" spans="1:42">
      <c r="A2892" s="9">
        <v>43845</v>
      </c>
      <c r="B2892">
        <v>3</v>
      </c>
      <c r="C2892">
        <v>990</v>
      </c>
      <c r="D2892">
        <v>14523</v>
      </c>
      <c r="E2892" t="s">
        <v>847</v>
      </c>
      <c r="F2892" t="s">
        <v>520</v>
      </c>
      <c r="G2892">
        <v>2</v>
      </c>
      <c r="H2892">
        <v>135</v>
      </c>
      <c r="I2892" s="25" t="s">
        <v>935</v>
      </c>
      <c r="K2892" t="s">
        <v>570</v>
      </c>
      <c r="L2892" t="s">
        <v>114</v>
      </c>
      <c r="M2892" t="s">
        <v>52</v>
      </c>
      <c r="N2892" t="s">
        <v>40</v>
      </c>
      <c r="O2892">
        <v>75</v>
      </c>
      <c r="Q2892">
        <v>2</v>
      </c>
      <c r="R2892">
        <v>1</v>
      </c>
      <c r="S2892">
        <v>0</v>
      </c>
      <c r="T2892">
        <v>0</v>
      </c>
      <c r="U2892">
        <v>0</v>
      </c>
      <c r="V2892">
        <v>2</v>
      </c>
      <c r="W2892">
        <v>0</v>
      </c>
      <c r="X2892" s="21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J2892" t="s">
        <v>51</v>
      </c>
      <c r="AK2892" t="s">
        <v>52</v>
      </c>
      <c r="AP2892" t="s">
        <v>116</v>
      </c>
    </row>
    <row r="2893" spans="1:42">
      <c r="A2893" s="9">
        <v>43845</v>
      </c>
      <c r="B2893">
        <v>3</v>
      </c>
      <c r="C2893">
        <v>990</v>
      </c>
      <c r="D2893">
        <v>14523</v>
      </c>
      <c r="E2893" t="s">
        <v>847</v>
      </c>
      <c r="F2893" t="s">
        <v>520</v>
      </c>
      <c r="G2893">
        <v>2</v>
      </c>
      <c r="H2893">
        <v>136</v>
      </c>
      <c r="I2893" s="25">
        <v>2200</v>
      </c>
      <c r="K2893" t="s">
        <v>570</v>
      </c>
      <c r="L2893" t="s">
        <v>114</v>
      </c>
      <c r="M2893" t="s">
        <v>52</v>
      </c>
      <c r="N2893" t="s">
        <v>44</v>
      </c>
      <c r="O2893">
        <v>119</v>
      </c>
      <c r="Q2893">
        <v>1</v>
      </c>
      <c r="R2893">
        <v>1</v>
      </c>
      <c r="S2893">
        <v>0</v>
      </c>
      <c r="T2893">
        <v>0</v>
      </c>
      <c r="U2893">
        <v>0</v>
      </c>
      <c r="V2893">
        <v>0</v>
      </c>
      <c r="W2893">
        <v>1</v>
      </c>
      <c r="X2893" s="21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J2893" t="s">
        <v>51</v>
      </c>
      <c r="AK2893" t="s">
        <v>52</v>
      </c>
      <c r="AL2893" t="s">
        <v>932</v>
      </c>
      <c r="AP2893" t="s">
        <v>116</v>
      </c>
    </row>
    <row r="2894" spans="1:42">
      <c r="A2894" s="9">
        <v>43845</v>
      </c>
      <c r="B2894">
        <v>3</v>
      </c>
      <c r="C2894">
        <v>990</v>
      </c>
      <c r="D2894">
        <v>14523</v>
      </c>
      <c r="E2894" t="s">
        <v>847</v>
      </c>
      <c r="F2894" t="s">
        <v>520</v>
      </c>
      <c r="G2894">
        <v>2</v>
      </c>
      <c r="H2894">
        <v>137</v>
      </c>
      <c r="I2894" s="25">
        <v>2232</v>
      </c>
      <c r="K2894" t="s">
        <v>570</v>
      </c>
      <c r="L2894" t="s">
        <v>114</v>
      </c>
      <c r="M2894" t="s">
        <v>52</v>
      </c>
      <c r="N2894" t="s">
        <v>44</v>
      </c>
      <c r="O2894">
        <v>102</v>
      </c>
      <c r="Q2894">
        <v>1</v>
      </c>
      <c r="R2894">
        <v>1</v>
      </c>
      <c r="S2894">
        <v>0</v>
      </c>
      <c r="T2894">
        <v>0</v>
      </c>
      <c r="U2894">
        <v>0</v>
      </c>
      <c r="V2894">
        <v>1</v>
      </c>
      <c r="W2894">
        <v>0</v>
      </c>
      <c r="X2894" s="21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J2894" t="s">
        <v>51</v>
      </c>
      <c r="AK2894" t="s">
        <v>52</v>
      </c>
      <c r="AL2894" t="s">
        <v>936</v>
      </c>
      <c r="AP2894" t="s">
        <v>116</v>
      </c>
    </row>
    <row r="2895" spans="1:42">
      <c r="A2895" s="9">
        <v>43845</v>
      </c>
      <c r="B2895">
        <v>3</v>
      </c>
      <c r="C2895">
        <v>990</v>
      </c>
      <c r="D2895">
        <v>14523</v>
      </c>
      <c r="E2895" t="s">
        <v>847</v>
      </c>
      <c r="F2895" t="s">
        <v>520</v>
      </c>
      <c r="G2895">
        <v>2</v>
      </c>
      <c r="H2895">
        <v>138</v>
      </c>
      <c r="I2895" s="25">
        <v>2240</v>
      </c>
      <c r="K2895" t="s">
        <v>570</v>
      </c>
      <c r="L2895" t="s">
        <v>114</v>
      </c>
      <c r="M2895" t="s">
        <v>52</v>
      </c>
      <c r="N2895" t="s">
        <v>44</v>
      </c>
      <c r="O2895">
        <v>98</v>
      </c>
      <c r="Q2895">
        <v>1</v>
      </c>
      <c r="R2895">
        <v>1</v>
      </c>
      <c r="S2895">
        <v>0</v>
      </c>
      <c r="T2895">
        <v>0</v>
      </c>
      <c r="U2895">
        <v>0</v>
      </c>
      <c r="V2895">
        <v>1</v>
      </c>
      <c r="W2895">
        <v>0</v>
      </c>
      <c r="X2895" s="21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J2895" t="s">
        <v>51</v>
      </c>
      <c r="AK2895" t="s">
        <v>52</v>
      </c>
      <c r="AL2895" t="s">
        <v>930</v>
      </c>
      <c r="AP2895" t="s">
        <v>116</v>
      </c>
    </row>
    <row r="2896" spans="1:42">
      <c r="A2896" s="9">
        <v>43845</v>
      </c>
      <c r="B2896">
        <v>3</v>
      </c>
      <c r="C2896">
        <v>990</v>
      </c>
      <c r="D2896">
        <v>14523</v>
      </c>
      <c r="E2896" t="s">
        <v>847</v>
      </c>
      <c r="F2896" t="s">
        <v>520</v>
      </c>
      <c r="G2896">
        <v>2</v>
      </c>
      <c r="H2896">
        <v>139</v>
      </c>
      <c r="I2896" s="25" t="s">
        <v>937</v>
      </c>
      <c r="K2896" t="s">
        <v>570</v>
      </c>
      <c r="L2896" t="s">
        <v>114</v>
      </c>
      <c r="M2896" t="s">
        <v>52</v>
      </c>
      <c r="N2896" t="s">
        <v>44</v>
      </c>
      <c r="O2896">
        <v>201</v>
      </c>
      <c r="Q2896">
        <v>3</v>
      </c>
      <c r="R2896">
        <v>1</v>
      </c>
      <c r="S2896">
        <v>0</v>
      </c>
      <c r="T2896">
        <v>0</v>
      </c>
      <c r="U2896">
        <v>0</v>
      </c>
      <c r="V2896">
        <v>0</v>
      </c>
      <c r="W2896">
        <v>3</v>
      </c>
      <c r="X2896" s="21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J2896" t="s">
        <v>51</v>
      </c>
      <c r="AK2896" t="s">
        <v>52</v>
      </c>
      <c r="AL2896" t="s">
        <v>938</v>
      </c>
      <c r="AP2896" t="s">
        <v>116</v>
      </c>
    </row>
    <row r="2897" spans="1:42">
      <c r="A2897" s="9">
        <v>43845</v>
      </c>
      <c r="B2897">
        <v>3</v>
      </c>
      <c r="C2897">
        <v>990</v>
      </c>
      <c r="D2897">
        <v>14523</v>
      </c>
      <c r="E2897" t="s">
        <v>847</v>
      </c>
      <c r="F2897" t="s">
        <v>520</v>
      </c>
      <c r="G2897">
        <v>2</v>
      </c>
      <c r="H2897">
        <v>140</v>
      </c>
      <c r="I2897" s="25">
        <v>2300</v>
      </c>
      <c r="K2897" t="s">
        <v>570</v>
      </c>
      <c r="L2897" t="s">
        <v>114</v>
      </c>
      <c r="M2897" t="s">
        <v>52</v>
      </c>
      <c r="N2897" t="s">
        <v>40</v>
      </c>
      <c r="O2897">
        <v>64</v>
      </c>
      <c r="Q2897">
        <v>2</v>
      </c>
      <c r="R2897">
        <v>1</v>
      </c>
      <c r="S2897">
        <v>0</v>
      </c>
      <c r="T2897">
        <v>0</v>
      </c>
      <c r="U2897">
        <v>0</v>
      </c>
      <c r="V2897">
        <v>0</v>
      </c>
      <c r="W2897">
        <v>2</v>
      </c>
      <c r="X2897" s="21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J2897" t="s">
        <v>51</v>
      </c>
      <c r="AK2897" t="s">
        <v>52</v>
      </c>
      <c r="AP2897" t="s">
        <v>116</v>
      </c>
    </row>
    <row r="2898" spans="1:42">
      <c r="A2898" s="9">
        <v>43845</v>
      </c>
      <c r="B2898">
        <v>3</v>
      </c>
      <c r="C2898">
        <v>990</v>
      </c>
      <c r="D2898">
        <v>14523</v>
      </c>
      <c r="E2898" t="s">
        <v>847</v>
      </c>
      <c r="F2898" t="s">
        <v>520</v>
      </c>
      <c r="G2898">
        <v>2</v>
      </c>
      <c r="H2898">
        <v>141</v>
      </c>
      <c r="I2898" s="25">
        <v>2249</v>
      </c>
      <c r="K2898" t="s">
        <v>906</v>
      </c>
      <c r="L2898" t="s">
        <v>141</v>
      </c>
      <c r="M2898" t="s">
        <v>52</v>
      </c>
      <c r="N2898" t="s">
        <v>44</v>
      </c>
      <c r="O2898">
        <v>62</v>
      </c>
      <c r="Q2898">
        <v>2</v>
      </c>
      <c r="R2898">
        <v>1</v>
      </c>
      <c r="S2898">
        <v>0</v>
      </c>
      <c r="T2898">
        <v>0</v>
      </c>
      <c r="U2898">
        <v>0</v>
      </c>
      <c r="V2898">
        <v>0</v>
      </c>
      <c r="W2898">
        <v>2</v>
      </c>
      <c r="X2898" s="21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J2898" t="s">
        <v>51</v>
      </c>
      <c r="AK2898" t="s">
        <v>52</v>
      </c>
      <c r="AL2898" t="s">
        <v>670</v>
      </c>
      <c r="AP2898" t="s">
        <v>116</v>
      </c>
    </row>
    <row r="2899" spans="1:42">
      <c r="A2899" s="9">
        <v>43845</v>
      </c>
      <c r="B2899">
        <v>3</v>
      </c>
      <c r="C2899">
        <v>990</v>
      </c>
      <c r="D2899">
        <v>14523</v>
      </c>
      <c r="E2899" t="s">
        <v>847</v>
      </c>
      <c r="F2899" t="s">
        <v>520</v>
      </c>
      <c r="G2899">
        <v>2</v>
      </c>
      <c r="H2899">
        <v>142</v>
      </c>
      <c r="I2899" s="25">
        <v>2245</v>
      </c>
      <c r="K2899" t="s">
        <v>906</v>
      </c>
      <c r="L2899" t="s">
        <v>141</v>
      </c>
      <c r="M2899" t="s">
        <v>52</v>
      </c>
      <c r="N2899" t="s">
        <v>44</v>
      </c>
      <c r="O2899">
        <v>108</v>
      </c>
      <c r="Q2899">
        <v>1</v>
      </c>
      <c r="R2899">
        <v>1</v>
      </c>
      <c r="S2899">
        <v>0</v>
      </c>
      <c r="T2899">
        <v>0</v>
      </c>
      <c r="U2899">
        <v>0</v>
      </c>
      <c r="V2899">
        <v>0</v>
      </c>
      <c r="W2899">
        <v>1</v>
      </c>
      <c r="X2899" s="21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J2899" t="s">
        <v>51</v>
      </c>
      <c r="AK2899" t="s">
        <v>52</v>
      </c>
      <c r="AL2899" t="s">
        <v>939</v>
      </c>
      <c r="AP2899" t="s">
        <v>116</v>
      </c>
    </row>
    <row r="2900" spans="1:42">
      <c r="A2900" s="9">
        <v>43845</v>
      </c>
      <c r="B2900">
        <v>3</v>
      </c>
      <c r="C2900">
        <v>990</v>
      </c>
      <c r="D2900">
        <v>14523</v>
      </c>
      <c r="E2900" t="s">
        <v>847</v>
      </c>
      <c r="F2900" t="s">
        <v>520</v>
      </c>
      <c r="G2900">
        <v>2</v>
      </c>
      <c r="H2900">
        <v>143</v>
      </c>
      <c r="I2900" s="25">
        <v>2195</v>
      </c>
      <c r="K2900" t="s">
        <v>906</v>
      </c>
      <c r="L2900" t="s">
        <v>141</v>
      </c>
      <c r="M2900" t="s">
        <v>52</v>
      </c>
      <c r="N2900" t="s">
        <v>44</v>
      </c>
      <c r="O2900">
        <v>89</v>
      </c>
      <c r="Q2900">
        <v>1</v>
      </c>
      <c r="R2900">
        <v>1</v>
      </c>
      <c r="S2900">
        <v>0</v>
      </c>
      <c r="T2900">
        <v>0</v>
      </c>
      <c r="U2900">
        <v>0</v>
      </c>
      <c r="V2900">
        <v>0</v>
      </c>
      <c r="W2900">
        <v>1</v>
      </c>
      <c r="X2900" s="21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1</v>
      </c>
      <c r="AG2900">
        <v>0</v>
      </c>
      <c r="AJ2900" t="s">
        <v>51</v>
      </c>
      <c r="AK2900" t="s">
        <v>52</v>
      </c>
      <c r="AL2900" t="s">
        <v>940</v>
      </c>
      <c r="AP2900" t="s">
        <v>116</v>
      </c>
    </row>
    <row r="2901" spans="1:42">
      <c r="A2901" s="9">
        <v>43845</v>
      </c>
      <c r="B2901">
        <v>3</v>
      </c>
      <c r="C2901">
        <v>990</v>
      </c>
      <c r="D2901">
        <v>14523</v>
      </c>
      <c r="E2901" t="s">
        <v>847</v>
      </c>
      <c r="F2901" t="s">
        <v>520</v>
      </c>
      <c r="G2901">
        <v>2</v>
      </c>
      <c r="H2901">
        <v>144</v>
      </c>
      <c r="I2901" s="25">
        <v>2165</v>
      </c>
      <c r="K2901" t="s">
        <v>906</v>
      </c>
      <c r="L2901" t="s">
        <v>141</v>
      </c>
      <c r="M2901" t="s">
        <v>52</v>
      </c>
      <c r="N2901" t="s">
        <v>44</v>
      </c>
      <c r="O2901">
        <v>72</v>
      </c>
      <c r="Q2901">
        <v>1</v>
      </c>
      <c r="R2901">
        <v>1</v>
      </c>
      <c r="S2901">
        <v>0</v>
      </c>
      <c r="T2901">
        <v>0</v>
      </c>
      <c r="U2901">
        <v>0</v>
      </c>
      <c r="V2901">
        <v>0</v>
      </c>
      <c r="W2901">
        <v>1</v>
      </c>
      <c r="X2901" s="2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J2901" t="s">
        <v>51</v>
      </c>
      <c r="AK2901" t="s">
        <v>52</v>
      </c>
      <c r="AL2901" t="s">
        <v>939</v>
      </c>
      <c r="AP2901" t="s">
        <v>116</v>
      </c>
    </row>
    <row r="2902" spans="1:42">
      <c r="A2902" s="9">
        <v>43845</v>
      </c>
      <c r="B2902">
        <v>3</v>
      </c>
      <c r="C2902">
        <v>990</v>
      </c>
      <c r="D2902">
        <v>14523</v>
      </c>
      <c r="E2902" t="s">
        <v>847</v>
      </c>
      <c r="F2902" t="s">
        <v>520</v>
      </c>
      <c r="G2902">
        <v>2</v>
      </c>
      <c r="H2902">
        <v>146</v>
      </c>
      <c r="I2902" s="25">
        <v>2031</v>
      </c>
      <c r="K2902" t="s">
        <v>906</v>
      </c>
      <c r="L2902" t="s">
        <v>141</v>
      </c>
      <c r="M2902" t="s">
        <v>52</v>
      </c>
      <c r="N2902" t="s">
        <v>40</v>
      </c>
      <c r="O2902">
        <v>32</v>
      </c>
      <c r="Q2902">
        <v>1</v>
      </c>
      <c r="R2902">
        <v>1</v>
      </c>
      <c r="S2902">
        <v>0</v>
      </c>
      <c r="T2902">
        <v>0</v>
      </c>
      <c r="U2902">
        <v>0</v>
      </c>
      <c r="V2902">
        <v>1</v>
      </c>
      <c r="W2902">
        <v>0</v>
      </c>
      <c r="X2902" s="21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J2902" t="s">
        <v>51</v>
      </c>
      <c r="AK2902" t="s">
        <v>52</v>
      </c>
      <c r="AP2902" t="s">
        <v>116</v>
      </c>
    </row>
    <row r="2903" spans="1:42">
      <c r="A2903" s="9">
        <v>43845</v>
      </c>
      <c r="B2903">
        <v>3</v>
      </c>
      <c r="C2903">
        <v>990</v>
      </c>
      <c r="D2903">
        <v>14523</v>
      </c>
      <c r="E2903" t="s">
        <v>847</v>
      </c>
      <c r="F2903" t="s">
        <v>520</v>
      </c>
      <c r="G2903">
        <v>2</v>
      </c>
      <c r="H2903">
        <v>147</v>
      </c>
      <c r="I2903" s="25" t="s">
        <v>941</v>
      </c>
      <c r="K2903" t="s">
        <v>906</v>
      </c>
      <c r="L2903" t="s">
        <v>141</v>
      </c>
      <c r="M2903" t="s">
        <v>52</v>
      </c>
      <c r="N2903" t="s">
        <v>40</v>
      </c>
      <c r="O2903">
        <v>50</v>
      </c>
      <c r="Q2903">
        <v>2</v>
      </c>
      <c r="R2903">
        <v>1</v>
      </c>
      <c r="S2903">
        <v>0</v>
      </c>
      <c r="T2903">
        <v>0</v>
      </c>
      <c r="U2903">
        <v>1</v>
      </c>
      <c r="V2903">
        <v>1</v>
      </c>
      <c r="W2903">
        <v>0</v>
      </c>
      <c r="X2903" s="21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J2903" t="s">
        <v>51</v>
      </c>
      <c r="AK2903" t="s">
        <v>52</v>
      </c>
      <c r="AP2903" t="s">
        <v>116</v>
      </c>
    </row>
    <row r="2904" spans="1:42">
      <c r="A2904" s="9">
        <v>43845</v>
      </c>
      <c r="B2904">
        <v>3</v>
      </c>
      <c r="C2904">
        <v>990</v>
      </c>
      <c r="D2904">
        <v>14523</v>
      </c>
      <c r="E2904" t="s">
        <v>847</v>
      </c>
      <c r="F2904" t="s">
        <v>520</v>
      </c>
      <c r="G2904">
        <v>2</v>
      </c>
      <c r="H2904">
        <v>148</v>
      </c>
      <c r="I2904" s="25">
        <v>2101</v>
      </c>
      <c r="K2904" t="s">
        <v>570</v>
      </c>
      <c r="L2904" t="s">
        <v>141</v>
      </c>
      <c r="M2904" t="s">
        <v>52</v>
      </c>
      <c r="N2904" t="s">
        <v>44</v>
      </c>
      <c r="O2904">
        <v>106</v>
      </c>
      <c r="Q2904">
        <v>2</v>
      </c>
      <c r="R2904">
        <v>1</v>
      </c>
      <c r="S2904">
        <v>0</v>
      </c>
      <c r="T2904">
        <v>0</v>
      </c>
      <c r="U2904">
        <v>0</v>
      </c>
      <c r="V2904">
        <v>1</v>
      </c>
      <c r="W2904">
        <v>1</v>
      </c>
      <c r="X2904" s="21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J2904" t="s">
        <v>51</v>
      </c>
      <c r="AK2904" t="s">
        <v>52</v>
      </c>
      <c r="AL2904" t="s">
        <v>942</v>
      </c>
      <c r="AP2904" t="s">
        <v>116</v>
      </c>
    </row>
    <row r="2905" spans="1:42">
      <c r="A2905" s="9">
        <v>43845</v>
      </c>
      <c r="B2905">
        <v>3</v>
      </c>
      <c r="C2905">
        <v>990</v>
      </c>
      <c r="D2905">
        <v>14523</v>
      </c>
      <c r="E2905" t="s">
        <v>847</v>
      </c>
      <c r="F2905" t="s">
        <v>520</v>
      </c>
      <c r="G2905">
        <v>2</v>
      </c>
      <c r="H2905">
        <v>149</v>
      </c>
      <c r="I2905" s="25" t="s">
        <v>943</v>
      </c>
      <c r="K2905" t="s">
        <v>175</v>
      </c>
      <c r="L2905" t="s">
        <v>141</v>
      </c>
      <c r="M2905" t="s">
        <v>52</v>
      </c>
      <c r="N2905" t="s">
        <v>40</v>
      </c>
      <c r="O2905">
        <v>30</v>
      </c>
      <c r="Q2905">
        <v>2</v>
      </c>
      <c r="R2905">
        <v>1</v>
      </c>
      <c r="S2905">
        <v>0</v>
      </c>
      <c r="T2905">
        <v>0</v>
      </c>
      <c r="U2905">
        <v>0</v>
      </c>
      <c r="V2905">
        <v>2</v>
      </c>
      <c r="W2905">
        <v>0</v>
      </c>
      <c r="X2905" s="21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J2905" t="s">
        <v>51</v>
      </c>
      <c r="AK2905" t="s">
        <v>52</v>
      </c>
      <c r="AP2905" t="s">
        <v>116</v>
      </c>
    </row>
    <row r="2906" spans="1:42">
      <c r="A2906" s="9">
        <v>43845</v>
      </c>
      <c r="B2906">
        <v>3</v>
      </c>
      <c r="C2906">
        <v>990</v>
      </c>
      <c r="D2906">
        <v>14523</v>
      </c>
      <c r="E2906" t="s">
        <v>847</v>
      </c>
      <c r="F2906" t="s">
        <v>520</v>
      </c>
      <c r="G2906">
        <v>2</v>
      </c>
      <c r="H2906">
        <v>150</v>
      </c>
      <c r="I2906" s="25" t="s">
        <v>944</v>
      </c>
      <c r="K2906" t="s">
        <v>175</v>
      </c>
      <c r="L2906" t="s">
        <v>141</v>
      </c>
      <c r="M2906" t="s">
        <v>52</v>
      </c>
      <c r="N2906" t="s">
        <v>40</v>
      </c>
      <c r="O2906">
        <v>99</v>
      </c>
      <c r="Q2906">
        <v>4</v>
      </c>
      <c r="R2906">
        <v>1</v>
      </c>
      <c r="S2906">
        <v>0</v>
      </c>
      <c r="T2906">
        <v>0</v>
      </c>
      <c r="U2906">
        <v>0</v>
      </c>
      <c r="V2906">
        <v>3</v>
      </c>
      <c r="W2906">
        <v>1</v>
      </c>
      <c r="X2906" s="21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J2906" t="s">
        <v>51</v>
      </c>
      <c r="AK2906" t="s">
        <v>52</v>
      </c>
      <c r="AP2906" t="s">
        <v>116</v>
      </c>
    </row>
    <row r="2907" spans="1:42">
      <c r="A2907" s="9">
        <v>43845</v>
      </c>
      <c r="B2907">
        <v>3</v>
      </c>
      <c r="C2907">
        <v>990</v>
      </c>
      <c r="D2907">
        <v>14523</v>
      </c>
      <c r="E2907" t="s">
        <v>847</v>
      </c>
      <c r="F2907" t="s">
        <v>520</v>
      </c>
      <c r="G2907">
        <v>2</v>
      </c>
      <c r="H2907">
        <v>151</v>
      </c>
      <c r="I2907" s="25">
        <v>2255</v>
      </c>
      <c r="K2907" t="s">
        <v>570</v>
      </c>
      <c r="L2907" t="s">
        <v>141</v>
      </c>
      <c r="M2907" t="s">
        <v>52</v>
      </c>
      <c r="N2907" t="s">
        <v>44</v>
      </c>
      <c r="O2907">
        <v>95</v>
      </c>
      <c r="Q2907">
        <v>2</v>
      </c>
      <c r="R2907">
        <v>1</v>
      </c>
      <c r="S2907">
        <v>0</v>
      </c>
      <c r="T2907">
        <v>0</v>
      </c>
      <c r="U2907">
        <v>0</v>
      </c>
      <c r="V2907">
        <v>0</v>
      </c>
      <c r="W2907">
        <v>2</v>
      </c>
      <c r="X2907" s="21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J2907" t="s">
        <v>51</v>
      </c>
      <c r="AK2907" t="s">
        <v>95</v>
      </c>
      <c r="AL2907" t="s">
        <v>945</v>
      </c>
      <c r="AP2907" t="s">
        <v>116</v>
      </c>
    </row>
    <row r="2908" spans="1:42">
      <c r="A2908" s="9">
        <v>43845</v>
      </c>
      <c r="B2908">
        <v>3</v>
      </c>
      <c r="C2908">
        <v>990</v>
      </c>
      <c r="D2908">
        <v>14523</v>
      </c>
      <c r="E2908" t="s">
        <v>847</v>
      </c>
      <c r="F2908" t="s">
        <v>520</v>
      </c>
      <c r="G2908">
        <v>2</v>
      </c>
      <c r="H2908">
        <v>152</v>
      </c>
      <c r="I2908" s="25">
        <v>3560</v>
      </c>
      <c r="K2908" t="s">
        <v>256</v>
      </c>
      <c r="L2908" t="s">
        <v>114</v>
      </c>
      <c r="M2908" t="s">
        <v>52</v>
      </c>
      <c r="N2908" t="s">
        <v>44</v>
      </c>
      <c r="O2908">
        <v>169</v>
      </c>
      <c r="Q2908">
        <v>1</v>
      </c>
      <c r="R2908">
        <v>1</v>
      </c>
      <c r="S2908">
        <v>0</v>
      </c>
      <c r="T2908">
        <v>0</v>
      </c>
      <c r="U2908">
        <v>0</v>
      </c>
      <c r="V2908">
        <v>0</v>
      </c>
      <c r="W2908">
        <v>1</v>
      </c>
      <c r="X2908" s="21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1</v>
      </c>
      <c r="AG2908">
        <v>0</v>
      </c>
      <c r="AJ2908" t="s">
        <v>51</v>
      </c>
      <c r="AK2908" t="s">
        <v>95</v>
      </c>
      <c r="AL2908" t="s">
        <v>946</v>
      </c>
      <c r="AP2908" t="s">
        <v>116</v>
      </c>
    </row>
    <row r="2909" spans="1:42">
      <c r="A2909" s="9">
        <v>43845</v>
      </c>
      <c r="B2909">
        <v>3</v>
      </c>
      <c r="C2909">
        <v>990</v>
      </c>
      <c r="D2909">
        <v>14523</v>
      </c>
      <c r="E2909" t="s">
        <v>847</v>
      </c>
      <c r="F2909" t="s">
        <v>520</v>
      </c>
      <c r="G2909">
        <v>2</v>
      </c>
      <c r="H2909">
        <v>153</v>
      </c>
      <c r="I2909" s="25">
        <v>2167</v>
      </c>
      <c r="K2909" t="s">
        <v>570</v>
      </c>
      <c r="L2909" t="s">
        <v>141</v>
      </c>
      <c r="M2909" t="s">
        <v>52</v>
      </c>
      <c r="N2909" t="s">
        <v>40</v>
      </c>
      <c r="O2909">
        <v>39</v>
      </c>
      <c r="Q2909">
        <v>1</v>
      </c>
      <c r="R2909">
        <v>1</v>
      </c>
      <c r="S2909">
        <v>0</v>
      </c>
      <c r="T2909">
        <v>0</v>
      </c>
      <c r="U2909">
        <v>0</v>
      </c>
      <c r="V2909">
        <v>0</v>
      </c>
      <c r="W2909">
        <v>1</v>
      </c>
      <c r="X2909" s="21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J2909" t="s">
        <v>51</v>
      </c>
      <c r="AK2909" t="s">
        <v>52</v>
      </c>
      <c r="AP2909" t="s">
        <v>116</v>
      </c>
    </row>
    <row r="2910" spans="1:42">
      <c r="A2910" s="9">
        <v>43845</v>
      </c>
      <c r="B2910">
        <v>3</v>
      </c>
      <c r="C2910">
        <v>990</v>
      </c>
      <c r="D2910">
        <v>14523</v>
      </c>
      <c r="E2910" t="s">
        <v>847</v>
      </c>
      <c r="F2910" t="s">
        <v>520</v>
      </c>
      <c r="G2910">
        <v>2</v>
      </c>
      <c r="H2910">
        <v>154</v>
      </c>
      <c r="I2910" s="25" t="s">
        <v>947</v>
      </c>
      <c r="K2910" t="s">
        <v>570</v>
      </c>
      <c r="L2910" t="s">
        <v>141</v>
      </c>
      <c r="M2910" t="s">
        <v>52</v>
      </c>
      <c r="N2910" t="s">
        <v>40</v>
      </c>
      <c r="O2910">
        <v>203</v>
      </c>
      <c r="Q2910">
        <v>5</v>
      </c>
      <c r="R2910">
        <v>1</v>
      </c>
      <c r="S2910">
        <v>0</v>
      </c>
      <c r="T2910">
        <v>0</v>
      </c>
      <c r="U2910">
        <v>2</v>
      </c>
      <c r="V2910">
        <v>3</v>
      </c>
      <c r="W2910">
        <v>0</v>
      </c>
      <c r="X2910" s="21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J2910" t="s">
        <v>51</v>
      </c>
      <c r="AK2910" t="s">
        <v>52</v>
      </c>
      <c r="AP2910" t="s">
        <v>116</v>
      </c>
    </row>
    <row r="2911" spans="1:42">
      <c r="A2911" s="9">
        <v>43845</v>
      </c>
      <c r="B2911">
        <v>3</v>
      </c>
      <c r="C2911">
        <v>990</v>
      </c>
      <c r="D2911">
        <v>14523</v>
      </c>
      <c r="E2911" t="s">
        <v>847</v>
      </c>
      <c r="F2911" t="s">
        <v>520</v>
      </c>
      <c r="G2911">
        <v>2</v>
      </c>
      <c r="H2911">
        <v>155</v>
      </c>
      <c r="I2911" s="25" t="s">
        <v>948</v>
      </c>
      <c r="K2911" t="s">
        <v>570</v>
      </c>
      <c r="L2911" t="s">
        <v>141</v>
      </c>
      <c r="M2911" t="s">
        <v>52</v>
      </c>
      <c r="N2911" t="s">
        <v>40</v>
      </c>
      <c r="O2911">
        <v>119</v>
      </c>
      <c r="Q2911">
        <v>3</v>
      </c>
      <c r="R2911">
        <v>1</v>
      </c>
      <c r="S2911">
        <v>0</v>
      </c>
      <c r="T2911">
        <v>0</v>
      </c>
      <c r="U2911">
        <v>3</v>
      </c>
      <c r="V2911">
        <v>0</v>
      </c>
      <c r="W2911">
        <v>0</v>
      </c>
      <c r="X2911" s="2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J2911" t="s">
        <v>51</v>
      </c>
      <c r="AK2911" t="s">
        <v>95</v>
      </c>
      <c r="AP2911" t="s">
        <v>116</v>
      </c>
    </row>
    <row r="2912" spans="1:42">
      <c r="A2912" s="9">
        <v>43845</v>
      </c>
      <c r="B2912">
        <v>3</v>
      </c>
      <c r="C2912">
        <v>990</v>
      </c>
      <c r="D2912">
        <v>14523</v>
      </c>
      <c r="E2912" t="s">
        <v>847</v>
      </c>
      <c r="F2912" t="s">
        <v>520</v>
      </c>
      <c r="G2912">
        <v>2</v>
      </c>
      <c r="H2912">
        <v>156</v>
      </c>
      <c r="I2912" s="25">
        <v>2125</v>
      </c>
      <c r="K2912" t="s">
        <v>570</v>
      </c>
      <c r="L2912" t="s">
        <v>141</v>
      </c>
      <c r="M2912" t="s">
        <v>52</v>
      </c>
      <c r="N2912" t="s">
        <v>40</v>
      </c>
      <c r="O2912">
        <v>121</v>
      </c>
      <c r="Q2912">
        <v>1</v>
      </c>
      <c r="R2912">
        <v>1</v>
      </c>
      <c r="S2912">
        <v>0</v>
      </c>
      <c r="T2912">
        <v>0</v>
      </c>
      <c r="U2912">
        <v>0</v>
      </c>
      <c r="V2912">
        <v>1</v>
      </c>
      <c r="W2912">
        <v>0</v>
      </c>
      <c r="X2912" s="21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1</v>
      </c>
      <c r="AG2912">
        <v>0</v>
      </c>
      <c r="AJ2912" t="s">
        <v>51</v>
      </c>
      <c r="AK2912" t="s">
        <v>52</v>
      </c>
      <c r="AL2912" t="s">
        <v>887</v>
      </c>
      <c r="AP2912" t="s">
        <v>116</v>
      </c>
    </row>
    <row r="2913" spans="1:42">
      <c r="A2913" s="16">
        <v>43781</v>
      </c>
      <c r="B2913">
        <v>2</v>
      </c>
      <c r="C2913">
        <v>536</v>
      </c>
      <c r="D2913">
        <v>10293</v>
      </c>
      <c r="E2913" t="s">
        <v>37</v>
      </c>
      <c r="F2913" t="s">
        <v>949</v>
      </c>
      <c r="G2913">
        <v>2</v>
      </c>
      <c r="H2913">
        <v>1</v>
      </c>
      <c r="I2913" s="25">
        <v>200</v>
      </c>
      <c r="K2913" t="s">
        <v>73</v>
      </c>
      <c r="M2913" t="s">
        <v>52</v>
      </c>
      <c r="N2913" t="s">
        <v>40</v>
      </c>
      <c r="O2913">
        <v>345</v>
      </c>
      <c r="Q2913">
        <v>2</v>
      </c>
      <c r="R2913">
        <v>1</v>
      </c>
      <c r="S2913">
        <v>0</v>
      </c>
      <c r="T2913">
        <v>0</v>
      </c>
      <c r="U2913">
        <v>0</v>
      </c>
      <c r="V2913">
        <v>0</v>
      </c>
      <c r="W2913">
        <v>2</v>
      </c>
      <c r="X2913" s="21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192</v>
      </c>
      <c r="AL2913" t="s">
        <v>950</v>
      </c>
      <c r="AP2913" t="s">
        <v>951</v>
      </c>
    </row>
    <row r="2914" spans="1:42">
      <c r="A2914" s="16">
        <v>43781</v>
      </c>
      <c r="B2914">
        <v>2</v>
      </c>
      <c r="C2914">
        <v>536</v>
      </c>
      <c r="D2914">
        <v>10293</v>
      </c>
      <c r="E2914" t="s">
        <v>37</v>
      </c>
      <c r="F2914" t="s">
        <v>949</v>
      </c>
      <c r="G2914">
        <v>2</v>
      </c>
      <c r="H2914">
        <v>2</v>
      </c>
      <c r="I2914" s="25">
        <v>100</v>
      </c>
      <c r="K2914" t="s">
        <v>69</v>
      </c>
      <c r="M2914" t="s">
        <v>52</v>
      </c>
      <c r="N2914" t="s">
        <v>40</v>
      </c>
      <c r="O2914">
        <v>210</v>
      </c>
      <c r="Q2914">
        <v>4</v>
      </c>
      <c r="R2914">
        <v>1</v>
      </c>
      <c r="S2914">
        <v>0</v>
      </c>
      <c r="T2914">
        <v>0</v>
      </c>
      <c r="U2914">
        <v>0</v>
      </c>
      <c r="V2914">
        <v>0</v>
      </c>
      <c r="W2914">
        <v>4</v>
      </c>
      <c r="X2914" s="21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384</v>
      </c>
      <c r="AL2914" t="s">
        <v>952</v>
      </c>
      <c r="AP2914" t="s">
        <v>951</v>
      </c>
    </row>
    <row r="2915" spans="1:42">
      <c r="A2915" s="16">
        <v>43781</v>
      </c>
      <c r="B2915">
        <v>2</v>
      </c>
      <c r="C2915">
        <v>536</v>
      </c>
      <c r="D2915">
        <v>10293</v>
      </c>
      <c r="E2915" t="s">
        <v>37</v>
      </c>
      <c r="F2915" t="s">
        <v>949</v>
      </c>
      <c r="G2915">
        <v>2</v>
      </c>
      <c r="H2915">
        <v>3</v>
      </c>
      <c r="I2915" s="25">
        <v>200</v>
      </c>
      <c r="K2915" t="s">
        <v>69</v>
      </c>
      <c r="M2915" t="s">
        <v>95</v>
      </c>
      <c r="N2915" t="s">
        <v>40</v>
      </c>
      <c r="O2915">
        <v>380</v>
      </c>
      <c r="Q2915">
        <v>9</v>
      </c>
      <c r="R2915">
        <v>1</v>
      </c>
      <c r="S2915">
        <v>0</v>
      </c>
      <c r="T2915">
        <v>0</v>
      </c>
      <c r="U2915">
        <v>0</v>
      </c>
      <c r="V2915">
        <v>1</v>
      </c>
      <c r="W2915">
        <v>8</v>
      </c>
      <c r="X2915" s="21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832</v>
      </c>
      <c r="AP2915" t="s">
        <v>951</v>
      </c>
    </row>
    <row r="2916" spans="1:42">
      <c r="A2916" s="16">
        <v>43781</v>
      </c>
      <c r="B2916">
        <v>2</v>
      </c>
      <c r="C2916">
        <v>536</v>
      </c>
      <c r="D2916">
        <v>10293</v>
      </c>
      <c r="E2916" t="s">
        <v>37</v>
      </c>
      <c r="F2916" t="s">
        <v>949</v>
      </c>
      <c r="G2916">
        <v>2</v>
      </c>
      <c r="H2916">
        <v>4</v>
      </c>
      <c r="I2916" s="25"/>
      <c r="K2916" t="s">
        <v>72</v>
      </c>
      <c r="M2916" t="s">
        <v>52</v>
      </c>
      <c r="N2916" t="s">
        <v>40</v>
      </c>
      <c r="O2916">
        <v>35</v>
      </c>
      <c r="Q2916">
        <v>1</v>
      </c>
      <c r="R2916">
        <v>1</v>
      </c>
      <c r="S2916">
        <v>0</v>
      </c>
      <c r="T2916">
        <v>0</v>
      </c>
      <c r="U2916">
        <v>0</v>
      </c>
      <c r="V2916">
        <v>0</v>
      </c>
      <c r="W2916">
        <v>1</v>
      </c>
      <c r="X2916" s="21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96</v>
      </c>
      <c r="AP2916" t="s">
        <v>951</v>
      </c>
    </row>
    <row r="2917" spans="1:42">
      <c r="A2917" s="16">
        <v>43781</v>
      </c>
      <c r="B2917">
        <v>2</v>
      </c>
      <c r="C2917">
        <v>536</v>
      </c>
      <c r="D2917">
        <v>10293</v>
      </c>
      <c r="E2917" t="s">
        <v>37</v>
      </c>
      <c r="F2917" t="s">
        <v>949</v>
      </c>
      <c r="G2917">
        <v>2</v>
      </c>
      <c r="H2917">
        <v>5</v>
      </c>
      <c r="I2917" s="25">
        <v>400</v>
      </c>
      <c r="K2917" t="s">
        <v>56</v>
      </c>
      <c r="M2917" t="s">
        <v>52</v>
      </c>
      <c r="N2917" t="s">
        <v>40</v>
      </c>
      <c r="O2917">
        <v>151</v>
      </c>
      <c r="Q2917">
        <v>4</v>
      </c>
      <c r="R2917">
        <v>1</v>
      </c>
      <c r="S2917">
        <v>0</v>
      </c>
      <c r="T2917">
        <v>0</v>
      </c>
      <c r="U2917">
        <v>0</v>
      </c>
      <c r="V2917">
        <v>0</v>
      </c>
      <c r="W2917">
        <v>4</v>
      </c>
      <c r="X2917" s="21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384</v>
      </c>
      <c r="AP2917" t="s">
        <v>951</v>
      </c>
    </row>
    <row r="2918" spans="1:42">
      <c r="A2918" s="16">
        <v>43781</v>
      </c>
      <c r="B2918">
        <v>2</v>
      </c>
      <c r="C2918">
        <v>536</v>
      </c>
      <c r="D2918">
        <v>10293</v>
      </c>
      <c r="E2918" t="s">
        <v>37</v>
      </c>
      <c r="F2918" t="s">
        <v>949</v>
      </c>
      <c r="G2918">
        <v>2</v>
      </c>
      <c r="H2918">
        <v>6</v>
      </c>
      <c r="I2918" s="25">
        <v>200</v>
      </c>
      <c r="K2918" t="s">
        <v>58</v>
      </c>
      <c r="M2918" t="s">
        <v>52</v>
      </c>
      <c r="N2918" t="s">
        <v>40</v>
      </c>
      <c r="O2918">
        <v>80</v>
      </c>
      <c r="Q2918">
        <v>3</v>
      </c>
      <c r="R2918">
        <v>1</v>
      </c>
      <c r="S2918">
        <v>0</v>
      </c>
      <c r="T2918">
        <v>0</v>
      </c>
      <c r="U2918">
        <v>0</v>
      </c>
      <c r="V2918">
        <v>0</v>
      </c>
      <c r="W2918">
        <v>3</v>
      </c>
      <c r="X2918" s="21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288</v>
      </c>
      <c r="AP2918" t="s">
        <v>951</v>
      </c>
    </row>
    <row r="2919" spans="1:42">
      <c r="A2919" s="16">
        <v>43781</v>
      </c>
      <c r="B2919">
        <v>2</v>
      </c>
      <c r="C2919">
        <v>536</v>
      </c>
      <c r="D2919">
        <v>10293</v>
      </c>
      <c r="E2919" t="s">
        <v>37</v>
      </c>
      <c r="F2919" t="s">
        <v>949</v>
      </c>
      <c r="G2919">
        <v>2</v>
      </c>
      <c r="H2919">
        <v>7</v>
      </c>
      <c r="I2919" s="25">
        <v>645</v>
      </c>
      <c r="K2919" t="s">
        <v>50</v>
      </c>
      <c r="M2919" t="s">
        <v>52</v>
      </c>
      <c r="N2919" t="s">
        <v>44</v>
      </c>
      <c r="O2919">
        <v>249</v>
      </c>
      <c r="Q2919">
        <v>8</v>
      </c>
      <c r="R2919">
        <v>1</v>
      </c>
      <c r="S2919">
        <v>0</v>
      </c>
      <c r="T2919">
        <v>0</v>
      </c>
      <c r="U2919">
        <v>0</v>
      </c>
      <c r="V2919">
        <v>0</v>
      </c>
      <c r="W2919">
        <v>8</v>
      </c>
      <c r="X2919" s="21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768</v>
      </c>
      <c r="AP2919" t="s">
        <v>951</v>
      </c>
    </row>
    <row r="2920" spans="1:42">
      <c r="A2920" s="16">
        <v>43781</v>
      </c>
      <c r="B2920">
        <v>2</v>
      </c>
      <c r="C2920">
        <v>536</v>
      </c>
      <c r="D2920">
        <v>10293</v>
      </c>
      <c r="E2920" t="s">
        <v>37</v>
      </c>
      <c r="F2920" t="s">
        <v>949</v>
      </c>
      <c r="G2920">
        <v>2</v>
      </c>
      <c r="H2920">
        <v>8</v>
      </c>
      <c r="I2920" s="25">
        <v>419</v>
      </c>
      <c r="K2920" t="s">
        <v>48</v>
      </c>
      <c r="M2920" t="s">
        <v>52</v>
      </c>
      <c r="N2920" t="s">
        <v>40</v>
      </c>
      <c r="O2920">
        <v>37</v>
      </c>
      <c r="Q2920">
        <v>1</v>
      </c>
      <c r="R2920">
        <v>1</v>
      </c>
      <c r="S2920">
        <v>0</v>
      </c>
      <c r="T2920">
        <v>0</v>
      </c>
      <c r="U2920">
        <v>0</v>
      </c>
      <c r="V2920">
        <v>1</v>
      </c>
      <c r="W2920">
        <v>0</v>
      </c>
      <c r="X2920" s="21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64</v>
      </c>
      <c r="AP2920" t="s">
        <v>951</v>
      </c>
    </row>
    <row r="2921" spans="1:42">
      <c r="A2921" s="16">
        <v>43781</v>
      </c>
      <c r="B2921">
        <v>2</v>
      </c>
      <c r="C2921">
        <v>536</v>
      </c>
      <c r="D2921">
        <v>10293</v>
      </c>
      <c r="E2921" t="s">
        <v>37</v>
      </c>
      <c r="F2921" t="s">
        <v>949</v>
      </c>
      <c r="G2921">
        <v>2</v>
      </c>
      <c r="H2921">
        <v>9</v>
      </c>
      <c r="I2921" s="25">
        <v>445</v>
      </c>
      <c r="K2921" t="s">
        <v>48</v>
      </c>
      <c r="M2921" t="s">
        <v>52</v>
      </c>
      <c r="N2921" t="s">
        <v>40</v>
      </c>
      <c r="O2921">
        <v>43</v>
      </c>
      <c r="Q2921">
        <v>1</v>
      </c>
      <c r="R2921">
        <v>1</v>
      </c>
      <c r="S2921">
        <v>0</v>
      </c>
      <c r="T2921">
        <v>0</v>
      </c>
      <c r="U2921">
        <v>0</v>
      </c>
      <c r="V2921">
        <v>0</v>
      </c>
      <c r="W2921">
        <v>1</v>
      </c>
      <c r="X2921" s="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96</v>
      </c>
      <c r="AP2921" t="s">
        <v>951</v>
      </c>
    </row>
    <row r="2922" spans="1:42">
      <c r="A2922" s="16">
        <v>43781</v>
      </c>
      <c r="B2922">
        <v>2</v>
      </c>
      <c r="C2922">
        <v>536</v>
      </c>
      <c r="D2922">
        <v>10293</v>
      </c>
      <c r="E2922" t="s">
        <v>37</v>
      </c>
      <c r="F2922" t="s">
        <v>949</v>
      </c>
      <c r="G2922">
        <v>2</v>
      </c>
      <c r="H2922">
        <v>10</v>
      </c>
      <c r="I2922" s="25">
        <v>465</v>
      </c>
      <c r="K2922" t="s">
        <v>48</v>
      </c>
      <c r="M2922" t="s">
        <v>52</v>
      </c>
      <c r="N2922" t="s">
        <v>40</v>
      </c>
      <c r="O2922">
        <v>65</v>
      </c>
      <c r="Q2922">
        <v>1</v>
      </c>
      <c r="R2922">
        <v>1</v>
      </c>
      <c r="S2922">
        <v>0</v>
      </c>
      <c r="T2922">
        <v>0</v>
      </c>
      <c r="U2922">
        <v>0</v>
      </c>
      <c r="V2922">
        <v>1</v>
      </c>
      <c r="W2922">
        <v>0</v>
      </c>
      <c r="X2922" s="21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64</v>
      </c>
      <c r="AP2922" t="s">
        <v>951</v>
      </c>
    </row>
    <row r="2923" spans="1:42">
      <c r="A2923" s="16">
        <v>43781</v>
      </c>
      <c r="B2923">
        <v>2</v>
      </c>
      <c r="C2923">
        <v>536</v>
      </c>
      <c r="D2923">
        <v>10293</v>
      </c>
      <c r="E2923" t="s">
        <v>37</v>
      </c>
      <c r="F2923" t="s">
        <v>949</v>
      </c>
      <c r="G2923">
        <v>2</v>
      </c>
      <c r="H2923">
        <v>11</v>
      </c>
      <c r="I2923" s="25">
        <v>500</v>
      </c>
      <c r="K2923" t="s">
        <v>48</v>
      </c>
      <c r="M2923" t="s">
        <v>52</v>
      </c>
      <c r="N2923" t="s">
        <v>40</v>
      </c>
      <c r="O2923">
        <v>157</v>
      </c>
      <c r="Q2923">
        <v>2</v>
      </c>
      <c r="R2923">
        <v>1</v>
      </c>
      <c r="S2923">
        <v>0</v>
      </c>
      <c r="T2923">
        <v>0</v>
      </c>
      <c r="U2923">
        <v>1</v>
      </c>
      <c r="V2923">
        <v>1</v>
      </c>
      <c r="W2923">
        <v>0</v>
      </c>
      <c r="X2923" s="21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96</v>
      </c>
      <c r="AL2923" t="s">
        <v>953</v>
      </c>
      <c r="AP2923" t="s">
        <v>951</v>
      </c>
    </row>
    <row r="2924" spans="1:42">
      <c r="A2924" s="16">
        <v>43781</v>
      </c>
      <c r="B2924">
        <v>2</v>
      </c>
      <c r="C2924">
        <v>536</v>
      </c>
      <c r="D2924">
        <v>10293</v>
      </c>
      <c r="E2924" t="s">
        <v>37</v>
      </c>
      <c r="F2924" t="s">
        <v>949</v>
      </c>
      <c r="G2924">
        <v>2</v>
      </c>
      <c r="H2924">
        <v>12</v>
      </c>
      <c r="I2924" s="25">
        <v>0</v>
      </c>
      <c r="K2924" t="s">
        <v>954</v>
      </c>
      <c r="M2924" t="s">
        <v>52</v>
      </c>
      <c r="N2924" t="s">
        <v>44</v>
      </c>
      <c r="O2924">
        <v>283</v>
      </c>
      <c r="Q2924">
        <v>4</v>
      </c>
      <c r="R2924">
        <v>1</v>
      </c>
      <c r="S2924">
        <v>0</v>
      </c>
      <c r="T2924">
        <v>0</v>
      </c>
      <c r="U2924">
        <v>0</v>
      </c>
      <c r="V2924">
        <v>2</v>
      </c>
      <c r="W2924">
        <v>2</v>
      </c>
      <c r="X2924" s="21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320</v>
      </c>
      <c r="AP2924" t="s">
        <v>951</v>
      </c>
    </row>
    <row r="2925" spans="1:42">
      <c r="A2925" s="16">
        <v>43781</v>
      </c>
      <c r="B2925">
        <v>2</v>
      </c>
      <c r="C2925">
        <v>536</v>
      </c>
      <c r="D2925">
        <v>10293</v>
      </c>
      <c r="E2925" t="s">
        <v>37</v>
      </c>
      <c r="F2925" t="s">
        <v>949</v>
      </c>
      <c r="G2925">
        <v>2</v>
      </c>
      <c r="H2925">
        <v>13</v>
      </c>
      <c r="I2925" s="25">
        <v>545</v>
      </c>
      <c r="K2925" t="s">
        <v>48</v>
      </c>
      <c r="M2925" t="s">
        <v>52</v>
      </c>
      <c r="N2925" t="s">
        <v>44</v>
      </c>
      <c r="O2925">
        <v>163</v>
      </c>
      <c r="Q2925">
        <v>2</v>
      </c>
      <c r="R2925">
        <v>1</v>
      </c>
      <c r="S2925">
        <v>0</v>
      </c>
      <c r="T2925">
        <v>0</v>
      </c>
      <c r="U2925">
        <v>0</v>
      </c>
      <c r="V2925">
        <v>0</v>
      </c>
      <c r="W2925">
        <v>1</v>
      </c>
      <c r="X2925" s="21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1</v>
      </c>
      <c r="AH2925">
        <v>96</v>
      </c>
      <c r="AP2925" t="s">
        <v>951</v>
      </c>
    </row>
    <row r="2926" spans="1:42">
      <c r="A2926" s="16">
        <v>43781</v>
      </c>
      <c r="B2926">
        <v>2</v>
      </c>
      <c r="C2926">
        <v>536</v>
      </c>
      <c r="D2926">
        <v>10293</v>
      </c>
      <c r="E2926" t="s">
        <v>37</v>
      </c>
      <c r="F2926" t="s">
        <v>949</v>
      </c>
      <c r="G2926">
        <v>2</v>
      </c>
      <c r="H2926">
        <v>14</v>
      </c>
      <c r="I2926" s="25" t="s">
        <v>955</v>
      </c>
      <c r="K2926" t="s">
        <v>48</v>
      </c>
      <c r="M2926" t="s">
        <v>52</v>
      </c>
      <c r="N2926" t="s">
        <v>40</v>
      </c>
      <c r="O2926">
        <v>87</v>
      </c>
      <c r="Q2926">
        <v>2</v>
      </c>
      <c r="R2926">
        <v>1</v>
      </c>
      <c r="S2926">
        <v>0</v>
      </c>
      <c r="T2926">
        <v>0</v>
      </c>
      <c r="U2926">
        <v>1</v>
      </c>
      <c r="V2926">
        <v>1</v>
      </c>
      <c r="W2926">
        <v>0</v>
      </c>
      <c r="X2926" s="21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96</v>
      </c>
      <c r="AP2926" t="s">
        <v>951</v>
      </c>
    </row>
    <row r="2927" spans="1:42">
      <c r="A2927" s="16">
        <v>43781</v>
      </c>
      <c r="B2927">
        <v>2</v>
      </c>
      <c r="C2927">
        <v>536</v>
      </c>
      <c r="D2927">
        <v>10293</v>
      </c>
      <c r="E2927" t="s">
        <v>37</v>
      </c>
      <c r="F2927" t="s">
        <v>949</v>
      </c>
      <c r="G2927">
        <v>2</v>
      </c>
      <c r="H2927">
        <v>15</v>
      </c>
      <c r="I2927" s="25">
        <v>710</v>
      </c>
      <c r="K2927" t="s">
        <v>48</v>
      </c>
      <c r="M2927" t="s">
        <v>52</v>
      </c>
      <c r="N2927" t="s">
        <v>44</v>
      </c>
      <c r="O2927">
        <v>440</v>
      </c>
      <c r="Q2927" t="s">
        <v>165</v>
      </c>
      <c r="R2927">
        <v>1</v>
      </c>
      <c r="S2927">
        <v>0</v>
      </c>
      <c r="T2927">
        <v>0</v>
      </c>
      <c r="U2927">
        <v>0</v>
      </c>
      <c r="V2927">
        <v>0</v>
      </c>
      <c r="W2927">
        <v>0</v>
      </c>
      <c r="X2927" s="21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L2927" t="s">
        <v>956</v>
      </c>
      <c r="AP2927" t="s">
        <v>951</v>
      </c>
    </row>
    <row r="2928" spans="1:42">
      <c r="A2928" s="16">
        <v>43781</v>
      </c>
      <c r="B2928">
        <v>2</v>
      </c>
      <c r="C2928">
        <v>536</v>
      </c>
      <c r="D2928">
        <v>10293</v>
      </c>
      <c r="E2928" t="s">
        <v>37</v>
      </c>
      <c r="F2928" t="s">
        <v>949</v>
      </c>
      <c r="G2928">
        <v>2</v>
      </c>
      <c r="H2928">
        <v>16</v>
      </c>
      <c r="I2928" s="25">
        <v>750</v>
      </c>
      <c r="K2928" t="s">
        <v>48</v>
      </c>
      <c r="M2928" t="s">
        <v>52</v>
      </c>
      <c r="N2928" t="s">
        <v>44</v>
      </c>
      <c r="O2928">
        <v>158</v>
      </c>
      <c r="Q2928" t="s">
        <v>165</v>
      </c>
      <c r="R2928">
        <v>1</v>
      </c>
      <c r="S2928">
        <v>0</v>
      </c>
      <c r="T2928">
        <v>0</v>
      </c>
      <c r="U2928">
        <v>0</v>
      </c>
      <c r="V2928">
        <v>0</v>
      </c>
      <c r="W2928">
        <v>0</v>
      </c>
      <c r="X2928" s="21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L2928" t="s">
        <v>956</v>
      </c>
      <c r="AP2928" t="s">
        <v>951</v>
      </c>
    </row>
    <row r="2929" spans="1:42">
      <c r="A2929" s="16">
        <v>43781</v>
      </c>
      <c r="B2929">
        <v>2</v>
      </c>
      <c r="C2929">
        <v>536</v>
      </c>
      <c r="D2929">
        <v>10293</v>
      </c>
      <c r="E2929" t="s">
        <v>37</v>
      </c>
      <c r="F2929" t="s">
        <v>949</v>
      </c>
      <c r="G2929">
        <v>2</v>
      </c>
      <c r="H2929">
        <v>17</v>
      </c>
      <c r="I2929" s="25">
        <v>815</v>
      </c>
      <c r="K2929" t="s">
        <v>48</v>
      </c>
      <c r="M2929" t="s">
        <v>52</v>
      </c>
      <c r="N2929" t="s">
        <v>40</v>
      </c>
      <c r="O2929">
        <v>55</v>
      </c>
      <c r="Q2929">
        <v>1</v>
      </c>
      <c r="R2929">
        <v>1</v>
      </c>
      <c r="S2929">
        <v>0</v>
      </c>
      <c r="T2929">
        <v>0</v>
      </c>
      <c r="U2929">
        <v>0</v>
      </c>
      <c r="V2929">
        <v>1</v>
      </c>
      <c r="W2929">
        <v>0</v>
      </c>
      <c r="X2929" s="21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64</v>
      </c>
      <c r="AP2929" t="s">
        <v>951</v>
      </c>
    </row>
    <row r="2930" spans="1:42">
      <c r="A2930" s="16">
        <v>43781</v>
      </c>
      <c r="B2930">
        <v>2</v>
      </c>
      <c r="C2930">
        <v>536</v>
      </c>
      <c r="D2930">
        <v>10293</v>
      </c>
      <c r="E2930" t="s">
        <v>37</v>
      </c>
      <c r="F2930" t="s">
        <v>949</v>
      </c>
      <c r="G2930">
        <v>2</v>
      </c>
      <c r="H2930">
        <v>18</v>
      </c>
      <c r="I2930" s="25">
        <v>966</v>
      </c>
      <c r="K2930" t="s">
        <v>48</v>
      </c>
      <c r="M2930" t="s">
        <v>52</v>
      </c>
      <c r="N2930" t="s">
        <v>40</v>
      </c>
      <c r="O2930">
        <v>31</v>
      </c>
      <c r="Q2930">
        <v>1</v>
      </c>
      <c r="R2930">
        <v>1</v>
      </c>
      <c r="S2930">
        <v>0</v>
      </c>
      <c r="T2930">
        <v>0</v>
      </c>
      <c r="U2930">
        <v>1</v>
      </c>
      <c r="V2930">
        <v>0</v>
      </c>
      <c r="W2930">
        <v>0</v>
      </c>
      <c r="X2930" s="21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32</v>
      </c>
      <c r="AL2930" t="s">
        <v>957</v>
      </c>
      <c r="AP2930" t="s">
        <v>951</v>
      </c>
    </row>
    <row r="2931" spans="1:42">
      <c r="A2931" s="16">
        <v>43781</v>
      </c>
      <c r="B2931">
        <v>2</v>
      </c>
      <c r="C2931">
        <v>536</v>
      </c>
      <c r="D2931">
        <v>10293</v>
      </c>
      <c r="E2931" t="s">
        <v>37</v>
      </c>
      <c r="F2931" t="s">
        <v>949</v>
      </c>
      <c r="G2931">
        <v>2</v>
      </c>
      <c r="H2931">
        <v>19</v>
      </c>
      <c r="I2931" s="25"/>
      <c r="K2931" t="s">
        <v>958</v>
      </c>
      <c r="M2931" t="s">
        <v>52</v>
      </c>
      <c r="N2931" t="s">
        <v>40</v>
      </c>
      <c r="O2931">
        <v>237</v>
      </c>
      <c r="Q2931">
        <v>5</v>
      </c>
      <c r="R2931">
        <v>1</v>
      </c>
      <c r="S2931">
        <v>0</v>
      </c>
      <c r="T2931">
        <v>0</v>
      </c>
      <c r="U2931">
        <v>0</v>
      </c>
      <c r="V2931">
        <v>1</v>
      </c>
      <c r="W2931">
        <v>4</v>
      </c>
      <c r="X2931" s="2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448</v>
      </c>
      <c r="AL2931" t="s">
        <v>959</v>
      </c>
      <c r="AP2931" t="s">
        <v>951</v>
      </c>
    </row>
    <row r="2932" spans="1:42">
      <c r="A2932" s="16">
        <v>43781</v>
      </c>
      <c r="B2932">
        <v>2</v>
      </c>
      <c r="C2932">
        <v>536</v>
      </c>
      <c r="D2932">
        <v>10293</v>
      </c>
      <c r="E2932" t="s">
        <v>37</v>
      </c>
      <c r="F2932" t="s">
        <v>949</v>
      </c>
      <c r="G2932">
        <v>2</v>
      </c>
      <c r="H2932">
        <v>20</v>
      </c>
      <c r="I2932" s="25" t="s">
        <v>960</v>
      </c>
      <c r="K2932" t="s">
        <v>516</v>
      </c>
      <c r="M2932" t="s">
        <v>52</v>
      </c>
      <c r="N2932" t="s">
        <v>40</v>
      </c>
      <c r="O2932">
        <v>74</v>
      </c>
      <c r="Q2932">
        <v>2</v>
      </c>
      <c r="R2932">
        <v>1</v>
      </c>
      <c r="S2932">
        <v>0</v>
      </c>
      <c r="T2932">
        <v>0</v>
      </c>
      <c r="U2932">
        <v>0</v>
      </c>
      <c r="V2932">
        <v>2</v>
      </c>
      <c r="W2932">
        <v>0</v>
      </c>
      <c r="X2932" s="21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128</v>
      </c>
      <c r="AP2932" t="s">
        <v>951</v>
      </c>
    </row>
    <row r="2933" spans="1:42">
      <c r="A2933" s="16">
        <v>43781</v>
      </c>
      <c r="B2933">
        <v>2</v>
      </c>
      <c r="C2933">
        <v>536</v>
      </c>
      <c r="D2933">
        <v>10293</v>
      </c>
      <c r="E2933" t="s">
        <v>37</v>
      </c>
      <c r="F2933" t="s">
        <v>949</v>
      </c>
      <c r="G2933">
        <v>2</v>
      </c>
      <c r="H2933">
        <v>21</v>
      </c>
      <c r="I2933" s="25">
        <v>808</v>
      </c>
      <c r="K2933" t="s">
        <v>39</v>
      </c>
      <c r="M2933" t="s">
        <v>52</v>
      </c>
      <c r="N2933" t="s">
        <v>44</v>
      </c>
      <c r="O2933">
        <v>70</v>
      </c>
      <c r="Q2933">
        <v>1</v>
      </c>
      <c r="R2933">
        <v>1</v>
      </c>
      <c r="S2933">
        <v>0</v>
      </c>
      <c r="T2933">
        <v>0</v>
      </c>
      <c r="U2933">
        <v>0</v>
      </c>
      <c r="V2933">
        <v>0</v>
      </c>
      <c r="W2933">
        <v>1</v>
      </c>
      <c r="X2933" s="21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96</v>
      </c>
      <c r="AP2933" t="s">
        <v>951</v>
      </c>
    </row>
    <row r="2934" spans="1:42">
      <c r="A2934" s="16">
        <v>43781</v>
      </c>
      <c r="B2934">
        <v>2</v>
      </c>
      <c r="C2934">
        <v>536</v>
      </c>
      <c r="D2934">
        <v>10293</v>
      </c>
      <c r="E2934" t="s">
        <v>37</v>
      </c>
      <c r="F2934" t="s">
        <v>949</v>
      </c>
      <c r="G2934">
        <v>2</v>
      </c>
      <c r="H2934">
        <v>22</v>
      </c>
      <c r="I2934" s="25">
        <v>839</v>
      </c>
      <c r="K2934" t="s">
        <v>39</v>
      </c>
      <c r="M2934" t="s">
        <v>52</v>
      </c>
      <c r="N2934" t="s">
        <v>40</v>
      </c>
      <c r="O2934">
        <v>44</v>
      </c>
      <c r="Q2934">
        <v>1</v>
      </c>
      <c r="R2934">
        <v>1</v>
      </c>
      <c r="S2934">
        <v>0</v>
      </c>
      <c r="T2934">
        <v>0</v>
      </c>
      <c r="U2934">
        <v>0</v>
      </c>
      <c r="V2934">
        <v>1</v>
      </c>
      <c r="W2934">
        <v>0</v>
      </c>
      <c r="X2934" s="21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64</v>
      </c>
      <c r="AP2934" t="s">
        <v>951</v>
      </c>
    </row>
    <row r="2935" spans="1:42">
      <c r="A2935" s="16">
        <v>43781</v>
      </c>
      <c r="B2935">
        <v>2</v>
      </c>
      <c r="C2935">
        <v>536</v>
      </c>
      <c r="D2935">
        <v>10293</v>
      </c>
      <c r="E2935" t="s">
        <v>37</v>
      </c>
      <c r="F2935" t="s">
        <v>949</v>
      </c>
      <c r="G2935">
        <v>2</v>
      </c>
      <c r="H2935">
        <v>23</v>
      </c>
      <c r="I2935" s="25">
        <v>505</v>
      </c>
      <c r="K2935" t="s">
        <v>516</v>
      </c>
      <c r="M2935" t="s">
        <v>52</v>
      </c>
      <c r="N2935" t="s">
        <v>40</v>
      </c>
      <c r="O2935">
        <v>61</v>
      </c>
      <c r="Q2935" t="s">
        <v>165</v>
      </c>
      <c r="R2935">
        <v>1</v>
      </c>
      <c r="S2935">
        <v>0</v>
      </c>
      <c r="T2935">
        <v>0</v>
      </c>
      <c r="U2935">
        <v>0</v>
      </c>
      <c r="V2935">
        <v>0</v>
      </c>
      <c r="W2935">
        <v>0</v>
      </c>
      <c r="X2935" s="21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P2935" t="s">
        <v>951</v>
      </c>
    </row>
    <row r="2936" spans="1:42">
      <c r="A2936" s="16">
        <v>43781</v>
      </c>
      <c r="B2936">
        <v>2</v>
      </c>
      <c r="C2936">
        <v>536</v>
      </c>
      <c r="D2936">
        <v>10293</v>
      </c>
      <c r="E2936" t="s">
        <v>37</v>
      </c>
      <c r="F2936" t="s">
        <v>949</v>
      </c>
      <c r="G2936">
        <v>2</v>
      </c>
      <c r="H2936">
        <v>24</v>
      </c>
      <c r="I2936" s="25">
        <v>0</v>
      </c>
      <c r="K2936" t="s">
        <v>961</v>
      </c>
      <c r="M2936" t="s">
        <v>52</v>
      </c>
      <c r="N2936" t="s">
        <v>40</v>
      </c>
      <c r="O2936">
        <v>107</v>
      </c>
      <c r="Q2936">
        <v>4</v>
      </c>
      <c r="R2936">
        <v>1</v>
      </c>
      <c r="S2936">
        <v>0</v>
      </c>
      <c r="T2936">
        <v>0</v>
      </c>
      <c r="U2936">
        <v>0</v>
      </c>
      <c r="V2936">
        <v>4</v>
      </c>
      <c r="W2936">
        <v>0</v>
      </c>
      <c r="X2936" s="21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256</v>
      </c>
      <c r="AL2936" t="s">
        <v>962</v>
      </c>
      <c r="AP2936" t="s">
        <v>951</v>
      </c>
    </row>
    <row r="2937" spans="1:42">
      <c r="A2937" s="16">
        <v>43781</v>
      </c>
      <c r="B2937">
        <v>2</v>
      </c>
      <c r="C2937">
        <v>536</v>
      </c>
      <c r="D2937">
        <v>10293</v>
      </c>
      <c r="E2937" t="s">
        <v>37</v>
      </c>
      <c r="F2937" t="s">
        <v>949</v>
      </c>
      <c r="G2937">
        <v>2</v>
      </c>
      <c r="H2937">
        <v>25</v>
      </c>
      <c r="I2937" s="25">
        <v>700</v>
      </c>
      <c r="K2937" t="s">
        <v>71</v>
      </c>
      <c r="M2937" t="s">
        <v>52</v>
      </c>
      <c r="N2937" t="s">
        <v>44</v>
      </c>
      <c r="O2937">
        <v>164</v>
      </c>
      <c r="Q2937">
        <v>5</v>
      </c>
      <c r="R2937">
        <v>1</v>
      </c>
      <c r="S2937">
        <v>0</v>
      </c>
      <c r="T2937">
        <v>0</v>
      </c>
      <c r="U2937">
        <v>0</v>
      </c>
      <c r="V2937">
        <v>1</v>
      </c>
      <c r="W2937">
        <v>4</v>
      </c>
      <c r="X2937" s="21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448</v>
      </c>
      <c r="AP2937" t="s">
        <v>951</v>
      </c>
    </row>
    <row r="2938" spans="1:42">
      <c r="A2938" s="16">
        <v>43781</v>
      </c>
      <c r="B2938">
        <v>2</v>
      </c>
      <c r="C2938">
        <v>536</v>
      </c>
      <c r="D2938">
        <v>10293</v>
      </c>
      <c r="E2938" t="s">
        <v>37</v>
      </c>
      <c r="F2938" t="s">
        <v>949</v>
      </c>
      <c r="G2938">
        <v>2</v>
      </c>
      <c r="H2938">
        <v>26</v>
      </c>
      <c r="I2938" s="25">
        <v>423</v>
      </c>
      <c r="K2938" t="s">
        <v>516</v>
      </c>
      <c r="M2938" t="s">
        <v>52</v>
      </c>
      <c r="N2938" t="s">
        <v>44</v>
      </c>
      <c r="O2938">
        <v>150</v>
      </c>
      <c r="Q2938">
        <v>2</v>
      </c>
      <c r="R2938">
        <v>1</v>
      </c>
      <c r="S2938">
        <v>0</v>
      </c>
      <c r="T2938">
        <v>0</v>
      </c>
      <c r="U2938">
        <v>0</v>
      </c>
      <c r="V2938">
        <v>0</v>
      </c>
      <c r="W2938">
        <v>2</v>
      </c>
      <c r="X2938" s="21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192</v>
      </c>
      <c r="AL2938" t="s">
        <v>963</v>
      </c>
      <c r="AP2938" t="s">
        <v>951</v>
      </c>
    </row>
    <row r="2939" spans="1:42">
      <c r="A2939" s="16">
        <v>43781</v>
      </c>
      <c r="B2939">
        <v>2</v>
      </c>
      <c r="C2939">
        <v>536</v>
      </c>
      <c r="D2939">
        <v>10293</v>
      </c>
      <c r="E2939" t="s">
        <v>37</v>
      </c>
      <c r="F2939" t="s">
        <v>949</v>
      </c>
      <c r="G2939">
        <v>2</v>
      </c>
      <c r="H2939">
        <v>27</v>
      </c>
      <c r="I2939" s="25">
        <v>400</v>
      </c>
      <c r="K2939" t="s">
        <v>964</v>
      </c>
      <c r="M2939" t="s">
        <v>52</v>
      </c>
      <c r="N2939" t="s">
        <v>40</v>
      </c>
      <c r="O2939">
        <v>302</v>
      </c>
      <c r="Q2939">
        <v>10</v>
      </c>
      <c r="R2939">
        <v>1</v>
      </c>
      <c r="S2939">
        <v>0</v>
      </c>
      <c r="T2939">
        <v>0</v>
      </c>
      <c r="U2939">
        <v>1</v>
      </c>
      <c r="V2939">
        <v>3</v>
      </c>
      <c r="W2939">
        <v>6</v>
      </c>
      <c r="X2939" s="21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800</v>
      </c>
      <c r="AL2939" t="s">
        <v>965</v>
      </c>
      <c r="AP2939" t="s">
        <v>951</v>
      </c>
    </row>
    <row r="2940" spans="1:42">
      <c r="A2940" s="16">
        <v>43781</v>
      </c>
      <c r="B2940">
        <v>2</v>
      </c>
      <c r="C2940">
        <v>536</v>
      </c>
      <c r="D2940">
        <v>10293</v>
      </c>
      <c r="E2940" t="s">
        <v>37</v>
      </c>
      <c r="F2940" t="s">
        <v>949</v>
      </c>
      <c r="G2940">
        <v>2</v>
      </c>
      <c r="H2940">
        <v>28</v>
      </c>
      <c r="I2940" s="25" t="s">
        <v>966</v>
      </c>
      <c r="K2940" t="s">
        <v>967</v>
      </c>
      <c r="M2940" t="s">
        <v>52</v>
      </c>
      <c r="N2940" t="s">
        <v>40</v>
      </c>
      <c r="O2940">
        <v>176</v>
      </c>
      <c r="Q2940">
        <v>5</v>
      </c>
      <c r="R2940">
        <v>1</v>
      </c>
      <c r="S2940">
        <v>0</v>
      </c>
      <c r="T2940">
        <v>0</v>
      </c>
      <c r="U2940">
        <v>0</v>
      </c>
      <c r="V2940">
        <v>4</v>
      </c>
      <c r="W2940">
        <v>1</v>
      </c>
      <c r="X2940" s="21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352</v>
      </c>
      <c r="AP2940" t="s">
        <v>951</v>
      </c>
    </row>
    <row r="2941" spans="1:42">
      <c r="A2941" s="16">
        <v>43781</v>
      </c>
      <c r="B2941">
        <v>2</v>
      </c>
      <c r="C2941">
        <v>536</v>
      </c>
      <c r="D2941">
        <v>10293</v>
      </c>
      <c r="E2941" t="s">
        <v>37</v>
      </c>
      <c r="F2941" t="s">
        <v>949</v>
      </c>
      <c r="G2941">
        <v>2</v>
      </c>
      <c r="H2941">
        <v>29</v>
      </c>
      <c r="I2941" s="25" t="s">
        <v>968</v>
      </c>
      <c r="K2941" t="s">
        <v>967</v>
      </c>
      <c r="M2941" t="s">
        <v>95</v>
      </c>
      <c r="N2941" t="s">
        <v>40</v>
      </c>
      <c r="O2941">
        <v>301</v>
      </c>
      <c r="Q2941">
        <v>5</v>
      </c>
      <c r="R2941">
        <v>1</v>
      </c>
      <c r="S2941">
        <v>0</v>
      </c>
      <c r="T2941">
        <v>0</v>
      </c>
      <c r="U2941">
        <v>0</v>
      </c>
      <c r="V2941">
        <v>0</v>
      </c>
      <c r="W2941">
        <v>5</v>
      </c>
      <c r="X2941" s="2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480</v>
      </c>
      <c r="AL2941" t="s">
        <v>969</v>
      </c>
      <c r="AP2941" t="s">
        <v>951</v>
      </c>
    </row>
    <row r="2942" spans="1:42">
      <c r="A2942" s="16">
        <v>43781</v>
      </c>
      <c r="B2942">
        <v>2</v>
      </c>
      <c r="C2942">
        <v>536</v>
      </c>
      <c r="D2942">
        <v>10293</v>
      </c>
      <c r="E2942" t="s">
        <v>37</v>
      </c>
      <c r="F2942" t="s">
        <v>949</v>
      </c>
      <c r="G2942">
        <v>2</v>
      </c>
      <c r="H2942">
        <v>30</v>
      </c>
      <c r="I2942" s="25">
        <v>600</v>
      </c>
      <c r="K2942" t="s">
        <v>970</v>
      </c>
      <c r="M2942" t="s">
        <v>52</v>
      </c>
      <c r="N2942" t="s">
        <v>42</v>
      </c>
      <c r="O2942">
        <v>181</v>
      </c>
      <c r="Q2942">
        <v>4</v>
      </c>
      <c r="R2942">
        <v>1</v>
      </c>
      <c r="S2942">
        <v>0</v>
      </c>
      <c r="T2942">
        <v>0</v>
      </c>
      <c r="U2942">
        <v>1</v>
      </c>
      <c r="V2942">
        <v>0</v>
      </c>
      <c r="W2942">
        <v>3</v>
      </c>
      <c r="X2942" s="21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320</v>
      </c>
      <c r="AL2942" t="s">
        <v>963</v>
      </c>
      <c r="AP2942" t="s">
        <v>951</v>
      </c>
    </row>
    <row r="2943" spans="1:42">
      <c r="A2943" s="16">
        <v>43781</v>
      </c>
      <c r="B2943">
        <v>2</v>
      </c>
      <c r="C2943">
        <v>536</v>
      </c>
      <c r="D2943">
        <v>10293</v>
      </c>
      <c r="E2943" t="s">
        <v>37</v>
      </c>
      <c r="F2943" t="s">
        <v>949</v>
      </c>
      <c r="G2943">
        <v>2</v>
      </c>
      <c r="H2943">
        <v>31</v>
      </c>
      <c r="I2943" s="25">
        <v>600</v>
      </c>
      <c r="K2943" t="s">
        <v>39</v>
      </c>
      <c r="M2943" t="s">
        <v>52</v>
      </c>
      <c r="N2943" t="s">
        <v>42</v>
      </c>
      <c r="O2943">
        <v>197</v>
      </c>
      <c r="Q2943">
        <v>3</v>
      </c>
      <c r="R2943">
        <v>1</v>
      </c>
      <c r="S2943">
        <v>0</v>
      </c>
      <c r="T2943">
        <v>0</v>
      </c>
      <c r="U2943">
        <v>1</v>
      </c>
      <c r="V2943">
        <v>2</v>
      </c>
      <c r="W2943">
        <v>0</v>
      </c>
      <c r="X2943" s="21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128</v>
      </c>
      <c r="AP2943" t="s">
        <v>951</v>
      </c>
    </row>
    <row r="2944" spans="1:42">
      <c r="A2944" s="16">
        <v>43781</v>
      </c>
      <c r="B2944">
        <v>2</v>
      </c>
      <c r="C2944">
        <v>536</v>
      </c>
      <c r="D2944">
        <v>10293</v>
      </c>
      <c r="E2944" t="s">
        <v>37</v>
      </c>
      <c r="F2944" t="s">
        <v>949</v>
      </c>
      <c r="G2944">
        <v>2</v>
      </c>
      <c r="H2944">
        <v>32</v>
      </c>
      <c r="I2944" s="25">
        <v>710</v>
      </c>
      <c r="K2944" t="s">
        <v>65</v>
      </c>
      <c r="M2944" t="s">
        <v>52</v>
      </c>
      <c r="N2944" t="s">
        <v>40</v>
      </c>
      <c r="O2944">
        <v>37</v>
      </c>
      <c r="Q2944">
        <v>1</v>
      </c>
      <c r="R2944">
        <v>1</v>
      </c>
      <c r="S2944">
        <v>0</v>
      </c>
      <c r="T2944">
        <v>0</v>
      </c>
      <c r="U2944">
        <v>0</v>
      </c>
      <c r="V2944">
        <v>1</v>
      </c>
      <c r="W2944">
        <v>0</v>
      </c>
      <c r="X2944" s="21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64</v>
      </c>
      <c r="AP2944" t="s">
        <v>951</v>
      </c>
    </row>
    <row r="2945" spans="1:42">
      <c r="A2945" s="16">
        <v>43781</v>
      </c>
      <c r="B2945">
        <v>2</v>
      </c>
      <c r="C2945">
        <v>536</v>
      </c>
      <c r="D2945">
        <v>10293</v>
      </c>
      <c r="E2945" t="s">
        <v>37</v>
      </c>
      <c r="F2945" t="s">
        <v>949</v>
      </c>
      <c r="G2945">
        <v>2</v>
      </c>
      <c r="H2945">
        <v>34</v>
      </c>
      <c r="I2945" s="25">
        <v>600</v>
      </c>
      <c r="K2945" t="s">
        <v>971</v>
      </c>
      <c r="M2945" t="s">
        <v>52</v>
      </c>
      <c r="N2945" t="s">
        <v>42</v>
      </c>
      <c r="O2945">
        <v>634</v>
      </c>
      <c r="Q2945">
        <v>14</v>
      </c>
      <c r="R2945">
        <v>1</v>
      </c>
      <c r="S2945">
        <v>0</v>
      </c>
      <c r="T2945">
        <v>0</v>
      </c>
      <c r="U2945">
        <v>0</v>
      </c>
      <c r="V2945">
        <v>4</v>
      </c>
      <c r="W2945">
        <v>10</v>
      </c>
      <c r="X2945" s="21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1261</v>
      </c>
      <c r="AL2945" t="s">
        <v>972</v>
      </c>
      <c r="AP2945" t="s">
        <v>951</v>
      </c>
    </row>
    <row r="2946" spans="1:42">
      <c r="A2946" s="16">
        <v>43781</v>
      </c>
      <c r="B2946">
        <v>2</v>
      </c>
      <c r="C2946">
        <v>536</v>
      </c>
      <c r="D2946">
        <v>10293</v>
      </c>
      <c r="E2946" t="s">
        <v>37</v>
      </c>
      <c r="F2946" t="s">
        <v>949</v>
      </c>
      <c r="G2946">
        <v>2</v>
      </c>
      <c r="H2946">
        <v>35</v>
      </c>
      <c r="I2946" s="25">
        <v>500</v>
      </c>
      <c r="K2946" t="s">
        <v>68</v>
      </c>
      <c r="M2946" t="s">
        <v>52</v>
      </c>
      <c r="N2946" t="s">
        <v>40</v>
      </c>
      <c r="O2946">
        <v>120</v>
      </c>
      <c r="Q2946">
        <v>6</v>
      </c>
      <c r="R2946">
        <v>1</v>
      </c>
      <c r="S2946">
        <v>0</v>
      </c>
      <c r="T2946">
        <v>0</v>
      </c>
      <c r="U2946">
        <v>1</v>
      </c>
      <c r="V2946">
        <v>2</v>
      </c>
      <c r="W2946">
        <v>3</v>
      </c>
      <c r="X2946" s="21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448</v>
      </c>
      <c r="AP2946" t="s">
        <v>951</v>
      </c>
    </row>
    <row r="2947" spans="1:42">
      <c r="A2947" s="16">
        <v>43781</v>
      </c>
      <c r="B2947">
        <v>2</v>
      </c>
      <c r="C2947">
        <v>536</v>
      </c>
      <c r="D2947">
        <v>10293</v>
      </c>
      <c r="E2947" t="s">
        <v>37</v>
      </c>
      <c r="F2947" t="s">
        <v>949</v>
      </c>
      <c r="G2947">
        <v>2</v>
      </c>
      <c r="H2947">
        <v>36</v>
      </c>
      <c r="I2947" s="25">
        <v>600</v>
      </c>
      <c r="K2947" t="s">
        <v>62</v>
      </c>
      <c r="M2947" t="s">
        <v>52</v>
      </c>
      <c r="N2947" t="s">
        <v>42</v>
      </c>
      <c r="O2947">
        <v>251</v>
      </c>
      <c r="Q2947">
        <v>6</v>
      </c>
      <c r="R2947">
        <v>1</v>
      </c>
      <c r="S2947">
        <v>0</v>
      </c>
      <c r="T2947">
        <v>0</v>
      </c>
      <c r="U2947">
        <v>1</v>
      </c>
      <c r="V2947">
        <v>3</v>
      </c>
      <c r="W2947">
        <v>2</v>
      </c>
      <c r="X2947" s="21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416</v>
      </c>
      <c r="AL2947" t="s">
        <v>957</v>
      </c>
      <c r="AP2947" t="s">
        <v>951</v>
      </c>
    </row>
    <row r="2948" spans="1:42">
      <c r="A2948" s="16">
        <v>43781</v>
      </c>
      <c r="B2948">
        <v>2</v>
      </c>
      <c r="C2948">
        <v>536</v>
      </c>
      <c r="D2948">
        <v>10293</v>
      </c>
      <c r="E2948" t="s">
        <v>37</v>
      </c>
      <c r="F2948" t="s">
        <v>949</v>
      </c>
      <c r="G2948">
        <v>2</v>
      </c>
      <c r="H2948">
        <v>37</v>
      </c>
      <c r="I2948" s="25">
        <v>550</v>
      </c>
      <c r="K2948" t="s">
        <v>71</v>
      </c>
      <c r="M2948" t="s">
        <v>52</v>
      </c>
      <c r="N2948" t="s">
        <v>40</v>
      </c>
      <c r="O2948">
        <v>230</v>
      </c>
      <c r="Q2948">
        <v>6</v>
      </c>
      <c r="R2948">
        <v>1</v>
      </c>
      <c r="S2948">
        <v>0</v>
      </c>
      <c r="T2948">
        <v>0</v>
      </c>
      <c r="U2948">
        <v>0</v>
      </c>
      <c r="V2948">
        <v>0</v>
      </c>
      <c r="W2948">
        <v>6</v>
      </c>
      <c r="X2948" s="21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576</v>
      </c>
      <c r="AP2948" t="s">
        <v>951</v>
      </c>
    </row>
    <row r="2949" spans="1:42">
      <c r="A2949" s="16">
        <v>43781</v>
      </c>
      <c r="B2949">
        <v>2</v>
      </c>
      <c r="C2949">
        <v>536</v>
      </c>
      <c r="D2949">
        <v>10293</v>
      </c>
      <c r="E2949" t="s">
        <v>37</v>
      </c>
      <c r="F2949" t="s">
        <v>949</v>
      </c>
      <c r="G2949">
        <v>2</v>
      </c>
      <c r="H2949">
        <v>38</v>
      </c>
      <c r="I2949" s="25">
        <v>417</v>
      </c>
      <c r="K2949" t="s">
        <v>71</v>
      </c>
      <c r="M2949" t="s">
        <v>52</v>
      </c>
      <c r="N2949" t="s">
        <v>40</v>
      </c>
      <c r="O2949">
        <v>261</v>
      </c>
      <c r="Q2949">
        <v>6</v>
      </c>
      <c r="R2949">
        <v>1</v>
      </c>
      <c r="S2949">
        <v>0</v>
      </c>
      <c r="T2949">
        <v>0</v>
      </c>
      <c r="U2949">
        <v>0</v>
      </c>
      <c r="V2949">
        <v>0</v>
      </c>
      <c r="W2949">
        <v>6</v>
      </c>
      <c r="X2949" s="21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576</v>
      </c>
      <c r="AP2949" t="s">
        <v>951</v>
      </c>
    </row>
    <row r="2950" spans="1:42">
      <c r="A2950" s="16">
        <v>43781</v>
      </c>
      <c r="B2950">
        <v>2</v>
      </c>
      <c r="C2950">
        <v>536</v>
      </c>
      <c r="D2950">
        <v>10293</v>
      </c>
      <c r="E2950" t="s">
        <v>37</v>
      </c>
      <c r="F2950" t="s">
        <v>949</v>
      </c>
      <c r="G2950">
        <v>2</v>
      </c>
      <c r="H2950">
        <v>39</v>
      </c>
      <c r="I2950" s="25">
        <v>300</v>
      </c>
      <c r="K2950" t="s">
        <v>71</v>
      </c>
      <c r="M2950" t="s">
        <v>52</v>
      </c>
      <c r="N2950" t="s">
        <v>40</v>
      </c>
      <c r="O2950">
        <v>171</v>
      </c>
      <c r="Q2950">
        <v>4</v>
      </c>
      <c r="R2950">
        <v>1</v>
      </c>
      <c r="S2950">
        <v>0</v>
      </c>
      <c r="T2950">
        <v>0</v>
      </c>
      <c r="U2950">
        <v>0</v>
      </c>
      <c r="V2950">
        <v>0</v>
      </c>
      <c r="W2950">
        <v>4</v>
      </c>
      <c r="X2950" s="21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384</v>
      </c>
      <c r="AP2950" t="s">
        <v>951</v>
      </c>
    </row>
    <row r="2951" spans="1:42">
      <c r="A2951" s="16">
        <v>43781</v>
      </c>
      <c r="B2951">
        <v>2</v>
      </c>
      <c r="C2951">
        <v>536</v>
      </c>
      <c r="D2951">
        <v>10293</v>
      </c>
      <c r="E2951" t="s">
        <v>37</v>
      </c>
      <c r="F2951" t="s">
        <v>949</v>
      </c>
      <c r="G2951">
        <v>2</v>
      </c>
      <c r="H2951">
        <v>40</v>
      </c>
      <c r="I2951" s="25">
        <v>601</v>
      </c>
      <c r="K2951" t="s">
        <v>56</v>
      </c>
      <c r="M2951" t="s">
        <v>52</v>
      </c>
      <c r="N2951" t="s">
        <v>44</v>
      </c>
      <c r="O2951">
        <v>301</v>
      </c>
      <c r="Q2951">
        <v>7</v>
      </c>
      <c r="R2951">
        <v>1</v>
      </c>
      <c r="S2951">
        <v>0</v>
      </c>
      <c r="T2951">
        <v>0</v>
      </c>
      <c r="U2951">
        <v>0</v>
      </c>
      <c r="V2951">
        <v>0</v>
      </c>
      <c r="W2951">
        <v>7</v>
      </c>
      <c r="X2951" s="2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672</v>
      </c>
      <c r="AL2951" t="s">
        <v>973</v>
      </c>
      <c r="AP2951" t="s">
        <v>951</v>
      </c>
    </row>
    <row r="2952" spans="1:42">
      <c r="A2952" s="16">
        <v>43781</v>
      </c>
      <c r="B2952">
        <v>2</v>
      </c>
      <c r="C2952">
        <v>536</v>
      </c>
      <c r="D2952">
        <v>10293</v>
      </c>
      <c r="E2952" t="s">
        <v>37</v>
      </c>
      <c r="F2952" t="s">
        <v>949</v>
      </c>
      <c r="G2952">
        <v>2</v>
      </c>
      <c r="H2952">
        <v>41</v>
      </c>
      <c r="I2952" s="25" t="s">
        <v>974</v>
      </c>
      <c r="K2952" t="s">
        <v>975</v>
      </c>
      <c r="M2952" t="s">
        <v>52</v>
      </c>
      <c r="N2952" t="s">
        <v>40</v>
      </c>
      <c r="O2952">
        <v>571</v>
      </c>
      <c r="Q2952">
        <v>14</v>
      </c>
      <c r="R2952">
        <v>1</v>
      </c>
      <c r="S2952">
        <v>0</v>
      </c>
      <c r="T2952">
        <v>0</v>
      </c>
      <c r="U2952">
        <v>0</v>
      </c>
      <c r="V2952">
        <v>3</v>
      </c>
      <c r="W2952">
        <v>11</v>
      </c>
      <c r="X2952" s="21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1248</v>
      </c>
      <c r="AL2952" t="s">
        <v>976</v>
      </c>
      <c r="AP2952" t="s">
        <v>951</v>
      </c>
    </row>
    <row r="2953" spans="1:42">
      <c r="A2953" s="16">
        <v>43781</v>
      </c>
      <c r="B2953">
        <v>2</v>
      </c>
      <c r="C2953">
        <v>536</v>
      </c>
      <c r="D2953">
        <v>10293</v>
      </c>
      <c r="E2953" t="s">
        <v>37</v>
      </c>
      <c r="F2953" t="s">
        <v>949</v>
      </c>
      <c r="G2953">
        <v>2</v>
      </c>
      <c r="H2953">
        <v>42</v>
      </c>
      <c r="I2953" s="25">
        <v>230</v>
      </c>
      <c r="K2953" t="s">
        <v>56</v>
      </c>
      <c r="M2953" t="s">
        <v>52</v>
      </c>
      <c r="N2953" t="s">
        <v>40</v>
      </c>
      <c r="O2953">
        <v>332</v>
      </c>
      <c r="Q2953">
        <v>6</v>
      </c>
      <c r="R2953">
        <v>1</v>
      </c>
      <c r="S2953">
        <v>0</v>
      </c>
      <c r="T2953">
        <v>0</v>
      </c>
      <c r="U2953">
        <v>0</v>
      </c>
      <c r="V2953">
        <v>0</v>
      </c>
      <c r="W2953">
        <v>6</v>
      </c>
      <c r="X2953" s="21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576</v>
      </c>
      <c r="AL2953" t="s">
        <v>977</v>
      </c>
      <c r="AP2953" t="s">
        <v>951</v>
      </c>
    </row>
    <row r="2954" spans="1:42">
      <c r="A2954" s="16">
        <v>43781</v>
      </c>
      <c r="B2954">
        <v>2</v>
      </c>
      <c r="C2954">
        <v>536</v>
      </c>
      <c r="D2954">
        <v>10293</v>
      </c>
      <c r="E2954" t="s">
        <v>37</v>
      </c>
      <c r="F2954" t="s">
        <v>949</v>
      </c>
      <c r="G2954">
        <v>2</v>
      </c>
      <c r="H2954">
        <v>43</v>
      </c>
      <c r="I2954" s="25">
        <v>200</v>
      </c>
      <c r="K2954" t="s">
        <v>61</v>
      </c>
      <c r="M2954" t="s">
        <v>52</v>
      </c>
      <c r="N2954" t="s">
        <v>40</v>
      </c>
      <c r="O2954">
        <v>437</v>
      </c>
      <c r="Q2954">
        <v>12</v>
      </c>
      <c r="R2954">
        <v>1</v>
      </c>
      <c r="S2954">
        <v>0</v>
      </c>
      <c r="T2954">
        <v>0</v>
      </c>
      <c r="U2954">
        <v>1</v>
      </c>
      <c r="V2954">
        <v>3</v>
      </c>
      <c r="W2954">
        <v>8</v>
      </c>
      <c r="X2954" s="21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992</v>
      </c>
      <c r="AL2954" t="s">
        <v>978</v>
      </c>
      <c r="AP2954" t="s">
        <v>951</v>
      </c>
    </row>
    <row r="2955" spans="1:42">
      <c r="A2955" s="16">
        <v>43781</v>
      </c>
      <c r="B2955">
        <v>2</v>
      </c>
      <c r="C2955">
        <v>536</v>
      </c>
      <c r="D2955">
        <v>10293</v>
      </c>
      <c r="E2955" t="s">
        <v>37</v>
      </c>
      <c r="F2955" t="s">
        <v>949</v>
      </c>
      <c r="G2955">
        <v>2</v>
      </c>
      <c r="H2955">
        <v>44</v>
      </c>
      <c r="I2955" s="25">
        <v>300</v>
      </c>
      <c r="K2955" t="s">
        <v>62</v>
      </c>
      <c r="M2955" t="s">
        <v>52</v>
      </c>
      <c r="N2955" t="s">
        <v>40</v>
      </c>
      <c r="O2955">
        <v>160</v>
      </c>
      <c r="Q2955">
        <v>3</v>
      </c>
      <c r="R2955">
        <v>1</v>
      </c>
      <c r="S2955">
        <v>0</v>
      </c>
      <c r="T2955">
        <v>0</v>
      </c>
      <c r="U2955">
        <v>1</v>
      </c>
      <c r="V2955">
        <v>0</v>
      </c>
      <c r="W2955">
        <v>2</v>
      </c>
      <c r="X2955" s="21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224</v>
      </c>
      <c r="AL2955" t="s">
        <v>979</v>
      </c>
      <c r="AP2955" t="s">
        <v>951</v>
      </c>
    </row>
    <row r="2956" spans="1:42">
      <c r="A2956" s="16">
        <v>43781</v>
      </c>
      <c r="B2956">
        <v>2</v>
      </c>
      <c r="C2956">
        <v>536</v>
      </c>
      <c r="D2956">
        <v>10293</v>
      </c>
      <c r="E2956" t="s">
        <v>37</v>
      </c>
      <c r="F2956" t="s">
        <v>949</v>
      </c>
      <c r="G2956">
        <v>2</v>
      </c>
      <c r="H2956">
        <v>45</v>
      </c>
      <c r="I2956" s="25">
        <v>0</v>
      </c>
      <c r="K2956" t="s">
        <v>88</v>
      </c>
      <c r="M2956" t="s">
        <v>52</v>
      </c>
      <c r="N2956" t="s">
        <v>40</v>
      </c>
      <c r="O2956">
        <v>283</v>
      </c>
      <c r="Q2956">
        <v>8</v>
      </c>
      <c r="R2956">
        <v>1</v>
      </c>
      <c r="S2956">
        <v>0</v>
      </c>
      <c r="T2956">
        <v>0</v>
      </c>
      <c r="U2956">
        <v>0</v>
      </c>
      <c r="V2956">
        <v>3</v>
      </c>
      <c r="W2956">
        <v>5</v>
      </c>
      <c r="X2956" s="21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672</v>
      </c>
      <c r="AP2956" t="s">
        <v>951</v>
      </c>
    </row>
    <row r="2957" spans="1:42">
      <c r="A2957" s="16">
        <v>43781</v>
      </c>
      <c r="B2957">
        <v>2</v>
      </c>
      <c r="C2957">
        <v>536</v>
      </c>
      <c r="D2957">
        <v>10293</v>
      </c>
      <c r="E2957" t="s">
        <v>37</v>
      </c>
      <c r="F2957" t="s">
        <v>949</v>
      </c>
      <c r="G2957">
        <v>2</v>
      </c>
      <c r="H2957">
        <v>46</v>
      </c>
      <c r="I2957" s="25">
        <v>200</v>
      </c>
      <c r="K2957" t="s">
        <v>56</v>
      </c>
      <c r="M2957" t="s">
        <v>52</v>
      </c>
      <c r="N2957" t="s">
        <v>40</v>
      </c>
      <c r="O2957">
        <v>379</v>
      </c>
      <c r="Q2957">
        <v>7</v>
      </c>
      <c r="R2957">
        <v>1</v>
      </c>
      <c r="S2957">
        <v>0</v>
      </c>
      <c r="T2957">
        <v>0</v>
      </c>
      <c r="U2957">
        <v>0</v>
      </c>
      <c r="V2957">
        <v>2</v>
      </c>
      <c r="W2957">
        <v>5</v>
      </c>
      <c r="X2957" s="21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608</v>
      </c>
      <c r="AP2957" t="s">
        <v>951</v>
      </c>
    </row>
    <row r="2958" spans="1:42">
      <c r="A2958" s="16">
        <v>43781</v>
      </c>
      <c r="B2958">
        <v>2</v>
      </c>
      <c r="C2958">
        <v>536</v>
      </c>
      <c r="D2958">
        <v>10293</v>
      </c>
      <c r="E2958" t="s">
        <v>37</v>
      </c>
      <c r="F2958" t="s">
        <v>949</v>
      </c>
      <c r="G2958">
        <v>2</v>
      </c>
      <c r="H2958">
        <v>47</v>
      </c>
      <c r="I2958" s="25" t="s">
        <v>980</v>
      </c>
      <c r="K2958" t="s">
        <v>981</v>
      </c>
      <c r="M2958" t="s">
        <v>52</v>
      </c>
      <c r="N2958" t="s">
        <v>40</v>
      </c>
      <c r="O2958">
        <v>457</v>
      </c>
      <c r="Q2958">
        <v>11</v>
      </c>
      <c r="R2958">
        <v>1</v>
      </c>
      <c r="S2958">
        <v>0</v>
      </c>
      <c r="T2958">
        <v>0</v>
      </c>
      <c r="U2958">
        <v>1</v>
      </c>
      <c r="V2958">
        <v>1</v>
      </c>
      <c r="W2958">
        <v>9</v>
      </c>
      <c r="X2958" s="21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960</v>
      </c>
      <c r="AL2958" t="s">
        <v>963</v>
      </c>
      <c r="AP2958" t="s">
        <v>951</v>
      </c>
    </row>
    <row r="2959" spans="1:42">
      <c r="A2959" s="16">
        <v>43781</v>
      </c>
      <c r="B2959">
        <v>2</v>
      </c>
      <c r="C2959">
        <v>536</v>
      </c>
      <c r="D2959">
        <v>10293</v>
      </c>
      <c r="E2959" t="s">
        <v>37</v>
      </c>
      <c r="F2959" t="s">
        <v>949</v>
      </c>
      <c r="G2959">
        <v>2</v>
      </c>
      <c r="H2959">
        <v>48</v>
      </c>
      <c r="I2959" s="25">
        <v>220</v>
      </c>
      <c r="K2959" t="s">
        <v>58</v>
      </c>
      <c r="M2959" t="s">
        <v>52</v>
      </c>
      <c r="N2959" t="s">
        <v>40</v>
      </c>
      <c r="O2959">
        <v>69</v>
      </c>
      <c r="Q2959">
        <v>2</v>
      </c>
      <c r="R2959">
        <v>1</v>
      </c>
      <c r="S2959">
        <v>0</v>
      </c>
      <c r="T2959">
        <v>0</v>
      </c>
      <c r="U2959">
        <v>0</v>
      </c>
      <c r="V2959">
        <v>0</v>
      </c>
      <c r="W2959">
        <v>2</v>
      </c>
      <c r="X2959" s="21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192</v>
      </c>
      <c r="AP2959" t="s">
        <v>951</v>
      </c>
    </row>
    <row r="2960" spans="1:42">
      <c r="A2960" s="16">
        <v>43781</v>
      </c>
      <c r="B2960">
        <v>2</v>
      </c>
      <c r="C2960">
        <v>536</v>
      </c>
      <c r="D2960">
        <v>10293</v>
      </c>
      <c r="E2960" t="s">
        <v>37</v>
      </c>
      <c r="F2960" t="s">
        <v>949</v>
      </c>
      <c r="G2960">
        <v>2</v>
      </c>
      <c r="H2960">
        <v>49</v>
      </c>
      <c r="I2960" s="25">
        <v>351</v>
      </c>
      <c r="K2960" t="s">
        <v>56</v>
      </c>
      <c r="M2960" t="s">
        <v>52</v>
      </c>
      <c r="N2960" t="s">
        <v>40</v>
      </c>
      <c r="O2960">
        <v>247</v>
      </c>
      <c r="Q2960">
        <v>4</v>
      </c>
      <c r="R2960">
        <v>1</v>
      </c>
      <c r="S2960">
        <v>0</v>
      </c>
      <c r="T2960">
        <v>0</v>
      </c>
      <c r="U2960">
        <v>0</v>
      </c>
      <c r="V2960">
        <v>0</v>
      </c>
      <c r="W2960">
        <v>4</v>
      </c>
      <c r="X2960" s="21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384</v>
      </c>
      <c r="AL2960" t="s">
        <v>982</v>
      </c>
      <c r="AP2960" t="s">
        <v>951</v>
      </c>
    </row>
    <row r="2961" spans="1:42">
      <c r="A2961" s="16">
        <v>43781</v>
      </c>
      <c r="B2961">
        <v>2</v>
      </c>
      <c r="C2961">
        <v>536</v>
      </c>
      <c r="D2961">
        <v>10293</v>
      </c>
      <c r="E2961" t="s">
        <v>37</v>
      </c>
      <c r="F2961" t="s">
        <v>949</v>
      </c>
      <c r="G2961">
        <v>2</v>
      </c>
      <c r="H2961">
        <v>50</v>
      </c>
      <c r="I2961" s="25">
        <v>0</v>
      </c>
      <c r="K2961" t="s">
        <v>60</v>
      </c>
      <c r="M2961" t="s">
        <v>52</v>
      </c>
      <c r="N2961" t="s">
        <v>40</v>
      </c>
      <c r="O2961">
        <v>581</v>
      </c>
      <c r="Q2961">
        <v>11</v>
      </c>
      <c r="R2961">
        <v>1</v>
      </c>
      <c r="S2961">
        <v>0</v>
      </c>
      <c r="T2961">
        <v>0</v>
      </c>
      <c r="U2961">
        <v>1</v>
      </c>
      <c r="V2961">
        <v>0</v>
      </c>
      <c r="W2961">
        <v>10</v>
      </c>
      <c r="X2961" s="2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992</v>
      </c>
      <c r="AL2961" t="s">
        <v>963</v>
      </c>
      <c r="AP2961" t="s">
        <v>951</v>
      </c>
    </row>
    <row r="2962" spans="1:42">
      <c r="A2962" s="16">
        <v>43781</v>
      </c>
      <c r="B2962">
        <v>2</v>
      </c>
      <c r="C2962">
        <v>536</v>
      </c>
      <c r="D2962">
        <v>10293</v>
      </c>
      <c r="E2962" t="s">
        <v>37</v>
      </c>
      <c r="F2962" t="s">
        <v>949</v>
      </c>
      <c r="G2962">
        <v>2</v>
      </c>
      <c r="H2962">
        <v>51</v>
      </c>
      <c r="I2962" s="25">
        <v>111</v>
      </c>
      <c r="K2962" t="s">
        <v>69</v>
      </c>
      <c r="M2962" t="s">
        <v>52</v>
      </c>
      <c r="N2962" t="s">
        <v>40</v>
      </c>
      <c r="O2962">
        <v>355</v>
      </c>
      <c r="Q2962">
        <v>6</v>
      </c>
      <c r="R2962">
        <v>1</v>
      </c>
      <c r="S2962">
        <v>0</v>
      </c>
      <c r="T2962">
        <v>0</v>
      </c>
      <c r="U2962">
        <v>0</v>
      </c>
      <c r="V2962">
        <v>0</v>
      </c>
      <c r="W2962">
        <v>6</v>
      </c>
      <c r="X2962" s="21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576</v>
      </c>
      <c r="AL2962" t="s">
        <v>963</v>
      </c>
      <c r="AP2962" t="s">
        <v>951</v>
      </c>
    </row>
    <row r="2963" spans="1:42">
      <c r="A2963" s="16">
        <v>43781</v>
      </c>
      <c r="B2963">
        <v>2</v>
      </c>
      <c r="C2963">
        <v>536</v>
      </c>
      <c r="D2963">
        <v>10293</v>
      </c>
      <c r="E2963" t="s">
        <v>37</v>
      </c>
      <c r="F2963" t="s">
        <v>949</v>
      </c>
      <c r="G2963">
        <v>2</v>
      </c>
      <c r="H2963">
        <v>52</v>
      </c>
      <c r="I2963" s="25">
        <v>201</v>
      </c>
      <c r="K2963" t="s">
        <v>56</v>
      </c>
      <c r="M2963" t="s">
        <v>52</v>
      </c>
      <c r="N2963" t="s">
        <v>40</v>
      </c>
      <c r="O2963">
        <v>276</v>
      </c>
      <c r="Q2963">
        <v>6</v>
      </c>
      <c r="R2963">
        <v>1</v>
      </c>
      <c r="S2963">
        <v>0</v>
      </c>
      <c r="T2963">
        <v>0</v>
      </c>
      <c r="U2963">
        <v>0</v>
      </c>
      <c r="V2963">
        <v>0</v>
      </c>
      <c r="W2963">
        <v>6</v>
      </c>
      <c r="X2963" s="21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576</v>
      </c>
      <c r="AP2963" t="s">
        <v>951</v>
      </c>
    </row>
    <row r="2964" spans="1:42">
      <c r="A2964" s="16">
        <v>43781</v>
      </c>
      <c r="B2964">
        <v>2</v>
      </c>
      <c r="C2964">
        <v>536</v>
      </c>
      <c r="D2964">
        <v>10293</v>
      </c>
      <c r="E2964" t="s">
        <v>37</v>
      </c>
      <c r="F2964" t="s">
        <v>949</v>
      </c>
      <c r="G2964">
        <v>2</v>
      </c>
      <c r="H2964">
        <v>53</v>
      </c>
      <c r="I2964" s="25">
        <v>700</v>
      </c>
      <c r="K2964" t="s">
        <v>647</v>
      </c>
      <c r="M2964" t="s">
        <v>52</v>
      </c>
      <c r="N2964" t="s">
        <v>44</v>
      </c>
      <c r="O2964">
        <v>498</v>
      </c>
      <c r="Q2964">
        <v>8</v>
      </c>
      <c r="R2964">
        <v>1</v>
      </c>
      <c r="S2964">
        <v>0</v>
      </c>
      <c r="T2964">
        <v>0</v>
      </c>
      <c r="U2964">
        <v>4</v>
      </c>
      <c r="V2964">
        <v>2</v>
      </c>
      <c r="W2964">
        <v>2</v>
      </c>
      <c r="X2964" s="21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448</v>
      </c>
      <c r="AL2964" t="s">
        <v>983</v>
      </c>
      <c r="AP2964" t="s">
        <v>951</v>
      </c>
    </row>
    <row r="2965" spans="1:42">
      <c r="A2965" s="16">
        <v>43781</v>
      </c>
      <c r="B2965">
        <v>2</v>
      </c>
      <c r="C2965">
        <v>536</v>
      </c>
      <c r="D2965">
        <v>10293</v>
      </c>
      <c r="E2965" t="s">
        <v>37</v>
      </c>
      <c r="F2965" t="s">
        <v>949</v>
      </c>
      <c r="G2965">
        <v>2</v>
      </c>
      <c r="H2965">
        <v>54</v>
      </c>
      <c r="I2965" s="25">
        <v>600</v>
      </c>
      <c r="K2965" t="s">
        <v>647</v>
      </c>
      <c r="M2965" t="s">
        <v>52</v>
      </c>
      <c r="N2965" t="s">
        <v>40</v>
      </c>
      <c r="O2965">
        <v>301</v>
      </c>
      <c r="Q2965">
        <v>6</v>
      </c>
      <c r="R2965">
        <v>1</v>
      </c>
      <c r="S2965">
        <v>0</v>
      </c>
      <c r="T2965">
        <v>0</v>
      </c>
      <c r="U2965">
        <v>1</v>
      </c>
      <c r="V2965">
        <v>3</v>
      </c>
      <c r="W2965">
        <v>2</v>
      </c>
      <c r="X2965" s="21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416</v>
      </c>
      <c r="AP2965" t="s">
        <v>951</v>
      </c>
    </row>
    <row r="2966" spans="1:42">
      <c r="A2966" s="16">
        <v>43781</v>
      </c>
      <c r="B2966">
        <v>2</v>
      </c>
      <c r="C2966">
        <v>536</v>
      </c>
      <c r="D2966">
        <v>10293</v>
      </c>
      <c r="E2966" t="s">
        <v>37</v>
      </c>
      <c r="F2966" t="s">
        <v>949</v>
      </c>
      <c r="G2966">
        <v>2</v>
      </c>
      <c r="H2966">
        <v>55</v>
      </c>
      <c r="I2966" s="25">
        <v>100</v>
      </c>
      <c r="K2966" t="s">
        <v>984</v>
      </c>
      <c r="M2966" t="s">
        <v>52</v>
      </c>
      <c r="N2966" t="s">
        <v>42</v>
      </c>
      <c r="O2966">
        <v>381</v>
      </c>
      <c r="Q2966">
        <v>5</v>
      </c>
      <c r="R2966">
        <v>1</v>
      </c>
      <c r="S2966">
        <v>0</v>
      </c>
      <c r="T2966">
        <v>0</v>
      </c>
      <c r="U2966">
        <v>2</v>
      </c>
      <c r="V2966">
        <v>2</v>
      </c>
      <c r="W2966">
        <v>1</v>
      </c>
      <c r="X2966" s="21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288</v>
      </c>
      <c r="AP2966" t="s">
        <v>951</v>
      </c>
    </row>
    <row r="2967" spans="1:42">
      <c r="A2967" s="16">
        <v>43782</v>
      </c>
      <c r="B2967">
        <v>3</v>
      </c>
      <c r="C2967">
        <v>536</v>
      </c>
      <c r="D2967">
        <v>10293</v>
      </c>
      <c r="E2967" t="s">
        <v>37</v>
      </c>
      <c r="F2967" t="s">
        <v>949</v>
      </c>
      <c r="G2967">
        <v>2</v>
      </c>
      <c r="H2967">
        <v>1</v>
      </c>
      <c r="I2967" s="25">
        <v>200</v>
      </c>
      <c r="K2967" t="s">
        <v>73</v>
      </c>
      <c r="M2967" t="s">
        <v>52</v>
      </c>
      <c r="N2967" t="s">
        <v>44</v>
      </c>
      <c r="O2967">
        <v>241</v>
      </c>
      <c r="Q2967">
        <v>1</v>
      </c>
      <c r="R2967">
        <v>1</v>
      </c>
      <c r="S2967">
        <v>0</v>
      </c>
      <c r="T2967">
        <v>0</v>
      </c>
      <c r="U2967">
        <v>0</v>
      </c>
      <c r="V2967">
        <v>0</v>
      </c>
      <c r="W2967">
        <v>1</v>
      </c>
      <c r="X2967" s="21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96</v>
      </c>
      <c r="AL2967" t="s">
        <v>950</v>
      </c>
      <c r="AP2967" t="s">
        <v>951</v>
      </c>
    </row>
    <row r="2968" spans="1:42">
      <c r="A2968" s="16">
        <v>43782</v>
      </c>
      <c r="B2968">
        <v>3</v>
      </c>
      <c r="C2968">
        <v>536</v>
      </c>
      <c r="D2968">
        <v>10293</v>
      </c>
      <c r="E2968" t="s">
        <v>37</v>
      </c>
      <c r="F2968" t="s">
        <v>949</v>
      </c>
      <c r="G2968">
        <v>2</v>
      </c>
      <c r="H2968">
        <v>2</v>
      </c>
      <c r="I2968" s="25">
        <v>100</v>
      </c>
      <c r="K2968" t="s">
        <v>69</v>
      </c>
      <c r="M2968" t="s">
        <v>52</v>
      </c>
      <c r="N2968" t="s">
        <v>40</v>
      </c>
      <c r="O2968">
        <v>153</v>
      </c>
      <c r="Q2968">
        <v>4</v>
      </c>
      <c r="R2968">
        <v>1</v>
      </c>
      <c r="S2968">
        <v>0</v>
      </c>
      <c r="T2968">
        <v>0</v>
      </c>
      <c r="U2968">
        <v>1</v>
      </c>
      <c r="V2968">
        <v>0</v>
      </c>
      <c r="W2968">
        <v>3</v>
      </c>
      <c r="X2968" s="21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320</v>
      </c>
      <c r="AL2968" t="s">
        <v>963</v>
      </c>
      <c r="AP2968" t="s">
        <v>951</v>
      </c>
    </row>
    <row r="2969" spans="1:42">
      <c r="A2969" s="16">
        <v>43782</v>
      </c>
      <c r="B2969">
        <v>3</v>
      </c>
      <c r="C2969">
        <v>536</v>
      </c>
      <c r="D2969">
        <v>10293</v>
      </c>
      <c r="E2969" t="s">
        <v>37</v>
      </c>
      <c r="F2969" t="s">
        <v>949</v>
      </c>
      <c r="G2969">
        <v>2</v>
      </c>
      <c r="H2969">
        <v>3</v>
      </c>
      <c r="I2969" s="25">
        <v>200</v>
      </c>
      <c r="K2969" t="s">
        <v>69</v>
      </c>
      <c r="M2969" t="s">
        <v>95</v>
      </c>
      <c r="N2969" t="s">
        <v>40</v>
      </c>
      <c r="O2969">
        <v>330</v>
      </c>
      <c r="Q2969">
        <v>12</v>
      </c>
      <c r="R2969">
        <v>1</v>
      </c>
      <c r="S2969">
        <v>0</v>
      </c>
      <c r="T2969">
        <v>0</v>
      </c>
      <c r="U2969">
        <v>1</v>
      </c>
      <c r="V2969">
        <v>2</v>
      </c>
      <c r="W2969">
        <v>9</v>
      </c>
      <c r="X2969" s="21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1024</v>
      </c>
      <c r="AP2969" t="s">
        <v>951</v>
      </c>
    </row>
    <row r="2970" spans="1:42">
      <c r="A2970" s="16">
        <v>43782</v>
      </c>
      <c r="B2970">
        <v>3</v>
      </c>
      <c r="C2970">
        <v>536</v>
      </c>
      <c r="D2970">
        <v>10293</v>
      </c>
      <c r="E2970" t="s">
        <v>37</v>
      </c>
      <c r="F2970" t="s">
        <v>949</v>
      </c>
      <c r="G2970">
        <v>2</v>
      </c>
      <c r="H2970">
        <v>4</v>
      </c>
      <c r="I2970" s="25">
        <v>433</v>
      </c>
      <c r="K2970" t="s">
        <v>56</v>
      </c>
      <c r="M2970" t="s">
        <v>52</v>
      </c>
      <c r="N2970" t="s">
        <v>40</v>
      </c>
      <c r="O2970">
        <v>163</v>
      </c>
      <c r="Q2970">
        <v>6</v>
      </c>
      <c r="R2970">
        <v>1</v>
      </c>
      <c r="S2970">
        <v>0</v>
      </c>
      <c r="T2970">
        <v>0</v>
      </c>
      <c r="U2970">
        <v>0</v>
      </c>
      <c r="V2970">
        <v>0</v>
      </c>
      <c r="W2970">
        <v>6</v>
      </c>
      <c r="X2970" s="21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576</v>
      </c>
      <c r="AP2970" t="s">
        <v>951</v>
      </c>
    </row>
    <row r="2971" spans="1:42">
      <c r="A2971" s="16">
        <v>43782</v>
      </c>
      <c r="B2971">
        <v>3</v>
      </c>
      <c r="C2971">
        <v>536</v>
      </c>
      <c r="D2971">
        <v>10293</v>
      </c>
      <c r="E2971" t="s">
        <v>37</v>
      </c>
      <c r="F2971" t="s">
        <v>949</v>
      </c>
      <c r="G2971">
        <v>2</v>
      </c>
      <c r="H2971">
        <v>5</v>
      </c>
      <c r="I2971" s="25">
        <v>200</v>
      </c>
      <c r="K2971" t="s">
        <v>58</v>
      </c>
      <c r="M2971" t="s">
        <v>52</v>
      </c>
      <c r="N2971" t="s">
        <v>40</v>
      </c>
      <c r="O2971">
        <v>455</v>
      </c>
      <c r="Q2971">
        <v>9</v>
      </c>
      <c r="R2971">
        <v>1</v>
      </c>
      <c r="S2971">
        <v>0</v>
      </c>
      <c r="T2971">
        <v>0</v>
      </c>
      <c r="U2971">
        <v>0</v>
      </c>
      <c r="V2971">
        <v>1</v>
      </c>
      <c r="W2971">
        <v>8</v>
      </c>
      <c r="X2971" s="2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832</v>
      </c>
      <c r="AP2971" t="s">
        <v>951</v>
      </c>
    </row>
    <row r="2972" spans="1:42">
      <c r="A2972" s="16">
        <v>43782</v>
      </c>
      <c r="B2972">
        <v>3</v>
      </c>
      <c r="C2972">
        <v>536</v>
      </c>
      <c r="D2972">
        <v>10293</v>
      </c>
      <c r="E2972" t="s">
        <v>37</v>
      </c>
      <c r="F2972" t="s">
        <v>949</v>
      </c>
      <c r="G2972">
        <v>2</v>
      </c>
      <c r="H2972">
        <v>6</v>
      </c>
      <c r="I2972" s="25">
        <v>0</v>
      </c>
      <c r="K2972" t="s">
        <v>985</v>
      </c>
      <c r="M2972" t="s">
        <v>52</v>
      </c>
      <c r="N2972" t="s">
        <v>42</v>
      </c>
      <c r="O2972">
        <v>345</v>
      </c>
      <c r="Q2972">
        <v>2</v>
      </c>
      <c r="R2972">
        <v>1</v>
      </c>
      <c r="S2972">
        <v>0</v>
      </c>
      <c r="T2972">
        <v>0</v>
      </c>
      <c r="U2972">
        <v>0</v>
      </c>
      <c r="V2972">
        <v>1</v>
      </c>
      <c r="W2972">
        <v>1</v>
      </c>
      <c r="X2972" s="21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160</v>
      </c>
      <c r="AL2972" t="s">
        <v>986</v>
      </c>
      <c r="AP2972" t="s">
        <v>951</v>
      </c>
    </row>
    <row r="2973" spans="1:42">
      <c r="A2973" s="16">
        <v>43782</v>
      </c>
      <c r="B2973">
        <v>3</v>
      </c>
      <c r="C2973">
        <v>536</v>
      </c>
      <c r="D2973">
        <v>10293</v>
      </c>
      <c r="E2973" t="s">
        <v>37</v>
      </c>
      <c r="F2973" t="s">
        <v>949</v>
      </c>
      <c r="G2973">
        <v>2</v>
      </c>
      <c r="H2973">
        <v>7</v>
      </c>
      <c r="I2973" s="25">
        <v>600</v>
      </c>
      <c r="K2973" t="s">
        <v>69</v>
      </c>
      <c r="M2973" t="s">
        <v>52</v>
      </c>
      <c r="N2973" t="s">
        <v>44</v>
      </c>
      <c r="O2973">
        <v>190</v>
      </c>
      <c r="Q2973">
        <v>2</v>
      </c>
      <c r="R2973">
        <v>1</v>
      </c>
      <c r="S2973">
        <v>0</v>
      </c>
      <c r="T2973">
        <v>0</v>
      </c>
      <c r="U2973">
        <v>0</v>
      </c>
      <c r="V2973">
        <v>0</v>
      </c>
      <c r="W2973">
        <v>2</v>
      </c>
      <c r="X2973" s="21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192</v>
      </c>
      <c r="AP2973" t="s">
        <v>951</v>
      </c>
    </row>
    <row r="2974" spans="1:42">
      <c r="A2974" s="16">
        <v>43782</v>
      </c>
      <c r="B2974">
        <v>3</v>
      </c>
      <c r="C2974">
        <v>536</v>
      </c>
      <c r="D2974">
        <v>10293</v>
      </c>
      <c r="E2974" t="s">
        <v>37</v>
      </c>
      <c r="F2974" t="s">
        <v>949</v>
      </c>
      <c r="G2974">
        <v>2</v>
      </c>
      <c r="H2974">
        <v>8</v>
      </c>
      <c r="I2974" s="25">
        <v>400</v>
      </c>
      <c r="K2974" t="s">
        <v>48</v>
      </c>
      <c r="M2974" t="s">
        <v>52</v>
      </c>
      <c r="N2974" t="s">
        <v>40</v>
      </c>
      <c r="O2974">
        <v>40</v>
      </c>
      <c r="Q2974">
        <v>2</v>
      </c>
      <c r="R2974">
        <v>1</v>
      </c>
      <c r="S2974">
        <v>0</v>
      </c>
      <c r="T2974">
        <v>0</v>
      </c>
      <c r="U2974">
        <v>1</v>
      </c>
      <c r="V2974">
        <v>1</v>
      </c>
      <c r="W2974">
        <v>0</v>
      </c>
      <c r="X2974" s="21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96</v>
      </c>
      <c r="AP2974" t="s">
        <v>951</v>
      </c>
    </row>
    <row r="2975" spans="1:42">
      <c r="A2975" s="16">
        <v>43782</v>
      </c>
      <c r="B2975">
        <v>3</v>
      </c>
      <c r="C2975">
        <v>536</v>
      </c>
      <c r="D2975">
        <v>10293</v>
      </c>
      <c r="E2975" t="s">
        <v>37</v>
      </c>
      <c r="F2975" t="s">
        <v>949</v>
      </c>
      <c r="G2975">
        <v>2</v>
      </c>
      <c r="H2975">
        <v>9</v>
      </c>
      <c r="I2975" s="25">
        <v>500</v>
      </c>
      <c r="K2975" t="s">
        <v>48</v>
      </c>
      <c r="M2975" t="s">
        <v>52</v>
      </c>
      <c r="N2975" t="s">
        <v>42</v>
      </c>
      <c r="O2975">
        <v>345</v>
      </c>
      <c r="Q2975">
        <v>4</v>
      </c>
      <c r="R2975">
        <v>1</v>
      </c>
      <c r="S2975">
        <v>0</v>
      </c>
      <c r="T2975">
        <v>0</v>
      </c>
      <c r="U2975">
        <v>1</v>
      </c>
      <c r="V2975">
        <v>2</v>
      </c>
      <c r="W2975">
        <v>1</v>
      </c>
      <c r="X2975" s="21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256</v>
      </c>
      <c r="AL2975" t="s">
        <v>987</v>
      </c>
      <c r="AP2975" t="s">
        <v>951</v>
      </c>
    </row>
    <row r="2976" spans="1:42">
      <c r="A2976" s="16">
        <v>43782</v>
      </c>
      <c r="B2976">
        <v>3</v>
      </c>
      <c r="C2976">
        <v>536</v>
      </c>
      <c r="D2976">
        <v>10293</v>
      </c>
      <c r="E2976" t="s">
        <v>37</v>
      </c>
      <c r="F2976" t="s">
        <v>949</v>
      </c>
      <c r="G2976">
        <v>2</v>
      </c>
      <c r="H2976">
        <v>10</v>
      </c>
      <c r="I2976" s="25"/>
      <c r="K2976" t="s">
        <v>988</v>
      </c>
      <c r="M2976" t="s">
        <v>52</v>
      </c>
      <c r="N2976" t="s">
        <v>40</v>
      </c>
      <c r="O2976">
        <v>170</v>
      </c>
      <c r="Q2976">
        <v>3</v>
      </c>
      <c r="R2976">
        <v>1</v>
      </c>
      <c r="S2976">
        <v>0</v>
      </c>
      <c r="T2976">
        <v>0</v>
      </c>
      <c r="U2976">
        <v>0</v>
      </c>
      <c r="V2976">
        <v>0</v>
      </c>
      <c r="W2976">
        <v>3</v>
      </c>
      <c r="X2976" s="21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288</v>
      </c>
      <c r="AL2976" t="s">
        <v>989</v>
      </c>
      <c r="AP2976" t="s">
        <v>951</v>
      </c>
    </row>
    <row r="2977" spans="1:42">
      <c r="A2977" s="16">
        <v>43782</v>
      </c>
      <c r="B2977">
        <v>3</v>
      </c>
      <c r="C2977">
        <v>536</v>
      </c>
      <c r="D2977">
        <v>10293</v>
      </c>
      <c r="E2977" t="s">
        <v>37</v>
      </c>
      <c r="F2977" t="s">
        <v>949</v>
      </c>
      <c r="G2977">
        <v>2</v>
      </c>
      <c r="H2977">
        <v>11</v>
      </c>
      <c r="I2977" s="25">
        <v>600</v>
      </c>
      <c r="K2977" t="s">
        <v>48</v>
      </c>
      <c r="M2977" t="s">
        <v>52</v>
      </c>
      <c r="N2977" t="s">
        <v>40</v>
      </c>
      <c r="O2977">
        <v>167</v>
      </c>
      <c r="Q2977">
        <v>4</v>
      </c>
      <c r="R2977">
        <v>1</v>
      </c>
      <c r="S2977">
        <v>0</v>
      </c>
      <c r="T2977">
        <v>0</v>
      </c>
      <c r="U2977">
        <v>2</v>
      </c>
      <c r="V2977">
        <v>0</v>
      </c>
      <c r="W2977">
        <v>2</v>
      </c>
      <c r="X2977" s="21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256</v>
      </c>
      <c r="AP2977" t="s">
        <v>951</v>
      </c>
    </row>
    <row r="2978" spans="1:42">
      <c r="A2978" s="16">
        <v>43782</v>
      </c>
      <c r="B2978">
        <v>3</v>
      </c>
      <c r="C2978">
        <v>536</v>
      </c>
      <c r="D2978">
        <v>10293</v>
      </c>
      <c r="E2978" t="s">
        <v>37</v>
      </c>
      <c r="F2978" t="s">
        <v>949</v>
      </c>
      <c r="G2978">
        <v>2</v>
      </c>
      <c r="H2978">
        <v>12</v>
      </c>
      <c r="I2978" s="25">
        <v>700</v>
      </c>
      <c r="K2978" t="s">
        <v>48</v>
      </c>
      <c r="M2978" t="s">
        <v>52</v>
      </c>
      <c r="N2978" t="s">
        <v>40</v>
      </c>
      <c r="O2978">
        <v>101</v>
      </c>
      <c r="Q2978">
        <v>3</v>
      </c>
      <c r="R2978">
        <v>1</v>
      </c>
      <c r="S2978">
        <v>0</v>
      </c>
      <c r="T2978">
        <v>0</v>
      </c>
      <c r="U2978">
        <v>1</v>
      </c>
      <c r="V2978">
        <v>1</v>
      </c>
      <c r="W2978">
        <v>1</v>
      </c>
      <c r="X2978" s="21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192</v>
      </c>
      <c r="AP2978" t="s">
        <v>951</v>
      </c>
    </row>
    <row r="2979" spans="1:42">
      <c r="A2979" s="16">
        <v>43782</v>
      </c>
      <c r="B2979">
        <v>3</v>
      </c>
      <c r="C2979">
        <v>536</v>
      </c>
      <c r="D2979">
        <v>10293</v>
      </c>
      <c r="E2979" t="s">
        <v>37</v>
      </c>
      <c r="F2979" t="s">
        <v>949</v>
      </c>
      <c r="G2979">
        <v>2</v>
      </c>
      <c r="H2979">
        <v>13</v>
      </c>
      <c r="I2979" s="25">
        <v>761</v>
      </c>
      <c r="K2979" t="s">
        <v>68</v>
      </c>
      <c r="M2979" t="s">
        <v>52</v>
      </c>
      <c r="N2979" t="s">
        <v>44</v>
      </c>
      <c r="O2979">
        <v>133</v>
      </c>
      <c r="Q2979">
        <v>1</v>
      </c>
      <c r="R2979">
        <v>1</v>
      </c>
      <c r="S2979">
        <v>0</v>
      </c>
      <c r="T2979">
        <v>0</v>
      </c>
      <c r="U2979">
        <v>1</v>
      </c>
      <c r="V2979">
        <v>0</v>
      </c>
      <c r="W2979">
        <v>0</v>
      </c>
      <c r="X2979" s="21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32</v>
      </c>
      <c r="AL2979" t="s">
        <v>990</v>
      </c>
      <c r="AP2979" t="s">
        <v>951</v>
      </c>
    </row>
    <row r="2980" spans="1:42">
      <c r="A2980" s="16">
        <v>43782</v>
      </c>
      <c r="B2980">
        <v>3</v>
      </c>
      <c r="C2980">
        <v>536</v>
      </c>
      <c r="D2980">
        <v>10293</v>
      </c>
      <c r="E2980" t="s">
        <v>37</v>
      </c>
      <c r="F2980" t="s">
        <v>949</v>
      </c>
      <c r="G2980">
        <v>2</v>
      </c>
      <c r="H2980">
        <v>14</v>
      </c>
      <c r="I2980" s="25"/>
      <c r="K2980" t="s">
        <v>991</v>
      </c>
      <c r="M2980" t="s">
        <v>52</v>
      </c>
      <c r="N2980" t="s">
        <v>40</v>
      </c>
      <c r="O2980">
        <v>127</v>
      </c>
      <c r="Q2980">
        <v>4</v>
      </c>
      <c r="R2980">
        <v>1</v>
      </c>
      <c r="S2980">
        <v>0</v>
      </c>
      <c r="T2980">
        <v>0</v>
      </c>
      <c r="U2980">
        <v>2</v>
      </c>
      <c r="V2980">
        <v>1</v>
      </c>
      <c r="W2980">
        <v>1</v>
      </c>
      <c r="X2980" s="21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224</v>
      </c>
      <c r="AL2980" t="s">
        <v>992</v>
      </c>
      <c r="AP2980" t="s">
        <v>951</v>
      </c>
    </row>
    <row r="2981" spans="1:42">
      <c r="A2981" s="16">
        <v>43782</v>
      </c>
      <c r="B2981">
        <v>3</v>
      </c>
      <c r="C2981">
        <v>536</v>
      </c>
      <c r="D2981">
        <v>10293</v>
      </c>
      <c r="E2981" t="s">
        <v>37</v>
      </c>
      <c r="F2981" t="s">
        <v>949</v>
      </c>
      <c r="G2981">
        <v>2</v>
      </c>
      <c r="H2981">
        <v>15</v>
      </c>
      <c r="I2981" s="25">
        <v>700</v>
      </c>
      <c r="K2981" t="s">
        <v>68</v>
      </c>
      <c r="M2981" t="s">
        <v>52</v>
      </c>
      <c r="N2981" t="s">
        <v>40</v>
      </c>
      <c r="O2981">
        <v>110</v>
      </c>
      <c r="Q2981">
        <v>3</v>
      </c>
      <c r="R2981">
        <v>1</v>
      </c>
      <c r="S2981">
        <v>0</v>
      </c>
      <c r="T2981">
        <v>0</v>
      </c>
      <c r="U2981">
        <v>0</v>
      </c>
      <c r="V2981">
        <v>2</v>
      </c>
      <c r="W2981">
        <v>1</v>
      </c>
      <c r="X2981" s="2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224</v>
      </c>
      <c r="AP2981" t="s">
        <v>951</v>
      </c>
    </row>
    <row r="2982" spans="1:42">
      <c r="A2982" s="16">
        <v>43782</v>
      </c>
      <c r="B2982">
        <v>3</v>
      </c>
      <c r="C2982">
        <v>536</v>
      </c>
      <c r="D2982">
        <v>10293</v>
      </c>
      <c r="E2982" t="s">
        <v>37</v>
      </c>
      <c r="F2982" t="s">
        <v>949</v>
      </c>
      <c r="G2982">
        <v>2</v>
      </c>
      <c r="H2982">
        <v>16</v>
      </c>
      <c r="I2982" s="25">
        <v>600</v>
      </c>
      <c r="K2982" t="s">
        <v>68</v>
      </c>
      <c r="M2982" t="s">
        <v>52</v>
      </c>
      <c r="N2982" t="s">
        <v>42</v>
      </c>
      <c r="O2982">
        <v>519</v>
      </c>
      <c r="Q2982">
        <v>10</v>
      </c>
      <c r="R2982">
        <v>1</v>
      </c>
      <c r="S2982">
        <v>0</v>
      </c>
      <c r="T2982">
        <v>0</v>
      </c>
      <c r="U2982">
        <v>0</v>
      </c>
      <c r="V2982">
        <v>3</v>
      </c>
      <c r="W2982">
        <v>7</v>
      </c>
      <c r="X2982" s="21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864</v>
      </c>
      <c r="AL2982" t="s">
        <v>993</v>
      </c>
      <c r="AP2982" t="s">
        <v>951</v>
      </c>
    </row>
    <row r="2983" spans="1:42">
      <c r="A2983" s="16">
        <v>43782</v>
      </c>
      <c r="B2983">
        <v>3</v>
      </c>
      <c r="C2983">
        <v>536</v>
      </c>
      <c r="D2983">
        <v>10293</v>
      </c>
      <c r="E2983" t="s">
        <v>37</v>
      </c>
      <c r="F2983" t="s">
        <v>949</v>
      </c>
      <c r="G2983">
        <v>2</v>
      </c>
      <c r="H2983">
        <v>17</v>
      </c>
      <c r="I2983" s="25">
        <v>710</v>
      </c>
      <c r="K2983" t="s">
        <v>65</v>
      </c>
      <c r="M2983" t="s">
        <v>52</v>
      </c>
      <c r="N2983" t="s">
        <v>40</v>
      </c>
      <c r="O2983">
        <v>15</v>
      </c>
      <c r="Q2983">
        <v>1</v>
      </c>
      <c r="R2983">
        <v>1</v>
      </c>
      <c r="S2983">
        <v>0</v>
      </c>
      <c r="T2983">
        <v>0</v>
      </c>
      <c r="U2983">
        <v>1</v>
      </c>
      <c r="V2983">
        <v>0</v>
      </c>
      <c r="W2983">
        <v>0</v>
      </c>
      <c r="X2983" s="21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32</v>
      </c>
      <c r="AP2983" t="s">
        <v>951</v>
      </c>
    </row>
    <row r="2984" spans="1:42">
      <c r="A2984" s="16">
        <v>43782</v>
      </c>
      <c r="B2984">
        <v>3</v>
      </c>
      <c r="C2984">
        <v>536</v>
      </c>
      <c r="D2984">
        <v>10293</v>
      </c>
      <c r="E2984" t="s">
        <v>37</v>
      </c>
      <c r="F2984" t="s">
        <v>949</v>
      </c>
      <c r="G2984">
        <v>2</v>
      </c>
      <c r="H2984">
        <v>18</v>
      </c>
      <c r="I2984" s="25"/>
      <c r="K2984" t="s">
        <v>964</v>
      </c>
      <c r="M2984" t="s">
        <v>52</v>
      </c>
      <c r="N2984" t="s">
        <v>42</v>
      </c>
      <c r="O2984">
        <v>307</v>
      </c>
      <c r="Q2984">
        <v>6</v>
      </c>
      <c r="R2984">
        <v>1</v>
      </c>
      <c r="S2984">
        <v>0</v>
      </c>
      <c r="T2984">
        <v>0</v>
      </c>
      <c r="U2984">
        <v>0</v>
      </c>
      <c r="V2984">
        <v>1</v>
      </c>
      <c r="W2984">
        <v>5</v>
      </c>
      <c r="X2984" s="21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544</v>
      </c>
      <c r="AP2984" t="s">
        <v>951</v>
      </c>
    </row>
    <row r="2985" spans="1:42">
      <c r="A2985" s="16">
        <v>43782</v>
      </c>
      <c r="B2985">
        <v>3</v>
      </c>
      <c r="C2985">
        <v>536</v>
      </c>
      <c r="D2985">
        <v>10293</v>
      </c>
      <c r="E2985" t="s">
        <v>37</v>
      </c>
      <c r="F2985" t="s">
        <v>949</v>
      </c>
      <c r="G2985">
        <v>2</v>
      </c>
      <c r="H2985">
        <v>19</v>
      </c>
      <c r="I2985" s="25">
        <v>500</v>
      </c>
      <c r="K2985" t="s">
        <v>71</v>
      </c>
      <c r="M2985" t="s">
        <v>52</v>
      </c>
      <c r="N2985" t="s">
        <v>40</v>
      </c>
      <c r="O2985">
        <v>134</v>
      </c>
      <c r="Q2985">
        <v>5</v>
      </c>
      <c r="R2985">
        <v>1</v>
      </c>
      <c r="S2985">
        <v>0</v>
      </c>
      <c r="T2985">
        <v>0</v>
      </c>
      <c r="U2985">
        <v>0</v>
      </c>
      <c r="V2985">
        <v>0</v>
      </c>
      <c r="W2985">
        <v>5</v>
      </c>
      <c r="X2985" s="21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480</v>
      </c>
      <c r="AP2985" t="s">
        <v>951</v>
      </c>
    </row>
    <row r="2986" spans="1:42">
      <c r="A2986" s="16">
        <v>43782</v>
      </c>
      <c r="B2986">
        <v>3</v>
      </c>
      <c r="C2986">
        <v>536</v>
      </c>
      <c r="D2986">
        <v>10293</v>
      </c>
      <c r="E2986" t="s">
        <v>37</v>
      </c>
      <c r="F2986" t="s">
        <v>949</v>
      </c>
      <c r="G2986">
        <v>2</v>
      </c>
      <c r="H2986">
        <v>20</v>
      </c>
      <c r="I2986" s="25">
        <v>400</v>
      </c>
      <c r="K2986" t="s">
        <v>71</v>
      </c>
      <c r="M2986" t="s">
        <v>52</v>
      </c>
      <c r="N2986" t="s">
        <v>40</v>
      </c>
      <c r="O2986">
        <v>94</v>
      </c>
      <c r="Q2986">
        <v>3</v>
      </c>
      <c r="R2986">
        <v>1</v>
      </c>
      <c r="S2986">
        <v>0</v>
      </c>
      <c r="T2986">
        <v>0</v>
      </c>
      <c r="U2986">
        <v>0</v>
      </c>
      <c r="V2986">
        <v>0</v>
      </c>
      <c r="W2986">
        <v>3</v>
      </c>
      <c r="X2986" s="21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288</v>
      </c>
      <c r="AP2986" t="s">
        <v>951</v>
      </c>
    </row>
    <row r="2987" spans="1:42">
      <c r="A2987" s="16">
        <v>43782</v>
      </c>
      <c r="B2987">
        <v>3</v>
      </c>
      <c r="C2987">
        <v>536</v>
      </c>
      <c r="D2987">
        <v>10293</v>
      </c>
      <c r="E2987" t="s">
        <v>37</v>
      </c>
      <c r="F2987" t="s">
        <v>949</v>
      </c>
      <c r="G2987">
        <v>2</v>
      </c>
      <c r="H2987">
        <v>21</v>
      </c>
      <c r="I2987" s="25">
        <v>300</v>
      </c>
      <c r="K2987" t="s">
        <v>71</v>
      </c>
      <c r="M2987" t="s">
        <v>52</v>
      </c>
      <c r="N2987" t="s">
        <v>40</v>
      </c>
      <c r="O2987">
        <v>145</v>
      </c>
      <c r="Q2987">
        <v>4</v>
      </c>
      <c r="R2987">
        <v>1</v>
      </c>
      <c r="S2987">
        <v>0</v>
      </c>
      <c r="T2987">
        <v>0</v>
      </c>
      <c r="U2987">
        <v>0</v>
      </c>
      <c r="V2987">
        <v>0</v>
      </c>
      <c r="W2987">
        <v>4</v>
      </c>
      <c r="X2987" s="21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384</v>
      </c>
      <c r="AP2987" t="s">
        <v>951</v>
      </c>
    </row>
    <row r="2988" spans="1:42">
      <c r="A2988" s="16">
        <v>43782</v>
      </c>
      <c r="B2988">
        <v>3</v>
      </c>
      <c r="C2988">
        <v>536</v>
      </c>
      <c r="D2988">
        <v>10293</v>
      </c>
      <c r="E2988" t="s">
        <v>37</v>
      </c>
      <c r="F2988" t="s">
        <v>949</v>
      </c>
      <c r="G2988">
        <v>2</v>
      </c>
      <c r="H2988">
        <v>22</v>
      </c>
      <c r="I2988" s="25">
        <v>400</v>
      </c>
      <c r="K2988" t="s">
        <v>39</v>
      </c>
      <c r="M2988" t="s">
        <v>52</v>
      </c>
      <c r="N2988" t="s">
        <v>40</v>
      </c>
      <c r="O2988">
        <v>190</v>
      </c>
      <c r="Q2988">
        <v>7</v>
      </c>
      <c r="R2988">
        <v>1</v>
      </c>
      <c r="S2988">
        <v>0</v>
      </c>
      <c r="T2988">
        <v>0</v>
      </c>
      <c r="U2988">
        <v>0</v>
      </c>
      <c r="V2988">
        <v>0</v>
      </c>
      <c r="W2988">
        <v>7</v>
      </c>
      <c r="X2988" s="21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672</v>
      </c>
      <c r="AP2988" t="s">
        <v>951</v>
      </c>
    </row>
    <row r="2989" spans="1:42">
      <c r="A2989" s="16">
        <v>43782</v>
      </c>
      <c r="B2989">
        <v>3</v>
      </c>
      <c r="C2989">
        <v>536</v>
      </c>
      <c r="D2989">
        <v>10293</v>
      </c>
      <c r="E2989" t="s">
        <v>37</v>
      </c>
      <c r="F2989" t="s">
        <v>949</v>
      </c>
      <c r="G2989">
        <v>2</v>
      </c>
      <c r="H2989">
        <v>23</v>
      </c>
      <c r="I2989" s="25">
        <v>601</v>
      </c>
      <c r="K2989" t="s">
        <v>56</v>
      </c>
      <c r="M2989" t="s">
        <v>52</v>
      </c>
      <c r="N2989" t="s">
        <v>44</v>
      </c>
      <c r="O2989">
        <v>183</v>
      </c>
      <c r="Q2989">
        <v>6</v>
      </c>
      <c r="R2989">
        <v>1</v>
      </c>
      <c r="S2989">
        <v>0</v>
      </c>
      <c r="T2989">
        <v>0</v>
      </c>
      <c r="U2989">
        <v>0</v>
      </c>
      <c r="V2989">
        <v>0</v>
      </c>
      <c r="W2989">
        <v>6</v>
      </c>
      <c r="X2989" s="21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576</v>
      </c>
      <c r="AL2989" t="s">
        <v>994</v>
      </c>
      <c r="AP2989" t="s">
        <v>951</v>
      </c>
    </row>
    <row r="2990" spans="1:42">
      <c r="A2990" s="16">
        <v>43782</v>
      </c>
      <c r="B2990">
        <v>3</v>
      </c>
      <c r="C2990">
        <v>536</v>
      </c>
      <c r="D2990">
        <v>10293</v>
      </c>
      <c r="E2990" t="s">
        <v>37</v>
      </c>
      <c r="F2990" t="s">
        <v>949</v>
      </c>
      <c r="G2990">
        <v>2</v>
      </c>
      <c r="H2990">
        <v>24</v>
      </c>
      <c r="I2990" s="25">
        <v>565</v>
      </c>
      <c r="K2990" t="s">
        <v>68</v>
      </c>
      <c r="M2990" t="s">
        <v>52</v>
      </c>
      <c r="N2990" t="s">
        <v>40</v>
      </c>
      <c r="O2990">
        <v>93</v>
      </c>
      <c r="Q2990">
        <v>3</v>
      </c>
      <c r="R2990">
        <v>1</v>
      </c>
      <c r="S2990">
        <v>0</v>
      </c>
      <c r="T2990">
        <v>0</v>
      </c>
      <c r="U2990">
        <v>1</v>
      </c>
      <c r="V2990">
        <v>0</v>
      </c>
      <c r="W2990">
        <v>2</v>
      </c>
      <c r="X2990" s="21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224</v>
      </c>
      <c r="AL2990" t="s">
        <v>995</v>
      </c>
      <c r="AP2990" t="s">
        <v>951</v>
      </c>
    </row>
    <row r="2991" spans="1:42">
      <c r="A2991" s="16">
        <v>43782</v>
      </c>
      <c r="B2991">
        <v>3</v>
      </c>
      <c r="C2991">
        <v>536</v>
      </c>
      <c r="D2991">
        <v>10293</v>
      </c>
      <c r="E2991" t="s">
        <v>37</v>
      </c>
      <c r="F2991" t="s">
        <v>949</v>
      </c>
      <c r="G2991">
        <v>2</v>
      </c>
      <c r="H2991">
        <v>25</v>
      </c>
      <c r="I2991" s="25" t="s">
        <v>996</v>
      </c>
      <c r="K2991" t="s">
        <v>997</v>
      </c>
      <c r="M2991" t="s">
        <v>52</v>
      </c>
      <c r="N2991" t="s">
        <v>42</v>
      </c>
      <c r="O2991">
        <v>289</v>
      </c>
      <c r="Q2991">
        <v>11</v>
      </c>
      <c r="R2991">
        <v>1</v>
      </c>
      <c r="S2991">
        <v>0</v>
      </c>
      <c r="T2991">
        <v>0</v>
      </c>
      <c r="U2991">
        <v>0</v>
      </c>
      <c r="V2991">
        <v>1</v>
      </c>
      <c r="W2991">
        <v>10</v>
      </c>
      <c r="X2991" s="2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1024</v>
      </c>
      <c r="AL2991" t="s">
        <v>998</v>
      </c>
      <c r="AP2991" t="s">
        <v>951</v>
      </c>
    </row>
    <row r="2992" spans="1:42">
      <c r="A2992" s="16">
        <v>43782</v>
      </c>
      <c r="B2992">
        <v>3</v>
      </c>
      <c r="C2992">
        <v>536</v>
      </c>
      <c r="D2992">
        <v>10293</v>
      </c>
      <c r="E2992" t="s">
        <v>37</v>
      </c>
      <c r="F2992" t="s">
        <v>949</v>
      </c>
      <c r="G2992">
        <v>2</v>
      </c>
      <c r="H2992">
        <v>26</v>
      </c>
      <c r="I2992" s="25" t="s">
        <v>999</v>
      </c>
      <c r="K2992" t="s">
        <v>58</v>
      </c>
      <c r="M2992" t="s">
        <v>52</v>
      </c>
      <c r="N2992" t="s">
        <v>40</v>
      </c>
      <c r="O2992">
        <v>181</v>
      </c>
      <c r="Q2992">
        <v>6</v>
      </c>
      <c r="R2992">
        <v>1</v>
      </c>
      <c r="S2992">
        <v>0</v>
      </c>
      <c r="T2992">
        <v>0</v>
      </c>
      <c r="U2992">
        <v>1</v>
      </c>
      <c r="V2992">
        <v>4</v>
      </c>
      <c r="W2992">
        <v>1</v>
      </c>
      <c r="X2992" s="21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384</v>
      </c>
      <c r="AP2992" t="s">
        <v>951</v>
      </c>
    </row>
    <row r="2993" spans="1:42">
      <c r="A2993" s="16">
        <v>43782</v>
      </c>
      <c r="B2993">
        <v>3</v>
      </c>
      <c r="C2993">
        <v>536</v>
      </c>
      <c r="D2993">
        <v>10293</v>
      </c>
      <c r="E2993" t="s">
        <v>37</v>
      </c>
      <c r="F2993" t="s">
        <v>949</v>
      </c>
      <c r="G2993">
        <v>2</v>
      </c>
      <c r="H2993">
        <v>27</v>
      </c>
      <c r="I2993" s="25"/>
      <c r="K2993" t="s">
        <v>961</v>
      </c>
      <c r="M2993" t="s">
        <v>52</v>
      </c>
      <c r="N2993" t="s">
        <v>42</v>
      </c>
      <c r="O2993">
        <v>664</v>
      </c>
      <c r="Q2993">
        <v>14</v>
      </c>
      <c r="R2993">
        <v>1</v>
      </c>
      <c r="S2993">
        <v>0</v>
      </c>
      <c r="T2993">
        <v>0</v>
      </c>
      <c r="U2993">
        <v>0</v>
      </c>
      <c r="V2993">
        <v>5</v>
      </c>
      <c r="W2993">
        <v>9</v>
      </c>
      <c r="X2993" s="21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1184</v>
      </c>
      <c r="AL2993" t="s">
        <v>807</v>
      </c>
      <c r="AP2993" t="s">
        <v>951</v>
      </c>
    </row>
    <row r="2994" spans="1:42">
      <c r="A2994" s="16">
        <v>43782</v>
      </c>
      <c r="B2994">
        <v>3</v>
      </c>
      <c r="C2994">
        <v>536</v>
      </c>
      <c r="D2994">
        <v>10293</v>
      </c>
      <c r="E2994" t="s">
        <v>37</v>
      </c>
      <c r="F2994" t="s">
        <v>949</v>
      </c>
      <c r="G2994">
        <v>2</v>
      </c>
      <c r="H2994">
        <v>28</v>
      </c>
      <c r="I2994" s="25">
        <v>636</v>
      </c>
      <c r="K2994" t="s">
        <v>1000</v>
      </c>
      <c r="M2994" t="s">
        <v>52</v>
      </c>
      <c r="N2994" t="s">
        <v>44</v>
      </c>
      <c r="O2994">
        <v>90</v>
      </c>
      <c r="Q2994">
        <v>1</v>
      </c>
      <c r="R2994">
        <v>1</v>
      </c>
      <c r="S2994">
        <v>0</v>
      </c>
      <c r="T2994">
        <v>0</v>
      </c>
      <c r="U2994">
        <v>1</v>
      </c>
      <c r="V2994">
        <v>0</v>
      </c>
      <c r="W2994">
        <v>0</v>
      </c>
      <c r="X2994" s="21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32</v>
      </c>
      <c r="AP2994" t="s">
        <v>951</v>
      </c>
    </row>
    <row r="2995" spans="1:42">
      <c r="A2995" s="16">
        <v>43782</v>
      </c>
      <c r="B2995">
        <v>3</v>
      </c>
      <c r="C2995">
        <v>536</v>
      </c>
      <c r="D2995">
        <v>10293</v>
      </c>
      <c r="E2995" t="s">
        <v>37</v>
      </c>
      <c r="F2995" t="s">
        <v>949</v>
      </c>
      <c r="G2995">
        <v>2</v>
      </c>
      <c r="H2995">
        <v>29</v>
      </c>
      <c r="I2995" s="25"/>
      <c r="K2995" t="s">
        <v>958</v>
      </c>
      <c r="M2995" t="s">
        <v>52</v>
      </c>
      <c r="N2995" t="s">
        <v>42</v>
      </c>
      <c r="O2995">
        <v>127</v>
      </c>
      <c r="Q2995">
        <v>5</v>
      </c>
      <c r="R2995">
        <v>1</v>
      </c>
      <c r="S2995">
        <v>0</v>
      </c>
      <c r="T2995">
        <v>0</v>
      </c>
      <c r="U2995">
        <v>0</v>
      </c>
      <c r="V2995">
        <v>2</v>
      </c>
      <c r="W2995">
        <v>3</v>
      </c>
      <c r="X2995" s="21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416</v>
      </c>
      <c r="AL2995" t="s">
        <v>962</v>
      </c>
      <c r="AP2995" t="s">
        <v>951</v>
      </c>
    </row>
    <row r="2996" spans="1:42">
      <c r="A2996" s="16">
        <v>43782</v>
      </c>
      <c r="B2996">
        <v>3</v>
      </c>
      <c r="C2996">
        <v>536</v>
      </c>
      <c r="D2996">
        <v>10293</v>
      </c>
      <c r="E2996" t="s">
        <v>37</v>
      </c>
      <c r="F2996" t="s">
        <v>949</v>
      </c>
      <c r="G2996">
        <v>2</v>
      </c>
      <c r="H2996">
        <v>30</v>
      </c>
      <c r="I2996" s="25">
        <v>700</v>
      </c>
      <c r="K2996" t="s">
        <v>71</v>
      </c>
      <c r="M2996" t="s">
        <v>52</v>
      </c>
      <c r="N2996" t="s">
        <v>40</v>
      </c>
      <c r="O2996">
        <v>148</v>
      </c>
      <c r="Q2996">
        <v>5</v>
      </c>
      <c r="R2996">
        <v>1</v>
      </c>
      <c r="S2996">
        <v>0</v>
      </c>
      <c r="T2996">
        <v>0</v>
      </c>
      <c r="U2996">
        <v>0</v>
      </c>
      <c r="V2996">
        <v>1</v>
      </c>
      <c r="W2996">
        <v>4</v>
      </c>
      <c r="X2996" s="21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448</v>
      </c>
      <c r="AP2996" t="s">
        <v>951</v>
      </c>
    </row>
    <row r="2997" spans="1:42">
      <c r="A2997" s="16">
        <v>43782</v>
      </c>
      <c r="B2997">
        <v>3</v>
      </c>
      <c r="C2997">
        <v>536</v>
      </c>
      <c r="D2997">
        <v>10293</v>
      </c>
      <c r="E2997" t="s">
        <v>37</v>
      </c>
      <c r="F2997" t="s">
        <v>949</v>
      </c>
      <c r="G2997">
        <v>2</v>
      </c>
      <c r="H2997">
        <v>31</v>
      </c>
      <c r="I2997" s="25">
        <v>500</v>
      </c>
      <c r="K2997" t="s">
        <v>967</v>
      </c>
      <c r="M2997" t="s">
        <v>52</v>
      </c>
      <c r="N2997" t="s">
        <v>40</v>
      </c>
      <c r="O2997">
        <v>122</v>
      </c>
      <c r="Q2997">
        <v>4</v>
      </c>
      <c r="R2997">
        <v>1</v>
      </c>
      <c r="S2997">
        <v>0</v>
      </c>
      <c r="T2997">
        <v>0</v>
      </c>
      <c r="U2997">
        <v>0</v>
      </c>
      <c r="V2997">
        <v>3</v>
      </c>
      <c r="W2997">
        <v>1</v>
      </c>
      <c r="X2997" s="21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288</v>
      </c>
      <c r="AL2997" t="s">
        <v>1001</v>
      </c>
      <c r="AP2997" t="s">
        <v>951</v>
      </c>
    </row>
    <row r="2998" spans="1:42">
      <c r="A2998" s="16">
        <v>43782</v>
      </c>
      <c r="B2998">
        <v>3</v>
      </c>
      <c r="C2998">
        <v>536</v>
      </c>
      <c r="D2998">
        <v>10293</v>
      </c>
      <c r="E2998" t="s">
        <v>37</v>
      </c>
      <c r="F2998" t="s">
        <v>949</v>
      </c>
      <c r="G2998">
        <v>2</v>
      </c>
      <c r="H2998">
        <v>32</v>
      </c>
      <c r="I2998" s="25"/>
      <c r="K2998" t="s">
        <v>62</v>
      </c>
      <c r="M2998" t="s">
        <v>52</v>
      </c>
      <c r="N2998" t="s">
        <v>40</v>
      </c>
      <c r="O2998">
        <v>100</v>
      </c>
      <c r="Q2998">
        <v>3</v>
      </c>
      <c r="R2998">
        <v>1</v>
      </c>
      <c r="S2998">
        <v>0</v>
      </c>
      <c r="T2998">
        <v>0</v>
      </c>
      <c r="U2998">
        <v>0</v>
      </c>
      <c r="V2998">
        <v>1</v>
      </c>
      <c r="W2998">
        <v>2</v>
      </c>
      <c r="X2998" s="21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256</v>
      </c>
      <c r="AP2998" t="s">
        <v>951</v>
      </c>
    </row>
    <row r="2999" spans="1:42">
      <c r="A2999" s="16">
        <v>43782</v>
      </c>
      <c r="B2999">
        <v>3</v>
      </c>
      <c r="C2999">
        <v>536</v>
      </c>
      <c r="D2999">
        <v>10293</v>
      </c>
      <c r="E2999" t="s">
        <v>37</v>
      </c>
      <c r="F2999" t="s">
        <v>949</v>
      </c>
      <c r="G2999">
        <v>2</v>
      </c>
      <c r="H2999">
        <v>33</v>
      </c>
      <c r="I2999" s="25">
        <v>600</v>
      </c>
      <c r="K2999" t="s">
        <v>62</v>
      </c>
      <c r="M2999" t="s">
        <v>52</v>
      </c>
      <c r="N2999" t="s">
        <v>42</v>
      </c>
      <c r="O2999">
        <v>115</v>
      </c>
      <c r="Q2999">
        <v>2</v>
      </c>
      <c r="R2999">
        <v>1</v>
      </c>
      <c r="S2999">
        <v>0</v>
      </c>
      <c r="T2999">
        <v>0</v>
      </c>
      <c r="U2999">
        <v>0</v>
      </c>
      <c r="V2999">
        <v>1</v>
      </c>
      <c r="W2999">
        <v>1</v>
      </c>
      <c r="X2999" s="21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160</v>
      </c>
      <c r="AP2999" t="s">
        <v>951</v>
      </c>
    </row>
    <row r="3000" spans="1:42">
      <c r="A3000" s="16">
        <v>43782</v>
      </c>
      <c r="B3000">
        <v>3</v>
      </c>
      <c r="C3000">
        <v>536</v>
      </c>
      <c r="D3000">
        <v>10293</v>
      </c>
      <c r="E3000" t="s">
        <v>37</v>
      </c>
      <c r="F3000" t="s">
        <v>949</v>
      </c>
      <c r="G3000">
        <v>2</v>
      </c>
      <c r="H3000">
        <v>34</v>
      </c>
      <c r="I3000" s="25">
        <v>848</v>
      </c>
      <c r="K3000" t="s">
        <v>516</v>
      </c>
      <c r="M3000" t="s">
        <v>52</v>
      </c>
      <c r="N3000" t="s">
        <v>40</v>
      </c>
      <c r="O3000">
        <v>33</v>
      </c>
      <c r="Q3000">
        <v>1</v>
      </c>
      <c r="R3000">
        <v>1</v>
      </c>
      <c r="S3000">
        <v>0</v>
      </c>
      <c r="T3000">
        <v>0</v>
      </c>
      <c r="U3000">
        <v>1</v>
      </c>
      <c r="V3000">
        <v>0</v>
      </c>
      <c r="W3000">
        <v>0</v>
      </c>
      <c r="X3000" s="21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32</v>
      </c>
      <c r="AP3000" t="s">
        <v>951</v>
      </c>
    </row>
    <row r="3001" spans="1:42">
      <c r="A3001" s="16">
        <v>43782</v>
      </c>
      <c r="B3001">
        <v>3</v>
      </c>
      <c r="C3001">
        <v>536</v>
      </c>
      <c r="D3001">
        <v>10293</v>
      </c>
      <c r="E3001" t="s">
        <v>37</v>
      </c>
      <c r="F3001" t="s">
        <v>949</v>
      </c>
      <c r="G3001">
        <v>2</v>
      </c>
      <c r="H3001">
        <v>35</v>
      </c>
      <c r="I3001" s="25">
        <v>700</v>
      </c>
      <c r="K3001" t="s">
        <v>647</v>
      </c>
      <c r="M3001" t="s">
        <v>52</v>
      </c>
      <c r="N3001" t="s">
        <v>42</v>
      </c>
      <c r="O3001">
        <v>390</v>
      </c>
      <c r="Q3001">
        <v>5</v>
      </c>
      <c r="R3001">
        <v>1</v>
      </c>
      <c r="S3001">
        <v>0</v>
      </c>
      <c r="T3001">
        <v>0</v>
      </c>
      <c r="U3001">
        <v>2</v>
      </c>
      <c r="V3001">
        <v>2</v>
      </c>
      <c r="W3001">
        <v>1</v>
      </c>
      <c r="X3001" s="2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288</v>
      </c>
      <c r="AL3001" t="s">
        <v>1002</v>
      </c>
      <c r="AP3001" t="s">
        <v>951</v>
      </c>
    </row>
    <row r="3002" spans="1:42">
      <c r="A3002" s="16">
        <v>43782</v>
      </c>
      <c r="B3002">
        <v>3</v>
      </c>
      <c r="C3002">
        <v>536</v>
      </c>
      <c r="D3002">
        <v>10293</v>
      </c>
      <c r="E3002" t="s">
        <v>37</v>
      </c>
      <c r="F3002" t="s">
        <v>949</v>
      </c>
      <c r="G3002">
        <v>2</v>
      </c>
      <c r="H3002">
        <v>36</v>
      </c>
      <c r="I3002" s="25">
        <v>600</v>
      </c>
      <c r="K3002" t="s">
        <v>647</v>
      </c>
      <c r="M3002" t="s">
        <v>52</v>
      </c>
      <c r="N3002" t="s">
        <v>42</v>
      </c>
      <c r="O3002">
        <v>299</v>
      </c>
      <c r="Q3002">
        <v>7</v>
      </c>
      <c r="R3002">
        <v>1</v>
      </c>
      <c r="S3002">
        <v>0</v>
      </c>
      <c r="T3002">
        <v>0</v>
      </c>
      <c r="U3002">
        <v>2</v>
      </c>
      <c r="V3002">
        <v>2</v>
      </c>
      <c r="W3002">
        <v>3</v>
      </c>
      <c r="X3002" s="21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480</v>
      </c>
      <c r="AP3002" t="s">
        <v>951</v>
      </c>
    </row>
    <row r="3003" spans="1:42">
      <c r="A3003" s="16">
        <v>43782</v>
      </c>
      <c r="B3003">
        <v>3</v>
      </c>
      <c r="C3003">
        <v>536</v>
      </c>
      <c r="D3003">
        <v>10293</v>
      </c>
      <c r="E3003" t="s">
        <v>37</v>
      </c>
      <c r="F3003" t="s">
        <v>949</v>
      </c>
      <c r="G3003">
        <v>2</v>
      </c>
      <c r="H3003">
        <v>37</v>
      </c>
      <c r="I3003" s="25">
        <v>900</v>
      </c>
      <c r="K3003" t="s">
        <v>48</v>
      </c>
      <c r="M3003" t="s">
        <v>52</v>
      </c>
      <c r="N3003" t="s">
        <v>40</v>
      </c>
      <c r="O3003">
        <v>277</v>
      </c>
      <c r="Q3003">
        <v>6</v>
      </c>
      <c r="R3003">
        <v>1</v>
      </c>
      <c r="S3003">
        <v>0</v>
      </c>
      <c r="T3003">
        <v>0</v>
      </c>
      <c r="U3003">
        <v>5</v>
      </c>
      <c r="V3003">
        <v>0</v>
      </c>
      <c r="W3003">
        <v>1</v>
      </c>
      <c r="X3003" s="21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256</v>
      </c>
      <c r="AP3003" t="s">
        <v>951</v>
      </c>
    </row>
    <row r="3004" spans="1:42">
      <c r="A3004" s="16">
        <v>43782</v>
      </c>
      <c r="B3004">
        <v>3</v>
      </c>
      <c r="C3004">
        <v>536</v>
      </c>
      <c r="D3004">
        <v>10293</v>
      </c>
      <c r="E3004" t="s">
        <v>37</v>
      </c>
      <c r="F3004" t="s">
        <v>949</v>
      </c>
      <c r="G3004">
        <v>2</v>
      </c>
      <c r="H3004">
        <v>38</v>
      </c>
      <c r="I3004" s="25"/>
      <c r="K3004" t="s">
        <v>1003</v>
      </c>
      <c r="M3004" t="s">
        <v>52</v>
      </c>
      <c r="N3004" t="s">
        <v>40</v>
      </c>
      <c r="O3004">
        <v>131</v>
      </c>
      <c r="Q3004">
        <v>3</v>
      </c>
      <c r="R3004">
        <v>1</v>
      </c>
      <c r="S3004">
        <v>0</v>
      </c>
      <c r="T3004">
        <v>0</v>
      </c>
      <c r="U3004">
        <v>2</v>
      </c>
      <c r="V3004">
        <v>1</v>
      </c>
      <c r="W3004">
        <v>0</v>
      </c>
      <c r="X3004" s="21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160</v>
      </c>
      <c r="AL3004" t="s">
        <v>1004</v>
      </c>
      <c r="AP3004" t="s">
        <v>951</v>
      </c>
    </row>
    <row r="3005" spans="1:42">
      <c r="A3005" s="16">
        <v>43782</v>
      </c>
      <c r="B3005">
        <v>3</v>
      </c>
      <c r="C3005">
        <v>536</v>
      </c>
      <c r="D3005">
        <v>10293</v>
      </c>
      <c r="E3005" t="s">
        <v>37</v>
      </c>
      <c r="F3005" t="s">
        <v>949</v>
      </c>
      <c r="G3005">
        <v>2</v>
      </c>
      <c r="H3005">
        <v>39</v>
      </c>
      <c r="I3005" s="25"/>
      <c r="K3005" t="s">
        <v>1005</v>
      </c>
      <c r="M3005" t="s">
        <v>52</v>
      </c>
      <c r="N3005" t="s">
        <v>42</v>
      </c>
      <c r="O3005">
        <v>131</v>
      </c>
      <c r="Q3005">
        <v>2</v>
      </c>
      <c r="R3005">
        <v>1</v>
      </c>
      <c r="S3005">
        <v>0</v>
      </c>
      <c r="T3005">
        <v>0</v>
      </c>
      <c r="U3005">
        <v>0</v>
      </c>
      <c r="V3005">
        <v>1</v>
      </c>
      <c r="W3005">
        <v>1</v>
      </c>
      <c r="X3005" s="21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160</v>
      </c>
      <c r="AL3005" t="s">
        <v>1006</v>
      </c>
      <c r="AP3005" t="s">
        <v>951</v>
      </c>
    </row>
    <row r="3006" spans="1:42">
      <c r="A3006" s="16">
        <v>43782</v>
      </c>
      <c r="B3006">
        <v>3</v>
      </c>
      <c r="C3006">
        <v>536</v>
      </c>
      <c r="D3006">
        <v>10293</v>
      </c>
      <c r="E3006" t="s">
        <v>37</v>
      </c>
      <c r="F3006" t="s">
        <v>949</v>
      </c>
      <c r="G3006">
        <v>2</v>
      </c>
      <c r="H3006">
        <v>40</v>
      </c>
      <c r="I3006" s="25" t="s">
        <v>1007</v>
      </c>
      <c r="K3006" t="s">
        <v>68</v>
      </c>
      <c r="M3006" t="s">
        <v>52</v>
      </c>
      <c r="N3006" t="s">
        <v>40</v>
      </c>
      <c r="O3006">
        <v>90</v>
      </c>
      <c r="Q3006">
        <v>3</v>
      </c>
      <c r="R3006">
        <v>1</v>
      </c>
      <c r="S3006">
        <v>0</v>
      </c>
      <c r="T3006">
        <v>0</v>
      </c>
      <c r="U3006">
        <v>0</v>
      </c>
      <c r="V3006">
        <v>0</v>
      </c>
      <c r="W3006">
        <v>3</v>
      </c>
      <c r="X3006" s="21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288</v>
      </c>
      <c r="AP3006" t="s">
        <v>951</v>
      </c>
    </row>
    <row r="3007" spans="1:42">
      <c r="A3007" s="16">
        <v>43782</v>
      </c>
      <c r="B3007">
        <v>3</v>
      </c>
      <c r="C3007">
        <v>536</v>
      </c>
      <c r="D3007">
        <v>10293</v>
      </c>
      <c r="E3007" t="s">
        <v>37</v>
      </c>
      <c r="F3007" t="s">
        <v>949</v>
      </c>
      <c r="G3007">
        <v>2</v>
      </c>
      <c r="H3007">
        <v>41</v>
      </c>
      <c r="I3007" s="25">
        <v>800</v>
      </c>
      <c r="K3007" t="s">
        <v>68</v>
      </c>
      <c r="M3007" t="s">
        <v>52</v>
      </c>
      <c r="N3007" t="s">
        <v>42</v>
      </c>
      <c r="O3007">
        <v>231</v>
      </c>
      <c r="Q3007">
        <v>9</v>
      </c>
      <c r="R3007">
        <v>1</v>
      </c>
      <c r="S3007">
        <v>0</v>
      </c>
      <c r="T3007">
        <v>0</v>
      </c>
      <c r="U3007">
        <v>5</v>
      </c>
      <c r="V3007">
        <v>2</v>
      </c>
      <c r="W3007">
        <v>2</v>
      </c>
      <c r="X3007" s="21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480</v>
      </c>
      <c r="AP3007" t="s">
        <v>951</v>
      </c>
    </row>
    <row r="3008" spans="1:42">
      <c r="A3008" s="16">
        <v>43782</v>
      </c>
      <c r="B3008">
        <v>3</v>
      </c>
      <c r="C3008">
        <v>536</v>
      </c>
      <c r="D3008">
        <v>10293</v>
      </c>
      <c r="E3008" t="s">
        <v>37</v>
      </c>
      <c r="F3008" t="s">
        <v>949</v>
      </c>
      <c r="G3008">
        <v>2</v>
      </c>
      <c r="H3008">
        <v>42</v>
      </c>
      <c r="I3008" s="25">
        <v>800</v>
      </c>
      <c r="K3008" t="s">
        <v>48</v>
      </c>
      <c r="M3008" t="s">
        <v>52</v>
      </c>
      <c r="N3008" t="s">
        <v>40</v>
      </c>
      <c r="O3008">
        <v>166</v>
      </c>
      <c r="Q3008">
        <v>5</v>
      </c>
      <c r="R3008">
        <v>1</v>
      </c>
      <c r="S3008">
        <v>0</v>
      </c>
      <c r="T3008">
        <v>0</v>
      </c>
      <c r="U3008">
        <v>4</v>
      </c>
      <c r="V3008">
        <v>1</v>
      </c>
      <c r="W3008">
        <v>0</v>
      </c>
      <c r="X3008" s="21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192</v>
      </c>
      <c r="AP3008" t="s">
        <v>951</v>
      </c>
    </row>
    <row r="3009" spans="1:42">
      <c r="A3009" s="16">
        <v>43782</v>
      </c>
      <c r="B3009">
        <v>3</v>
      </c>
      <c r="C3009">
        <v>536</v>
      </c>
      <c r="D3009">
        <v>10293</v>
      </c>
      <c r="E3009" t="s">
        <v>37</v>
      </c>
      <c r="F3009" t="s">
        <v>949</v>
      </c>
      <c r="G3009">
        <v>2</v>
      </c>
      <c r="H3009">
        <v>43</v>
      </c>
      <c r="I3009" s="25">
        <v>100</v>
      </c>
      <c r="K3009" t="s">
        <v>984</v>
      </c>
      <c r="M3009" t="s">
        <v>52</v>
      </c>
      <c r="N3009" t="s">
        <v>42</v>
      </c>
      <c r="O3009">
        <v>231</v>
      </c>
      <c r="Q3009">
        <v>4</v>
      </c>
      <c r="R3009">
        <v>1</v>
      </c>
      <c r="S3009">
        <v>0</v>
      </c>
      <c r="T3009">
        <v>0</v>
      </c>
      <c r="U3009">
        <v>4</v>
      </c>
      <c r="V3009">
        <v>0</v>
      </c>
      <c r="W3009">
        <v>0</v>
      </c>
      <c r="X3009" s="21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128</v>
      </c>
      <c r="AP3009" t="s">
        <v>951</v>
      </c>
    </row>
    <row r="3010" spans="1:42">
      <c r="A3010" s="16">
        <v>43782</v>
      </c>
      <c r="B3010">
        <v>3</v>
      </c>
      <c r="C3010">
        <v>536</v>
      </c>
      <c r="D3010">
        <v>10293</v>
      </c>
      <c r="E3010" t="s">
        <v>37</v>
      </c>
      <c r="F3010" t="s">
        <v>949</v>
      </c>
      <c r="G3010">
        <v>2</v>
      </c>
      <c r="H3010">
        <v>44</v>
      </c>
      <c r="I3010" s="25">
        <v>0</v>
      </c>
      <c r="K3010" t="s">
        <v>984</v>
      </c>
      <c r="M3010" t="s">
        <v>52</v>
      </c>
      <c r="N3010" t="s">
        <v>40</v>
      </c>
      <c r="O3010">
        <v>280</v>
      </c>
      <c r="Q3010">
        <v>8</v>
      </c>
      <c r="R3010">
        <v>1</v>
      </c>
      <c r="S3010">
        <v>0</v>
      </c>
      <c r="T3010">
        <v>0</v>
      </c>
      <c r="U3010">
        <v>4</v>
      </c>
      <c r="V3010">
        <v>1</v>
      </c>
      <c r="W3010">
        <v>3</v>
      </c>
      <c r="X3010" s="21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480</v>
      </c>
      <c r="AP3010" t="s">
        <v>951</v>
      </c>
    </row>
    <row r="3011" spans="1:42">
      <c r="A3011" s="16">
        <v>43782</v>
      </c>
      <c r="B3011">
        <v>3</v>
      </c>
      <c r="C3011">
        <v>536</v>
      </c>
      <c r="D3011">
        <v>10293</v>
      </c>
      <c r="E3011" t="s">
        <v>37</v>
      </c>
      <c r="F3011" t="s">
        <v>949</v>
      </c>
      <c r="G3011">
        <v>2</v>
      </c>
      <c r="H3011">
        <v>45</v>
      </c>
      <c r="I3011" s="25">
        <v>220</v>
      </c>
      <c r="K3011" t="s">
        <v>58</v>
      </c>
      <c r="M3011" t="s">
        <v>52</v>
      </c>
      <c r="N3011" t="s">
        <v>40</v>
      </c>
      <c r="O3011">
        <v>62</v>
      </c>
      <c r="Q3011">
        <v>2</v>
      </c>
      <c r="R3011">
        <v>1</v>
      </c>
      <c r="S3011">
        <v>0</v>
      </c>
      <c r="T3011">
        <v>0</v>
      </c>
      <c r="U3011">
        <v>0</v>
      </c>
      <c r="V3011">
        <v>0</v>
      </c>
      <c r="W3011">
        <v>2</v>
      </c>
      <c r="X3011" s="2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192</v>
      </c>
      <c r="AP3011" t="s">
        <v>951</v>
      </c>
    </row>
    <row r="3012" spans="1:42">
      <c r="A3012" s="16">
        <v>43782</v>
      </c>
      <c r="B3012">
        <v>3</v>
      </c>
      <c r="C3012">
        <v>536</v>
      </c>
      <c r="D3012">
        <v>10293</v>
      </c>
      <c r="E3012" t="s">
        <v>37</v>
      </c>
      <c r="F3012" t="s">
        <v>949</v>
      </c>
      <c r="G3012">
        <v>2</v>
      </c>
      <c r="H3012">
        <v>46</v>
      </c>
      <c r="I3012" s="25">
        <v>351</v>
      </c>
      <c r="K3012" t="s">
        <v>56</v>
      </c>
      <c r="M3012" t="s">
        <v>52</v>
      </c>
      <c r="N3012" t="s">
        <v>40</v>
      </c>
      <c r="O3012">
        <v>117</v>
      </c>
      <c r="Q3012">
        <v>4</v>
      </c>
      <c r="R3012">
        <v>1</v>
      </c>
      <c r="S3012">
        <v>0</v>
      </c>
      <c r="T3012">
        <v>0</v>
      </c>
      <c r="U3012">
        <v>0</v>
      </c>
      <c r="V3012">
        <v>0</v>
      </c>
      <c r="W3012">
        <v>4</v>
      </c>
      <c r="X3012" s="21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384</v>
      </c>
      <c r="AP3012" t="s">
        <v>951</v>
      </c>
    </row>
    <row r="3013" spans="1:42">
      <c r="A3013" s="16">
        <v>43782</v>
      </c>
      <c r="B3013">
        <v>3</v>
      </c>
      <c r="C3013">
        <v>536</v>
      </c>
      <c r="D3013">
        <v>10293</v>
      </c>
      <c r="E3013" t="s">
        <v>37</v>
      </c>
      <c r="F3013" t="s">
        <v>949</v>
      </c>
      <c r="G3013">
        <v>2</v>
      </c>
      <c r="H3013">
        <v>47</v>
      </c>
      <c r="I3013" s="25">
        <v>100</v>
      </c>
      <c r="K3013" s="21" t="s">
        <v>1008</v>
      </c>
      <c r="M3013" t="s">
        <v>52</v>
      </c>
      <c r="N3013" t="s">
        <v>40</v>
      </c>
      <c r="O3013">
        <v>403</v>
      </c>
      <c r="Q3013">
        <v>15</v>
      </c>
      <c r="R3013">
        <v>1</v>
      </c>
      <c r="S3013">
        <v>0</v>
      </c>
      <c r="T3013">
        <v>0</v>
      </c>
      <c r="U3013">
        <v>0</v>
      </c>
      <c r="V3013">
        <v>1</v>
      </c>
      <c r="W3013">
        <v>14</v>
      </c>
      <c r="X3013" s="21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1408</v>
      </c>
      <c r="AP3013" t="s">
        <v>951</v>
      </c>
    </row>
    <row r="3014" spans="1:42">
      <c r="A3014" s="16">
        <v>43782</v>
      </c>
      <c r="B3014">
        <v>3</v>
      </c>
      <c r="C3014">
        <v>536</v>
      </c>
      <c r="D3014">
        <v>10293</v>
      </c>
      <c r="E3014" t="s">
        <v>37</v>
      </c>
      <c r="F3014" t="s">
        <v>949</v>
      </c>
      <c r="G3014">
        <v>2</v>
      </c>
      <c r="H3014">
        <v>48</v>
      </c>
      <c r="I3014" s="25">
        <v>150</v>
      </c>
      <c r="K3014" t="s">
        <v>56</v>
      </c>
      <c r="M3014" t="s">
        <v>52</v>
      </c>
      <c r="N3014" t="s">
        <v>40</v>
      </c>
      <c r="O3014">
        <v>67</v>
      </c>
      <c r="Q3014">
        <v>1</v>
      </c>
      <c r="R3014">
        <v>1</v>
      </c>
      <c r="S3014">
        <v>0</v>
      </c>
      <c r="T3014">
        <v>0</v>
      </c>
      <c r="U3014">
        <v>0</v>
      </c>
      <c r="V3014">
        <v>0</v>
      </c>
      <c r="W3014">
        <v>0</v>
      </c>
      <c r="X3014" s="21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L3014" t="s">
        <v>1009</v>
      </c>
      <c r="AP3014" t="s">
        <v>951</v>
      </c>
    </row>
    <row r="3015" spans="1:42">
      <c r="A3015" s="16">
        <v>43782</v>
      </c>
      <c r="B3015">
        <v>3</v>
      </c>
      <c r="C3015">
        <v>536</v>
      </c>
      <c r="D3015">
        <v>10293</v>
      </c>
      <c r="E3015" t="s">
        <v>37</v>
      </c>
      <c r="F3015" t="s">
        <v>949</v>
      </c>
      <c r="G3015">
        <v>2</v>
      </c>
      <c r="H3015">
        <v>49</v>
      </c>
      <c r="I3015" s="25" t="s">
        <v>1010</v>
      </c>
      <c r="K3015" t="s">
        <v>56</v>
      </c>
      <c r="M3015" t="s">
        <v>52</v>
      </c>
      <c r="N3015" t="s">
        <v>40</v>
      </c>
      <c r="O3015">
        <v>225</v>
      </c>
      <c r="Q3015">
        <v>8</v>
      </c>
      <c r="R3015">
        <v>1</v>
      </c>
      <c r="S3015">
        <v>0</v>
      </c>
      <c r="T3015">
        <v>0</v>
      </c>
      <c r="U3015">
        <v>0</v>
      </c>
      <c r="V3015">
        <v>0</v>
      </c>
      <c r="W3015">
        <v>8</v>
      </c>
      <c r="X3015" s="21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768</v>
      </c>
      <c r="AL3015" t="s">
        <v>1011</v>
      </c>
      <c r="AP3015" t="s">
        <v>951</v>
      </c>
    </row>
    <row r="3016" spans="1:42">
      <c r="A3016" s="16">
        <v>43782</v>
      </c>
      <c r="B3016">
        <v>3</v>
      </c>
      <c r="C3016">
        <v>536</v>
      </c>
      <c r="D3016">
        <v>10293</v>
      </c>
      <c r="E3016" t="s">
        <v>37</v>
      </c>
      <c r="F3016" t="s">
        <v>949</v>
      </c>
      <c r="G3016">
        <v>2</v>
      </c>
      <c r="H3016">
        <v>50</v>
      </c>
      <c r="I3016" s="25">
        <v>22</v>
      </c>
      <c r="K3016" t="s">
        <v>60</v>
      </c>
      <c r="M3016" t="s">
        <v>52</v>
      </c>
      <c r="N3016" t="s">
        <v>40</v>
      </c>
      <c r="O3016">
        <v>128</v>
      </c>
      <c r="Q3016">
        <v>4</v>
      </c>
      <c r="R3016">
        <v>1</v>
      </c>
      <c r="S3016">
        <v>0</v>
      </c>
      <c r="T3016">
        <v>0</v>
      </c>
      <c r="U3016">
        <v>1</v>
      </c>
      <c r="V3016">
        <v>0</v>
      </c>
      <c r="W3016">
        <v>3</v>
      </c>
      <c r="X3016" s="21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320</v>
      </c>
      <c r="AP3016" t="s">
        <v>951</v>
      </c>
    </row>
    <row r="3017" spans="1:42">
      <c r="A3017" s="16">
        <v>43782</v>
      </c>
      <c r="B3017">
        <v>3</v>
      </c>
      <c r="C3017">
        <v>536</v>
      </c>
      <c r="D3017">
        <v>10293</v>
      </c>
      <c r="E3017" t="s">
        <v>37</v>
      </c>
      <c r="F3017" t="s">
        <v>949</v>
      </c>
      <c r="G3017">
        <v>2</v>
      </c>
      <c r="H3017">
        <v>51</v>
      </c>
      <c r="I3017" s="25"/>
      <c r="K3017" t="s">
        <v>69</v>
      </c>
      <c r="M3017" t="s">
        <v>52</v>
      </c>
      <c r="N3017" t="s">
        <v>42</v>
      </c>
      <c r="O3017">
        <v>243</v>
      </c>
      <c r="Q3017">
        <v>6</v>
      </c>
      <c r="R3017">
        <v>1</v>
      </c>
      <c r="S3017">
        <v>0</v>
      </c>
      <c r="T3017">
        <v>0</v>
      </c>
      <c r="U3017">
        <v>0</v>
      </c>
      <c r="V3017">
        <v>0</v>
      </c>
      <c r="W3017">
        <v>6</v>
      </c>
      <c r="X3017" s="21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576</v>
      </c>
      <c r="AL3017" t="s">
        <v>1012</v>
      </c>
      <c r="AP3017" t="s">
        <v>951</v>
      </c>
    </row>
    <row r="3018" spans="1:42">
      <c r="A3018" s="16">
        <v>43782</v>
      </c>
      <c r="B3018">
        <v>3</v>
      </c>
      <c r="C3018">
        <v>536</v>
      </c>
      <c r="D3018">
        <v>10293</v>
      </c>
      <c r="E3018" t="s">
        <v>37</v>
      </c>
      <c r="F3018" t="s">
        <v>949</v>
      </c>
      <c r="G3018">
        <v>2</v>
      </c>
      <c r="H3018">
        <v>52</v>
      </c>
      <c r="I3018" s="25">
        <v>201</v>
      </c>
      <c r="K3018" t="s">
        <v>56</v>
      </c>
      <c r="M3018" t="s">
        <v>52</v>
      </c>
      <c r="N3018" t="s">
        <v>40</v>
      </c>
      <c r="O3018">
        <v>170</v>
      </c>
      <c r="Q3018">
        <v>7</v>
      </c>
      <c r="R3018">
        <v>1</v>
      </c>
      <c r="S3018">
        <v>0</v>
      </c>
      <c r="T3018">
        <v>0</v>
      </c>
      <c r="U3018">
        <v>0</v>
      </c>
      <c r="V3018">
        <v>0</v>
      </c>
      <c r="W3018">
        <v>7</v>
      </c>
      <c r="X3018" s="21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672</v>
      </c>
      <c r="AL3018" t="s">
        <v>1013</v>
      </c>
      <c r="AP3018" t="s">
        <v>951</v>
      </c>
    </row>
    <row r="3019" spans="1:42">
      <c r="A3019" s="16">
        <v>43782</v>
      </c>
      <c r="B3019">
        <v>3</v>
      </c>
      <c r="C3019">
        <v>536</v>
      </c>
      <c r="D3019">
        <v>10293</v>
      </c>
      <c r="E3019" t="s">
        <v>37</v>
      </c>
      <c r="F3019" t="s">
        <v>949</v>
      </c>
      <c r="G3019">
        <v>2</v>
      </c>
      <c r="H3019">
        <v>53</v>
      </c>
      <c r="I3019" s="25">
        <v>200</v>
      </c>
      <c r="K3019" t="s">
        <v>61</v>
      </c>
      <c r="M3019" t="s">
        <v>52</v>
      </c>
      <c r="N3019" t="s">
        <v>42</v>
      </c>
      <c r="O3019">
        <v>323</v>
      </c>
      <c r="Q3019">
        <v>9</v>
      </c>
      <c r="R3019">
        <v>1</v>
      </c>
      <c r="S3019">
        <v>0</v>
      </c>
      <c r="T3019">
        <v>0</v>
      </c>
      <c r="U3019">
        <v>0</v>
      </c>
      <c r="V3019">
        <v>2</v>
      </c>
      <c r="W3019">
        <v>7</v>
      </c>
      <c r="X3019" s="21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800</v>
      </c>
      <c r="AL3019" t="s">
        <v>1014</v>
      </c>
      <c r="AP3019" t="s">
        <v>951</v>
      </c>
    </row>
    <row r="3020" spans="1:42">
      <c r="A3020" s="16">
        <v>43791</v>
      </c>
      <c r="B3020">
        <v>5</v>
      </c>
      <c r="C3020">
        <v>983</v>
      </c>
      <c r="D3020">
        <v>102424</v>
      </c>
      <c r="E3020" t="s">
        <v>37</v>
      </c>
      <c r="F3020" t="s">
        <v>949</v>
      </c>
      <c r="G3020">
        <v>2</v>
      </c>
      <c r="H3020">
        <v>1</v>
      </c>
      <c r="I3020" s="25">
        <v>135</v>
      </c>
      <c r="K3020" t="s">
        <v>415</v>
      </c>
      <c r="M3020" t="s">
        <v>52</v>
      </c>
      <c r="N3020" t="s">
        <v>44</v>
      </c>
      <c r="O3020">
        <v>123</v>
      </c>
      <c r="Q3020">
        <v>5</v>
      </c>
      <c r="R3020">
        <v>1</v>
      </c>
      <c r="S3020">
        <v>0</v>
      </c>
      <c r="T3020">
        <v>0</v>
      </c>
      <c r="U3020">
        <v>0</v>
      </c>
      <c r="V3020">
        <v>4</v>
      </c>
      <c r="W3020">
        <v>1</v>
      </c>
      <c r="X3020" s="21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f>4*64+1*96</f>
        <v>352</v>
      </c>
      <c r="AJ3020" t="s">
        <v>51</v>
      </c>
      <c r="AK3020" t="s">
        <v>95</v>
      </c>
      <c r="AP3020" t="s">
        <v>951</v>
      </c>
    </row>
    <row r="3021" spans="1:42">
      <c r="A3021" s="16">
        <v>43791</v>
      </c>
      <c r="B3021">
        <v>5</v>
      </c>
      <c r="C3021">
        <v>983</v>
      </c>
      <c r="D3021">
        <v>102424</v>
      </c>
      <c r="E3021" t="s">
        <v>37</v>
      </c>
      <c r="F3021" t="s">
        <v>949</v>
      </c>
      <c r="G3021">
        <v>2</v>
      </c>
      <c r="H3021">
        <v>2</v>
      </c>
      <c r="I3021" s="25"/>
      <c r="K3021" t="s">
        <v>431</v>
      </c>
      <c r="M3021" t="s">
        <v>52</v>
      </c>
      <c r="N3021" t="s">
        <v>40</v>
      </c>
      <c r="O3021">
        <v>19</v>
      </c>
      <c r="Q3021">
        <v>1</v>
      </c>
      <c r="R3021">
        <v>1</v>
      </c>
      <c r="S3021">
        <v>0</v>
      </c>
      <c r="T3021">
        <v>0</v>
      </c>
      <c r="U3021">
        <v>0</v>
      </c>
      <c r="V3021">
        <v>0</v>
      </c>
      <c r="W3021">
        <v>1</v>
      </c>
      <c r="X3021" s="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96</v>
      </c>
      <c r="AJ3021" t="s">
        <v>51</v>
      </c>
      <c r="AK3021" t="s">
        <v>95</v>
      </c>
      <c r="AL3021" t="s">
        <v>1015</v>
      </c>
      <c r="AP3021" t="s">
        <v>951</v>
      </c>
    </row>
    <row r="3022" spans="1:42">
      <c r="A3022" s="16">
        <v>43791</v>
      </c>
      <c r="B3022">
        <v>5</v>
      </c>
      <c r="C3022">
        <v>983</v>
      </c>
      <c r="D3022">
        <v>102424</v>
      </c>
      <c r="E3022" t="s">
        <v>37</v>
      </c>
      <c r="F3022" t="s">
        <v>949</v>
      </c>
      <c r="G3022">
        <v>2</v>
      </c>
      <c r="H3022">
        <v>3</v>
      </c>
      <c r="I3022" s="25" t="s">
        <v>1016</v>
      </c>
      <c r="K3022" t="s">
        <v>1017</v>
      </c>
      <c r="M3022" t="s">
        <v>52</v>
      </c>
      <c r="N3022" t="s">
        <v>44</v>
      </c>
      <c r="O3022">
        <v>293</v>
      </c>
      <c r="Q3022">
        <v>5</v>
      </c>
      <c r="R3022">
        <v>1</v>
      </c>
      <c r="S3022">
        <v>0</v>
      </c>
      <c r="T3022">
        <v>0</v>
      </c>
      <c r="U3022">
        <v>0</v>
      </c>
      <c r="V3022">
        <v>0</v>
      </c>
      <c r="W3022">
        <v>5</v>
      </c>
      <c r="X3022" s="21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480</v>
      </c>
      <c r="AJ3022" t="s">
        <v>51</v>
      </c>
      <c r="AK3022" t="s">
        <v>52</v>
      </c>
      <c r="AL3022" t="s">
        <v>1018</v>
      </c>
      <c r="AP3022" t="s">
        <v>951</v>
      </c>
    </row>
    <row r="3023" spans="1:42">
      <c r="A3023" s="16">
        <v>43791</v>
      </c>
      <c r="B3023">
        <v>5</v>
      </c>
      <c r="C3023">
        <v>983</v>
      </c>
      <c r="D3023">
        <v>102424</v>
      </c>
      <c r="E3023" t="s">
        <v>37</v>
      </c>
      <c r="F3023" t="s">
        <v>949</v>
      </c>
      <c r="G3023">
        <v>2</v>
      </c>
      <c r="H3023">
        <v>4</v>
      </c>
      <c r="I3023" s="25"/>
      <c r="K3023" t="s">
        <v>1017</v>
      </c>
      <c r="M3023" t="s">
        <v>52</v>
      </c>
      <c r="N3023" t="s">
        <v>40</v>
      </c>
      <c r="O3023">
        <v>86</v>
      </c>
      <c r="Q3023">
        <v>2</v>
      </c>
      <c r="R3023">
        <v>1</v>
      </c>
      <c r="S3023">
        <v>0</v>
      </c>
      <c r="T3023">
        <v>0</v>
      </c>
      <c r="U3023">
        <v>0</v>
      </c>
      <c r="V3023">
        <v>0</v>
      </c>
      <c r="W3023">
        <v>2</v>
      </c>
      <c r="X3023" s="21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192</v>
      </c>
      <c r="AJ3023" t="s">
        <v>51</v>
      </c>
      <c r="AK3023" t="s">
        <v>52</v>
      </c>
      <c r="AP3023" t="s">
        <v>951</v>
      </c>
    </row>
    <row r="3024" spans="1:42">
      <c r="A3024" s="16">
        <v>43791</v>
      </c>
      <c r="B3024">
        <v>5</v>
      </c>
      <c r="C3024">
        <v>983</v>
      </c>
      <c r="D3024">
        <v>102424</v>
      </c>
      <c r="E3024" t="s">
        <v>37</v>
      </c>
      <c r="F3024" t="s">
        <v>949</v>
      </c>
      <c r="G3024">
        <v>2</v>
      </c>
      <c r="H3024">
        <v>5</v>
      </c>
      <c r="I3024" s="25">
        <v>725</v>
      </c>
      <c r="K3024" t="s">
        <v>415</v>
      </c>
      <c r="M3024" t="s">
        <v>52</v>
      </c>
      <c r="N3024" t="s">
        <v>44</v>
      </c>
      <c r="O3024">
        <v>208</v>
      </c>
      <c r="Q3024">
        <v>2</v>
      </c>
      <c r="R3024">
        <v>1</v>
      </c>
      <c r="S3024">
        <v>0</v>
      </c>
      <c r="T3024">
        <v>0</v>
      </c>
      <c r="U3024">
        <v>0</v>
      </c>
      <c r="V3024">
        <v>0</v>
      </c>
      <c r="W3024">
        <v>2</v>
      </c>
      <c r="X3024" s="21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192</v>
      </c>
      <c r="AJ3024" t="s">
        <v>51</v>
      </c>
      <c r="AK3024" t="s">
        <v>95</v>
      </c>
      <c r="AL3024" t="s">
        <v>1019</v>
      </c>
      <c r="AP3024" t="s">
        <v>951</v>
      </c>
    </row>
    <row r="3025" spans="1:42">
      <c r="A3025" s="16">
        <v>43791</v>
      </c>
      <c r="B3025">
        <v>5</v>
      </c>
      <c r="C3025">
        <v>983</v>
      </c>
      <c r="D3025">
        <v>102424</v>
      </c>
      <c r="E3025" t="s">
        <v>37</v>
      </c>
      <c r="F3025" t="s">
        <v>949</v>
      </c>
      <c r="G3025">
        <v>2</v>
      </c>
      <c r="H3025">
        <v>6</v>
      </c>
      <c r="I3025" s="25">
        <v>828</v>
      </c>
      <c r="K3025" t="s">
        <v>631</v>
      </c>
      <c r="M3025" t="s">
        <v>52</v>
      </c>
      <c r="N3025" t="s">
        <v>44</v>
      </c>
      <c r="O3025">
        <v>282</v>
      </c>
      <c r="Q3025">
        <v>6</v>
      </c>
      <c r="R3025">
        <v>1</v>
      </c>
      <c r="S3025">
        <v>0</v>
      </c>
      <c r="T3025">
        <v>0</v>
      </c>
      <c r="U3025">
        <v>0</v>
      </c>
      <c r="V3025">
        <v>0</v>
      </c>
      <c r="W3025">
        <v>6</v>
      </c>
      <c r="X3025" s="21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576</v>
      </c>
      <c r="AJ3025" t="s">
        <v>51</v>
      </c>
      <c r="AK3025" t="s">
        <v>95</v>
      </c>
      <c r="AP3025" t="s">
        <v>951</v>
      </c>
    </row>
    <row r="3026" spans="1:42">
      <c r="A3026" s="16">
        <v>43791</v>
      </c>
      <c r="B3026">
        <v>5</v>
      </c>
      <c r="C3026">
        <v>983</v>
      </c>
      <c r="D3026">
        <v>102424</v>
      </c>
      <c r="E3026" t="s">
        <v>37</v>
      </c>
      <c r="F3026" t="s">
        <v>949</v>
      </c>
      <c r="G3026">
        <v>2</v>
      </c>
      <c r="H3026">
        <v>7</v>
      </c>
      <c r="I3026" s="25"/>
      <c r="K3026" t="s">
        <v>1020</v>
      </c>
      <c r="M3026" t="s">
        <v>52</v>
      </c>
      <c r="N3026" t="s">
        <v>44</v>
      </c>
      <c r="O3026">
        <v>226</v>
      </c>
      <c r="Q3026">
        <v>2</v>
      </c>
      <c r="R3026">
        <v>1</v>
      </c>
      <c r="S3026">
        <v>0</v>
      </c>
      <c r="T3026">
        <v>0</v>
      </c>
      <c r="U3026">
        <v>0</v>
      </c>
      <c r="V3026">
        <v>0</v>
      </c>
      <c r="W3026">
        <v>4</v>
      </c>
      <c r="X3026" s="21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384</v>
      </c>
      <c r="AJ3026" t="s">
        <v>51</v>
      </c>
      <c r="AK3026" t="s">
        <v>52</v>
      </c>
      <c r="AL3026" t="s">
        <v>1021</v>
      </c>
      <c r="AP3026" t="s">
        <v>951</v>
      </c>
    </row>
    <row r="3027" spans="1:42">
      <c r="A3027" s="16">
        <v>43791</v>
      </c>
      <c r="B3027">
        <v>5</v>
      </c>
      <c r="C3027">
        <v>983</v>
      </c>
      <c r="D3027">
        <v>102424</v>
      </c>
      <c r="E3027" t="s">
        <v>37</v>
      </c>
      <c r="F3027" t="s">
        <v>949</v>
      </c>
      <c r="G3027">
        <v>2</v>
      </c>
      <c r="H3027">
        <v>8</v>
      </c>
      <c r="I3027" s="25"/>
      <c r="K3027" t="s">
        <v>100</v>
      </c>
      <c r="M3027" t="s">
        <v>52</v>
      </c>
      <c r="N3027" t="s">
        <v>40</v>
      </c>
      <c r="O3027">
        <v>141</v>
      </c>
      <c r="Q3027">
        <v>2</v>
      </c>
      <c r="R3027">
        <v>1</v>
      </c>
      <c r="S3027">
        <v>0</v>
      </c>
      <c r="T3027">
        <v>0</v>
      </c>
      <c r="U3027">
        <v>0</v>
      </c>
      <c r="V3027">
        <v>0</v>
      </c>
      <c r="W3027">
        <v>2</v>
      </c>
      <c r="X3027" s="21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192</v>
      </c>
      <c r="AJ3027" t="s">
        <v>51</v>
      </c>
      <c r="AK3027" t="s">
        <v>52</v>
      </c>
      <c r="AP3027" t="s">
        <v>951</v>
      </c>
    </row>
    <row r="3028" spans="1:42">
      <c r="A3028" s="16">
        <v>43791</v>
      </c>
      <c r="B3028">
        <v>5</v>
      </c>
      <c r="C3028">
        <v>983</v>
      </c>
      <c r="D3028">
        <v>102424</v>
      </c>
      <c r="E3028" t="s">
        <v>37</v>
      </c>
      <c r="F3028" t="s">
        <v>949</v>
      </c>
      <c r="G3028">
        <v>2</v>
      </c>
      <c r="H3028">
        <v>9</v>
      </c>
      <c r="I3028" s="25"/>
      <c r="K3028" t="s">
        <v>100</v>
      </c>
      <c r="M3028" t="s">
        <v>52</v>
      </c>
      <c r="N3028" t="s">
        <v>40</v>
      </c>
      <c r="O3028">
        <v>53</v>
      </c>
      <c r="Q3028">
        <v>1</v>
      </c>
      <c r="R3028">
        <v>1</v>
      </c>
      <c r="S3028">
        <v>0</v>
      </c>
      <c r="T3028">
        <v>0</v>
      </c>
      <c r="U3028">
        <v>0</v>
      </c>
      <c r="V3028">
        <v>0</v>
      </c>
      <c r="W3028">
        <v>1</v>
      </c>
      <c r="X3028" s="21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96</v>
      </c>
      <c r="AJ3028" t="s">
        <v>51</v>
      </c>
      <c r="AK3028" t="s">
        <v>95</v>
      </c>
      <c r="AP3028" t="s">
        <v>951</v>
      </c>
    </row>
    <row r="3029" spans="1:42">
      <c r="A3029" s="16">
        <v>43791</v>
      </c>
      <c r="B3029">
        <v>5</v>
      </c>
      <c r="C3029">
        <v>983</v>
      </c>
      <c r="D3029">
        <v>102424</v>
      </c>
      <c r="E3029" t="s">
        <v>37</v>
      </c>
      <c r="F3029" t="s">
        <v>949</v>
      </c>
      <c r="G3029">
        <v>2</v>
      </c>
      <c r="H3029">
        <v>10</v>
      </c>
      <c r="I3029" s="25">
        <v>1030</v>
      </c>
      <c r="K3029" t="s">
        <v>631</v>
      </c>
      <c r="M3029" t="s">
        <v>52</v>
      </c>
      <c r="N3029" t="s">
        <v>44</v>
      </c>
      <c r="O3029">
        <v>63</v>
      </c>
      <c r="Q3029">
        <v>2</v>
      </c>
      <c r="R3029">
        <v>1</v>
      </c>
      <c r="S3029">
        <v>0</v>
      </c>
      <c r="T3029">
        <v>0</v>
      </c>
      <c r="U3029">
        <v>0</v>
      </c>
      <c r="V3029">
        <v>0</v>
      </c>
      <c r="W3029">
        <v>2</v>
      </c>
      <c r="X3029" s="21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192</v>
      </c>
      <c r="AJ3029" t="s">
        <v>54</v>
      </c>
      <c r="AK3029" t="s">
        <v>52</v>
      </c>
      <c r="AP3029" t="s">
        <v>951</v>
      </c>
    </row>
    <row r="3030" spans="1:42">
      <c r="A3030" s="16">
        <v>43791</v>
      </c>
      <c r="B3030">
        <v>5</v>
      </c>
      <c r="C3030">
        <v>983</v>
      </c>
      <c r="D3030">
        <v>102424</v>
      </c>
      <c r="E3030" t="s">
        <v>37</v>
      </c>
      <c r="F3030" t="s">
        <v>949</v>
      </c>
      <c r="G3030">
        <v>2</v>
      </c>
      <c r="H3030">
        <v>11</v>
      </c>
      <c r="I3030" s="25">
        <v>1050</v>
      </c>
      <c r="K3030" t="s">
        <v>631</v>
      </c>
      <c r="M3030" t="s">
        <v>52</v>
      </c>
      <c r="N3030" t="s">
        <v>44</v>
      </c>
      <c r="O3030">
        <v>68</v>
      </c>
      <c r="Q3030">
        <v>2</v>
      </c>
      <c r="R3030">
        <v>1</v>
      </c>
      <c r="S3030">
        <v>0</v>
      </c>
      <c r="T3030">
        <v>0</v>
      </c>
      <c r="U3030">
        <v>0</v>
      </c>
      <c r="V3030">
        <v>0</v>
      </c>
      <c r="W3030">
        <v>2</v>
      </c>
      <c r="X3030" s="21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192</v>
      </c>
      <c r="AJ3030" t="s">
        <v>54</v>
      </c>
      <c r="AK3030" t="s">
        <v>95</v>
      </c>
      <c r="AP3030" t="s">
        <v>951</v>
      </c>
    </row>
    <row r="3031" spans="1:42">
      <c r="A3031" s="16">
        <v>43791</v>
      </c>
      <c r="B3031">
        <v>5</v>
      </c>
      <c r="C3031">
        <v>983</v>
      </c>
      <c r="D3031">
        <v>102424</v>
      </c>
      <c r="E3031" t="s">
        <v>37</v>
      </c>
      <c r="F3031" t="s">
        <v>949</v>
      </c>
      <c r="G3031">
        <v>2</v>
      </c>
      <c r="H3031">
        <v>12</v>
      </c>
      <c r="I3031" s="25"/>
      <c r="K3031" t="s">
        <v>74</v>
      </c>
      <c r="M3031" t="s">
        <v>52</v>
      </c>
      <c r="N3031" t="s">
        <v>40</v>
      </c>
      <c r="O3031">
        <v>42</v>
      </c>
      <c r="Q3031">
        <v>1</v>
      </c>
      <c r="R3031">
        <v>1</v>
      </c>
      <c r="S3031">
        <v>0</v>
      </c>
      <c r="T3031">
        <v>0</v>
      </c>
      <c r="U3031">
        <v>0</v>
      </c>
      <c r="V3031">
        <v>0</v>
      </c>
      <c r="W3031">
        <v>1</v>
      </c>
      <c r="X3031" s="2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96</v>
      </c>
      <c r="AJ3031" t="s">
        <v>54</v>
      </c>
      <c r="AK3031" t="s">
        <v>52</v>
      </c>
      <c r="AP3031" t="s">
        <v>951</v>
      </c>
    </row>
    <row r="3032" spans="1:42">
      <c r="A3032" s="16">
        <v>43791</v>
      </c>
      <c r="B3032">
        <v>5</v>
      </c>
      <c r="C3032">
        <v>983</v>
      </c>
      <c r="D3032">
        <v>102424</v>
      </c>
      <c r="E3032" t="s">
        <v>37</v>
      </c>
      <c r="F3032" t="s">
        <v>949</v>
      </c>
      <c r="G3032">
        <v>2</v>
      </c>
      <c r="H3032">
        <v>13</v>
      </c>
      <c r="I3032" s="25"/>
      <c r="K3032" t="s">
        <v>74</v>
      </c>
      <c r="M3032" t="s">
        <v>52</v>
      </c>
      <c r="N3032" t="s">
        <v>40</v>
      </c>
      <c r="O3032">
        <v>90</v>
      </c>
      <c r="Q3032">
        <v>2</v>
      </c>
      <c r="R3032">
        <v>1</v>
      </c>
      <c r="S3032">
        <v>0</v>
      </c>
      <c r="T3032">
        <v>0</v>
      </c>
      <c r="U3032">
        <v>0</v>
      </c>
      <c r="V3032">
        <v>0</v>
      </c>
      <c r="W3032">
        <v>2</v>
      </c>
      <c r="X3032" s="21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192</v>
      </c>
      <c r="AJ3032" t="s">
        <v>54</v>
      </c>
      <c r="AK3032" t="s">
        <v>52</v>
      </c>
      <c r="AP3032" t="s">
        <v>951</v>
      </c>
    </row>
    <row r="3033" spans="1:42">
      <c r="A3033" s="16">
        <v>43791</v>
      </c>
      <c r="B3033">
        <v>5</v>
      </c>
      <c r="C3033">
        <v>983</v>
      </c>
      <c r="D3033">
        <v>102424</v>
      </c>
      <c r="E3033" t="s">
        <v>37</v>
      </c>
      <c r="F3033" t="s">
        <v>949</v>
      </c>
      <c r="G3033">
        <v>2</v>
      </c>
      <c r="H3033">
        <v>14</v>
      </c>
      <c r="I3033" s="25"/>
      <c r="K3033" t="s">
        <v>1022</v>
      </c>
      <c r="M3033" t="s">
        <v>52</v>
      </c>
      <c r="N3033" t="s">
        <v>42</v>
      </c>
      <c r="O3033">
        <v>157</v>
      </c>
      <c r="Q3033">
        <v>6</v>
      </c>
      <c r="R3033">
        <v>1</v>
      </c>
      <c r="S3033">
        <v>0</v>
      </c>
      <c r="T3033">
        <v>0</v>
      </c>
      <c r="U3033">
        <v>0</v>
      </c>
      <c r="V3033">
        <v>0</v>
      </c>
      <c r="W3033">
        <v>6</v>
      </c>
      <c r="X3033" s="21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576</v>
      </c>
      <c r="AJ3033" t="s">
        <v>54</v>
      </c>
      <c r="AK3033" t="s">
        <v>95</v>
      </c>
      <c r="AL3033" t="s">
        <v>1023</v>
      </c>
      <c r="AP3033" t="s">
        <v>951</v>
      </c>
    </row>
    <row r="3034" spans="1:42">
      <c r="A3034" s="16">
        <v>43791</v>
      </c>
      <c r="B3034">
        <v>5</v>
      </c>
      <c r="C3034">
        <v>983</v>
      </c>
      <c r="D3034">
        <v>102424</v>
      </c>
      <c r="E3034" t="s">
        <v>37</v>
      </c>
      <c r="F3034" t="s">
        <v>949</v>
      </c>
      <c r="G3034">
        <v>2</v>
      </c>
      <c r="H3034">
        <v>15</v>
      </c>
      <c r="I3034" s="25"/>
      <c r="K3034" t="s">
        <v>1024</v>
      </c>
      <c r="M3034" t="s">
        <v>52</v>
      </c>
      <c r="N3034" t="s">
        <v>40</v>
      </c>
      <c r="O3034">
        <v>57</v>
      </c>
      <c r="Q3034">
        <v>1</v>
      </c>
      <c r="R3034">
        <v>1</v>
      </c>
      <c r="S3034">
        <v>0</v>
      </c>
      <c r="T3034">
        <v>0</v>
      </c>
      <c r="U3034">
        <v>0</v>
      </c>
      <c r="V3034">
        <v>0</v>
      </c>
      <c r="W3034">
        <v>1</v>
      </c>
      <c r="X3034" s="21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96</v>
      </c>
      <c r="AJ3034" t="s">
        <v>54</v>
      </c>
      <c r="AK3034" t="s">
        <v>95</v>
      </c>
      <c r="AP3034" t="s">
        <v>951</v>
      </c>
    </row>
    <row r="3035" spans="1:42">
      <c r="A3035" s="16">
        <v>43791</v>
      </c>
      <c r="B3035">
        <v>5</v>
      </c>
      <c r="C3035">
        <v>983</v>
      </c>
      <c r="D3035">
        <v>102424</v>
      </c>
      <c r="E3035" t="s">
        <v>37</v>
      </c>
      <c r="F3035" t="s">
        <v>949</v>
      </c>
      <c r="G3035">
        <v>2</v>
      </c>
      <c r="H3035">
        <v>16</v>
      </c>
      <c r="I3035" s="25"/>
      <c r="K3035" t="s">
        <v>49</v>
      </c>
      <c r="M3035" t="s">
        <v>52</v>
      </c>
      <c r="N3035" t="s">
        <v>40</v>
      </c>
      <c r="O3035">
        <v>100</v>
      </c>
      <c r="Q3035">
        <v>2</v>
      </c>
      <c r="R3035">
        <v>1</v>
      </c>
      <c r="S3035">
        <v>0</v>
      </c>
      <c r="T3035">
        <v>0</v>
      </c>
      <c r="U3035">
        <v>0</v>
      </c>
      <c r="V3035">
        <v>0</v>
      </c>
      <c r="W3035">
        <v>2</v>
      </c>
      <c r="X3035" s="21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192</v>
      </c>
      <c r="AJ3035" t="s">
        <v>54</v>
      </c>
      <c r="AK3035" t="s">
        <v>95</v>
      </c>
      <c r="AP3035" t="s">
        <v>951</v>
      </c>
    </row>
    <row r="3036" spans="1:42">
      <c r="A3036" s="16">
        <v>43791</v>
      </c>
      <c r="B3036">
        <v>5</v>
      </c>
      <c r="C3036">
        <v>983</v>
      </c>
      <c r="D3036">
        <v>102424</v>
      </c>
      <c r="E3036" t="s">
        <v>37</v>
      </c>
      <c r="F3036" t="s">
        <v>949</v>
      </c>
      <c r="G3036">
        <v>2</v>
      </c>
      <c r="H3036">
        <v>17</v>
      </c>
      <c r="I3036" s="25">
        <v>1350</v>
      </c>
      <c r="K3036" t="s">
        <v>49</v>
      </c>
      <c r="M3036" t="s">
        <v>52</v>
      </c>
      <c r="N3036" t="s">
        <v>44</v>
      </c>
      <c r="O3036">
        <v>157</v>
      </c>
      <c r="Q3036">
        <v>2</v>
      </c>
      <c r="R3036">
        <v>1</v>
      </c>
      <c r="S3036">
        <v>0</v>
      </c>
      <c r="T3036">
        <v>0</v>
      </c>
      <c r="U3036">
        <v>0</v>
      </c>
      <c r="V3036">
        <v>0</v>
      </c>
      <c r="W3036">
        <v>2</v>
      </c>
      <c r="X3036" s="21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192</v>
      </c>
      <c r="AJ3036" t="s">
        <v>54</v>
      </c>
      <c r="AK3036" t="s">
        <v>95</v>
      </c>
      <c r="AP3036" t="s">
        <v>951</v>
      </c>
    </row>
    <row r="3037" spans="1:42">
      <c r="A3037" s="16">
        <v>43791</v>
      </c>
      <c r="B3037">
        <v>5</v>
      </c>
      <c r="C3037">
        <v>983</v>
      </c>
      <c r="D3037">
        <v>102424</v>
      </c>
      <c r="E3037" t="s">
        <v>37</v>
      </c>
      <c r="F3037" t="s">
        <v>949</v>
      </c>
      <c r="G3037">
        <v>2</v>
      </c>
      <c r="H3037">
        <v>18</v>
      </c>
      <c r="I3037" s="25">
        <v>1415</v>
      </c>
      <c r="K3037" t="s">
        <v>631</v>
      </c>
      <c r="M3037" t="s">
        <v>52</v>
      </c>
      <c r="N3037" t="s">
        <v>42</v>
      </c>
      <c r="O3037">
        <v>317</v>
      </c>
      <c r="Q3037">
        <v>6</v>
      </c>
      <c r="R3037">
        <v>1</v>
      </c>
      <c r="S3037">
        <v>0</v>
      </c>
      <c r="T3037">
        <v>0</v>
      </c>
      <c r="U3037">
        <v>0</v>
      </c>
      <c r="V3037">
        <v>0</v>
      </c>
      <c r="W3037">
        <v>6</v>
      </c>
      <c r="X3037" s="21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576</v>
      </c>
      <c r="AJ3037" t="s">
        <v>51</v>
      </c>
      <c r="AK3037" t="s">
        <v>95</v>
      </c>
      <c r="AL3037" t="s">
        <v>1025</v>
      </c>
      <c r="AP3037" t="s">
        <v>951</v>
      </c>
    </row>
    <row r="3038" spans="1:42">
      <c r="A3038" s="16">
        <v>43791</v>
      </c>
      <c r="B3038">
        <v>5</v>
      </c>
      <c r="C3038">
        <v>983</v>
      </c>
      <c r="D3038">
        <v>102424</v>
      </c>
      <c r="E3038" t="s">
        <v>37</v>
      </c>
      <c r="F3038" t="s">
        <v>949</v>
      </c>
      <c r="G3038">
        <v>2</v>
      </c>
      <c r="H3038">
        <v>19</v>
      </c>
      <c r="I3038" s="25" t="s">
        <v>1026</v>
      </c>
      <c r="K3038" t="s">
        <v>46</v>
      </c>
      <c r="M3038" t="s">
        <v>52</v>
      </c>
      <c r="N3038" t="s">
        <v>44</v>
      </c>
      <c r="O3038">
        <v>126</v>
      </c>
      <c r="Q3038">
        <v>4</v>
      </c>
      <c r="R3038">
        <v>1</v>
      </c>
      <c r="S3038">
        <v>0</v>
      </c>
      <c r="T3038">
        <v>0</v>
      </c>
      <c r="U3038">
        <v>0</v>
      </c>
      <c r="V3038">
        <v>0</v>
      </c>
      <c r="W3038">
        <v>4</v>
      </c>
      <c r="X3038" s="21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384</v>
      </c>
      <c r="AJ3038" t="s">
        <v>51</v>
      </c>
      <c r="AK3038" t="s">
        <v>95</v>
      </c>
      <c r="AL3038" t="s">
        <v>1027</v>
      </c>
      <c r="AP3038" t="s">
        <v>951</v>
      </c>
    </row>
    <row r="3039" spans="1:42">
      <c r="A3039" s="16">
        <v>43791</v>
      </c>
      <c r="B3039">
        <v>5</v>
      </c>
      <c r="C3039">
        <v>983</v>
      </c>
      <c r="D3039">
        <v>102424</v>
      </c>
      <c r="E3039" t="s">
        <v>37</v>
      </c>
      <c r="F3039" t="s">
        <v>949</v>
      </c>
      <c r="G3039">
        <v>2</v>
      </c>
      <c r="H3039">
        <v>20</v>
      </c>
      <c r="I3039" s="25">
        <v>1611</v>
      </c>
      <c r="K3039" t="s">
        <v>415</v>
      </c>
      <c r="M3039" t="s">
        <v>52</v>
      </c>
      <c r="N3039" t="s">
        <v>44</v>
      </c>
      <c r="O3039">
        <v>120</v>
      </c>
      <c r="Q3039">
        <v>2</v>
      </c>
      <c r="R3039">
        <v>1</v>
      </c>
      <c r="S3039">
        <v>0</v>
      </c>
      <c r="T3039">
        <v>0</v>
      </c>
      <c r="U3039">
        <v>0</v>
      </c>
      <c r="V3039">
        <v>0</v>
      </c>
      <c r="W3039">
        <v>1</v>
      </c>
      <c r="X3039" s="21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96</v>
      </c>
      <c r="AJ3039" t="s">
        <v>54</v>
      </c>
      <c r="AK3039" t="s">
        <v>95</v>
      </c>
      <c r="AL3039" t="s">
        <v>64</v>
      </c>
      <c r="AP3039" t="s">
        <v>951</v>
      </c>
    </row>
    <row r="3040" spans="1:42">
      <c r="A3040" s="16">
        <v>43791</v>
      </c>
      <c r="B3040">
        <v>5</v>
      </c>
      <c r="C3040">
        <v>983</v>
      </c>
      <c r="D3040">
        <v>102424</v>
      </c>
      <c r="E3040" t="s">
        <v>37</v>
      </c>
      <c r="F3040" t="s">
        <v>949</v>
      </c>
      <c r="G3040">
        <v>2</v>
      </c>
      <c r="H3040">
        <v>21</v>
      </c>
      <c r="I3040" s="25"/>
      <c r="K3040" t="s">
        <v>631</v>
      </c>
      <c r="M3040" t="s">
        <v>52</v>
      </c>
      <c r="N3040" t="s">
        <v>44</v>
      </c>
      <c r="O3040">
        <v>174</v>
      </c>
      <c r="Q3040">
        <v>3</v>
      </c>
      <c r="R3040">
        <v>1</v>
      </c>
      <c r="S3040">
        <v>0</v>
      </c>
      <c r="T3040">
        <v>0</v>
      </c>
      <c r="U3040">
        <v>0</v>
      </c>
      <c r="V3040">
        <v>0</v>
      </c>
      <c r="W3040">
        <v>3</v>
      </c>
      <c r="X3040" s="21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288</v>
      </c>
      <c r="AJ3040" t="s">
        <v>54</v>
      </c>
      <c r="AK3040" t="s">
        <v>95</v>
      </c>
      <c r="AL3040" t="s">
        <v>1028</v>
      </c>
      <c r="AP3040" t="s">
        <v>951</v>
      </c>
    </row>
    <row r="3041" spans="1:42">
      <c r="A3041" s="16">
        <v>43791</v>
      </c>
      <c r="B3041">
        <v>5</v>
      </c>
      <c r="C3041">
        <v>983</v>
      </c>
      <c r="D3041">
        <v>102424</v>
      </c>
      <c r="E3041" t="s">
        <v>37</v>
      </c>
      <c r="F3041" t="s">
        <v>949</v>
      </c>
      <c r="G3041">
        <v>2</v>
      </c>
      <c r="H3041">
        <v>22</v>
      </c>
      <c r="I3041" s="25"/>
      <c r="K3041" t="s">
        <v>638</v>
      </c>
      <c r="M3041" t="s">
        <v>95</v>
      </c>
      <c r="N3041" t="s">
        <v>44</v>
      </c>
      <c r="O3041">
        <v>185</v>
      </c>
      <c r="Q3041">
        <v>5</v>
      </c>
      <c r="R3041">
        <v>1</v>
      </c>
      <c r="S3041">
        <v>0</v>
      </c>
      <c r="T3041">
        <v>0</v>
      </c>
      <c r="U3041">
        <v>0</v>
      </c>
      <c r="V3041">
        <v>0</v>
      </c>
      <c r="W3041">
        <v>5</v>
      </c>
      <c r="X3041" s="2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480</v>
      </c>
      <c r="AJ3041" t="s">
        <v>54</v>
      </c>
      <c r="AK3041" t="s">
        <v>52</v>
      </c>
      <c r="AP3041" t="s">
        <v>951</v>
      </c>
    </row>
    <row r="3042" spans="1:42">
      <c r="A3042" s="16">
        <v>43791</v>
      </c>
      <c r="B3042">
        <v>5</v>
      </c>
      <c r="C3042">
        <v>983</v>
      </c>
      <c r="D3042">
        <v>102424</v>
      </c>
      <c r="E3042" t="s">
        <v>37</v>
      </c>
      <c r="F3042" t="s">
        <v>949</v>
      </c>
      <c r="G3042">
        <v>2</v>
      </c>
      <c r="H3042">
        <v>23</v>
      </c>
      <c r="I3042" s="25" t="s">
        <v>1029</v>
      </c>
      <c r="K3042" t="s">
        <v>638</v>
      </c>
      <c r="M3042" t="s">
        <v>95</v>
      </c>
      <c r="N3042" t="s">
        <v>44</v>
      </c>
      <c r="O3042">
        <v>276</v>
      </c>
      <c r="Q3042">
        <v>10</v>
      </c>
      <c r="R3042">
        <v>1</v>
      </c>
      <c r="S3042">
        <v>0</v>
      </c>
      <c r="T3042">
        <v>0</v>
      </c>
      <c r="U3042">
        <v>0</v>
      </c>
      <c r="V3042">
        <v>0</v>
      </c>
      <c r="W3042">
        <v>10</v>
      </c>
      <c r="X3042" s="21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960</v>
      </c>
      <c r="AJ3042" t="s">
        <v>54</v>
      </c>
      <c r="AK3042" t="s">
        <v>52</v>
      </c>
      <c r="AL3042" t="s">
        <v>1030</v>
      </c>
      <c r="AP3042" t="s">
        <v>951</v>
      </c>
    </row>
    <row r="3043" spans="1:42">
      <c r="A3043" s="16">
        <v>43791</v>
      </c>
      <c r="B3043">
        <v>5</v>
      </c>
      <c r="C3043">
        <v>983</v>
      </c>
      <c r="D3043">
        <v>102424</v>
      </c>
      <c r="E3043" t="s">
        <v>37</v>
      </c>
      <c r="F3043" t="s">
        <v>949</v>
      </c>
      <c r="G3043">
        <v>2</v>
      </c>
      <c r="H3043">
        <v>24</v>
      </c>
      <c r="I3043" s="25">
        <v>1705</v>
      </c>
      <c r="K3043" t="s">
        <v>595</v>
      </c>
      <c r="M3043" t="s">
        <v>52</v>
      </c>
      <c r="N3043" t="s">
        <v>44</v>
      </c>
      <c r="O3043">
        <v>271</v>
      </c>
      <c r="Q3043">
        <v>2</v>
      </c>
      <c r="R3043">
        <v>1</v>
      </c>
      <c r="S3043">
        <v>0</v>
      </c>
      <c r="T3043">
        <v>0</v>
      </c>
      <c r="U3043">
        <v>0</v>
      </c>
      <c r="V3043">
        <v>0</v>
      </c>
      <c r="W3043">
        <v>2</v>
      </c>
      <c r="X3043" s="21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192</v>
      </c>
      <c r="AJ3043" t="s">
        <v>54</v>
      </c>
      <c r="AK3043" t="s">
        <v>95</v>
      </c>
      <c r="AP3043" t="s">
        <v>951</v>
      </c>
    </row>
    <row r="3044" spans="1:42">
      <c r="A3044" s="16">
        <v>43791</v>
      </c>
      <c r="B3044">
        <v>5</v>
      </c>
      <c r="C3044">
        <v>983</v>
      </c>
      <c r="D3044">
        <v>102424</v>
      </c>
      <c r="E3044" t="s">
        <v>37</v>
      </c>
      <c r="F3044" t="s">
        <v>949</v>
      </c>
      <c r="G3044">
        <v>2</v>
      </c>
      <c r="H3044">
        <v>25</v>
      </c>
      <c r="I3044" s="25"/>
      <c r="K3044" t="s">
        <v>595</v>
      </c>
      <c r="M3044" t="s">
        <v>52</v>
      </c>
      <c r="N3044" t="s">
        <v>40</v>
      </c>
      <c r="O3044">
        <v>78</v>
      </c>
      <c r="Q3044">
        <v>2</v>
      </c>
      <c r="R3044">
        <v>1</v>
      </c>
      <c r="S3044">
        <v>0</v>
      </c>
      <c r="T3044">
        <v>0</v>
      </c>
      <c r="U3044">
        <v>0</v>
      </c>
      <c r="V3044">
        <v>0</v>
      </c>
      <c r="W3044">
        <v>2</v>
      </c>
      <c r="X3044" s="21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192</v>
      </c>
      <c r="AJ3044" t="s">
        <v>51</v>
      </c>
      <c r="AK3044" t="s">
        <v>95</v>
      </c>
      <c r="AP3044" t="s">
        <v>951</v>
      </c>
    </row>
    <row r="3045" spans="1:42">
      <c r="A3045" s="16">
        <v>43791</v>
      </c>
      <c r="B3045">
        <v>5</v>
      </c>
      <c r="C3045">
        <v>983</v>
      </c>
      <c r="D3045">
        <v>102424</v>
      </c>
      <c r="E3045" t="s">
        <v>37</v>
      </c>
      <c r="F3045" t="s">
        <v>949</v>
      </c>
      <c r="G3045">
        <v>2</v>
      </c>
      <c r="H3045">
        <v>26</v>
      </c>
      <c r="I3045" s="25">
        <v>1615</v>
      </c>
      <c r="K3045" t="s">
        <v>49</v>
      </c>
      <c r="M3045" t="s">
        <v>52</v>
      </c>
      <c r="N3045" t="s">
        <v>44</v>
      </c>
      <c r="O3045">
        <v>201</v>
      </c>
      <c r="Q3045">
        <v>5</v>
      </c>
      <c r="R3045">
        <v>1</v>
      </c>
      <c r="S3045">
        <v>0</v>
      </c>
      <c r="T3045">
        <v>0</v>
      </c>
      <c r="U3045">
        <v>0</v>
      </c>
      <c r="V3045">
        <v>0</v>
      </c>
      <c r="W3045">
        <v>5</v>
      </c>
      <c r="X3045" s="21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480</v>
      </c>
      <c r="AJ3045" t="s">
        <v>51</v>
      </c>
      <c r="AK3045" t="s">
        <v>95</v>
      </c>
      <c r="AP3045" t="s">
        <v>951</v>
      </c>
    </row>
    <row r="3046" spans="1:42">
      <c r="A3046" s="16">
        <v>43791</v>
      </c>
      <c r="B3046">
        <v>5</v>
      </c>
      <c r="C3046">
        <v>983</v>
      </c>
      <c r="D3046">
        <v>102424</v>
      </c>
      <c r="E3046" t="s">
        <v>37</v>
      </c>
      <c r="F3046" t="s">
        <v>949</v>
      </c>
      <c r="G3046">
        <v>2</v>
      </c>
      <c r="H3046">
        <v>27</v>
      </c>
      <c r="I3046" s="25"/>
      <c r="K3046" t="s">
        <v>49</v>
      </c>
      <c r="M3046" t="s">
        <v>52</v>
      </c>
      <c r="N3046" t="s">
        <v>40</v>
      </c>
      <c r="O3046">
        <v>49</v>
      </c>
      <c r="Q3046">
        <v>1</v>
      </c>
      <c r="R3046">
        <v>1</v>
      </c>
      <c r="S3046">
        <v>0</v>
      </c>
      <c r="T3046">
        <v>0</v>
      </c>
      <c r="U3046">
        <v>0</v>
      </c>
      <c r="V3046">
        <v>0</v>
      </c>
      <c r="W3046">
        <v>1</v>
      </c>
      <c r="X3046" s="21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96</v>
      </c>
      <c r="AJ3046" t="s">
        <v>54</v>
      </c>
      <c r="AK3046" t="s">
        <v>95</v>
      </c>
      <c r="AP3046" t="s">
        <v>951</v>
      </c>
    </row>
    <row r="3047" spans="1:42">
      <c r="A3047" s="16">
        <v>43791</v>
      </c>
      <c r="B3047">
        <v>5</v>
      </c>
      <c r="C3047">
        <v>983</v>
      </c>
      <c r="D3047">
        <v>102424</v>
      </c>
      <c r="E3047" t="s">
        <v>37</v>
      </c>
      <c r="F3047" t="s">
        <v>949</v>
      </c>
      <c r="G3047">
        <v>2</v>
      </c>
      <c r="H3047">
        <v>28</v>
      </c>
      <c r="I3047" s="25"/>
      <c r="K3047" t="s">
        <v>49</v>
      </c>
      <c r="M3047" t="s">
        <v>52</v>
      </c>
      <c r="N3047" t="s">
        <v>40</v>
      </c>
      <c r="O3047">
        <v>67</v>
      </c>
      <c r="Q3047">
        <v>2</v>
      </c>
      <c r="R3047">
        <v>1</v>
      </c>
      <c r="S3047">
        <v>0</v>
      </c>
      <c r="T3047">
        <v>0</v>
      </c>
      <c r="U3047">
        <v>0</v>
      </c>
      <c r="V3047">
        <v>0</v>
      </c>
      <c r="W3047">
        <v>2</v>
      </c>
      <c r="X3047" s="21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192</v>
      </c>
      <c r="AJ3047" t="s">
        <v>54</v>
      </c>
      <c r="AK3047" t="s">
        <v>95</v>
      </c>
      <c r="AP3047" t="s">
        <v>951</v>
      </c>
    </row>
    <row r="3048" spans="1:42">
      <c r="A3048" s="16">
        <v>43791</v>
      </c>
      <c r="B3048">
        <v>5</v>
      </c>
      <c r="C3048">
        <v>983</v>
      </c>
      <c r="D3048">
        <v>102424</v>
      </c>
      <c r="E3048" t="s">
        <v>37</v>
      </c>
      <c r="F3048" t="s">
        <v>949</v>
      </c>
      <c r="G3048">
        <v>2</v>
      </c>
      <c r="H3048">
        <v>29</v>
      </c>
      <c r="I3048" s="25" t="s">
        <v>1031</v>
      </c>
      <c r="K3048" t="s">
        <v>53</v>
      </c>
      <c r="M3048" t="s">
        <v>52</v>
      </c>
      <c r="N3048" t="s">
        <v>44</v>
      </c>
      <c r="O3048">
        <v>111</v>
      </c>
      <c r="Q3048">
        <v>2</v>
      </c>
      <c r="R3048">
        <v>1</v>
      </c>
      <c r="S3048">
        <v>0</v>
      </c>
      <c r="T3048">
        <v>0</v>
      </c>
      <c r="U3048">
        <v>0</v>
      </c>
      <c r="V3048">
        <v>0</v>
      </c>
      <c r="W3048">
        <v>2</v>
      </c>
      <c r="X3048" s="21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192</v>
      </c>
      <c r="AJ3048" t="s">
        <v>51</v>
      </c>
      <c r="AK3048" t="s">
        <v>95</v>
      </c>
      <c r="AP3048" t="s">
        <v>951</v>
      </c>
    </row>
    <row r="3049" spans="1:42">
      <c r="A3049" s="16">
        <v>43791</v>
      </c>
      <c r="B3049">
        <v>5</v>
      </c>
      <c r="C3049">
        <v>983</v>
      </c>
      <c r="D3049">
        <v>102424</v>
      </c>
      <c r="E3049" t="s">
        <v>37</v>
      </c>
      <c r="F3049" t="s">
        <v>949</v>
      </c>
      <c r="G3049">
        <v>2</v>
      </c>
      <c r="H3049">
        <v>30</v>
      </c>
      <c r="I3049" s="25"/>
      <c r="K3049" t="s">
        <v>46</v>
      </c>
      <c r="M3049" t="s">
        <v>52</v>
      </c>
      <c r="N3049" t="s">
        <v>40</v>
      </c>
      <c r="O3049">
        <v>80</v>
      </c>
      <c r="Q3049">
        <v>3</v>
      </c>
      <c r="R3049">
        <v>1</v>
      </c>
      <c r="S3049">
        <v>0</v>
      </c>
      <c r="T3049">
        <v>0</v>
      </c>
      <c r="U3049">
        <v>0</v>
      </c>
      <c r="V3049">
        <v>0</v>
      </c>
      <c r="W3049">
        <v>3</v>
      </c>
      <c r="X3049" s="21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288</v>
      </c>
      <c r="AJ3049" t="s">
        <v>51</v>
      </c>
      <c r="AK3049" t="s">
        <v>95</v>
      </c>
      <c r="AP3049" t="s">
        <v>951</v>
      </c>
    </row>
    <row r="3050" spans="1:42">
      <c r="A3050" s="16">
        <v>43791</v>
      </c>
      <c r="B3050">
        <v>5</v>
      </c>
      <c r="C3050">
        <v>983</v>
      </c>
      <c r="D3050">
        <v>102424</v>
      </c>
      <c r="E3050" t="s">
        <v>37</v>
      </c>
      <c r="F3050" t="s">
        <v>949</v>
      </c>
      <c r="G3050">
        <v>2</v>
      </c>
      <c r="H3050">
        <v>31</v>
      </c>
      <c r="I3050" s="25"/>
      <c r="K3050" t="s">
        <v>46</v>
      </c>
      <c r="M3050" t="s">
        <v>52</v>
      </c>
      <c r="N3050" t="s">
        <v>40</v>
      </c>
      <c r="O3050">
        <v>23</v>
      </c>
      <c r="Q3050">
        <v>1</v>
      </c>
      <c r="R3050">
        <v>1</v>
      </c>
      <c r="S3050">
        <v>0</v>
      </c>
      <c r="T3050">
        <v>0</v>
      </c>
      <c r="U3050">
        <v>0</v>
      </c>
      <c r="V3050">
        <v>0</v>
      </c>
      <c r="W3050">
        <v>1</v>
      </c>
      <c r="X3050" s="21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96</v>
      </c>
      <c r="AJ3050" t="s">
        <v>51</v>
      </c>
      <c r="AK3050" t="s">
        <v>95</v>
      </c>
      <c r="AP3050" t="s">
        <v>951</v>
      </c>
    </row>
    <row r="3051" spans="1:42">
      <c r="A3051" s="16">
        <v>43791</v>
      </c>
      <c r="B3051">
        <v>5</v>
      </c>
      <c r="C3051">
        <v>983</v>
      </c>
      <c r="D3051">
        <v>102424</v>
      </c>
      <c r="E3051" t="s">
        <v>37</v>
      </c>
      <c r="F3051" t="s">
        <v>949</v>
      </c>
      <c r="G3051">
        <v>2</v>
      </c>
      <c r="H3051">
        <v>32</v>
      </c>
      <c r="I3051" s="25"/>
      <c r="K3051" t="s">
        <v>46</v>
      </c>
      <c r="M3051" t="s">
        <v>52</v>
      </c>
      <c r="N3051" t="s">
        <v>40</v>
      </c>
      <c r="O3051">
        <v>98</v>
      </c>
      <c r="Q3051">
        <v>3</v>
      </c>
      <c r="R3051">
        <v>1</v>
      </c>
      <c r="S3051">
        <v>0</v>
      </c>
      <c r="T3051">
        <v>0</v>
      </c>
      <c r="U3051">
        <v>0</v>
      </c>
      <c r="V3051">
        <v>0</v>
      </c>
      <c r="W3051">
        <v>3</v>
      </c>
      <c r="X3051" s="2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288</v>
      </c>
      <c r="AJ3051" t="s">
        <v>51</v>
      </c>
      <c r="AK3051" t="s">
        <v>52</v>
      </c>
      <c r="AP3051" t="s">
        <v>951</v>
      </c>
    </row>
    <row r="3052" spans="1:42">
      <c r="A3052" s="16">
        <v>43791</v>
      </c>
      <c r="B3052">
        <v>5</v>
      </c>
      <c r="C3052">
        <v>983</v>
      </c>
      <c r="D3052">
        <v>102424</v>
      </c>
      <c r="E3052" t="s">
        <v>37</v>
      </c>
      <c r="F3052" t="s">
        <v>949</v>
      </c>
      <c r="G3052">
        <v>2</v>
      </c>
      <c r="H3052">
        <v>33</v>
      </c>
      <c r="I3052" s="25">
        <v>1646</v>
      </c>
      <c r="K3052" t="s">
        <v>49</v>
      </c>
      <c r="M3052" t="s">
        <v>52</v>
      </c>
      <c r="N3052" t="s">
        <v>44</v>
      </c>
      <c r="O3052">
        <v>115</v>
      </c>
      <c r="Q3052">
        <v>3</v>
      </c>
      <c r="R3052">
        <v>1</v>
      </c>
      <c r="S3052">
        <v>0</v>
      </c>
      <c r="T3052">
        <v>0</v>
      </c>
      <c r="U3052">
        <v>0</v>
      </c>
      <c r="V3052">
        <v>0</v>
      </c>
      <c r="W3052">
        <v>3</v>
      </c>
      <c r="X3052" s="21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288</v>
      </c>
      <c r="AJ3052" t="s">
        <v>54</v>
      </c>
      <c r="AK3052" t="s">
        <v>95</v>
      </c>
      <c r="AP3052" t="s">
        <v>951</v>
      </c>
    </row>
    <row r="3053" spans="1:42">
      <c r="A3053" s="16">
        <v>43791</v>
      </c>
      <c r="B3053">
        <v>5</v>
      </c>
      <c r="C3053">
        <v>983</v>
      </c>
      <c r="D3053">
        <v>102424</v>
      </c>
      <c r="E3053" t="s">
        <v>37</v>
      </c>
      <c r="F3053" t="s">
        <v>949</v>
      </c>
      <c r="G3053">
        <v>2</v>
      </c>
      <c r="H3053">
        <v>34</v>
      </c>
      <c r="I3053" s="25">
        <v>1760</v>
      </c>
      <c r="K3053" t="s">
        <v>46</v>
      </c>
      <c r="M3053" t="s">
        <v>52</v>
      </c>
      <c r="N3053" t="s">
        <v>44</v>
      </c>
      <c r="O3053">
        <v>278</v>
      </c>
      <c r="Q3053">
        <v>7</v>
      </c>
      <c r="R3053">
        <v>1</v>
      </c>
      <c r="S3053">
        <v>0</v>
      </c>
      <c r="T3053">
        <v>0</v>
      </c>
      <c r="U3053">
        <v>0</v>
      </c>
      <c r="V3053">
        <v>0</v>
      </c>
      <c r="W3053">
        <v>7</v>
      </c>
      <c r="X3053" s="21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672</v>
      </c>
      <c r="AJ3053" t="s">
        <v>51</v>
      </c>
      <c r="AK3053" t="s">
        <v>95</v>
      </c>
      <c r="AL3053" t="s">
        <v>1032</v>
      </c>
      <c r="AP3053" t="s">
        <v>951</v>
      </c>
    </row>
    <row r="3054" spans="1:42">
      <c r="A3054" s="16">
        <v>43791</v>
      </c>
      <c r="B3054">
        <v>5</v>
      </c>
      <c r="C3054">
        <v>983</v>
      </c>
      <c r="D3054">
        <v>102424</v>
      </c>
      <c r="E3054" t="s">
        <v>37</v>
      </c>
      <c r="F3054" t="s">
        <v>949</v>
      </c>
      <c r="G3054">
        <v>2</v>
      </c>
      <c r="H3054">
        <v>35</v>
      </c>
      <c r="I3054" s="25" t="s">
        <v>1033</v>
      </c>
      <c r="K3054" t="s">
        <v>46</v>
      </c>
      <c r="M3054" t="s">
        <v>95</v>
      </c>
      <c r="N3054" t="s">
        <v>44</v>
      </c>
      <c r="O3054">
        <v>144</v>
      </c>
      <c r="Q3054">
        <v>2</v>
      </c>
      <c r="R3054">
        <v>1</v>
      </c>
      <c r="S3054">
        <v>0</v>
      </c>
      <c r="T3054">
        <v>0</v>
      </c>
      <c r="U3054">
        <v>0</v>
      </c>
      <c r="V3054">
        <v>0</v>
      </c>
      <c r="W3054">
        <v>2</v>
      </c>
      <c r="X3054" s="21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192</v>
      </c>
      <c r="AJ3054" t="s">
        <v>51</v>
      </c>
      <c r="AK3054" t="s">
        <v>95</v>
      </c>
      <c r="AL3054" t="s">
        <v>1034</v>
      </c>
      <c r="AP3054" t="s">
        <v>951</v>
      </c>
    </row>
    <row r="3055" spans="1:42">
      <c r="A3055" s="16">
        <v>43791</v>
      </c>
      <c r="B3055">
        <v>5</v>
      </c>
      <c r="C3055">
        <v>983</v>
      </c>
      <c r="D3055">
        <v>102424</v>
      </c>
      <c r="E3055" t="s">
        <v>37</v>
      </c>
      <c r="F3055" t="s">
        <v>949</v>
      </c>
      <c r="G3055">
        <v>2</v>
      </c>
      <c r="H3055">
        <v>36</v>
      </c>
      <c r="I3055" s="25"/>
      <c r="K3055" t="s">
        <v>638</v>
      </c>
      <c r="M3055" t="s">
        <v>52</v>
      </c>
      <c r="N3055" t="s">
        <v>40</v>
      </c>
      <c r="O3055">
        <v>131</v>
      </c>
      <c r="Q3055">
        <v>4</v>
      </c>
      <c r="R3055">
        <v>1</v>
      </c>
      <c r="S3055">
        <v>0</v>
      </c>
      <c r="T3055">
        <v>0</v>
      </c>
      <c r="U3055">
        <v>0</v>
      </c>
      <c r="V3055">
        <v>0</v>
      </c>
      <c r="W3055">
        <v>4</v>
      </c>
      <c r="X3055" s="21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384</v>
      </c>
      <c r="AJ3055" t="s">
        <v>51</v>
      </c>
      <c r="AK3055" t="s">
        <v>52</v>
      </c>
      <c r="AP3055" t="s">
        <v>951</v>
      </c>
    </row>
    <row r="3056" spans="1:42">
      <c r="A3056" s="16">
        <v>43791</v>
      </c>
      <c r="B3056">
        <v>5</v>
      </c>
      <c r="C3056">
        <v>983</v>
      </c>
      <c r="D3056">
        <v>102424</v>
      </c>
      <c r="E3056" t="s">
        <v>37</v>
      </c>
      <c r="F3056" t="s">
        <v>949</v>
      </c>
      <c r="G3056">
        <v>2</v>
      </c>
      <c r="H3056">
        <v>37</v>
      </c>
      <c r="I3056" s="25">
        <v>1500</v>
      </c>
      <c r="K3056" t="s">
        <v>49</v>
      </c>
      <c r="M3056" t="s">
        <v>52</v>
      </c>
      <c r="N3056" t="s">
        <v>44</v>
      </c>
      <c r="O3056">
        <v>70</v>
      </c>
      <c r="Q3056">
        <v>2</v>
      </c>
      <c r="R3056">
        <v>1</v>
      </c>
      <c r="S3056">
        <v>0</v>
      </c>
      <c r="T3056">
        <v>0</v>
      </c>
      <c r="U3056">
        <v>0</v>
      </c>
      <c r="V3056">
        <v>0</v>
      </c>
      <c r="W3056">
        <v>2</v>
      </c>
      <c r="X3056" s="21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192</v>
      </c>
      <c r="AJ3056" t="s">
        <v>51</v>
      </c>
      <c r="AK3056" t="s">
        <v>52</v>
      </c>
      <c r="AP3056" t="s">
        <v>951</v>
      </c>
    </row>
    <row r="3057" spans="1:42">
      <c r="A3057" s="16">
        <v>43791</v>
      </c>
      <c r="B3057">
        <v>5</v>
      </c>
      <c r="C3057">
        <v>983</v>
      </c>
      <c r="D3057">
        <v>102424</v>
      </c>
      <c r="E3057" t="s">
        <v>37</v>
      </c>
      <c r="F3057" t="s">
        <v>949</v>
      </c>
      <c r="G3057">
        <v>2</v>
      </c>
      <c r="H3057">
        <v>38</v>
      </c>
      <c r="I3057" s="25">
        <v>1515</v>
      </c>
      <c r="K3057" t="s">
        <v>49</v>
      </c>
      <c r="M3057" t="s">
        <v>52</v>
      </c>
      <c r="N3057" t="s">
        <v>44</v>
      </c>
      <c r="O3057">
        <v>230</v>
      </c>
      <c r="Q3057">
        <v>4</v>
      </c>
      <c r="R3057">
        <v>1</v>
      </c>
      <c r="S3057">
        <v>0</v>
      </c>
      <c r="T3057">
        <v>0</v>
      </c>
      <c r="U3057">
        <v>0</v>
      </c>
      <c r="V3057">
        <v>0</v>
      </c>
      <c r="W3057">
        <v>4</v>
      </c>
      <c r="X3057" s="21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384</v>
      </c>
      <c r="AJ3057" t="s">
        <v>51</v>
      </c>
      <c r="AK3057" t="s">
        <v>52</v>
      </c>
      <c r="AL3057" t="s">
        <v>1035</v>
      </c>
      <c r="AP3057" t="s">
        <v>951</v>
      </c>
    </row>
    <row r="3058" spans="1:42">
      <c r="A3058" s="16">
        <v>43791</v>
      </c>
      <c r="B3058">
        <v>5</v>
      </c>
      <c r="C3058">
        <v>983</v>
      </c>
      <c r="D3058">
        <v>102424</v>
      </c>
      <c r="E3058" t="s">
        <v>37</v>
      </c>
      <c r="F3058" t="s">
        <v>949</v>
      </c>
      <c r="G3058">
        <v>2</v>
      </c>
      <c r="H3058">
        <v>39</v>
      </c>
      <c r="I3058" s="25">
        <v>1577</v>
      </c>
      <c r="K3058" t="s">
        <v>49</v>
      </c>
      <c r="M3058" t="s">
        <v>52</v>
      </c>
      <c r="N3058" t="s">
        <v>44</v>
      </c>
      <c r="O3058">
        <v>40</v>
      </c>
      <c r="Q3058">
        <v>2</v>
      </c>
      <c r="R3058">
        <v>1</v>
      </c>
      <c r="S3058">
        <v>0</v>
      </c>
      <c r="T3058">
        <v>0</v>
      </c>
      <c r="U3058">
        <v>0</v>
      </c>
      <c r="V3058">
        <v>0</v>
      </c>
      <c r="W3058">
        <v>2</v>
      </c>
      <c r="X3058" s="21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192</v>
      </c>
      <c r="AJ3058" t="s">
        <v>51</v>
      </c>
      <c r="AK3058" t="s">
        <v>52</v>
      </c>
      <c r="AP3058" t="s">
        <v>951</v>
      </c>
    </row>
    <row r="3059" spans="1:42">
      <c r="A3059" s="16">
        <v>43791</v>
      </c>
      <c r="B3059">
        <v>5</v>
      </c>
      <c r="C3059">
        <v>983</v>
      </c>
      <c r="D3059">
        <v>102424</v>
      </c>
      <c r="E3059" t="s">
        <v>37</v>
      </c>
      <c r="F3059" t="s">
        <v>949</v>
      </c>
      <c r="G3059">
        <v>2</v>
      </c>
      <c r="H3059">
        <v>40</v>
      </c>
      <c r="I3059" s="25"/>
      <c r="K3059" t="s">
        <v>49</v>
      </c>
      <c r="M3059" t="s">
        <v>52</v>
      </c>
      <c r="N3059" t="s">
        <v>40</v>
      </c>
      <c r="O3059">
        <v>54</v>
      </c>
      <c r="Q3059">
        <v>2</v>
      </c>
      <c r="R3059">
        <v>1</v>
      </c>
      <c r="S3059">
        <v>0</v>
      </c>
      <c r="T3059">
        <v>0</v>
      </c>
      <c r="U3059">
        <v>0</v>
      </c>
      <c r="V3059">
        <v>0</v>
      </c>
      <c r="W3059">
        <v>2</v>
      </c>
      <c r="X3059" s="21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192</v>
      </c>
      <c r="AJ3059" t="s">
        <v>51</v>
      </c>
      <c r="AK3059" t="s">
        <v>52</v>
      </c>
      <c r="AP3059" t="s">
        <v>951</v>
      </c>
    </row>
    <row r="3060" spans="1:42">
      <c r="A3060" s="16">
        <v>43791</v>
      </c>
      <c r="B3060">
        <v>5</v>
      </c>
      <c r="C3060">
        <v>983</v>
      </c>
      <c r="D3060">
        <v>102424</v>
      </c>
      <c r="E3060" t="s">
        <v>37</v>
      </c>
      <c r="F3060" t="s">
        <v>949</v>
      </c>
      <c r="G3060">
        <v>2</v>
      </c>
      <c r="H3060">
        <v>41</v>
      </c>
      <c r="I3060" s="25">
        <v>1650</v>
      </c>
      <c r="K3060" t="s">
        <v>595</v>
      </c>
      <c r="M3060" t="s">
        <v>52</v>
      </c>
      <c r="N3060" t="s">
        <v>44</v>
      </c>
      <c r="O3060">
        <v>133</v>
      </c>
      <c r="Q3060">
        <v>3</v>
      </c>
      <c r="R3060">
        <v>1</v>
      </c>
      <c r="S3060">
        <v>0</v>
      </c>
      <c r="T3060">
        <v>0</v>
      </c>
      <c r="U3060">
        <v>0</v>
      </c>
      <c r="V3060">
        <v>0</v>
      </c>
      <c r="W3060">
        <v>3</v>
      </c>
      <c r="X3060" s="21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288</v>
      </c>
      <c r="AJ3060" t="s">
        <v>51</v>
      </c>
      <c r="AK3060" t="s">
        <v>95</v>
      </c>
      <c r="AP3060" t="s">
        <v>951</v>
      </c>
    </row>
    <row r="3061" spans="1:42">
      <c r="A3061" s="16">
        <v>43791</v>
      </c>
      <c r="B3061">
        <v>5</v>
      </c>
      <c r="C3061">
        <v>983</v>
      </c>
      <c r="D3061">
        <v>102424</v>
      </c>
      <c r="E3061" t="s">
        <v>37</v>
      </c>
      <c r="F3061" t="s">
        <v>949</v>
      </c>
      <c r="G3061">
        <v>2</v>
      </c>
      <c r="H3061">
        <v>42</v>
      </c>
      <c r="I3061" s="25">
        <v>1530</v>
      </c>
      <c r="K3061" t="s">
        <v>638</v>
      </c>
      <c r="M3061" t="s">
        <v>52</v>
      </c>
      <c r="N3061" t="s">
        <v>44</v>
      </c>
      <c r="O3061">
        <v>120</v>
      </c>
      <c r="Q3061">
        <v>2</v>
      </c>
      <c r="R3061">
        <v>1</v>
      </c>
      <c r="S3061">
        <v>0</v>
      </c>
      <c r="T3061">
        <v>0</v>
      </c>
      <c r="U3061">
        <v>0</v>
      </c>
      <c r="V3061">
        <v>0</v>
      </c>
      <c r="W3061">
        <v>2</v>
      </c>
      <c r="X3061" s="2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192</v>
      </c>
      <c r="AJ3061" t="s">
        <v>51</v>
      </c>
      <c r="AK3061" t="s">
        <v>95</v>
      </c>
      <c r="AL3061" t="s">
        <v>1021</v>
      </c>
      <c r="AP3061" t="s">
        <v>951</v>
      </c>
    </row>
    <row r="3062" spans="1:42">
      <c r="A3062" s="16">
        <v>43791</v>
      </c>
      <c r="B3062">
        <v>5</v>
      </c>
      <c r="C3062">
        <v>983</v>
      </c>
      <c r="D3062">
        <v>102424</v>
      </c>
      <c r="E3062" t="s">
        <v>37</v>
      </c>
      <c r="F3062" t="s">
        <v>949</v>
      </c>
      <c r="G3062">
        <v>2</v>
      </c>
      <c r="H3062">
        <v>43</v>
      </c>
      <c r="I3062" s="25">
        <v>1628</v>
      </c>
      <c r="K3062" t="s">
        <v>46</v>
      </c>
      <c r="M3062" t="s">
        <v>52</v>
      </c>
      <c r="N3062" t="s">
        <v>42</v>
      </c>
      <c r="O3062">
        <v>115</v>
      </c>
      <c r="Q3062">
        <v>2</v>
      </c>
      <c r="R3062">
        <v>1</v>
      </c>
      <c r="S3062">
        <v>0</v>
      </c>
      <c r="T3062">
        <v>0</v>
      </c>
      <c r="U3062">
        <v>0</v>
      </c>
      <c r="V3062">
        <v>0</v>
      </c>
      <c r="W3062">
        <v>2</v>
      </c>
      <c r="X3062" s="21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192</v>
      </c>
      <c r="AJ3062" t="s">
        <v>51</v>
      </c>
      <c r="AK3062" t="s">
        <v>52</v>
      </c>
      <c r="AL3062" t="s">
        <v>1036</v>
      </c>
      <c r="AP3062" t="s">
        <v>951</v>
      </c>
    </row>
    <row r="3063" spans="1:42">
      <c r="A3063" s="16">
        <v>43791</v>
      </c>
      <c r="B3063">
        <v>5</v>
      </c>
      <c r="C3063">
        <v>983</v>
      </c>
      <c r="D3063">
        <v>10424</v>
      </c>
      <c r="E3063" t="s">
        <v>37</v>
      </c>
      <c r="F3063" t="s">
        <v>949</v>
      </c>
      <c r="G3063">
        <v>2</v>
      </c>
      <c r="H3063">
        <v>44</v>
      </c>
      <c r="I3063" s="25"/>
      <c r="K3063" t="s">
        <v>46</v>
      </c>
      <c r="M3063" t="s">
        <v>52</v>
      </c>
      <c r="N3063" t="s">
        <v>40</v>
      </c>
      <c r="O3063">
        <v>33</v>
      </c>
      <c r="Q3063">
        <v>2</v>
      </c>
      <c r="R3063">
        <v>1</v>
      </c>
      <c r="S3063">
        <v>0</v>
      </c>
      <c r="T3063">
        <v>0</v>
      </c>
      <c r="U3063">
        <v>1</v>
      </c>
      <c r="V3063">
        <v>1</v>
      </c>
      <c r="W3063">
        <v>0</v>
      </c>
      <c r="X3063" s="21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96</v>
      </c>
      <c r="AJ3063" t="s">
        <v>51</v>
      </c>
      <c r="AK3063" t="s">
        <v>52</v>
      </c>
      <c r="AP3063" t="s">
        <v>951</v>
      </c>
    </row>
    <row r="3064" spans="1:42">
      <c r="A3064" s="16">
        <v>43791</v>
      </c>
      <c r="B3064">
        <v>5</v>
      </c>
      <c r="C3064">
        <v>983</v>
      </c>
      <c r="D3064">
        <v>10424</v>
      </c>
      <c r="E3064" t="s">
        <v>37</v>
      </c>
      <c r="F3064" t="s">
        <v>949</v>
      </c>
      <c r="G3064">
        <v>2</v>
      </c>
      <c r="H3064">
        <v>45</v>
      </c>
      <c r="I3064" s="25"/>
      <c r="K3064" t="s">
        <v>69</v>
      </c>
      <c r="M3064" t="s">
        <v>52</v>
      </c>
      <c r="N3064" t="s">
        <v>40</v>
      </c>
      <c r="O3064">
        <v>55</v>
      </c>
      <c r="Q3064">
        <v>1</v>
      </c>
      <c r="R3064">
        <v>1</v>
      </c>
      <c r="S3064">
        <v>0</v>
      </c>
      <c r="T3064">
        <v>0</v>
      </c>
      <c r="U3064">
        <v>0</v>
      </c>
      <c r="V3064">
        <v>1</v>
      </c>
      <c r="W3064">
        <v>0</v>
      </c>
      <c r="X3064" s="21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64</v>
      </c>
      <c r="AJ3064" t="s">
        <v>54</v>
      </c>
      <c r="AK3064" t="s">
        <v>52</v>
      </c>
      <c r="AL3064" t="s">
        <v>1037</v>
      </c>
      <c r="AP3064" t="s">
        <v>951</v>
      </c>
    </row>
    <row r="3065" spans="1:42">
      <c r="A3065" s="16">
        <v>43791</v>
      </c>
      <c r="B3065">
        <v>5</v>
      </c>
      <c r="C3065">
        <v>983</v>
      </c>
      <c r="D3065">
        <v>10424</v>
      </c>
      <c r="E3065" t="s">
        <v>37</v>
      </c>
      <c r="F3065" t="s">
        <v>949</v>
      </c>
      <c r="G3065">
        <v>2</v>
      </c>
      <c r="H3065">
        <v>46</v>
      </c>
      <c r="I3065" s="25">
        <v>1739</v>
      </c>
      <c r="K3065" t="s">
        <v>69</v>
      </c>
      <c r="M3065" t="s">
        <v>52</v>
      </c>
      <c r="N3065" t="s">
        <v>44</v>
      </c>
      <c r="O3065">
        <v>63</v>
      </c>
      <c r="Q3065">
        <v>2</v>
      </c>
      <c r="R3065">
        <v>1</v>
      </c>
      <c r="S3065">
        <v>0</v>
      </c>
      <c r="T3065">
        <v>0</v>
      </c>
      <c r="U3065">
        <v>0</v>
      </c>
      <c r="V3065">
        <v>2</v>
      </c>
      <c r="W3065">
        <v>0</v>
      </c>
      <c r="X3065" s="21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128</v>
      </c>
      <c r="AJ3065" t="s">
        <v>54</v>
      </c>
      <c r="AK3065" t="s">
        <v>52</v>
      </c>
      <c r="AP3065" t="s">
        <v>951</v>
      </c>
    </row>
    <row r="3066" spans="1:42">
      <c r="A3066" s="16">
        <v>43791</v>
      </c>
      <c r="B3066">
        <v>5</v>
      </c>
      <c r="C3066">
        <v>983</v>
      </c>
      <c r="D3066">
        <v>10424</v>
      </c>
      <c r="E3066" t="s">
        <v>37</v>
      </c>
      <c r="F3066" t="s">
        <v>949</v>
      </c>
      <c r="G3066">
        <v>2</v>
      </c>
      <c r="H3066">
        <v>47</v>
      </c>
      <c r="I3066" s="25">
        <v>1762</v>
      </c>
      <c r="K3066" t="s">
        <v>69</v>
      </c>
      <c r="M3066" t="s">
        <v>52</v>
      </c>
      <c r="N3066" t="s">
        <v>44</v>
      </c>
      <c r="O3066">
        <v>114</v>
      </c>
      <c r="Q3066">
        <v>1</v>
      </c>
      <c r="R3066">
        <v>1</v>
      </c>
      <c r="S3066">
        <v>0</v>
      </c>
      <c r="T3066">
        <v>0</v>
      </c>
      <c r="U3066">
        <v>0</v>
      </c>
      <c r="V3066">
        <v>0</v>
      </c>
      <c r="W3066">
        <v>1</v>
      </c>
      <c r="X3066" s="21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96</v>
      </c>
      <c r="AJ3066" t="s">
        <v>54</v>
      </c>
      <c r="AK3066" t="s">
        <v>52</v>
      </c>
      <c r="AL3066" t="s">
        <v>1038</v>
      </c>
      <c r="AP3066" t="s">
        <v>951</v>
      </c>
    </row>
    <row r="3067" spans="1:42">
      <c r="A3067" s="16">
        <v>43791</v>
      </c>
      <c r="B3067">
        <v>5</v>
      </c>
      <c r="C3067">
        <v>983</v>
      </c>
      <c r="D3067">
        <v>10424</v>
      </c>
      <c r="E3067" t="s">
        <v>37</v>
      </c>
      <c r="F3067" t="s">
        <v>949</v>
      </c>
      <c r="G3067">
        <v>2</v>
      </c>
      <c r="H3067">
        <v>48</v>
      </c>
      <c r="I3067" s="25"/>
      <c r="K3067" t="s">
        <v>69</v>
      </c>
      <c r="M3067" t="s">
        <v>52</v>
      </c>
      <c r="N3067" t="s">
        <v>44</v>
      </c>
      <c r="O3067">
        <v>138</v>
      </c>
      <c r="Q3067">
        <v>2</v>
      </c>
      <c r="R3067">
        <v>1</v>
      </c>
      <c r="S3067">
        <v>0</v>
      </c>
      <c r="T3067">
        <v>0</v>
      </c>
      <c r="U3067">
        <v>0</v>
      </c>
      <c r="V3067">
        <v>0</v>
      </c>
      <c r="W3067">
        <v>2</v>
      </c>
      <c r="X3067" s="21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192</v>
      </c>
      <c r="AJ3067" t="s">
        <v>54</v>
      </c>
      <c r="AK3067" t="s">
        <v>52</v>
      </c>
      <c r="AL3067" t="s">
        <v>1021</v>
      </c>
      <c r="AP3067" t="s">
        <v>951</v>
      </c>
    </row>
    <row r="3068" spans="1:42">
      <c r="A3068" s="16">
        <v>43791</v>
      </c>
      <c r="B3068">
        <v>5</v>
      </c>
      <c r="C3068">
        <v>983</v>
      </c>
      <c r="D3068">
        <v>10424</v>
      </c>
      <c r="E3068" t="s">
        <v>37</v>
      </c>
      <c r="F3068" t="s">
        <v>949</v>
      </c>
      <c r="G3068">
        <v>2</v>
      </c>
      <c r="H3068">
        <v>49</v>
      </c>
      <c r="I3068" s="25">
        <v>1355</v>
      </c>
      <c r="K3068" t="s">
        <v>53</v>
      </c>
      <c r="M3068" t="s">
        <v>52</v>
      </c>
      <c r="N3068" t="s">
        <v>44</v>
      </c>
      <c r="O3068">
        <v>130</v>
      </c>
      <c r="Q3068">
        <v>3</v>
      </c>
      <c r="R3068">
        <v>1</v>
      </c>
      <c r="S3068">
        <v>0</v>
      </c>
      <c r="T3068">
        <v>0</v>
      </c>
      <c r="U3068">
        <v>0</v>
      </c>
      <c r="V3068">
        <v>0</v>
      </c>
      <c r="W3068">
        <v>3</v>
      </c>
      <c r="X3068" s="21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288</v>
      </c>
      <c r="AJ3068" t="s">
        <v>51</v>
      </c>
      <c r="AK3068" t="s">
        <v>52</v>
      </c>
      <c r="AP3068" t="s">
        <v>951</v>
      </c>
    </row>
    <row r="3069" spans="1:42">
      <c r="A3069" s="16">
        <v>43791</v>
      </c>
      <c r="B3069">
        <v>5</v>
      </c>
      <c r="C3069">
        <v>983</v>
      </c>
      <c r="D3069">
        <v>10424</v>
      </c>
      <c r="E3069" t="s">
        <v>37</v>
      </c>
      <c r="F3069" t="s">
        <v>949</v>
      </c>
      <c r="G3069">
        <v>2</v>
      </c>
      <c r="H3069">
        <v>50</v>
      </c>
      <c r="I3069" s="25">
        <v>1420</v>
      </c>
      <c r="K3069" t="s">
        <v>49</v>
      </c>
      <c r="M3069" t="s">
        <v>52</v>
      </c>
      <c r="N3069" t="s">
        <v>44</v>
      </c>
      <c r="O3069">
        <v>80</v>
      </c>
      <c r="Q3069">
        <v>2</v>
      </c>
      <c r="R3069">
        <v>1</v>
      </c>
      <c r="S3069">
        <v>0</v>
      </c>
      <c r="T3069">
        <v>0</v>
      </c>
      <c r="U3069">
        <v>0</v>
      </c>
      <c r="V3069">
        <v>0</v>
      </c>
      <c r="W3069">
        <v>2</v>
      </c>
      <c r="X3069" s="21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192</v>
      </c>
      <c r="AJ3069" t="s">
        <v>51</v>
      </c>
      <c r="AK3069" t="s">
        <v>95</v>
      </c>
      <c r="AP3069" t="s">
        <v>951</v>
      </c>
    </row>
    <row r="3070" spans="1:42">
      <c r="A3070" s="16">
        <v>43791</v>
      </c>
      <c r="B3070">
        <v>5</v>
      </c>
      <c r="C3070">
        <v>983</v>
      </c>
      <c r="D3070">
        <v>10424</v>
      </c>
      <c r="E3070" t="s">
        <v>37</v>
      </c>
      <c r="F3070" t="s">
        <v>949</v>
      </c>
      <c r="G3070">
        <v>2</v>
      </c>
      <c r="H3070">
        <v>51</v>
      </c>
      <c r="I3070" s="25" t="s">
        <v>1039</v>
      </c>
      <c r="K3070" t="s">
        <v>46</v>
      </c>
      <c r="M3070" t="s">
        <v>52</v>
      </c>
      <c r="N3070" t="s">
        <v>44</v>
      </c>
      <c r="O3070">
        <v>105</v>
      </c>
      <c r="Q3070">
        <v>2</v>
      </c>
      <c r="R3070">
        <v>1</v>
      </c>
      <c r="S3070">
        <v>0</v>
      </c>
      <c r="T3070">
        <v>0</v>
      </c>
      <c r="U3070">
        <v>0</v>
      </c>
      <c r="V3070">
        <v>0</v>
      </c>
      <c r="W3070">
        <v>2</v>
      </c>
      <c r="X3070" s="21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192</v>
      </c>
      <c r="AJ3070" t="s">
        <v>51</v>
      </c>
      <c r="AK3070" t="s">
        <v>95</v>
      </c>
      <c r="AL3070" t="s">
        <v>1040</v>
      </c>
      <c r="AP3070" t="s">
        <v>951</v>
      </c>
    </row>
    <row r="3071" spans="1:42">
      <c r="A3071" s="16">
        <v>43791</v>
      </c>
      <c r="B3071">
        <v>5</v>
      </c>
      <c r="C3071">
        <v>983</v>
      </c>
      <c r="D3071">
        <v>10424</v>
      </c>
      <c r="E3071" t="s">
        <v>37</v>
      </c>
      <c r="F3071" t="s">
        <v>949</v>
      </c>
      <c r="G3071">
        <v>2</v>
      </c>
      <c r="H3071">
        <v>52</v>
      </c>
      <c r="I3071" s="25">
        <v>1460</v>
      </c>
      <c r="K3071" t="s">
        <v>49</v>
      </c>
      <c r="M3071" t="s">
        <v>52</v>
      </c>
      <c r="N3071" t="s">
        <v>44</v>
      </c>
      <c r="O3071">
        <v>120</v>
      </c>
      <c r="Q3071">
        <v>2</v>
      </c>
      <c r="R3071">
        <v>1</v>
      </c>
      <c r="S3071">
        <v>0</v>
      </c>
      <c r="T3071">
        <v>0</v>
      </c>
      <c r="U3071">
        <v>0</v>
      </c>
      <c r="V3071">
        <v>0</v>
      </c>
      <c r="W3071">
        <v>2</v>
      </c>
      <c r="X3071" s="2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192</v>
      </c>
      <c r="AJ3071" t="s">
        <v>51</v>
      </c>
      <c r="AK3071" t="s">
        <v>95</v>
      </c>
      <c r="AP3071" t="s">
        <v>951</v>
      </c>
    </row>
    <row r="3072" spans="1:42">
      <c r="A3072" s="16">
        <v>43791</v>
      </c>
      <c r="B3072">
        <v>5</v>
      </c>
      <c r="C3072">
        <v>983</v>
      </c>
      <c r="D3072">
        <v>10424</v>
      </c>
      <c r="E3072" t="s">
        <v>37</v>
      </c>
      <c r="F3072" t="s">
        <v>949</v>
      </c>
      <c r="G3072">
        <v>2</v>
      </c>
      <c r="H3072">
        <v>53</v>
      </c>
      <c r="I3072" s="25">
        <v>1677</v>
      </c>
      <c r="K3072" t="s">
        <v>46</v>
      </c>
      <c r="M3072" t="s">
        <v>52</v>
      </c>
      <c r="N3072" t="s">
        <v>44</v>
      </c>
      <c r="O3072">
        <v>118</v>
      </c>
      <c r="Q3072">
        <v>4</v>
      </c>
      <c r="R3072">
        <v>1</v>
      </c>
      <c r="S3072">
        <v>0</v>
      </c>
      <c r="T3072">
        <v>0</v>
      </c>
      <c r="U3072">
        <v>0</v>
      </c>
      <c r="V3072">
        <v>0</v>
      </c>
      <c r="W3072">
        <v>4</v>
      </c>
      <c r="X3072" s="21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384</v>
      </c>
      <c r="AJ3072" t="s">
        <v>51</v>
      </c>
      <c r="AK3072" t="s">
        <v>95</v>
      </c>
      <c r="AP3072" t="s">
        <v>951</v>
      </c>
    </row>
    <row r="3073" spans="1:42">
      <c r="A3073" s="16">
        <v>43791</v>
      </c>
      <c r="B3073">
        <v>5</v>
      </c>
      <c r="C3073">
        <v>983</v>
      </c>
      <c r="D3073">
        <v>10424</v>
      </c>
      <c r="E3073" t="s">
        <v>37</v>
      </c>
      <c r="F3073" t="s">
        <v>949</v>
      </c>
      <c r="G3073">
        <v>2</v>
      </c>
      <c r="H3073">
        <v>54</v>
      </c>
      <c r="I3073" s="25">
        <v>1520</v>
      </c>
      <c r="K3073" t="s">
        <v>638</v>
      </c>
      <c r="M3073" t="s">
        <v>52</v>
      </c>
      <c r="N3073" t="s">
        <v>44</v>
      </c>
      <c r="O3073">
        <v>85</v>
      </c>
      <c r="Q3073">
        <v>3</v>
      </c>
      <c r="R3073">
        <v>1</v>
      </c>
      <c r="S3073">
        <v>0</v>
      </c>
      <c r="T3073">
        <v>0</v>
      </c>
      <c r="U3073">
        <v>0</v>
      </c>
      <c r="V3073">
        <v>3</v>
      </c>
      <c r="W3073">
        <v>0</v>
      </c>
      <c r="X3073" s="21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192</v>
      </c>
      <c r="AJ3073" t="s">
        <v>51</v>
      </c>
      <c r="AK3073" t="s">
        <v>95</v>
      </c>
      <c r="AP3073" t="s">
        <v>951</v>
      </c>
    </row>
    <row r="3074" spans="1:42">
      <c r="A3074" s="16">
        <v>43791</v>
      </c>
      <c r="B3074">
        <v>5</v>
      </c>
      <c r="C3074">
        <v>983</v>
      </c>
      <c r="D3074">
        <v>10424</v>
      </c>
      <c r="E3074" t="s">
        <v>37</v>
      </c>
      <c r="F3074" t="s">
        <v>949</v>
      </c>
      <c r="G3074">
        <v>2</v>
      </c>
      <c r="H3074">
        <v>55</v>
      </c>
      <c r="I3074" s="25">
        <v>1490</v>
      </c>
      <c r="K3074" t="s">
        <v>53</v>
      </c>
      <c r="M3074" t="s">
        <v>52</v>
      </c>
      <c r="N3074" t="s">
        <v>44</v>
      </c>
      <c r="O3074">
        <v>70</v>
      </c>
      <c r="Q3074">
        <v>2</v>
      </c>
      <c r="R3074">
        <v>1</v>
      </c>
      <c r="S3074">
        <v>0</v>
      </c>
      <c r="T3074">
        <v>0</v>
      </c>
      <c r="U3074">
        <v>0</v>
      </c>
      <c r="V3074">
        <v>0</v>
      </c>
      <c r="W3074">
        <v>2</v>
      </c>
      <c r="X3074" s="21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192</v>
      </c>
      <c r="AJ3074" t="s">
        <v>51</v>
      </c>
      <c r="AK3074" t="s">
        <v>52</v>
      </c>
      <c r="AP3074" t="s">
        <v>951</v>
      </c>
    </row>
    <row r="3075" spans="1:42">
      <c r="A3075" s="16">
        <v>43791</v>
      </c>
      <c r="B3075">
        <v>5</v>
      </c>
      <c r="C3075">
        <v>983</v>
      </c>
      <c r="D3075">
        <v>10424</v>
      </c>
      <c r="E3075" t="s">
        <v>37</v>
      </c>
      <c r="F3075" t="s">
        <v>949</v>
      </c>
      <c r="G3075">
        <v>2</v>
      </c>
      <c r="H3075">
        <v>56</v>
      </c>
      <c r="I3075" s="25">
        <v>1726</v>
      </c>
      <c r="K3075" t="s">
        <v>53</v>
      </c>
      <c r="M3075" t="s">
        <v>52</v>
      </c>
      <c r="N3075" t="s">
        <v>44</v>
      </c>
      <c r="O3075">
        <v>123</v>
      </c>
      <c r="Q3075">
        <v>2</v>
      </c>
      <c r="R3075">
        <v>1</v>
      </c>
      <c r="S3075">
        <v>0</v>
      </c>
      <c r="T3075">
        <v>0</v>
      </c>
      <c r="U3075">
        <v>0</v>
      </c>
      <c r="V3075">
        <v>0</v>
      </c>
      <c r="W3075">
        <v>2</v>
      </c>
      <c r="X3075" s="21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192</v>
      </c>
      <c r="AJ3075" t="s">
        <v>51</v>
      </c>
      <c r="AK3075" t="s">
        <v>52</v>
      </c>
      <c r="AP3075" t="s">
        <v>951</v>
      </c>
    </row>
    <row r="3076" spans="1:42">
      <c r="A3076" s="16">
        <v>43791</v>
      </c>
      <c r="B3076">
        <v>5</v>
      </c>
      <c r="C3076">
        <v>983</v>
      </c>
      <c r="D3076">
        <v>10424</v>
      </c>
      <c r="E3076" t="s">
        <v>37</v>
      </c>
      <c r="F3076" t="s">
        <v>949</v>
      </c>
      <c r="G3076">
        <v>2</v>
      </c>
      <c r="H3076">
        <v>57</v>
      </c>
      <c r="I3076" s="25"/>
      <c r="K3076" t="s">
        <v>53</v>
      </c>
      <c r="M3076" t="s">
        <v>52</v>
      </c>
      <c r="N3076" t="s">
        <v>40</v>
      </c>
      <c r="O3076">
        <v>55</v>
      </c>
      <c r="Q3076">
        <v>1</v>
      </c>
      <c r="R3076">
        <v>1</v>
      </c>
      <c r="S3076">
        <v>0</v>
      </c>
      <c r="T3076">
        <v>0</v>
      </c>
      <c r="U3076">
        <v>0</v>
      </c>
      <c r="V3076">
        <v>0</v>
      </c>
      <c r="W3076">
        <v>1</v>
      </c>
      <c r="X3076" s="21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96</v>
      </c>
      <c r="AJ3076" t="s">
        <v>51</v>
      </c>
      <c r="AK3076" t="s">
        <v>52</v>
      </c>
      <c r="AP3076" t="s">
        <v>951</v>
      </c>
    </row>
    <row r="3077" spans="1:42">
      <c r="A3077" s="16">
        <v>43791</v>
      </c>
      <c r="B3077">
        <v>5</v>
      </c>
      <c r="C3077">
        <v>983</v>
      </c>
      <c r="D3077">
        <v>10424</v>
      </c>
      <c r="E3077" t="s">
        <v>37</v>
      </c>
      <c r="F3077" t="s">
        <v>949</v>
      </c>
      <c r="G3077">
        <v>2</v>
      </c>
      <c r="H3077">
        <v>58</v>
      </c>
      <c r="I3077" s="25">
        <v>1820</v>
      </c>
      <c r="K3077" t="s">
        <v>53</v>
      </c>
      <c r="M3077" t="s">
        <v>52</v>
      </c>
      <c r="N3077" t="s">
        <v>42</v>
      </c>
      <c r="O3077">
        <v>105</v>
      </c>
      <c r="Q3077">
        <v>4</v>
      </c>
      <c r="R3077">
        <v>1</v>
      </c>
      <c r="S3077">
        <v>0</v>
      </c>
      <c r="T3077">
        <v>0</v>
      </c>
      <c r="U3077">
        <v>0</v>
      </c>
      <c r="V3077">
        <v>0</v>
      </c>
      <c r="W3077">
        <v>4</v>
      </c>
      <c r="X3077" s="21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192</v>
      </c>
      <c r="AJ3077" t="s">
        <v>51</v>
      </c>
      <c r="AK3077" t="s">
        <v>52</v>
      </c>
      <c r="AL3077" t="s">
        <v>1041</v>
      </c>
      <c r="AP3077" t="s">
        <v>951</v>
      </c>
    </row>
    <row r="3078" spans="1:42">
      <c r="A3078" s="16">
        <v>43791</v>
      </c>
      <c r="B3078">
        <v>5</v>
      </c>
      <c r="C3078">
        <v>983</v>
      </c>
      <c r="D3078">
        <v>10424</v>
      </c>
      <c r="E3078" t="s">
        <v>37</v>
      </c>
      <c r="F3078" t="s">
        <v>949</v>
      </c>
      <c r="G3078">
        <v>2</v>
      </c>
      <c r="H3078">
        <v>59</v>
      </c>
      <c r="I3078" s="25">
        <v>1700</v>
      </c>
      <c r="K3078" t="s">
        <v>909</v>
      </c>
      <c r="M3078" t="s">
        <v>52</v>
      </c>
      <c r="N3078" t="s">
        <v>40</v>
      </c>
      <c r="O3078">
        <v>35</v>
      </c>
      <c r="Q3078">
        <v>2</v>
      </c>
      <c r="R3078">
        <v>1</v>
      </c>
      <c r="S3078">
        <v>0</v>
      </c>
      <c r="T3078">
        <v>0</v>
      </c>
      <c r="U3078">
        <v>0</v>
      </c>
      <c r="V3078">
        <v>0</v>
      </c>
      <c r="W3078">
        <v>2</v>
      </c>
      <c r="X3078" s="21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192</v>
      </c>
      <c r="AJ3078" t="s">
        <v>51</v>
      </c>
      <c r="AK3078" t="s">
        <v>52</v>
      </c>
      <c r="AP3078" t="s">
        <v>951</v>
      </c>
    </row>
    <row r="3079" spans="1:42">
      <c r="A3079" s="16">
        <v>43791</v>
      </c>
      <c r="B3079">
        <v>5</v>
      </c>
      <c r="C3079">
        <v>983</v>
      </c>
      <c r="D3079">
        <v>10424</v>
      </c>
      <c r="E3079" t="s">
        <v>37</v>
      </c>
      <c r="F3079" t="s">
        <v>949</v>
      </c>
      <c r="G3079">
        <v>2</v>
      </c>
      <c r="H3079">
        <v>60</v>
      </c>
      <c r="I3079" s="25">
        <v>1730</v>
      </c>
      <c r="K3079" t="s">
        <v>909</v>
      </c>
      <c r="M3079" t="s">
        <v>52</v>
      </c>
      <c r="N3079" t="s">
        <v>44</v>
      </c>
      <c r="O3079">
        <v>130</v>
      </c>
      <c r="Q3079">
        <v>2</v>
      </c>
      <c r="R3079">
        <v>1</v>
      </c>
      <c r="S3079">
        <v>0</v>
      </c>
      <c r="T3079">
        <v>0</v>
      </c>
      <c r="U3079">
        <v>0</v>
      </c>
      <c r="V3079">
        <v>0</v>
      </c>
      <c r="W3079">
        <v>2</v>
      </c>
      <c r="X3079" s="21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192</v>
      </c>
      <c r="AJ3079" t="s">
        <v>51</v>
      </c>
      <c r="AK3079" t="s">
        <v>95</v>
      </c>
      <c r="AP3079" t="s">
        <v>951</v>
      </c>
    </row>
    <row r="3080" spans="1:42">
      <c r="A3080" s="16">
        <v>43791</v>
      </c>
      <c r="B3080">
        <v>5</v>
      </c>
      <c r="C3080">
        <v>983</v>
      </c>
      <c r="D3080">
        <v>10424</v>
      </c>
      <c r="E3080" t="s">
        <v>37</v>
      </c>
      <c r="F3080" t="s">
        <v>949</v>
      </c>
      <c r="G3080">
        <v>2</v>
      </c>
      <c r="H3080">
        <v>61</v>
      </c>
      <c r="I3080" s="25">
        <v>1715</v>
      </c>
      <c r="K3080" t="s">
        <v>599</v>
      </c>
      <c r="M3080" t="s">
        <v>52</v>
      </c>
      <c r="N3080" t="s">
        <v>44</v>
      </c>
      <c r="O3080">
        <v>94</v>
      </c>
      <c r="Q3080">
        <v>2</v>
      </c>
      <c r="R3080">
        <v>1</v>
      </c>
      <c r="S3080">
        <v>0</v>
      </c>
      <c r="T3080">
        <v>0</v>
      </c>
      <c r="U3080">
        <v>0</v>
      </c>
      <c r="V3080">
        <v>0</v>
      </c>
      <c r="W3080">
        <v>2</v>
      </c>
      <c r="X3080" s="21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192</v>
      </c>
      <c r="AJ3080" t="s">
        <v>51</v>
      </c>
      <c r="AK3080" t="s">
        <v>52</v>
      </c>
      <c r="AP3080" t="s">
        <v>951</v>
      </c>
    </row>
    <row r="3081" spans="1:42">
      <c r="A3081" s="16">
        <v>43791</v>
      </c>
      <c r="B3081">
        <v>5</v>
      </c>
      <c r="C3081">
        <v>983</v>
      </c>
      <c r="D3081">
        <v>10424</v>
      </c>
      <c r="E3081" t="s">
        <v>37</v>
      </c>
      <c r="F3081" t="s">
        <v>949</v>
      </c>
      <c r="G3081">
        <v>2</v>
      </c>
      <c r="H3081">
        <v>62</v>
      </c>
      <c r="I3081" s="25">
        <v>1800</v>
      </c>
      <c r="K3081" t="s">
        <v>49</v>
      </c>
      <c r="M3081" t="s">
        <v>52</v>
      </c>
      <c r="N3081" t="s">
        <v>44</v>
      </c>
      <c r="O3081">
        <v>155</v>
      </c>
      <c r="Q3081">
        <v>3</v>
      </c>
      <c r="R3081">
        <v>1</v>
      </c>
      <c r="S3081">
        <v>0</v>
      </c>
      <c r="T3081">
        <v>0</v>
      </c>
      <c r="U3081">
        <v>0</v>
      </c>
      <c r="V3081">
        <v>0</v>
      </c>
      <c r="W3081">
        <v>3</v>
      </c>
      <c r="X3081" s="2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288</v>
      </c>
      <c r="AJ3081" t="s">
        <v>51</v>
      </c>
      <c r="AK3081" t="s">
        <v>52</v>
      </c>
      <c r="AL3081" t="s">
        <v>1042</v>
      </c>
      <c r="AP3081" t="s">
        <v>951</v>
      </c>
    </row>
    <row r="3082" spans="1:42">
      <c r="A3082" s="16">
        <v>43791</v>
      </c>
      <c r="B3082">
        <v>5</v>
      </c>
      <c r="C3082">
        <v>983</v>
      </c>
      <c r="D3082">
        <v>10424</v>
      </c>
      <c r="E3082" t="s">
        <v>37</v>
      </c>
      <c r="F3082" t="s">
        <v>949</v>
      </c>
      <c r="G3082">
        <v>2</v>
      </c>
      <c r="H3082">
        <v>63</v>
      </c>
      <c r="I3082" s="25">
        <v>1977</v>
      </c>
      <c r="K3082" t="s">
        <v>49</v>
      </c>
      <c r="M3082" t="s">
        <v>52</v>
      </c>
      <c r="N3082" t="s">
        <v>44</v>
      </c>
      <c r="O3082">
        <v>158</v>
      </c>
      <c r="Q3082">
        <v>3</v>
      </c>
      <c r="R3082">
        <v>1</v>
      </c>
      <c r="S3082">
        <v>0</v>
      </c>
      <c r="T3082">
        <v>0</v>
      </c>
      <c r="U3082">
        <v>0</v>
      </c>
      <c r="V3082">
        <v>0</v>
      </c>
      <c r="W3082">
        <v>3</v>
      </c>
      <c r="X3082" s="21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288</v>
      </c>
      <c r="AJ3082" t="s">
        <v>51</v>
      </c>
      <c r="AK3082" t="s">
        <v>95</v>
      </c>
      <c r="AP3082" t="s">
        <v>951</v>
      </c>
    </row>
    <row r="3083" spans="1:42">
      <c r="A3083" s="16">
        <v>43791</v>
      </c>
      <c r="B3083">
        <v>5</v>
      </c>
      <c r="C3083">
        <v>983</v>
      </c>
      <c r="D3083">
        <v>10424</v>
      </c>
      <c r="E3083" t="s">
        <v>37</v>
      </c>
      <c r="F3083" t="s">
        <v>949</v>
      </c>
      <c r="G3083">
        <v>2</v>
      </c>
      <c r="H3083">
        <v>64</v>
      </c>
      <c r="I3083" s="25">
        <v>1680</v>
      </c>
      <c r="K3083" t="s">
        <v>599</v>
      </c>
      <c r="M3083" t="s">
        <v>52</v>
      </c>
      <c r="N3083" t="s">
        <v>44</v>
      </c>
      <c r="O3083">
        <v>230</v>
      </c>
      <c r="Q3083">
        <v>4</v>
      </c>
      <c r="R3083">
        <v>1</v>
      </c>
      <c r="S3083">
        <v>0</v>
      </c>
      <c r="T3083">
        <v>0</v>
      </c>
      <c r="U3083">
        <v>0</v>
      </c>
      <c r="V3083">
        <v>0</v>
      </c>
      <c r="W3083">
        <v>4</v>
      </c>
      <c r="X3083" s="21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384</v>
      </c>
      <c r="AJ3083" t="s">
        <v>51</v>
      </c>
      <c r="AK3083" t="s">
        <v>95</v>
      </c>
      <c r="AP3083" t="s">
        <v>951</v>
      </c>
    </row>
    <row r="3084" spans="1:42">
      <c r="A3084" s="16">
        <v>43791</v>
      </c>
      <c r="B3084">
        <v>5</v>
      </c>
      <c r="C3084">
        <v>983</v>
      </c>
      <c r="D3084">
        <v>10424</v>
      </c>
      <c r="E3084" t="s">
        <v>37</v>
      </c>
      <c r="F3084" t="s">
        <v>949</v>
      </c>
      <c r="G3084">
        <v>2</v>
      </c>
      <c r="H3084">
        <v>65</v>
      </c>
      <c r="I3084" s="25"/>
      <c r="K3084" t="s">
        <v>1043</v>
      </c>
      <c r="M3084" t="s">
        <v>52</v>
      </c>
      <c r="N3084" t="s">
        <v>40</v>
      </c>
      <c r="O3084">
        <v>110</v>
      </c>
      <c r="Q3084">
        <v>3</v>
      </c>
      <c r="R3084">
        <v>1</v>
      </c>
      <c r="S3084">
        <v>0</v>
      </c>
      <c r="T3084">
        <v>0</v>
      </c>
      <c r="U3084">
        <v>1</v>
      </c>
      <c r="V3084">
        <v>1</v>
      </c>
      <c r="W3084">
        <v>1</v>
      </c>
      <c r="X3084" s="21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190</v>
      </c>
      <c r="AJ3084" t="s">
        <v>51</v>
      </c>
      <c r="AK3084" t="s">
        <v>95</v>
      </c>
      <c r="AP3084" t="s">
        <v>951</v>
      </c>
    </row>
    <row r="3085" spans="1:42">
      <c r="A3085" s="16">
        <v>43791</v>
      </c>
      <c r="B3085">
        <v>5</v>
      </c>
      <c r="C3085">
        <v>983</v>
      </c>
      <c r="D3085">
        <v>10424</v>
      </c>
      <c r="E3085" t="s">
        <v>37</v>
      </c>
      <c r="F3085" t="s">
        <v>949</v>
      </c>
      <c r="G3085">
        <v>2</v>
      </c>
      <c r="H3085">
        <v>66</v>
      </c>
      <c r="I3085" s="25">
        <v>1890</v>
      </c>
      <c r="K3085" t="s">
        <v>49</v>
      </c>
      <c r="M3085" t="s">
        <v>52</v>
      </c>
      <c r="N3085" t="s">
        <v>44</v>
      </c>
      <c r="O3085">
        <v>151</v>
      </c>
      <c r="Q3085">
        <v>3</v>
      </c>
      <c r="R3085">
        <v>1</v>
      </c>
      <c r="S3085">
        <v>0</v>
      </c>
      <c r="T3085">
        <v>0</v>
      </c>
      <c r="U3085">
        <v>0</v>
      </c>
      <c r="V3085">
        <v>0</v>
      </c>
      <c r="W3085">
        <v>3</v>
      </c>
      <c r="X3085" s="21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288</v>
      </c>
      <c r="AJ3085" t="s">
        <v>51</v>
      </c>
      <c r="AK3085" t="s">
        <v>52</v>
      </c>
      <c r="AP3085" t="s">
        <v>951</v>
      </c>
    </row>
    <row r="3086" spans="1:42">
      <c r="A3086" s="16">
        <v>43791</v>
      </c>
      <c r="B3086">
        <v>5</v>
      </c>
      <c r="C3086">
        <v>983</v>
      </c>
      <c r="D3086">
        <v>10424</v>
      </c>
      <c r="E3086" t="s">
        <v>37</v>
      </c>
      <c r="F3086" t="s">
        <v>949</v>
      </c>
      <c r="G3086">
        <v>2</v>
      </c>
      <c r="H3086">
        <v>67</v>
      </c>
      <c r="I3086" s="25">
        <v>1750</v>
      </c>
      <c r="K3086" t="s">
        <v>49</v>
      </c>
      <c r="M3086" t="s">
        <v>52</v>
      </c>
      <c r="N3086" t="s">
        <v>44</v>
      </c>
      <c r="O3086">
        <v>125</v>
      </c>
      <c r="Q3086">
        <v>3</v>
      </c>
      <c r="R3086">
        <v>1</v>
      </c>
      <c r="S3086">
        <v>0</v>
      </c>
      <c r="T3086">
        <v>0</v>
      </c>
      <c r="U3086">
        <v>0</v>
      </c>
      <c r="V3086">
        <v>0</v>
      </c>
      <c r="W3086">
        <v>3</v>
      </c>
      <c r="X3086" s="21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288</v>
      </c>
      <c r="AJ3086" t="s">
        <v>51</v>
      </c>
      <c r="AK3086" t="s">
        <v>52</v>
      </c>
      <c r="AP3086" t="s">
        <v>951</v>
      </c>
    </row>
    <row r="3087" spans="1:42">
      <c r="A3087" s="16">
        <v>43791</v>
      </c>
      <c r="B3087">
        <v>5</v>
      </c>
      <c r="C3087">
        <v>983</v>
      </c>
      <c r="D3087">
        <v>10424</v>
      </c>
      <c r="E3087" t="s">
        <v>37</v>
      </c>
      <c r="F3087" t="s">
        <v>949</v>
      </c>
      <c r="G3087">
        <v>2</v>
      </c>
      <c r="H3087">
        <v>68</v>
      </c>
      <c r="I3087" s="25">
        <v>1774</v>
      </c>
      <c r="K3087" t="s">
        <v>49</v>
      </c>
      <c r="M3087" t="s">
        <v>52</v>
      </c>
      <c r="N3087" t="s">
        <v>44</v>
      </c>
      <c r="O3087">
        <v>136</v>
      </c>
      <c r="Q3087">
        <v>2</v>
      </c>
      <c r="R3087">
        <v>1</v>
      </c>
      <c r="S3087">
        <v>0</v>
      </c>
      <c r="T3087">
        <v>0</v>
      </c>
      <c r="U3087">
        <v>0</v>
      </c>
      <c r="V3087">
        <v>0</v>
      </c>
      <c r="W3087">
        <v>2</v>
      </c>
      <c r="X3087" s="21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192</v>
      </c>
      <c r="AJ3087" t="s">
        <v>51</v>
      </c>
      <c r="AK3087" t="s">
        <v>52</v>
      </c>
      <c r="AP3087" t="s">
        <v>951</v>
      </c>
    </row>
    <row r="3088" spans="1:42">
      <c r="A3088" s="16">
        <v>43791</v>
      </c>
      <c r="B3088">
        <v>5</v>
      </c>
      <c r="C3088">
        <v>983</v>
      </c>
      <c r="D3088">
        <v>10424</v>
      </c>
      <c r="E3088" t="s">
        <v>37</v>
      </c>
      <c r="F3088" t="s">
        <v>949</v>
      </c>
      <c r="G3088">
        <v>2</v>
      </c>
      <c r="H3088">
        <v>69</v>
      </c>
      <c r="I3088" s="25"/>
      <c r="K3088" t="s">
        <v>596</v>
      </c>
      <c r="M3088" t="s">
        <v>52</v>
      </c>
      <c r="N3088" t="s">
        <v>40</v>
      </c>
      <c r="O3088">
        <v>63</v>
      </c>
      <c r="Q3088">
        <v>2</v>
      </c>
      <c r="R3088">
        <v>1</v>
      </c>
      <c r="S3088">
        <v>0</v>
      </c>
      <c r="T3088">
        <v>0</v>
      </c>
      <c r="U3088">
        <v>0</v>
      </c>
      <c r="V3088">
        <v>2</v>
      </c>
      <c r="W3088">
        <v>0</v>
      </c>
      <c r="X3088" s="21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128</v>
      </c>
      <c r="AJ3088" t="s">
        <v>51</v>
      </c>
      <c r="AK3088" t="s">
        <v>52</v>
      </c>
      <c r="AP3088" t="s">
        <v>951</v>
      </c>
    </row>
    <row r="3089" spans="1:42">
      <c r="A3089" s="16">
        <v>43791</v>
      </c>
      <c r="B3089">
        <v>5</v>
      </c>
      <c r="C3089">
        <v>983</v>
      </c>
      <c r="D3089">
        <v>10424</v>
      </c>
      <c r="E3089" t="s">
        <v>37</v>
      </c>
      <c r="F3089" t="s">
        <v>949</v>
      </c>
      <c r="G3089">
        <v>2</v>
      </c>
      <c r="H3089">
        <v>70</v>
      </c>
      <c r="I3089" s="25">
        <v>1915</v>
      </c>
      <c r="K3089" t="s">
        <v>46</v>
      </c>
      <c r="M3089" t="s">
        <v>52</v>
      </c>
      <c r="N3089" t="s">
        <v>44</v>
      </c>
      <c r="O3089">
        <v>66</v>
      </c>
      <c r="Q3089">
        <v>1</v>
      </c>
      <c r="R3089">
        <v>1</v>
      </c>
      <c r="S3089">
        <v>0</v>
      </c>
      <c r="T3089">
        <v>0</v>
      </c>
      <c r="U3089">
        <v>0</v>
      </c>
      <c r="V3089">
        <v>0</v>
      </c>
      <c r="W3089">
        <v>1</v>
      </c>
      <c r="X3089" s="21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96</v>
      </c>
      <c r="AJ3089" t="s">
        <v>51</v>
      </c>
      <c r="AK3089" t="s">
        <v>52</v>
      </c>
      <c r="AP3089" t="s">
        <v>951</v>
      </c>
    </row>
    <row r="3090" spans="1:42">
      <c r="A3090" s="16">
        <v>43791</v>
      </c>
      <c r="B3090">
        <v>5</v>
      </c>
      <c r="C3090">
        <v>983</v>
      </c>
      <c r="D3090">
        <v>10424</v>
      </c>
      <c r="E3090" t="s">
        <v>37</v>
      </c>
      <c r="F3090" t="s">
        <v>949</v>
      </c>
      <c r="G3090">
        <v>2</v>
      </c>
      <c r="H3090">
        <v>71</v>
      </c>
      <c r="I3090" s="25">
        <v>1800</v>
      </c>
      <c r="K3090" t="s">
        <v>49</v>
      </c>
      <c r="M3090" t="s">
        <v>95</v>
      </c>
      <c r="N3090" t="s">
        <v>42</v>
      </c>
      <c r="O3090">
        <v>132</v>
      </c>
      <c r="Q3090">
        <v>6</v>
      </c>
      <c r="R3090">
        <v>1</v>
      </c>
      <c r="S3090">
        <v>0</v>
      </c>
      <c r="T3090">
        <v>0</v>
      </c>
      <c r="U3090">
        <v>0</v>
      </c>
      <c r="V3090">
        <v>0</v>
      </c>
      <c r="W3090">
        <v>6</v>
      </c>
      <c r="X3090" s="21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576</v>
      </c>
      <c r="AJ3090" t="s">
        <v>51</v>
      </c>
      <c r="AK3090" t="s">
        <v>95</v>
      </c>
      <c r="AP3090" t="s">
        <v>951</v>
      </c>
    </row>
    <row r="3091" spans="1:42">
      <c r="A3091" s="16">
        <v>43791</v>
      </c>
      <c r="B3091">
        <v>5</v>
      </c>
      <c r="C3091">
        <v>983</v>
      </c>
      <c r="D3091">
        <v>10424</v>
      </c>
      <c r="E3091" t="s">
        <v>37</v>
      </c>
      <c r="F3091" t="s">
        <v>949</v>
      </c>
      <c r="G3091">
        <v>2</v>
      </c>
      <c r="H3091">
        <v>72</v>
      </c>
      <c r="I3091" s="25">
        <v>1840</v>
      </c>
      <c r="K3091" t="s">
        <v>49</v>
      </c>
      <c r="M3091" t="s">
        <v>52</v>
      </c>
      <c r="N3091" t="s">
        <v>44</v>
      </c>
      <c r="O3091">
        <v>41</v>
      </c>
      <c r="Q3091">
        <v>1</v>
      </c>
      <c r="R3091">
        <v>1</v>
      </c>
      <c r="S3091">
        <v>0</v>
      </c>
      <c r="T3091">
        <v>0</v>
      </c>
      <c r="U3091">
        <v>0</v>
      </c>
      <c r="V3091">
        <v>0</v>
      </c>
      <c r="W3091">
        <v>1</v>
      </c>
      <c r="X3091" s="2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96</v>
      </c>
      <c r="AJ3091" t="s">
        <v>51</v>
      </c>
      <c r="AK3091" t="s">
        <v>52</v>
      </c>
      <c r="AP3091" t="s">
        <v>951</v>
      </c>
    </row>
    <row r="3092" spans="1:42">
      <c r="A3092" s="16">
        <v>43791</v>
      </c>
      <c r="B3092">
        <v>5</v>
      </c>
      <c r="C3092">
        <v>983</v>
      </c>
      <c r="D3092">
        <v>10424</v>
      </c>
      <c r="E3092" t="s">
        <v>37</v>
      </c>
      <c r="F3092" t="s">
        <v>949</v>
      </c>
      <c r="G3092">
        <v>2</v>
      </c>
      <c r="H3092">
        <v>73</v>
      </c>
      <c r="I3092" s="25"/>
      <c r="K3092" t="s">
        <v>909</v>
      </c>
      <c r="M3092" t="s">
        <v>52</v>
      </c>
      <c r="N3092" t="s">
        <v>40</v>
      </c>
      <c r="O3092">
        <v>22</v>
      </c>
      <c r="Q3092">
        <v>1</v>
      </c>
      <c r="R3092">
        <v>1</v>
      </c>
      <c r="S3092">
        <v>0</v>
      </c>
      <c r="T3092">
        <v>0</v>
      </c>
      <c r="U3092">
        <v>0</v>
      </c>
      <c r="V3092">
        <v>0</v>
      </c>
      <c r="W3092">
        <v>1</v>
      </c>
      <c r="X3092" s="21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96</v>
      </c>
      <c r="AJ3092" t="s">
        <v>51</v>
      </c>
      <c r="AK3092" t="s">
        <v>95</v>
      </c>
      <c r="AP3092" t="s">
        <v>951</v>
      </c>
    </row>
    <row r="3093" spans="1:42">
      <c r="A3093" s="16">
        <v>43791</v>
      </c>
      <c r="B3093">
        <v>5</v>
      </c>
      <c r="C3093">
        <v>983</v>
      </c>
      <c r="D3093">
        <v>10424</v>
      </c>
      <c r="E3093" t="s">
        <v>37</v>
      </c>
      <c r="F3093" t="s">
        <v>949</v>
      </c>
      <c r="G3093">
        <v>2</v>
      </c>
      <c r="H3093">
        <v>74</v>
      </c>
      <c r="I3093" s="25"/>
      <c r="K3093" t="s">
        <v>909</v>
      </c>
      <c r="M3093" t="s">
        <v>52</v>
      </c>
      <c r="N3093" t="s">
        <v>40</v>
      </c>
      <c r="O3093">
        <v>38</v>
      </c>
      <c r="Q3093">
        <v>1</v>
      </c>
      <c r="R3093">
        <v>1</v>
      </c>
      <c r="S3093">
        <v>0</v>
      </c>
      <c r="T3093">
        <v>0</v>
      </c>
      <c r="U3093">
        <v>0</v>
      </c>
      <c r="V3093">
        <v>0</v>
      </c>
      <c r="W3093">
        <v>1</v>
      </c>
      <c r="X3093" s="21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96</v>
      </c>
      <c r="AJ3093" t="s">
        <v>51</v>
      </c>
      <c r="AK3093" t="s">
        <v>95</v>
      </c>
      <c r="AP3093" t="s">
        <v>951</v>
      </c>
    </row>
    <row r="3094" spans="1:42">
      <c r="A3094" s="16">
        <v>43791</v>
      </c>
      <c r="B3094">
        <v>5</v>
      </c>
      <c r="C3094">
        <v>983</v>
      </c>
      <c r="D3094">
        <v>10424</v>
      </c>
      <c r="E3094" t="s">
        <v>37</v>
      </c>
      <c r="F3094" t="s">
        <v>949</v>
      </c>
      <c r="G3094">
        <v>2</v>
      </c>
      <c r="H3094">
        <v>75</v>
      </c>
      <c r="I3094" s="25"/>
      <c r="K3094" t="s">
        <v>69</v>
      </c>
      <c r="M3094" t="s">
        <v>52</v>
      </c>
      <c r="N3094" t="s">
        <v>40</v>
      </c>
      <c r="O3094">
        <v>150</v>
      </c>
      <c r="Q3094">
        <v>1</v>
      </c>
      <c r="R3094">
        <v>1</v>
      </c>
      <c r="S3094">
        <v>0</v>
      </c>
      <c r="T3094">
        <v>0</v>
      </c>
      <c r="U3094">
        <v>0</v>
      </c>
      <c r="V3094">
        <v>0</v>
      </c>
      <c r="W3094">
        <v>1</v>
      </c>
      <c r="X3094" s="21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96</v>
      </c>
      <c r="AJ3094" t="s">
        <v>51</v>
      </c>
      <c r="AK3094" t="s">
        <v>95</v>
      </c>
      <c r="AL3094" t="s">
        <v>1044</v>
      </c>
      <c r="AP3094" t="s">
        <v>951</v>
      </c>
    </row>
    <row r="3095" spans="1:42">
      <c r="A3095" s="16">
        <v>43791</v>
      </c>
      <c r="B3095">
        <v>5</v>
      </c>
      <c r="C3095">
        <v>983</v>
      </c>
      <c r="D3095">
        <v>10424</v>
      </c>
      <c r="E3095" t="s">
        <v>37</v>
      </c>
      <c r="F3095" t="s">
        <v>949</v>
      </c>
      <c r="G3095">
        <v>2</v>
      </c>
      <c r="H3095">
        <v>76</v>
      </c>
      <c r="I3095" s="25"/>
      <c r="K3095" t="s">
        <v>909</v>
      </c>
      <c r="M3095" t="s">
        <v>52</v>
      </c>
      <c r="N3095" t="s">
        <v>40</v>
      </c>
      <c r="O3095">
        <v>54</v>
      </c>
      <c r="Q3095">
        <v>2</v>
      </c>
      <c r="R3095">
        <v>1</v>
      </c>
      <c r="S3095">
        <v>0</v>
      </c>
      <c r="T3095">
        <v>0</v>
      </c>
      <c r="U3095">
        <v>0</v>
      </c>
      <c r="V3095">
        <v>1</v>
      </c>
      <c r="W3095">
        <v>1</v>
      </c>
      <c r="X3095" s="21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160</v>
      </c>
      <c r="AJ3095" t="s">
        <v>51</v>
      </c>
      <c r="AK3095" t="s">
        <v>52</v>
      </c>
      <c r="AP3095" t="s">
        <v>951</v>
      </c>
    </row>
    <row r="3096" spans="1:42">
      <c r="A3096" s="16">
        <v>43791</v>
      </c>
      <c r="B3096">
        <v>5</v>
      </c>
      <c r="C3096">
        <v>983</v>
      </c>
      <c r="D3096">
        <v>10424</v>
      </c>
      <c r="E3096" t="s">
        <v>37</v>
      </c>
      <c r="F3096" t="s">
        <v>949</v>
      </c>
      <c r="G3096">
        <v>2</v>
      </c>
      <c r="H3096">
        <v>77</v>
      </c>
      <c r="I3096" s="25"/>
      <c r="K3096" t="s">
        <v>909</v>
      </c>
      <c r="M3096" t="s">
        <v>52</v>
      </c>
      <c r="N3096" t="s">
        <v>40</v>
      </c>
      <c r="O3096">
        <v>51</v>
      </c>
      <c r="Q3096">
        <v>2</v>
      </c>
      <c r="R3096">
        <v>1</v>
      </c>
      <c r="S3096">
        <v>0</v>
      </c>
      <c r="T3096">
        <v>0</v>
      </c>
      <c r="U3096">
        <v>1</v>
      </c>
      <c r="V3096">
        <v>0</v>
      </c>
      <c r="W3096">
        <v>1</v>
      </c>
      <c r="X3096" s="21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128</v>
      </c>
      <c r="AJ3096" t="s">
        <v>51</v>
      </c>
      <c r="AK3096" t="s">
        <v>95</v>
      </c>
      <c r="AP3096" t="s">
        <v>951</v>
      </c>
    </row>
    <row r="3097" spans="1:42">
      <c r="A3097" s="16">
        <v>43791</v>
      </c>
      <c r="B3097">
        <v>5</v>
      </c>
      <c r="C3097">
        <v>983</v>
      </c>
      <c r="D3097">
        <v>10424</v>
      </c>
      <c r="E3097" t="s">
        <v>37</v>
      </c>
      <c r="F3097" t="s">
        <v>949</v>
      </c>
      <c r="G3097">
        <v>2</v>
      </c>
      <c r="H3097">
        <v>78</v>
      </c>
      <c r="I3097" s="25">
        <v>2295</v>
      </c>
      <c r="K3097" t="s">
        <v>56</v>
      </c>
      <c r="M3097" t="s">
        <v>52</v>
      </c>
      <c r="N3097" t="s">
        <v>44</v>
      </c>
      <c r="O3097">
        <v>90</v>
      </c>
      <c r="Q3097">
        <v>1</v>
      </c>
      <c r="R3097">
        <v>1</v>
      </c>
      <c r="S3097">
        <v>0</v>
      </c>
      <c r="T3097">
        <v>0</v>
      </c>
      <c r="U3097">
        <v>0</v>
      </c>
      <c r="V3097">
        <v>0</v>
      </c>
      <c r="W3097">
        <v>1</v>
      </c>
      <c r="X3097" s="21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96</v>
      </c>
      <c r="AJ3097" t="s">
        <v>51</v>
      </c>
      <c r="AK3097" t="s">
        <v>52</v>
      </c>
      <c r="AP3097" t="s">
        <v>951</v>
      </c>
    </row>
    <row r="3098" spans="1:42">
      <c r="A3098" s="16">
        <v>43791</v>
      </c>
      <c r="B3098">
        <v>5</v>
      </c>
      <c r="C3098">
        <v>983</v>
      </c>
      <c r="D3098">
        <v>10424</v>
      </c>
      <c r="E3098" t="s">
        <v>37</v>
      </c>
      <c r="F3098" t="s">
        <v>949</v>
      </c>
      <c r="G3098">
        <v>2</v>
      </c>
      <c r="H3098">
        <v>79</v>
      </c>
      <c r="I3098" s="25" t="s">
        <v>1045</v>
      </c>
      <c r="K3098" t="s">
        <v>1046</v>
      </c>
      <c r="M3098" t="s">
        <v>52</v>
      </c>
      <c r="N3098" t="s">
        <v>44</v>
      </c>
      <c r="O3098">
        <v>126</v>
      </c>
      <c r="Q3098">
        <v>3</v>
      </c>
      <c r="R3098">
        <v>1</v>
      </c>
      <c r="S3098">
        <v>0</v>
      </c>
      <c r="T3098">
        <v>0</v>
      </c>
      <c r="U3098">
        <v>0</v>
      </c>
      <c r="V3098">
        <v>0</v>
      </c>
      <c r="W3098">
        <v>3</v>
      </c>
      <c r="X3098" s="21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288</v>
      </c>
      <c r="AJ3098" t="s">
        <v>51</v>
      </c>
      <c r="AK3098" t="s">
        <v>52</v>
      </c>
      <c r="AP3098" t="s">
        <v>951</v>
      </c>
    </row>
    <row r="3099" spans="1:42">
      <c r="A3099" s="16">
        <v>43791</v>
      </c>
      <c r="B3099">
        <v>5</v>
      </c>
      <c r="C3099">
        <v>983</v>
      </c>
      <c r="D3099">
        <v>10424</v>
      </c>
      <c r="E3099" t="s">
        <v>37</v>
      </c>
      <c r="F3099" t="s">
        <v>949</v>
      </c>
      <c r="G3099">
        <v>2</v>
      </c>
      <c r="H3099">
        <v>80</v>
      </c>
      <c r="I3099" s="25" t="s">
        <v>1047</v>
      </c>
      <c r="K3099" t="s">
        <v>56</v>
      </c>
      <c r="M3099" t="s">
        <v>52</v>
      </c>
      <c r="N3099" t="s">
        <v>44</v>
      </c>
      <c r="O3099">
        <v>376</v>
      </c>
      <c r="Q3099">
        <v>9</v>
      </c>
      <c r="R3099">
        <v>1</v>
      </c>
      <c r="S3099">
        <v>0</v>
      </c>
      <c r="T3099">
        <v>0</v>
      </c>
      <c r="U3099">
        <v>0</v>
      </c>
      <c r="V3099">
        <v>0</v>
      </c>
      <c r="W3099">
        <v>9</v>
      </c>
      <c r="X3099" s="21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864</v>
      </c>
      <c r="AJ3099" t="s">
        <v>51</v>
      </c>
      <c r="AK3099" t="s">
        <v>52</v>
      </c>
      <c r="AL3099" t="s">
        <v>1048</v>
      </c>
      <c r="AP3099" t="s">
        <v>951</v>
      </c>
    </row>
    <row r="3100" spans="1:42">
      <c r="A3100" s="16">
        <v>43791</v>
      </c>
      <c r="B3100">
        <v>5</v>
      </c>
      <c r="C3100">
        <v>983</v>
      </c>
      <c r="D3100">
        <v>10424</v>
      </c>
      <c r="E3100" t="s">
        <v>37</v>
      </c>
      <c r="F3100" t="s">
        <v>949</v>
      </c>
      <c r="G3100">
        <v>2</v>
      </c>
      <c r="H3100">
        <v>81</v>
      </c>
      <c r="I3100" s="25">
        <v>1808</v>
      </c>
      <c r="K3100" t="s">
        <v>595</v>
      </c>
      <c r="M3100" t="s">
        <v>52</v>
      </c>
      <c r="N3100" t="s">
        <v>44</v>
      </c>
      <c r="O3100">
        <v>92</v>
      </c>
      <c r="Q3100">
        <v>1</v>
      </c>
      <c r="R3100">
        <v>1</v>
      </c>
      <c r="S3100">
        <v>0</v>
      </c>
      <c r="T3100">
        <v>0</v>
      </c>
      <c r="U3100">
        <v>0</v>
      </c>
      <c r="V3100">
        <v>0</v>
      </c>
      <c r="W3100">
        <v>1</v>
      </c>
      <c r="X3100" s="21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96</v>
      </c>
      <c r="AJ3100" t="s">
        <v>51</v>
      </c>
      <c r="AK3100" t="s">
        <v>52</v>
      </c>
      <c r="AP3100" t="s">
        <v>951</v>
      </c>
    </row>
    <row r="3101" spans="1:42">
      <c r="A3101" s="16">
        <v>43791</v>
      </c>
      <c r="B3101">
        <v>5</v>
      </c>
      <c r="C3101">
        <v>983</v>
      </c>
      <c r="D3101">
        <v>10424</v>
      </c>
      <c r="E3101" t="s">
        <v>37</v>
      </c>
      <c r="F3101" t="s">
        <v>949</v>
      </c>
      <c r="G3101">
        <v>2</v>
      </c>
      <c r="H3101">
        <v>82</v>
      </c>
      <c r="I3101" s="25">
        <v>1914</v>
      </c>
      <c r="K3101" t="s">
        <v>69</v>
      </c>
      <c r="M3101" t="s">
        <v>52</v>
      </c>
      <c r="N3101" t="s">
        <v>44</v>
      </c>
      <c r="O3101">
        <v>107</v>
      </c>
      <c r="Q3101">
        <v>4</v>
      </c>
      <c r="R3101">
        <v>1</v>
      </c>
      <c r="S3101">
        <v>0</v>
      </c>
      <c r="T3101">
        <v>0</v>
      </c>
      <c r="U3101">
        <v>0</v>
      </c>
      <c r="V3101">
        <v>0</v>
      </c>
      <c r="W3101">
        <v>4</v>
      </c>
      <c r="X3101" s="2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384</v>
      </c>
      <c r="AJ3101" t="s">
        <v>51</v>
      </c>
      <c r="AK3101" t="s">
        <v>52</v>
      </c>
      <c r="AP3101" t="s">
        <v>951</v>
      </c>
    </row>
    <row r="3102" spans="1:42">
      <c r="A3102" s="16">
        <v>43791</v>
      </c>
      <c r="B3102">
        <v>5</v>
      </c>
      <c r="C3102">
        <v>983</v>
      </c>
      <c r="D3102">
        <v>10424</v>
      </c>
      <c r="E3102" t="s">
        <v>37</v>
      </c>
      <c r="F3102" t="s">
        <v>949</v>
      </c>
      <c r="G3102">
        <v>2</v>
      </c>
      <c r="H3102">
        <v>83</v>
      </c>
      <c r="I3102" s="25">
        <v>1920</v>
      </c>
      <c r="K3102" t="s">
        <v>69</v>
      </c>
      <c r="M3102" t="s">
        <v>52</v>
      </c>
      <c r="N3102" t="s">
        <v>44</v>
      </c>
      <c r="O3102">
        <v>122</v>
      </c>
      <c r="Q3102">
        <v>2</v>
      </c>
      <c r="R3102">
        <v>1</v>
      </c>
      <c r="S3102">
        <v>0</v>
      </c>
      <c r="T3102">
        <v>0</v>
      </c>
      <c r="U3102">
        <v>0</v>
      </c>
      <c r="V3102">
        <v>0</v>
      </c>
      <c r="W3102">
        <v>2</v>
      </c>
      <c r="X3102" s="21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192</v>
      </c>
      <c r="AJ3102" t="s">
        <v>51</v>
      </c>
      <c r="AK3102" t="s">
        <v>52</v>
      </c>
      <c r="AP3102" t="s">
        <v>951</v>
      </c>
    </row>
    <row r="3103" spans="1:42">
      <c r="A3103" s="16">
        <v>43791</v>
      </c>
      <c r="B3103">
        <v>5</v>
      </c>
      <c r="C3103">
        <v>983</v>
      </c>
      <c r="D3103">
        <v>10424</v>
      </c>
      <c r="E3103" t="s">
        <v>37</v>
      </c>
      <c r="F3103" t="s">
        <v>949</v>
      </c>
      <c r="G3103">
        <v>2</v>
      </c>
      <c r="H3103">
        <v>84</v>
      </c>
      <c r="I3103" s="25">
        <v>1915</v>
      </c>
      <c r="K3103" t="s">
        <v>595</v>
      </c>
      <c r="M3103" t="s">
        <v>52</v>
      </c>
      <c r="N3103" t="s">
        <v>44</v>
      </c>
      <c r="O3103">
        <v>80</v>
      </c>
      <c r="Q3103">
        <v>2</v>
      </c>
      <c r="R3103">
        <v>1</v>
      </c>
      <c r="S3103">
        <v>0</v>
      </c>
      <c r="T3103">
        <v>0</v>
      </c>
      <c r="U3103">
        <v>0</v>
      </c>
      <c r="V3103">
        <v>0</v>
      </c>
      <c r="W3103">
        <v>2</v>
      </c>
      <c r="X3103" s="21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192</v>
      </c>
      <c r="AJ3103" t="s">
        <v>51</v>
      </c>
      <c r="AK3103" t="s">
        <v>95</v>
      </c>
      <c r="AP3103" t="s">
        <v>951</v>
      </c>
    </row>
    <row r="3104" spans="1:42">
      <c r="A3104" s="16">
        <v>43791</v>
      </c>
      <c r="B3104">
        <v>5</v>
      </c>
      <c r="C3104">
        <v>983</v>
      </c>
      <c r="D3104">
        <v>10424</v>
      </c>
      <c r="E3104" t="s">
        <v>37</v>
      </c>
      <c r="F3104" t="s">
        <v>949</v>
      </c>
      <c r="G3104">
        <v>2</v>
      </c>
      <c r="H3104">
        <v>85</v>
      </c>
      <c r="I3104" s="25">
        <v>2025</v>
      </c>
      <c r="K3104" t="s">
        <v>595</v>
      </c>
      <c r="M3104" t="s">
        <v>52</v>
      </c>
      <c r="N3104" t="s">
        <v>44</v>
      </c>
      <c r="O3104">
        <v>86</v>
      </c>
      <c r="Q3104">
        <v>2</v>
      </c>
      <c r="R3104">
        <v>1</v>
      </c>
      <c r="S3104">
        <v>0</v>
      </c>
      <c r="T3104">
        <v>0</v>
      </c>
      <c r="U3104">
        <v>0</v>
      </c>
      <c r="V3104">
        <v>0</v>
      </c>
      <c r="W3104">
        <v>2</v>
      </c>
      <c r="X3104" s="21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192</v>
      </c>
      <c r="AJ3104" t="s">
        <v>51</v>
      </c>
      <c r="AK3104" t="s">
        <v>95</v>
      </c>
      <c r="AP3104" t="s">
        <v>951</v>
      </c>
    </row>
    <row r="3105" spans="1:42">
      <c r="A3105" s="16">
        <v>43791</v>
      </c>
      <c r="B3105">
        <v>5</v>
      </c>
      <c r="C3105">
        <v>983</v>
      </c>
      <c r="D3105">
        <v>10424</v>
      </c>
      <c r="E3105" t="s">
        <v>37</v>
      </c>
      <c r="F3105" t="s">
        <v>949</v>
      </c>
      <c r="G3105">
        <v>2</v>
      </c>
      <c r="H3105">
        <v>86</v>
      </c>
      <c r="I3105" s="25">
        <v>2126</v>
      </c>
      <c r="K3105" t="s">
        <v>69</v>
      </c>
      <c r="M3105" t="s">
        <v>52</v>
      </c>
      <c r="N3105" t="s">
        <v>44</v>
      </c>
      <c r="O3105">
        <v>99</v>
      </c>
      <c r="Q3105">
        <v>2</v>
      </c>
      <c r="R3105">
        <v>1</v>
      </c>
      <c r="S3105">
        <v>0</v>
      </c>
      <c r="T3105">
        <v>0</v>
      </c>
      <c r="U3105">
        <v>0</v>
      </c>
      <c r="V3105">
        <v>0</v>
      </c>
      <c r="W3105">
        <v>2</v>
      </c>
      <c r="X3105" s="21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192</v>
      </c>
      <c r="AJ3105" t="s">
        <v>51</v>
      </c>
      <c r="AK3105" t="s">
        <v>95</v>
      </c>
      <c r="AP3105" t="s">
        <v>951</v>
      </c>
    </row>
    <row r="3106" spans="1:42">
      <c r="A3106" s="16">
        <v>43791</v>
      </c>
      <c r="B3106">
        <v>5</v>
      </c>
      <c r="C3106">
        <v>983</v>
      </c>
      <c r="D3106">
        <v>10424</v>
      </c>
      <c r="E3106" t="s">
        <v>37</v>
      </c>
      <c r="F3106" t="s">
        <v>949</v>
      </c>
      <c r="G3106">
        <v>2</v>
      </c>
      <c r="H3106">
        <v>87</v>
      </c>
      <c r="I3106" s="25"/>
      <c r="K3106" t="s">
        <v>69</v>
      </c>
      <c r="M3106" t="s">
        <v>52</v>
      </c>
      <c r="N3106" t="s">
        <v>40</v>
      </c>
      <c r="O3106">
        <v>174</v>
      </c>
      <c r="Q3106">
        <v>2</v>
      </c>
      <c r="R3106">
        <v>1</v>
      </c>
      <c r="S3106">
        <v>0</v>
      </c>
      <c r="T3106">
        <v>0</v>
      </c>
      <c r="U3106">
        <v>0</v>
      </c>
      <c r="V3106">
        <v>0</v>
      </c>
      <c r="W3106">
        <v>2</v>
      </c>
      <c r="X3106" s="21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192</v>
      </c>
      <c r="AJ3106" t="s">
        <v>51</v>
      </c>
      <c r="AK3106" t="s">
        <v>52</v>
      </c>
      <c r="AL3106" t="s">
        <v>1049</v>
      </c>
      <c r="AP3106" t="s">
        <v>951</v>
      </c>
    </row>
    <row r="3107" spans="1:42">
      <c r="A3107" s="16">
        <v>43791</v>
      </c>
      <c r="B3107">
        <v>5</v>
      </c>
      <c r="C3107">
        <v>983</v>
      </c>
      <c r="D3107">
        <v>10424</v>
      </c>
      <c r="E3107" t="s">
        <v>37</v>
      </c>
      <c r="F3107" t="s">
        <v>949</v>
      </c>
      <c r="G3107">
        <v>2</v>
      </c>
      <c r="H3107">
        <v>88</v>
      </c>
      <c r="I3107" s="25" t="s">
        <v>1050</v>
      </c>
      <c r="K3107" t="s">
        <v>1051</v>
      </c>
      <c r="M3107" t="s">
        <v>95</v>
      </c>
      <c r="N3107" t="s">
        <v>44</v>
      </c>
      <c r="O3107">
        <v>225</v>
      </c>
      <c r="Q3107">
        <v>5</v>
      </c>
      <c r="R3107">
        <v>1</v>
      </c>
      <c r="S3107">
        <v>0</v>
      </c>
      <c r="T3107">
        <v>0</v>
      </c>
      <c r="U3107">
        <v>0</v>
      </c>
      <c r="V3107">
        <v>0</v>
      </c>
      <c r="W3107">
        <v>5</v>
      </c>
      <c r="X3107" s="21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480</v>
      </c>
      <c r="AJ3107" t="s">
        <v>51</v>
      </c>
      <c r="AK3107" t="s">
        <v>52</v>
      </c>
      <c r="AP3107" t="s">
        <v>951</v>
      </c>
    </row>
    <row r="3108" spans="1:42">
      <c r="A3108" s="16">
        <v>43791</v>
      </c>
      <c r="B3108">
        <v>5</v>
      </c>
      <c r="C3108">
        <v>983</v>
      </c>
      <c r="D3108">
        <v>10424</v>
      </c>
      <c r="E3108" t="s">
        <v>37</v>
      </c>
      <c r="F3108" t="s">
        <v>949</v>
      </c>
      <c r="G3108">
        <v>2</v>
      </c>
      <c r="H3108">
        <v>89</v>
      </c>
      <c r="I3108" s="25">
        <v>2355</v>
      </c>
      <c r="K3108" t="s">
        <v>56</v>
      </c>
      <c r="M3108" t="s">
        <v>52</v>
      </c>
      <c r="N3108" t="s">
        <v>44</v>
      </c>
      <c r="O3108">
        <v>70</v>
      </c>
      <c r="Q3108">
        <v>1</v>
      </c>
      <c r="R3108">
        <v>1</v>
      </c>
      <c r="S3108">
        <v>0</v>
      </c>
      <c r="T3108">
        <v>0</v>
      </c>
      <c r="U3108">
        <v>0</v>
      </c>
      <c r="V3108">
        <v>1</v>
      </c>
      <c r="W3108">
        <v>0</v>
      </c>
      <c r="X3108" s="21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64</v>
      </c>
      <c r="AJ3108" t="s">
        <v>51</v>
      </c>
      <c r="AK3108" t="s">
        <v>52</v>
      </c>
      <c r="AP3108" t="s">
        <v>951</v>
      </c>
    </row>
    <row r="3109" spans="1:42">
      <c r="A3109" s="16">
        <v>43791</v>
      </c>
      <c r="B3109">
        <v>5</v>
      </c>
      <c r="C3109">
        <v>983</v>
      </c>
      <c r="D3109">
        <v>10424</v>
      </c>
      <c r="E3109" t="s">
        <v>37</v>
      </c>
      <c r="F3109" t="s">
        <v>949</v>
      </c>
      <c r="G3109">
        <v>2</v>
      </c>
      <c r="H3109">
        <v>90</v>
      </c>
      <c r="I3109" s="25">
        <v>2101</v>
      </c>
      <c r="K3109" t="s">
        <v>56</v>
      </c>
      <c r="M3109" t="s">
        <v>52</v>
      </c>
      <c r="N3109" t="s">
        <v>44</v>
      </c>
      <c r="O3109">
        <v>115</v>
      </c>
      <c r="Q3109">
        <v>2</v>
      </c>
      <c r="R3109">
        <v>1</v>
      </c>
      <c r="S3109">
        <v>0</v>
      </c>
      <c r="T3109">
        <v>0</v>
      </c>
      <c r="U3109">
        <v>0</v>
      </c>
      <c r="V3109">
        <v>0</v>
      </c>
      <c r="W3109">
        <v>2</v>
      </c>
      <c r="X3109" s="21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192</v>
      </c>
      <c r="AJ3109" t="s">
        <v>51</v>
      </c>
      <c r="AK3109" t="s">
        <v>52</v>
      </c>
      <c r="AP3109" t="s">
        <v>951</v>
      </c>
    </row>
    <row r="3110" spans="1:42">
      <c r="A3110" s="16">
        <v>43794</v>
      </c>
      <c r="B3110">
        <v>1</v>
      </c>
      <c r="C3110">
        <v>982</v>
      </c>
      <c r="D3110">
        <v>10418</v>
      </c>
      <c r="E3110" t="s">
        <v>37</v>
      </c>
      <c r="F3110" t="s">
        <v>949</v>
      </c>
      <c r="G3110">
        <v>2</v>
      </c>
      <c r="H3110">
        <v>1</v>
      </c>
      <c r="I3110" s="25">
        <v>1029</v>
      </c>
      <c r="K3110" t="s">
        <v>74</v>
      </c>
      <c r="M3110" t="s">
        <v>52</v>
      </c>
      <c r="N3110" t="s">
        <v>44</v>
      </c>
      <c r="O3110">
        <v>200</v>
      </c>
      <c r="Q3110">
        <v>6</v>
      </c>
      <c r="R3110">
        <v>1</v>
      </c>
      <c r="S3110">
        <v>0</v>
      </c>
      <c r="T3110">
        <v>0</v>
      </c>
      <c r="U3110">
        <v>1</v>
      </c>
      <c r="V3110">
        <v>1</v>
      </c>
      <c r="W3110">
        <v>4</v>
      </c>
      <c r="X3110" s="21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480</v>
      </c>
      <c r="AJ3110" t="s">
        <v>54</v>
      </c>
      <c r="AK3110" t="s">
        <v>95</v>
      </c>
      <c r="AP3110" t="s">
        <v>951</v>
      </c>
    </row>
    <row r="3111" spans="1:42">
      <c r="A3111" s="16">
        <v>43794</v>
      </c>
      <c r="B3111">
        <v>1</v>
      </c>
      <c r="C3111">
        <v>982</v>
      </c>
      <c r="D3111">
        <v>10418</v>
      </c>
      <c r="E3111" t="s">
        <v>37</v>
      </c>
      <c r="F3111" t="s">
        <v>949</v>
      </c>
      <c r="G3111">
        <v>2</v>
      </c>
      <c r="H3111">
        <v>2</v>
      </c>
      <c r="I3111" s="25"/>
      <c r="K3111" t="s">
        <v>1052</v>
      </c>
      <c r="M3111" t="s">
        <v>52</v>
      </c>
      <c r="N3111" t="s">
        <v>40</v>
      </c>
      <c r="O3111">
        <v>80</v>
      </c>
      <c r="Q3111">
        <v>1</v>
      </c>
      <c r="R3111">
        <v>1</v>
      </c>
      <c r="S3111">
        <v>0</v>
      </c>
      <c r="T3111">
        <v>0</v>
      </c>
      <c r="U3111">
        <v>0</v>
      </c>
      <c r="V3111">
        <v>0</v>
      </c>
      <c r="W3111">
        <v>1</v>
      </c>
      <c r="X3111" s="2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96</v>
      </c>
      <c r="AJ3111" t="s">
        <v>54</v>
      </c>
      <c r="AK3111" t="s">
        <v>95</v>
      </c>
      <c r="AP3111" t="s">
        <v>951</v>
      </c>
    </row>
    <row r="3112" spans="1:42">
      <c r="A3112" s="16">
        <v>43794</v>
      </c>
      <c r="B3112">
        <v>1</v>
      </c>
      <c r="C3112">
        <v>982</v>
      </c>
      <c r="D3112">
        <v>10418</v>
      </c>
      <c r="E3112" t="s">
        <v>37</v>
      </c>
      <c r="F3112" t="s">
        <v>949</v>
      </c>
      <c r="G3112">
        <v>2</v>
      </c>
      <c r="H3112">
        <v>3</v>
      </c>
      <c r="I3112" s="25"/>
      <c r="K3112" t="s">
        <v>1052</v>
      </c>
      <c r="M3112" t="s">
        <v>52</v>
      </c>
      <c r="N3112" t="s">
        <v>40</v>
      </c>
      <c r="O3112">
        <v>110</v>
      </c>
      <c r="Q3112">
        <v>4</v>
      </c>
      <c r="R3112">
        <v>1</v>
      </c>
      <c r="S3112">
        <v>0</v>
      </c>
      <c r="T3112">
        <v>0</v>
      </c>
      <c r="U3112">
        <v>0</v>
      </c>
      <c r="V3112">
        <v>0</v>
      </c>
      <c r="W3112">
        <v>4</v>
      </c>
      <c r="X3112" s="21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384</v>
      </c>
      <c r="AJ3112" t="s">
        <v>54</v>
      </c>
      <c r="AK3112" t="s">
        <v>95</v>
      </c>
      <c r="AP3112" t="s">
        <v>951</v>
      </c>
    </row>
    <row r="3113" spans="1:42">
      <c r="A3113" s="16">
        <v>43794</v>
      </c>
      <c r="B3113">
        <v>1</v>
      </c>
      <c r="C3113">
        <v>982</v>
      </c>
      <c r="D3113">
        <v>10418</v>
      </c>
      <c r="E3113" t="s">
        <v>37</v>
      </c>
      <c r="F3113" t="s">
        <v>949</v>
      </c>
      <c r="G3113">
        <v>2</v>
      </c>
      <c r="H3113">
        <v>4</v>
      </c>
      <c r="I3113" s="25"/>
      <c r="K3113" t="s">
        <v>1052</v>
      </c>
      <c r="M3113" t="s">
        <v>52</v>
      </c>
      <c r="N3113" t="s">
        <v>40</v>
      </c>
      <c r="O3113">
        <v>67</v>
      </c>
      <c r="Q3113">
        <v>1</v>
      </c>
      <c r="R3113">
        <v>1</v>
      </c>
      <c r="S3113">
        <v>0</v>
      </c>
      <c r="T3113">
        <v>0</v>
      </c>
      <c r="U3113">
        <v>0</v>
      </c>
      <c r="V3113">
        <v>0</v>
      </c>
      <c r="W3113">
        <v>1</v>
      </c>
      <c r="X3113" s="21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96</v>
      </c>
      <c r="AJ3113" t="s">
        <v>51</v>
      </c>
      <c r="AK3113" t="s">
        <v>95</v>
      </c>
      <c r="AP3113" t="s">
        <v>951</v>
      </c>
    </row>
    <row r="3114" spans="1:42">
      <c r="A3114" s="16">
        <v>43794</v>
      </c>
      <c r="B3114">
        <v>1</v>
      </c>
      <c r="C3114">
        <v>982</v>
      </c>
      <c r="D3114">
        <v>10418</v>
      </c>
      <c r="E3114" t="s">
        <v>37</v>
      </c>
      <c r="F3114" t="s">
        <v>949</v>
      </c>
      <c r="G3114">
        <v>2</v>
      </c>
      <c r="H3114">
        <v>5</v>
      </c>
      <c r="I3114" s="25" t="s">
        <v>1053</v>
      </c>
      <c r="K3114" t="s">
        <v>53</v>
      </c>
      <c r="M3114" t="s">
        <v>52</v>
      </c>
      <c r="N3114" t="s">
        <v>44</v>
      </c>
      <c r="O3114">
        <v>200</v>
      </c>
      <c r="Q3114">
        <v>3</v>
      </c>
      <c r="R3114">
        <v>1</v>
      </c>
      <c r="S3114">
        <v>0</v>
      </c>
      <c r="T3114">
        <v>0</v>
      </c>
      <c r="U3114">
        <v>0</v>
      </c>
      <c r="V3114">
        <v>0</v>
      </c>
      <c r="W3114">
        <v>3</v>
      </c>
      <c r="X3114" s="21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288</v>
      </c>
      <c r="AJ3114" t="s">
        <v>51</v>
      </c>
      <c r="AK3114" t="s">
        <v>95</v>
      </c>
      <c r="AP3114" t="s">
        <v>951</v>
      </c>
    </row>
    <row r="3115" spans="1:42">
      <c r="A3115" s="16">
        <v>43794</v>
      </c>
      <c r="B3115">
        <v>1</v>
      </c>
      <c r="C3115">
        <v>982</v>
      </c>
      <c r="D3115">
        <v>10418</v>
      </c>
      <c r="E3115" t="s">
        <v>37</v>
      </c>
      <c r="F3115" t="s">
        <v>949</v>
      </c>
      <c r="G3115">
        <v>2</v>
      </c>
      <c r="H3115">
        <v>6</v>
      </c>
      <c r="I3115" s="25">
        <v>946</v>
      </c>
      <c r="K3115" t="s">
        <v>53</v>
      </c>
      <c r="M3115" t="s">
        <v>52</v>
      </c>
      <c r="N3115" t="s">
        <v>44</v>
      </c>
      <c r="O3115">
        <v>107</v>
      </c>
      <c r="Q3115">
        <v>1</v>
      </c>
      <c r="R3115">
        <v>1</v>
      </c>
      <c r="S3115">
        <v>0</v>
      </c>
      <c r="T3115">
        <v>0</v>
      </c>
      <c r="U3115">
        <v>0</v>
      </c>
      <c r="V3115">
        <v>0</v>
      </c>
      <c r="W3115">
        <v>1</v>
      </c>
      <c r="X3115" s="21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96</v>
      </c>
      <c r="AJ3115" t="s">
        <v>51</v>
      </c>
      <c r="AK3115" t="s">
        <v>95</v>
      </c>
      <c r="AP3115" t="s">
        <v>951</v>
      </c>
    </row>
    <row r="3116" spans="1:42">
      <c r="A3116" s="16">
        <v>43794</v>
      </c>
      <c r="B3116">
        <v>1</v>
      </c>
      <c r="C3116">
        <v>982</v>
      </c>
      <c r="D3116">
        <v>10418</v>
      </c>
      <c r="E3116" t="s">
        <v>37</v>
      </c>
      <c r="F3116" t="s">
        <v>949</v>
      </c>
      <c r="G3116">
        <v>2</v>
      </c>
      <c r="H3116">
        <v>7</v>
      </c>
      <c r="I3116" s="25">
        <v>1025</v>
      </c>
      <c r="K3116" t="s">
        <v>53</v>
      </c>
      <c r="M3116" t="s">
        <v>52</v>
      </c>
      <c r="N3116" t="s">
        <v>44</v>
      </c>
      <c r="O3116">
        <v>230</v>
      </c>
      <c r="Q3116">
        <v>3</v>
      </c>
      <c r="R3116">
        <v>1</v>
      </c>
      <c r="S3116">
        <v>0</v>
      </c>
      <c r="T3116">
        <v>0</v>
      </c>
      <c r="U3116">
        <v>0</v>
      </c>
      <c r="V3116">
        <v>0</v>
      </c>
      <c r="W3116">
        <v>3</v>
      </c>
      <c r="X3116" s="21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288</v>
      </c>
      <c r="AJ3116" t="s">
        <v>51</v>
      </c>
      <c r="AK3116" t="s">
        <v>95</v>
      </c>
      <c r="AL3116" t="s">
        <v>1054</v>
      </c>
      <c r="AP3116" t="s">
        <v>951</v>
      </c>
    </row>
    <row r="3117" spans="1:42">
      <c r="A3117" s="16">
        <v>43794</v>
      </c>
      <c r="B3117">
        <v>1</v>
      </c>
      <c r="C3117">
        <v>982</v>
      </c>
      <c r="D3117">
        <v>10418</v>
      </c>
      <c r="E3117" t="s">
        <v>37</v>
      </c>
      <c r="F3117" t="s">
        <v>949</v>
      </c>
      <c r="G3117">
        <v>2</v>
      </c>
      <c r="H3117">
        <v>8</v>
      </c>
      <c r="I3117" s="25">
        <v>926</v>
      </c>
      <c r="K3117" t="s">
        <v>420</v>
      </c>
      <c r="M3117" t="s">
        <v>52</v>
      </c>
      <c r="N3117" t="s">
        <v>44</v>
      </c>
      <c r="O3117">
        <v>107</v>
      </c>
      <c r="Q3117">
        <v>1</v>
      </c>
      <c r="R3117">
        <v>1</v>
      </c>
      <c r="S3117">
        <v>0</v>
      </c>
      <c r="T3117">
        <v>0</v>
      </c>
      <c r="U3117">
        <v>0</v>
      </c>
      <c r="V3117">
        <v>0</v>
      </c>
      <c r="W3117">
        <v>1</v>
      </c>
      <c r="X3117" s="21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96</v>
      </c>
      <c r="AJ3117" t="s">
        <v>51</v>
      </c>
      <c r="AK3117" t="s">
        <v>52</v>
      </c>
      <c r="AP3117" t="s">
        <v>951</v>
      </c>
    </row>
    <row r="3118" spans="1:42">
      <c r="A3118" s="16">
        <v>43794</v>
      </c>
      <c r="B3118">
        <v>1</v>
      </c>
      <c r="C3118">
        <v>982</v>
      </c>
      <c r="D3118">
        <v>10418</v>
      </c>
      <c r="E3118" t="s">
        <v>37</v>
      </c>
      <c r="F3118" t="s">
        <v>949</v>
      </c>
      <c r="G3118">
        <v>2</v>
      </c>
      <c r="H3118">
        <v>9</v>
      </c>
      <c r="I3118" s="25"/>
      <c r="K3118" t="s">
        <v>420</v>
      </c>
      <c r="M3118" t="s">
        <v>52</v>
      </c>
      <c r="N3118" t="s">
        <v>40</v>
      </c>
      <c r="O3118">
        <v>118</v>
      </c>
      <c r="Q3118">
        <v>2</v>
      </c>
      <c r="R3118">
        <v>1</v>
      </c>
      <c r="S3118">
        <v>0</v>
      </c>
      <c r="T3118">
        <v>0</v>
      </c>
      <c r="U3118">
        <v>0</v>
      </c>
      <c r="V3118">
        <v>0</v>
      </c>
      <c r="W3118">
        <v>2</v>
      </c>
      <c r="X3118" s="21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192</v>
      </c>
      <c r="AJ3118" t="s">
        <v>51</v>
      </c>
      <c r="AK3118" t="s">
        <v>52</v>
      </c>
      <c r="AL3118" t="s">
        <v>1055</v>
      </c>
      <c r="AP3118" t="s">
        <v>951</v>
      </c>
    </row>
    <row r="3119" spans="1:42">
      <c r="A3119" s="16">
        <v>43794</v>
      </c>
      <c r="B3119">
        <v>1</v>
      </c>
      <c r="C3119">
        <v>982</v>
      </c>
      <c r="D3119">
        <v>10418</v>
      </c>
      <c r="E3119" t="s">
        <v>37</v>
      </c>
      <c r="F3119" t="s">
        <v>949</v>
      </c>
      <c r="G3119">
        <v>2</v>
      </c>
      <c r="H3119">
        <v>10</v>
      </c>
      <c r="I3119" s="25"/>
      <c r="K3119" t="s">
        <v>420</v>
      </c>
      <c r="M3119" t="s">
        <v>52</v>
      </c>
      <c r="N3119" t="s">
        <v>40</v>
      </c>
      <c r="O3119">
        <v>78</v>
      </c>
      <c r="Q3119">
        <v>2</v>
      </c>
      <c r="R3119">
        <v>1</v>
      </c>
      <c r="S3119">
        <v>0</v>
      </c>
      <c r="T3119">
        <v>0</v>
      </c>
      <c r="U3119">
        <v>0</v>
      </c>
      <c r="V3119">
        <v>0</v>
      </c>
      <c r="W3119">
        <v>1</v>
      </c>
      <c r="X3119" s="21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1</v>
      </c>
      <c r="AG3119">
        <v>0</v>
      </c>
      <c r="AH3119">
        <v>96</v>
      </c>
      <c r="AJ3119" t="s">
        <v>51</v>
      </c>
      <c r="AK3119" t="s">
        <v>52</v>
      </c>
      <c r="AP3119" t="s">
        <v>951</v>
      </c>
    </row>
    <row r="3120" spans="1:42">
      <c r="A3120" s="16">
        <v>43794</v>
      </c>
      <c r="B3120">
        <v>1</v>
      </c>
      <c r="C3120">
        <v>982</v>
      </c>
      <c r="D3120">
        <v>10418</v>
      </c>
      <c r="E3120" t="s">
        <v>37</v>
      </c>
      <c r="F3120" t="s">
        <v>949</v>
      </c>
      <c r="G3120">
        <v>2</v>
      </c>
      <c r="H3120">
        <v>11</v>
      </c>
      <c r="I3120" s="25"/>
      <c r="K3120" t="s">
        <v>420</v>
      </c>
      <c r="M3120" t="s">
        <v>52</v>
      </c>
      <c r="N3120" t="s">
        <v>40</v>
      </c>
      <c r="O3120">
        <v>36</v>
      </c>
      <c r="Q3120">
        <v>1</v>
      </c>
      <c r="R3120">
        <v>1</v>
      </c>
      <c r="S3120">
        <v>0</v>
      </c>
      <c r="T3120">
        <v>0</v>
      </c>
      <c r="U3120">
        <v>0</v>
      </c>
      <c r="V3120">
        <v>0</v>
      </c>
      <c r="W3120">
        <v>1</v>
      </c>
      <c r="X3120" s="21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96</v>
      </c>
      <c r="AJ3120" t="s">
        <v>51</v>
      </c>
      <c r="AK3120" t="s">
        <v>95</v>
      </c>
      <c r="AP3120" t="s">
        <v>951</v>
      </c>
    </row>
    <row r="3121" spans="1:42">
      <c r="A3121" s="16">
        <v>43794</v>
      </c>
      <c r="B3121">
        <v>1</v>
      </c>
      <c r="C3121">
        <v>982</v>
      </c>
      <c r="D3121">
        <v>10418</v>
      </c>
      <c r="E3121" t="s">
        <v>37</v>
      </c>
      <c r="F3121" t="s">
        <v>949</v>
      </c>
      <c r="G3121">
        <v>2</v>
      </c>
      <c r="H3121">
        <v>12</v>
      </c>
      <c r="I3121" s="25">
        <v>1114</v>
      </c>
      <c r="K3121" t="s">
        <v>420</v>
      </c>
      <c r="M3121" t="s">
        <v>52</v>
      </c>
      <c r="N3121" t="s">
        <v>44</v>
      </c>
      <c r="O3121">
        <v>99</v>
      </c>
      <c r="Q3121">
        <v>2</v>
      </c>
      <c r="R3121">
        <v>1</v>
      </c>
      <c r="S3121">
        <v>0</v>
      </c>
      <c r="T3121">
        <v>0</v>
      </c>
      <c r="U3121">
        <v>0</v>
      </c>
      <c r="V3121">
        <v>0</v>
      </c>
      <c r="W3121">
        <v>2</v>
      </c>
      <c r="X3121" s="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192</v>
      </c>
      <c r="AJ3121" t="s">
        <v>51</v>
      </c>
      <c r="AK3121" t="s">
        <v>95</v>
      </c>
      <c r="AP3121" t="s">
        <v>951</v>
      </c>
    </row>
    <row r="3122" spans="1:42">
      <c r="A3122" s="16">
        <v>43794</v>
      </c>
      <c r="B3122">
        <v>1</v>
      </c>
      <c r="C3122">
        <v>982</v>
      </c>
      <c r="D3122">
        <v>10418</v>
      </c>
      <c r="E3122" t="s">
        <v>37</v>
      </c>
      <c r="F3122" t="s">
        <v>949</v>
      </c>
      <c r="G3122">
        <v>2</v>
      </c>
      <c r="H3122">
        <v>13</v>
      </c>
      <c r="I3122" s="25">
        <v>1122</v>
      </c>
      <c r="K3122" t="s">
        <v>49</v>
      </c>
      <c r="M3122" t="s">
        <v>52</v>
      </c>
      <c r="N3122" t="s">
        <v>42</v>
      </c>
      <c r="O3122">
        <v>315</v>
      </c>
      <c r="Q3122">
        <v>3</v>
      </c>
      <c r="R3122">
        <v>1</v>
      </c>
      <c r="S3122">
        <v>0</v>
      </c>
      <c r="T3122">
        <v>0</v>
      </c>
      <c r="U3122">
        <v>0</v>
      </c>
      <c r="V3122">
        <v>0</v>
      </c>
      <c r="W3122">
        <v>3</v>
      </c>
      <c r="X3122" s="21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288</v>
      </c>
      <c r="AJ3122" t="s">
        <v>51</v>
      </c>
      <c r="AK3122" t="s">
        <v>52</v>
      </c>
      <c r="AP3122" t="s">
        <v>951</v>
      </c>
    </row>
    <row r="3123" spans="1:42">
      <c r="A3123" s="16">
        <v>43794</v>
      </c>
      <c r="B3123">
        <v>1</v>
      </c>
      <c r="C3123">
        <v>982</v>
      </c>
      <c r="D3123">
        <v>10418</v>
      </c>
      <c r="E3123" t="s">
        <v>37</v>
      </c>
      <c r="F3123" t="s">
        <v>949</v>
      </c>
      <c r="G3123">
        <v>2</v>
      </c>
      <c r="H3123">
        <v>14</v>
      </c>
      <c r="I3123" s="25"/>
      <c r="K3123" t="s">
        <v>49</v>
      </c>
      <c r="M3123" t="s">
        <v>52</v>
      </c>
      <c r="N3123" t="s">
        <v>40</v>
      </c>
      <c r="O3123">
        <v>101</v>
      </c>
      <c r="Q3123">
        <v>4</v>
      </c>
      <c r="R3123">
        <v>1</v>
      </c>
      <c r="S3123">
        <v>0</v>
      </c>
      <c r="T3123">
        <v>0</v>
      </c>
      <c r="U3123">
        <v>1</v>
      </c>
      <c r="V3123">
        <v>0</v>
      </c>
      <c r="W3123">
        <v>1</v>
      </c>
      <c r="X3123" s="21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2</v>
      </c>
      <c r="AG3123">
        <v>0</v>
      </c>
      <c r="AH3123">
        <v>128</v>
      </c>
      <c r="AJ3123" t="s">
        <v>51</v>
      </c>
      <c r="AK3123" t="s">
        <v>95</v>
      </c>
      <c r="AP3123" t="s">
        <v>951</v>
      </c>
    </row>
    <row r="3124" spans="1:42">
      <c r="A3124" s="16">
        <v>43794</v>
      </c>
      <c r="B3124">
        <v>1</v>
      </c>
      <c r="C3124">
        <v>982</v>
      </c>
      <c r="D3124">
        <v>10418</v>
      </c>
      <c r="E3124" t="s">
        <v>37</v>
      </c>
      <c r="F3124" t="s">
        <v>949</v>
      </c>
      <c r="G3124">
        <v>2</v>
      </c>
      <c r="H3124">
        <v>15</v>
      </c>
      <c r="I3124" s="25"/>
      <c r="K3124" t="s">
        <v>49</v>
      </c>
      <c r="M3124" t="s">
        <v>52</v>
      </c>
      <c r="N3124" t="s">
        <v>40</v>
      </c>
      <c r="O3124">
        <v>55</v>
      </c>
      <c r="Q3124">
        <v>1</v>
      </c>
      <c r="R3124">
        <v>1</v>
      </c>
      <c r="S3124">
        <v>0</v>
      </c>
      <c r="T3124">
        <v>0</v>
      </c>
      <c r="U3124">
        <v>0</v>
      </c>
      <c r="V3124">
        <v>0</v>
      </c>
      <c r="W3124">
        <v>1</v>
      </c>
      <c r="X3124" s="21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96</v>
      </c>
      <c r="AJ3124" t="s">
        <v>54</v>
      </c>
      <c r="AK3124" t="s">
        <v>52</v>
      </c>
      <c r="AP3124" t="s">
        <v>951</v>
      </c>
    </row>
    <row r="3125" spans="1:42">
      <c r="A3125" s="16">
        <v>43794</v>
      </c>
      <c r="B3125">
        <v>1</v>
      </c>
      <c r="C3125">
        <v>982</v>
      </c>
      <c r="D3125">
        <v>10418</v>
      </c>
      <c r="E3125" t="s">
        <v>37</v>
      </c>
      <c r="F3125" t="s">
        <v>949</v>
      </c>
      <c r="G3125">
        <v>2</v>
      </c>
      <c r="H3125">
        <v>16</v>
      </c>
      <c r="I3125" s="25">
        <v>1115</v>
      </c>
      <c r="K3125" t="s">
        <v>414</v>
      </c>
      <c r="M3125" t="s">
        <v>95</v>
      </c>
      <c r="N3125" t="s">
        <v>42</v>
      </c>
      <c r="O3125">
        <v>262</v>
      </c>
      <c r="Q3125">
        <v>4</v>
      </c>
      <c r="R3125">
        <v>1</v>
      </c>
      <c r="S3125">
        <v>0</v>
      </c>
      <c r="T3125">
        <v>0</v>
      </c>
      <c r="U3125">
        <v>0</v>
      </c>
      <c r="V3125">
        <v>0</v>
      </c>
      <c r="W3125">
        <v>4</v>
      </c>
      <c r="X3125" s="21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384</v>
      </c>
      <c r="AJ3125" t="s">
        <v>54</v>
      </c>
      <c r="AK3125" t="s">
        <v>52</v>
      </c>
      <c r="AP3125" t="s">
        <v>951</v>
      </c>
    </row>
    <row r="3126" spans="1:42">
      <c r="A3126" s="16">
        <v>43794</v>
      </c>
      <c r="B3126">
        <v>1</v>
      </c>
      <c r="C3126">
        <v>982</v>
      </c>
      <c r="D3126">
        <v>10418</v>
      </c>
      <c r="E3126" t="s">
        <v>37</v>
      </c>
      <c r="F3126" t="s">
        <v>949</v>
      </c>
      <c r="G3126">
        <v>2</v>
      </c>
      <c r="H3126">
        <v>17</v>
      </c>
      <c r="I3126" s="25">
        <v>1080</v>
      </c>
      <c r="K3126" t="s">
        <v>53</v>
      </c>
      <c r="M3126" t="s">
        <v>52</v>
      </c>
      <c r="N3126" t="s">
        <v>42</v>
      </c>
      <c r="O3126">
        <v>202</v>
      </c>
      <c r="Q3126">
        <v>4</v>
      </c>
      <c r="R3126">
        <v>1</v>
      </c>
      <c r="S3126">
        <v>0</v>
      </c>
      <c r="T3126">
        <v>0</v>
      </c>
      <c r="U3126">
        <v>0</v>
      </c>
      <c r="V3126">
        <v>0</v>
      </c>
      <c r="W3126">
        <v>4</v>
      </c>
      <c r="X3126" s="21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384</v>
      </c>
      <c r="AJ3126" t="s">
        <v>51</v>
      </c>
      <c r="AK3126" t="s">
        <v>95</v>
      </c>
      <c r="AP3126" t="s">
        <v>951</v>
      </c>
    </row>
    <row r="3127" spans="1:42">
      <c r="A3127" s="16">
        <v>43794</v>
      </c>
      <c r="B3127">
        <v>1</v>
      </c>
      <c r="C3127">
        <v>982</v>
      </c>
      <c r="D3127">
        <v>10418</v>
      </c>
      <c r="E3127" t="s">
        <v>37</v>
      </c>
      <c r="F3127" t="s">
        <v>949</v>
      </c>
      <c r="G3127">
        <v>2</v>
      </c>
      <c r="H3127">
        <v>18</v>
      </c>
      <c r="I3127" s="25">
        <v>1050</v>
      </c>
      <c r="K3127" t="s">
        <v>53</v>
      </c>
      <c r="M3127" t="s">
        <v>52</v>
      </c>
      <c r="N3127" t="s">
        <v>44</v>
      </c>
      <c r="O3127">
        <v>204</v>
      </c>
      <c r="Q3127">
        <v>4</v>
      </c>
      <c r="R3127">
        <v>1</v>
      </c>
      <c r="S3127">
        <v>0</v>
      </c>
      <c r="T3127">
        <v>0</v>
      </c>
      <c r="U3127">
        <v>0</v>
      </c>
      <c r="V3127">
        <v>0</v>
      </c>
      <c r="W3127">
        <v>4</v>
      </c>
      <c r="X3127" s="21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384</v>
      </c>
      <c r="AJ3127" t="s">
        <v>51</v>
      </c>
      <c r="AK3127" t="s">
        <v>52</v>
      </c>
      <c r="AL3127" t="s">
        <v>1056</v>
      </c>
      <c r="AP3127" t="s">
        <v>951</v>
      </c>
    </row>
    <row r="3128" spans="1:42">
      <c r="A3128" s="16">
        <v>43794</v>
      </c>
      <c r="B3128">
        <v>1</v>
      </c>
      <c r="C3128">
        <v>982</v>
      </c>
      <c r="D3128">
        <v>10418</v>
      </c>
      <c r="E3128" t="s">
        <v>37</v>
      </c>
      <c r="F3128" t="s">
        <v>949</v>
      </c>
      <c r="G3128">
        <v>2</v>
      </c>
      <c r="H3128">
        <v>19</v>
      </c>
      <c r="I3128" s="25">
        <v>1020</v>
      </c>
      <c r="K3128" t="s">
        <v>53</v>
      </c>
      <c r="M3128" t="s">
        <v>52</v>
      </c>
      <c r="N3128" t="s">
        <v>44</v>
      </c>
      <c r="O3128">
        <v>210</v>
      </c>
      <c r="Q3128">
        <v>2</v>
      </c>
      <c r="R3128">
        <v>1</v>
      </c>
      <c r="S3128">
        <v>0</v>
      </c>
      <c r="T3128">
        <v>0</v>
      </c>
      <c r="U3128">
        <v>0</v>
      </c>
      <c r="V3128">
        <v>0</v>
      </c>
      <c r="W3128">
        <v>2</v>
      </c>
      <c r="X3128" s="21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192</v>
      </c>
      <c r="AJ3128" t="s">
        <v>51</v>
      </c>
      <c r="AK3128" t="s">
        <v>52</v>
      </c>
      <c r="AP3128" t="s">
        <v>951</v>
      </c>
    </row>
    <row r="3129" spans="1:42">
      <c r="A3129" s="16">
        <v>43794</v>
      </c>
      <c r="B3129">
        <v>1</v>
      </c>
      <c r="C3129">
        <v>982</v>
      </c>
      <c r="D3129">
        <v>10418</v>
      </c>
      <c r="E3129" t="s">
        <v>37</v>
      </c>
      <c r="F3129" t="s">
        <v>949</v>
      </c>
      <c r="G3129">
        <v>2</v>
      </c>
      <c r="H3129">
        <v>20</v>
      </c>
      <c r="I3129" s="25"/>
      <c r="K3129" t="s">
        <v>53</v>
      </c>
      <c r="M3129" t="s">
        <v>52</v>
      </c>
      <c r="N3129" t="s">
        <v>40</v>
      </c>
      <c r="O3129">
        <v>53</v>
      </c>
      <c r="Q3129">
        <v>1</v>
      </c>
      <c r="R3129">
        <v>1</v>
      </c>
      <c r="S3129">
        <v>0</v>
      </c>
      <c r="T3129">
        <v>0</v>
      </c>
      <c r="U3129">
        <v>0</v>
      </c>
      <c r="V3129">
        <v>0</v>
      </c>
      <c r="W3129">
        <v>1</v>
      </c>
      <c r="X3129" s="21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96</v>
      </c>
      <c r="AJ3129" t="s">
        <v>51</v>
      </c>
      <c r="AK3129" t="s">
        <v>52</v>
      </c>
      <c r="AP3129" t="s">
        <v>951</v>
      </c>
    </row>
    <row r="3130" spans="1:42">
      <c r="A3130" s="16">
        <v>43794</v>
      </c>
      <c r="B3130">
        <v>1</v>
      </c>
      <c r="C3130">
        <v>982</v>
      </c>
      <c r="D3130">
        <v>10418</v>
      </c>
      <c r="E3130" t="s">
        <v>37</v>
      </c>
      <c r="F3130" t="s">
        <v>949</v>
      </c>
      <c r="G3130">
        <v>2</v>
      </c>
      <c r="H3130">
        <v>21</v>
      </c>
      <c r="I3130" s="25"/>
      <c r="K3130" t="s">
        <v>53</v>
      </c>
      <c r="M3130" t="s">
        <v>52</v>
      </c>
      <c r="N3130" t="s">
        <v>40</v>
      </c>
      <c r="O3130">
        <v>97</v>
      </c>
      <c r="Q3130">
        <v>2</v>
      </c>
      <c r="R3130">
        <v>1</v>
      </c>
      <c r="S3130">
        <v>0</v>
      </c>
      <c r="T3130">
        <v>0</v>
      </c>
      <c r="U3130">
        <v>0</v>
      </c>
      <c r="V3130">
        <v>0</v>
      </c>
      <c r="W3130">
        <v>2</v>
      </c>
      <c r="X3130" s="21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192</v>
      </c>
      <c r="AJ3130" t="s">
        <v>51</v>
      </c>
      <c r="AK3130" t="s">
        <v>95</v>
      </c>
      <c r="AP3130" t="s">
        <v>951</v>
      </c>
    </row>
    <row r="3131" spans="1:42">
      <c r="A3131" s="16">
        <v>43794</v>
      </c>
      <c r="B3131">
        <v>1</v>
      </c>
      <c r="C3131">
        <v>982</v>
      </c>
      <c r="D3131">
        <v>10418</v>
      </c>
      <c r="E3131" t="s">
        <v>37</v>
      </c>
      <c r="F3131" t="s">
        <v>949</v>
      </c>
      <c r="G3131">
        <v>2</v>
      </c>
      <c r="H3131">
        <v>22</v>
      </c>
      <c r="I3131" s="25"/>
      <c r="K3131" t="s">
        <v>53</v>
      </c>
      <c r="M3131" t="s">
        <v>52</v>
      </c>
      <c r="N3131" t="s">
        <v>40</v>
      </c>
      <c r="O3131">
        <v>85</v>
      </c>
      <c r="Q3131">
        <v>1</v>
      </c>
      <c r="R3131">
        <v>1</v>
      </c>
      <c r="S3131">
        <v>0</v>
      </c>
      <c r="T3131">
        <v>0</v>
      </c>
      <c r="U3131">
        <v>0</v>
      </c>
      <c r="V3131">
        <v>0</v>
      </c>
      <c r="W3131">
        <v>1</v>
      </c>
      <c r="X3131" s="2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96</v>
      </c>
      <c r="AJ3131" t="s">
        <v>51</v>
      </c>
      <c r="AK3131" t="s">
        <v>95</v>
      </c>
      <c r="AP3131" t="s">
        <v>951</v>
      </c>
    </row>
    <row r="3132" spans="1:42">
      <c r="A3132" s="16">
        <v>43794</v>
      </c>
      <c r="B3132">
        <v>1</v>
      </c>
      <c r="C3132">
        <v>982</v>
      </c>
      <c r="D3132">
        <v>10418</v>
      </c>
      <c r="E3132" t="s">
        <v>37</v>
      </c>
      <c r="F3132" t="s">
        <v>949</v>
      </c>
      <c r="G3132">
        <v>2</v>
      </c>
      <c r="H3132">
        <v>23</v>
      </c>
      <c r="I3132" s="25">
        <v>970</v>
      </c>
      <c r="K3132" t="s">
        <v>53</v>
      </c>
      <c r="M3132" t="s">
        <v>52</v>
      </c>
      <c r="N3132" t="s">
        <v>44</v>
      </c>
      <c r="O3132">
        <v>137</v>
      </c>
      <c r="Q3132">
        <v>3</v>
      </c>
      <c r="R3132">
        <v>1</v>
      </c>
      <c r="S3132">
        <v>0</v>
      </c>
      <c r="T3132">
        <v>0</v>
      </c>
      <c r="U3132">
        <v>0</v>
      </c>
      <c r="V3132">
        <v>0</v>
      </c>
      <c r="W3132">
        <v>3</v>
      </c>
      <c r="X3132" s="21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288</v>
      </c>
      <c r="AJ3132" t="s">
        <v>51</v>
      </c>
      <c r="AK3132" t="s">
        <v>95</v>
      </c>
      <c r="AP3132" t="s">
        <v>951</v>
      </c>
    </row>
    <row r="3133" spans="1:42">
      <c r="A3133" s="16">
        <v>43794</v>
      </c>
      <c r="B3133">
        <v>1</v>
      </c>
      <c r="C3133">
        <v>982</v>
      </c>
      <c r="D3133">
        <v>10418</v>
      </c>
      <c r="E3133" t="s">
        <v>37</v>
      </c>
      <c r="F3133" t="s">
        <v>949</v>
      </c>
      <c r="G3133">
        <v>2</v>
      </c>
      <c r="H3133">
        <v>24</v>
      </c>
      <c r="I3133" s="25">
        <v>956</v>
      </c>
      <c r="K3133" t="s">
        <v>53</v>
      </c>
      <c r="M3133" t="s">
        <v>52</v>
      </c>
      <c r="N3133" t="s">
        <v>1057</v>
      </c>
      <c r="O3133">
        <v>148</v>
      </c>
      <c r="Q3133">
        <v>3</v>
      </c>
      <c r="R3133">
        <v>1</v>
      </c>
      <c r="S3133">
        <v>0</v>
      </c>
      <c r="T3133">
        <v>0</v>
      </c>
      <c r="U3133">
        <v>0</v>
      </c>
      <c r="V3133">
        <v>0</v>
      </c>
      <c r="W3133">
        <v>3</v>
      </c>
      <c r="X3133" s="21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288</v>
      </c>
      <c r="AJ3133" t="s">
        <v>51</v>
      </c>
      <c r="AK3133" t="s">
        <v>95</v>
      </c>
      <c r="AP3133" t="s">
        <v>951</v>
      </c>
    </row>
    <row r="3134" spans="1:42">
      <c r="A3134" s="16">
        <v>43794</v>
      </c>
      <c r="B3134">
        <v>1</v>
      </c>
      <c r="C3134">
        <v>982</v>
      </c>
      <c r="D3134">
        <v>10418</v>
      </c>
      <c r="E3134" t="s">
        <v>37</v>
      </c>
      <c r="F3134" t="s">
        <v>949</v>
      </c>
      <c r="G3134">
        <v>2</v>
      </c>
      <c r="H3134">
        <v>25</v>
      </c>
      <c r="I3134" s="25">
        <v>949</v>
      </c>
      <c r="K3134" t="s">
        <v>53</v>
      </c>
      <c r="M3134" t="s">
        <v>52</v>
      </c>
      <c r="N3134" t="s">
        <v>44</v>
      </c>
      <c r="O3134">
        <v>162</v>
      </c>
      <c r="Q3134">
        <v>1</v>
      </c>
      <c r="R3134">
        <v>1</v>
      </c>
      <c r="S3134">
        <v>0</v>
      </c>
      <c r="T3134">
        <v>0</v>
      </c>
      <c r="U3134">
        <v>0</v>
      </c>
      <c r="V3134">
        <v>0</v>
      </c>
      <c r="W3134">
        <v>1</v>
      </c>
      <c r="X3134" s="21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96</v>
      </c>
      <c r="AJ3134" t="s">
        <v>54</v>
      </c>
      <c r="AK3134" t="s">
        <v>52</v>
      </c>
      <c r="AL3134" t="s">
        <v>1058</v>
      </c>
      <c r="AP3134" t="s">
        <v>951</v>
      </c>
    </row>
    <row r="3135" spans="1:42">
      <c r="A3135" s="16">
        <v>43794</v>
      </c>
      <c r="B3135">
        <v>1</v>
      </c>
      <c r="C3135">
        <v>982</v>
      </c>
      <c r="D3135">
        <v>10418</v>
      </c>
      <c r="E3135" t="s">
        <v>37</v>
      </c>
      <c r="F3135" t="s">
        <v>949</v>
      </c>
      <c r="G3135">
        <v>2</v>
      </c>
      <c r="H3135">
        <v>26</v>
      </c>
      <c r="I3135" s="25" t="s">
        <v>1059</v>
      </c>
      <c r="K3135" t="s">
        <v>53</v>
      </c>
      <c r="M3135" t="s">
        <v>95</v>
      </c>
      <c r="N3135" t="s">
        <v>1057</v>
      </c>
      <c r="O3135">
        <v>307</v>
      </c>
      <c r="Q3135">
        <v>5</v>
      </c>
      <c r="R3135">
        <v>1</v>
      </c>
      <c r="S3135">
        <v>0</v>
      </c>
      <c r="T3135">
        <v>0</v>
      </c>
      <c r="U3135">
        <v>1</v>
      </c>
      <c r="V3135">
        <v>0</v>
      </c>
      <c r="W3135">
        <v>4</v>
      </c>
      <c r="X3135" s="21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416</v>
      </c>
      <c r="AJ3135" t="s">
        <v>54</v>
      </c>
      <c r="AK3135" t="s">
        <v>95</v>
      </c>
      <c r="AP3135" t="s">
        <v>951</v>
      </c>
    </row>
    <row r="3136" spans="1:42">
      <c r="A3136" s="16">
        <v>43794</v>
      </c>
      <c r="B3136">
        <v>1</v>
      </c>
      <c r="C3136">
        <v>982</v>
      </c>
      <c r="D3136">
        <v>10418</v>
      </c>
      <c r="E3136" t="s">
        <v>37</v>
      </c>
      <c r="F3136" t="s">
        <v>949</v>
      </c>
      <c r="G3136">
        <v>2</v>
      </c>
      <c r="H3136">
        <v>27</v>
      </c>
      <c r="I3136" s="25"/>
      <c r="K3136" t="s">
        <v>53</v>
      </c>
      <c r="M3136" t="s">
        <v>52</v>
      </c>
      <c r="N3136" t="s">
        <v>40</v>
      </c>
      <c r="O3136">
        <v>61</v>
      </c>
      <c r="Q3136">
        <v>2</v>
      </c>
      <c r="R3136">
        <v>1</v>
      </c>
      <c r="S3136">
        <v>0</v>
      </c>
      <c r="T3136">
        <v>0</v>
      </c>
      <c r="U3136">
        <v>0</v>
      </c>
      <c r="V3136">
        <v>0</v>
      </c>
      <c r="W3136">
        <v>2</v>
      </c>
      <c r="X3136" s="21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192</v>
      </c>
      <c r="AJ3136" t="s">
        <v>54</v>
      </c>
      <c r="AK3136" t="s">
        <v>95</v>
      </c>
      <c r="AP3136" t="s">
        <v>951</v>
      </c>
    </row>
    <row r="3137" spans="1:42">
      <c r="A3137" s="16">
        <v>43794</v>
      </c>
      <c r="B3137">
        <v>1</v>
      </c>
      <c r="C3137">
        <v>982</v>
      </c>
      <c r="D3137">
        <v>10418</v>
      </c>
      <c r="E3137" t="s">
        <v>37</v>
      </c>
      <c r="F3137" t="s">
        <v>949</v>
      </c>
      <c r="G3137">
        <v>2</v>
      </c>
      <c r="H3137">
        <v>28</v>
      </c>
      <c r="I3137" s="25"/>
      <c r="K3137" t="s">
        <v>53</v>
      </c>
      <c r="M3137" t="s">
        <v>95</v>
      </c>
      <c r="N3137" t="s">
        <v>40</v>
      </c>
      <c r="O3137">
        <v>330</v>
      </c>
      <c r="Q3137">
        <v>6</v>
      </c>
      <c r="R3137">
        <v>1</v>
      </c>
      <c r="S3137">
        <v>0</v>
      </c>
      <c r="T3137">
        <v>0</v>
      </c>
      <c r="U3137">
        <v>0</v>
      </c>
      <c r="V3137">
        <v>0</v>
      </c>
      <c r="W3137">
        <v>6</v>
      </c>
      <c r="X3137" s="21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576</v>
      </c>
      <c r="AJ3137" t="s">
        <v>54</v>
      </c>
      <c r="AK3137" t="s">
        <v>52</v>
      </c>
      <c r="AP3137" t="s">
        <v>951</v>
      </c>
    </row>
    <row r="3138" spans="1:42">
      <c r="A3138" s="16">
        <v>43794</v>
      </c>
      <c r="B3138">
        <v>1</v>
      </c>
      <c r="C3138">
        <v>982</v>
      </c>
      <c r="D3138">
        <v>10418</v>
      </c>
      <c r="E3138" t="s">
        <v>37</v>
      </c>
      <c r="F3138" t="s">
        <v>949</v>
      </c>
      <c r="G3138">
        <v>2</v>
      </c>
      <c r="H3138">
        <v>29</v>
      </c>
      <c r="I3138" s="25">
        <v>851</v>
      </c>
      <c r="K3138" t="s">
        <v>53</v>
      </c>
      <c r="M3138" t="s">
        <v>52</v>
      </c>
      <c r="N3138" t="s">
        <v>44</v>
      </c>
      <c r="O3138">
        <v>180</v>
      </c>
      <c r="Q3138">
        <v>3</v>
      </c>
      <c r="R3138">
        <v>1</v>
      </c>
      <c r="S3138">
        <v>0</v>
      </c>
      <c r="T3138">
        <v>0</v>
      </c>
      <c r="U3138">
        <v>0</v>
      </c>
      <c r="V3138">
        <v>0</v>
      </c>
      <c r="W3138">
        <v>3</v>
      </c>
      <c r="X3138" s="21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288</v>
      </c>
      <c r="AJ3138" t="s">
        <v>54</v>
      </c>
      <c r="AK3138" t="s">
        <v>95</v>
      </c>
      <c r="AP3138" t="s">
        <v>951</v>
      </c>
    </row>
    <row r="3139" spans="1:42">
      <c r="A3139" s="16">
        <v>43794</v>
      </c>
      <c r="B3139">
        <v>1</v>
      </c>
      <c r="C3139">
        <v>982</v>
      </c>
      <c r="D3139">
        <v>10418</v>
      </c>
      <c r="E3139" t="s">
        <v>37</v>
      </c>
      <c r="F3139" t="s">
        <v>949</v>
      </c>
      <c r="G3139">
        <v>2</v>
      </c>
      <c r="H3139">
        <v>30</v>
      </c>
      <c r="I3139" s="25">
        <v>839</v>
      </c>
      <c r="K3139" t="s">
        <v>53</v>
      </c>
      <c r="M3139" t="s">
        <v>52</v>
      </c>
      <c r="N3139" t="s">
        <v>44</v>
      </c>
      <c r="O3139">
        <v>323</v>
      </c>
      <c r="Q3139">
        <v>6</v>
      </c>
      <c r="R3139">
        <v>1</v>
      </c>
      <c r="S3139">
        <v>0</v>
      </c>
      <c r="T3139">
        <v>0</v>
      </c>
      <c r="U3139">
        <v>0</v>
      </c>
      <c r="V3139">
        <v>0</v>
      </c>
      <c r="W3139">
        <v>6</v>
      </c>
      <c r="X3139" s="21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576</v>
      </c>
      <c r="AJ3139" t="s">
        <v>54</v>
      </c>
      <c r="AK3139" t="s">
        <v>52</v>
      </c>
      <c r="AP3139" t="s">
        <v>951</v>
      </c>
    </row>
    <row r="3140" spans="1:42">
      <c r="A3140" s="16">
        <v>43794</v>
      </c>
      <c r="B3140">
        <v>1</v>
      </c>
      <c r="C3140">
        <v>982</v>
      </c>
      <c r="D3140">
        <v>10418</v>
      </c>
      <c r="E3140" t="s">
        <v>37</v>
      </c>
      <c r="F3140" t="s">
        <v>949</v>
      </c>
      <c r="G3140">
        <v>2</v>
      </c>
      <c r="H3140">
        <v>31</v>
      </c>
      <c r="I3140" s="25">
        <v>830</v>
      </c>
      <c r="K3140" t="s">
        <v>53</v>
      </c>
      <c r="M3140" t="s">
        <v>52</v>
      </c>
      <c r="N3140" t="s">
        <v>44</v>
      </c>
      <c r="O3140">
        <v>84</v>
      </c>
      <c r="Q3140">
        <v>1</v>
      </c>
      <c r="R3140">
        <v>1</v>
      </c>
      <c r="S3140">
        <v>0</v>
      </c>
      <c r="T3140">
        <v>0</v>
      </c>
      <c r="U3140">
        <v>0</v>
      </c>
      <c r="V3140">
        <v>0</v>
      </c>
      <c r="W3140">
        <v>1</v>
      </c>
      <c r="X3140" s="21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96</v>
      </c>
      <c r="AJ3140" t="s">
        <v>54</v>
      </c>
      <c r="AK3140" t="s">
        <v>95</v>
      </c>
      <c r="AP3140" t="s">
        <v>951</v>
      </c>
    </row>
    <row r="3141" spans="1:42">
      <c r="A3141" s="16">
        <v>43794</v>
      </c>
      <c r="B3141">
        <v>1</v>
      </c>
      <c r="C3141">
        <v>982</v>
      </c>
      <c r="D3141">
        <v>10418</v>
      </c>
      <c r="E3141" t="s">
        <v>37</v>
      </c>
      <c r="F3141" t="s">
        <v>949</v>
      </c>
      <c r="G3141">
        <v>2</v>
      </c>
      <c r="H3141">
        <v>32</v>
      </c>
      <c r="I3141" s="25">
        <v>615</v>
      </c>
      <c r="K3141" t="s">
        <v>101</v>
      </c>
      <c r="M3141" t="s">
        <v>52</v>
      </c>
      <c r="N3141" t="s">
        <v>44</v>
      </c>
      <c r="O3141">
        <v>95</v>
      </c>
      <c r="Q3141">
        <v>1</v>
      </c>
      <c r="R3141">
        <v>1</v>
      </c>
      <c r="S3141">
        <v>0</v>
      </c>
      <c r="T3141">
        <v>0</v>
      </c>
      <c r="U3141">
        <v>0</v>
      </c>
      <c r="V3141">
        <v>0</v>
      </c>
      <c r="W3141">
        <v>1</v>
      </c>
      <c r="X3141" s="2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96</v>
      </c>
      <c r="AJ3141" t="s">
        <v>54</v>
      </c>
      <c r="AK3141" t="s">
        <v>52</v>
      </c>
      <c r="AP3141" t="s">
        <v>951</v>
      </c>
    </row>
    <row r="3142" spans="1:42">
      <c r="A3142" s="16">
        <v>43794</v>
      </c>
      <c r="B3142">
        <v>1</v>
      </c>
      <c r="C3142">
        <v>982</v>
      </c>
      <c r="D3142">
        <v>10418</v>
      </c>
      <c r="E3142" t="s">
        <v>37</v>
      </c>
      <c r="F3142" t="s">
        <v>949</v>
      </c>
      <c r="G3142">
        <v>2</v>
      </c>
      <c r="H3142">
        <v>33</v>
      </c>
      <c r="I3142" s="25"/>
      <c r="K3142" t="s">
        <v>1060</v>
      </c>
      <c r="M3142" t="s">
        <v>52</v>
      </c>
      <c r="N3142" t="s">
        <v>40</v>
      </c>
      <c r="O3142">
        <v>37</v>
      </c>
      <c r="Q3142">
        <v>1</v>
      </c>
      <c r="R3142">
        <v>1</v>
      </c>
      <c r="S3142">
        <v>0</v>
      </c>
      <c r="T3142">
        <v>0</v>
      </c>
      <c r="U3142">
        <v>0</v>
      </c>
      <c r="V3142">
        <v>0</v>
      </c>
      <c r="W3142">
        <v>1</v>
      </c>
      <c r="X3142" s="21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96</v>
      </c>
      <c r="AJ3142" t="s">
        <v>54</v>
      </c>
      <c r="AK3142" t="s">
        <v>95</v>
      </c>
      <c r="AP3142" t="s">
        <v>951</v>
      </c>
    </row>
    <row r="3143" spans="1:42">
      <c r="A3143" s="16">
        <v>43794</v>
      </c>
      <c r="B3143">
        <v>1</v>
      </c>
      <c r="C3143">
        <v>982</v>
      </c>
      <c r="D3143">
        <v>10418</v>
      </c>
      <c r="E3143" t="s">
        <v>37</v>
      </c>
      <c r="F3143" t="s">
        <v>949</v>
      </c>
      <c r="G3143">
        <v>2</v>
      </c>
      <c r="H3143">
        <v>34</v>
      </c>
      <c r="I3143" s="25" t="s">
        <v>1061</v>
      </c>
      <c r="K3143" t="s">
        <v>1062</v>
      </c>
      <c r="M3143" t="s">
        <v>95</v>
      </c>
      <c r="N3143" t="s">
        <v>44</v>
      </c>
      <c r="O3143">
        <v>453</v>
      </c>
      <c r="Q3143">
        <v>4</v>
      </c>
      <c r="R3143">
        <v>1</v>
      </c>
      <c r="S3143">
        <v>0</v>
      </c>
      <c r="T3143">
        <v>0</v>
      </c>
      <c r="U3143">
        <v>0</v>
      </c>
      <c r="V3143">
        <v>0</v>
      </c>
      <c r="W3143">
        <v>4</v>
      </c>
      <c r="X3143" s="21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384</v>
      </c>
      <c r="AJ3143" t="s">
        <v>54</v>
      </c>
      <c r="AK3143" t="s">
        <v>95</v>
      </c>
      <c r="AL3143" t="s">
        <v>1063</v>
      </c>
      <c r="AP3143" t="s">
        <v>951</v>
      </c>
    </row>
    <row r="3144" spans="1:42">
      <c r="A3144" s="16">
        <v>43794</v>
      </c>
      <c r="B3144">
        <v>1</v>
      </c>
      <c r="C3144">
        <v>982</v>
      </c>
      <c r="D3144">
        <v>10418</v>
      </c>
      <c r="E3144" t="s">
        <v>37</v>
      </c>
      <c r="F3144" t="s">
        <v>949</v>
      </c>
      <c r="G3144">
        <v>2</v>
      </c>
      <c r="H3144">
        <v>35</v>
      </c>
      <c r="I3144" s="25"/>
      <c r="K3144" t="s">
        <v>1060</v>
      </c>
      <c r="M3144" t="s">
        <v>52</v>
      </c>
      <c r="N3144" t="s">
        <v>40</v>
      </c>
      <c r="O3144">
        <v>139</v>
      </c>
      <c r="Q3144">
        <v>3</v>
      </c>
      <c r="R3144">
        <v>1</v>
      </c>
      <c r="S3144">
        <v>0</v>
      </c>
      <c r="T3144">
        <v>0</v>
      </c>
      <c r="U3144">
        <v>0</v>
      </c>
      <c r="V3144">
        <v>0</v>
      </c>
      <c r="W3144">
        <v>3</v>
      </c>
      <c r="X3144" s="21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288</v>
      </c>
      <c r="AJ3144" t="s">
        <v>54</v>
      </c>
      <c r="AK3144" t="s">
        <v>95</v>
      </c>
      <c r="AP3144" t="s">
        <v>951</v>
      </c>
    </row>
    <row r="3145" spans="1:42">
      <c r="A3145" s="16">
        <v>43794</v>
      </c>
      <c r="B3145">
        <v>1</v>
      </c>
      <c r="C3145">
        <v>982</v>
      </c>
      <c r="D3145">
        <v>10418</v>
      </c>
      <c r="E3145" t="s">
        <v>37</v>
      </c>
      <c r="F3145" t="s">
        <v>949</v>
      </c>
      <c r="G3145">
        <v>2</v>
      </c>
      <c r="H3145">
        <v>36</v>
      </c>
      <c r="I3145" s="25">
        <v>720</v>
      </c>
      <c r="K3145" t="s">
        <v>1064</v>
      </c>
      <c r="M3145" t="s">
        <v>95</v>
      </c>
      <c r="N3145" t="s">
        <v>42</v>
      </c>
      <c r="O3145">
        <v>180</v>
      </c>
      <c r="Q3145">
        <v>5</v>
      </c>
      <c r="R3145">
        <v>1</v>
      </c>
      <c r="S3145">
        <v>0</v>
      </c>
      <c r="T3145">
        <v>0</v>
      </c>
      <c r="U3145">
        <v>0</v>
      </c>
      <c r="V3145">
        <v>1</v>
      </c>
      <c r="W3145">
        <v>4</v>
      </c>
      <c r="X3145" s="21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448</v>
      </c>
      <c r="AJ3145" t="s">
        <v>54</v>
      </c>
      <c r="AK3145" t="s">
        <v>95</v>
      </c>
      <c r="AL3145" t="s">
        <v>1065</v>
      </c>
      <c r="AP3145" t="s">
        <v>951</v>
      </c>
    </row>
    <row r="3146" spans="1:42">
      <c r="A3146" s="16">
        <v>43794</v>
      </c>
      <c r="B3146">
        <v>1</v>
      </c>
      <c r="C3146">
        <v>982</v>
      </c>
      <c r="D3146">
        <v>10418</v>
      </c>
      <c r="E3146" t="s">
        <v>37</v>
      </c>
      <c r="F3146" t="s">
        <v>949</v>
      </c>
      <c r="G3146">
        <v>2</v>
      </c>
      <c r="H3146">
        <v>37</v>
      </c>
      <c r="I3146" s="25">
        <v>136</v>
      </c>
      <c r="K3146" t="s">
        <v>1066</v>
      </c>
      <c r="M3146" t="s">
        <v>52</v>
      </c>
      <c r="N3146" t="s">
        <v>44</v>
      </c>
      <c r="O3146">
        <v>228</v>
      </c>
      <c r="Q3146">
        <v>4</v>
      </c>
      <c r="R3146">
        <v>1</v>
      </c>
      <c r="S3146">
        <v>0</v>
      </c>
      <c r="T3146">
        <v>0</v>
      </c>
      <c r="U3146">
        <v>0</v>
      </c>
      <c r="V3146">
        <v>0</v>
      </c>
      <c r="W3146">
        <v>3</v>
      </c>
      <c r="X3146" s="21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1</v>
      </c>
      <c r="AG3146">
        <v>0</v>
      </c>
      <c r="AH3146">
        <v>288</v>
      </c>
      <c r="AJ3146" t="s">
        <v>54</v>
      </c>
      <c r="AK3146" t="s">
        <v>52</v>
      </c>
      <c r="AP3146" t="s">
        <v>951</v>
      </c>
    </row>
    <row r="3147" spans="1:42">
      <c r="A3147" s="16">
        <v>43794</v>
      </c>
      <c r="B3147">
        <v>1</v>
      </c>
      <c r="C3147">
        <v>982</v>
      </c>
      <c r="D3147">
        <v>10418</v>
      </c>
      <c r="E3147" t="s">
        <v>37</v>
      </c>
      <c r="F3147" t="s">
        <v>949</v>
      </c>
      <c r="G3147">
        <v>2</v>
      </c>
      <c r="H3147">
        <v>38</v>
      </c>
      <c r="I3147" s="25">
        <v>729</v>
      </c>
      <c r="K3147" t="s">
        <v>103</v>
      </c>
      <c r="M3147" t="s">
        <v>52</v>
      </c>
      <c r="N3147" t="s">
        <v>44</v>
      </c>
      <c r="O3147">
        <v>193</v>
      </c>
      <c r="Q3147">
        <v>3</v>
      </c>
      <c r="R3147">
        <v>1</v>
      </c>
      <c r="S3147">
        <v>0</v>
      </c>
      <c r="T3147">
        <v>0</v>
      </c>
      <c r="U3147">
        <v>0</v>
      </c>
      <c r="V3147">
        <v>0</v>
      </c>
      <c r="W3147">
        <v>3</v>
      </c>
      <c r="X3147" s="21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288</v>
      </c>
      <c r="AJ3147" t="s">
        <v>54</v>
      </c>
      <c r="AK3147" t="s">
        <v>95</v>
      </c>
      <c r="AL3147" t="s">
        <v>1067</v>
      </c>
      <c r="AP3147" t="s">
        <v>951</v>
      </c>
    </row>
    <row r="3148" spans="1:42">
      <c r="A3148" s="16">
        <v>43794</v>
      </c>
      <c r="B3148">
        <v>1</v>
      </c>
      <c r="C3148">
        <v>982</v>
      </c>
      <c r="D3148">
        <v>10418</v>
      </c>
      <c r="E3148" t="s">
        <v>37</v>
      </c>
      <c r="F3148" t="s">
        <v>949</v>
      </c>
      <c r="G3148">
        <v>2</v>
      </c>
      <c r="H3148">
        <v>39</v>
      </c>
      <c r="I3148" s="25">
        <v>701</v>
      </c>
      <c r="K3148" t="s">
        <v>53</v>
      </c>
      <c r="M3148" t="s">
        <v>52</v>
      </c>
      <c r="N3148" t="s">
        <v>44</v>
      </c>
      <c r="O3148">
        <v>346</v>
      </c>
      <c r="Q3148">
        <v>6</v>
      </c>
      <c r="R3148">
        <v>1</v>
      </c>
      <c r="S3148">
        <v>0</v>
      </c>
      <c r="T3148">
        <v>0</v>
      </c>
      <c r="U3148">
        <v>0</v>
      </c>
      <c r="V3148">
        <v>0</v>
      </c>
      <c r="W3148">
        <v>6</v>
      </c>
      <c r="X3148" s="21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576</v>
      </c>
      <c r="AJ3148" t="s">
        <v>54</v>
      </c>
      <c r="AK3148" t="s">
        <v>52</v>
      </c>
      <c r="AP3148" t="s">
        <v>951</v>
      </c>
    </row>
    <row r="3149" spans="1:42">
      <c r="A3149" s="16">
        <v>43794</v>
      </c>
      <c r="B3149">
        <v>1</v>
      </c>
      <c r="C3149">
        <v>982</v>
      </c>
      <c r="D3149">
        <v>10418</v>
      </c>
      <c r="E3149" t="s">
        <v>37</v>
      </c>
      <c r="F3149" t="s">
        <v>949</v>
      </c>
      <c r="G3149">
        <v>2</v>
      </c>
      <c r="H3149">
        <v>40</v>
      </c>
      <c r="I3149" s="25" t="s">
        <v>1068</v>
      </c>
      <c r="K3149" t="s">
        <v>49</v>
      </c>
      <c r="M3149" t="s">
        <v>52</v>
      </c>
      <c r="N3149" t="s">
        <v>44</v>
      </c>
      <c r="O3149">
        <v>246</v>
      </c>
      <c r="Q3149">
        <v>4</v>
      </c>
      <c r="R3149">
        <v>1</v>
      </c>
      <c r="S3149">
        <v>0</v>
      </c>
      <c r="T3149">
        <v>0</v>
      </c>
      <c r="U3149">
        <v>0</v>
      </c>
      <c r="V3149">
        <v>0</v>
      </c>
      <c r="W3149">
        <v>4</v>
      </c>
      <c r="X3149" s="21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384</v>
      </c>
      <c r="AJ3149" t="s">
        <v>54</v>
      </c>
      <c r="AK3149" t="s">
        <v>95</v>
      </c>
      <c r="AL3149" t="s">
        <v>1069</v>
      </c>
      <c r="AP3149" t="s">
        <v>951</v>
      </c>
    </row>
    <row r="3150" spans="1:42">
      <c r="A3150" s="16">
        <v>43794</v>
      </c>
      <c r="B3150">
        <v>1</v>
      </c>
      <c r="C3150">
        <v>982</v>
      </c>
      <c r="D3150">
        <v>10418</v>
      </c>
      <c r="E3150" t="s">
        <v>37</v>
      </c>
      <c r="F3150" t="s">
        <v>949</v>
      </c>
      <c r="G3150">
        <v>2</v>
      </c>
      <c r="H3150">
        <v>41</v>
      </c>
      <c r="I3150" s="25">
        <v>609</v>
      </c>
      <c r="K3150" t="s">
        <v>49</v>
      </c>
      <c r="M3150" t="s">
        <v>52</v>
      </c>
      <c r="N3150" t="s">
        <v>44</v>
      </c>
      <c r="O3150">
        <v>157</v>
      </c>
      <c r="Q3150">
        <v>2</v>
      </c>
      <c r="R3150">
        <v>1</v>
      </c>
      <c r="S3150">
        <v>0</v>
      </c>
      <c r="T3150">
        <v>0</v>
      </c>
      <c r="U3150">
        <v>0</v>
      </c>
      <c r="V3150">
        <v>0</v>
      </c>
      <c r="W3150">
        <v>2</v>
      </c>
      <c r="X3150" s="21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192</v>
      </c>
      <c r="AJ3150" t="s">
        <v>54</v>
      </c>
      <c r="AK3150" t="s">
        <v>52</v>
      </c>
      <c r="AL3150" t="s">
        <v>1070</v>
      </c>
      <c r="AP3150" t="s">
        <v>951</v>
      </c>
    </row>
    <row r="3151" spans="1:42">
      <c r="A3151" s="16">
        <v>43794</v>
      </c>
      <c r="B3151">
        <v>1</v>
      </c>
      <c r="C3151">
        <v>982</v>
      </c>
      <c r="D3151">
        <v>10418</v>
      </c>
      <c r="E3151" t="s">
        <v>37</v>
      </c>
      <c r="F3151" t="s">
        <v>949</v>
      </c>
      <c r="G3151">
        <v>2</v>
      </c>
      <c r="H3151">
        <v>42</v>
      </c>
      <c r="I3151" s="25">
        <v>620</v>
      </c>
      <c r="K3151" t="s">
        <v>49</v>
      </c>
      <c r="M3151" t="s">
        <v>52</v>
      </c>
      <c r="N3151" t="s">
        <v>44</v>
      </c>
      <c r="O3151">
        <v>279</v>
      </c>
      <c r="Q3151">
        <v>4</v>
      </c>
      <c r="R3151">
        <v>1</v>
      </c>
      <c r="S3151">
        <v>0</v>
      </c>
      <c r="T3151">
        <v>0</v>
      </c>
      <c r="U3151">
        <v>0</v>
      </c>
      <c r="V3151">
        <v>0</v>
      </c>
      <c r="W3151">
        <v>4</v>
      </c>
      <c r="X3151" s="2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384</v>
      </c>
      <c r="AJ3151" t="s">
        <v>54</v>
      </c>
      <c r="AK3151" t="s">
        <v>95</v>
      </c>
      <c r="AL3151" t="s">
        <v>1071</v>
      </c>
      <c r="AP3151" t="s">
        <v>951</v>
      </c>
    </row>
    <row r="3152" spans="1:42">
      <c r="A3152" s="16">
        <v>43794</v>
      </c>
      <c r="B3152">
        <v>1</v>
      </c>
      <c r="C3152">
        <v>982</v>
      </c>
      <c r="D3152">
        <v>10418</v>
      </c>
      <c r="E3152" t="s">
        <v>37</v>
      </c>
      <c r="F3152" t="s">
        <v>949</v>
      </c>
      <c r="G3152">
        <v>2</v>
      </c>
      <c r="H3152">
        <v>43</v>
      </c>
      <c r="I3152" s="25"/>
      <c r="K3152" t="s">
        <v>49</v>
      </c>
      <c r="M3152" t="s">
        <v>52</v>
      </c>
      <c r="N3152" t="s">
        <v>40</v>
      </c>
      <c r="O3152">
        <v>99</v>
      </c>
      <c r="Q3152">
        <v>2</v>
      </c>
      <c r="R3152">
        <v>1</v>
      </c>
      <c r="S3152">
        <v>0</v>
      </c>
      <c r="T3152">
        <v>0</v>
      </c>
      <c r="U3152">
        <v>0</v>
      </c>
      <c r="V3152">
        <v>0</v>
      </c>
      <c r="W3152">
        <v>2</v>
      </c>
      <c r="X3152" s="21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192</v>
      </c>
      <c r="AJ3152" t="s">
        <v>54</v>
      </c>
      <c r="AK3152" t="s">
        <v>52</v>
      </c>
      <c r="AP3152" t="s">
        <v>951</v>
      </c>
    </row>
    <row r="3153" spans="1:42">
      <c r="A3153" s="16">
        <v>43794</v>
      </c>
      <c r="B3153">
        <v>1</v>
      </c>
      <c r="C3153">
        <v>982</v>
      </c>
      <c r="D3153">
        <v>10418</v>
      </c>
      <c r="E3153" t="s">
        <v>37</v>
      </c>
      <c r="F3153" t="s">
        <v>949</v>
      </c>
      <c r="G3153">
        <v>2</v>
      </c>
      <c r="H3153">
        <v>44</v>
      </c>
      <c r="I3153" s="25">
        <v>201</v>
      </c>
      <c r="K3153" t="s">
        <v>49</v>
      </c>
      <c r="M3153" t="s">
        <v>52</v>
      </c>
      <c r="N3153" t="s">
        <v>44</v>
      </c>
      <c r="O3153">
        <v>232</v>
      </c>
      <c r="Q3153">
        <v>6</v>
      </c>
      <c r="R3153">
        <v>1</v>
      </c>
      <c r="S3153">
        <v>0</v>
      </c>
      <c r="T3153">
        <v>0</v>
      </c>
      <c r="U3153">
        <v>0</v>
      </c>
      <c r="V3153">
        <v>0</v>
      </c>
      <c r="W3153">
        <v>6</v>
      </c>
      <c r="X3153" s="21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576</v>
      </c>
      <c r="AJ3153" t="s">
        <v>54</v>
      </c>
      <c r="AK3153" t="s">
        <v>52</v>
      </c>
      <c r="AP3153" t="s">
        <v>951</v>
      </c>
    </row>
    <row r="3154" spans="1:42">
      <c r="A3154" s="16">
        <v>43794</v>
      </c>
      <c r="B3154">
        <v>1</v>
      </c>
      <c r="C3154">
        <v>982</v>
      </c>
      <c r="D3154">
        <v>10418</v>
      </c>
      <c r="E3154" t="s">
        <v>37</v>
      </c>
      <c r="F3154" t="s">
        <v>949</v>
      </c>
      <c r="G3154">
        <v>2</v>
      </c>
      <c r="H3154">
        <v>45</v>
      </c>
      <c r="I3154" s="25"/>
      <c r="K3154" t="s">
        <v>49</v>
      </c>
      <c r="M3154" t="s">
        <v>52</v>
      </c>
      <c r="N3154" t="s">
        <v>40</v>
      </c>
      <c r="O3154">
        <v>31</v>
      </c>
      <c r="Q3154">
        <v>1</v>
      </c>
      <c r="R3154">
        <v>1</v>
      </c>
      <c r="S3154">
        <v>0</v>
      </c>
      <c r="T3154">
        <v>0</v>
      </c>
      <c r="U3154">
        <v>1</v>
      </c>
      <c r="V3154">
        <v>0</v>
      </c>
      <c r="W3154">
        <v>0</v>
      </c>
      <c r="X3154" s="21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32</v>
      </c>
      <c r="AJ3154" t="s">
        <v>54</v>
      </c>
      <c r="AK3154" t="s">
        <v>95</v>
      </c>
      <c r="AP3154" t="s">
        <v>951</v>
      </c>
    </row>
    <row r="3155" spans="1:42">
      <c r="A3155" s="16">
        <v>43794</v>
      </c>
      <c r="B3155">
        <v>1</v>
      </c>
      <c r="C3155">
        <v>982</v>
      </c>
      <c r="D3155">
        <v>10418</v>
      </c>
      <c r="E3155" t="s">
        <v>37</v>
      </c>
      <c r="F3155" t="s">
        <v>949</v>
      </c>
      <c r="G3155">
        <v>2</v>
      </c>
      <c r="H3155">
        <v>46</v>
      </c>
      <c r="I3155" s="25"/>
      <c r="K3155" t="s">
        <v>49</v>
      </c>
      <c r="M3155" t="s">
        <v>95</v>
      </c>
      <c r="N3155" t="s">
        <v>40</v>
      </c>
      <c r="O3155">
        <v>210</v>
      </c>
      <c r="Q3155">
        <v>4</v>
      </c>
      <c r="R3155">
        <v>1</v>
      </c>
      <c r="S3155">
        <v>0</v>
      </c>
      <c r="T3155">
        <v>0</v>
      </c>
      <c r="U3155">
        <v>0</v>
      </c>
      <c r="V3155">
        <v>1</v>
      </c>
      <c r="W3155">
        <v>3</v>
      </c>
      <c r="X3155" s="21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352</v>
      </c>
      <c r="AJ3155" t="s">
        <v>54</v>
      </c>
      <c r="AK3155" t="s">
        <v>52</v>
      </c>
      <c r="AP3155" t="s">
        <v>951</v>
      </c>
    </row>
    <row r="3156" spans="1:42">
      <c r="A3156" s="16">
        <v>43794</v>
      </c>
      <c r="B3156">
        <v>1</v>
      </c>
      <c r="C3156">
        <v>982</v>
      </c>
      <c r="D3156">
        <v>10418</v>
      </c>
      <c r="E3156" t="s">
        <v>37</v>
      </c>
      <c r="F3156" t="s">
        <v>949</v>
      </c>
      <c r="G3156">
        <v>2</v>
      </c>
      <c r="H3156">
        <v>47</v>
      </c>
      <c r="I3156" s="25"/>
      <c r="K3156" t="s">
        <v>49</v>
      </c>
      <c r="M3156" t="s">
        <v>52</v>
      </c>
      <c r="N3156" t="s">
        <v>40</v>
      </c>
      <c r="O3156">
        <v>53</v>
      </c>
      <c r="Q3156">
        <v>1</v>
      </c>
      <c r="R3156">
        <v>1</v>
      </c>
      <c r="S3156">
        <v>0</v>
      </c>
      <c r="T3156">
        <v>0</v>
      </c>
      <c r="U3156">
        <v>0</v>
      </c>
      <c r="V3156">
        <v>0</v>
      </c>
      <c r="W3156">
        <v>1</v>
      </c>
      <c r="X3156" s="21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96</v>
      </c>
      <c r="AJ3156" t="s">
        <v>54</v>
      </c>
      <c r="AK3156" t="s">
        <v>52</v>
      </c>
      <c r="AP3156" t="s">
        <v>951</v>
      </c>
    </row>
    <row r="3157" spans="1:42">
      <c r="A3157" s="16">
        <v>43794</v>
      </c>
      <c r="B3157">
        <v>1</v>
      </c>
      <c r="C3157">
        <v>982</v>
      </c>
      <c r="D3157">
        <v>10418</v>
      </c>
      <c r="E3157" t="s">
        <v>37</v>
      </c>
      <c r="F3157" t="s">
        <v>949</v>
      </c>
      <c r="G3157">
        <v>2</v>
      </c>
      <c r="H3157">
        <v>48</v>
      </c>
      <c r="I3157" s="25">
        <v>745</v>
      </c>
      <c r="K3157" t="s">
        <v>49</v>
      </c>
      <c r="M3157" t="s">
        <v>52</v>
      </c>
      <c r="N3157" t="s">
        <v>44</v>
      </c>
      <c r="O3157">
        <v>284</v>
      </c>
      <c r="Q3157">
        <v>3</v>
      </c>
      <c r="R3157">
        <v>1</v>
      </c>
      <c r="S3157">
        <v>0</v>
      </c>
      <c r="T3157">
        <v>0</v>
      </c>
      <c r="U3157">
        <v>0</v>
      </c>
      <c r="V3157">
        <v>0</v>
      </c>
      <c r="W3157">
        <v>3</v>
      </c>
      <c r="X3157" s="21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288</v>
      </c>
      <c r="AJ3157" t="s">
        <v>54</v>
      </c>
      <c r="AK3157" t="s">
        <v>52</v>
      </c>
      <c r="AL3157" t="s">
        <v>618</v>
      </c>
      <c r="AP3157" t="s">
        <v>951</v>
      </c>
    </row>
    <row r="3158" spans="1:42">
      <c r="A3158" s="16">
        <v>43794</v>
      </c>
      <c r="B3158">
        <v>1</v>
      </c>
      <c r="C3158">
        <v>982</v>
      </c>
      <c r="D3158">
        <v>10418</v>
      </c>
      <c r="E3158" t="s">
        <v>37</v>
      </c>
      <c r="F3158" t="s">
        <v>949</v>
      </c>
      <c r="G3158">
        <v>2</v>
      </c>
      <c r="H3158">
        <v>49</v>
      </c>
      <c r="I3158" s="25">
        <v>757</v>
      </c>
      <c r="K3158" t="s">
        <v>49</v>
      </c>
      <c r="M3158" t="s">
        <v>52</v>
      </c>
      <c r="N3158" t="s">
        <v>44</v>
      </c>
      <c r="O3158">
        <v>221</v>
      </c>
      <c r="Q3158">
        <v>2</v>
      </c>
      <c r="R3158">
        <v>1</v>
      </c>
      <c r="S3158">
        <v>0</v>
      </c>
      <c r="T3158">
        <v>0</v>
      </c>
      <c r="U3158">
        <v>0</v>
      </c>
      <c r="V3158">
        <v>0</v>
      </c>
      <c r="W3158">
        <v>2</v>
      </c>
      <c r="X3158" s="21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192</v>
      </c>
      <c r="AJ3158" t="s">
        <v>54</v>
      </c>
      <c r="AK3158" t="s">
        <v>52</v>
      </c>
      <c r="AL3158" t="s">
        <v>618</v>
      </c>
      <c r="AP3158" t="s">
        <v>951</v>
      </c>
    </row>
    <row r="3159" spans="1:42">
      <c r="A3159" s="16">
        <v>43794</v>
      </c>
      <c r="B3159">
        <v>1</v>
      </c>
      <c r="C3159">
        <v>982</v>
      </c>
      <c r="D3159">
        <v>10418</v>
      </c>
      <c r="E3159" t="s">
        <v>37</v>
      </c>
      <c r="F3159" t="s">
        <v>949</v>
      </c>
      <c r="G3159">
        <v>2</v>
      </c>
      <c r="H3159">
        <v>50</v>
      </c>
      <c r="I3159" s="25">
        <v>765</v>
      </c>
      <c r="K3159" t="s">
        <v>49</v>
      </c>
      <c r="M3159" t="s">
        <v>52</v>
      </c>
      <c r="N3159" t="s">
        <v>44</v>
      </c>
      <c r="O3159">
        <v>171</v>
      </c>
      <c r="Q3159">
        <v>2</v>
      </c>
      <c r="R3159">
        <v>1</v>
      </c>
      <c r="S3159">
        <v>0</v>
      </c>
      <c r="T3159">
        <v>0</v>
      </c>
      <c r="U3159">
        <v>0</v>
      </c>
      <c r="V3159">
        <v>0</v>
      </c>
      <c r="W3159">
        <v>2</v>
      </c>
      <c r="X3159" s="21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192</v>
      </c>
      <c r="AJ3159" t="s">
        <v>54</v>
      </c>
      <c r="AK3159" t="s">
        <v>52</v>
      </c>
      <c r="AL3159" t="s">
        <v>618</v>
      </c>
      <c r="AP3159" t="s">
        <v>951</v>
      </c>
    </row>
    <row r="3160" spans="1:42">
      <c r="A3160" s="16">
        <v>43794</v>
      </c>
      <c r="B3160">
        <v>1</v>
      </c>
      <c r="C3160">
        <v>982</v>
      </c>
      <c r="D3160">
        <v>10418</v>
      </c>
      <c r="E3160" t="s">
        <v>37</v>
      </c>
      <c r="F3160" t="s">
        <v>949</v>
      </c>
      <c r="G3160">
        <v>2</v>
      </c>
      <c r="H3160">
        <v>51</v>
      </c>
      <c r="I3160" s="25">
        <v>766</v>
      </c>
      <c r="K3160" t="s">
        <v>49</v>
      </c>
      <c r="M3160" t="s">
        <v>52</v>
      </c>
      <c r="N3160" t="s">
        <v>44</v>
      </c>
      <c r="O3160">
        <v>220</v>
      </c>
      <c r="Q3160">
        <v>4</v>
      </c>
      <c r="R3160">
        <v>1</v>
      </c>
      <c r="S3160">
        <v>0</v>
      </c>
      <c r="T3160">
        <v>0</v>
      </c>
      <c r="U3160">
        <v>0</v>
      </c>
      <c r="V3160">
        <v>0</v>
      </c>
      <c r="W3160">
        <v>4</v>
      </c>
      <c r="X3160" s="21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384</v>
      </c>
      <c r="AJ3160" t="s">
        <v>54</v>
      </c>
      <c r="AK3160" t="s">
        <v>52</v>
      </c>
      <c r="AP3160" t="s">
        <v>951</v>
      </c>
    </row>
    <row r="3161" spans="1:42">
      <c r="A3161" s="16">
        <v>43794</v>
      </c>
      <c r="B3161">
        <v>1</v>
      </c>
      <c r="C3161">
        <v>982</v>
      </c>
      <c r="D3161">
        <v>10418</v>
      </c>
      <c r="E3161" t="s">
        <v>37</v>
      </c>
      <c r="F3161" t="s">
        <v>949</v>
      </c>
      <c r="G3161">
        <v>2</v>
      </c>
      <c r="H3161">
        <v>52</v>
      </c>
      <c r="I3161" s="25">
        <v>830</v>
      </c>
      <c r="K3161" t="s">
        <v>49</v>
      </c>
      <c r="M3161" t="s">
        <v>52</v>
      </c>
      <c r="N3161" t="s">
        <v>44</v>
      </c>
      <c r="O3161">
        <v>153</v>
      </c>
      <c r="Q3161">
        <v>2</v>
      </c>
      <c r="R3161">
        <v>1</v>
      </c>
      <c r="S3161">
        <v>0</v>
      </c>
      <c r="T3161">
        <v>0</v>
      </c>
      <c r="U3161">
        <v>0</v>
      </c>
      <c r="V3161">
        <v>0</v>
      </c>
      <c r="W3161">
        <v>0</v>
      </c>
      <c r="X3161" s="2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192</v>
      </c>
      <c r="AJ3161" t="s">
        <v>54</v>
      </c>
      <c r="AK3161" t="s">
        <v>52</v>
      </c>
      <c r="AL3161" t="s">
        <v>1072</v>
      </c>
      <c r="AP3161" t="s">
        <v>951</v>
      </c>
    </row>
    <row r="3162" spans="1:42">
      <c r="A3162" s="16">
        <v>43794</v>
      </c>
      <c r="B3162">
        <v>1</v>
      </c>
      <c r="C3162">
        <v>982</v>
      </c>
      <c r="D3162">
        <v>10418</v>
      </c>
      <c r="E3162" t="s">
        <v>37</v>
      </c>
      <c r="F3162" t="s">
        <v>949</v>
      </c>
      <c r="G3162">
        <v>2</v>
      </c>
      <c r="H3162">
        <v>53</v>
      </c>
      <c r="I3162" s="25">
        <v>845</v>
      </c>
      <c r="K3162" t="s">
        <v>49</v>
      </c>
      <c r="M3162" t="s">
        <v>52</v>
      </c>
      <c r="N3162" t="s">
        <v>44</v>
      </c>
      <c r="O3162">
        <v>264</v>
      </c>
      <c r="Q3162">
        <v>4</v>
      </c>
      <c r="R3162">
        <v>1</v>
      </c>
      <c r="S3162">
        <v>0</v>
      </c>
      <c r="T3162">
        <v>0</v>
      </c>
      <c r="U3162">
        <v>0</v>
      </c>
      <c r="V3162">
        <v>0</v>
      </c>
      <c r="W3162">
        <v>4</v>
      </c>
      <c r="X3162" s="21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384</v>
      </c>
      <c r="AJ3162" t="s">
        <v>54</v>
      </c>
      <c r="AK3162" t="s">
        <v>52</v>
      </c>
      <c r="AP3162" t="s">
        <v>951</v>
      </c>
    </row>
    <row r="3163" spans="1:42">
      <c r="A3163" s="16">
        <v>43794</v>
      </c>
      <c r="B3163">
        <v>1</v>
      </c>
      <c r="C3163">
        <v>982</v>
      </c>
      <c r="D3163">
        <v>10418</v>
      </c>
      <c r="E3163" t="s">
        <v>37</v>
      </c>
      <c r="F3163" t="s">
        <v>949</v>
      </c>
      <c r="G3163">
        <v>2</v>
      </c>
      <c r="H3163">
        <v>54</v>
      </c>
      <c r="I3163" s="25">
        <v>861</v>
      </c>
      <c r="K3163" t="s">
        <v>49</v>
      </c>
      <c r="M3163" t="s">
        <v>52</v>
      </c>
      <c r="N3163" t="s">
        <v>44</v>
      </c>
      <c r="O3163">
        <v>108</v>
      </c>
      <c r="Q3163">
        <v>2</v>
      </c>
      <c r="R3163">
        <v>1</v>
      </c>
      <c r="S3163">
        <v>0</v>
      </c>
      <c r="T3163">
        <v>0</v>
      </c>
      <c r="U3163">
        <v>0</v>
      </c>
      <c r="V3163">
        <v>0</v>
      </c>
      <c r="W3163">
        <v>2</v>
      </c>
      <c r="X3163" s="21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192</v>
      </c>
      <c r="AJ3163" t="s">
        <v>54</v>
      </c>
      <c r="AK3163" t="s">
        <v>52</v>
      </c>
      <c r="AL3163" t="s">
        <v>618</v>
      </c>
      <c r="AP3163" t="s">
        <v>951</v>
      </c>
    </row>
    <row r="3164" spans="1:42">
      <c r="A3164" s="16">
        <v>43794</v>
      </c>
      <c r="B3164">
        <v>1</v>
      </c>
      <c r="C3164">
        <v>982</v>
      </c>
      <c r="D3164">
        <v>10418</v>
      </c>
      <c r="E3164" t="s">
        <v>37</v>
      </c>
      <c r="F3164" t="s">
        <v>949</v>
      </c>
      <c r="G3164">
        <v>2</v>
      </c>
      <c r="H3164">
        <v>55</v>
      </c>
      <c r="I3164" s="25">
        <v>860</v>
      </c>
      <c r="K3164" t="s">
        <v>49</v>
      </c>
      <c r="M3164" t="s">
        <v>52</v>
      </c>
      <c r="N3164" t="s">
        <v>44</v>
      </c>
      <c r="O3164">
        <v>316</v>
      </c>
      <c r="Q3164">
        <v>4</v>
      </c>
      <c r="R3164">
        <v>1</v>
      </c>
      <c r="S3164">
        <v>0</v>
      </c>
      <c r="T3164">
        <v>0</v>
      </c>
      <c r="U3164">
        <v>0</v>
      </c>
      <c r="V3164">
        <v>0</v>
      </c>
      <c r="W3164">
        <v>4</v>
      </c>
      <c r="X3164" s="21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384</v>
      </c>
      <c r="AJ3164" t="s">
        <v>54</v>
      </c>
      <c r="AK3164" t="s">
        <v>95</v>
      </c>
      <c r="AL3164" t="s">
        <v>1073</v>
      </c>
      <c r="AP3164" t="s">
        <v>951</v>
      </c>
    </row>
    <row r="3165" spans="1:42">
      <c r="A3165" s="16">
        <v>43794</v>
      </c>
      <c r="B3165">
        <v>1</v>
      </c>
      <c r="C3165">
        <v>982</v>
      </c>
      <c r="D3165">
        <v>10418</v>
      </c>
      <c r="E3165" t="s">
        <v>37</v>
      </c>
      <c r="F3165" t="s">
        <v>949</v>
      </c>
      <c r="G3165">
        <v>2</v>
      </c>
      <c r="H3165">
        <v>56</v>
      </c>
      <c r="I3165" s="25"/>
      <c r="K3165" t="s">
        <v>49</v>
      </c>
      <c r="M3165" t="s">
        <v>52</v>
      </c>
      <c r="N3165" t="s">
        <v>40</v>
      </c>
      <c r="O3165">
        <v>108</v>
      </c>
      <c r="Q3165">
        <v>1</v>
      </c>
      <c r="R3165">
        <v>1</v>
      </c>
      <c r="S3165">
        <v>0</v>
      </c>
      <c r="T3165">
        <v>0</v>
      </c>
      <c r="U3165">
        <v>0</v>
      </c>
      <c r="V3165">
        <v>0</v>
      </c>
      <c r="W3165">
        <v>1</v>
      </c>
      <c r="X3165" s="21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96</v>
      </c>
      <c r="AJ3165" t="s">
        <v>54</v>
      </c>
      <c r="AK3165" t="s">
        <v>52</v>
      </c>
      <c r="AP3165" t="s">
        <v>951</v>
      </c>
    </row>
    <row r="3166" spans="1:42">
      <c r="A3166" s="16">
        <v>43794</v>
      </c>
      <c r="B3166">
        <v>1</v>
      </c>
      <c r="C3166">
        <v>982</v>
      </c>
      <c r="D3166">
        <v>10418</v>
      </c>
      <c r="E3166" t="s">
        <v>37</v>
      </c>
      <c r="F3166" t="s">
        <v>949</v>
      </c>
      <c r="G3166">
        <v>2</v>
      </c>
      <c r="H3166">
        <v>57</v>
      </c>
      <c r="I3166" s="25">
        <v>895</v>
      </c>
      <c r="K3166" t="s">
        <v>49</v>
      </c>
      <c r="M3166" t="s">
        <v>52</v>
      </c>
      <c r="N3166" t="s">
        <v>44</v>
      </c>
      <c r="O3166">
        <v>227</v>
      </c>
      <c r="Q3166">
        <v>4</v>
      </c>
      <c r="R3166">
        <v>1</v>
      </c>
      <c r="S3166">
        <v>0</v>
      </c>
      <c r="T3166">
        <v>0</v>
      </c>
      <c r="U3166">
        <v>0</v>
      </c>
      <c r="V3166">
        <v>0</v>
      </c>
      <c r="W3166">
        <v>4</v>
      </c>
      <c r="X3166" s="21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384</v>
      </c>
      <c r="AJ3166" t="s">
        <v>54</v>
      </c>
      <c r="AK3166" t="s">
        <v>52</v>
      </c>
      <c r="AL3166" t="s">
        <v>1073</v>
      </c>
      <c r="AP3166" t="s">
        <v>951</v>
      </c>
    </row>
    <row r="3167" spans="1:42">
      <c r="A3167" s="16">
        <v>43794</v>
      </c>
      <c r="B3167">
        <v>1</v>
      </c>
      <c r="C3167">
        <v>982</v>
      </c>
      <c r="D3167">
        <v>10418</v>
      </c>
      <c r="E3167" t="s">
        <v>37</v>
      </c>
      <c r="F3167" t="s">
        <v>949</v>
      </c>
      <c r="G3167">
        <v>2</v>
      </c>
      <c r="H3167">
        <v>58</v>
      </c>
      <c r="I3167" s="25">
        <v>886</v>
      </c>
      <c r="K3167" t="s">
        <v>49</v>
      </c>
      <c r="M3167" t="s">
        <v>52</v>
      </c>
      <c r="N3167" t="s">
        <v>44</v>
      </c>
      <c r="O3167">
        <v>259</v>
      </c>
      <c r="Q3167">
        <v>2</v>
      </c>
      <c r="R3167">
        <v>1</v>
      </c>
      <c r="S3167">
        <v>0</v>
      </c>
      <c r="T3167">
        <v>0</v>
      </c>
      <c r="U3167">
        <v>0</v>
      </c>
      <c r="V3167">
        <v>0</v>
      </c>
      <c r="W3167">
        <v>2</v>
      </c>
      <c r="X3167" s="21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192</v>
      </c>
      <c r="AJ3167" t="s">
        <v>54</v>
      </c>
      <c r="AK3167" t="s">
        <v>95</v>
      </c>
      <c r="AL3167" t="s">
        <v>1074</v>
      </c>
      <c r="AP3167" t="s">
        <v>951</v>
      </c>
    </row>
    <row r="3168" spans="1:42">
      <c r="A3168" s="16">
        <v>43794</v>
      </c>
      <c r="B3168">
        <v>1</v>
      </c>
      <c r="C3168">
        <v>982</v>
      </c>
      <c r="D3168">
        <v>10418</v>
      </c>
      <c r="E3168" t="s">
        <v>37</v>
      </c>
      <c r="F3168" t="s">
        <v>949</v>
      </c>
      <c r="G3168">
        <v>2</v>
      </c>
      <c r="H3168">
        <v>59</v>
      </c>
      <c r="I3168" s="25"/>
      <c r="K3168" t="s">
        <v>49</v>
      </c>
      <c r="M3168" t="s">
        <v>52</v>
      </c>
      <c r="N3168" t="s">
        <v>40</v>
      </c>
      <c r="O3168">
        <v>43</v>
      </c>
      <c r="Q3168">
        <v>1</v>
      </c>
      <c r="R3168">
        <v>1</v>
      </c>
      <c r="S3168">
        <v>0</v>
      </c>
      <c r="T3168">
        <v>0</v>
      </c>
      <c r="U3168">
        <v>0</v>
      </c>
      <c r="V3168">
        <v>0</v>
      </c>
      <c r="W3168">
        <v>1</v>
      </c>
      <c r="X3168" s="21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96</v>
      </c>
      <c r="AJ3168" t="s">
        <v>54</v>
      </c>
      <c r="AK3168" t="s">
        <v>95</v>
      </c>
      <c r="AP3168" t="s">
        <v>951</v>
      </c>
    </row>
    <row r="3169" spans="1:42">
      <c r="A3169" s="16">
        <v>43794</v>
      </c>
      <c r="B3169">
        <v>1</v>
      </c>
      <c r="C3169">
        <v>982</v>
      </c>
      <c r="D3169">
        <v>10418</v>
      </c>
      <c r="E3169" t="s">
        <v>37</v>
      </c>
      <c r="F3169" t="s">
        <v>949</v>
      </c>
      <c r="G3169">
        <v>2</v>
      </c>
      <c r="H3169">
        <v>60</v>
      </c>
      <c r="I3169" s="25" t="s">
        <v>1075</v>
      </c>
      <c r="K3169" t="s">
        <v>1076</v>
      </c>
      <c r="M3169" t="s">
        <v>95</v>
      </c>
      <c r="N3169" t="s">
        <v>42</v>
      </c>
      <c r="O3169">
        <v>804</v>
      </c>
      <c r="Q3169">
        <v>13</v>
      </c>
      <c r="R3169">
        <v>1</v>
      </c>
      <c r="S3169">
        <v>0</v>
      </c>
      <c r="T3169">
        <v>0</v>
      </c>
      <c r="U3169">
        <v>0</v>
      </c>
      <c r="V3169">
        <v>0</v>
      </c>
      <c r="W3169">
        <v>13</v>
      </c>
      <c r="X3169" s="21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1248</v>
      </c>
      <c r="AJ3169" t="s">
        <v>54</v>
      </c>
      <c r="AK3169" t="s">
        <v>52</v>
      </c>
      <c r="AL3169" t="s">
        <v>1077</v>
      </c>
      <c r="AP3169" t="s">
        <v>951</v>
      </c>
    </row>
    <row r="3170" spans="1:42">
      <c r="A3170" s="16">
        <v>43794</v>
      </c>
      <c r="B3170">
        <v>1</v>
      </c>
      <c r="C3170">
        <v>982</v>
      </c>
      <c r="D3170">
        <v>10418</v>
      </c>
      <c r="E3170" t="s">
        <v>37</v>
      </c>
      <c r="F3170" t="s">
        <v>949</v>
      </c>
      <c r="G3170">
        <v>2</v>
      </c>
      <c r="H3170">
        <v>61</v>
      </c>
      <c r="I3170" s="25">
        <v>940</v>
      </c>
      <c r="K3170" t="s">
        <v>49</v>
      </c>
      <c r="M3170" t="s">
        <v>95</v>
      </c>
      <c r="N3170" t="s">
        <v>42</v>
      </c>
      <c r="O3170">
        <v>371</v>
      </c>
      <c r="Q3170">
        <v>7</v>
      </c>
      <c r="R3170">
        <v>1</v>
      </c>
      <c r="S3170">
        <v>0</v>
      </c>
      <c r="T3170">
        <v>0</v>
      </c>
      <c r="U3170">
        <v>0</v>
      </c>
      <c r="V3170">
        <v>0</v>
      </c>
      <c r="W3170">
        <v>7</v>
      </c>
      <c r="X3170" s="21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972</v>
      </c>
      <c r="AJ3170" t="s">
        <v>54</v>
      </c>
      <c r="AK3170" t="s">
        <v>52</v>
      </c>
      <c r="AP3170" t="s">
        <v>951</v>
      </c>
    </row>
    <row r="3171" spans="1:42">
      <c r="A3171" s="16">
        <v>43794</v>
      </c>
      <c r="B3171">
        <v>1</v>
      </c>
      <c r="C3171">
        <v>982</v>
      </c>
      <c r="D3171">
        <v>10418</v>
      </c>
      <c r="E3171" t="s">
        <v>37</v>
      </c>
      <c r="F3171" t="s">
        <v>949</v>
      </c>
      <c r="G3171">
        <v>2</v>
      </c>
      <c r="H3171">
        <v>62</v>
      </c>
      <c r="I3171" s="25" t="s">
        <v>1078</v>
      </c>
      <c r="K3171" t="s">
        <v>49</v>
      </c>
      <c r="M3171" t="s">
        <v>52</v>
      </c>
      <c r="N3171" t="s">
        <v>42</v>
      </c>
      <c r="O3171">
        <v>264</v>
      </c>
      <c r="Q3171">
        <v>3</v>
      </c>
      <c r="R3171">
        <v>1</v>
      </c>
      <c r="S3171">
        <v>0</v>
      </c>
      <c r="T3171">
        <v>0</v>
      </c>
      <c r="U3171">
        <v>1</v>
      </c>
      <c r="V3171">
        <v>0</v>
      </c>
      <c r="W3171">
        <v>2</v>
      </c>
      <c r="X3171" s="2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224</v>
      </c>
      <c r="AJ3171" t="s">
        <v>54</v>
      </c>
      <c r="AK3171" t="s">
        <v>52</v>
      </c>
      <c r="AL3171" t="s">
        <v>1077</v>
      </c>
      <c r="AP3171" t="s">
        <v>951</v>
      </c>
    </row>
    <row r="3172" spans="1:42">
      <c r="A3172" s="16">
        <v>43794</v>
      </c>
      <c r="B3172">
        <v>1</v>
      </c>
      <c r="C3172">
        <v>982</v>
      </c>
      <c r="D3172">
        <v>10418</v>
      </c>
      <c r="E3172" t="s">
        <v>37</v>
      </c>
      <c r="F3172" t="s">
        <v>949</v>
      </c>
      <c r="G3172">
        <v>2</v>
      </c>
      <c r="H3172">
        <v>63</v>
      </c>
      <c r="I3172" s="25" t="s">
        <v>1079</v>
      </c>
      <c r="K3172" t="s">
        <v>49</v>
      </c>
      <c r="M3172" t="s">
        <v>52</v>
      </c>
      <c r="N3172" t="s">
        <v>44</v>
      </c>
      <c r="O3172">
        <v>237</v>
      </c>
      <c r="Q3172">
        <v>2</v>
      </c>
      <c r="R3172">
        <v>1</v>
      </c>
      <c r="S3172">
        <v>0</v>
      </c>
      <c r="T3172">
        <v>0</v>
      </c>
      <c r="U3172">
        <v>0</v>
      </c>
      <c r="V3172">
        <v>0</v>
      </c>
      <c r="W3172">
        <v>2</v>
      </c>
      <c r="X3172" s="21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192</v>
      </c>
      <c r="AJ3172" t="s">
        <v>54</v>
      </c>
      <c r="AK3172" t="s">
        <v>52</v>
      </c>
      <c r="AP3172" t="s">
        <v>951</v>
      </c>
    </row>
    <row r="3173" spans="1:42">
      <c r="A3173" s="16">
        <v>43794</v>
      </c>
      <c r="B3173">
        <v>1</v>
      </c>
      <c r="C3173">
        <v>982</v>
      </c>
      <c r="D3173">
        <v>10418</v>
      </c>
      <c r="E3173" t="s">
        <v>37</v>
      </c>
      <c r="F3173" t="s">
        <v>949</v>
      </c>
      <c r="G3173">
        <v>2</v>
      </c>
      <c r="H3173">
        <v>64</v>
      </c>
      <c r="I3173" s="25"/>
      <c r="K3173" t="s">
        <v>49</v>
      </c>
      <c r="M3173" t="s">
        <v>52</v>
      </c>
      <c r="N3173" t="s">
        <v>40</v>
      </c>
      <c r="O3173">
        <v>246</v>
      </c>
      <c r="Q3173">
        <v>2</v>
      </c>
      <c r="R3173">
        <v>1</v>
      </c>
      <c r="S3173">
        <v>0</v>
      </c>
      <c r="T3173">
        <v>0</v>
      </c>
      <c r="U3173">
        <v>0</v>
      </c>
      <c r="V3173">
        <v>0</v>
      </c>
      <c r="W3173">
        <v>2</v>
      </c>
      <c r="X3173" s="21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192</v>
      </c>
      <c r="AJ3173" t="s">
        <v>54</v>
      </c>
      <c r="AK3173" t="s">
        <v>52</v>
      </c>
      <c r="AL3173" t="s">
        <v>1080</v>
      </c>
      <c r="AP3173" t="s">
        <v>951</v>
      </c>
    </row>
    <row r="3174" spans="1:42">
      <c r="A3174" s="16">
        <v>43794</v>
      </c>
      <c r="B3174">
        <v>1</v>
      </c>
      <c r="C3174">
        <v>982</v>
      </c>
      <c r="D3174">
        <v>10418</v>
      </c>
      <c r="E3174" t="s">
        <v>37</v>
      </c>
      <c r="F3174" t="s">
        <v>949</v>
      </c>
      <c r="G3174">
        <v>2</v>
      </c>
      <c r="H3174">
        <v>65</v>
      </c>
      <c r="I3174" s="25">
        <v>1025</v>
      </c>
      <c r="K3174" t="s">
        <v>49</v>
      </c>
      <c r="M3174" t="s">
        <v>52</v>
      </c>
      <c r="N3174" t="s">
        <v>44</v>
      </c>
      <c r="O3174">
        <v>163</v>
      </c>
      <c r="Q3174">
        <v>2</v>
      </c>
      <c r="R3174">
        <v>1</v>
      </c>
      <c r="S3174">
        <v>0</v>
      </c>
      <c r="T3174">
        <v>0</v>
      </c>
      <c r="U3174">
        <v>0</v>
      </c>
      <c r="V3174">
        <v>0</v>
      </c>
      <c r="W3174">
        <v>2</v>
      </c>
      <c r="X3174" s="21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192</v>
      </c>
      <c r="AJ3174" t="s">
        <v>54</v>
      </c>
      <c r="AK3174" t="s">
        <v>52</v>
      </c>
      <c r="AL3174" t="s">
        <v>1074</v>
      </c>
      <c r="AP3174" t="s">
        <v>951</v>
      </c>
    </row>
    <row r="3175" spans="1:42">
      <c r="A3175" s="16">
        <v>43794</v>
      </c>
      <c r="B3175">
        <v>1</v>
      </c>
      <c r="C3175">
        <v>982</v>
      </c>
      <c r="D3175">
        <v>10418</v>
      </c>
      <c r="E3175" t="s">
        <v>37</v>
      </c>
      <c r="F3175" t="s">
        <v>949</v>
      </c>
      <c r="G3175">
        <v>2</v>
      </c>
      <c r="H3175">
        <v>66</v>
      </c>
      <c r="I3175" s="25">
        <v>1035</v>
      </c>
      <c r="K3175" t="s">
        <v>49</v>
      </c>
      <c r="M3175" t="s">
        <v>52</v>
      </c>
      <c r="N3175" t="s">
        <v>44</v>
      </c>
      <c r="O3175">
        <v>200</v>
      </c>
      <c r="Q3175">
        <v>3</v>
      </c>
      <c r="R3175">
        <v>1</v>
      </c>
      <c r="S3175">
        <v>0</v>
      </c>
      <c r="T3175">
        <v>0</v>
      </c>
      <c r="U3175">
        <v>0</v>
      </c>
      <c r="V3175">
        <v>0</v>
      </c>
      <c r="W3175">
        <v>3</v>
      </c>
      <c r="X3175" s="21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288</v>
      </c>
      <c r="AJ3175" t="s">
        <v>54</v>
      </c>
      <c r="AK3175" t="s">
        <v>52</v>
      </c>
      <c r="AL3175" t="s">
        <v>1081</v>
      </c>
      <c r="AP3175" t="s">
        <v>951</v>
      </c>
    </row>
    <row r="3176" spans="1:42">
      <c r="A3176" s="16">
        <v>43794</v>
      </c>
      <c r="B3176">
        <v>1</v>
      </c>
      <c r="C3176">
        <v>982</v>
      </c>
      <c r="D3176">
        <v>10418</v>
      </c>
      <c r="E3176" t="s">
        <v>37</v>
      </c>
      <c r="F3176" t="s">
        <v>949</v>
      </c>
      <c r="G3176">
        <v>2</v>
      </c>
      <c r="H3176">
        <v>67</v>
      </c>
      <c r="I3176" s="25">
        <v>1034</v>
      </c>
      <c r="K3176" t="s">
        <v>49</v>
      </c>
      <c r="M3176" t="s">
        <v>52</v>
      </c>
      <c r="N3176" t="s">
        <v>44</v>
      </c>
      <c r="O3176">
        <v>102</v>
      </c>
      <c r="Q3176">
        <v>1</v>
      </c>
      <c r="R3176">
        <v>1</v>
      </c>
      <c r="S3176">
        <v>0</v>
      </c>
      <c r="T3176">
        <v>0</v>
      </c>
      <c r="U3176">
        <v>0</v>
      </c>
      <c r="V3176">
        <v>0</v>
      </c>
      <c r="W3176">
        <v>1</v>
      </c>
      <c r="X3176" s="21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96</v>
      </c>
      <c r="AJ3176" t="s">
        <v>54</v>
      </c>
      <c r="AK3176" t="s">
        <v>52</v>
      </c>
      <c r="AP3176" t="s">
        <v>951</v>
      </c>
    </row>
    <row r="3177" spans="1:42">
      <c r="A3177" s="16">
        <v>43794</v>
      </c>
      <c r="B3177">
        <v>1</v>
      </c>
      <c r="C3177">
        <v>982</v>
      </c>
      <c r="D3177">
        <v>10418</v>
      </c>
      <c r="E3177" t="s">
        <v>37</v>
      </c>
      <c r="F3177" t="s">
        <v>949</v>
      </c>
      <c r="G3177">
        <v>2</v>
      </c>
      <c r="H3177">
        <v>68</v>
      </c>
      <c r="I3177" s="25">
        <v>1040</v>
      </c>
      <c r="K3177" t="s">
        <v>49</v>
      </c>
      <c r="M3177" t="s">
        <v>52</v>
      </c>
      <c r="N3177" t="s">
        <v>44</v>
      </c>
      <c r="O3177">
        <v>220</v>
      </c>
      <c r="Q3177">
        <v>4</v>
      </c>
      <c r="R3177">
        <v>1</v>
      </c>
      <c r="S3177">
        <v>0</v>
      </c>
      <c r="T3177">
        <v>0</v>
      </c>
      <c r="U3177">
        <v>0</v>
      </c>
      <c r="V3177">
        <v>0</v>
      </c>
      <c r="W3177">
        <v>4</v>
      </c>
      <c r="X3177" s="21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384</v>
      </c>
      <c r="AJ3177" t="s">
        <v>54</v>
      </c>
      <c r="AK3177" t="s">
        <v>52</v>
      </c>
      <c r="AP3177" t="s">
        <v>951</v>
      </c>
    </row>
    <row r="3178" spans="1:42">
      <c r="A3178" s="16">
        <v>43794</v>
      </c>
      <c r="B3178">
        <v>1</v>
      </c>
      <c r="C3178">
        <v>982</v>
      </c>
      <c r="D3178">
        <v>10418</v>
      </c>
      <c r="E3178" t="s">
        <v>37</v>
      </c>
      <c r="F3178" t="s">
        <v>949</v>
      </c>
      <c r="G3178">
        <v>2</v>
      </c>
      <c r="H3178">
        <v>69</v>
      </c>
      <c r="I3178" s="25" t="s">
        <v>1082</v>
      </c>
      <c r="K3178" t="s">
        <v>49</v>
      </c>
      <c r="M3178" t="s">
        <v>52</v>
      </c>
      <c r="N3178" t="s">
        <v>44</v>
      </c>
      <c r="O3178">
        <v>256</v>
      </c>
      <c r="Q3178">
        <v>2</v>
      </c>
      <c r="R3178">
        <v>1</v>
      </c>
      <c r="S3178">
        <v>0</v>
      </c>
      <c r="T3178">
        <v>0</v>
      </c>
      <c r="U3178">
        <v>0</v>
      </c>
      <c r="V3178">
        <v>0</v>
      </c>
      <c r="W3178">
        <v>2</v>
      </c>
      <c r="X3178" s="21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192</v>
      </c>
      <c r="AJ3178" t="s">
        <v>54</v>
      </c>
      <c r="AK3178" t="s">
        <v>52</v>
      </c>
      <c r="AL3178" t="s">
        <v>1083</v>
      </c>
      <c r="AP3178" t="s">
        <v>951</v>
      </c>
    </row>
    <row r="3179" spans="1:42">
      <c r="A3179" s="16">
        <v>43794</v>
      </c>
      <c r="B3179">
        <v>1</v>
      </c>
      <c r="C3179">
        <v>982</v>
      </c>
      <c r="D3179">
        <v>10418</v>
      </c>
      <c r="E3179" t="s">
        <v>37</v>
      </c>
      <c r="F3179" t="s">
        <v>949</v>
      </c>
      <c r="G3179">
        <v>2</v>
      </c>
      <c r="H3179">
        <v>70</v>
      </c>
      <c r="I3179" s="25">
        <v>1080</v>
      </c>
      <c r="K3179" t="s">
        <v>49</v>
      </c>
      <c r="M3179" t="s">
        <v>95</v>
      </c>
      <c r="N3179" t="s">
        <v>42</v>
      </c>
      <c r="O3179">
        <v>416</v>
      </c>
      <c r="Q3179">
        <v>10</v>
      </c>
      <c r="R3179">
        <v>1</v>
      </c>
      <c r="S3179">
        <v>0</v>
      </c>
      <c r="T3179">
        <v>0</v>
      </c>
      <c r="U3179">
        <v>0</v>
      </c>
      <c r="V3179">
        <v>1</v>
      </c>
      <c r="W3179">
        <v>9</v>
      </c>
      <c r="X3179" s="21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928</v>
      </c>
      <c r="AJ3179" t="s">
        <v>54</v>
      </c>
      <c r="AK3179" t="s">
        <v>52</v>
      </c>
      <c r="AL3179" t="s">
        <v>1084</v>
      </c>
      <c r="AP3179" t="s">
        <v>951</v>
      </c>
    </row>
    <row r="3180" spans="1:42">
      <c r="A3180" s="16">
        <v>43795</v>
      </c>
      <c r="B3180">
        <v>2</v>
      </c>
      <c r="C3180">
        <v>983</v>
      </c>
      <c r="D3180">
        <v>10424</v>
      </c>
      <c r="E3180" t="s">
        <v>37</v>
      </c>
      <c r="F3180" t="s">
        <v>949</v>
      </c>
      <c r="G3180">
        <v>2</v>
      </c>
      <c r="H3180">
        <v>1</v>
      </c>
      <c r="I3180" s="25"/>
      <c r="K3180" t="s">
        <v>1085</v>
      </c>
      <c r="M3180" t="s">
        <v>52</v>
      </c>
      <c r="N3180" t="s">
        <v>40</v>
      </c>
      <c r="O3180">
        <v>72</v>
      </c>
      <c r="Q3180">
        <v>3</v>
      </c>
      <c r="R3180">
        <v>1</v>
      </c>
      <c r="S3180">
        <v>0</v>
      </c>
      <c r="T3180">
        <v>0</v>
      </c>
      <c r="U3180">
        <v>0</v>
      </c>
      <c r="V3180">
        <v>0</v>
      </c>
      <c r="W3180">
        <v>3</v>
      </c>
      <c r="X3180" s="21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288</v>
      </c>
      <c r="AJ3180" t="s">
        <v>51</v>
      </c>
      <c r="AK3180" t="s">
        <v>95</v>
      </c>
      <c r="AP3180" t="s">
        <v>951</v>
      </c>
    </row>
    <row r="3181" spans="1:42">
      <c r="A3181" s="16">
        <v>43795</v>
      </c>
      <c r="B3181">
        <v>2</v>
      </c>
      <c r="C3181">
        <v>983</v>
      </c>
      <c r="D3181">
        <v>10424</v>
      </c>
      <c r="E3181" t="s">
        <v>37</v>
      </c>
      <c r="F3181" t="s">
        <v>949</v>
      </c>
      <c r="G3181">
        <v>2</v>
      </c>
      <c r="H3181">
        <v>2</v>
      </c>
      <c r="I3181" s="25"/>
      <c r="K3181" t="s">
        <v>1085</v>
      </c>
      <c r="M3181" t="s">
        <v>52</v>
      </c>
      <c r="N3181" t="s">
        <v>40</v>
      </c>
      <c r="O3181">
        <v>51</v>
      </c>
      <c r="Q3181">
        <v>1</v>
      </c>
      <c r="R3181">
        <v>1</v>
      </c>
      <c r="S3181">
        <v>0</v>
      </c>
      <c r="T3181">
        <v>0</v>
      </c>
      <c r="U3181">
        <v>0</v>
      </c>
      <c r="V3181">
        <v>0</v>
      </c>
      <c r="W3181">
        <v>1</v>
      </c>
      <c r="X3181" s="2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96</v>
      </c>
      <c r="AJ3181" t="s">
        <v>51</v>
      </c>
      <c r="AK3181" t="s">
        <v>95</v>
      </c>
      <c r="AP3181" t="s">
        <v>951</v>
      </c>
    </row>
    <row r="3182" spans="1:42">
      <c r="A3182" s="16">
        <v>43795</v>
      </c>
      <c r="B3182">
        <v>2</v>
      </c>
      <c r="C3182">
        <v>983</v>
      </c>
      <c r="D3182">
        <v>10424</v>
      </c>
      <c r="E3182" t="s">
        <v>37</v>
      </c>
      <c r="F3182" t="s">
        <v>949</v>
      </c>
      <c r="G3182">
        <v>2</v>
      </c>
      <c r="H3182">
        <v>3</v>
      </c>
      <c r="I3182" s="25"/>
      <c r="K3182" t="s">
        <v>1085</v>
      </c>
      <c r="M3182" t="s">
        <v>52</v>
      </c>
      <c r="N3182" t="s">
        <v>40</v>
      </c>
      <c r="O3182">
        <v>109</v>
      </c>
      <c r="Q3182">
        <v>3</v>
      </c>
      <c r="R3182">
        <v>1</v>
      </c>
      <c r="S3182">
        <v>0</v>
      </c>
      <c r="T3182">
        <v>0</v>
      </c>
      <c r="U3182">
        <v>1</v>
      </c>
      <c r="V3182">
        <v>0</v>
      </c>
      <c r="W3182">
        <v>2</v>
      </c>
      <c r="X3182" s="21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224</v>
      </c>
      <c r="AJ3182" t="s">
        <v>54</v>
      </c>
      <c r="AK3182" t="s">
        <v>52</v>
      </c>
      <c r="AP3182" t="s">
        <v>951</v>
      </c>
    </row>
    <row r="3183" spans="1:42">
      <c r="A3183" s="16">
        <v>43795</v>
      </c>
      <c r="B3183">
        <v>2</v>
      </c>
      <c r="C3183">
        <v>983</v>
      </c>
      <c r="D3183">
        <v>10424</v>
      </c>
      <c r="E3183" t="s">
        <v>37</v>
      </c>
      <c r="F3183" t="s">
        <v>949</v>
      </c>
      <c r="G3183">
        <v>2</v>
      </c>
      <c r="H3183">
        <v>4</v>
      </c>
      <c r="I3183" s="25">
        <v>173</v>
      </c>
      <c r="K3183" t="s">
        <v>69</v>
      </c>
      <c r="M3183" t="s">
        <v>52</v>
      </c>
      <c r="N3183" t="s">
        <v>44</v>
      </c>
      <c r="O3183">
        <v>119</v>
      </c>
      <c r="Q3183">
        <v>1</v>
      </c>
      <c r="R3183">
        <v>1</v>
      </c>
      <c r="S3183">
        <v>0</v>
      </c>
      <c r="T3183">
        <v>0</v>
      </c>
      <c r="U3183">
        <v>0</v>
      </c>
      <c r="V3183">
        <v>0</v>
      </c>
      <c r="W3183">
        <v>1</v>
      </c>
      <c r="X3183" s="21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96</v>
      </c>
      <c r="AJ3183" t="s">
        <v>54</v>
      </c>
      <c r="AK3183" t="s">
        <v>52</v>
      </c>
      <c r="AL3183" t="s">
        <v>1086</v>
      </c>
      <c r="AP3183" t="s">
        <v>951</v>
      </c>
    </row>
    <row r="3184" spans="1:42">
      <c r="A3184" s="16">
        <v>43795</v>
      </c>
      <c r="B3184">
        <v>2</v>
      </c>
      <c r="C3184">
        <v>983</v>
      </c>
      <c r="D3184">
        <v>10424</v>
      </c>
      <c r="E3184" t="s">
        <v>37</v>
      </c>
      <c r="F3184" t="s">
        <v>949</v>
      </c>
      <c r="G3184">
        <v>2</v>
      </c>
      <c r="H3184">
        <v>5</v>
      </c>
      <c r="I3184" s="25"/>
      <c r="K3184" t="s">
        <v>69</v>
      </c>
      <c r="M3184" t="s">
        <v>52</v>
      </c>
      <c r="N3184" t="s">
        <v>40</v>
      </c>
      <c r="O3184">
        <v>89</v>
      </c>
      <c r="Q3184">
        <v>1</v>
      </c>
      <c r="R3184">
        <v>1</v>
      </c>
      <c r="S3184">
        <v>0</v>
      </c>
      <c r="T3184">
        <v>0</v>
      </c>
      <c r="U3184">
        <v>0</v>
      </c>
      <c r="V3184">
        <v>0</v>
      </c>
      <c r="W3184">
        <v>1</v>
      </c>
      <c r="X3184" s="21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96</v>
      </c>
      <c r="AJ3184" t="s">
        <v>54</v>
      </c>
      <c r="AK3184" t="s">
        <v>52</v>
      </c>
      <c r="AP3184" t="s">
        <v>951</v>
      </c>
    </row>
    <row r="3185" spans="1:42">
      <c r="A3185" s="16">
        <v>43795</v>
      </c>
      <c r="B3185">
        <v>2</v>
      </c>
      <c r="C3185">
        <v>983</v>
      </c>
      <c r="D3185">
        <v>10424</v>
      </c>
      <c r="E3185" t="s">
        <v>37</v>
      </c>
      <c r="F3185" t="s">
        <v>949</v>
      </c>
      <c r="G3185">
        <v>2</v>
      </c>
      <c r="H3185">
        <v>6</v>
      </c>
      <c r="I3185" s="25"/>
      <c r="K3185" t="s">
        <v>69</v>
      </c>
      <c r="M3185" t="s">
        <v>52</v>
      </c>
      <c r="N3185" t="s">
        <v>40</v>
      </c>
      <c r="O3185">
        <v>32</v>
      </c>
      <c r="Q3185">
        <v>1</v>
      </c>
      <c r="R3185">
        <v>1</v>
      </c>
      <c r="S3185">
        <v>0</v>
      </c>
      <c r="T3185">
        <v>0</v>
      </c>
      <c r="U3185">
        <v>0</v>
      </c>
      <c r="V3185">
        <v>0</v>
      </c>
      <c r="W3185">
        <v>1</v>
      </c>
      <c r="X3185" s="21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96</v>
      </c>
      <c r="AJ3185" t="s">
        <v>51</v>
      </c>
      <c r="AK3185" t="s">
        <v>52</v>
      </c>
      <c r="AP3185" t="s">
        <v>951</v>
      </c>
    </row>
    <row r="3186" spans="1:42">
      <c r="A3186" s="16">
        <v>43795</v>
      </c>
      <c r="B3186">
        <v>2</v>
      </c>
      <c r="C3186">
        <v>983</v>
      </c>
      <c r="D3186">
        <v>10424</v>
      </c>
      <c r="E3186" t="s">
        <v>37</v>
      </c>
      <c r="F3186" t="s">
        <v>949</v>
      </c>
      <c r="G3186">
        <v>2</v>
      </c>
      <c r="H3186">
        <v>7</v>
      </c>
      <c r="I3186" s="25"/>
      <c r="K3186" t="s">
        <v>69</v>
      </c>
      <c r="M3186" t="s">
        <v>52</v>
      </c>
      <c r="N3186" t="s">
        <v>40</v>
      </c>
      <c r="O3186">
        <v>129</v>
      </c>
      <c r="Q3186">
        <v>2</v>
      </c>
      <c r="R3186">
        <v>1</v>
      </c>
      <c r="S3186">
        <v>0</v>
      </c>
      <c r="T3186">
        <v>0</v>
      </c>
      <c r="U3186">
        <v>0</v>
      </c>
      <c r="V3186">
        <v>0</v>
      </c>
      <c r="W3186">
        <v>2</v>
      </c>
      <c r="X3186" s="21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192</v>
      </c>
      <c r="AJ3186" t="s">
        <v>51</v>
      </c>
      <c r="AK3186" t="s">
        <v>52</v>
      </c>
      <c r="AP3186" t="s">
        <v>951</v>
      </c>
    </row>
    <row r="3187" spans="1:42">
      <c r="A3187" s="16">
        <v>43795</v>
      </c>
      <c r="B3187">
        <v>2</v>
      </c>
      <c r="C3187">
        <v>983</v>
      </c>
      <c r="D3187">
        <v>10424</v>
      </c>
      <c r="E3187" t="s">
        <v>37</v>
      </c>
      <c r="F3187" t="s">
        <v>949</v>
      </c>
      <c r="G3187">
        <v>2</v>
      </c>
      <c r="H3187">
        <v>8</v>
      </c>
      <c r="I3187" s="25"/>
      <c r="K3187" t="s">
        <v>69</v>
      </c>
      <c r="M3187" t="s">
        <v>52</v>
      </c>
      <c r="N3187" t="s">
        <v>40</v>
      </c>
      <c r="O3187">
        <v>46</v>
      </c>
      <c r="Q3187">
        <v>2</v>
      </c>
      <c r="R3187">
        <v>1</v>
      </c>
      <c r="S3187">
        <v>0</v>
      </c>
      <c r="T3187">
        <v>0</v>
      </c>
      <c r="U3187">
        <v>2</v>
      </c>
      <c r="V3187">
        <v>0</v>
      </c>
      <c r="W3187">
        <v>0</v>
      </c>
      <c r="X3187" s="21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64</v>
      </c>
      <c r="AJ3187" t="s">
        <v>51</v>
      </c>
      <c r="AK3187" t="s">
        <v>52</v>
      </c>
      <c r="AP3187" t="s">
        <v>951</v>
      </c>
    </row>
    <row r="3188" spans="1:42">
      <c r="A3188" s="16">
        <v>43795</v>
      </c>
      <c r="B3188">
        <v>2</v>
      </c>
      <c r="C3188">
        <v>983</v>
      </c>
      <c r="D3188">
        <v>10424</v>
      </c>
      <c r="E3188" t="s">
        <v>37</v>
      </c>
      <c r="F3188" t="s">
        <v>949</v>
      </c>
      <c r="G3188">
        <v>2</v>
      </c>
      <c r="H3188">
        <v>9</v>
      </c>
      <c r="I3188" s="25"/>
      <c r="K3188" t="s">
        <v>69</v>
      </c>
      <c r="M3188" t="s">
        <v>52</v>
      </c>
      <c r="N3188" t="s">
        <v>40</v>
      </c>
      <c r="O3188">
        <v>59</v>
      </c>
      <c r="Q3188">
        <v>2</v>
      </c>
      <c r="R3188">
        <v>1</v>
      </c>
      <c r="S3188">
        <v>0</v>
      </c>
      <c r="T3188">
        <v>0</v>
      </c>
      <c r="U3188">
        <v>1</v>
      </c>
      <c r="V3188">
        <v>1</v>
      </c>
      <c r="W3188">
        <v>0</v>
      </c>
      <c r="X3188" s="21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96</v>
      </c>
      <c r="AJ3188" t="s">
        <v>51</v>
      </c>
      <c r="AK3188" t="s">
        <v>52</v>
      </c>
      <c r="AP3188" t="s">
        <v>951</v>
      </c>
    </row>
    <row r="3189" spans="1:42">
      <c r="A3189" s="16">
        <v>43795</v>
      </c>
      <c r="B3189">
        <v>2</v>
      </c>
      <c r="C3189">
        <v>983</v>
      </c>
      <c r="D3189">
        <v>10424</v>
      </c>
      <c r="E3189" t="s">
        <v>37</v>
      </c>
      <c r="F3189" t="s">
        <v>949</v>
      </c>
      <c r="G3189">
        <v>2</v>
      </c>
      <c r="H3189">
        <v>10</v>
      </c>
      <c r="I3189" s="25"/>
      <c r="K3189" t="s">
        <v>69</v>
      </c>
      <c r="M3189" t="s">
        <v>52</v>
      </c>
      <c r="N3189" t="s">
        <v>40</v>
      </c>
      <c r="O3189">
        <v>119</v>
      </c>
      <c r="Q3189">
        <v>5</v>
      </c>
      <c r="R3189">
        <v>1</v>
      </c>
      <c r="S3189">
        <v>0</v>
      </c>
      <c r="T3189">
        <v>0</v>
      </c>
      <c r="U3189">
        <v>0</v>
      </c>
      <c r="V3189">
        <v>0</v>
      </c>
      <c r="W3189">
        <v>5</v>
      </c>
      <c r="X3189" s="21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480</v>
      </c>
      <c r="AJ3189" t="s">
        <v>51</v>
      </c>
      <c r="AK3189" t="s">
        <v>52</v>
      </c>
      <c r="AP3189" t="s">
        <v>951</v>
      </c>
    </row>
    <row r="3190" spans="1:42">
      <c r="A3190" s="16">
        <v>43795</v>
      </c>
      <c r="B3190">
        <v>2</v>
      </c>
      <c r="C3190">
        <v>983</v>
      </c>
      <c r="D3190">
        <v>10424</v>
      </c>
      <c r="E3190" t="s">
        <v>37</v>
      </c>
      <c r="F3190" t="s">
        <v>949</v>
      </c>
      <c r="G3190">
        <v>2</v>
      </c>
      <c r="H3190">
        <v>11</v>
      </c>
      <c r="I3190" s="25">
        <v>1916</v>
      </c>
      <c r="K3190" t="s">
        <v>69</v>
      </c>
      <c r="M3190" t="s">
        <v>52</v>
      </c>
      <c r="N3190" t="s">
        <v>44</v>
      </c>
      <c r="O3190">
        <v>61</v>
      </c>
      <c r="Q3190">
        <v>2</v>
      </c>
      <c r="R3190">
        <v>1</v>
      </c>
      <c r="S3190">
        <v>0</v>
      </c>
      <c r="T3190">
        <v>0</v>
      </c>
      <c r="U3190">
        <v>0</v>
      </c>
      <c r="V3190">
        <v>0</v>
      </c>
      <c r="W3190">
        <v>2</v>
      </c>
      <c r="X3190" s="21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192</v>
      </c>
      <c r="AJ3190" t="s">
        <v>51</v>
      </c>
      <c r="AK3190" t="s">
        <v>52</v>
      </c>
      <c r="AL3190" t="s">
        <v>1087</v>
      </c>
      <c r="AP3190" t="s">
        <v>951</v>
      </c>
    </row>
    <row r="3191" spans="1:42">
      <c r="A3191" s="16">
        <v>43795</v>
      </c>
      <c r="B3191">
        <v>2</v>
      </c>
      <c r="C3191">
        <v>983</v>
      </c>
      <c r="D3191">
        <v>10424</v>
      </c>
      <c r="E3191" t="s">
        <v>37</v>
      </c>
      <c r="F3191" t="s">
        <v>949</v>
      </c>
      <c r="G3191">
        <v>2</v>
      </c>
      <c r="H3191">
        <v>12</v>
      </c>
      <c r="I3191" s="25">
        <v>1914</v>
      </c>
      <c r="K3191" t="s">
        <v>69</v>
      </c>
      <c r="M3191" t="s">
        <v>52</v>
      </c>
      <c r="N3191" t="s">
        <v>42</v>
      </c>
      <c r="O3191">
        <v>91</v>
      </c>
      <c r="Q3191">
        <v>2</v>
      </c>
      <c r="R3191">
        <v>1</v>
      </c>
      <c r="S3191">
        <v>0</v>
      </c>
      <c r="T3191">
        <v>0</v>
      </c>
      <c r="U3191">
        <v>0</v>
      </c>
      <c r="V3191">
        <v>0</v>
      </c>
      <c r="W3191">
        <v>2</v>
      </c>
      <c r="X3191" s="2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192</v>
      </c>
      <c r="AJ3191" t="s">
        <v>51</v>
      </c>
      <c r="AK3191" t="s">
        <v>52</v>
      </c>
      <c r="AL3191" t="s">
        <v>1087</v>
      </c>
      <c r="AP3191" t="s">
        <v>951</v>
      </c>
    </row>
    <row r="3192" spans="1:42">
      <c r="A3192" s="16">
        <v>43795</v>
      </c>
      <c r="B3192">
        <v>2</v>
      </c>
      <c r="C3192">
        <v>983</v>
      </c>
      <c r="D3192">
        <v>10424</v>
      </c>
      <c r="E3192" t="s">
        <v>37</v>
      </c>
      <c r="F3192" t="s">
        <v>949</v>
      </c>
      <c r="G3192">
        <v>2</v>
      </c>
      <c r="H3192">
        <v>13</v>
      </c>
      <c r="I3192" s="25"/>
      <c r="K3192" t="s">
        <v>69</v>
      </c>
      <c r="M3192" t="s">
        <v>95</v>
      </c>
      <c r="N3192" t="s">
        <v>40</v>
      </c>
      <c r="O3192">
        <v>177</v>
      </c>
      <c r="Q3192">
        <v>7</v>
      </c>
      <c r="R3192">
        <v>1</v>
      </c>
      <c r="S3192">
        <v>0</v>
      </c>
      <c r="T3192">
        <v>0</v>
      </c>
      <c r="U3192">
        <v>3</v>
      </c>
      <c r="V3192">
        <v>1</v>
      </c>
      <c r="W3192">
        <v>3</v>
      </c>
      <c r="X3192" s="21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448</v>
      </c>
      <c r="AJ3192" t="s">
        <v>54</v>
      </c>
      <c r="AK3192" t="s">
        <v>52</v>
      </c>
      <c r="AP3192" t="s">
        <v>951</v>
      </c>
    </row>
    <row r="3193" spans="1:42">
      <c r="A3193" s="16">
        <v>43795</v>
      </c>
      <c r="B3193">
        <v>2</v>
      </c>
      <c r="C3193">
        <v>983</v>
      </c>
      <c r="D3193">
        <v>10424</v>
      </c>
      <c r="E3193" t="s">
        <v>37</v>
      </c>
      <c r="F3193" t="s">
        <v>949</v>
      </c>
      <c r="G3193">
        <v>2</v>
      </c>
      <c r="H3193">
        <v>14</v>
      </c>
      <c r="I3193" s="25">
        <v>1920</v>
      </c>
      <c r="K3193" t="s">
        <v>69</v>
      </c>
      <c r="M3193" t="s">
        <v>52</v>
      </c>
      <c r="N3193" t="s">
        <v>44</v>
      </c>
      <c r="O3193">
        <v>111</v>
      </c>
      <c r="Q3193">
        <v>1</v>
      </c>
      <c r="R3193">
        <v>1</v>
      </c>
      <c r="S3193">
        <v>0</v>
      </c>
      <c r="T3193">
        <v>0</v>
      </c>
      <c r="U3193">
        <v>0</v>
      </c>
      <c r="V3193">
        <v>0</v>
      </c>
      <c r="W3193">
        <v>1</v>
      </c>
      <c r="X3193" s="21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96</v>
      </c>
      <c r="AJ3193" t="s">
        <v>54</v>
      </c>
      <c r="AK3193" t="s">
        <v>95</v>
      </c>
      <c r="AL3193" t="s">
        <v>1088</v>
      </c>
      <c r="AP3193" t="s">
        <v>951</v>
      </c>
    </row>
    <row r="3194" spans="1:42">
      <c r="A3194" s="16">
        <v>43795</v>
      </c>
      <c r="B3194">
        <v>2</v>
      </c>
      <c r="C3194">
        <v>983</v>
      </c>
      <c r="D3194">
        <v>10424</v>
      </c>
      <c r="E3194" t="s">
        <v>37</v>
      </c>
      <c r="F3194" t="s">
        <v>949</v>
      </c>
      <c r="G3194">
        <v>2</v>
      </c>
      <c r="H3194">
        <v>15</v>
      </c>
      <c r="I3194" s="25"/>
      <c r="K3194" t="s">
        <v>69</v>
      </c>
      <c r="M3194" t="s">
        <v>52</v>
      </c>
      <c r="N3194" t="s">
        <v>44</v>
      </c>
      <c r="O3194">
        <v>151</v>
      </c>
      <c r="Q3194">
        <v>5</v>
      </c>
      <c r="R3194">
        <v>1</v>
      </c>
      <c r="S3194">
        <v>0</v>
      </c>
      <c r="T3194">
        <v>0</v>
      </c>
      <c r="U3194">
        <v>0</v>
      </c>
      <c r="V3194">
        <v>4</v>
      </c>
      <c r="W3194">
        <v>0</v>
      </c>
      <c r="X3194" s="21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1</v>
      </c>
      <c r="AG3194">
        <v>0</v>
      </c>
      <c r="AH3194">
        <v>256</v>
      </c>
      <c r="AJ3194" t="s">
        <v>54</v>
      </c>
      <c r="AK3194" t="s">
        <v>95</v>
      </c>
      <c r="AP3194" t="s">
        <v>951</v>
      </c>
    </row>
    <row r="3195" spans="1:42">
      <c r="A3195" s="16">
        <v>43795</v>
      </c>
      <c r="B3195">
        <v>2</v>
      </c>
      <c r="C3195">
        <v>983</v>
      </c>
      <c r="D3195">
        <v>10424</v>
      </c>
      <c r="E3195" t="s">
        <v>37</v>
      </c>
      <c r="F3195" t="s">
        <v>949</v>
      </c>
      <c r="G3195">
        <v>2</v>
      </c>
      <c r="H3195">
        <v>16</v>
      </c>
      <c r="I3195" s="25">
        <v>1738</v>
      </c>
      <c r="K3195" t="s">
        <v>46</v>
      </c>
      <c r="M3195" t="s">
        <v>52</v>
      </c>
      <c r="N3195" t="s">
        <v>44</v>
      </c>
      <c r="O3195">
        <v>191</v>
      </c>
      <c r="Q3195">
        <v>1</v>
      </c>
      <c r="R3195">
        <v>1</v>
      </c>
      <c r="S3195">
        <v>0</v>
      </c>
      <c r="T3195">
        <v>0</v>
      </c>
      <c r="U3195">
        <v>0</v>
      </c>
      <c r="V3195">
        <v>0</v>
      </c>
      <c r="W3195">
        <v>1</v>
      </c>
      <c r="X3195" s="21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96</v>
      </c>
      <c r="AJ3195" t="s">
        <v>51</v>
      </c>
      <c r="AK3195" t="s">
        <v>52</v>
      </c>
      <c r="AP3195" t="s">
        <v>951</v>
      </c>
    </row>
    <row r="3196" spans="1:42">
      <c r="A3196" s="16">
        <v>43795</v>
      </c>
      <c r="B3196">
        <v>2</v>
      </c>
      <c r="C3196">
        <v>983</v>
      </c>
      <c r="D3196">
        <v>10424</v>
      </c>
      <c r="E3196" t="s">
        <v>37</v>
      </c>
      <c r="F3196" t="s">
        <v>949</v>
      </c>
      <c r="G3196">
        <v>2</v>
      </c>
      <c r="H3196">
        <v>17</v>
      </c>
      <c r="I3196" s="25">
        <v>1511</v>
      </c>
      <c r="K3196" t="s">
        <v>638</v>
      </c>
      <c r="M3196" t="s">
        <v>52</v>
      </c>
      <c r="N3196" t="s">
        <v>44</v>
      </c>
      <c r="O3196">
        <v>99</v>
      </c>
      <c r="Q3196">
        <v>1</v>
      </c>
      <c r="R3196">
        <v>1</v>
      </c>
      <c r="S3196">
        <v>0</v>
      </c>
      <c r="T3196">
        <v>0</v>
      </c>
      <c r="U3196">
        <v>0</v>
      </c>
      <c r="V3196">
        <v>0</v>
      </c>
      <c r="W3196">
        <v>2</v>
      </c>
      <c r="X3196" s="21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96</v>
      </c>
      <c r="AJ3196" t="s">
        <v>54</v>
      </c>
      <c r="AK3196" t="s">
        <v>95</v>
      </c>
      <c r="AL3196" t="s">
        <v>1089</v>
      </c>
      <c r="AP3196" t="s">
        <v>951</v>
      </c>
    </row>
    <row r="3197" spans="1:42">
      <c r="A3197" s="16">
        <v>43795</v>
      </c>
      <c r="B3197">
        <v>2</v>
      </c>
      <c r="C3197">
        <v>983</v>
      </c>
      <c r="D3197">
        <v>10424</v>
      </c>
      <c r="E3197" t="s">
        <v>37</v>
      </c>
      <c r="F3197" t="s">
        <v>949</v>
      </c>
      <c r="G3197">
        <v>2</v>
      </c>
      <c r="H3197">
        <v>18</v>
      </c>
      <c r="I3197" s="25"/>
      <c r="K3197" t="s">
        <v>638</v>
      </c>
      <c r="M3197" t="s">
        <v>52</v>
      </c>
      <c r="N3197" t="s">
        <v>40</v>
      </c>
      <c r="O3197">
        <v>87</v>
      </c>
      <c r="Q3197">
        <v>1</v>
      </c>
      <c r="R3197">
        <v>1</v>
      </c>
      <c r="S3197">
        <v>0</v>
      </c>
      <c r="T3197">
        <v>0</v>
      </c>
      <c r="U3197">
        <v>0</v>
      </c>
      <c r="V3197">
        <v>1</v>
      </c>
      <c r="W3197">
        <v>0</v>
      </c>
      <c r="X3197" s="21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64</v>
      </c>
      <c r="AJ3197" t="s">
        <v>54</v>
      </c>
      <c r="AK3197" t="s">
        <v>52</v>
      </c>
      <c r="AP3197" t="s">
        <v>951</v>
      </c>
    </row>
    <row r="3198" spans="1:42">
      <c r="A3198" s="16">
        <v>43795</v>
      </c>
      <c r="B3198">
        <v>2</v>
      </c>
      <c r="C3198">
        <v>983</v>
      </c>
      <c r="D3198">
        <v>10424</v>
      </c>
      <c r="E3198" t="s">
        <v>37</v>
      </c>
      <c r="F3198" t="s">
        <v>949</v>
      </c>
      <c r="G3198">
        <v>2</v>
      </c>
      <c r="H3198">
        <v>19</v>
      </c>
      <c r="I3198" s="25">
        <v>307</v>
      </c>
      <c r="K3198" t="s">
        <v>1085</v>
      </c>
      <c r="M3198" t="s">
        <v>95</v>
      </c>
      <c r="N3198" t="s">
        <v>42</v>
      </c>
      <c r="O3198">
        <v>240</v>
      </c>
      <c r="Q3198">
        <v>4</v>
      </c>
      <c r="R3198">
        <v>1</v>
      </c>
      <c r="S3198">
        <v>0</v>
      </c>
      <c r="T3198">
        <v>0</v>
      </c>
      <c r="U3198">
        <v>0</v>
      </c>
      <c r="V3198">
        <v>1</v>
      </c>
      <c r="W3198">
        <v>3</v>
      </c>
      <c r="X3198" s="21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352</v>
      </c>
      <c r="AJ3198" t="s">
        <v>54</v>
      </c>
      <c r="AK3198" t="s">
        <v>52</v>
      </c>
      <c r="AL3198" t="s">
        <v>618</v>
      </c>
      <c r="AP3198" t="s">
        <v>951</v>
      </c>
    </row>
    <row r="3199" spans="1:42">
      <c r="A3199" s="16">
        <v>43795</v>
      </c>
      <c r="B3199">
        <v>2</v>
      </c>
      <c r="C3199">
        <v>983</v>
      </c>
      <c r="D3199">
        <v>10424</v>
      </c>
      <c r="E3199" t="s">
        <v>37</v>
      </c>
      <c r="F3199" t="s">
        <v>949</v>
      </c>
      <c r="G3199">
        <v>2</v>
      </c>
      <c r="H3199">
        <v>20</v>
      </c>
      <c r="I3199" s="25"/>
      <c r="K3199" t="s">
        <v>1085</v>
      </c>
      <c r="M3199" t="s">
        <v>52</v>
      </c>
      <c r="N3199" t="s">
        <v>40</v>
      </c>
      <c r="O3199">
        <v>80</v>
      </c>
      <c r="Q3199">
        <v>3</v>
      </c>
      <c r="R3199">
        <v>1</v>
      </c>
      <c r="S3199">
        <v>0</v>
      </c>
      <c r="T3199">
        <v>0</v>
      </c>
      <c r="U3199">
        <v>0</v>
      </c>
      <c r="V3199">
        <v>3</v>
      </c>
      <c r="W3199">
        <v>0</v>
      </c>
      <c r="X3199" s="21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192</v>
      </c>
      <c r="AJ3199" t="s">
        <v>54</v>
      </c>
      <c r="AK3199" t="s">
        <v>52</v>
      </c>
      <c r="AP3199" t="s">
        <v>951</v>
      </c>
    </row>
    <row r="3200" spans="1:42">
      <c r="A3200" s="16">
        <v>43795</v>
      </c>
      <c r="B3200">
        <v>2</v>
      </c>
      <c r="C3200">
        <v>983</v>
      </c>
      <c r="D3200">
        <v>10424</v>
      </c>
      <c r="E3200" t="s">
        <v>37</v>
      </c>
      <c r="F3200" t="s">
        <v>949</v>
      </c>
      <c r="G3200">
        <v>2</v>
      </c>
      <c r="H3200">
        <v>21</v>
      </c>
      <c r="I3200" s="25"/>
      <c r="K3200" t="s">
        <v>1085</v>
      </c>
      <c r="M3200" t="s">
        <v>95</v>
      </c>
      <c r="N3200" t="s">
        <v>40</v>
      </c>
      <c r="O3200">
        <v>115</v>
      </c>
      <c r="Q3200">
        <v>4</v>
      </c>
      <c r="R3200">
        <v>1</v>
      </c>
      <c r="S3200">
        <v>0</v>
      </c>
      <c r="T3200">
        <v>0</v>
      </c>
      <c r="U3200">
        <v>1</v>
      </c>
      <c r="V3200">
        <v>1</v>
      </c>
      <c r="W3200">
        <v>2</v>
      </c>
      <c r="X3200" s="21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288</v>
      </c>
      <c r="AJ3200" t="s">
        <v>54</v>
      </c>
      <c r="AK3200" t="s">
        <v>52</v>
      </c>
      <c r="AP3200" t="s">
        <v>951</v>
      </c>
    </row>
    <row r="3201" spans="1:42">
      <c r="A3201" s="16">
        <v>43795</v>
      </c>
      <c r="B3201">
        <v>2</v>
      </c>
      <c r="C3201">
        <v>983</v>
      </c>
      <c r="D3201">
        <v>10424</v>
      </c>
      <c r="E3201" t="s">
        <v>37</v>
      </c>
      <c r="F3201" t="s">
        <v>949</v>
      </c>
      <c r="G3201">
        <v>2</v>
      </c>
      <c r="H3201">
        <v>22</v>
      </c>
      <c r="I3201" s="25"/>
      <c r="K3201" t="s">
        <v>1085</v>
      </c>
      <c r="M3201" t="s">
        <v>52</v>
      </c>
      <c r="N3201" t="s">
        <v>40</v>
      </c>
      <c r="O3201">
        <v>102</v>
      </c>
      <c r="Q3201">
        <v>1</v>
      </c>
      <c r="R3201">
        <v>1</v>
      </c>
      <c r="S3201">
        <v>0</v>
      </c>
      <c r="T3201">
        <v>0</v>
      </c>
      <c r="U3201">
        <v>0</v>
      </c>
      <c r="V3201">
        <v>0</v>
      </c>
      <c r="W3201">
        <v>1</v>
      </c>
      <c r="X3201" s="2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1</v>
      </c>
      <c r="AG3201">
        <v>0</v>
      </c>
      <c r="AH3201">
        <v>96</v>
      </c>
      <c r="AJ3201" t="s">
        <v>54</v>
      </c>
      <c r="AK3201" t="s">
        <v>95</v>
      </c>
      <c r="AP3201" t="s">
        <v>951</v>
      </c>
    </row>
    <row r="3202" spans="1:42">
      <c r="A3202" s="16">
        <v>43795</v>
      </c>
      <c r="B3202">
        <v>2</v>
      </c>
      <c r="C3202">
        <v>983</v>
      </c>
      <c r="D3202">
        <v>10424</v>
      </c>
      <c r="E3202" t="s">
        <v>37</v>
      </c>
      <c r="F3202" t="s">
        <v>949</v>
      </c>
      <c r="G3202">
        <v>2</v>
      </c>
      <c r="H3202">
        <v>23</v>
      </c>
      <c r="I3202" s="25">
        <v>1635</v>
      </c>
      <c r="K3202" t="s">
        <v>638</v>
      </c>
      <c r="M3202" t="s">
        <v>52</v>
      </c>
      <c r="N3202" t="s">
        <v>44</v>
      </c>
      <c r="O3202">
        <v>178</v>
      </c>
      <c r="Q3202">
        <v>2</v>
      </c>
      <c r="R3202">
        <v>1</v>
      </c>
      <c r="S3202">
        <v>0</v>
      </c>
      <c r="T3202">
        <v>0</v>
      </c>
      <c r="U3202">
        <v>0</v>
      </c>
      <c r="V3202">
        <v>0</v>
      </c>
      <c r="W3202">
        <v>2</v>
      </c>
      <c r="X3202" s="21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192</v>
      </c>
      <c r="AJ3202" t="s">
        <v>54</v>
      </c>
      <c r="AK3202" t="s">
        <v>95</v>
      </c>
      <c r="AL3202" t="s">
        <v>1090</v>
      </c>
      <c r="AP3202" t="s">
        <v>951</v>
      </c>
    </row>
    <row r="3203" spans="1:42">
      <c r="A3203" s="16">
        <v>43795</v>
      </c>
      <c r="B3203">
        <v>2</v>
      </c>
      <c r="C3203">
        <v>983</v>
      </c>
      <c r="D3203">
        <v>10424</v>
      </c>
      <c r="E3203" t="s">
        <v>37</v>
      </c>
      <c r="F3203" t="s">
        <v>949</v>
      </c>
      <c r="G3203">
        <v>2</v>
      </c>
      <c r="H3203">
        <v>24</v>
      </c>
      <c r="I3203" s="25">
        <v>1666</v>
      </c>
      <c r="K3203" t="s">
        <v>638</v>
      </c>
      <c r="M3203" t="s">
        <v>95</v>
      </c>
      <c r="N3203" t="s">
        <v>44</v>
      </c>
      <c r="O3203">
        <v>158</v>
      </c>
      <c r="Q3203">
        <v>2</v>
      </c>
      <c r="R3203">
        <v>1</v>
      </c>
      <c r="S3203">
        <v>0</v>
      </c>
      <c r="T3203">
        <v>0</v>
      </c>
      <c r="U3203">
        <v>0</v>
      </c>
      <c r="V3203">
        <v>0</v>
      </c>
      <c r="W3203">
        <v>2</v>
      </c>
      <c r="X3203" s="21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192</v>
      </c>
      <c r="AJ3203" t="s">
        <v>54</v>
      </c>
      <c r="AK3203" t="s">
        <v>95</v>
      </c>
      <c r="AP3203" t="s">
        <v>951</v>
      </c>
    </row>
    <row r="3204" spans="1:42">
      <c r="A3204" s="16">
        <v>43795</v>
      </c>
      <c r="B3204">
        <v>2</v>
      </c>
      <c r="C3204">
        <v>983</v>
      </c>
      <c r="D3204">
        <v>10424</v>
      </c>
      <c r="E3204" t="s">
        <v>37</v>
      </c>
      <c r="F3204" t="s">
        <v>949</v>
      </c>
      <c r="G3204">
        <v>2</v>
      </c>
      <c r="H3204">
        <v>25</v>
      </c>
      <c r="I3204" s="25"/>
      <c r="K3204" t="s">
        <v>1085</v>
      </c>
      <c r="M3204" t="s">
        <v>95</v>
      </c>
      <c r="N3204" t="s">
        <v>40</v>
      </c>
      <c r="O3204">
        <v>185</v>
      </c>
      <c r="Q3204">
        <v>4</v>
      </c>
      <c r="R3204">
        <v>1</v>
      </c>
      <c r="S3204">
        <v>0</v>
      </c>
      <c r="T3204">
        <v>0</v>
      </c>
      <c r="U3204">
        <v>3</v>
      </c>
      <c r="V3204">
        <v>1</v>
      </c>
      <c r="W3204">
        <v>0</v>
      </c>
      <c r="X3204" s="21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160</v>
      </c>
      <c r="AJ3204" t="s">
        <v>54</v>
      </c>
      <c r="AK3204" t="s">
        <v>95</v>
      </c>
      <c r="AP3204" t="s">
        <v>951</v>
      </c>
    </row>
    <row r="3205" spans="1:42">
      <c r="A3205" s="16">
        <v>43795</v>
      </c>
      <c r="B3205">
        <v>2</v>
      </c>
      <c r="C3205">
        <v>983</v>
      </c>
      <c r="D3205">
        <v>10424</v>
      </c>
      <c r="E3205" t="s">
        <v>37</v>
      </c>
      <c r="F3205" t="s">
        <v>949</v>
      </c>
      <c r="G3205">
        <v>2</v>
      </c>
      <c r="H3205">
        <v>26</v>
      </c>
      <c r="I3205" s="25"/>
      <c r="K3205" t="s">
        <v>1085</v>
      </c>
      <c r="M3205" t="s">
        <v>95</v>
      </c>
      <c r="N3205" t="s">
        <v>40</v>
      </c>
      <c r="O3205">
        <v>70</v>
      </c>
      <c r="Q3205">
        <v>4</v>
      </c>
      <c r="R3205">
        <v>1</v>
      </c>
      <c r="S3205">
        <v>0</v>
      </c>
      <c r="T3205">
        <v>0</v>
      </c>
      <c r="U3205">
        <v>2</v>
      </c>
      <c r="V3205">
        <v>0</v>
      </c>
      <c r="W3205">
        <v>2</v>
      </c>
      <c r="X3205" s="21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256</v>
      </c>
      <c r="AJ3205" t="s">
        <v>54</v>
      </c>
      <c r="AK3205" t="s">
        <v>95</v>
      </c>
      <c r="AP3205" t="s">
        <v>951</v>
      </c>
    </row>
    <row r="3206" spans="1:42">
      <c r="A3206" s="16">
        <v>43795</v>
      </c>
      <c r="B3206">
        <v>2</v>
      </c>
      <c r="C3206">
        <v>983</v>
      </c>
      <c r="D3206">
        <v>10424</v>
      </c>
      <c r="E3206" t="s">
        <v>37</v>
      </c>
      <c r="F3206" t="s">
        <v>949</v>
      </c>
      <c r="G3206">
        <v>2</v>
      </c>
      <c r="H3206">
        <v>27</v>
      </c>
      <c r="I3206" s="25">
        <v>414</v>
      </c>
      <c r="K3206" t="s">
        <v>1085</v>
      </c>
      <c r="M3206" t="s">
        <v>52</v>
      </c>
      <c r="N3206" t="s">
        <v>44</v>
      </c>
      <c r="O3206">
        <v>39</v>
      </c>
      <c r="Q3206">
        <v>1</v>
      </c>
      <c r="R3206">
        <v>1</v>
      </c>
      <c r="S3206">
        <v>0</v>
      </c>
      <c r="T3206">
        <v>0</v>
      </c>
      <c r="U3206">
        <v>0</v>
      </c>
      <c r="V3206">
        <v>1</v>
      </c>
      <c r="W3206">
        <v>0</v>
      </c>
      <c r="X3206" s="21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64</v>
      </c>
      <c r="AJ3206" t="s">
        <v>51</v>
      </c>
      <c r="AK3206" t="s">
        <v>52</v>
      </c>
      <c r="AP3206" t="s">
        <v>951</v>
      </c>
    </row>
    <row r="3207" spans="1:42">
      <c r="A3207" s="16">
        <v>43795</v>
      </c>
      <c r="B3207">
        <v>2</v>
      </c>
      <c r="C3207">
        <v>983</v>
      </c>
      <c r="D3207">
        <v>10424</v>
      </c>
      <c r="E3207" t="s">
        <v>37</v>
      </c>
      <c r="F3207" t="s">
        <v>949</v>
      </c>
      <c r="G3207">
        <v>2</v>
      </c>
      <c r="H3207">
        <v>28</v>
      </c>
      <c r="I3207" s="25"/>
      <c r="K3207" t="s">
        <v>1085</v>
      </c>
      <c r="M3207" t="s">
        <v>52</v>
      </c>
      <c r="N3207" t="s">
        <v>40</v>
      </c>
      <c r="O3207">
        <v>56</v>
      </c>
      <c r="Q3207">
        <v>1</v>
      </c>
      <c r="R3207">
        <v>1</v>
      </c>
      <c r="S3207">
        <v>0</v>
      </c>
      <c r="T3207">
        <v>0</v>
      </c>
      <c r="U3207">
        <v>0</v>
      </c>
      <c r="V3207">
        <v>1</v>
      </c>
      <c r="W3207">
        <v>0</v>
      </c>
      <c r="X3207" s="21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64</v>
      </c>
      <c r="AJ3207" t="s">
        <v>51</v>
      </c>
      <c r="AK3207" t="s">
        <v>52</v>
      </c>
      <c r="AP3207" t="s">
        <v>951</v>
      </c>
    </row>
    <row r="3208" spans="1:42">
      <c r="A3208" s="16">
        <v>43795</v>
      </c>
      <c r="B3208">
        <v>2</v>
      </c>
      <c r="C3208">
        <v>983</v>
      </c>
      <c r="D3208">
        <v>10424</v>
      </c>
      <c r="E3208" t="s">
        <v>37</v>
      </c>
      <c r="F3208" t="s">
        <v>949</v>
      </c>
      <c r="G3208">
        <v>2</v>
      </c>
      <c r="H3208">
        <v>29</v>
      </c>
      <c r="I3208" s="25">
        <v>416</v>
      </c>
      <c r="K3208" t="s">
        <v>1085</v>
      </c>
      <c r="M3208" t="s">
        <v>52</v>
      </c>
      <c r="N3208" t="s">
        <v>44</v>
      </c>
      <c r="O3208">
        <v>113</v>
      </c>
      <c r="Q3208">
        <v>3</v>
      </c>
      <c r="R3208">
        <v>1</v>
      </c>
      <c r="S3208">
        <v>0</v>
      </c>
      <c r="T3208">
        <v>0</v>
      </c>
      <c r="U3208">
        <v>2</v>
      </c>
      <c r="V3208">
        <v>0</v>
      </c>
      <c r="W3208">
        <v>1</v>
      </c>
      <c r="X3208" s="21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160</v>
      </c>
      <c r="AJ3208" t="s">
        <v>51</v>
      </c>
      <c r="AK3208" t="s">
        <v>52</v>
      </c>
      <c r="AP3208" t="s">
        <v>951</v>
      </c>
    </row>
    <row r="3209" spans="1:42">
      <c r="A3209" s="16">
        <v>43795</v>
      </c>
      <c r="B3209">
        <v>2</v>
      </c>
      <c r="C3209">
        <v>983</v>
      </c>
      <c r="D3209">
        <v>10424</v>
      </c>
      <c r="E3209" t="s">
        <v>37</v>
      </c>
      <c r="F3209" t="s">
        <v>949</v>
      </c>
      <c r="G3209">
        <v>2</v>
      </c>
      <c r="H3209">
        <v>30</v>
      </c>
      <c r="I3209" s="25"/>
      <c r="K3209" t="s">
        <v>1085</v>
      </c>
      <c r="M3209" t="s">
        <v>52</v>
      </c>
      <c r="N3209" t="s">
        <v>40</v>
      </c>
      <c r="O3209">
        <v>63</v>
      </c>
      <c r="Q3209">
        <v>2</v>
      </c>
      <c r="R3209">
        <v>1</v>
      </c>
      <c r="S3209">
        <v>0</v>
      </c>
      <c r="T3209">
        <v>0</v>
      </c>
      <c r="U3209">
        <v>0</v>
      </c>
      <c r="V3209">
        <v>0</v>
      </c>
      <c r="W3209">
        <v>2</v>
      </c>
      <c r="X3209" s="21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192</v>
      </c>
      <c r="AJ3209" t="s">
        <v>51</v>
      </c>
      <c r="AK3209" t="s">
        <v>95</v>
      </c>
      <c r="AP3209" t="s">
        <v>951</v>
      </c>
    </row>
    <row r="3210" spans="1:42">
      <c r="A3210" s="16">
        <v>43795</v>
      </c>
      <c r="B3210">
        <v>2</v>
      </c>
      <c r="C3210">
        <v>983</v>
      </c>
      <c r="D3210">
        <v>10424</v>
      </c>
      <c r="E3210" t="s">
        <v>37</v>
      </c>
      <c r="F3210" t="s">
        <v>949</v>
      </c>
      <c r="G3210">
        <v>2</v>
      </c>
      <c r="H3210">
        <v>31</v>
      </c>
      <c r="I3210" s="25">
        <v>1700</v>
      </c>
      <c r="K3210" t="s">
        <v>595</v>
      </c>
      <c r="M3210" t="s">
        <v>52</v>
      </c>
      <c r="N3210" t="s">
        <v>44</v>
      </c>
      <c r="O3210">
        <v>110</v>
      </c>
      <c r="Q3210">
        <v>2</v>
      </c>
      <c r="R3210">
        <v>1</v>
      </c>
      <c r="S3210">
        <v>0</v>
      </c>
      <c r="T3210">
        <v>0</v>
      </c>
      <c r="U3210">
        <v>0</v>
      </c>
      <c r="V3210">
        <v>0</v>
      </c>
      <c r="W3210">
        <v>2</v>
      </c>
      <c r="X3210" s="21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192</v>
      </c>
      <c r="AJ3210" t="s">
        <v>54</v>
      </c>
      <c r="AK3210" t="s">
        <v>52</v>
      </c>
      <c r="AL3210" t="s">
        <v>1091</v>
      </c>
      <c r="AP3210" t="s">
        <v>951</v>
      </c>
    </row>
    <row r="3211" spans="1:42">
      <c r="A3211" s="16">
        <v>43795</v>
      </c>
      <c r="B3211">
        <v>2</v>
      </c>
      <c r="C3211">
        <v>983</v>
      </c>
      <c r="D3211">
        <v>10424</v>
      </c>
      <c r="E3211" t="s">
        <v>37</v>
      </c>
      <c r="F3211" t="s">
        <v>949</v>
      </c>
      <c r="G3211">
        <v>2</v>
      </c>
      <c r="H3211">
        <v>32</v>
      </c>
      <c r="I3211" s="25">
        <v>1701</v>
      </c>
      <c r="K3211" t="s">
        <v>595</v>
      </c>
      <c r="M3211" t="s">
        <v>52</v>
      </c>
      <c r="N3211" t="s">
        <v>44</v>
      </c>
      <c r="O3211">
        <v>27</v>
      </c>
      <c r="Q3211">
        <v>0</v>
      </c>
      <c r="R3211">
        <v>1</v>
      </c>
      <c r="S3211">
        <v>0</v>
      </c>
      <c r="T3211">
        <v>0</v>
      </c>
      <c r="U3211">
        <v>0</v>
      </c>
      <c r="V3211">
        <v>0</v>
      </c>
      <c r="W3211">
        <v>0</v>
      </c>
      <c r="X3211" s="2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J3211" t="s">
        <v>54</v>
      </c>
      <c r="AK3211" t="s">
        <v>52</v>
      </c>
      <c r="AP3211" t="s">
        <v>951</v>
      </c>
    </row>
    <row r="3212" spans="1:42">
      <c r="A3212" s="16">
        <v>43795</v>
      </c>
      <c r="B3212">
        <v>2</v>
      </c>
      <c r="C3212">
        <v>983</v>
      </c>
      <c r="D3212">
        <v>10424</v>
      </c>
      <c r="E3212" t="s">
        <v>37</v>
      </c>
      <c r="F3212" t="s">
        <v>949</v>
      </c>
      <c r="G3212">
        <v>2</v>
      </c>
      <c r="H3212">
        <v>33</v>
      </c>
      <c r="I3212" s="25">
        <v>1650</v>
      </c>
      <c r="K3212" t="s">
        <v>638</v>
      </c>
      <c r="M3212" t="s">
        <v>52</v>
      </c>
      <c r="N3212" t="s">
        <v>44</v>
      </c>
      <c r="O3212">
        <v>152</v>
      </c>
      <c r="Q3212">
        <v>3</v>
      </c>
      <c r="R3212">
        <v>1</v>
      </c>
      <c r="S3212">
        <v>0</v>
      </c>
      <c r="T3212">
        <v>0</v>
      </c>
      <c r="U3212">
        <v>0</v>
      </c>
      <c r="V3212">
        <v>0</v>
      </c>
      <c r="W3212">
        <v>3</v>
      </c>
      <c r="X3212" s="21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288</v>
      </c>
      <c r="AJ3212" t="s">
        <v>51</v>
      </c>
      <c r="AK3212" t="s">
        <v>52</v>
      </c>
      <c r="AP3212" t="s">
        <v>951</v>
      </c>
    </row>
    <row r="3213" spans="1:42">
      <c r="A3213" s="16">
        <v>43795</v>
      </c>
      <c r="B3213">
        <v>2</v>
      </c>
      <c r="C3213">
        <v>983</v>
      </c>
      <c r="D3213">
        <v>10424</v>
      </c>
      <c r="E3213" t="s">
        <v>37</v>
      </c>
      <c r="F3213" t="s">
        <v>949</v>
      </c>
      <c r="G3213">
        <v>2</v>
      </c>
      <c r="H3213">
        <v>34</v>
      </c>
      <c r="I3213" s="25">
        <v>1630</v>
      </c>
      <c r="K3213" t="s">
        <v>49</v>
      </c>
      <c r="M3213" t="s">
        <v>52</v>
      </c>
      <c r="N3213" t="s">
        <v>44</v>
      </c>
      <c r="O3213">
        <v>92</v>
      </c>
      <c r="Q3213">
        <v>1</v>
      </c>
      <c r="R3213">
        <v>1</v>
      </c>
      <c r="S3213">
        <v>0</v>
      </c>
      <c r="T3213">
        <v>0</v>
      </c>
      <c r="U3213">
        <v>0</v>
      </c>
      <c r="V3213">
        <v>0</v>
      </c>
      <c r="W3213">
        <v>1</v>
      </c>
      <c r="X3213" s="21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96</v>
      </c>
      <c r="AJ3213" t="s">
        <v>54</v>
      </c>
      <c r="AK3213" t="s">
        <v>95</v>
      </c>
      <c r="AP3213" t="s">
        <v>951</v>
      </c>
    </row>
    <row r="3214" spans="1:42">
      <c r="A3214" s="16">
        <v>43795</v>
      </c>
      <c r="B3214">
        <v>2</v>
      </c>
      <c r="C3214">
        <v>983</v>
      </c>
      <c r="D3214">
        <v>10424</v>
      </c>
      <c r="E3214" t="s">
        <v>37</v>
      </c>
      <c r="F3214" t="s">
        <v>949</v>
      </c>
      <c r="G3214">
        <v>2</v>
      </c>
      <c r="H3214">
        <v>35</v>
      </c>
      <c r="I3214" s="25"/>
      <c r="K3214" t="s">
        <v>1092</v>
      </c>
      <c r="M3214" t="s">
        <v>52</v>
      </c>
      <c r="N3214" t="s">
        <v>40</v>
      </c>
      <c r="O3214">
        <v>51</v>
      </c>
      <c r="Q3214">
        <v>1</v>
      </c>
      <c r="R3214">
        <v>1</v>
      </c>
      <c r="S3214">
        <v>0</v>
      </c>
      <c r="T3214">
        <v>0</v>
      </c>
      <c r="U3214">
        <v>0</v>
      </c>
      <c r="V3214">
        <v>0</v>
      </c>
      <c r="W3214">
        <v>1</v>
      </c>
      <c r="X3214" s="21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96</v>
      </c>
      <c r="AJ3214" t="s">
        <v>54</v>
      </c>
      <c r="AK3214" t="s">
        <v>52</v>
      </c>
      <c r="AP3214" t="s">
        <v>951</v>
      </c>
    </row>
    <row r="3215" spans="1:42">
      <c r="A3215" s="16">
        <v>43795</v>
      </c>
      <c r="B3215">
        <v>2</v>
      </c>
      <c r="C3215">
        <v>983</v>
      </c>
      <c r="D3215">
        <v>10424</v>
      </c>
      <c r="E3215" t="s">
        <v>37</v>
      </c>
      <c r="F3215" t="s">
        <v>949</v>
      </c>
      <c r="G3215">
        <v>2</v>
      </c>
      <c r="H3215">
        <v>36</v>
      </c>
      <c r="I3215" s="25"/>
      <c r="K3215" t="s">
        <v>588</v>
      </c>
      <c r="M3215" t="s">
        <v>52</v>
      </c>
      <c r="N3215" t="s">
        <v>40</v>
      </c>
      <c r="O3215">
        <v>100</v>
      </c>
      <c r="Q3215">
        <v>2</v>
      </c>
      <c r="R3215">
        <v>1</v>
      </c>
      <c r="S3215">
        <v>0</v>
      </c>
      <c r="T3215">
        <v>0</v>
      </c>
      <c r="U3215">
        <v>0</v>
      </c>
      <c r="V3215">
        <v>0</v>
      </c>
      <c r="W3215">
        <v>2</v>
      </c>
      <c r="X3215" s="21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192</v>
      </c>
      <c r="AJ3215" t="s">
        <v>51</v>
      </c>
      <c r="AK3215" t="s">
        <v>52</v>
      </c>
      <c r="AL3215" t="s">
        <v>1093</v>
      </c>
      <c r="AP3215" t="s">
        <v>951</v>
      </c>
    </row>
    <row r="3216" spans="1:42">
      <c r="A3216" s="16">
        <v>43795</v>
      </c>
      <c r="B3216">
        <v>2</v>
      </c>
      <c r="C3216">
        <v>983</v>
      </c>
      <c r="D3216">
        <v>10424</v>
      </c>
      <c r="E3216" t="s">
        <v>37</v>
      </c>
      <c r="F3216" t="s">
        <v>949</v>
      </c>
      <c r="G3216">
        <v>2</v>
      </c>
      <c r="H3216">
        <v>37</v>
      </c>
      <c r="I3216" s="25"/>
      <c r="K3216" t="s">
        <v>588</v>
      </c>
      <c r="M3216" t="s">
        <v>52</v>
      </c>
      <c r="N3216" t="s">
        <v>40</v>
      </c>
      <c r="O3216">
        <v>66</v>
      </c>
      <c r="Q3216">
        <v>2</v>
      </c>
      <c r="R3216">
        <v>1</v>
      </c>
      <c r="S3216">
        <v>0</v>
      </c>
      <c r="T3216">
        <v>0</v>
      </c>
      <c r="U3216">
        <v>0</v>
      </c>
      <c r="V3216">
        <v>2</v>
      </c>
      <c r="W3216">
        <v>0</v>
      </c>
      <c r="X3216" s="21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128</v>
      </c>
      <c r="AJ3216" t="s">
        <v>51</v>
      </c>
      <c r="AK3216" t="s">
        <v>95</v>
      </c>
      <c r="AP3216" t="s">
        <v>951</v>
      </c>
    </row>
    <row r="3217" spans="1:42">
      <c r="A3217" s="16">
        <v>43795</v>
      </c>
      <c r="B3217">
        <v>2</v>
      </c>
      <c r="C3217">
        <v>983</v>
      </c>
      <c r="D3217">
        <v>10424</v>
      </c>
      <c r="E3217" t="s">
        <v>37</v>
      </c>
      <c r="F3217" t="s">
        <v>949</v>
      </c>
      <c r="G3217">
        <v>2</v>
      </c>
      <c r="H3217">
        <v>38</v>
      </c>
      <c r="I3217" s="25"/>
      <c r="K3217" t="s">
        <v>49</v>
      </c>
      <c r="M3217" t="s">
        <v>52</v>
      </c>
      <c r="N3217" t="s">
        <v>40</v>
      </c>
      <c r="O3217">
        <v>68</v>
      </c>
      <c r="Q3217">
        <v>2</v>
      </c>
      <c r="R3217">
        <v>1</v>
      </c>
      <c r="S3217">
        <v>0</v>
      </c>
      <c r="T3217">
        <v>0</v>
      </c>
      <c r="U3217">
        <v>1</v>
      </c>
      <c r="V3217">
        <v>1</v>
      </c>
      <c r="W3217">
        <v>0</v>
      </c>
      <c r="X3217" s="21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96</v>
      </c>
      <c r="AJ3217" t="s">
        <v>51</v>
      </c>
      <c r="AK3217" t="s">
        <v>52</v>
      </c>
      <c r="AP3217" t="s">
        <v>951</v>
      </c>
    </row>
    <row r="3218" spans="1:42">
      <c r="A3218" s="16">
        <v>43795</v>
      </c>
      <c r="B3218">
        <v>2</v>
      </c>
      <c r="C3218">
        <v>983</v>
      </c>
      <c r="D3218">
        <v>10424</v>
      </c>
      <c r="E3218" t="s">
        <v>37</v>
      </c>
      <c r="F3218" t="s">
        <v>949</v>
      </c>
      <c r="G3218">
        <v>2</v>
      </c>
      <c r="H3218">
        <v>39</v>
      </c>
      <c r="I3218" s="25">
        <v>1520</v>
      </c>
      <c r="K3218" t="s">
        <v>638</v>
      </c>
      <c r="M3218" t="s">
        <v>52</v>
      </c>
      <c r="N3218" t="s">
        <v>44</v>
      </c>
      <c r="O3218">
        <v>147</v>
      </c>
      <c r="Q3218">
        <v>2</v>
      </c>
      <c r="R3218">
        <v>1</v>
      </c>
      <c r="S3218">
        <v>0</v>
      </c>
      <c r="T3218">
        <v>0</v>
      </c>
      <c r="U3218">
        <v>0</v>
      </c>
      <c r="V3218">
        <v>2</v>
      </c>
      <c r="W3218">
        <v>0</v>
      </c>
      <c r="X3218" s="21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128</v>
      </c>
      <c r="AJ3218" t="s">
        <v>51</v>
      </c>
      <c r="AK3218" t="s">
        <v>52</v>
      </c>
      <c r="AL3218" t="s">
        <v>1094</v>
      </c>
      <c r="AP3218" t="s">
        <v>951</v>
      </c>
    </row>
    <row r="3219" spans="1:42">
      <c r="A3219" s="16">
        <v>43795</v>
      </c>
      <c r="B3219">
        <v>2</v>
      </c>
      <c r="C3219">
        <v>983</v>
      </c>
      <c r="D3219">
        <v>10424</v>
      </c>
      <c r="E3219" t="s">
        <v>37</v>
      </c>
      <c r="F3219" t="s">
        <v>949</v>
      </c>
      <c r="G3219">
        <v>2</v>
      </c>
      <c r="H3219">
        <v>40</v>
      </c>
      <c r="I3219" s="25">
        <v>1511</v>
      </c>
      <c r="K3219" t="s">
        <v>638</v>
      </c>
      <c r="M3219" t="s">
        <v>52</v>
      </c>
      <c r="N3219" t="s">
        <v>44</v>
      </c>
      <c r="O3219">
        <v>134</v>
      </c>
      <c r="Q3219">
        <v>2</v>
      </c>
      <c r="R3219">
        <v>1</v>
      </c>
      <c r="S3219">
        <v>0</v>
      </c>
      <c r="T3219">
        <v>0</v>
      </c>
      <c r="U3219">
        <v>0</v>
      </c>
      <c r="V3219">
        <v>0</v>
      </c>
      <c r="W3219">
        <v>2</v>
      </c>
      <c r="X3219" s="21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192</v>
      </c>
      <c r="AJ3219" t="s">
        <v>51</v>
      </c>
      <c r="AK3219" t="s">
        <v>52</v>
      </c>
      <c r="AP3219" t="s">
        <v>951</v>
      </c>
    </row>
    <row r="3220" spans="1:42">
      <c r="A3220" s="16">
        <v>43795</v>
      </c>
      <c r="B3220">
        <v>2</v>
      </c>
      <c r="C3220">
        <v>983</v>
      </c>
      <c r="D3220">
        <v>10424</v>
      </c>
      <c r="E3220" t="s">
        <v>37</v>
      </c>
      <c r="F3220" t="s">
        <v>949</v>
      </c>
      <c r="G3220">
        <v>2</v>
      </c>
      <c r="H3220">
        <v>41</v>
      </c>
      <c r="I3220" s="25">
        <v>1515</v>
      </c>
      <c r="K3220" t="s">
        <v>49</v>
      </c>
      <c r="M3220" t="s">
        <v>52</v>
      </c>
      <c r="N3220" t="s">
        <v>44</v>
      </c>
      <c r="O3220">
        <v>305</v>
      </c>
      <c r="Q3220">
        <v>4</v>
      </c>
      <c r="R3220">
        <v>1</v>
      </c>
      <c r="S3220">
        <v>0</v>
      </c>
      <c r="T3220">
        <v>0</v>
      </c>
      <c r="U3220">
        <v>0</v>
      </c>
      <c r="V3220">
        <v>0</v>
      </c>
      <c r="W3220">
        <v>4</v>
      </c>
      <c r="X3220" s="21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384</v>
      </c>
      <c r="AJ3220" t="s">
        <v>51</v>
      </c>
      <c r="AK3220" t="s">
        <v>52</v>
      </c>
      <c r="AL3220" t="s">
        <v>1095</v>
      </c>
      <c r="AP3220" t="s">
        <v>951</v>
      </c>
    </row>
    <row r="3221" spans="1:42">
      <c r="A3221" s="16">
        <v>43795</v>
      </c>
      <c r="B3221">
        <v>2</v>
      </c>
      <c r="C3221">
        <v>983</v>
      </c>
      <c r="D3221">
        <v>10424</v>
      </c>
      <c r="E3221" t="s">
        <v>37</v>
      </c>
      <c r="F3221" t="s">
        <v>949</v>
      </c>
      <c r="G3221">
        <v>2</v>
      </c>
      <c r="H3221">
        <v>42</v>
      </c>
      <c r="I3221" s="25">
        <v>1402</v>
      </c>
      <c r="K3221" t="s">
        <v>53</v>
      </c>
      <c r="M3221" t="s">
        <v>52</v>
      </c>
      <c r="N3221" t="s">
        <v>44</v>
      </c>
      <c r="O3221">
        <v>124</v>
      </c>
      <c r="Q3221">
        <v>2</v>
      </c>
      <c r="R3221">
        <v>1</v>
      </c>
      <c r="S3221">
        <v>0</v>
      </c>
      <c r="T3221">
        <v>0</v>
      </c>
      <c r="U3221">
        <v>0</v>
      </c>
      <c r="V3221">
        <v>0</v>
      </c>
      <c r="W3221">
        <v>2</v>
      </c>
      <c r="X3221" s="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192</v>
      </c>
      <c r="AJ3221" t="s">
        <v>51</v>
      </c>
      <c r="AK3221" t="s">
        <v>52</v>
      </c>
      <c r="AP3221" t="s">
        <v>951</v>
      </c>
    </row>
    <row r="3222" spans="1:42">
      <c r="A3222" s="16">
        <v>43795</v>
      </c>
      <c r="B3222">
        <v>2</v>
      </c>
      <c r="C3222">
        <v>983</v>
      </c>
      <c r="D3222">
        <v>10424</v>
      </c>
      <c r="E3222" t="s">
        <v>37</v>
      </c>
      <c r="F3222" t="s">
        <v>949</v>
      </c>
      <c r="G3222">
        <v>2</v>
      </c>
      <c r="H3222">
        <v>43</v>
      </c>
      <c r="I3222" s="25">
        <v>1406</v>
      </c>
      <c r="K3222" t="s">
        <v>53</v>
      </c>
      <c r="M3222" t="s">
        <v>52</v>
      </c>
      <c r="N3222" t="s">
        <v>44</v>
      </c>
      <c r="O3222">
        <v>56</v>
      </c>
      <c r="Q3222">
        <v>1</v>
      </c>
      <c r="R3222">
        <v>1</v>
      </c>
      <c r="S3222">
        <v>0</v>
      </c>
      <c r="T3222">
        <v>0</v>
      </c>
      <c r="U3222">
        <v>0</v>
      </c>
      <c r="V3222">
        <v>1</v>
      </c>
      <c r="W3222">
        <v>0</v>
      </c>
      <c r="X3222" s="21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64</v>
      </c>
      <c r="AJ3222" t="s">
        <v>51</v>
      </c>
      <c r="AK3222" t="s">
        <v>52</v>
      </c>
      <c r="AP3222" t="s">
        <v>951</v>
      </c>
    </row>
    <row r="3223" spans="1:42">
      <c r="A3223" s="16">
        <v>43795</v>
      </c>
      <c r="B3223">
        <v>2</v>
      </c>
      <c r="C3223">
        <v>983</v>
      </c>
      <c r="D3223">
        <v>10424</v>
      </c>
      <c r="E3223" t="s">
        <v>37</v>
      </c>
      <c r="F3223" t="s">
        <v>949</v>
      </c>
      <c r="G3223">
        <v>2</v>
      </c>
      <c r="H3223">
        <v>44</v>
      </c>
      <c r="I3223" s="25">
        <v>1510</v>
      </c>
      <c r="K3223" t="s">
        <v>53</v>
      </c>
      <c r="M3223" t="s">
        <v>52</v>
      </c>
      <c r="N3223" t="s">
        <v>44</v>
      </c>
      <c r="O3223">
        <v>93</v>
      </c>
      <c r="Q3223">
        <v>2</v>
      </c>
      <c r="R3223">
        <v>1</v>
      </c>
      <c r="S3223">
        <v>0</v>
      </c>
      <c r="T3223">
        <v>0</v>
      </c>
      <c r="U3223">
        <v>0</v>
      </c>
      <c r="V3223">
        <v>0</v>
      </c>
      <c r="W3223">
        <v>2</v>
      </c>
      <c r="X3223" s="21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192</v>
      </c>
      <c r="AJ3223" t="s">
        <v>51</v>
      </c>
      <c r="AK3223" t="s">
        <v>52</v>
      </c>
      <c r="AL3223" t="s">
        <v>1096</v>
      </c>
      <c r="AP3223" t="s">
        <v>951</v>
      </c>
    </row>
    <row r="3224" spans="1:42">
      <c r="A3224" s="16">
        <v>43795</v>
      </c>
      <c r="B3224">
        <v>2</v>
      </c>
      <c r="C3224">
        <v>983</v>
      </c>
      <c r="D3224">
        <v>10424</v>
      </c>
      <c r="E3224" t="s">
        <v>37</v>
      </c>
      <c r="F3224" t="s">
        <v>949</v>
      </c>
      <c r="G3224">
        <v>2</v>
      </c>
      <c r="H3224">
        <v>45</v>
      </c>
      <c r="I3224" s="25">
        <v>1530</v>
      </c>
      <c r="K3224" t="s">
        <v>53</v>
      </c>
      <c r="M3224" t="s">
        <v>52</v>
      </c>
      <c r="N3224" t="s">
        <v>44</v>
      </c>
      <c r="O3224">
        <v>92</v>
      </c>
      <c r="Q3224">
        <v>2</v>
      </c>
      <c r="R3224">
        <v>1</v>
      </c>
      <c r="S3224">
        <v>0</v>
      </c>
      <c r="T3224">
        <v>0</v>
      </c>
      <c r="U3224">
        <v>0</v>
      </c>
      <c r="V3224">
        <v>0</v>
      </c>
      <c r="W3224">
        <v>2</v>
      </c>
      <c r="X3224" s="21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192</v>
      </c>
      <c r="AJ3224" t="s">
        <v>51</v>
      </c>
      <c r="AK3224" t="s">
        <v>52</v>
      </c>
      <c r="AP3224" t="s">
        <v>951</v>
      </c>
    </row>
    <row r="3225" spans="1:42">
      <c r="A3225" s="16">
        <v>43795</v>
      </c>
      <c r="B3225">
        <v>2</v>
      </c>
      <c r="C3225">
        <v>983</v>
      </c>
      <c r="D3225">
        <v>10424</v>
      </c>
      <c r="E3225" t="s">
        <v>37</v>
      </c>
      <c r="F3225" t="s">
        <v>949</v>
      </c>
      <c r="G3225">
        <v>2</v>
      </c>
      <c r="H3225">
        <v>46</v>
      </c>
      <c r="I3225" s="25">
        <v>1550</v>
      </c>
      <c r="K3225" t="s">
        <v>53</v>
      </c>
      <c r="M3225" t="s">
        <v>52</v>
      </c>
      <c r="N3225" t="s">
        <v>44</v>
      </c>
      <c r="O3225">
        <v>92</v>
      </c>
      <c r="Q3225">
        <v>2</v>
      </c>
      <c r="R3225">
        <v>1</v>
      </c>
      <c r="S3225">
        <v>0</v>
      </c>
      <c r="T3225">
        <v>0</v>
      </c>
      <c r="U3225">
        <v>0</v>
      </c>
      <c r="V3225">
        <v>0</v>
      </c>
      <c r="W3225">
        <v>2</v>
      </c>
      <c r="X3225" s="21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192</v>
      </c>
      <c r="AJ3225" t="s">
        <v>51</v>
      </c>
      <c r="AK3225" t="s">
        <v>52</v>
      </c>
      <c r="AP3225" t="s">
        <v>951</v>
      </c>
    </row>
    <row r="3226" spans="1:42">
      <c r="A3226" s="16">
        <v>43795</v>
      </c>
      <c r="B3226">
        <v>2</v>
      </c>
      <c r="C3226">
        <v>983</v>
      </c>
      <c r="D3226">
        <v>10424</v>
      </c>
      <c r="E3226" t="s">
        <v>37</v>
      </c>
      <c r="F3226" t="s">
        <v>949</v>
      </c>
      <c r="G3226">
        <v>2</v>
      </c>
      <c r="H3226">
        <v>47</v>
      </c>
      <c r="I3226" s="25">
        <v>1570</v>
      </c>
      <c r="K3226" t="s">
        <v>53</v>
      </c>
      <c r="M3226" t="s">
        <v>52</v>
      </c>
      <c r="N3226" t="s">
        <v>44</v>
      </c>
      <c r="O3226">
        <v>152</v>
      </c>
      <c r="Q3226">
        <v>2</v>
      </c>
      <c r="R3226">
        <v>1</v>
      </c>
      <c r="S3226">
        <v>0</v>
      </c>
      <c r="T3226">
        <v>0</v>
      </c>
      <c r="U3226">
        <v>0</v>
      </c>
      <c r="V3226">
        <v>0</v>
      </c>
      <c r="W3226">
        <v>2</v>
      </c>
      <c r="X3226" s="21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192</v>
      </c>
      <c r="AJ3226" t="s">
        <v>51</v>
      </c>
      <c r="AK3226" t="s">
        <v>52</v>
      </c>
      <c r="AP3226" t="s">
        <v>951</v>
      </c>
    </row>
    <row r="3227" spans="1:42">
      <c r="A3227" s="16">
        <v>43795</v>
      </c>
      <c r="B3227">
        <v>2</v>
      </c>
      <c r="C3227">
        <v>983</v>
      </c>
      <c r="D3227">
        <v>10424</v>
      </c>
      <c r="E3227" t="s">
        <v>37</v>
      </c>
      <c r="F3227" t="s">
        <v>949</v>
      </c>
      <c r="G3227">
        <v>2</v>
      </c>
      <c r="H3227">
        <v>48</v>
      </c>
      <c r="I3227" s="25"/>
      <c r="K3227" t="s">
        <v>53</v>
      </c>
      <c r="M3227" t="s">
        <v>52</v>
      </c>
      <c r="N3227" t="s">
        <v>40</v>
      </c>
      <c r="O3227">
        <v>130</v>
      </c>
      <c r="Q3227">
        <v>4</v>
      </c>
      <c r="R3227">
        <v>1</v>
      </c>
      <c r="S3227">
        <v>0</v>
      </c>
      <c r="T3227">
        <v>0</v>
      </c>
      <c r="U3227">
        <v>1</v>
      </c>
      <c r="V3227">
        <v>1</v>
      </c>
      <c r="W3227">
        <v>2</v>
      </c>
      <c r="X3227" s="21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1</v>
      </c>
      <c r="AG3227">
        <v>0</v>
      </c>
      <c r="AH3227">
        <v>288</v>
      </c>
      <c r="AJ3227" t="s">
        <v>51</v>
      </c>
      <c r="AK3227" t="s">
        <v>95</v>
      </c>
      <c r="AL3227" t="s">
        <v>1097</v>
      </c>
      <c r="AP3227" t="s">
        <v>951</v>
      </c>
    </row>
    <row r="3228" spans="1:42">
      <c r="A3228" s="16">
        <v>43795</v>
      </c>
      <c r="B3228">
        <v>2</v>
      </c>
      <c r="C3228">
        <v>983</v>
      </c>
      <c r="D3228">
        <v>10424</v>
      </c>
      <c r="E3228" t="s">
        <v>37</v>
      </c>
      <c r="F3228" t="s">
        <v>949</v>
      </c>
      <c r="G3228">
        <v>2</v>
      </c>
      <c r="H3228">
        <v>49</v>
      </c>
      <c r="I3228" s="25"/>
      <c r="K3228" t="s">
        <v>909</v>
      </c>
      <c r="M3228" t="s">
        <v>52</v>
      </c>
      <c r="N3228" t="s">
        <v>40</v>
      </c>
      <c r="O3228">
        <v>9</v>
      </c>
      <c r="Q3228">
        <v>0</v>
      </c>
      <c r="R3228">
        <v>1</v>
      </c>
      <c r="S3228">
        <v>0</v>
      </c>
      <c r="T3228">
        <v>0</v>
      </c>
      <c r="U3228">
        <v>0</v>
      </c>
      <c r="V3228">
        <v>0</v>
      </c>
      <c r="W3228">
        <v>0</v>
      </c>
      <c r="X3228" s="21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J3228" t="s">
        <v>51</v>
      </c>
      <c r="AK3228" t="s">
        <v>95</v>
      </c>
      <c r="AL3228" t="s">
        <v>1098</v>
      </c>
      <c r="AP3228" t="s">
        <v>951</v>
      </c>
    </row>
    <row r="3229" spans="1:42">
      <c r="A3229" s="16">
        <v>43795</v>
      </c>
      <c r="B3229">
        <v>2</v>
      </c>
      <c r="C3229">
        <v>983</v>
      </c>
      <c r="D3229">
        <v>10424</v>
      </c>
      <c r="E3229" t="s">
        <v>37</v>
      </c>
      <c r="F3229" t="s">
        <v>949</v>
      </c>
      <c r="G3229">
        <v>2</v>
      </c>
      <c r="H3229">
        <v>50</v>
      </c>
      <c r="I3229" s="25"/>
      <c r="K3229" t="s">
        <v>909</v>
      </c>
      <c r="M3229" t="s">
        <v>52</v>
      </c>
      <c r="N3229" t="s">
        <v>40</v>
      </c>
      <c r="O3229">
        <v>28</v>
      </c>
      <c r="Q3229">
        <v>1</v>
      </c>
      <c r="R3229">
        <v>1</v>
      </c>
      <c r="S3229">
        <v>0</v>
      </c>
      <c r="T3229">
        <v>0</v>
      </c>
      <c r="U3229">
        <v>1</v>
      </c>
      <c r="V3229">
        <v>0</v>
      </c>
      <c r="W3229">
        <v>0</v>
      </c>
      <c r="X3229" s="21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32</v>
      </c>
      <c r="AJ3229" t="s">
        <v>51</v>
      </c>
      <c r="AK3229" t="s">
        <v>95</v>
      </c>
      <c r="AP3229" t="s">
        <v>951</v>
      </c>
    </row>
    <row r="3230" spans="1:42">
      <c r="A3230" s="16">
        <v>43795</v>
      </c>
      <c r="B3230">
        <v>2</v>
      </c>
      <c r="C3230">
        <v>983</v>
      </c>
      <c r="D3230">
        <v>10424</v>
      </c>
      <c r="E3230" t="s">
        <v>37</v>
      </c>
      <c r="F3230" t="s">
        <v>949</v>
      </c>
      <c r="G3230">
        <v>2</v>
      </c>
      <c r="H3230">
        <v>51</v>
      </c>
      <c r="I3230" s="25">
        <v>1712</v>
      </c>
      <c r="K3230" t="s">
        <v>909</v>
      </c>
      <c r="M3230" t="s">
        <v>52</v>
      </c>
      <c r="N3230" t="s">
        <v>44</v>
      </c>
      <c r="O3230">
        <v>108</v>
      </c>
      <c r="Q3230">
        <v>1</v>
      </c>
      <c r="R3230">
        <v>1</v>
      </c>
      <c r="S3230">
        <v>0</v>
      </c>
      <c r="T3230">
        <v>0</v>
      </c>
      <c r="U3230">
        <v>0</v>
      </c>
      <c r="V3230">
        <v>0</v>
      </c>
      <c r="W3230">
        <v>1</v>
      </c>
      <c r="X3230" s="21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96</v>
      </c>
      <c r="AJ3230" t="s">
        <v>51</v>
      </c>
      <c r="AK3230" t="s">
        <v>95</v>
      </c>
      <c r="AP3230" t="s">
        <v>951</v>
      </c>
    </row>
    <row r="3231" spans="1:42">
      <c r="A3231" s="16">
        <v>43795</v>
      </c>
      <c r="B3231">
        <v>2</v>
      </c>
      <c r="C3231">
        <v>983</v>
      </c>
      <c r="D3231">
        <v>10424</v>
      </c>
      <c r="E3231" t="s">
        <v>37</v>
      </c>
      <c r="F3231" t="s">
        <v>949</v>
      </c>
      <c r="G3231">
        <v>2</v>
      </c>
      <c r="H3231">
        <v>52</v>
      </c>
      <c r="I3231" s="25"/>
      <c r="K3231" t="s">
        <v>909</v>
      </c>
      <c r="M3231" t="s">
        <v>52</v>
      </c>
      <c r="N3231" t="s">
        <v>40</v>
      </c>
      <c r="O3231">
        <v>38</v>
      </c>
      <c r="Q3231">
        <v>1</v>
      </c>
      <c r="R3231">
        <v>1</v>
      </c>
      <c r="S3231">
        <v>0</v>
      </c>
      <c r="T3231">
        <v>0</v>
      </c>
      <c r="U3231">
        <v>0</v>
      </c>
      <c r="V3231">
        <v>0</v>
      </c>
      <c r="W3231">
        <v>1</v>
      </c>
      <c r="X3231" s="2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96</v>
      </c>
      <c r="AJ3231" t="s">
        <v>51</v>
      </c>
      <c r="AK3231" t="s">
        <v>95</v>
      </c>
      <c r="AP3231" t="s">
        <v>951</v>
      </c>
    </row>
    <row r="3232" spans="1:42">
      <c r="A3232" s="16">
        <v>43795</v>
      </c>
      <c r="B3232">
        <v>2</v>
      </c>
      <c r="C3232">
        <v>983</v>
      </c>
      <c r="D3232">
        <v>10424</v>
      </c>
      <c r="E3232" t="s">
        <v>37</v>
      </c>
      <c r="F3232" t="s">
        <v>949</v>
      </c>
      <c r="G3232">
        <v>2</v>
      </c>
      <c r="H3232">
        <v>53</v>
      </c>
      <c r="I3232" s="25"/>
      <c r="K3232" t="s">
        <v>909</v>
      </c>
      <c r="M3232" t="s">
        <v>52</v>
      </c>
      <c r="N3232" t="s">
        <v>40</v>
      </c>
      <c r="O3232">
        <v>148</v>
      </c>
      <c r="Q3232">
        <v>5</v>
      </c>
      <c r="R3232">
        <v>1</v>
      </c>
      <c r="S3232">
        <v>0</v>
      </c>
      <c r="T3232">
        <v>0</v>
      </c>
      <c r="U3232">
        <v>0</v>
      </c>
      <c r="V3232">
        <v>1</v>
      </c>
      <c r="W3232">
        <v>4</v>
      </c>
      <c r="X3232" s="21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448</v>
      </c>
      <c r="AJ3232" t="s">
        <v>51</v>
      </c>
      <c r="AK3232" t="s">
        <v>95</v>
      </c>
      <c r="AP3232" t="s">
        <v>951</v>
      </c>
    </row>
    <row r="3233" spans="1:42">
      <c r="A3233" s="16">
        <v>43795</v>
      </c>
      <c r="B3233">
        <v>2</v>
      </c>
      <c r="C3233">
        <v>983</v>
      </c>
      <c r="D3233">
        <v>10424</v>
      </c>
      <c r="E3233" t="s">
        <v>37</v>
      </c>
      <c r="F3233" t="s">
        <v>949</v>
      </c>
      <c r="G3233">
        <v>2</v>
      </c>
      <c r="H3233">
        <v>54</v>
      </c>
      <c r="I3233" s="25">
        <v>1725</v>
      </c>
      <c r="K3233" t="s">
        <v>909</v>
      </c>
      <c r="M3233" t="s">
        <v>52</v>
      </c>
      <c r="N3233" t="s">
        <v>44</v>
      </c>
      <c r="O3233">
        <v>231</v>
      </c>
      <c r="Q3233">
        <v>5</v>
      </c>
      <c r="R3233">
        <v>1</v>
      </c>
      <c r="S3233">
        <v>0</v>
      </c>
      <c r="T3233">
        <v>0</v>
      </c>
      <c r="U3233">
        <v>0</v>
      </c>
      <c r="V3233">
        <v>0</v>
      </c>
      <c r="W3233">
        <v>5</v>
      </c>
      <c r="X3233" s="21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480</v>
      </c>
      <c r="AJ3233" t="s">
        <v>51</v>
      </c>
      <c r="AK3233" t="s">
        <v>95</v>
      </c>
      <c r="AP3233" t="s">
        <v>951</v>
      </c>
    </row>
    <row r="3234" spans="1:42">
      <c r="A3234" s="16">
        <v>43795</v>
      </c>
      <c r="B3234">
        <v>2</v>
      </c>
      <c r="C3234">
        <v>983</v>
      </c>
      <c r="D3234">
        <v>10424</v>
      </c>
      <c r="E3234" t="s">
        <v>37</v>
      </c>
      <c r="F3234" t="s">
        <v>949</v>
      </c>
      <c r="G3234">
        <v>2</v>
      </c>
      <c r="H3234">
        <v>55</v>
      </c>
      <c r="I3234" s="25">
        <v>1973</v>
      </c>
      <c r="K3234" t="s">
        <v>49</v>
      </c>
      <c r="M3234" t="s">
        <v>52</v>
      </c>
      <c r="N3234" t="s">
        <v>44</v>
      </c>
      <c r="O3234">
        <v>74</v>
      </c>
      <c r="Q3234">
        <v>1</v>
      </c>
      <c r="R3234">
        <v>1</v>
      </c>
      <c r="S3234">
        <v>0</v>
      </c>
      <c r="T3234">
        <v>0</v>
      </c>
      <c r="U3234">
        <v>0</v>
      </c>
      <c r="V3234">
        <v>0</v>
      </c>
      <c r="W3234">
        <v>1</v>
      </c>
      <c r="X3234" s="21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96</v>
      </c>
      <c r="AJ3234" t="s">
        <v>51</v>
      </c>
      <c r="AK3234" t="s">
        <v>95</v>
      </c>
      <c r="AP3234" t="s">
        <v>951</v>
      </c>
    </row>
    <row r="3235" spans="1:42">
      <c r="A3235" s="16">
        <v>43795</v>
      </c>
      <c r="B3235">
        <v>2</v>
      </c>
      <c r="C3235">
        <v>983</v>
      </c>
      <c r="D3235">
        <v>10424</v>
      </c>
      <c r="E3235" t="s">
        <v>37</v>
      </c>
      <c r="F3235" t="s">
        <v>949</v>
      </c>
      <c r="G3235">
        <v>2</v>
      </c>
      <c r="H3235">
        <v>56</v>
      </c>
      <c r="I3235" s="25">
        <v>1971</v>
      </c>
      <c r="K3235" t="s">
        <v>49</v>
      </c>
      <c r="M3235" t="s">
        <v>52</v>
      </c>
      <c r="N3235" t="s">
        <v>44</v>
      </c>
      <c r="O3235">
        <v>193</v>
      </c>
      <c r="Q3235">
        <v>4</v>
      </c>
      <c r="R3235">
        <v>1</v>
      </c>
      <c r="S3235">
        <v>0</v>
      </c>
      <c r="T3235">
        <v>0</v>
      </c>
      <c r="U3235">
        <v>0</v>
      </c>
      <c r="V3235">
        <v>0</v>
      </c>
      <c r="W3235">
        <v>4</v>
      </c>
      <c r="X3235" s="21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384</v>
      </c>
      <c r="AJ3235" t="s">
        <v>51</v>
      </c>
      <c r="AK3235" t="s">
        <v>95</v>
      </c>
      <c r="AP3235" t="s">
        <v>951</v>
      </c>
    </row>
    <row r="3236" spans="1:42">
      <c r="A3236" s="16">
        <v>43795</v>
      </c>
      <c r="B3236">
        <v>2</v>
      </c>
      <c r="C3236">
        <v>983</v>
      </c>
      <c r="D3236">
        <v>10424</v>
      </c>
      <c r="E3236" t="s">
        <v>37</v>
      </c>
      <c r="F3236" t="s">
        <v>949</v>
      </c>
      <c r="G3236">
        <v>2</v>
      </c>
      <c r="H3236">
        <v>57</v>
      </c>
      <c r="I3236" s="25"/>
      <c r="K3236" t="s">
        <v>596</v>
      </c>
      <c r="M3236" t="s">
        <v>52</v>
      </c>
      <c r="N3236" t="s">
        <v>40</v>
      </c>
      <c r="O3236">
        <v>47</v>
      </c>
      <c r="Q3236">
        <v>1</v>
      </c>
      <c r="R3236">
        <v>1</v>
      </c>
      <c r="S3236">
        <v>0</v>
      </c>
      <c r="T3236">
        <v>0</v>
      </c>
      <c r="U3236">
        <v>0</v>
      </c>
      <c r="V3236">
        <v>0</v>
      </c>
      <c r="W3236">
        <v>1</v>
      </c>
      <c r="X3236" s="21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96</v>
      </c>
      <c r="AJ3236" t="s">
        <v>51</v>
      </c>
      <c r="AK3236" t="s">
        <v>95</v>
      </c>
      <c r="AP3236" t="s">
        <v>951</v>
      </c>
    </row>
    <row r="3237" spans="1:42">
      <c r="A3237" s="16">
        <v>43795</v>
      </c>
      <c r="B3237">
        <v>2</v>
      </c>
      <c r="C3237">
        <v>983</v>
      </c>
      <c r="D3237">
        <v>10424</v>
      </c>
      <c r="E3237" t="s">
        <v>37</v>
      </c>
      <c r="F3237" t="s">
        <v>949</v>
      </c>
      <c r="G3237">
        <v>2</v>
      </c>
      <c r="H3237">
        <v>58</v>
      </c>
      <c r="I3237" s="25">
        <v>1875</v>
      </c>
      <c r="K3237" t="s">
        <v>596</v>
      </c>
      <c r="M3237" t="s">
        <v>52</v>
      </c>
      <c r="N3237" t="s">
        <v>44</v>
      </c>
      <c r="O3237">
        <v>121</v>
      </c>
      <c r="Q3237">
        <v>3</v>
      </c>
      <c r="R3237">
        <v>1</v>
      </c>
      <c r="S3237">
        <v>0</v>
      </c>
      <c r="T3237">
        <v>0</v>
      </c>
      <c r="U3237">
        <v>0</v>
      </c>
      <c r="V3237">
        <v>0</v>
      </c>
      <c r="W3237">
        <v>3</v>
      </c>
      <c r="X3237" s="21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288</v>
      </c>
      <c r="AJ3237" t="s">
        <v>51</v>
      </c>
      <c r="AK3237" t="s">
        <v>95</v>
      </c>
      <c r="AP3237" t="s">
        <v>951</v>
      </c>
    </row>
    <row r="3238" spans="1:42">
      <c r="A3238" s="16">
        <v>43795</v>
      </c>
      <c r="B3238">
        <v>2</v>
      </c>
      <c r="C3238">
        <v>983</v>
      </c>
      <c r="D3238">
        <v>10424</v>
      </c>
      <c r="E3238" t="s">
        <v>37</v>
      </c>
      <c r="F3238" t="s">
        <v>949</v>
      </c>
      <c r="G3238">
        <v>2</v>
      </c>
      <c r="H3238">
        <v>59</v>
      </c>
      <c r="I3238" s="25"/>
      <c r="K3238" t="s">
        <v>596</v>
      </c>
      <c r="M3238" t="s">
        <v>52</v>
      </c>
      <c r="N3238" t="s">
        <v>40</v>
      </c>
      <c r="O3238">
        <v>84</v>
      </c>
      <c r="Q3238">
        <v>3</v>
      </c>
      <c r="R3238">
        <v>1</v>
      </c>
      <c r="S3238">
        <v>0</v>
      </c>
      <c r="T3238">
        <v>0</v>
      </c>
      <c r="U3238">
        <v>0</v>
      </c>
      <c r="V3238">
        <v>0</v>
      </c>
      <c r="W3238">
        <v>3</v>
      </c>
      <c r="X3238" s="21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288</v>
      </c>
      <c r="AJ3238" t="s">
        <v>51</v>
      </c>
      <c r="AK3238" t="s">
        <v>52</v>
      </c>
      <c r="AP3238" t="s">
        <v>951</v>
      </c>
    </row>
    <row r="3239" spans="1:42">
      <c r="A3239" s="16">
        <v>43795</v>
      </c>
      <c r="B3239">
        <v>2</v>
      </c>
      <c r="C3239">
        <v>983</v>
      </c>
      <c r="D3239">
        <v>10424</v>
      </c>
      <c r="E3239" t="s">
        <v>37</v>
      </c>
      <c r="F3239" t="s">
        <v>949</v>
      </c>
      <c r="G3239">
        <v>2</v>
      </c>
      <c r="H3239">
        <v>60</v>
      </c>
      <c r="I3239" s="25"/>
      <c r="K3239" t="s">
        <v>596</v>
      </c>
      <c r="M3239" t="s">
        <v>52</v>
      </c>
      <c r="N3239" t="s">
        <v>40</v>
      </c>
      <c r="O3239">
        <v>64</v>
      </c>
      <c r="Q3239">
        <v>2</v>
      </c>
      <c r="R3239">
        <v>1</v>
      </c>
      <c r="S3239">
        <v>0</v>
      </c>
      <c r="T3239">
        <v>0</v>
      </c>
      <c r="U3239">
        <v>0</v>
      </c>
      <c r="V3239">
        <v>0</v>
      </c>
      <c r="W3239">
        <v>2</v>
      </c>
      <c r="X3239" s="21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192</v>
      </c>
      <c r="AJ3239" t="s">
        <v>51</v>
      </c>
      <c r="AK3239" t="s">
        <v>52</v>
      </c>
      <c r="AP3239" t="s">
        <v>951</v>
      </c>
    </row>
    <row r="3240" spans="1:42">
      <c r="A3240" s="16">
        <v>43795</v>
      </c>
      <c r="B3240">
        <v>2</v>
      </c>
      <c r="C3240">
        <v>983</v>
      </c>
      <c r="D3240">
        <v>10424</v>
      </c>
      <c r="E3240" t="s">
        <v>37</v>
      </c>
      <c r="F3240" t="s">
        <v>949</v>
      </c>
      <c r="G3240">
        <v>2</v>
      </c>
      <c r="H3240">
        <v>61</v>
      </c>
      <c r="I3240" s="25"/>
      <c r="K3240" t="s">
        <v>909</v>
      </c>
      <c r="M3240" t="s">
        <v>52</v>
      </c>
      <c r="N3240" t="s">
        <v>40</v>
      </c>
      <c r="O3240">
        <v>37</v>
      </c>
      <c r="Q3240">
        <v>1</v>
      </c>
      <c r="R3240">
        <v>1</v>
      </c>
      <c r="S3240">
        <v>0</v>
      </c>
      <c r="T3240">
        <v>0</v>
      </c>
      <c r="U3240">
        <v>0</v>
      </c>
      <c r="V3240">
        <v>0</v>
      </c>
      <c r="W3240">
        <v>1</v>
      </c>
      <c r="X3240" s="21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96</v>
      </c>
      <c r="AJ3240" t="s">
        <v>51</v>
      </c>
      <c r="AK3240" t="s">
        <v>52</v>
      </c>
      <c r="AP3240" t="s">
        <v>951</v>
      </c>
    </row>
    <row r="3241" spans="1:42">
      <c r="A3241" s="16">
        <v>43795</v>
      </c>
      <c r="B3241">
        <v>2</v>
      </c>
      <c r="C3241">
        <v>983</v>
      </c>
      <c r="D3241">
        <v>10424</v>
      </c>
      <c r="E3241" t="s">
        <v>37</v>
      </c>
      <c r="F3241" t="s">
        <v>949</v>
      </c>
      <c r="G3241">
        <v>2</v>
      </c>
      <c r="H3241">
        <v>62</v>
      </c>
      <c r="I3241" s="25"/>
      <c r="K3241" t="s">
        <v>909</v>
      </c>
      <c r="M3241" t="s">
        <v>52</v>
      </c>
      <c r="N3241" t="s">
        <v>40</v>
      </c>
      <c r="O3241">
        <v>37</v>
      </c>
      <c r="Q3241">
        <v>1</v>
      </c>
      <c r="R3241">
        <v>1</v>
      </c>
      <c r="S3241">
        <v>0</v>
      </c>
      <c r="T3241">
        <v>0</v>
      </c>
      <c r="U3241">
        <v>0</v>
      </c>
      <c r="V3241">
        <v>1</v>
      </c>
      <c r="W3241">
        <v>0</v>
      </c>
      <c r="X3241" s="2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96</v>
      </c>
      <c r="AJ3241" t="s">
        <v>51</v>
      </c>
      <c r="AK3241" t="s">
        <v>52</v>
      </c>
      <c r="AP3241" t="s">
        <v>951</v>
      </c>
    </row>
    <row r="3242" spans="1:42">
      <c r="A3242" s="16">
        <v>43795</v>
      </c>
      <c r="B3242">
        <v>2</v>
      </c>
      <c r="C3242">
        <v>983</v>
      </c>
      <c r="D3242">
        <v>10424</v>
      </c>
      <c r="E3242" t="s">
        <v>37</v>
      </c>
      <c r="F3242" t="s">
        <v>949</v>
      </c>
      <c r="G3242">
        <v>2</v>
      </c>
      <c r="H3242">
        <v>63</v>
      </c>
      <c r="I3242" s="25"/>
      <c r="K3242" t="s">
        <v>909</v>
      </c>
      <c r="M3242" t="s">
        <v>52</v>
      </c>
      <c r="N3242" t="s">
        <v>40</v>
      </c>
      <c r="O3242">
        <v>33</v>
      </c>
      <c r="Q3242">
        <v>1</v>
      </c>
      <c r="R3242">
        <v>1</v>
      </c>
      <c r="S3242">
        <v>0</v>
      </c>
      <c r="T3242">
        <v>0</v>
      </c>
      <c r="U3242">
        <v>1</v>
      </c>
      <c r="V3242">
        <v>0</v>
      </c>
      <c r="W3242">
        <v>0</v>
      </c>
      <c r="X3242" s="21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32</v>
      </c>
      <c r="AJ3242" t="s">
        <v>51</v>
      </c>
      <c r="AK3242" t="s">
        <v>52</v>
      </c>
      <c r="AP3242" t="s">
        <v>951</v>
      </c>
    </row>
    <row r="3243" spans="1:42">
      <c r="A3243" s="16">
        <v>43795</v>
      </c>
      <c r="B3243">
        <v>2</v>
      </c>
      <c r="C3243">
        <v>983</v>
      </c>
      <c r="D3243">
        <v>10424</v>
      </c>
      <c r="E3243" t="s">
        <v>37</v>
      </c>
      <c r="F3243" t="s">
        <v>949</v>
      </c>
      <c r="G3243">
        <v>2</v>
      </c>
      <c r="H3243">
        <v>64</v>
      </c>
      <c r="I3243" s="25"/>
      <c r="K3243" t="s">
        <v>909</v>
      </c>
      <c r="M3243" t="s">
        <v>52</v>
      </c>
      <c r="N3243" t="s">
        <v>40</v>
      </c>
      <c r="O3243">
        <v>91</v>
      </c>
      <c r="Q3243">
        <v>2</v>
      </c>
      <c r="R3243">
        <v>1</v>
      </c>
      <c r="S3243">
        <v>0</v>
      </c>
      <c r="T3243">
        <v>0</v>
      </c>
      <c r="U3243">
        <v>0</v>
      </c>
      <c r="V3243">
        <v>1</v>
      </c>
      <c r="W3243">
        <v>1</v>
      </c>
      <c r="X3243" s="21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4</v>
      </c>
      <c r="AG3243">
        <v>0</v>
      </c>
      <c r="AH3243">
        <v>160</v>
      </c>
      <c r="AJ3243" t="s">
        <v>51</v>
      </c>
      <c r="AK3243" t="s">
        <v>52</v>
      </c>
      <c r="AP3243" t="s">
        <v>951</v>
      </c>
    </row>
    <row r="3244" spans="1:42">
      <c r="A3244" s="16">
        <v>43795</v>
      </c>
      <c r="B3244">
        <v>2</v>
      </c>
      <c r="C3244">
        <v>983</v>
      </c>
      <c r="D3244">
        <v>10424</v>
      </c>
      <c r="E3244" t="s">
        <v>37</v>
      </c>
      <c r="F3244" t="s">
        <v>949</v>
      </c>
      <c r="G3244">
        <v>2</v>
      </c>
      <c r="H3244">
        <v>65</v>
      </c>
      <c r="I3244" s="25"/>
      <c r="K3244" t="s">
        <v>909</v>
      </c>
      <c r="M3244" t="s">
        <v>52</v>
      </c>
      <c r="N3244" t="s">
        <v>40</v>
      </c>
      <c r="O3244">
        <v>56</v>
      </c>
      <c r="Q3244">
        <v>2</v>
      </c>
      <c r="R3244">
        <v>1</v>
      </c>
      <c r="S3244">
        <v>0</v>
      </c>
      <c r="T3244">
        <v>0</v>
      </c>
      <c r="U3244">
        <v>1</v>
      </c>
      <c r="V3244">
        <v>0</v>
      </c>
      <c r="W3244">
        <v>1</v>
      </c>
      <c r="X3244" s="21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128</v>
      </c>
      <c r="AJ3244" t="s">
        <v>51</v>
      </c>
      <c r="AK3244" t="s">
        <v>52</v>
      </c>
      <c r="AP3244" t="s">
        <v>951</v>
      </c>
    </row>
    <row r="3245" spans="1:42">
      <c r="A3245" s="16">
        <v>43795</v>
      </c>
      <c r="B3245">
        <v>2</v>
      </c>
      <c r="C3245">
        <v>983</v>
      </c>
      <c r="D3245">
        <v>10424</v>
      </c>
      <c r="E3245" t="s">
        <v>37</v>
      </c>
      <c r="F3245" t="s">
        <v>949</v>
      </c>
      <c r="G3245">
        <v>2</v>
      </c>
      <c r="H3245">
        <v>66</v>
      </c>
      <c r="I3245" s="25">
        <v>1715</v>
      </c>
      <c r="K3245" t="s">
        <v>599</v>
      </c>
      <c r="M3245" t="s">
        <v>52</v>
      </c>
      <c r="N3245" t="s">
        <v>44</v>
      </c>
      <c r="O3245">
        <v>88</v>
      </c>
      <c r="Q3245">
        <v>2</v>
      </c>
      <c r="R3245">
        <v>1</v>
      </c>
      <c r="S3245">
        <v>0</v>
      </c>
      <c r="T3245">
        <v>0</v>
      </c>
      <c r="U3245">
        <v>0</v>
      </c>
      <c r="V3245">
        <v>0</v>
      </c>
      <c r="W3245">
        <v>2</v>
      </c>
      <c r="X3245" s="21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192</v>
      </c>
      <c r="AJ3245" t="s">
        <v>51</v>
      </c>
      <c r="AK3245" t="s">
        <v>52</v>
      </c>
      <c r="AP3245" t="s">
        <v>951</v>
      </c>
    </row>
    <row r="3246" spans="1:42">
      <c r="A3246" s="16">
        <v>43795</v>
      </c>
      <c r="B3246">
        <v>2</v>
      </c>
      <c r="C3246">
        <v>983</v>
      </c>
      <c r="D3246">
        <v>10424</v>
      </c>
      <c r="E3246" t="s">
        <v>37</v>
      </c>
      <c r="F3246" t="s">
        <v>949</v>
      </c>
      <c r="G3246">
        <v>2</v>
      </c>
      <c r="H3246">
        <v>67</v>
      </c>
      <c r="I3246" s="25">
        <v>1881</v>
      </c>
      <c r="K3246" t="s">
        <v>49</v>
      </c>
      <c r="M3246" t="s">
        <v>52</v>
      </c>
      <c r="N3246" t="s">
        <v>44</v>
      </c>
      <c r="O3246">
        <v>141</v>
      </c>
      <c r="Q3246">
        <v>3</v>
      </c>
      <c r="R3246">
        <v>1</v>
      </c>
      <c r="S3246">
        <v>0</v>
      </c>
      <c r="T3246">
        <v>0</v>
      </c>
      <c r="U3246">
        <v>0</v>
      </c>
      <c r="V3246">
        <v>0</v>
      </c>
      <c r="W3246">
        <v>3</v>
      </c>
      <c r="X3246" s="21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288</v>
      </c>
      <c r="AJ3246" t="s">
        <v>54</v>
      </c>
      <c r="AK3246" t="s">
        <v>95</v>
      </c>
      <c r="AP3246" t="s">
        <v>951</v>
      </c>
    </row>
    <row r="3247" spans="1:42">
      <c r="A3247" s="16">
        <v>43795</v>
      </c>
      <c r="B3247">
        <v>2</v>
      </c>
      <c r="C3247">
        <v>983</v>
      </c>
      <c r="D3247">
        <v>10424</v>
      </c>
      <c r="E3247" t="s">
        <v>37</v>
      </c>
      <c r="F3247" t="s">
        <v>949</v>
      </c>
      <c r="G3247">
        <v>2</v>
      </c>
      <c r="H3247">
        <v>68</v>
      </c>
      <c r="I3247" s="25"/>
      <c r="K3247" t="s">
        <v>49</v>
      </c>
      <c r="M3247" t="s">
        <v>52</v>
      </c>
      <c r="N3247" t="s">
        <v>40</v>
      </c>
      <c r="O3247">
        <v>75</v>
      </c>
      <c r="Q3247">
        <v>3</v>
      </c>
      <c r="R3247">
        <v>1</v>
      </c>
      <c r="S3247">
        <v>0</v>
      </c>
      <c r="T3247">
        <v>0</v>
      </c>
      <c r="U3247">
        <v>2</v>
      </c>
      <c r="V3247">
        <v>0</v>
      </c>
      <c r="W3247">
        <v>1</v>
      </c>
      <c r="X3247" s="21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160</v>
      </c>
      <c r="AJ3247" t="s">
        <v>54</v>
      </c>
      <c r="AK3247" t="s">
        <v>95</v>
      </c>
      <c r="AP3247" t="s">
        <v>951</v>
      </c>
    </row>
    <row r="3248" spans="1:42">
      <c r="A3248" s="16">
        <v>43795</v>
      </c>
      <c r="B3248">
        <v>2</v>
      </c>
      <c r="C3248">
        <v>983</v>
      </c>
      <c r="D3248">
        <v>10424</v>
      </c>
      <c r="E3248" t="s">
        <v>37</v>
      </c>
      <c r="F3248" t="s">
        <v>949</v>
      </c>
      <c r="G3248">
        <v>2</v>
      </c>
      <c r="H3248">
        <v>69</v>
      </c>
      <c r="I3248" s="25"/>
      <c r="K3248" t="s">
        <v>49</v>
      </c>
      <c r="M3248" t="s">
        <v>52</v>
      </c>
      <c r="N3248" t="s">
        <v>40</v>
      </c>
      <c r="O3248">
        <v>41</v>
      </c>
      <c r="Q3248">
        <v>2</v>
      </c>
      <c r="R3248">
        <v>1</v>
      </c>
      <c r="S3248">
        <v>0</v>
      </c>
      <c r="T3248">
        <v>0</v>
      </c>
      <c r="U3248">
        <v>1</v>
      </c>
      <c r="V3248">
        <v>0</v>
      </c>
      <c r="W3248">
        <v>1</v>
      </c>
      <c r="X3248" s="21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128</v>
      </c>
      <c r="AJ3248" t="s">
        <v>54</v>
      </c>
      <c r="AK3248" t="s">
        <v>95</v>
      </c>
      <c r="AP3248" t="s">
        <v>951</v>
      </c>
    </row>
    <row r="3249" spans="1:42">
      <c r="A3249" s="16">
        <v>43795</v>
      </c>
      <c r="B3249">
        <v>2</v>
      </c>
      <c r="C3249">
        <v>983</v>
      </c>
      <c r="D3249">
        <v>10424</v>
      </c>
      <c r="E3249" t="s">
        <v>37</v>
      </c>
      <c r="F3249" t="s">
        <v>949</v>
      </c>
      <c r="G3249">
        <v>2</v>
      </c>
      <c r="H3249">
        <v>70</v>
      </c>
      <c r="I3249" s="25">
        <v>1781</v>
      </c>
      <c r="K3249" t="s">
        <v>49</v>
      </c>
      <c r="M3249" t="s">
        <v>52</v>
      </c>
      <c r="N3249" t="s">
        <v>44</v>
      </c>
      <c r="O3249">
        <v>93</v>
      </c>
      <c r="Q3249">
        <v>2</v>
      </c>
      <c r="R3249">
        <v>1</v>
      </c>
      <c r="S3249">
        <v>0</v>
      </c>
      <c r="T3249">
        <v>0</v>
      </c>
      <c r="U3249">
        <v>0</v>
      </c>
      <c r="V3249">
        <v>1</v>
      </c>
      <c r="W3249">
        <v>1</v>
      </c>
      <c r="X3249" s="21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160</v>
      </c>
      <c r="AJ3249" t="s">
        <v>54</v>
      </c>
      <c r="AK3249" t="s">
        <v>95</v>
      </c>
      <c r="AL3249" t="s">
        <v>1099</v>
      </c>
      <c r="AP3249" t="s">
        <v>951</v>
      </c>
    </row>
    <row r="3250" spans="1:42">
      <c r="A3250" s="16">
        <v>43795</v>
      </c>
      <c r="B3250">
        <v>2</v>
      </c>
      <c r="C3250">
        <v>983</v>
      </c>
      <c r="D3250">
        <v>10424</v>
      </c>
      <c r="E3250" t="s">
        <v>37</v>
      </c>
      <c r="F3250" t="s">
        <v>949</v>
      </c>
      <c r="G3250">
        <v>2</v>
      </c>
      <c r="H3250">
        <v>71</v>
      </c>
      <c r="I3250" s="25">
        <v>1771</v>
      </c>
      <c r="K3250" t="s">
        <v>49</v>
      </c>
      <c r="M3250" t="s">
        <v>52</v>
      </c>
      <c r="N3250" t="s">
        <v>44</v>
      </c>
      <c r="O3250">
        <v>116</v>
      </c>
      <c r="Q3250">
        <v>1</v>
      </c>
      <c r="R3250">
        <v>1</v>
      </c>
      <c r="S3250">
        <v>0</v>
      </c>
      <c r="T3250">
        <v>0</v>
      </c>
      <c r="U3250">
        <v>0</v>
      </c>
      <c r="V3250">
        <v>0</v>
      </c>
      <c r="W3250">
        <v>1</v>
      </c>
      <c r="X3250" s="21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96</v>
      </c>
      <c r="AJ3250" t="s">
        <v>54</v>
      </c>
      <c r="AK3250" t="s">
        <v>95</v>
      </c>
      <c r="AL3250" t="s">
        <v>1100</v>
      </c>
      <c r="AP3250" t="s">
        <v>951</v>
      </c>
    </row>
    <row r="3251" spans="1:42">
      <c r="A3251" s="16">
        <v>43795</v>
      </c>
      <c r="B3251">
        <v>2</v>
      </c>
      <c r="C3251">
        <v>983</v>
      </c>
      <c r="D3251">
        <v>10424</v>
      </c>
      <c r="E3251" t="s">
        <v>37</v>
      </c>
      <c r="F3251" t="s">
        <v>949</v>
      </c>
      <c r="G3251">
        <v>2</v>
      </c>
      <c r="H3251">
        <v>72</v>
      </c>
      <c r="I3251" s="25"/>
      <c r="K3251" t="s">
        <v>49</v>
      </c>
      <c r="M3251" t="s">
        <v>52</v>
      </c>
      <c r="N3251" t="s">
        <v>40</v>
      </c>
      <c r="O3251">
        <v>45</v>
      </c>
      <c r="Q3251">
        <v>1</v>
      </c>
      <c r="R3251">
        <v>1</v>
      </c>
      <c r="S3251">
        <v>0</v>
      </c>
      <c r="T3251">
        <v>0</v>
      </c>
      <c r="U3251">
        <v>1</v>
      </c>
      <c r="V3251">
        <v>0</v>
      </c>
      <c r="W3251">
        <v>0</v>
      </c>
      <c r="X3251" s="2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32</v>
      </c>
      <c r="AJ3251" t="s">
        <v>54</v>
      </c>
      <c r="AK3251" t="s">
        <v>52</v>
      </c>
      <c r="AP3251" t="s">
        <v>951</v>
      </c>
    </row>
    <row r="3252" spans="1:42">
      <c r="A3252" s="16">
        <v>43795</v>
      </c>
      <c r="B3252">
        <v>2</v>
      </c>
      <c r="C3252">
        <v>983</v>
      </c>
      <c r="D3252">
        <v>10424</v>
      </c>
      <c r="E3252" t="s">
        <v>37</v>
      </c>
      <c r="F3252" t="s">
        <v>949</v>
      </c>
      <c r="G3252">
        <v>2</v>
      </c>
      <c r="H3252">
        <v>73</v>
      </c>
      <c r="I3252" s="25"/>
      <c r="K3252" t="s">
        <v>49</v>
      </c>
      <c r="M3252" t="s">
        <v>52</v>
      </c>
      <c r="N3252" t="s">
        <v>40</v>
      </c>
      <c r="O3252">
        <v>80</v>
      </c>
      <c r="Q3252">
        <v>3</v>
      </c>
      <c r="R3252">
        <v>1</v>
      </c>
      <c r="S3252">
        <v>0</v>
      </c>
      <c r="T3252">
        <v>0</v>
      </c>
      <c r="U3252">
        <v>2</v>
      </c>
      <c r="V3252">
        <v>0</v>
      </c>
      <c r="W3252">
        <v>1</v>
      </c>
      <c r="X3252" s="21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160</v>
      </c>
      <c r="AJ3252" t="s">
        <v>51</v>
      </c>
      <c r="AK3252" t="s">
        <v>95</v>
      </c>
      <c r="AP3252" t="s">
        <v>951</v>
      </c>
    </row>
    <row r="3253" spans="1:42">
      <c r="A3253" s="16">
        <v>43795</v>
      </c>
      <c r="B3253">
        <v>2</v>
      </c>
      <c r="C3253">
        <v>983</v>
      </c>
      <c r="D3253">
        <v>10424</v>
      </c>
      <c r="E3253" t="s">
        <v>37</v>
      </c>
      <c r="F3253" t="s">
        <v>949</v>
      </c>
      <c r="G3253">
        <v>2</v>
      </c>
      <c r="H3253">
        <v>74</v>
      </c>
      <c r="I3253" s="25"/>
      <c r="K3253" t="s">
        <v>588</v>
      </c>
      <c r="M3253" t="s">
        <v>52</v>
      </c>
      <c r="N3253" t="s">
        <v>40</v>
      </c>
      <c r="O3253">
        <v>32</v>
      </c>
      <c r="Q3253">
        <v>1</v>
      </c>
      <c r="R3253">
        <v>1</v>
      </c>
      <c r="S3253">
        <v>0</v>
      </c>
      <c r="T3253">
        <v>0</v>
      </c>
      <c r="U3253">
        <v>1</v>
      </c>
      <c r="V3253">
        <v>0</v>
      </c>
      <c r="W3253">
        <v>0</v>
      </c>
      <c r="X3253" s="21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32</v>
      </c>
      <c r="AJ3253" t="s">
        <v>51</v>
      </c>
      <c r="AK3253" t="s">
        <v>95</v>
      </c>
      <c r="AP3253" t="s">
        <v>951</v>
      </c>
    </row>
    <row r="3254" spans="1:42">
      <c r="A3254" s="16">
        <v>43795</v>
      </c>
      <c r="B3254">
        <v>2</v>
      </c>
      <c r="C3254">
        <v>983</v>
      </c>
      <c r="D3254">
        <v>10424</v>
      </c>
      <c r="E3254" t="s">
        <v>37</v>
      </c>
      <c r="F3254" t="s">
        <v>949</v>
      </c>
      <c r="G3254">
        <v>2</v>
      </c>
      <c r="H3254">
        <v>75</v>
      </c>
      <c r="I3254" s="25"/>
      <c r="K3254" t="s">
        <v>588</v>
      </c>
      <c r="M3254" t="s">
        <v>52</v>
      </c>
      <c r="N3254" t="s">
        <v>40</v>
      </c>
      <c r="O3254">
        <v>38</v>
      </c>
      <c r="Q3254">
        <v>1</v>
      </c>
      <c r="R3254">
        <v>1</v>
      </c>
      <c r="S3254">
        <v>0</v>
      </c>
      <c r="T3254">
        <v>0</v>
      </c>
      <c r="U3254">
        <v>0</v>
      </c>
      <c r="V3254">
        <v>0</v>
      </c>
      <c r="W3254">
        <v>1</v>
      </c>
      <c r="X3254" s="21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1</v>
      </c>
      <c r="AG3254">
        <v>0</v>
      </c>
      <c r="AH3254">
        <v>96</v>
      </c>
      <c r="AJ3254" t="s">
        <v>51</v>
      </c>
      <c r="AK3254" t="s">
        <v>95</v>
      </c>
      <c r="AP3254" t="s">
        <v>951</v>
      </c>
    </row>
    <row r="3255" spans="1:42">
      <c r="A3255" s="16">
        <v>43795</v>
      </c>
      <c r="B3255">
        <v>2</v>
      </c>
      <c r="C3255">
        <v>983</v>
      </c>
      <c r="D3255">
        <v>10424</v>
      </c>
      <c r="E3255" t="s">
        <v>37</v>
      </c>
      <c r="F3255" t="s">
        <v>949</v>
      </c>
      <c r="G3255">
        <v>2</v>
      </c>
      <c r="H3255">
        <v>76</v>
      </c>
      <c r="I3255" s="25">
        <v>1728</v>
      </c>
      <c r="K3255" t="s">
        <v>588</v>
      </c>
      <c r="M3255" t="s">
        <v>52</v>
      </c>
      <c r="N3255" t="s">
        <v>44</v>
      </c>
      <c r="O3255">
        <v>87</v>
      </c>
      <c r="Q3255">
        <v>2</v>
      </c>
      <c r="R3255">
        <v>1</v>
      </c>
      <c r="S3255">
        <v>0</v>
      </c>
      <c r="T3255">
        <v>0</v>
      </c>
      <c r="U3255">
        <v>0</v>
      </c>
      <c r="V3255">
        <v>2</v>
      </c>
      <c r="W3255">
        <v>0</v>
      </c>
      <c r="X3255" s="21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128</v>
      </c>
      <c r="AJ3255" t="s">
        <v>51</v>
      </c>
      <c r="AK3255" t="s">
        <v>95</v>
      </c>
      <c r="AP3255" t="s">
        <v>951</v>
      </c>
    </row>
    <row r="3256" spans="1:42">
      <c r="A3256" s="16">
        <v>43795</v>
      </c>
      <c r="B3256">
        <v>2</v>
      </c>
      <c r="C3256">
        <v>983</v>
      </c>
      <c r="D3256">
        <v>10424</v>
      </c>
      <c r="E3256" t="s">
        <v>37</v>
      </c>
      <c r="F3256" t="s">
        <v>949</v>
      </c>
      <c r="G3256">
        <v>2</v>
      </c>
      <c r="H3256">
        <v>77</v>
      </c>
      <c r="I3256" s="25"/>
      <c r="K3256" t="s">
        <v>69</v>
      </c>
      <c r="M3256" t="s">
        <v>95</v>
      </c>
      <c r="N3256" t="s">
        <v>40</v>
      </c>
      <c r="O3256">
        <v>235</v>
      </c>
      <c r="Q3256">
        <v>6</v>
      </c>
      <c r="R3256">
        <v>1</v>
      </c>
      <c r="S3256">
        <v>0</v>
      </c>
      <c r="T3256">
        <v>0</v>
      </c>
      <c r="U3256">
        <v>1</v>
      </c>
      <c r="V3256">
        <v>0</v>
      </c>
      <c r="W3256">
        <v>5</v>
      </c>
      <c r="X3256" s="21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512</v>
      </c>
      <c r="AJ3256" t="s">
        <v>51</v>
      </c>
      <c r="AK3256" t="s">
        <v>95</v>
      </c>
      <c r="AP3256" t="s">
        <v>951</v>
      </c>
    </row>
    <row r="3257" spans="1:42">
      <c r="A3257" s="16">
        <v>43795</v>
      </c>
      <c r="B3257">
        <v>2</v>
      </c>
      <c r="C3257">
        <v>983</v>
      </c>
      <c r="D3257">
        <v>10424</v>
      </c>
      <c r="E3257" t="s">
        <v>37</v>
      </c>
      <c r="F3257" t="s">
        <v>949</v>
      </c>
      <c r="G3257">
        <v>2</v>
      </c>
      <c r="H3257">
        <v>78</v>
      </c>
      <c r="I3257" s="25"/>
      <c r="K3257" t="s">
        <v>69</v>
      </c>
      <c r="M3257" t="s">
        <v>52</v>
      </c>
      <c r="N3257" t="s">
        <v>40</v>
      </c>
      <c r="O3257">
        <v>84</v>
      </c>
      <c r="Q3257">
        <v>3</v>
      </c>
      <c r="R3257">
        <v>1</v>
      </c>
      <c r="S3257">
        <v>0</v>
      </c>
      <c r="T3257">
        <v>0</v>
      </c>
      <c r="U3257">
        <v>1</v>
      </c>
      <c r="V3257">
        <v>2</v>
      </c>
      <c r="W3257">
        <v>0</v>
      </c>
      <c r="X3257" s="21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96</v>
      </c>
      <c r="AJ3257" t="s">
        <v>51</v>
      </c>
      <c r="AK3257" t="s">
        <v>95</v>
      </c>
      <c r="AP3257" t="s">
        <v>951</v>
      </c>
    </row>
    <row r="3258" spans="1:42">
      <c r="A3258" s="16">
        <v>43795</v>
      </c>
      <c r="B3258">
        <v>2</v>
      </c>
      <c r="C3258">
        <v>983</v>
      </c>
      <c r="D3258">
        <v>10424</v>
      </c>
      <c r="E3258" t="s">
        <v>37</v>
      </c>
      <c r="F3258" t="s">
        <v>949</v>
      </c>
      <c r="G3258">
        <v>2</v>
      </c>
      <c r="H3258">
        <v>79</v>
      </c>
      <c r="I3258" s="25"/>
      <c r="K3258" t="s">
        <v>69</v>
      </c>
      <c r="M3258" t="s">
        <v>52</v>
      </c>
      <c r="N3258" t="s">
        <v>40</v>
      </c>
      <c r="O3258">
        <v>89</v>
      </c>
      <c r="Q3258">
        <v>2</v>
      </c>
      <c r="R3258">
        <v>1</v>
      </c>
      <c r="S3258">
        <v>0</v>
      </c>
      <c r="T3258">
        <v>0</v>
      </c>
      <c r="U3258">
        <v>0</v>
      </c>
      <c r="V3258">
        <v>2</v>
      </c>
      <c r="W3258">
        <v>0</v>
      </c>
      <c r="X3258" s="21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1</v>
      </c>
      <c r="AG3258">
        <v>0</v>
      </c>
      <c r="AH3258">
        <v>128</v>
      </c>
      <c r="AJ3258" t="s">
        <v>51</v>
      </c>
      <c r="AK3258" t="s">
        <v>95</v>
      </c>
      <c r="AP3258" t="s">
        <v>951</v>
      </c>
    </row>
    <row r="3259" spans="1:42">
      <c r="A3259" s="16">
        <v>43795</v>
      </c>
      <c r="B3259">
        <v>2</v>
      </c>
      <c r="C3259">
        <v>983</v>
      </c>
      <c r="D3259">
        <v>10424</v>
      </c>
      <c r="E3259" t="s">
        <v>37</v>
      </c>
      <c r="F3259" t="s">
        <v>949</v>
      </c>
      <c r="G3259">
        <v>2</v>
      </c>
      <c r="H3259">
        <v>80</v>
      </c>
      <c r="I3259" s="25"/>
      <c r="K3259" t="s">
        <v>69</v>
      </c>
      <c r="M3259" t="s">
        <v>52</v>
      </c>
      <c r="N3259" t="s">
        <v>40</v>
      </c>
      <c r="O3259">
        <v>26</v>
      </c>
      <c r="Q3259">
        <v>1</v>
      </c>
      <c r="R3259">
        <v>1</v>
      </c>
      <c r="S3259">
        <v>0</v>
      </c>
      <c r="T3259">
        <v>0</v>
      </c>
      <c r="U3259">
        <v>0</v>
      </c>
      <c r="V3259">
        <v>0</v>
      </c>
      <c r="W3259">
        <v>1</v>
      </c>
      <c r="X3259" s="21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96</v>
      </c>
      <c r="AJ3259" t="s">
        <v>51</v>
      </c>
      <c r="AK3259" t="s">
        <v>95</v>
      </c>
      <c r="AP3259" t="s">
        <v>951</v>
      </c>
    </row>
    <row r="3260" spans="1:42">
      <c r="A3260" s="16">
        <v>43795</v>
      </c>
      <c r="B3260">
        <v>2</v>
      </c>
      <c r="C3260">
        <v>983</v>
      </c>
      <c r="D3260">
        <v>10424</v>
      </c>
      <c r="E3260" t="s">
        <v>37</v>
      </c>
      <c r="F3260" t="s">
        <v>949</v>
      </c>
      <c r="G3260">
        <v>2</v>
      </c>
      <c r="H3260">
        <v>81</v>
      </c>
      <c r="I3260" s="25"/>
      <c r="K3260" t="s">
        <v>596</v>
      </c>
      <c r="M3260" t="s">
        <v>52</v>
      </c>
      <c r="N3260" t="s">
        <v>40</v>
      </c>
      <c r="O3260">
        <v>46</v>
      </c>
      <c r="Q3260">
        <v>1</v>
      </c>
      <c r="R3260">
        <v>1</v>
      </c>
      <c r="S3260">
        <v>0</v>
      </c>
      <c r="T3260">
        <v>0</v>
      </c>
      <c r="U3260">
        <v>1</v>
      </c>
      <c r="V3260">
        <v>0</v>
      </c>
      <c r="W3260">
        <v>0</v>
      </c>
      <c r="X3260" s="21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32</v>
      </c>
      <c r="AJ3260" t="s">
        <v>54</v>
      </c>
      <c r="AK3260" t="s">
        <v>52</v>
      </c>
      <c r="AP3260" t="s">
        <v>951</v>
      </c>
    </row>
    <row r="3261" spans="1:42">
      <c r="A3261" s="16">
        <v>43795</v>
      </c>
      <c r="B3261">
        <v>2</v>
      </c>
      <c r="C3261">
        <v>983</v>
      </c>
      <c r="D3261">
        <v>10424</v>
      </c>
      <c r="E3261" t="s">
        <v>37</v>
      </c>
      <c r="F3261" t="s">
        <v>949</v>
      </c>
      <c r="G3261">
        <v>2</v>
      </c>
      <c r="H3261">
        <v>82</v>
      </c>
      <c r="I3261" s="25">
        <v>2199</v>
      </c>
      <c r="K3261" t="s">
        <v>56</v>
      </c>
      <c r="M3261" t="s">
        <v>52</v>
      </c>
      <c r="N3261" t="s">
        <v>44</v>
      </c>
      <c r="O3261">
        <v>96</v>
      </c>
      <c r="Q3261">
        <v>1</v>
      </c>
      <c r="R3261">
        <v>1</v>
      </c>
      <c r="S3261">
        <v>0</v>
      </c>
      <c r="T3261">
        <v>0</v>
      </c>
      <c r="U3261">
        <v>0</v>
      </c>
      <c r="V3261">
        <v>0</v>
      </c>
      <c r="W3261">
        <v>1</v>
      </c>
      <c r="X3261" s="2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96</v>
      </c>
      <c r="AJ3261" t="s">
        <v>54</v>
      </c>
      <c r="AK3261" t="s">
        <v>52</v>
      </c>
      <c r="AP3261" t="s">
        <v>951</v>
      </c>
    </row>
    <row r="3262" spans="1:42">
      <c r="A3262" s="16">
        <v>43795</v>
      </c>
      <c r="B3262">
        <v>2</v>
      </c>
      <c r="C3262">
        <v>983</v>
      </c>
      <c r="D3262">
        <v>10424</v>
      </c>
      <c r="E3262" t="s">
        <v>37</v>
      </c>
      <c r="F3262" t="s">
        <v>949</v>
      </c>
      <c r="G3262">
        <v>2</v>
      </c>
      <c r="H3262">
        <v>83</v>
      </c>
      <c r="I3262" s="25"/>
      <c r="K3262" t="s">
        <v>69</v>
      </c>
      <c r="M3262" t="s">
        <v>52</v>
      </c>
      <c r="N3262" t="s">
        <v>40</v>
      </c>
      <c r="O3262">
        <v>86</v>
      </c>
      <c r="Q3262">
        <v>2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2</v>
      </c>
      <c r="X3262" s="21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192</v>
      </c>
      <c r="AJ3262" t="s">
        <v>51</v>
      </c>
      <c r="AK3262" t="s">
        <v>95</v>
      </c>
      <c r="AP3262" t="s">
        <v>951</v>
      </c>
    </row>
    <row r="3263" spans="1:42">
      <c r="A3263" s="16">
        <v>43795</v>
      </c>
      <c r="B3263">
        <v>2</v>
      </c>
      <c r="C3263">
        <v>983</v>
      </c>
      <c r="D3263">
        <v>10424</v>
      </c>
      <c r="E3263" t="s">
        <v>37</v>
      </c>
      <c r="F3263" t="s">
        <v>949</v>
      </c>
      <c r="G3263">
        <v>2</v>
      </c>
      <c r="H3263">
        <v>84</v>
      </c>
      <c r="I3263" s="25">
        <v>2025</v>
      </c>
      <c r="K3263" t="s">
        <v>69</v>
      </c>
      <c r="M3263" t="s">
        <v>52</v>
      </c>
      <c r="N3263" t="s">
        <v>44</v>
      </c>
      <c r="O3263">
        <v>189</v>
      </c>
      <c r="Q3263">
        <v>2</v>
      </c>
      <c r="R3263">
        <v>1</v>
      </c>
      <c r="S3263">
        <v>0</v>
      </c>
      <c r="T3263">
        <v>0</v>
      </c>
      <c r="U3263">
        <v>0</v>
      </c>
      <c r="V3263">
        <v>0</v>
      </c>
      <c r="W3263">
        <v>2</v>
      </c>
      <c r="X3263" s="21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192</v>
      </c>
      <c r="AJ3263" t="s">
        <v>51</v>
      </c>
      <c r="AK3263" t="s">
        <v>95</v>
      </c>
      <c r="AL3263" t="s">
        <v>1101</v>
      </c>
      <c r="AP3263" t="s">
        <v>951</v>
      </c>
    </row>
    <row r="3264" spans="1:42">
      <c r="A3264" s="16">
        <v>43795</v>
      </c>
      <c r="B3264">
        <v>2</v>
      </c>
      <c r="C3264">
        <v>983</v>
      </c>
      <c r="D3264">
        <v>10424</v>
      </c>
      <c r="E3264" t="s">
        <v>37</v>
      </c>
      <c r="F3264" t="s">
        <v>949</v>
      </c>
      <c r="G3264">
        <v>2</v>
      </c>
      <c r="H3264">
        <v>85</v>
      </c>
      <c r="I3264" s="25">
        <v>2031</v>
      </c>
      <c r="K3264" t="s">
        <v>69</v>
      </c>
      <c r="M3264" t="s">
        <v>52</v>
      </c>
      <c r="N3264" t="s">
        <v>44</v>
      </c>
      <c r="O3264">
        <v>126</v>
      </c>
      <c r="Q3264">
        <v>2</v>
      </c>
      <c r="R3264">
        <v>1</v>
      </c>
      <c r="S3264">
        <v>0</v>
      </c>
      <c r="T3264">
        <v>0</v>
      </c>
      <c r="U3264">
        <v>0</v>
      </c>
      <c r="V3264">
        <v>0</v>
      </c>
      <c r="W3264">
        <v>2</v>
      </c>
      <c r="X3264" s="21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192</v>
      </c>
      <c r="AJ3264" t="s">
        <v>51</v>
      </c>
      <c r="AK3264" t="s">
        <v>52</v>
      </c>
      <c r="AP3264" t="s">
        <v>951</v>
      </c>
    </row>
    <row r="3265" spans="1:42">
      <c r="A3265" s="16">
        <v>43795</v>
      </c>
      <c r="B3265">
        <v>2</v>
      </c>
      <c r="C3265">
        <v>983</v>
      </c>
      <c r="D3265">
        <v>10424</v>
      </c>
      <c r="E3265" t="s">
        <v>37</v>
      </c>
      <c r="F3265" t="s">
        <v>949</v>
      </c>
      <c r="G3265">
        <v>2</v>
      </c>
      <c r="H3265">
        <v>86</v>
      </c>
      <c r="I3265" s="25"/>
      <c r="K3265" t="s">
        <v>69</v>
      </c>
      <c r="M3265" t="s">
        <v>52</v>
      </c>
      <c r="N3265" t="s">
        <v>40</v>
      </c>
      <c r="O3265">
        <v>139</v>
      </c>
      <c r="Q3265">
        <v>5</v>
      </c>
      <c r="R3265">
        <v>1</v>
      </c>
      <c r="S3265">
        <v>0</v>
      </c>
      <c r="T3265">
        <v>0</v>
      </c>
      <c r="U3265">
        <v>1</v>
      </c>
      <c r="V3265">
        <v>4</v>
      </c>
      <c r="W3265">
        <v>0</v>
      </c>
      <c r="X3265" s="21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352</v>
      </c>
      <c r="AJ3265" t="s">
        <v>51</v>
      </c>
      <c r="AK3265" t="s">
        <v>52</v>
      </c>
      <c r="AP3265" t="s">
        <v>951</v>
      </c>
    </row>
    <row r="3266" spans="1:42">
      <c r="A3266" s="16">
        <v>43795</v>
      </c>
      <c r="B3266">
        <v>2</v>
      </c>
      <c r="C3266">
        <v>983</v>
      </c>
      <c r="D3266">
        <v>10424</v>
      </c>
      <c r="E3266" t="s">
        <v>37</v>
      </c>
      <c r="F3266" t="s">
        <v>949</v>
      </c>
      <c r="G3266">
        <v>2</v>
      </c>
      <c r="H3266">
        <v>87</v>
      </c>
      <c r="I3266" s="25">
        <v>2107</v>
      </c>
      <c r="K3266" t="s">
        <v>69</v>
      </c>
      <c r="M3266" t="s">
        <v>52</v>
      </c>
      <c r="N3266" t="s">
        <v>44</v>
      </c>
      <c r="O3266">
        <v>80</v>
      </c>
      <c r="Q3266">
        <v>1</v>
      </c>
      <c r="R3266">
        <v>1</v>
      </c>
      <c r="S3266">
        <v>0</v>
      </c>
      <c r="T3266">
        <v>0</v>
      </c>
      <c r="U3266">
        <v>0</v>
      </c>
      <c r="V3266">
        <v>0</v>
      </c>
      <c r="W3266">
        <v>1</v>
      </c>
      <c r="X3266" s="21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96</v>
      </c>
      <c r="AJ3266" t="s">
        <v>51</v>
      </c>
      <c r="AK3266" t="s">
        <v>52</v>
      </c>
      <c r="AP3266" t="s">
        <v>951</v>
      </c>
    </row>
    <row r="3267" spans="1:42">
      <c r="A3267" s="16">
        <v>43795</v>
      </c>
      <c r="B3267">
        <v>2</v>
      </c>
      <c r="C3267">
        <v>983</v>
      </c>
      <c r="D3267">
        <v>10424</v>
      </c>
      <c r="E3267" t="s">
        <v>37</v>
      </c>
      <c r="F3267" t="s">
        <v>949</v>
      </c>
      <c r="G3267">
        <v>2</v>
      </c>
      <c r="H3267">
        <v>88</v>
      </c>
      <c r="I3267" s="25"/>
      <c r="K3267" t="s">
        <v>69</v>
      </c>
      <c r="M3267" t="s">
        <v>52</v>
      </c>
      <c r="N3267" t="s">
        <v>40</v>
      </c>
      <c r="O3267">
        <v>59</v>
      </c>
      <c r="Q3267">
        <v>2</v>
      </c>
      <c r="R3267">
        <v>1</v>
      </c>
      <c r="S3267">
        <v>0</v>
      </c>
      <c r="T3267">
        <v>0</v>
      </c>
      <c r="U3267">
        <v>0</v>
      </c>
      <c r="V3267">
        <v>1</v>
      </c>
      <c r="W3267">
        <v>1</v>
      </c>
      <c r="X3267" s="21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160</v>
      </c>
      <c r="AJ3267" t="s">
        <v>51</v>
      </c>
      <c r="AK3267" t="s">
        <v>52</v>
      </c>
      <c r="AP3267" t="s">
        <v>951</v>
      </c>
    </row>
    <row r="3268" spans="1:42">
      <c r="A3268" s="16">
        <v>43795</v>
      </c>
      <c r="B3268">
        <v>2</v>
      </c>
      <c r="C3268">
        <v>983</v>
      </c>
      <c r="D3268">
        <v>10424</v>
      </c>
      <c r="E3268" t="s">
        <v>37</v>
      </c>
      <c r="F3268" t="s">
        <v>949</v>
      </c>
      <c r="G3268">
        <v>2</v>
      </c>
      <c r="H3268">
        <v>89</v>
      </c>
      <c r="I3268" s="25"/>
      <c r="K3268" t="s">
        <v>69</v>
      </c>
      <c r="M3268" t="s">
        <v>52</v>
      </c>
      <c r="N3268" t="s">
        <v>40</v>
      </c>
      <c r="O3268">
        <v>92</v>
      </c>
      <c r="Q3268">
        <v>3</v>
      </c>
      <c r="R3268">
        <v>1</v>
      </c>
      <c r="S3268">
        <v>0</v>
      </c>
      <c r="T3268">
        <v>0</v>
      </c>
      <c r="U3268">
        <v>2</v>
      </c>
      <c r="V3268">
        <v>1</v>
      </c>
      <c r="W3268">
        <v>0</v>
      </c>
      <c r="X3268" s="21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128</v>
      </c>
      <c r="AJ3268" t="s">
        <v>51</v>
      </c>
      <c r="AK3268" t="s">
        <v>95</v>
      </c>
      <c r="AP3268" t="s">
        <v>951</v>
      </c>
    </row>
    <row r="3269" spans="1:42">
      <c r="A3269" s="16">
        <v>43795</v>
      </c>
      <c r="B3269">
        <v>2</v>
      </c>
      <c r="C3269">
        <v>983</v>
      </c>
      <c r="D3269">
        <v>10424</v>
      </c>
      <c r="E3269" t="s">
        <v>37</v>
      </c>
      <c r="F3269" t="s">
        <v>949</v>
      </c>
      <c r="G3269">
        <v>2</v>
      </c>
      <c r="H3269">
        <v>90</v>
      </c>
      <c r="I3269" s="25">
        <v>2126</v>
      </c>
      <c r="K3269" t="s">
        <v>69</v>
      </c>
      <c r="M3269" t="s">
        <v>52</v>
      </c>
      <c r="N3269" t="s">
        <v>44</v>
      </c>
      <c r="O3269">
        <v>61</v>
      </c>
      <c r="Q3269">
        <v>2</v>
      </c>
      <c r="R3269">
        <v>1</v>
      </c>
      <c r="S3269">
        <v>0</v>
      </c>
      <c r="T3269">
        <v>0</v>
      </c>
      <c r="U3269">
        <v>0</v>
      </c>
      <c r="V3269">
        <v>0</v>
      </c>
      <c r="W3269">
        <v>2</v>
      </c>
      <c r="X3269" s="21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192</v>
      </c>
      <c r="AJ3269" t="s">
        <v>51</v>
      </c>
      <c r="AK3269" t="s">
        <v>95</v>
      </c>
      <c r="AL3269" t="s">
        <v>1102</v>
      </c>
      <c r="AP3269" t="s">
        <v>951</v>
      </c>
    </row>
    <row r="3270" spans="1:42">
      <c r="A3270" s="16">
        <v>43795</v>
      </c>
      <c r="B3270">
        <v>2</v>
      </c>
      <c r="C3270">
        <v>983</v>
      </c>
      <c r="D3270">
        <v>10424</v>
      </c>
      <c r="E3270" t="s">
        <v>37</v>
      </c>
      <c r="F3270" t="s">
        <v>949</v>
      </c>
      <c r="G3270">
        <v>2</v>
      </c>
      <c r="H3270">
        <v>91</v>
      </c>
      <c r="I3270" s="25"/>
      <c r="K3270" t="s">
        <v>69</v>
      </c>
      <c r="M3270" t="s">
        <v>52</v>
      </c>
      <c r="N3270" t="s">
        <v>40</v>
      </c>
      <c r="O3270">
        <v>29</v>
      </c>
      <c r="Q3270">
        <v>3</v>
      </c>
      <c r="R3270">
        <v>1</v>
      </c>
      <c r="S3270">
        <v>0</v>
      </c>
      <c r="T3270">
        <v>0</v>
      </c>
      <c r="U3270">
        <v>0</v>
      </c>
      <c r="V3270">
        <v>1</v>
      </c>
      <c r="W3270">
        <v>0</v>
      </c>
      <c r="X3270" s="21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2</v>
      </c>
      <c r="AH3270">
        <v>64</v>
      </c>
      <c r="AJ3270" t="s">
        <v>51</v>
      </c>
      <c r="AK3270" t="s">
        <v>95</v>
      </c>
      <c r="AP3270" t="s">
        <v>951</v>
      </c>
    </row>
    <row r="3271" spans="1:42">
      <c r="A3271" s="16">
        <v>43795</v>
      </c>
      <c r="B3271">
        <v>2</v>
      </c>
      <c r="C3271">
        <v>983</v>
      </c>
      <c r="D3271">
        <v>10424</v>
      </c>
      <c r="E3271" t="s">
        <v>37</v>
      </c>
      <c r="F3271" t="s">
        <v>949</v>
      </c>
      <c r="G3271">
        <v>2</v>
      </c>
      <c r="H3271">
        <v>92</v>
      </c>
      <c r="I3271" s="25">
        <v>2140</v>
      </c>
      <c r="K3271" t="s">
        <v>69</v>
      </c>
      <c r="M3271" t="s">
        <v>52</v>
      </c>
      <c r="N3271" t="s">
        <v>44</v>
      </c>
      <c r="O3271">
        <v>67</v>
      </c>
      <c r="Q3271">
        <v>1</v>
      </c>
      <c r="R3271">
        <v>1</v>
      </c>
      <c r="S3271">
        <v>0</v>
      </c>
      <c r="T3271">
        <v>0</v>
      </c>
      <c r="U3271">
        <v>0</v>
      </c>
      <c r="V3271">
        <v>1</v>
      </c>
      <c r="W3271">
        <v>0</v>
      </c>
      <c r="X3271" s="2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64</v>
      </c>
      <c r="AJ3271" t="s">
        <v>51</v>
      </c>
      <c r="AK3271" t="s">
        <v>95</v>
      </c>
      <c r="AL3271" t="s">
        <v>1102</v>
      </c>
      <c r="AP3271" t="s">
        <v>951</v>
      </c>
    </row>
    <row r="3272" spans="1:42">
      <c r="A3272" s="16">
        <v>43795</v>
      </c>
      <c r="B3272">
        <v>2</v>
      </c>
      <c r="C3272">
        <v>983</v>
      </c>
      <c r="D3272">
        <v>10424</v>
      </c>
      <c r="E3272" t="s">
        <v>37</v>
      </c>
      <c r="F3272" t="s">
        <v>949</v>
      </c>
      <c r="G3272">
        <v>2</v>
      </c>
      <c r="H3272">
        <v>93</v>
      </c>
      <c r="I3272" s="25" t="s">
        <v>1103</v>
      </c>
      <c r="K3272" t="s">
        <v>69</v>
      </c>
      <c r="M3272" t="s">
        <v>52</v>
      </c>
      <c r="N3272" t="s">
        <v>44</v>
      </c>
      <c r="O3272">
        <v>193</v>
      </c>
      <c r="Q3272">
        <v>2</v>
      </c>
      <c r="R3272">
        <v>1</v>
      </c>
      <c r="S3272">
        <v>0</v>
      </c>
      <c r="T3272">
        <v>0</v>
      </c>
      <c r="U3272">
        <v>0</v>
      </c>
      <c r="V3272">
        <v>0</v>
      </c>
      <c r="W3272">
        <v>3</v>
      </c>
      <c r="X3272" s="21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288</v>
      </c>
      <c r="AJ3272" t="s">
        <v>51</v>
      </c>
      <c r="AK3272" t="s">
        <v>52</v>
      </c>
      <c r="AP3272" t="s">
        <v>951</v>
      </c>
    </row>
    <row r="3273" spans="1:42">
      <c r="A3273" s="16">
        <v>43795</v>
      </c>
      <c r="B3273">
        <v>2</v>
      </c>
      <c r="C3273">
        <v>983</v>
      </c>
      <c r="D3273">
        <v>10424</v>
      </c>
      <c r="E3273" t="s">
        <v>37</v>
      </c>
      <c r="F3273" t="s">
        <v>949</v>
      </c>
      <c r="G3273">
        <v>2</v>
      </c>
      <c r="H3273">
        <v>94</v>
      </c>
      <c r="I3273" s="25">
        <v>2172</v>
      </c>
      <c r="K3273" t="s">
        <v>69</v>
      </c>
      <c r="M3273" t="s">
        <v>52</v>
      </c>
      <c r="N3273" t="s">
        <v>44</v>
      </c>
      <c r="O3273">
        <v>59</v>
      </c>
      <c r="Q3273">
        <v>1</v>
      </c>
      <c r="R3273">
        <v>1</v>
      </c>
      <c r="S3273">
        <v>0</v>
      </c>
      <c r="T3273">
        <v>0</v>
      </c>
      <c r="U3273">
        <v>0</v>
      </c>
      <c r="V3273">
        <v>1</v>
      </c>
      <c r="W3273">
        <v>0</v>
      </c>
      <c r="X3273" s="21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64</v>
      </c>
      <c r="AJ3273" t="s">
        <v>51</v>
      </c>
      <c r="AK3273" t="s">
        <v>52</v>
      </c>
      <c r="AP3273" t="s">
        <v>951</v>
      </c>
    </row>
    <row r="3274" spans="1:42">
      <c r="A3274" s="16">
        <v>43795</v>
      </c>
      <c r="B3274">
        <v>2</v>
      </c>
      <c r="C3274">
        <v>983</v>
      </c>
      <c r="D3274">
        <v>10424</v>
      </c>
      <c r="E3274" t="s">
        <v>37</v>
      </c>
      <c r="F3274" t="s">
        <v>949</v>
      </c>
      <c r="G3274">
        <v>2</v>
      </c>
      <c r="H3274">
        <v>95</v>
      </c>
      <c r="I3274" s="25">
        <v>2178</v>
      </c>
      <c r="K3274" t="s">
        <v>69</v>
      </c>
      <c r="M3274" t="s">
        <v>95</v>
      </c>
      <c r="N3274" t="s">
        <v>42</v>
      </c>
      <c r="O3274">
        <v>252</v>
      </c>
      <c r="Q3274">
        <v>8</v>
      </c>
      <c r="R3274">
        <v>1</v>
      </c>
      <c r="S3274">
        <v>0</v>
      </c>
      <c r="T3274">
        <v>0</v>
      </c>
      <c r="U3274">
        <v>2</v>
      </c>
      <c r="V3274">
        <v>3</v>
      </c>
      <c r="W3274">
        <v>3</v>
      </c>
      <c r="X3274" s="21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544</v>
      </c>
      <c r="AJ3274" t="s">
        <v>51</v>
      </c>
      <c r="AK3274" t="s">
        <v>95</v>
      </c>
      <c r="AP3274" t="s">
        <v>951</v>
      </c>
    </row>
    <row r="3275" spans="1:42">
      <c r="A3275" s="16">
        <v>43795</v>
      </c>
      <c r="B3275">
        <v>2</v>
      </c>
      <c r="C3275">
        <v>983</v>
      </c>
      <c r="D3275">
        <v>10424</v>
      </c>
      <c r="E3275" t="s">
        <v>37</v>
      </c>
      <c r="F3275" t="s">
        <v>949</v>
      </c>
      <c r="G3275">
        <v>2</v>
      </c>
      <c r="H3275">
        <v>96</v>
      </c>
      <c r="I3275" s="25" t="s">
        <v>1104</v>
      </c>
      <c r="K3275" t="s">
        <v>69</v>
      </c>
      <c r="M3275" t="s">
        <v>95</v>
      </c>
      <c r="N3275" t="s">
        <v>44</v>
      </c>
      <c r="O3275">
        <v>237</v>
      </c>
      <c r="Q3275">
        <v>2</v>
      </c>
      <c r="R3275">
        <v>1</v>
      </c>
      <c r="S3275">
        <v>0</v>
      </c>
      <c r="T3275">
        <v>0</v>
      </c>
      <c r="U3275">
        <v>0</v>
      </c>
      <c r="V3275">
        <v>1</v>
      </c>
      <c r="W3275">
        <v>1</v>
      </c>
      <c r="X3275" s="21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160</v>
      </c>
      <c r="AJ3275" t="s">
        <v>51</v>
      </c>
      <c r="AK3275" t="s">
        <v>95</v>
      </c>
      <c r="AP3275" t="s">
        <v>951</v>
      </c>
    </row>
    <row r="3276" spans="1:42">
      <c r="A3276" s="16">
        <v>43795</v>
      </c>
      <c r="B3276">
        <v>2</v>
      </c>
      <c r="C3276">
        <v>983</v>
      </c>
      <c r="D3276">
        <v>10424</v>
      </c>
      <c r="E3276" t="s">
        <v>37</v>
      </c>
      <c r="F3276" t="s">
        <v>949</v>
      </c>
      <c r="G3276">
        <v>2</v>
      </c>
      <c r="H3276">
        <v>97</v>
      </c>
      <c r="I3276" s="25">
        <v>1900</v>
      </c>
      <c r="K3276" t="s">
        <v>599</v>
      </c>
      <c r="M3276" t="s">
        <v>52</v>
      </c>
      <c r="N3276" t="s">
        <v>44</v>
      </c>
      <c r="O3276">
        <v>28</v>
      </c>
      <c r="Q3276">
        <v>1</v>
      </c>
      <c r="R3276">
        <v>1</v>
      </c>
      <c r="S3276">
        <v>0</v>
      </c>
      <c r="T3276">
        <v>0</v>
      </c>
      <c r="U3276">
        <v>1</v>
      </c>
      <c r="V3276">
        <v>0</v>
      </c>
      <c r="W3276">
        <v>0</v>
      </c>
      <c r="X3276" s="21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32</v>
      </c>
      <c r="AJ3276" t="s">
        <v>51</v>
      </c>
      <c r="AK3276" t="s">
        <v>95</v>
      </c>
      <c r="AP3276" t="s">
        <v>951</v>
      </c>
    </row>
    <row r="3277" spans="1:42">
      <c r="A3277" s="16">
        <v>43795</v>
      </c>
      <c r="B3277">
        <v>2</v>
      </c>
      <c r="C3277">
        <v>983</v>
      </c>
      <c r="D3277">
        <v>10424</v>
      </c>
      <c r="E3277" t="s">
        <v>37</v>
      </c>
      <c r="F3277" t="s">
        <v>949</v>
      </c>
      <c r="G3277">
        <v>2</v>
      </c>
      <c r="H3277">
        <v>98</v>
      </c>
      <c r="I3277" s="25">
        <v>2127</v>
      </c>
      <c r="K3277" t="s">
        <v>69</v>
      </c>
      <c r="M3277" t="s">
        <v>52</v>
      </c>
      <c r="N3277" t="s">
        <v>44</v>
      </c>
      <c r="O3277">
        <v>89</v>
      </c>
      <c r="Q3277">
        <v>1</v>
      </c>
      <c r="R3277">
        <v>1</v>
      </c>
      <c r="S3277">
        <v>0</v>
      </c>
      <c r="T3277">
        <v>0</v>
      </c>
      <c r="U3277">
        <v>0</v>
      </c>
      <c r="V3277">
        <v>0</v>
      </c>
      <c r="W3277">
        <v>1</v>
      </c>
      <c r="X3277" s="21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96</v>
      </c>
      <c r="AJ3277" t="s">
        <v>51</v>
      </c>
      <c r="AK3277" t="s">
        <v>95</v>
      </c>
      <c r="AP3277" t="s">
        <v>951</v>
      </c>
    </row>
    <row r="3278" spans="1:42">
      <c r="A3278" s="16">
        <v>43795</v>
      </c>
      <c r="B3278">
        <v>2</v>
      </c>
      <c r="C3278">
        <v>983</v>
      </c>
      <c r="D3278">
        <v>10424</v>
      </c>
      <c r="E3278" t="s">
        <v>37</v>
      </c>
      <c r="F3278" t="s">
        <v>949</v>
      </c>
      <c r="G3278">
        <v>2</v>
      </c>
      <c r="H3278">
        <v>99</v>
      </c>
      <c r="I3278" s="25"/>
      <c r="K3278" t="s">
        <v>69</v>
      </c>
      <c r="M3278" t="s">
        <v>52</v>
      </c>
      <c r="N3278" t="s">
        <v>40</v>
      </c>
      <c r="O3278">
        <v>75</v>
      </c>
      <c r="Q3278">
        <v>2</v>
      </c>
      <c r="R3278">
        <v>1</v>
      </c>
      <c r="S3278">
        <v>0</v>
      </c>
      <c r="T3278">
        <v>0</v>
      </c>
      <c r="U3278">
        <v>0</v>
      </c>
      <c r="V3278">
        <v>2</v>
      </c>
      <c r="W3278">
        <v>0</v>
      </c>
      <c r="X3278" s="21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128</v>
      </c>
      <c r="AJ3278" t="s">
        <v>54</v>
      </c>
      <c r="AK3278" t="s">
        <v>95</v>
      </c>
      <c r="AP3278" t="s">
        <v>951</v>
      </c>
    </row>
    <row r="3279" spans="1:42">
      <c r="A3279" s="16">
        <v>43795</v>
      </c>
      <c r="B3279">
        <v>2</v>
      </c>
      <c r="C3279">
        <v>983</v>
      </c>
      <c r="D3279">
        <v>10424</v>
      </c>
      <c r="E3279" t="s">
        <v>37</v>
      </c>
      <c r="F3279" t="s">
        <v>949</v>
      </c>
      <c r="G3279">
        <v>2</v>
      </c>
      <c r="H3279">
        <v>100</v>
      </c>
      <c r="I3279" s="25">
        <v>2207</v>
      </c>
      <c r="K3279" t="s">
        <v>69</v>
      </c>
      <c r="M3279" t="s">
        <v>52</v>
      </c>
      <c r="N3279" t="s">
        <v>44</v>
      </c>
      <c r="O3279">
        <v>84</v>
      </c>
      <c r="Q3279">
        <v>1</v>
      </c>
      <c r="R3279">
        <v>1</v>
      </c>
      <c r="S3279">
        <v>0</v>
      </c>
      <c r="T3279">
        <v>0</v>
      </c>
      <c r="U3279">
        <v>0</v>
      </c>
      <c r="V3279">
        <v>0</v>
      </c>
      <c r="W3279">
        <v>1</v>
      </c>
      <c r="X3279" s="21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96</v>
      </c>
      <c r="AJ3279" t="s">
        <v>54</v>
      </c>
      <c r="AK3279" t="s">
        <v>95</v>
      </c>
      <c r="AL3279" t="s">
        <v>1105</v>
      </c>
      <c r="AP3279" t="s">
        <v>951</v>
      </c>
    </row>
    <row r="3280" spans="1:42">
      <c r="A3280" s="16">
        <v>43795</v>
      </c>
      <c r="B3280">
        <v>2</v>
      </c>
      <c r="C3280">
        <v>983</v>
      </c>
      <c r="D3280">
        <v>10424</v>
      </c>
      <c r="E3280" t="s">
        <v>37</v>
      </c>
      <c r="F3280" t="s">
        <v>949</v>
      </c>
      <c r="G3280">
        <v>2</v>
      </c>
      <c r="H3280">
        <v>101</v>
      </c>
      <c r="I3280" s="25"/>
      <c r="K3280" t="s">
        <v>69</v>
      </c>
      <c r="M3280" t="s">
        <v>52</v>
      </c>
      <c r="N3280" t="s">
        <v>40</v>
      </c>
      <c r="O3280">
        <v>54</v>
      </c>
      <c r="Q3280">
        <v>2</v>
      </c>
      <c r="R3280">
        <v>1</v>
      </c>
      <c r="S3280">
        <v>0</v>
      </c>
      <c r="T3280">
        <v>0</v>
      </c>
      <c r="U3280">
        <v>0</v>
      </c>
      <c r="V3280">
        <v>1</v>
      </c>
      <c r="W3280">
        <v>1</v>
      </c>
      <c r="X3280" s="21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160</v>
      </c>
      <c r="AJ3280" t="s">
        <v>54</v>
      </c>
      <c r="AK3280" t="s">
        <v>52</v>
      </c>
      <c r="AP3280" t="s">
        <v>951</v>
      </c>
    </row>
    <row r="3281" spans="1:42">
      <c r="A3281" s="16">
        <v>43795</v>
      </c>
      <c r="B3281">
        <v>2</v>
      </c>
      <c r="C3281">
        <v>983</v>
      </c>
      <c r="D3281">
        <v>10424</v>
      </c>
      <c r="E3281" t="s">
        <v>37</v>
      </c>
      <c r="F3281" t="s">
        <v>949</v>
      </c>
      <c r="G3281">
        <v>2</v>
      </c>
      <c r="H3281">
        <v>102</v>
      </c>
      <c r="I3281" s="25">
        <v>2243</v>
      </c>
      <c r="K3281" t="s">
        <v>69</v>
      </c>
      <c r="M3281" t="s">
        <v>52</v>
      </c>
      <c r="N3281" t="s">
        <v>44</v>
      </c>
      <c r="O3281">
        <v>133</v>
      </c>
      <c r="Q3281">
        <v>1</v>
      </c>
      <c r="R3281">
        <v>1</v>
      </c>
      <c r="S3281">
        <v>0</v>
      </c>
      <c r="T3281">
        <v>0</v>
      </c>
      <c r="U3281">
        <v>0</v>
      </c>
      <c r="V3281">
        <v>0</v>
      </c>
      <c r="W3281">
        <v>1</v>
      </c>
      <c r="X3281" s="2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96</v>
      </c>
      <c r="AJ3281" t="s">
        <v>54</v>
      </c>
      <c r="AK3281" t="s">
        <v>52</v>
      </c>
      <c r="AP3281" t="s">
        <v>951</v>
      </c>
    </row>
    <row r="3282" spans="1:42">
      <c r="A3282" s="16">
        <v>43795</v>
      </c>
      <c r="B3282">
        <v>2</v>
      </c>
      <c r="C3282">
        <v>983</v>
      </c>
      <c r="D3282">
        <v>10424</v>
      </c>
      <c r="E3282" t="s">
        <v>37</v>
      </c>
      <c r="F3282" t="s">
        <v>949</v>
      </c>
      <c r="G3282">
        <v>2</v>
      </c>
      <c r="H3282">
        <v>103</v>
      </c>
      <c r="I3282" s="25"/>
      <c r="K3282" t="s">
        <v>69</v>
      </c>
      <c r="M3282" t="s">
        <v>52</v>
      </c>
      <c r="N3282" t="s">
        <v>40</v>
      </c>
      <c r="O3282">
        <v>65</v>
      </c>
      <c r="Q3282">
        <v>1</v>
      </c>
      <c r="R3282">
        <v>1</v>
      </c>
      <c r="S3282">
        <v>0</v>
      </c>
      <c r="T3282">
        <v>0</v>
      </c>
      <c r="U3282">
        <v>0</v>
      </c>
      <c r="V3282">
        <v>0</v>
      </c>
      <c r="W3282">
        <v>1</v>
      </c>
      <c r="X3282" s="21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96</v>
      </c>
      <c r="AJ3282" t="s">
        <v>54</v>
      </c>
      <c r="AK3282" t="s">
        <v>52</v>
      </c>
      <c r="AL3282" t="s">
        <v>1106</v>
      </c>
      <c r="AP3282" t="s">
        <v>951</v>
      </c>
    </row>
    <row r="3283" spans="1:42">
      <c r="A3283" s="16">
        <v>43795</v>
      </c>
      <c r="B3283">
        <v>2</v>
      </c>
      <c r="C3283">
        <v>983</v>
      </c>
      <c r="D3283">
        <v>10424</v>
      </c>
      <c r="E3283" t="s">
        <v>37</v>
      </c>
      <c r="F3283" t="s">
        <v>949</v>
      </c>
      <c r="G3283">
        <v>2</v>
      </c>
      <c r="H3283">
        <v>104</v>
      </c>
      <c r="I3283" s="25"/>
      <c r="K3283" t="s">
        <v>69</v>
      </c>
      <c r="M3283" t="s">
        <v>95</v>
      </c>
      <c r="N3283" t="s">
        <v>40</v>
      </c>
      <c r="O3283">
        <v>181</v>
      </c>
      <c r="Q3283">
        <v>4</v>
      </c>
      <c r="R3283">
        <v>1</v>
      </c>
      <c r="S3283">
        <v>0</v>
      </c>
      <c r="T3283">
        <v>0</v>
      </c>
      <c r="U3283">
        <v>2</v>
      </c>
      <c r="V3283">
        <v>1</v>
      </c>
      <c r="W3283">
        <v>1</v>
      </c>
      <c r="X3283" s="21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224</v>
      </c>
      <c r="AJ3283" t="s">
        <v>54</v>
      </c>
      <c r="AK3283" t="s">
        <v>52</v>
      </c>
      <c r="AP3283" t="s">
        <v>951</v>
      </c>
    </row>
    <row r="3284" spans="1:42">
      <c r="A3284" s="16">
        <v>43795</v>
      </c>
      <c r="B3284">
        <v>2</v>
      </c>
      <c r="C3284">
        <v>983</v>
      </c>
      <c r="D3284">
        <v>10424</v>
      </c>
      <c r="E3284" t="s">
        <v>37</v>
      </c>
      <c r="F3284" t="s">
        <v>949</v>
      </c>
      <c r="G3284">
        <v>2</v>
      </c>
      <c r="H3284">
        <v>105</v>
      </c>
      <c r="I3284" s="25"/>
      <c r="K3284" t="s">
        <v>596</v>
      </c>
      <c r="M3284" t="s">
        <v>52</v>
      </c>
      <c r="N3284" t="s">
        <v>40</v>
      </c>
      <c r="O3284">
        <v>114</v>
      </c>
      <c r="Q3284">
        <v>3</v>
      </c>
      <c r="R3284">
        <v>1</v>
      </c>
      <c r="S3284">
        <v>0</v>
      </c>
      <c r="T3284">
        <v>0</v>
      </c>
      <c r="U3284">
        <v>0</v>
      </c>
      <c r="V3284">
        <v>2</v>
      </c>
      <c r="W3284">
        <v>1</v>
      </c>
      <c r="X3284" s="21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224</v>
      </c>
      <c r="AJ3284" t="s">
        <v>54</v>
      </c>
      <c r="AK3284" t="s">
        <v>95</v>
      </c>
      <c r="AL3284" t="s">
        <v>1107</v>
      </c>
      <c r="AP3284" t="s">
        <v>951</v>
      </c>
    </row>
    <row r="3285" spans="1:42">
      <c r="A3285" s="16">
        <v>43795</v>
      </c>
      <c r="B3285">
        <v>2</v>
      </c>
      <c r="C3285">
        <v>983</v>
      </c>
      <c r="D3285">
        <v>10424</v>
      </c>
      <c r="E3285" t="s">
        <v>37</v>
      </c>
      <c r="F3285" t="s">
        <v>949</v>
      </c>
      <c r="G3285">
        <v>2</v>
      </c>
      <c r="H3285">
        <v>106</v>
      </c>
      <c r="I3285" s="25"/>
      <c r="K3285" t="s">
        <v>596</v>
      </c>
      <c r="M3285" t="s">
        <v>52</v>
      </c>
      <c r="N3285" t="s">
        <v>40</v>
      </c>
      <c r="O3285">
        <v>180</v>
      </c>
      <c r="Q3285">
        <v>3</v>
      </c>
      <c r="R3285">
        <v>1</v>
      </c>
      <c r="S3285">
        <v>0</v>
      </c>
      <c r="T3285">
        <v>0</v>
      </c>
      <c r="U3285">
        <v>1</v>
      </c>
      <c r="V3285">
        <v>2</v>
      </c>
      <c r="W3285">
        <v>0</v>
      </c>
      <c r="X3285" s="21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160</v>
      </c>
      <c r="AJ3285" t="s">
        <v>54</v>
      </c>
      <c r="AK3285" t="s">
        <v>52</v>
      </c>
      <c r="AL3285" t="s">
        <v>1108</v>
      </c>
      <c r="AP3285" t="s">
        <v>951</v>
      </c>
    </row>
    <row r="3286" spans="1:42">
      <c r="A3286" s="16">
        <v>43795</v>
      </c>
      <c r="B3286">
        <v>2</v>
      </c>
      <c r="C3286">
        <v>983</v>
      </c>
      <c r="D3286">
        <v>10424</v>
      </c>
      <c r="E3286" t="s">
        <v>37</v>
      </c>
      <c r="F3286" t="s">
        <v>949</v>
      </c>
      <c r="G3286">
        <v>2</v>
      </c>
      <c r="H3286">
        <v>107</v>
      </c>
      <c r="I3286" s="25"/>
      <c r="K3286" t="s">
        <v>596</v>
      </c>
      <c r="M3286" t="s">
        <v>95</v>
      </c>
      <c r="N3286" t="s">
        <v>40</v>
      </c>
      <c r="O3286">
        <v>74</v>
      </c>
      <c r="Q3286">
        <v>2</v>
      </c>
      <c r="R3286">
        <v>1</v>
      </c>
      <c r="S3286">
        <v>0</v>
      </c>
      <c r="T3286">
        <v>0</v>
      </c>
      <c r="U3286">
        <v>2</v>
      </c>
      <c r="V3286">
        <v>0</v>
      </c>
      <c r="W3286">
        <v>0</v>
      </c>
      <c r="X3286" s="21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64</v>
      </c>
      <c r="AJ3286" t="s">
        <v>54</v>
      </c>
      <c r="AK3286" t="s">
        <v>95</v>
      </c>
      <c r="AP3286" t="s">
        <v>951</v>
      </c>
    </row>
    <row r="3287" spans="1:42">
      <c r="A3287" s="16">
        <v>43795</v>
      </c>
      <c r="B3287">
        <v>2</v>
      </c>
      <c r="C3287">
        <v>983</v>
      </c>
      <c r="D3287">
        <v>10424</v>
      </c>
      <c r="E3287" t="s">
        <v>37</v>
      </c>
      <c r="F3287" t="s">
        <v>949</v>
      </c>
      <c r="G3287">
        <v>2</v>
      </c>
      <c r="H3287">
        <v>108</v>
      </c>
      <c r="I3287" s="25"/>
      <c r="K3287" t="s">
        <v>596</v>
      </c>
      <c r="M3287" t="s">
        <v>52</v>
      </c>
      <c r="N3287" t="s">
        <v>40</v>
      </c>
      <c r="O3287">
        <v>59</v>
      </c>
      <c r="Q3287">
        <v>2</v>
      </c>
      <c r="R3287">
        <v>1</v>
      </c>
      <c r="S3287">
        <v>0</v>
      </c>
      <c r="T3287">
        <v>0</v>
      </c>
      <c r="U3287">
        <v>0</v>
      </c>
      <c r="V3287">
        <v>0</v>
      </c>
      <c r="W3287">
        <v>2</v>
      </c>
      <c r="X3287" s="21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192</v>
      </c>
      <c r="AJ3287" t="s">
        <v>54</v>
      </c>
      <c r="AK3287" t="s">
        <v>52</v>
      </c>
      <c r="AP3287" t="s">
        <v>951</v>
      </c>
    </row>
    <row r="3288" spans="1:42">
      <c r="A3288" s="16">
        <v>43795</v>
      </c>
      <c r="B3288">
        <v>2</v>
      </c>
      <c r="C3288">
        <v>983</v>
      </c>
      <c r="D3288">
        <v>10424</v>
      </c>
      <c r="E3288" t="s">
        <v>37</v>
      </c>
      <c r="F3288" t="s">
        <v>949</v>
      </c>
      <c r="G3288">
        <v>2</v>
      </c>
      <c r="H3288">
        <v>109</v>
      </c>
      <c r="I3288" s="25">
        <v>1944</v>
      </c>
      <c r="K3288" t="s">
        <v>596</v>
      </c>
      <c r="M3288" t="s">
        <v>95</v>
      </c>
      <c r="N3288" t="s">
        <v>44</v>
      </c>
      <c r="O3288">
        <v>98</v>
      </c>
      <c r="Q3288">
        <v>2</v>
      </c>
      <c r="R3288">
        <v>1</v>
      </c>
      <c r="S3288">
        <v>0</v>
      </c>
      <c r="T3288">
        <v>0</v>
      </c>
      <c r="U3288">
        <v>0</v>
      </c>
      <c r="V3288">
        <v>0</v>
      </c>
      <c r="W3288">
        <v>2</v>
      </c>
      <c r="X3288" s="21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192</v>
      </c>
      <c r="AJ3288" t="s">
        <v>54</v>
      </c>
      <c r="AK3288" t="s">
        <v>95</v>
      </c>
      <c r="AP3288" t="s">
        <v>951</v>
      </c>
    </row>
    <row r="3289" spans="1:42">
      <c r="A3289" s="16">
        <v>43795</v>
      </c>
      <c r="B3289">
        <v>2</v>
      </c>
      <c r="C3289">
        <v>983</v>
      </c>
      <c r="D3289">
        <v>10424</v>
      </c>
      <c r="E3289" t="s">
        <v>37</v>
      </c>
      <c r="F3289" t="s">
        <v>949</v>
      </c>
      <c r="G3289">
        <v>2</v>
      </c>
      <c r="H3289">
        <v>110</v>
      </c>
      <c r="I3289" s="25">
        <v>1959</v>
      </c>
      <c r="K3289" t="s">
        <v>596</v>
      </c>
      <c r="M3289" t="s">
        <v>52</v>
      </c>
      <c r="N3289" t="s">
        <v>44</v>
      </c>
      <c r="O3289">
        <v>64</v>
      </c>
      <c r="Q3289">
        <v>1</v>
      </c>
      <c r="R3289">
        <v>1</v>
      </c>
      <c r="S3289">
        <v>0</v>
      </c>
      <c r="T3289">
        <v>0</v>
      </c>
      <c r="U3289">
        <v>0</v>
      </c>
      <c r="V3289">
        <v>0</v>
      </c>
      <c r="W3289">
        <v>1</v>
      </c>
      <c r="X3289" s="21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96</v>
      </c>
      <c r="AJ3289" t="s">
        <v>54</v>
      </c>
      <c r="AK3289" t="s">
        <v>95</v>
      </c>
      <c r="AP3289" t="s">
        <v>951</v>
      </c>
    </row>
    <row r="3290" spans="1:42">
      <c r="A3290" s="16">
        <v>43795</v>
      </c>
      <c r="B3290">
        <v>2</v>
      </c>
      <c r="C3290">
        <v>983</v>
      </c>
      <c r="D3290">
        <v>10424</v>
      </c>
      <c r="E3290" t="s">
        <v>37</v>
      </c>
      <c r="F3290" t="s">
        <v>949</v>
      </c>
      <c r="G3290">
        <v>2</v>
      </c>
      <c r="H3290">
        <v>111</v>
      </c>
      <c r="I3290" s="25"/>
      <c r="K3290" t="s">
        <v>596</v>
      </c>
      <c r="M3290" t="s">
        <v>95</v>
      </c>
      <c r="N3290" t="s">
        <v>40</v>
      </c>
      <c r="O3290">
        <v>115</v>
      </c>
      <c r="Q3290">
        <v>4</v>
      </c>
      <c r="R3290">
        <v>1</v>
      </c>
      <c r="S3290">
        <v>0</v>
      </c>
      <c r="T3290">
        <v>0</v>
      </c>
      <c r="U3290">
        <v>1</v>
      </c>
      <c r="V3290">
        <v>1</v>
      </c>
      <c r="W3290">
        <v>1</v>
      </c>
      <c r="X3290" s="21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1</v>
      </c>
      <c r="AG3290">
        <v>0</v>
      </c>
      <c r="AH3290">
        <v>192</v>
      </c>
      <c r="AJ3290" t="s">
        <v>54</v>
      </c>
      <c r="AK3290" t="s">
        <v>95</v>
      </c>
      <c r="AP3290" t="s">
        <v>951</v>
      </c>
    </row>
    <row r="3291" spans="1:42">
      <c r="A3291" s="16">
        <v>43795</v>
      </c>
      <c r="B3291">
        <v>2</v>
      </c>
      <c r="C3291">
        <v>983</v>
      </c>
      <c r="D3291">
        <v>10424</v>
      </c>
      <c r="E3291" t="s">
        <v>37</v>
      </c>
      <c r="F3291" t="s">
        <v>949</v>
      </c>
      <c r="G3291">
        <v>2</v>
      </c>
      <c r="H3291">
        <v>112</v>
      </c>
      <c r="I3291" s="25"/>
      <c r="K3291" t="s">
        <v>596</v>
      </c>
      <c r="M3291" t="s">
        <v>52</v>
      </c>
      <c r="N3291" t="s">
        <v>40</v>
      </c>
      <c r="O3291">
        <v>202</v>
      </c>
      <c r="Q3291">
        <v>6</v>
      </c>
      <c r="R3291">
        <v>1</v>
      </c>
      <c r="S3291">
        <v>0</v>
      </c>
      <c r="T3291">
        <v>0</v>
      </c>
      <c r="U3291">
        <v>3</v>
      </c>
      <c r="V3291">
        <v>3</v>
      </c>
      <c r="W3291">
        <v>0</v>
      </c>
      <c r="X3291" s="2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288</v>
      </c>
      <c r="AJ3291" t="s">
        <v>54</v>
      </c>
      <c r="AK3291" t="s">
        <v>95</v>
      </c>
      <c r="AP3291" t="s">
        <v>951</v>
      </c>
    </row>
    <row r="3292" spans="1:42">
      <c r="A3292" s="16">
        <v>43795</v>
      </c>
      <c r="B3292">
        <v>2</v>
      </c>
      <c r="C3292">
        <v>542</v>
      </c>
      <c r="D3292">
        <v>10226</v>
      </c>
      <c r="E3292"/>
      <c r="F3292" t="s">
        <v>949</v>
      </c>
      <c r="G3292">
        <v>2</v>
      </c>
      <c r="H3292">
        <v>1</v>
      </c>
      <c r="I3292" s="25">
        <v>600</v>
      </c>
      <c r="K3292" t="s">
        <v>73</v>
      </c>
      <c r="M3292" t="s">
        <v>52</v>
      </c>
      <c r="N3292" t="s">
        <v>44</v>
      </c>
      <c r="O3292">
        <v>131</v>
      </c>
      <c r="Q3292">
        <v>3</v>
      </c>
      <c r="R3292">
        <v>1</v>
      </c>
      <c r="S3292">
        <v>0</v>
      </c>
      <c r="T3292">
        <v>0</v>
      </c>
      <c r="U3292">
        <v>0</v>
      </c>
      <c r="V3292">
        <v>0</v>
      </c>
      <c r="W3292">
        <v>3</v>
      </c>
      <c r="X3292" s="21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288</v>
      </c>
      <c r="AP3292" t="s">
        <v>951</v>
      </c>
    </row>
    <row r="3293" spans="1:42">
      <c r="A3293" s="16">
        <v>43795</v>
      </c>
      <c r="B3293">
        <v>2</v>
      </c>
      <c r="C3293">
        <v>542</v>
      </c>
      <c r="D3293">
        <v>10226</v>
      </c>
      <c r="E3293"/>
      <c r="F3293" t="s">
        <v>949</v>
      </c>
      <c r="G3293">
        <v>2</v>
      </c>
      <c r="H3293">
        <v>2</v>
      </c>
      <c r="I3293" s="25">
        <v>600</v>
      </c>
      <c r="K3293" t="s">
        <v>73</v>
      </c>
      <c r="M3293" t="s">
        <v>52</v>
      </c>
      <c r="N3293" t="s">
        <v>44</v>
      </c>
      <c r="O3293">
        <v>59</v>
      </c>
      <c r="Q3293">
        <v>2</v>
      </c>
      <c r="R3293">
        <v>1</v>
      </c>
      <c r="S3293">
        <v>0</v>
      </c>
      <c r="T3293">
        <v>0</v>
      </c>
      <c r="U3293">
        <v>1</v>
      </c>
      <c r="V3293">
        <v>1</v>
      </c>
      <c r="W3293">
        <v>0</v>
      </c>
      <c r="X3293" s="21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96</v>
      </c>
      <c r="AP3293" t="s">
        <v>951</v>
      </c>
    </row>
    <row r="3294" spans="1:42">
      <c r="A3294" s="16">
        <v>43795</v>
      </c>
      <c r="B3294">
        <v>2</v>
      </c>
      <c r="C3294">
        <v>542</v>
      </c>
      <c r="D3294">
        <v>10226</v>
      </c>
      <c r="E3294"/>
      <c r="F3294" t="s">
        <v>949</v>
      </c>
      <c r="G3294">
        <v>2</v>
      </c>
      <c r="H3294">
        <v>3</v>
      </c>
      <c r="I3294" s="25">
        <v>400</v>
      </c>
      <c r="K3294" t="s">
        <v>384</v>
      </c>
      <c r="M3294" t="s">
        <v>52</v>
      </c>
      <c r="N3294" t="s">
        <v>44</v>
      </c>
      <c r="O3294">
        <v>249</v>
      </c>
      <c r="Q3294">
        <v>6</v>
      </c>
      <c r="R3294">
        <v>1</v>
      </c>
      <c r="S3294">
        <v>0</v>
      </c>
      <c r="T3294">
        <v>0</v>
      </c>
      <c r="U3294">
        <v>0</v>
      </c>
      <c r="V3294">
        <v>0</v>
      </c>
      <c r="W3294">
        <v>6</v>
      </c>
      <c r="X3294" s="21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576</v>
      </c>
      <c r="AL3294" t="s">
        <v>1109</v>
      </c>
      <c r="AP3294" t="s">
        <v>951</v>
      </c>
    </row>
    <row r="3295" spans="1:42">
      <c r="A3295" s="16">
        <v>43795</v>
      </c>
      <c r="B3295">
        <v>2</v>
      </c>
      <c r="C3295">
        <v>542</v>
      </c>
      <c r="D3295">
        <v>10226</v>
      </c>
      <c r="E3295"/>
      <c r="F3295" t="s">
        <v>949</v>
      </c>
      <c r="G3295">
        <v>2</v>
      </c>
      <c r="H3295">
        <v>4</v>
      </c>
      <c r="I3295" s="25">
        <v>403</v>
      </c>
      <c r="K3295" t="s">
        <v>393</v>
      </c>
      <c r="M3295" t="s">
        <v>52</v>
      </c>
      <c r="N3295" t="s">
        <v>44</v>
      </c>
      <c r="O3295">
        <v>420</v>
      </c>
      <c r="Q3295">
        <v>9</v>
      </c>
      <c r="R3295">
        <v>1</v>
      </c>
      <c r="S3295">
        <v>0</v>
      </c>
      <c r="T3295">
        <v>0</v>
      </c>
      <c r="U3295">
        <v>0</v>
      </c>
      <c r="V3295">
        <v>0</v>
      </c>
      <c r="W3295">
        <v>9</v>
      </c>
      <c r="X3295" s="21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864</v>
      </c>
      <c r="AL3295" t="s">
        <v>1109</v>
      </c>
      <c r="AP3295" t="s">
        <v>951</v>
      </c>
    </row>
    <row r="3296" spans="1:42">
      <c r="A3296" s="16">
        <v>43795</v>
      </c>
      <c r="B3296">
        <v>2</v>
      </c>
      <c r="C3296">
        <v>542</v>
      </c>
      <c r="D3296">
        <v>10226</v>
      </c>
      <c r="E3296"/>
      <c r="F3296" t="s">
        <v>949</v>
      </c>
      <c r="G3296">
        <v>2</v>
      </c>
      <c r="H3296">
        <v>5</v>
      </c>
      <c r="I3296" s="25">
        <v>101</v>
      </c>
      <c r="K3296" t="s">
        <v>210</v>
      </c>
      <c r="M3296" t="s">
        <v>52</v>
      </c>
      <c r="N3296" t="s">
        <v>40</v>
      </c>
      <c r="O3296">
        <v>480</v>
      </c>
      <c r="Q3296">
        <v>12</v>
      </c>
      <c r="R3296">
        <v>1</v>
      </c>
      <c r="S3296">
        <v>0</v>
      </c>
      <c r="T3296">
        <v>0</v>
      </c>
      <c r="U3296">
        <v>0</v>
      </c>
      <c r="V3296">
        <v>0</v>
      </c>
      <c r="W3296">
        <v>12</v>
      </c>
      <c r="X3296" s="21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1152</v>
      </c>
      <c r="AP3296" t="s">
        <v>951</v>
      </c>
    </row>
    <row r="3297" spans="1:42">
      <c r="A3297" s="16">
        <v>43795</v>
      </c>
      <c r="B3297">
        <v>2</v>
      </c>
      <c r="C3297">
        <v>542</v>
      </c>
      <c r="D3297">
        <v>10226</v>
      </c>
      <c r="E3297"/>
      <c r="F3297" t="s">
        <v>949</v>
      </c>
      <c r="G3297">
        <v>2</v>
      </c>
      <c r="H3297">
        <v>6</v>
      </c>
      <c r="I3297" s="25">
        <v>1620</v>
      </c>
      <c r="K3297" t="s">
        <v>71</v>
      </c>
      <c r="M3297" t="s">
        <v>52</v>
      </c>
      <c r="N3297" t="s">
        <v>44</v>
      </c>
      <c r="O3297">
        <v>125</v>
      </c>
      <c r="Q3297">
        <v>4</v>
      </c>
      <c r="R3297">
        <v>1</v>
      </c>
      <c r="S3297">
        <v>0</v>
      </c>
      <c r="T3297">
        <v>0</v>
      </c>
      <c r="U3297">
        <v>0</v>
      </c>
      <c r="V3297">
        <v>0</v>
      </c>
      <c r="W3297">
        <v>4</v>
      </c>
      <c r="X3297" s="21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384</v>
      </c>
      <c r="AP3297" t="s">
        <v>951</v>
      </c>
    </row>
    <row r="3298" spans="1:42">
      <c r="A3298" s="16">
        <v>43795</v>
      </c>
      <c r="B3298">
        <v>2</v>
      </c>
      <c r="C3298">
        <v>542</v>
      </c>
      <c r="D3298">
        <v>10226</v>
      </c>
      <c r="E3298"/>
      <c r="F3298" t="s">
        <v>949</v>
      </c>
      <c r="G3298">
        <v>2</v>
      </c>
      <c r="H3298">
        <v>7</v>
      </c>
      <c r="I3298" s="25">
        <v>301</v>
      </c>
      <c r="K3298" t="s">
        <v>1110</v>
      </c>
      <c r="M3298" t="s">
        <v>52</v>
      </c>
      <c r="N3298" t="s">
        <v>44</v>
      </c>
      <c r="O3298">
        <v>300</v>
      </c>
      <c r="Q3298">
        <v>8</v>
      </c>
      <c r="R3298">
        <v>1</v>
      </c>
      <c r="S3298">
        <v>0</v>
      </c>
      <c r="T3298">
        <v>0</v>
      </c>
      <c r="U3298">
        <v>0</v>
      </c>
      <c r="V3298">
        <v>0</v>
      </c>
      <c r="W3298">
        <v>8</v>
      </c>
      <c r="X3298" s="21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768</v>
      </c>
      <c r="AP3298" t="s">
        <v>951</v>
      </c>
    </row>
    <row r="3299" spans="1:42">
      <c r="A3299" s="16">
        <v>43795</v>
      </c>
      <c r="B3299">
        <v>2</v>
      </c>
      <c r="C3299">
        <v>542</v>
      </c>
      <c r="D3299">
        <v>10226</v>
      </c>
      <c r="E3299"/>
      <c r="F3299" t="s">
        <v>949</v>
      </c>
      <c r="G3299">
        <v>2</v>
      </c>
      <c r="H3299">
        <v>8</v>
      </c>
      <c r="I3299" s="25">
        <v>320</v>
      </c>
      <c r="K3299" t="s">
        <v>1111</v>
      </c>
      <c r="M3299" t="s">
        <v>52</v>
      </c>
      <c r="N3299" t="s">
        <v>40</v>
      </c>
      <c r="O3299">
        <v>181</v>
      </c>
      <c r="Q3299">
        <v>5</v>
      </c>
      <c r="R3299">
        <v>1</v>
      </c>
      <c r="S3299">
        <v>0</v>
      </c>
      <c r="T3299">
        <v>0</v>
      </c>
      <c r="U3299">
        <v>0</v>
      </c>
      <c r="V3299">
        <v>0</v>
      </c>
      <c r="W3299">
        <v>5</v>
      </c>
      <c r="X3299" s="21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480</v>
      </c>
      <c r="AP3299" t="s">
        <v>951</v>
      </c>
    </row>
    <row r="3300" spans="1:42">
      <c r="A3300" s="16">
        <v>43795</v>
      </c>
      <c r="B3300">
        <v>2</v>
      </c>
      <c r="C3300">
        <v>542</v>
      </c>
      <c r="D3300">
        <v>10226</v>
      </c>
      <c r="E3300"/>
      <c r="F3300" t="s">
        <v>949</v>
      </c>
      <c r="G3300">
        <v>2</v>
      </c>
      <c r="H3300">
        <v>9</v>
      </c>
      <c r="I3300" s="25">
        <v>401</v>
      </c>
      <c r="K3300" t="s">
        <v>406</v>
      </c>
      <c r="M3300" t="s">
        <v>52</v>
      </c>
      <c r="N3300" t="s">
        <v>44</v>
      </c>
      <c r="O3300">
        <v>224</v>
      </c>
      <c r="Q3300">
        <v>7</v>
      </c>
      <c r="R3300">
        <v>1</v>
      </c>
      <c r="S3300">
        <v>0</v>
      </c>
      <c r="T3300">
        <v>0</v>
      </c>
      <c r="U3300">
        <v>0</v>
      </c>
      <c r="V3300">
        <v>0</v>
      </c>
      <c r="W3300">
        <v>7</v>
      </c>
      <c r="X3300" s="21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672</v>
      </c>
      <c r="AP3300" t="s">
        <v>951</v>
      </c>
    </row>
    <row r="3301" spans="1:42">
      <c r="A3301" s="16">
        <v>43795</v>
      </c>
      <c r="B3301">
        <v>2</v>
      </c>
      <c r="C3301">
        <v>542</v>
      </c>
      <c r="D3301">
        <v>10226</v>
      </c>
      <c r="E3301"/>
      <c r="F3301" t="s">
        <v>949</v>
      </c>
      <c r="G3301">
        <v>2</v>
      </c>
      <c r="H3301">
        <v>10</v>
      </c>
      <c r="I3301" s="25">
        <v>236</v>
      </c>
      <c r="K3301" t="s">
        <v>1112</v>
      </c>
      <c r="M3301" t="s">
        <v>52</v>
      </c>
      <c r="N3301" t="s">
        <v>44</v>
      </c>
      <c r="O3301">
        <v>92</v>
      </c>
      <c r="Q3301">
        <v>2</v>
      </c>
      <c r="R3301">
        <v>1</v>
      </c>
      <c r="S3301">
        <v>0</v>
      </c>
      <c r="T3301">
        <v>0</v>
      </c>
      <c r="U3301">
        <v>0</v>
      </c>
      <c r="V3301">
        <v>0</v>
      </c>
      <c r="W3301">
        <v>2</v>
      </c>
      <c r="X3301" s="2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192</v>
      </c>
      <c r="AP3301" t="s">
        <v>951</v>
      </c>
    </row>
    <row r="3302" spans="1:42">
      <c r="A3302" s="16">
        <v>43795</v>
      </c>
      <c r="B3302">
        <v>2</v>
      </c>
      <c r="C3302">
        <v>542</v>
      </c>
      <c r="D3302">
        <v>10226</v>
      </c>
      <c r="E3302"/>
      <c r="F3302" t="s">
        <v>949</v>
      </c>
      <c r="G3302">
        <v>2</v>
      </c>
      <c r="H3302">
        <v>11</v>
      </c>
      <c r="I3302" s="25">
        <v>88</v>
      </c>
      <c r="K3302" t="s">
        <v>1112</v>
      </c>
      <c r="M3302" t="s">
        <v>52</v>
      </c>
      <c r="N3302" t="s">
        <v>44</v>
      </c>
      <c r="O3302">
        <v>144</v>
      </c>
      <c r="Q3302">
        <v>5</v>
      </c>
      <c r="R3302">
        <v>1</v>
      </c>
      <c r="S3302">
        <v>0</v>
      </c>
      <c r="T3302">
        <v>0</v>
      </c>
      <c r="U3302">
        <v>0</v>
      </c>
      <c r="V3302">
        <v>0</v>
      </c>
      <c r="W3302">
        <v>5</v>
      </c>
      <c r="X3302" s="21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480</v>
      </c>
      <c r="AP3302" t="s">
        <v>951</v>
      </c>
    </row>
    <row r="3303" spans="1:42">
      <c r="A3303" s="16">
        <v>43804</v>
      </c>
      <c r="B3303">
        <v>4</v>
      </c>
      <c r="C3303">
        <v>977</v>
      </c>
      <c r="D3303">
        <v>14471</v>
      </c>
      <c r="E3303" t="s">
        <v>112</v>
      </c>
      <c r="F3303" t="s">
        <v>949</v>
      </c>
      <c r="G3303">
        <v>2</v>
      </c>
      <c r="H3303">
        <v>1</v>
      </c>
      <c r="I3303" s="25"/>
      <c r="K3303" t="s">
        <v>386</v>
      </c>
      <c r="L3303" t="s">
        <v>141</v>
      </c>
      <c r="M3303" t="s">
        <v>52</v>
      </c>
      <c r="N3303" t="s">
        <v>40</v>
      </c>
      <c r="O3303">
        <v>46</v>
      </c>
      <c r="Q3303">
        <v>2</v>
      </c>
      <c r="R3303">
        <v>1</v>
      </c>
      <c r="S3303">
        <v>0</v>
      </c>
      <c r="T3303">
        <v>0</v>
      </c>
      <c r="U3303">
        <v>0</v>
      </c>
      <c r="V3303">
        <v>0</v>
      </c>
      <c r="W3303">
        <v>2</v>
      </c>
      <c r="X3303" s="21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192</v>
      </c>
      <c r="AJ3303" t="s">
        <v>51</v>
      </c>
      <c r="AK3303" t="s">
        <v>95</v>
      </c>
      <c r="AP3303" t="s">
        <v>951</v>
      </c>
    </row>
    <row r="3304" spans="1:42">
      <c r="A3304" s="16">
        <v>43804</v>
      </c>
      <c r="B3304">
        <v>4</v>
      </c>
      <c r="C3304">
        <v>977</v>
      </c>
      <c r="D3304">
        <v>14471</v>
      </c>
      <c r="E3304" t="s">
        <v>112</v>
      </c>
      <c r="F3304" t="s">
        <v>949</v>
      </c>
      <c r="G3304">
        <v>2</v>
      </c>
      <c r="H3304">
        <v>2</v>
      </c>
      <c r="I3304" s="25"/>
      <c r="K3304" t="s">
        <v>386</v>
      </c>
      <c r="L3304" t="s">
        <v>141</v>
      </c>
      <c r="M3304" t="s">
        <v>52</v>
      </c>
      <c r="N3304" t="s">
        <v>40</v>
      </c>
      <c r="O3304">
        <v>30</v>
      </c>
      <c r="Q3304">
        <v>1</v>
      </c>
      <c r="R3304">
        <v>1</v>
      </c>
      <c r="S3304">
        <v>0</v>
      </c>
      <c r="T3304">
        <v>0</v>
      </c>
      <c r="U3304">
        <v>0</v>
      </c>
      <c r="V3304">
        <v>0</v>
      </c>
      <c r="W3304">
        <v>1</v>
      </c>
      <c r="X3304" s="21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96</v>
      </c>
      <c r="AJ3304" t="s">
        <v>51</v>
      </c>
      <c r="AK3304" t="s">
        <v>95</v>
      </c>
      <c r="AP3304" t="s">
        <v>951</v>
      </c>
    </row>
    <row r="3305" spans="1:42">
      <c r="A3305" s="16">
        <v>43804</v>
      </c>
      <c r="B3305">
        <v>4</v>
      </c>
      <c r="C3305">
        <v>977</v>
      </c>
      <c r="D3305">
        <v>14471</v>
      </c>
      <c r="E3305" t="s">
        <v>112</v>
      </c>
      <c r="F3305" t="s">
        <v>949</v>
      </c>
      <c r="G3305">
        <v>2</v>
      </c>
      <c r="H3305">
        <v>3</v>
      </c>
      <c r="I3305" s="25"/>
      <c r="K3305" t="s">
        <v>596</v>
      </c>
      <c r="M3305" t="s">
        <v>52</v>
      </c>
      <c r="N3305" t="s">
        <v>40</v>
      </c>
      <c r="O3305">
        <v>37</v>
      </c>
      <c r="Q3305">
        <v>2</v>
      </c>
      <c r="R3305">
        <v>1</v>
      </c>
      <c r="S3305">
        <v>0</v>
      </c>
      <c r="T3305">
        <v>0</v>
      </c>
      <c r="U3305">
        <v>0</v>
      </c>
      <c r="V3305">
        <v>0</v>
      </c>
      <c r="W3305">
        <v>2</v>
      </c>
      <c r="X3305" s="21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192</v>
      </c>
      <c r="AJ3305" t="s">
        <v>51</v>
      </c>
      <c r="AK3305" t="s">
        <v>95</v>
      </c>
      <c r="AP3305" t="s">
        <v>951</v>
      </c>
    </row>
    <row r="3306" spans="1:42">
      <c r="A3306" s="16">
        <v>43804</v>
      </c>
      <c r="B3306">
        <v>4</v>
      </c>
      <c r="C3306">
        <v>977</v>
      </c>
      <c r="D3306">
        <v>14471</v>
      </c>
      <c r="E3306" t="s">
        <v>112</v>
      </c>
      <c r="F3306" t="s">
        <v>949</v>
      </c>
      <c r="G3306">
        <v>2</v>
      </c>
      <c r="H3306">
        <v>4</v>
      </c>
      <c r="I3306" s="25"/>
      <c r="K3306" t="s">
        <v>1113</v>
      </c>
      <c r="M3306" t="s">
        <v>52</v>
      </c>
      <c r="N3306" t="s">
        <v>40</v>
      </c>
      <c r="O3306">
        <v>71</v>
      </c>
      <c r="Q3306">
        <v>2</v>
      </c>
      <c r="R3306">
        <v>1</v>
      </c>
      <c r="S3306">
        <v>0</v>
      </c>
      <c r="T3306">
        <v>0</v>
      </c>
      <c r="U3306">
        <v>0</v>
      </c>
      <c r="V3306">
        <v>0</v>
      </c>
      <c r="W3306">
        <v>2</v>
      </c>
      <c r="X3306" s="21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192</v>
      </c>
      <c r="AJ3306" t="s">
        <v>51</v>
      </c>
      <c r="AK3306" t="s">
        <v>95</v>
      </c>
      <c r="AP3306" t="s">
        <v>951</v>
      </c>
    </row>
    <row r="3307" spans="1:42">
      <c r="A3307" s="16">
        <v>43804</v>
      </c>
      <c r="B3307">
        <v>4</v>
      </c>
      <c r="C3307">
        <v>977</v>
      </c>
      <c r="D3307">
        <v>14471</v>
      </c>
      <c r="E3307" t="s">
        <v>112</v>
      </c>
      <c r="F3307" t="s">
        <v>949</v>
      </c>
      <c r="G3307">
        <v>2</v>
      </c>
      <c r="H3307">
        <v>5</v>
      </c>
      <c r="I3307" s="25"/>
      <c r="K3307" t="s">
        <v>1113</v>
      </c>
      <c r="M3307" t="s">
        <v>52</v>
      </c>
      <c r="N3307" t="s">
        <v>40</v>
      </c>
      <c r="O3307">
        <v>33</v>
      </c>
      <c r="Q3307">
        <v>1</v>
      </c>
      <c r="R3307">
        <v>1</v>
      </c>
      <c r="S3307">
        <v>0</v>
      </c>
      <c r="T3307">
        <v>0</v>
      </c>
      <c r="U3307">
        <v>0</v>
      </c>
      <c r="V3307">
        <v>0</v>
      </c>
      <c r="W3307">
        <v>1</v>
      </c>
      <c r="X3307" s="21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96</v>
      </c>
      <c r="AJ3307" t="s">
        <v>51</v>
      </c>
      <c r="AK3307" t="s">
        <v>95</v>
      </c>
      <c r="AP3307" t="s">
        <v>951</v>
      </c>
    </row>
    <row r="3308" spans="1:42">
      <c r="A3308" s="16">
        <v>43804</v>
      </c>
      <c r="B3308">
        <v>4</v>
      </c>
      <c r="C3308">
        <v>977</v>
      </c>
      <c r="D3308">
        <v>14471</v>
      </c>
      <c r="E3308" t="s">
        <v>112</v>
      </c>
      <c r="F3308" t="s">
        <v>949</v>
      </c>
      <c r="G3308">
        <v>2</v>
      </c>
      <c r="H3308">
        <v>6</v>
      </c>
      <c r="I3308" s="25"/>
      <c r="K3308" t="s">
        <v>1113</v>
      </c>
      <c r="M3308" t="s">
        <v>52</v>
      </c>
      <c r="N3308" t="s">
        <v>40</v>
      </c>
      <c r="O3308">
        <v>74</v>
      </c>
      <c r="Q3308">
        <v>3</v>
      </c>
      <c r="R3308">
        <v>1</v>
      </c>
      <c r="S3308">
        <v>0</v>
      </c>
      <c r="T3308">
        <v>0</v>
      </c>
      <c r="U3308">
        <v>0</v>
      </c>
      <c r="V3308">
        <v>0</v>
      </c>
      <c r="W3308">
        <v>3</v>
      </c>
      <c r="X3308" s="21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288</v>
      </c>
      <c r="AJ3308" t="s">
        <v>51</v>
      </c>
      <c r="AK3308" t="s">
        <v>95</v>
      </c>
      <c r="AP3308" t="s">
        <v>951</v>
      </c>
    </row>
    <row r="3309" spans="1:42">
      <c r="A3309" s="16">
        <v>43804</v>
      </c>
      <c r="B3309">
        <v>4</v>
      </c>
      <c r="C3309">
        <v>977</v>
      </c>
      <c r="D3309">
        <v>14471</v>
      </c>
      <c r="E3309" t="s">
        <v>112</v>
      </c>
      <c r="F3309" t="s">
        <v>949</v>
      </c>
      <c r="G3309">
        <v>2</v>
      </c>
      <c r="H3309">
        <v>7</v>
      </c>
      <c r="I3309" s="25">
        <v>2600</v>
      </c>
      <c r="K3309" t="s">
        <v>828</v>
      </c>
      <c r="L3309" t="s">
        <v>114</v>
      </c>
      <c r="M3309" t="s">
        <v>52</v>
      </c>
      <c r="N3309" t="s">
        <v>40</v>
      </c>
      <c r="O3309">
        <v>94</v>
      </c>
      <c r="Q3309">
        <v>5</v>
      </c>
      <c r="R3309">
        <v>1</v>
      </c>
      <c r="S3309" t="e">
        <f>SUM(#REF!)</f>
        <v>#REF!</v>
      </c>
      <c r="T3309">
        <v>0</v>
      </c>
      <c r="U3309">
        <v>4</v>
      </c>
      <c r="V3309">
        <v>0</v>
      </c>
      <c r="W3309">
        <v>1</v>
      </c>
      <c r="X3309" s="21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384</v>
      </c>
      <c r="AJ3309" t="s">
        <v>54</v>
      </c>
      <c r="AK3309" t="s">
        <v>95</v>
      </c>
      <c r="AP3309" t="s">
        <v>951</v>
      </c>
    </row>
    <row r="3310" spans="1:42">
      <c r="A3310" s="16">
        <v>43804</v>
      </c>
      <c r="B3310">
        <v>4</v>
      </c>
      <c r="C3310">
        <v>977</v>
      </c>
      <c r="D3310">
        <v>14471</v>
      </c>
      <c r="E3310" t="s">
        <v>112</v>
      </c>
      <c r="F3310" t="s">
        <v>949</v>
      </c>
      <c r="G3310">
        <v>2</v>
      </c>
      <c r="H3310">
        <v>8</v>
      </c>
      <c r="I3310" s="25">
        <v>2600</v>
      </c>
      <c r="K3310" t="s">
        <v>828</v>
      </c>
      <c r="L3310" t="s">
        <v>114</v>
      </c>
      <c r="M3310" t="s">
        <v>52</v>
      </c>
      <c r="N3310" t="s">
        <v>40</v>
      </c>
      <c r="O3310">
        <v>31</v>
      </c>
      <c r="Q3310">
        <v>2</v>
      </c>
      <c r="R3310">
        <v>1</v>
      </c>
      <c r="S3310">
        <v>0</v>
      </c>
      <c r="T3310">
        <v>0</v>
      </c>
      <c r="U3310">
        <v>0</v>
      </c>
      <c r="V3310">
        <v>1</v>
      </c>
      <c r="W3310">
        <v>1</v>
      </c>
      <c r="X3310" s="21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160</v>
      </c>
      <c r="AJ3310" t="s">
        <v>54</v>
      </c>
      <c r="AK3310" t="s">
        <v>95</v>
      </c>
      <c r="AP3310" t="s">
        <v>951</v>
      </c>
    </row>
    <row r="3311" spans="1:42">
      <c r="A3311" s="16">
        <v>43804</v>
      </c>
      <c r="B3311">
        <v>4</v>
      </c>
      <c r="C3311">
        <v>977</v>
      </c>
      <c r="D3311">
        <v>14471</v>
      </c>
      <c r="E3311" t="s">
        <v>112</v>
      </c>
      <c r="F3311" t="s">
        <v>949</v>
      </c>
      <c r="G3311">
        <v>2</v>
      </c>
      <c r="H3311">
        <v>9</v>
      </c>
      <c r="I3311" s="25">
        <v>2600</v>
      </c>
      <c r="K3311" t="s">
        <v>828</v>
      </c>
      <c r="L3311" t="s">
        <v>114</v>
      </c>
      <c r="M3311" t="s">
        <v>52</v>
      </c>
      <c r="N3311" t="s">
        <v>40</v>
      </c>
      <c r="O3311">
        <v>19</v>
      </c>
      <c r="Q3311">
        <v>1</v>
      </c>
      <c r="R3311">
        <v>1</v>
      </c>
      <c r="S3311">
        <v>0</v>
      </c>
      <c r="T3311">
        <v>0</v>
      </c>
      <c r="U3311">
        <v>0</v>
      </c>
      <c r="V3311">
        <v>1</v>
      </c>
      <c r="W3311">
        <v>0</v>
      </c>
      <c r="X3311" s="2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64</v>
      </c>
      <c r="AJ3311" t="s">
        <v>54</v>
      </c>
      <c r="AK3311" t="s">
        <v>95</v>
      </c>
      <c r="AP3311" t="s">
        <v>951</v>
      </c>
    </row>
    <row r="3312" spans="1:42">
      <c r="A3312" s="16">
        <v>43804</v>
      </c>
      <c r="B3312">
        <v>4</v>
      </c>
      <c r="C3312">
        <v>977</v>
      </c>
      <c r="D3312">
        <v>14471</v>
      </c>
      <c r="E3312" t="s">
        <v>112</v>
      </c>
      <c r="F3312" t="s">
        <v>949</v>
      </c>
      <c r="G3312">
        <v>2</v>
      </c>
      <c r="H3312">
        <v>10</v>
      </c>
      <c r="I3312" s="25" t="s">
        <v>1114</v>
      </c>
      <c r="K3312" t="s">
        <v>828</v>
      </c>
      <c r="L3312" t="s">
        <v>114</v>
      </c>
      <c r="M3312" t="s">
        <v>52</v>
      </c>
      <c r="N3312" t="s">
        <v>40</v>
      </c>
      <c r="O3312">
        <v>19</v>
      </c>
      <c r="Q3312">
        <v>1</v>
      </c>
      <c r="R3312">
        <v>1</v>
      </c>
      <c r="S3312">
        <v>0</v>
      </c>
      <c r="T3312">
        <v>0</v>
      </c>
      <c r="U3312">
        <v>0</v>
      </c>
      <c r="V3312">
        <v>1</v>
      </c>
      <c r="W3312">
        <v>0</v>
      </c>
      <c r="X3312" s="21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64</v>
      </c>
      <c r="AJ3312" t="s">
        <v>54</v>
      </c>
      <c r="AK3312" t="s">
        <v>95</v>
      </c>
      <c r="AP3312" t="s">
        <v>951</v>
      </c>
    </row>
    <row r="3313" spans="1:42">
      <c r="A3313" s="16">
        <v>43804</v>
      </c>
      <c r="B3313">
        <v>4</v>
      </c>
      <c r="C3313">
        <v>977</v>
      </c>
      <c r="D3313">
        <v>14471</v>
      </c>
      <c r="E3313" t="s">
        <v>112</v>
      </c>
      <c r="F3313" t="s">
        <v>949</v>
      </c>
      <c r="G3313">
        <v>2</v>
      </c>
      <c r="H3313">
        <v>11</v>
      </c>
      <c r="I3313" s="25" t="s">
        <v>1114</v>
      </c>
      <c r="K3313" t="s">
        <v>828</v>
      </c>
      <c r="L3313" t="s">
        <v>114</v>
      </c>
      <c r="M3313" t="s">
        <v>52</v>
      </c>
      <c r="N3313" t="s">
        <v>40</v>
      </c>
      <c r="O3313">
        <v>63</v>
      </c>
      <c r="Q3313">
        <v>2</v>
      </c>
      <c r="R3313">
        <v>1</v>
      </c>
      <c r="S3313">
        <v>0</v>
      </c>
      <c r="T3313">
        <v>0</v>
      </c>
      <c r="U3313">
        <v>0</v>
      </c>
      <c r="V3313">
        <v>2</v>
      </c>
      <c r="W3313">
        <v>0</v>
      </c>
      <c r="X3313" s="21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128</v>
      </c>
      <c r="AJ3313" t="s">
        <v>54</v>
      </c>
      <c r="AK3313" t="s">
        <v>95</v>
      </c>
      <c r="AP3313" t="s">
        <v>951</v>
      </c>
    </row>
    <row r="3314" spans="1:42">
      <c r="A3314" s="16">
        <v>43804</v>
      </c>
      <c r="B3314">
        <v>4</v>
      </c>
      <c r="C3314">
        <v>977</v>
      </c>
      <c r="D3314">
        <v>14471</v>
      </c>
      <c r="E3314" t="s">
        <v>112</v>
      </c>
      <c r="F3314" t="s">
        <v>949</v>
      </c>
      <c r="G3314">
        <v>2</v>
      </c>
      <c r="H3314">
        <v>12</v>
      </c>
      <c r="I3314" s="25">
        <v>2748</v>
      </c>
      <c r="K3314" t="s">
        <v>828</v>
      </c>
      <c r="M3314" t="s">
        <v>52</v>
      </c>
      <c r="N3314" t="s">
        <v>44</v>
      </c>
      <c r="O3314">
        <v>86</v>
      </c>
      <c r="Q3314">
        <v>1</v>
      </c>
      <c r="R3314">
        <v>1</v>
      </c>
      <c r="S3314">
        <v>0</v>
      </c>
      <c r="T3314">
        <v>0</v>
      </c>
      <c r="U3314">
        <v>0</v>
      </c>
      <c r="V3314">
        <v>0</v>
      </c>
      <c r="W3314">
        <v>1</v>
      </c>
      <c r="X3314" s="21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96</v>
      </c>
      <c r="AJ3314" t="s">
        <v>54</v>
      </c>
      <c r="AK3314" t="s">
        <v>95</v>
      </c>
      <c r="AP3314" t="s">
        <v>951</v>
      </c>
    </row>
    <row r="3315" spans="1:42">
      <c r="A3315" s="16">
        <v>43804</v>
      </c>
      <c r="B3315">
        <v>4</v>
      </c>
      <c r="C3315">
        <v>977</v>
      </c>
      <c r="D3315">
        <v>14471</v>
      </c>
      <c r="E3315" t="s">
        <v>112</v>
      </c>
      <c r="F3315" t="s">
        <v>949</v>
      </c>
      <c r="G3315">
        <v>2</v>
      </c>
      <c r="H3315">
        <v>13</v>
      </c>
      <c r="I3315" s="25"/>
      <c r="K3315" t="s">
        <v>1113</v>
      </c>
      <c r="L3315" t="s">
        <v>114</v>
      </c>
      <c r="M3315" t="s">
        <v>52</v>
      </c>
      <c r="N3315" t="s">
        <v>40</v>
      </c>
      <c r="O3315">
        <v>52</v>
      </c>
      <c r="Q3315">
        <v>3</v>
      </c>
      <c r="R3315">
        <v>1</v>
      </c>
      <c r="S3315">
        <v>0</v>
      </c>
      <c r="T3315">
        <v>0</v>
      </c>
      <c r="U3315">
        <v>0</v>
      </c>
      <c r="V3315">
        <v>0</v>
      </c>
      <c r="W3315">
        <v>3</v>
      </c>
      <c r="X3315" s="21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288</v>
      </c>
      <c r="AJ3315" t="s">
        <v>54</v>
      </c>
      <c r="AK3315" t="s">
        <v>95</v>
      </c>
      <c r="AP3315" t="s">
        <v>951</v>
      </c>
    </row>
    <row r="3316" spans="1:42">
      <c r="A3316" s="16">
        <v>43804</v>
      </c>
      <c r="B3316">
        <v>4</v>
      </c>
      <c r="C3316">
        <v>977</v>
      </c>
      <c r="D3316">
        <v>14471</v>
      </c>
      <c r="E3316" t="s">
        <v>112</v>
      </c>
      <c r="F3316" t="s">
        <v>949</v>
      </c>
      <c r="G3316">
        <v>2</v>
      </c>
      <c r="H3316">
        <v>14</v>
      </c>
      <c r="I3316" s="25">
        <v>1300</v>
      </c>
      <c r="K3316" t="s">
        <v>1115</v>
      </c>
      <c r="L3316" t="s">
        <v>114</v>
      </c>
      <c r="M3316" t="s">
        <v>52</v>
      </c>
      <c r="N3316" t="s">
        <v>40</v>
      </c>
      <c r="O3316">
        <v>20</v>
      </c>
      <c r="Q3316">
        <v>1</v>
      </c>
      <c r="R3316">
        <v>1</v>
      </c>
      <c r="S3316">
        <v>0</v>
      </c>
      <c r="T3316">
        <v>0</v>
      </c>
      <c r="U3316">
        <v>0</v>
      </c>
      <c r="V3316">
        <v>1</v>
      </c>
      <c r="W3316">
        <v>0</v>
      </c>
      <c r="X3316" s="21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64</v>
      </c>
      <c r="AJ3316" t="s">
        <v>51</v>
      </c>
      <c r="AK3316" t="s">
        <v>95</v>
      </c>
      <c r="AP3316" t="s">
        <v>951</v>
      </c>
    </row>
    <row r="3317" spans="1:42">
      <c r="A3317" s="16">
        <v>43804</v>
      </c>
      <c r="B3317">
        <v>4</v>
      </c>
      <c r="C3317">
        <v>977</v>
      </c>
      <c r="D3317">
        <v>14471</v>
      </c>
      <c r="E3317" t="s">
        <v>112</v>
      </c>
      <c r="F3317" t="s">
        <v>949</v>
      </c>
      <c r="G3317">
        <v>2</v>
      </c>
      <c r="H3317">
        <v>15</v>
      </c>
      <c r="I3317" s="25">
        <v>1300</v>
      </c>
      <c r="K3317" t="s">
        <v>1115</v>
      </c>
      <c r="L3317" t="s">
        <v>114</v>
      </c>
      <c r="M3317" t="s">
        <v>52</v>
      </c>
      <c r="N3317" t="s">
        <v>40</v>
      </c>
      <c r="O3317">
        <v>21</v>
      </c>
      <c r="Q3317">
        <v>1</v>
      </c>
      <c r="R3317">
        <v>1</v>
      </c>
      <c r="S3317">
        <v>0</v>
      </c>
      <c r="T3317">
        <v>0</v>
      </c>
      <c r="U3317">
        <v>0</v>
      </c>
      <c r="V3317">
        <v>1</v>
      </c>
      <c r="W3317">
        <v>0</v>
      </c>
      <c r="X3317" s="21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64</v>
      </c>
      <c r="AJ3317" t="s">
        <v>51</v>
      </c>
      <c r="AK3317" t="s">
        <v>95</v>
      </c>
      <c r="AP3317" t="s">
        <v>951</v>
      </c>
    </row>
    <row r="3318" spans="1:42">
      <c r="A3318" s="16">
        <v>43804</v>
      </c>
      <c r="B3318">
        <v>4</v>
      </c>
      <c r="C3318">
        <v>977</v>
      </c>
      <c r="D3318">
        <v>14471</v>
      </c>
      <c r="E3318" t="s">
        <v>112</v>
      </c>
      <c r="F3318" t="s">
        <v>949</v>
      </c>
      <c r="G3318">
        <v>2</v>
      </c>
      <c r="H3318">
        <v>16</v>
      </c>
      <c r="I3318" s="25">
        <v>425</v>
      </c>
      <c r="K3318" t="s">
        <v>913</v>
      </c>
      <c r="M3318" t="s">
        <v>52</v>
      </c>
      <c r="N3318" t="s">
        <v>44</v>
      </c>
      <c r="O3318">
        <v>73</v>
      </c>
      <c r="Q3318">
        <v>4</v>
      </c>
      <c r="R3318">
        <v>1</v>
      </c>
      <c r="S3318">
        <v>0</v>
      </c>
      <c r="T3318">
        <v>0</v>
      </c>
      <c r="U3318">
        <v>0</v>
      </c>
      <c r="V3318">
        <v>0</v>
      </c>
      <c r="W3318">
        <v>4</v>
      </c>
      <c r="X3318" s="21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684</v>
      </c>
      <c r="AJ3318" t="s">
        <v>51</v>
      </c>
      <c r="AK3318" t="s">
        <v>95</v>
      </c>
      <c r="AP3318" t="s">
        <v>951</v>
      </c>
    </row>
    <row r="3319" spans="1:42">
      <c r="A3319" s="16">
        <v>43804</v>
      </c>
      <c r="B3319">
        <v>4</v>
      </c>
      <c r="C3319">
        <v>977</v>
      </c>
      <c r="D3319">
        <v>14471</v>
      </c>
      <c r="E3319" t="s">
        <v>112</v>
      </c>
      <c r="F3319" t="s">
        <v>949</v>
      </c>
      <c r="G3319">
        <v>2</v>
      </c>
      <c r="H3319">
        <v>17</v>
      </c>
      <c r="I3319" s="25">
        <v>2700</v>
      </c>
      <c r="K3319" t="s">
        <v>828</v>
      </c>
      <c r="L3319" t="s">
        <v>141</v>
      </c>
      <c r="M3319" t="s">
        <v>52</v>
      </c>
      <c r="N3319" t="s">
        <v>40</v>
      </c>
      <c r="O3319">
        <v>89</v>
      </c>
      <c r="Q3319">
        <v>4</v>
      </c>
      <c r="R3319">
        <v>1</v>
      </c>
      <c r="S3319">
        <v>0</v>
      </c>
      <c r="T3319">
        <v>0</v>
      </c>
      <c r="U3319">
        <v>0</v>
      </c>
      <c r="V3319">
        <v>1</v>
      </c>
      <c r="W3319">
        <v>3</v>
      </c>
      <c r="X3319" s="21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452</v>
      </c>
      <c r="AJ3319" t="s">
        <v>54</v>
      </c>
      <c r="AK3319" t="s">
        <v>95</v>
      </c>
      <c r="AP3319" t="s">
        <v>951</v>
      </c>
    </row>
    <row r="3320" spans="1:42">
      <c r="A3320" s="16">
        <v>43804</v>
      </c>
      <c r="B3320">
        <v>4</v>
      </c>
      <c r="C3320">
        <v>977</v>
      </c>
      <c r="D3320">
        <v>14471</v>
      </c>
      <c r="E3320" t="s">
        <v>112</v>
      </c>
      <c r="F3320" t="s">
        <v>949</v>
      </c>
      <c r="G3320">
        <v>2</v>
      </c>
      <c r="H3320">
        <v>18</v>
      </c>
      <c r="I3320" s="25">
        <v>2700</v>
      </c>
      <c r="K3320" t="s">
        <v>828</v>
      </c>
      <c r="L3320" t="s">
        <v>141</v>
      </c>
      <c r="M3320" t="s">
        <v>52</v>
      </c>
      <c r="N3320" t="s">
        <v>40</v>
      </c>
      <c r="O3320">
        <v>59</v>
      </c>
      <c r="Q3320">
        <v>4</v>
      </c>
      <c r="R3320">
        <v>1</v>
      </c>
      <c r="S3320">
        <v>0</v>
      </c>
      <c r="T3320">
        <v>0</v>
      </c>
      <c r="U3320">
        <v>0</v>
      </c>
      <c r="V3320">
        <v>4</v>
      </c>
      <c r="W3320">
        <v>0</v>
      </c>
      <c r="X3320" s="21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128</v>
      </c>
      <c r="AJ3320" t="s">
        <v>54</v>
      </c>
      <c r="AK3320" t="s">
        <v>95</v>
      </c>
      <c r="AP3320" t="s">
        <v>951</v>
      </c>
    </row>
    <row r="3321" spans="1:42">
      <c r="A3321" s="16">
        <v>43804</v>
      </c>
      <c r="B3321">
        <v>4</v>
      </c>
      <c r="C3321">
        <v>977</v>
      </c>
      <c r="D3321">
        <v>14471</v>
      </c>
      <c r="E3321" t="s">
        <v>112</v>
      </c>
      <c r="F3321" t="s">
        <v>949</v>
      </c>
      <c r="G3321">
        <v>2</v>
      </c>
      <c r="H3321">
        <v>19</v>
      </c>
      <c r="I3321" s="25">
        <v>2700</v>
      </c>
      <c r="K3321" t="s">
        <v>828</v>
      </c>
      <c r="L3321" t="s">
        <v>141</v>
      </c>
      <c r="M3321" t="s">
        <v>52</v>
      </c>
      <c r="N3321" t="s">
        <v>40</v>
      </c>
      <c r="O3321">
        <v>50</v>
      </c>
      <c r="Q3321">
        <v>3</v>
      </c>
      <c r="R3321">
        <v>1</v>
      </c>
      <c r="S3321">
        <v>0</v>
      </c>
      <c r="T3321">
        <v>0</v>
      </c>
      <c r="U3321">
        <v>0</v>
      </c>
      <c r="V3321">
        <v>3</v>
      </c>
      <c r="W3321">
        <v>0</v>
      </c>
      <c r="X3321" s="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288</v>
      </c>
      <c r="AJ3321" t="s">
        <v>54</v>
      </c>
      <c r="AK3321" t="s">
        <v>52</v>
      </c>
      <c r="AP3321" t="s">
        <v>951</v>
      </c>
    </row>
    <row r="3322" spans="1:42">
      <c r="A3322" s="16">
        <v>43804</v>
      </c>
      <c r="B3322">
        <v>4</v>
      </c>
      <c r="C3322">
        <v>977</v>
      </c>
      <c r="D3322">
        <v>14471</v>
      </c>
      <c r="E3322" t="s">
        <v>112</v>
      </c>
      <c r="F3322" t="s">
        <v>949</v>
      </c>
      <c r="G3322">
        <v>2</v>
      </c>
      <c r="H3322">
        <v>20</v>
      </c>
      <c r="I3322" s="25">
        <v>0</v>
      </c>
      <c r="K3322" t="s">
        <v>1116</v>
      </c>
      <c r="M3322" t="s">
        <v>95</v>
      </c>
      <c r="N3322" t="s">
        <v>40</v>
      </c>
      <c r="O3322">
        <v>247</v>
      </c>
      <c r="Q3322">
        <v>6</v>
      </c>
      <c r="R3322">
        <v>1</v>
      </c>
      <c r="S3322">
        <v>0</v>
      </c>
      <c r="T3322">
        <v>0</v>
      </c>
      <c r="U3322">
        <v>0</v>
      </c>
      <c r="V3322">
        <v>4</v>
      </c>
      <c r="W3322">
        <v>2</v>
      </c>
      <c r="X3322" s="21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448</v>
      </c>
      <c r="AJ3322" t="s">
        <v>54</v>
      </c>
      <c r="AK3322" t="s">
        <v>95</v>
      </c>
      <c r="AL3322" t="s">
        <v>1117</v>
      </c>
      <c r="AP3322" t="s">
        <v>951</v>
      </c>
    </row>
    <row r="3323" spans="1:42">
      <c r="A3323" s="16">
        <v>43804</v>
      </c>
      <c r="B3323">
        <v>4</v>
      </c>
      <c r="C3323">
        <v>977</v>
      </c>
      <c r="D3323">
        <v>14471</v>
      </c>
      <c r="E3323" t="s">
        <v>112</v>
      </c>
      <c r="F3323" t="s">
        <v>949</v>
      </c>
      <c r="G3323">
        <v>2</v>
      </c>
      <c r="H3323">
        <v>21</v>
      </c>
      <c r="I3323" s="25">
        <v>2600</v>
      </c>
      <c r="K3323" t="s">
        <v>828</v>
      </c>
      <c r="M3323" t="s">
        <v>52</v>
      </c>
      <c r="N3323" t="s">
        <v>40</v>
      </c>
      <c r="O3323">
        <v>19</v>
      </c>
      <c r="Q3323">
        <v>1</v>
      </c>
      <c r="R3323">
        <v>1</v>
      </c>
      <c r="S3323">
        <v>0</v>
      </c>
      <c r="T3323">
        <v>0</v>
      </c>
      <c r="U3323">
        <v>1</v>
      </c>
      <c r="V3323">
        <v>0</v>
      </c>
      <c r="W3323">
        <v>0</v>
      </c>
      <c r="X3323" s="21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32</v>
      </c>
      <c r="AJ3323" t="s">
        <v>54</v>
      </c>
      <c r="AK3323" t="s">
        <v>52</v>
      </c>
      <c r="AP3323" t="s">
        <v>951</v>
      </c>
    </row>
    <row r="3324" spans="1:42">
      <c r="A3324" s="16">
        <v>43804</v>
      </c>
      <c r="B3324">
        <v>4</v>
      </c>
      <c r="C3324">
        <v>977</v>
      </c>
      <c r="D3324">
        <v>14471</v>
      </c>
      <c r="E3324" t="s">
        <v>112</v>
      </c>
      <c r="F3324" t="s">
        <v>949</v>
      </c>
      <c r="G3324">
        <v>2</v>
      </c>
      <c r="H3324">
        <v>22</v>
      </c>
      <c r="I3324" s="25">
        <v>603</v>
      </c>
      <c r="K3324" t="s">
        <v>828</v>
      </c>
      <c r="M3324" t="s">
        <v>52</v>
      </c>
      <c r="N3324" t="s">
        <v>44</v>
      </c>
      <c r="O3324">
        <v>63</v>
      </c>
      <c r="Q3324">
        <v>1</v>
      </c>
      <c r="R3324">
        <v>1</v>
      </c>
      <c r="S3324">
        <v>0</v>
      </c>
      <c r="T3324">
        <v>0</v>
      </c>
      <c r="U3324">
        <v>0</v>
      </c>
      <c r="V3324">
        <v>0</v>
      </c>
      <c r="W3324">
        <v>1</v>
      </c>
      <c r="X3324" s="21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96</v>
      </c>
      <c r="AJ3324" t="s">
        <v>54</v>
      </c>
      <c r="AK3324" t="s">
        <v>52</v>
      </c>
      <c r="AP3324" t="s">
        <v>951</v>
      </c>
    </row>
    <row r="3325" spans="1:42">
      <c r="A3325" s="16">
        <v>43804</v>
      </c>
      <c r="B3325">
        <v>4</v>
      </c>
      <c r="C3325">
        <v>977</v>
      </c>
      <c r="D3325">
        <v>14471</v>
      </c>
      <c r="E3325" t="s">
        <v>112</v>
      </c>
      <c r="F3325" t="s">
        <v>949</v>
      </c>
      <c r="G3325">
        <v>2</v>
      </c>
      <c r="H3325">
        <v>23</v>
      </c>
      <c r="I3325" s="25">
        <v>1000</v>
      </c>
      <c r="K3325" t="s">
        <v>324</v>
      </c>
      <c r="L3325" t="s">
        <v>114</v>
      </c>
      <c r="M3325" t="s">
        <v>52</v>
      </c>
      <c r="N3325" t="s">
        <v>40</v>
      </c>
      <c r="O3325">
        <v>145</v>
      </c>
      <c r="Q3325">
        <v>4</v>
      </c>
      <c r="R3325">
        <v>1</v>
      </c>
      <c r="S3325">
        <v>0</v>
      </c>
      <c r="T3325">
        <v>0</v>
      </c>
      <c r="U3325">
        <v>0</v>
      </c>
      <c r="V3325">
        <v>0</v>
      </c>
      <c r="W3325">
        <v>4</v>
      </c>
      <c r="X3325" s="21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384</v>
      </c>
      <c r="AJ3325" t="s">
        <v>54</v>
      </c>
      <c r="AK3325" t="s">
        <v>95</v>
      </c>
      <c r="AP3325" t="s">
        <v>951</v>
      </c>
    </row>
    <row r="3326" spans="1:42">
      <c r="A3326" s="16">
        <v>43804</v>
      </c>
      <c r="B3326">
        <v>4</v>
      </c>
      <c r="C3326">
        <v>977</v>
      </c>
      <c r="D3326">
        <v>14471</v>
      </c>
      <c r="E3326" t="s">
        <v>112</v>
      </c>
      <c r="F3326" t="s">
        <v>949</v>
      </c>
      <c r="G3326">
        <v>2</v>
      </c>
      <c r="H3326">
        <v>24</v>
      </c>
      <c r="I3326" s="25">
        <v>2112</v>
      </c>
      <c r="K3326" t="s">
        <v>828</v>
      </c>
      <c r="L3326" t="s">
        <v>114</v>
      </c>
      <c r="M3326" t="s">
        <v>52</v>
      </c>
      <c r="N3326" t="s">
        <v>44</v>
      </c>
      <c r="O3326">
        <v>32</v>
      </c>
      <c r="Q3326">
        <v>0</v>
      </c>
      <c r="R3326">
        <v>1</v>
      </c>
      <c r="S3326">
        <v>0</v>
      </c>
      <c r="T3326">
        <v>0</v>
      </c>
      <c r="U3326">
        <v>0</v>
      </c>
      <c r="V3326">
        <v>0</v>
      </c>
      <c r="W3326">
        <v>0</v>
      </c>
      <c r="X3326" s="21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J3326" t="s">
        <v>54</v>
      </c>
      <c r="AK3326" t="s">
        <v>95</v>
      </c>
      <c r="AL3326" t="s">
        <v>1118</v>
      </c>
      <c r="AP3326" t="s">
        <v>951</v>
      </c>
    </row>
    <row r="3327" spans="1:42">
      <c r="A3327" s="16">
        <v>43804</v>
      </c>
      <c r="B3327">
        <v>4</v>
      </c>
      <c r="C3327">
        <v>977</v>
      </c>
      <c r="D3327">
        <v>14471</v>
      </c>
      <c r="E3327" t="s">
        <v>112</v>
      </c>
      <c r="F3327" t="s">
        <v>949</v>
      </c>
      <c r="G3327">
        <v>2</v>
      </c>
      <c r="H3327">
        <v>25</v>
      </c>
      <c r="I3327" s="25">
        <v>2124</v>
      </c>
      <c r="K3327" t="s">
        <v>828</v>
      </c>
      <c r="M3327" t="s">
        <v>52</v>
      </c>
      <c r="N3327" t="s">
        <v>44</v>
      </c>
      <c r="O3327">
        <v>86</v>
      </c>
      <c r="Q3327">
        <v>1</v>
      </c>
      <c r="R3327">
        <v>1</v>
      </c>
      <c r="S3327">
        <v>0</v>
      </c>
      <c r="T3327">
        <v>0</v>
      </c>
      <c r="U3327">
        <v>0</v>
      </c>
      <c r="V3327">
        <v>0</v>
      </c>
      <c r="W3327">
        <v>1</v>
      </c>
      <c r="X3327" s="21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96</v>
      </c>
      <c r="AJ3327" t="s">
        <v>54</v>
      </c>
      <c r="AK3327" t="s">
        <v>95</v>
      </c>
      <c r="AL3327" t="s">
        <v>1119</v>
      </c>
      <c r="AP3327" t="s">
        <v>951</v>
      </c>
    </row>
    <row r="3328" spans="1:42">
      <c r="A3328" s="16">
        <v>43804</v>
      </c>
      <c r="B3328">
        <v>4</v>
      </c>
      <c r="C3328">
        <v>977</v>
      </c>
      <c r="D3328">
        <v>14471</v>
      </c>
      <c r="E3328" t="s">
        <v>112</v>
      </c>
      <c r="F3328" t="s">
        <v>949</v>
      </c>
      <c r="G3328">
        <v>2</v>
      </c>
      <c r="H3328">
        <v>26</v>
      </c>
      <c r="I3328" s="25">
        <v>2140</v>
      </c>
      <c r="K3328" t="s">
        <v>828</v>
      </c>
      <c r="M3328" t="s">
        <v>52</v>
      </c>
      <c r="N3328" t="s">
        <v>44</v>
      </c>
      <c r="O3328">
        <v>79</v>
      </c>
      <c r="Q3328">
        <v>2</v>
      </c>
      <c r="R3328">
        <v>1</v>
      </c>
      <c r="S3328">
        <v>0</v>
      </c>
      <c r="T3328">
        <v>0</v>
      </c>
      <c r="U3328">
        <v>0</v>
      </c>
      <c r="V3328">
        <v>0</v>
      </c>
      <c r="W3328">
        <v>2</v>
      </c>
      <c r="X3328" s="21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192</v>
      </c>
      <c r="AJ3328" t="s">
        <v>54</v>
      </c>
      <c r="AK3328" t="s">
        <v>95</v>
      </c>
      <c r="AP3328" t="s">
        <v>951</v>
      </c>
    </row>
    <row r="3329" spans="1:42">
      <c r="A3329" s="16">
        <v>43804</v>
      </c>
      <c r="B3329">
        <v>4</v>
      </c>
      <c r="C3329">
        <v>977</v>
      </c>
      <c r="D3329">
        <v>14471</v>
      </c>
      <c r="E3329" t="s">
        <v>112</v>
      </c>
      <c r="F3329" t="s">
        <v>949</v>
      </c>
      <c r="G3329">
        <v>2</v>
      </c>
      <c r="H3329">
        <v>27</v>
      </c>
      <c r="I3329" s="25">
        <v>2150</v>
      </c>
      <c r="K3329" t="s">
        <v>828</v>
      </c>
      <c r="M3329" t="s">
        <v>52</v>
      </c>
      <c r="N3329" t="s">
        <v>44</v>
      </c>
      <c r="O3329">
        <v>62</v>
      </c>
      <c r="Q3329">
        <v>2</v>
      </c>
      <c r="R3329">
        <v>1</v>
      </c>
      <c r="S3329">
        <v>0</v>
      </c>
      <c r="T3329">
        <v>0</v>
      </c>
      <c r="U3329">
        <v>0</v>
      </c>
      <c r="V3329">
        <v>0</v>
      </c>
      <c r="W3329">
        <v>2</v>
      </c>
      <c r="X3329" s="21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192</v>
      </c>
      <c r="AJ3329" t="s">
        <v>54</v>
      </c>
      <c r="AK3329" t="s">
        <v>95</v>
      </c>
      <c r="AL3329" t="s">
        <v>1120</v>
      </c>
      <c r="AP3329" t="s">
        <v>951</v>
      </c>
    </row>
    <row r="3330" spans="1:42">
      <c r="A3330" s="16">
        <v>43804</v>
      </c>
      <c r="B3330">
        <v>4</v>
      </c>
      <c r="C3330">
        <v>977</v>
      </c>
      <c r="D3330">
        <v>14471</v>
      </c>
      <c r="E3330" t="s">
        <v>112</v>
      </c>
      <c r="F3330" t="s">
        <v>949</v>
      </c>
      <c r="G3330">
        <v>2</v>
      </c>
      <c r="H3330">
        <v>28</v>
      </c>
      <c r="I3330" s="25" t="s">
        <v>1121</v>
      </c>
      <c r="K3330" t="s">
        <v>1122</v>
      </c>
      <c r="M3330" t="s">
        <v>52</v>
      </c>
      <c r="N3330" t="s">
        <v>44</v>
      </c>
      <c r="O3330">
        <v>105</v>
      </c>
      <c r="Q3330">
        <v>2</v>
      </c>
      <c r="R3330">
        <v>1</v>
      </c>
      <c r="S3330">
        <v>0</v>
      </c>
      <c r="T3330">
        <v>0</v>
      </c>
      <c r="U3330">
        <v>0</v>
      </c>
      <c r="V3330">
        <v>0</v>
      </c>
      <c r="W3330">
        <v>2</v>
      </c>
      <c r="X3330" s="21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192</v>
      </c>
      <c r="AJ3330" t="s">
        <v>54</v>
      </c>
      <c r="AK3330" t="s">
        <v>95</v>
      </c>
      <c r="AP3330" t="s">
        <v>951</v>
      </c>
    </row>
    <row r="3331" spans="1:42">
      <c r="A3331" s="16">
        <v>43804</v>
      </c>
      <c r="B3331">
        <v>4</v>
      </c>
      <c r="C3331">
        <v>977</v>
      </c>
      <c r="D3331">
        <v>14471</v>
      </c>
      <c r="E3331" t="s">
        <v>112</v>
      </c>
      <c r="F3331" t="s">
        <v>949</v>
      </c>
      <c r="G3331">
        <v>2</v>
      </c>
      <c r="H3331">
        <v>29</v>
      </c>
      <c r="I3331" s="25">
        <v>700</v>
      </c>
      <c r="K3331" t="s">
        <v>1122</v>
      </c>
      <c r="L3331" t="s">
        <v>141</v>
      </c>
      <c r="M3331" t="s">
        <v>52</v>
      </c>
      <c r="N3331" t="s">
        <v>40</v>
      </c>
      <c r="O3331">
        <v>21</v>
      </c>
      <c r="Q3331">
        <v>1</v>
      </c>
      <c r="R3331">
        <v>1</v>
      </c>
      <c r="S3331">
        <v>0</v>
      </c>
      <c r="T3331">
        <v>0</v>
      </c>
      <c r="U3331">
        <v>0</v>
      </c>
      <c r="V3331">
        <v>0</v>
      </c>
      <c r="W3331">
        <v>1</v>
      </c>
      <c r="X3331" s="2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96</v>
      </c>
      <c r="AJ3331" t="s">
        <v>54</v>
      </c>
      <c r="AK3331" t="s">
        <v>95</v>
      </c>
      <c r="AP3331" t="s">
        <v>951</v>
      </c>
    </row>
    <row r="3332" spans="1:42">
      <c r="A3332" s="16">
        <v>43804</v>
      </c>
      <c r="B3332">
        <v>4</v>
      </c>
      <c r="C3332">
        <v>977</v>
      </c>
      <c r="D3332">
        <v>14471</v>
      </c>
      <c r="E3332" t="s">
        <v>112</v>
      </c>
      <c r="F3332" t="s">
        <v>949</v>
      </c>
      <c r="G3332">
        <v>2</v>
      </c>
      <c r="H3332">
        <v>30</v>
      </c>
      <c r="I3332" s="25">
        <v>700</v>
      </c>
      <c r="K3332" t="s">
        <v>1122</v>
      </c>
      <c r="L3332" t="s">
        <v>141</v>
      </c>
      <c r="M3332" t="s">
        <v>52</v>
      </c>
      <c r="N3332" t="s">
        <v>40</v>
      </c>
      <c r="O3332">
        <v>43</v>
      </c>
      <c r="Q3332">
        <v>3</v>
      </c>
      <c r="R3332">
        <v>1</v>
      </c>
      <c r="S3332">
        <v>0</v>
      </c>
      <c r="T3332">
        <v>0</v>
      </c>
      <c r="U3332">
        <v>3</v>
      </c>
      <c r="V3332">
        <v>0</v>
      </c>
      <c r="W3332">
        <v>0</v>
      </c>
      <c r="X3332" s="21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96</v>
      </c>
      <c r="AJ3332" t="s">
        <v>54</v>
      </c>
      <c r="AK3332" t="s">
        <v>52</v>
      </c>
      <c r="AP3332" t="s">
        <v>951</v>
      </c>
    </row>
    <row r="3333" spans="1:42">
      <c r="A3333" s="16">
        <v>43804</v>
      </c>
      <c r="B3333">
        <v>4</v>
      </c>
      <c r="C3333">
        <v>977</v>
      </c>
      <c r="D3333">
        <v>14471</v>
      </c>
      <c r="E3333" t="s">
        <v>112</v>
      </c>
      <c r="F3333" t="s">
        <v>949</v>
      </c>
      <c r="G3333">
        <v>2</v>
      </c>
      <c r="H3333">
        <v>31</v>
      </c>
      <c r="I3333" s="25">
        <v>700</v>
      </c>
      <c r="K3333" t="s">
        <v>1122</v>
      </c>
      <c r="L3333" t="s">
        <v>141</v>
      </c>
      <c r="M3333" t="s">
        <v>52</v>
      </c>
      <c r="N3333" t="s">
        <v>42</v>
      </c>
      <c r="O3333">
        <v>43</v>
      </c>
      <c r="Q3333">
        <v>1</v>
      </c>
      <c r="R3333">
        <v>1</v>
      </c>
      <c r="S3333">
        <v>0</v>
      </c>
      <c r="T3333">
        <v>0</v>
      </c>
      <c r="U3333">
        <v>1</v>
      </c>
      <c r="V3333">
        <v>0</v>
      </c>
      <c r="W3333">
        <v>0</v>
      </c>
      <c r="X3333" s="21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32</v>
      </c>
      <c r="AJ3333" t="s">
        <v>54</v>
      </c>
      <c r="AK3333" t="s">
        <v>52</v>
      </c>
      <c r="AL3333" t="s">
        <v>1123</v>
      </c>
      <c r="AP3333" t="s">
        <v>951</v>
      </c>
    </row>
    <row r="3334" spans="1:42">
      <c r="A3334" s="16">
        <v>43804</v>
      </c>
      <c r="B3334">
        <v>4</v>
      </c>
      <c r="C3334">
        <v>977</v>
      </c>
      <c r="D3334">
        <v>14471</v>
      </c>
      <c r="E3334" t="s">
        <v>112</v>
      </c>
      <c r="F3334" t="s">
        <v>949</v>
      </c>
      <c r="G3334">
        <v>2</v>
      </c>
      <c r="H3334">
        <v>32</v>
      </c>
      <c r="I3334" s="25">
        <v>700</v>
      </c>
      <c r="K3334" t="s">
        <v>1122</v>
      </c>
      <c r="L3334" t="s">
        <v>141</v>
      </c>
      <c r="M3334" t="s">
        <v>52</v>
      </c>
      <c r="N3334" t="s">
        <v>40</v>
      </c>
      <c r="O3334">
        <v>82</v>
      </c>
      <c r="Q3334">
        <v>5</v>
      </c>
      <c r="R3334">
        <v>1</v>
      </c>
      <c r="S3334">
        <v>0</v>
      </c>
      <c r="T3334">
        <v>0</v>
      </c>
      <c r="U3334">
        <v>3</v>
      </c>
      <c r="V3334">
        <v>2</v>
      </c>
      <c r="W3334">
        <v>0</v>
      </c>
      <c r="X3334" s="21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224</v>
      </c>
      <c r="AJ3334" t="s">
        <v>54</v>
      </c>
      <c r="AK3334" t="s">
        <v>52</v>
      </c>
      <c r="AP3334" t="s">
        <v>951</v>
      </c>
    </row>
    <row r="3335" spans="1:42">
      <c r="A3335" s="16">
        <v>43804</v>
      </c>
      <c r="B3335">
        <v>4</v>
      </c>
      <c r="C3335">
        <v>977</v>
      </c>
      <c r="D3335">
        <v>14471</v>
      </c>
      <c r="E3335" t="s">
        <v>112</v>
      </c>
      <c r="F3335" t="s">
        <v>949</v>
      </c>
      <c r="G3335">
        <v>2</v>
      </c>
      <c r="H3335">
        <v>33</v>
      </c>
      <c r="I3335" s="25">
        <v>645</v>
      </c>
      <c r="K3335" t="s">
        <v>1122</v>
      </c>
      <c r="L3335" t="s">
        <v>141</v>
      </c>
      <c r="M3335" t="s">
        <v>52</v>
      </c>
      <c r="N3335" t="s">
        <v>44</v>
      </c>
      <c r="O3335">
        <v>67</v>
      </c>
      <c r="Q3335">
        <v>1</v>
      </c>
      <c r="R3335">
        <v>1</v>
      </c>
      <c r="S3335">
        <v>0</v>
      </c>
      <c r="T3335">
        <v>0</v>
      </c>
      <c r="U3335">
        <v>0</v>
      </c>
      <c r="V3335">
        <v>0</v>
      </c>
      <c r="W3335">
        <v>1</v>
      </c>
      <c r="X3335" s="21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67</v>
      </c>
      <c r="AJ3335" t="s">
        <v>54</v>
      </c>
      <c r="AK3335" t="s">
        <v>52</v>
      </c>
      <c r="AL3335" t="s">
        <v>1124</v>
      </c>
      <c r="AP3335" t="s">
        <v>951</v>
      </c>
    </row>
    <row r="3336" spans="1:42">
      <c r="A3336" s="16">
        <v>43804</v>
      </c>
      <c r="B3336">
        <v>4</v>
      </c>
      <c r="C3336">
        <v>977</v>
      </c>
      <c r="D3336">
        <v>14471</v>
      </c>
      <c r="E3336" t="s">
        <v>112</v>
      </c>
      <c r="F3336" t="s">
        <v>949</v>
      </c>
      <c r="G3336">
        <v>2</v>
      </c>
      <c r="H3336">
        <v>34</v>
      </c>
      <c r="I3336" s="25">
        <v>600</v>
      </c>
      <c r="K3336" t="s">
        <v>1122</v>
      </c>
      <c r="L3336" t="s">
        <v>141</v>
      </c>
      <c r="M3336" t="s">
        <v>52</v>
      </c>
      <c r="N3336" t="s">
        <v>40</v>
      </c>
      <c r="O3336">
        <v>19</v>
      </c>
      <c r="Q3336">
        <v>1</v>
      </c>
      <c r="R3336">
        <v>1</v>
      </c>
      <c r="S3336">
        <v>0</v>
      </c>
      <c r="T3336">
        <v>0</v>
      </c>
      <c r="U3336">
        <v>0</v>
      </c>
      <c r="V3336">
        <v>0</v>
      </c>
      <c r="W3336">
        <v>1</v>
      </c>
      <c r="X3336" s="21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96</v>
      </c>
      <c r="AJ3336" t="s">
        <v>54</v>
      </c>
      <c r="AK3336" t="s">
        <v>95</v>
      </c>
      <c r="AP3336" t="s">
        <v>951</v>
      </c>
    </row>
    <row r="3337" spans="1:42">
      <c r="A3337" s="16">
        <v>43804</v>
      </c>
      <c r="B3337">
        <v>4</v>
      </c>
      <c r="C3337">
        <v>977</v>
      </c>
      <c r="D3337">
        <v>14471</v>
      </c>
      <c r="E3337" t="s">
        <v>112</v>
      </c>
      <c r="F3337" t="s">
        <v>949</v>
      </c>
      <c r="G3337">
        <v>2</v>
      </c>
      <c r="H3337">
        <v>35</v>
      </c>
      <c r="I3337" s="25">
        <v>1175</v>
      </c>
      <c r="K3337" t="s">
        <v>1115</v>
      </c>
      <c r="M3337" t="s">
        <v>52</v>
      </c>
      <c r="N3337" t="s">
        <v>44</v>
      </c>
      <c r="O3337">
        <v>65</v>
      </c>
      <c r="Q3337">
        <v>1</v>
      </c>
      <c r="R3337">
        <v>1</v>
      </c>
      <c r="S3337">
        <v>0</v>
      </c>
      <c r="T3337">
        <v>0</v>
      </c>
      <c r="U3337">
        <v>0</v>
      </c>
      <c r="V3337">
        <v>0</v>
      </c>
      <c r="W3337">
        <v>1</v>
      </c>
      <c r="X3337" s="21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96</v>
      </c>
      <c r="AJ3337" t="s">
        <v>51</v>
      </c>
      <c r="AK3337" t="s">
        <v>95</v>
      </c>
      <c r="AP3337" t="s">
        <v>951</v>
      </c>
    </row>
    <row r="3338" spans="1:42">
      <c r="A3338" s="16">
        <v>43804</v>
      </c>
      <c r="B3338">
        <v>4</v>
      </c>
      <c r="C3338">
        <v>977</v>
      </c>
      <c r="D3338">
        <v>14471</v>
      </c>
      <c r="E3338" t="s">
        <v>112</v>
      </c>
      <c r="F3338" t="s">
        <v>949</v>
      </c>
      <c r="G3338">
        <v>2</v>
      </c>
      <c r="H3338">
        <v>36</v>
      </c>
      <c r="I3338" s="25">
        <v>500</v>
      </c>
      <c r="K3338" t="s">
        <v>1122</v>
      </c>
      <c r="L3338" t="s">
        <v>141</v>
      </c>
      <c r="M3338" t="s">
        <v>52</v>
      </c>
      <c r="N3338" t="s">
        <v>40</v>
      </c>
      <c r="O3338">
        <v>23</v>
      </c>
      <c r="Q3338">
        <v>1</v>
      </c>
      <c r="R3338">
        <v>1</v>
      </c>
      <c r="S3338">
        <v>0</v>
      </c>
      <c r="T3338">
        <v>0</v>
      </c>
      <c r="U3338">
        <v>0</v>
      </c>
      <c r="V3338">
        <v>0</v>
      </c>
      <c r="W3338">
        <v>1</v>
      </c>
      <c r="X3338" s="21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96</v>
      </c>
      <c r="AJ3338" t="s">
        <v>51</v>
      </c>
      <c r="AK3338" t="s">
        <v>52</v>
      </c>
      <c r="AP3338" t="s">
        <v>951</v>
      </c>
    </row>
    <row r="3339" spans="1:42">
      <c r="A3339" s="16">
        <v>43804</v>
      </c>
      <c r="B3339">
        <v>4</v>
      </c>
      <c r="C3339">
        <v>977</v>
      </c>
      <c r="D3339">
        <v>14471</v>
      </c>
      <c r="E3339" t="s">
        <v>112</v>
      </c>
      <c r="F3339" t="s">
        <v>949</v>
      </c>
      <c r="G3339">
        <v>2</v>
      </c>
      <c r="H3339">
        <v>37</v>
      </c>
      <c r="I3339" s="25">
        <v>500</v>
      </c>
      <c r="K3339" t="s">
        <v>1122</v>
      </c>
      <c r="L3339" t="s">
        <v>141</v>
      </c>
      <c r="M3339" t="s">
        <v>52</v>
      </c>
      <c r="N3339" t="s">
        <v>40</v>
      </c>
      <c r="O3339">
        <v>30</v>
      </c>
      <c r="Q3339">
        <v>1</v>
      </c>
      <c r="R3339">
        <v>1</v>
      </c>
      <c r="S3339">
        <v>0</v>
      </c>
      <c r="T3339">
        <v>0</v>
      </c>
      <c r="U3339">
        <v>0</v>
      </c>
      <c r="V3339">
        <v>0</v>
      </c>
      <c r="W3339">
        <v>1</v>
      </c>
      <c r="X3339" s="21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96</v>
      </c>
      <c r="AJ3339" t="s">
        <v>51</v>
      </c>
      <c r="AK3339" t="s">
        <v>52</v>
      </c>
      <c r="AP3339" t="s">
        <v>951</v>
      </c>
    </row>
    <row r="3340" spans="1:42">
      <c r="A3340" s="16">
        <v>43804</v>
      </c>
      <c r="B3340">
        <v>4</v>
      </c>
      <c r="C3340">
        <v>977</v>
      </c>
      <c r="D3340">
        <v>14471</v>
      </c>
      <c r="E3340" t="s">
        <v>112</v>
      </c>
      <c r="F3340" t="s">
        <v>949</v>
      </c>
      <c r="G3340">
        <v>2</v>
      </c>
      <c r="H3340">
        <v>38</v>
      </c>
      <c r="I3340" s="25">
        <v>500</v>
      </c>
      <c r="K3340" t="s">
        <v>1122</v>
      </c>
      <c r="L3340" t="s">
        <v>141</v>
      </c>
      <c r="M3340" t="s">
        <v>52</v>
      </c>
      <c r="N3340" t="s">
        <v>40</v>
      </c>
      <c r="O3340">
        <v>57</v>
      </c>
      <c r="Q3340">
        <v>2</v>
      </c>
      <c r="R3340">
        <v>1</v>
      </c>
      <c r="S3340">
        <v>0</v>
      </c>
      <c r="T3340">
        <v>0</v>
      </c>
      <c r="U3340">
        <v>0</v>
      </c>
      <c r="V3340">
        <v>0</v>
      </c>
      <c r="W3340">
        <v>2</v>
      </c>
      <c r="X3340" s="21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192</v>
      </c>
      <c r="AJ3340" t="s">
        <v>51</v>
      </c>
      <c r="AK3340" t="s">
        <v>95</v>
      </c>
      <c r="AP3340" t="s">
        <v>951</v>
      </c>
    </row>
    <row r="3341" spans="1:42">
      <c r="A3341" s="16">
        <v>43804</v>
      </c>
      <c r="B3341">
        <v>4</v>
      </c>
      <c r="C3341">
        <v>977</v>
      </c>
      <c r="D3341">
        <v>14471</v>
      </c>
      <c r="E3341" t="s">
        <v>112</v>
      </c>
      <c r="F3341" t="s">
        <v>949</v>
      </c>
      <c r="G3341">
        <v>2</v>
      </c>
      <c r="H3341">
        <v>39</v>
      </c>
      <c r="I3341" s="25">
        <v>500</v>
      </c>
      <c r="K3341" t="s">
        <v>1125</v>
      </c>
      <c r="M3341" t="s">
        <v>52</v>
      </c>
      <c r="N3341" t="s">
        <v>40</v>
      </c>
      <c r="O3341">
        <v>25</v>
      </c>
      <c r="Q3341">
        <v>1</v>
      </c>
      <c r="R3341">
        <v>1</v>
      </c>
      <c r="S3341">
        <v>0</v>
      </c>
      <c r="T3341">
        <v>0</v>
      </c>
      <c r="U3341">
        <v>1</v>
      </c>
      <c r="V3341">
        <v>0</v>
      </c>
      <c r="W3341">
        <v>0</v>
      </c>
      <c r="X3341" s="2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32</v>
      </c>
      <c r="AJ3341" t="s">
        <v>51</v>
      </c>
      <c r="AK3341" t="s">
        <v>95</v>
      </c>
      <c r="AP3341" t="s">
        <v>951</v>
      </c>
    </row>
    <row r="3342" spans="1:42">
      <c r="A3342" s="16">
        <v>43804</v>
      </c>
      <c r="B3342">
        <v>4</v>
      </c>
      <c r="C3342">
        <v>977</v>
      </c>
      <c r="D3342">
        <v>14471</v>
      </c>
      <c r="E3342" t="s">
        <v>112</v>
      </c>
      <c r="F3342" t="s">
        <v>949</v>
      </c>
      <c r="G3342">
        <v>2</v>
      </c>
      <c r="H3342">
        <v>40</v>
      </c>
      <c r="I3342" s="25">
        <v>225</v>
      </c>
      <c r="K3342" t="s">
        <v>828</v>
      </c>
      <c r="M3342" t="s">
        <v>52</v>
      </c>
      <c r="N3342" t="s">
        <v>44</v>
      </c>
      <c r="O3342">
        <v>69</v>
      </c>
      <c r="Q3342">
        <v>1</v>
      </c>
      <c r="R3342">
        <v>1</v>
      </c>
      <c r="S3342">
        <v>0</v>
      </c>
      <c r="T3342">
        <v>0</v>
      </c>
      <c r="U3342">
        <v>0</v>
      </c>
      <c r="V3342">
        <v>0</v>
      </c>
      <c r="W3342">
        <v>1</v>
      </c>
      <c r="X3342" s="21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96</v>
      </c>
      <c r="AJ3342" t="s">
        <v>51</v>
      </c>
      <c r="AK3342" t="s">
        <v>95</v>
      </c>
      <c r="AP3342" t="s">
        <v>951</v>
      </c>
    </row>
    <row r="3343" spans="1:42">
      <c r="A3343" s="16">
        <v>43804</v>
      </c>
      <c r="B3343">
        <v>4</v>
      </c>
      <c r="C3343">
        <v>977</v>
      </c>
      <c r="D3343">
        <v>14471</v>
      </c>
      <c r="E3343" t="s">
        <v>112</v>
      </c>
      <c r="F3343" t="s">
        <v>949</v>
      </c>
      <c r="G3343">
        <v>2</v>
      </c>
      <c r="H3343">
        <v>41</v>
      </c>
      <c r="I3343" s="25">
        <v>400</v>
      </c>
      <c r="K3343" t="s">
        <v>570</v>
      </c>
      <c r="L3343" t="s">
        <v>141</v>
      </c>
      <c r="M3343" t="s">
        <v>52</v>
      </c>
      <c r="N3343" t="s">
        <v>40</v>
      </c>
      <c r="O3343">
        <v>153</v>
      </c>
      <c r="Q3343">
        <v>6</v>
      </c>
      <c r="R3343">
        <v>1</v>
      </c>
      <c r="S3343">
        <v>0</v>
      </c>
      <c r="T3343">
        <v>0</v>
      </c>
      <c r="U3343">
        <v>0</v>
      </c>
      <c r="V3343">
        <v>0</v>
      </c>
      <c r="W3343">
        <v>6</v>
      </c>
      <c r="X3343" s="21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576</v>
      </c>
      <c r="AJ3343" t="s">
        <v>51</v>
      </c>
      <c r="AK3343" t="s">
        <v>95</v>
      </c>
      <c r="AP3343" t="s">
        <v>951</v>
      </c>
    </row>
    <row r="3344" spans="1:42">
      <c r="A3344" s="16">
        <v>43804</v>
      </c>
      <c r="B3344">
        <v>4</v>
      </c>
      <c r="C3344">
        <v>977</v>
      </c>
      <c r="D3344">
        <v>14471</v>
      </c>
      <c r="E3344" t="s">
        <v>112</v>
      </c>
      <c r="F3344" t="s">
        <v>949</v>
      </c>
      <c r="G3344">
        <v>2</v>
      </c>
      <c r="H3344">
        <v>42</v>
      </c>
      <c r="I3344" s="25">
        <v>600</v>
      </c>
      <c r="K3344" t="s">
        <v>1122</v>
      </c>
      <c r="L3344" t="s">
        <v>114</v>
      </c>
      <c r="M3344" t="s">
        <v>52</v>
      </c>
      <c r="N3344" t="s">
        <v>40</v>
      </c>
      <c r="O3344">
        <v>33</v>
      </c>
      <c r="Q3344">
        <v>1</v>
      </c>
      <c r="R3344">
        <v>1</v>
      </c>
      <c r="S3344">
        <v>0</v>
      </c>
      <c r="T3344">
        <v>0</v>
      </c>
      <c r="U3344">
        <v>0</v>
      </c>
      <c r="V3344">
        <v>0</v>
      </c>
      <c r="W3344">
        <v>1</v>
      </c>
      <c r="X3344" s="21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96</v>
      </c>
      <c r="AJ3344" t="s">
        <v>54</v>
      </c>
      <c r="AK3344" t="s">
        <v>95</v>
      </c>
      <c r="AP3344" t="s">
        <v>951</v>
      </c>
    </row>
    <row r="3345" spans="1:42">
      <c r="A3345" s="16">
        <v>43804</v>
      </c>
      <c r="B3345">
        <v>4</v>
      </c>
      <c r="C3345">
        <v>977</v>
      </c>
      <c r="D3345">
        <v>14471</v>
      </c>
      <c r="E3345" t="s">
        <v>112</v>
      </c>
      <c r="F3345" t="s">
        <v>949</v>
      </c>
      <c r="G3345">
        <v>2</v>
      </c>
      <c r="H3345">
        <v>43</v>
      </c>
      <c r="I3345" s="25">
        <v>666</v>
      </c>
      <c r="K3345" t="s">
        <v>1122</v>
      </c>
      <c r="M3345" t="s">
        <v>52</v>
      </c>
      <c r="N3345" t="s">
        <v>44</v>
      </c>
      <c r="O3345">
        <v>49</v>
      </c>
      <c r="Q3345">
        <v>2</v>
      </c>
      <c r="R3345">
        <v>1</v>
      </c>
      <c r="S3345">
        <v>0</v>
      </c>
      <c r="T3345">
        <v>0</v>
      </c>
      <c r="U3345">
        <v>1</v>
      </c>
      <c r="V3345">
        <v>1</v>
      </c>
      <c r="W3345">
        <v>0</v>
      </c>
      <c r="X3345" s="21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96</v>
      </c>
      <c r="AJ3345" t="s">
        <v>54</v>
      </c>
      <c r="AK3345" t="s">
        <v>95</v>
      </c>
      <c r="AP3345" t="s">
        <v>951</v>
      </c>
    </row>
    <row r="3346" spans="1:42">
      <c r="A3346" s="16">
        <v>43804</v>
      </c>
      <c r="B3346">
        <v>4</v>
      </c>
      <c r="C3346">
        <v>977</v>
      </c>
      <c r="D3346">
        <v>14471</v>
      </c>
      <c r="E3346" t="s">
        <v>112</v>
      </c>
      <c r="F3346" t="s">
        <v>949</v>
      </c>
      <c r="G3346">
        <v>2</v>
      </c>
      <c r="H3346">
        <v>44</v>
      </c>
      <c r="I3346" s="25">
        <v>714</v>
      </c>
      <c r="K3346" t="s">
        <v>1122</v>
      </c>
      <c r="M3346" t="s">
        <v>52</v>
      </c>
      <c r="N3346" t="s">
        <v>44</v>
      </c>
      <c r="O3346">
        <v>69</v>
      </c>
      <c r="Q3346">
        <v>2</v>
      </c>
      <c r="R3346">
        <v>1</v>
      </c>
      <c r="S3346">
        <v>0</v>
      </c>
      <c r="T3346">
        <v>0</v>
      </c>
      <c r="U3346">
        <v>0</v>
      </c>
      <c r="V3346">
        <v>0</v>
      </c>
      <c r="W3346">
        <v>2</v>
      </c>
      <c r="X3346" s="21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192</v>
      </c>
      <c r="AJ3346" t="s">
        <v>54</v>
      </c>
      <c r="AK3346" t="s">
        <v>95</v>
      </c>
      <c r="AL3346" t="s">
        <v>1126</v>
      </c>
      <c r="AP3346" t="s">
        <v>951</v>
      </c>
    </row>
    <row r="3347" spans="1:42">
      <c r="A3347" s="16">
        <v>43804</v>
      </c>
      <c r="B3347">
        <v>4</v>
      </c>
      <c r="C3347">
        <v>977</v>
      </c>
      <c r="D3347">
        <v>14471</v>
      </c>
      <c r="E3347" t="s">
        <v>112</v>
      </c>
      <c r="F3347" t="s">
        <v>949</v>
      </c>
      <c r="G3347">
        <v>2</v>
      </c>
      <c r="H3347">
        <v>45</v>
      </c>
      <c r="I3347" s="25">
        <v>700</v>
      </c>
      <c r="K3347" t="s">
        <v>1122</v>
      </c>
      <c r="L3347" t="s">
        <v>114</v>
      </c>
      <c r="M3347" t="s">
        <v>52</v>
      </c>
      <c r="N3347" t="s">
        <v>40</v>
      </c>
      <c r="O3347">
        <v>35</v>
      </c>
      <c r="Q3347">
        <v>2</v>
      </c>
      <c r="R3347">
        <v>1</v>
      </c>
      <c r="S3347">
        <v>0</v>
      </c>
      <c r="T3347">
        <v>0</v>
      </c>
      <c r="U3347">
        <v>0</v>
      </c>
      <c r="V3347">
        <v>0</v>
      </c>
      <c r="W3347">
        <v>2</v>
      </c>
      <c r="X3347" s="21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192</v>
      </c>
      <c r="AJ3347" t="s">
        <v>54</v>
      </c>
      <c r="AK3347" t="s">
        <v>95</v>
      </c>
      <c r="AP3347" t="s">
        <v>951</v>
      </c>
    </row>
    <row r="3348" spans="1:42">
      <c r="A3348" s="16">
        <v>43804</v>
      </c>
      <c r="B3348">
        <v>4</v>
      </c>
      <c r="C3348">
        <v>977</v>
      </c>
      <c r="D3348">
        <v>14471</v>
      </c>
      <c r="E3348" t="s">
        <v>112</v>
      </c>
      <c r="F3348" t="s">
        <v>949</v>
      </c>
      <c r="G3348">
        <v>2</v>
      </c>
      <c r="H3348">
        <v>46</v>
      </c>
      <c r="I3348" s="25">
        <v>700</v>
      </c>
      <c r="K3348" t="s">
        <v>1122</v>
      </c>
      <c r="L3348" t="s">
        <v>114</v>
      </c>
      <c r="M3348" t="s">
        <v>52</v>
      </c>
      <c r="N3348" t="s">
        <v>40</v>
      </c>
      <c r="O3348">
        <v>61</v>
      </c>
      <c r="Q3348">
        <v>3</v>
      </c>
      <c r="R3348">
        <v>1</v>
      </c>
      <c r="S3348">
        <v>0</v>
      </c>
      <c r="T3348">
        <v>0</v>
      </c>
      <c r="U3348">
        <v>1</v>
      </c>
      <c r="V3348">
        <v>1</v>
      </c>
      <c r="W3348">
        <v>1</v>
      </c>
      <c r="X3348" s="21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2</v>
      </c>
      <c r="AG3348">
        <v>0</v>
      </c>
      <c r="AH3348">
        <v>192</v>
      </c>
      <c r="AJ3348" t="s">
        <v>54</v>
      </c>
      <c r="AK3348" t="s">
        <v>95</v>
      </c>
      <c r="AP3348" t="s">
        <v>951</v>
      </c>
    </row>
    <row r="3349" spans="1:42">
      <c r="A3349" s="16">
        <v>43804</v>
      </c>
      <c r="B3349">
        <v>4</v>
      </c>
      <c r="C3349">
        <v>977</v>
      </c>
      <c r="D3349">
        <v>14471</v>
      </c>
      <c r="E3349" t="s">
        <v>112</v>
      </c>
      <c r="F3349" t="s">
        <v>949</v>
      </c>
      <c r="G3349">
        <v>2</v>
      </c>
      <c r="H3349">
        <v>47</v>
      </c>
      <c r="I3349" s="25">
        <v>700</v>
      </c>
      <c r="K3349" t="s">
        <v>1122</v>
      </c>
      <c r="L3349" t="s">
        <v>114</v>
      </c>
      <c r="M3349" t="s">
        <v>52</v>
      </c>
      <c r="N3349" t="s">
        <v>40</v>
      </c>
      <c r="O3349">
        <v>22</v>
      </c>
      <c r="Q3349">
        <v>1</v>
      </c>
      <c r="R3349">
        <v>1</v>
      </c>
      <c r="S3349">
        <v>0</v>
      </c>
      <c r="T3349">
        <v>0</v>
      </c>
      <c r="U3349">
        <v>0</v>
      </c>
      <c r="V3349">
        <v>0</v>
      </c>
      <c r="W3349">
        <v>1</v>
      </c>
      <c r="X3349" s="21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96</v>
      </c>
      <c r="AJ3349" t="s">
        <v>54</v>
      </c>
      <c r="AK3349" t="s">
        <v>95</v>
      </c>
      <c r="AP3349" t="s">
        <v>951</v>
      </c>
    </row>
    <row r="3350" spans="1:42">
      <c r="A3350" s="16">
        <v>43804</v>
      </c>
      <c r="B3350">
        <v>4</v>
      </c>
      <c r="C3350">
        <v>977</v>
      </c>
      <c r="D3350">
        <v>14471</v>
      </c>
      <c r="E3350" t="s">
        <v>112</v>
      </c>
      <c r="F3350" t="s">
        <v>949</v>
      </c>
      <c r="G3350">
        <v>2</v>
      </c>
      <c r="H3350">
        <v>48</v>
      </c>
      <c r="I3350" s="25">
        <v>700</v>
      </c>
      <c r="K3350" t="s">
        <v>1122</v>
      </c>
      <c r="L3350" t="s">
        <v>114</v>
      </c>
      <c r="M3350" t="s">
        <v>52</v>
      </c>
      <c r="N3350" t="s">
        <v>40</v>
      </c>
      <c r="O3350">
        <v>88</v>
      </c>
      <c r="Q3350">
        <v>4</v>
      </c>
      <c r="R3350">
        <v>1</v>
      </c>
      <c r="S3350">
        <v>0</v>
      </c>
      <c r="T3350">
        <v>0</v>
      </c>
      <c r="U3350">
        <v>0</v>
      </c>
      <c r="V3350">
        <v>0</v>
      </c>
      <c r="W3350">
        <v>4</v>
      </c>
      <c r="X3350" s="21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384</v>
      </c>
      <c r="AJ3350" t="s">
        <v>54</v>
      </c>
      <c r="AK3350" t="s">
        <v>95</v>
      </c>
      <c r="AP3350" t="s">
        <v>951</v>
      </c>
    </row>
    <row r="3351" spans="1:42">
      <c r="A3351" s="16">
        <v>43804</v>
      </c>
      <c r="B3351">
        <v>4</v>
      </c>
      <c r="C3351">
        <v>977</v>
      </c>
      <c r="D3351">
        <v>14471</v>
      </c>
      <c r="E3351" t="s">
        <v>112</v>
      </c>
      <c r="F3351" t="s">
        <v>949</v>
      </c>
      <c r="G3351">
        <v>2</v>
      </c>
      <c r="H3351">
        <v>49</v>
      </c>
      <c r="I3351" s="25">
        <v>700</v>
      </c>
      <c r="K3351" t="s">
        <v>1122</v>
      </c>
      <c r="L3351" t="s">
        <v>114</v>
      </c>
      <c r="M3351" t="s">
        <v>52</v>
      </c>
      <c r="N3351" t="s">
        <v>40</v>
      </c>
      <c r="O3351">
        <v>19</v>
      </c>
      <c r="Q3351">
        <v>1</v>
      </c>
      <c r="R3351">
        <v>1</v>
      </c>
      <c r="S3351">
        <v>0</v>
      </c>
      <c r="T3351">
        <v>0</v>
      </c>
      <c r="U3351">
        <v>0</v>
      </c>
      <c r="V3351">
        <v>0</v>
      </c>
      <c r="W3351">
        <v>1</v>
      </c>
      <c r="X3351" s="2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96</v>
      </c>
      <c r="AJ3351" t="s">
        <v>54</v>
      </c>
      <c r="AK3351" t="s">
        <v>95</v>
      </c>
      <c r="AP3351" t="s">
        <v>951</v>
      </c>
    </row>
    <row r="3352" spans="1:42">
      <c r="A3352" s="16">
        <v>43804</v>
      </c>
      <c r="B3352">
        <v>4</v>
      </c>
      <c r="C3352">
        <v>977</v>
      </c>
      <c r="D3352">
        <v>14471</v>
      </c>
      <c r="E3352" t="s">
        <v>112</v>
      </c>
      <c r="F3352" t="s">
        <v>949</v>
      </c>
      <c r="G3352">
        <v>2</v>
      </c>
      <c r="H3352">
        <v>50</v>
      </c>
      <c r="I3352" s="25">
        <v>800</v>
      </c>
      <c r="K3352" t="s">
        <v>1122</v>
      </c>
      <c r="L3352" t="s">
        <v>114</v>
      </c>
      <c r="M3352" t="s">
        <v>52</v>
      </c>
      <c r="N3352" t="s">
        <v>40</v>
      </c>
      <c r="O3352">
        <v>23</v>
      </c>
      <c r="Q3352">
        <v>1</v>
      </c>
      <c r="R3352">
        <v>1</v>
      </c>
      <c r="S3352">
        <v>0</v>
      </c>
      <c r="T3352">
        <v>0</v>
      </c>
      <c r="U3352">
        <v>0</v>
      </c>
      <c r="V3352">
        <v>1</v>
      </c>
      <c r="W3352">
        <v>0</v>
      </c>
      <c r="X3352" s="21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64</v>
      </c>
      <c r="AJ3352" t="s">
        <v>51</v>
      </c>
      <c r="AK3352" t="s">
        <v>95</v>
      </c>
      <c r="AP3352" t="s">
        <v>951</v>
      </c>
    </row>
    <row r="3353" spans="1:42">
      <c r="A3353" s="16">
        <v>43804</v>
      </c>
      <c r="B3353">
        <v>4</v>
      </c>
      <c r="C3353">
        <v>977</v>
      </c>
      <c r="D3353">
        <v>14471</v>
      </c>
      <c r="E3353" t="s">
        <v>112</v>
      </c>
      <c r="F3353" t="s">
        <v>949</v>
      </c>
      <c r="G3353">
        <v>2</v>
      </c>
      <c r="H3353">
        <v>51</v>
      </c>
      <c r="I3353" s="25">
        <v>800</v>
      </c>
      <c r="K3353" t="s">
        <v>1122</v>
      </c>
      <c r="L3353" t="s">
        <v>114</v>
      </c>
      <c r="M3353" t="s">
        <v>52</v>
      </c>
      <c r="N3353" t="s">
        <v>40</v>
      </c>
      <c r="O3353">
        <v>94</v>
      </c>
      <c r="Q3353">
        <v>3</v>
      </c>
      <c r="R3353">
        <v>1</v>
      </c>
      <c r="S3353">
        <v>0</v>
      </c>
      <c r="T3353">
        <v>0</v>
      </c>
      <c r="U3353">
        <v>0</v>
      </c>
      <c r="V3353">
        <v>2</v>
      </c>
      <c r="W3353">
        <v>1</v>
      </c>
      <c r="X3353" s="21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160</v>
      </c>
      <c r="AJ3353" t="s">
        <v>51</v>
      </c>
      <c r="AK3353" t="s">
        <v>95</v>
      </c>
      <c r="AP3353" t="s">
        <v>951</v>
      </c>
    </row>
    <row r="3354" spans="1:42">
      <c r="A3354" s="16">
        <v>43804</v>
      </c>
      <c r="B3354">
        <v>4</v>
      </c>
      <c r="C3354">
        <v>977</v>
      </c>
      <c r="D3354">
        <v>14471</v>
      </c>
      <c r="E3354" t="s">
        <v>112</v>
      </c>
      <c r="F3354" t="s">
        <v>949</v>
      </c>
      <c r="G3354">
        <v>2</v>
      </c>
      <c r="H3354">
        <v>52</v>
      </c>
      <c r="I3354" s="25">
        <v>828</v>
      </c>
      <c r="K3354" t="s">
        <v>1122</v>
      </c>
      <c r="M3354" t="s">
        <v>52</v>
      </c>
      <c r="N3354" t="s">
        <v>44</v>
      </c>
      <c r="O3354">
        <v>57</v>
      </c>
      <c r="Q3354">
        <v>1</v>
      </c>
      <c r="R3354">
        <v>1</v>
      </c>
      <c r="S3354">
        <v>0</v>
      </c>
      <c r="T3354">
        <v>0</v>
      </c>
      <c r="U3354">
        <v>0</v>
      </c>
      <c r="V3354">
        <v>0</v>
      </c>
      <c r="W3354">
        <v>0</v>
      </c>
      <c r="X3354" s="21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96</v>
      </c>
      <c r="AJ3354" t="s">
        <v>51</v>
      </c>
      <c r="AK3354" t="s">
        <v>52</v>
      </c>
      <c r="AP3354" t="s">
        <v>951</v>
      </c>
    </row>
    <row r="3355" spans="1:42">
      <c r="A3355" s="16">
        <v>43804</v>
      </c>
      <c r="B3355">
        <v>4</v>
      </c>
      <c r="C3355">
        <v>977</v>
      </c>
      <c r="D3355">
        <v>14471</v>
      </c>
      <c r="E3355" t="s">
        <v>112</v>
      </c>
      <c r="F3355" t="s">
        <v>949</v>
      </c>
      <c r="G3355">
        <v>2</v>
      </c>
      <c r="H3355">
        <v>53</v>
      </c>
      <c r="I3355" s="25">
        <v>800</v>
      </c>
      <c r="K3355" t="s">
        <v>1122</v>
      </c>
      <c r="L3355" t="s">
        <v>114</v>
      </c>
      <c r="M3355" t="s">
        <v>52</v>
      </c>
      <c r="N3355" t="s">
        <v>40</v>
      </c>
      <c r="O3355">
        <v>47</v>
      </c>
      <c r="Q3355">
        <v>2</v>
      </c>
      <c r="R3355">
        <v>1</v>
      </c>
      <c r="S3355">
        <v>0</v>
      </c>
      <c r="T3355">
        <v>0</v>
      </c>
      <c r="U3355">
        <v>0</v>
      </c>
      <c r="V3355">
        <v>1</v>
      </c>
      <c r="W3355">
        <v>1</v>
      </c>
      <c r="X3355" s="21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160</v>
      </c>
      <c r="AJ3355" t="s">
        <v>51</v>
      </c>
      <c r="AK3355" t="s">
        <v>52</v>
      </c>
      <c r="AP3355" t="s">
        <v>951</v>
      </c>
    </row>
    <row r="3356" spans="1:42">
      <c r="A3356" s="16">
        <v>43804</v>
      </c>
      <c r="B3356">
        <v>4</v>
      </c>
      <c r="C3356">
        <v>977</v>
      </c>
      <c r="D3356">
        <v>14471</v>
      </c>
      <c r="E3356" t="s">
        <v>112</v>
      </c>
      <c r="F3356" t="s">
        <v>949</v>
      </c>
      <c r="G3356">
        <v>2</v>
      </c>
      <c r="H3356">
        <v>54</v>
      </c>
      <c r="I3356" s="25">
        <v>800</v>
      </c>
      <c r="K3356" t="s">
        <v>1122</v>
      </c>
      <c r="L3356" t="s">
        <v>114</v>
      </c>
      <c r="M3356" t="s">
        <v>52</v>
      </c>
      <c r="N3356" t="s">
        <v>40</v>
      </c>
      <c r="O3356">
        <v>100</v>
      </c>
      <c r="Q3356">
        <v>2</v>
      </c>
      <c r="R3356">
        <v>1</v>
      </c>
      <c r="S3356">
        <v>0</v>
      </c>
      <c r="T3356">
        <v>0</v>
      </c>
      <c r="U3356">
        <v>0</v>
      </c>
      <c r="V3356">
        <v>1</v>
      </c>
      <c r="W3356">
        <v>1</v>
      </c>
      <c r="X3356" s="21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160</v>
      </c>
      <c r="AJ3356" t="s">
        <v>51</v>
      </c>
      <c r="AK3356" t="s">
        <v>52</v>
      </c>
      <c r="AP3356" t="s">
        <v>951</v>
      </c>
    </row>
    <row r="3357" spans="1:42">
      <c r="A3357" s="16">
        <v>43804</v>
      </c>
      <c r="B3357">
        <v>4</v>
      </c>
      <c r="C3357">
        <v>977</v>
      </c>
      <c r="D3357">
        <v>14471</v>
      </c>
      <c r="E3357" t="s">
        <v>112</v>
      </c>
      <c r="F3357" t="s">
        <v>949</v>
      </c>
      <c r="G3357">
        <v>2</v>
      </c>
      <c r="H3357">
        <v>55</v>
      </c>
      <c r="I3357" s="25">
        <v>800</v>
      </c>
      <c r="K3357" t="s">
        <v>1122</v>
      </c>
      <c r="L3357" t="s">
        <v>114</v>
      </c>
      <c r="M3357" t="s">
        <v>52</v>
      </c>
      <c r="N3357" t="s">
        <v>40</v>
      </c>
      <c r="O3357">
        <v>157</v>
      </c>
      <c r="Q3357">
        <v>3</v>
      </c>
      <c r="R3357">
        <v>1</v>
      </c>
      <c r="S3357">
        <v>0</v>
      </c>
      <c r="T3357">
        <v>0</v>
      </c>
      <c r="U3357">
        <v>0</v>
      </c>
      <c r="V3357">
        <v>2</v>
      </c>
      <c r="W3357">
        <v>1</v>
      </c>
      <c r="X3357" s="21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224</v>
      </c>
      <c r="AJ3357" t="s">
        <v>51</v>
      </c>
      <c r="AK3357" t="s">
        <v>95</v>
      </c>
      <c r="AL3357" t="s">
        <v>1127</v>
      </c>
      <c r="AP3357" t="s">
        <v>951</v>
      </c>
    </row>
    <row r="3358" spans="1:42">
      <c r="A3358" s="16">
        <v>43804</v>
      </c>
      <c r="B3358">
        <v>4</v>
      </c>
      <c r="C3358">
        <v>977</v>
      </c>
      <c r="D3358">
        <v>14471</v>
      </c>
      <c r="E3358" t="s">
        <v>112</v>
      </c>
      <c r="F3358" t="s">
        <v>949</v>
      </c>
      <c r="G3358">
        <v>2</v>
      </c>
      <c r="H3358">
        <v>56</v>
      </c>
      <c r="I3358" s="25">
        <v>800</v>
      </c>
      <c r="K3358" t="s">
        <v>1122</v>
      </c>
      <c r="L3358" t="s">
        <v>114</v>
      </c>
      <c r="M3358" t="s">
        <v>52</v>
      </c>
      <c r="N3358" t="s">
        <v>40</v>
      </c>
      <c r="O3358">
        <v>23</v>
      </c>
      <c r="Q3358">
        <v>2</v>
      </c>
      <c r="R3358">
        <v>1</v>
      </c>
      <c r="S3358">
        <v>0</v>
      </c>
      <c r="T3358">
        <v>0</v>
      </c>
      <c r="U3358">
        <v>0</v>
      </c>
      <c r="V3358">
        <v>2</v>
      </c>
      <c r="W3358">
        <v>0</v>
      </c>
      <c r="X3358" s="21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128</v>
      </c>
      <c r="AJ3358" t="s">
        <v>51</v>
      </c>
      <c r="AK3358" t="s">
        <v>95</v>
      </c>
      <c r="AP3358" t="s">
        <v>951</v>
      </c>
    </row>
    <row r="3359" spans="1:42">
      <c r="A3359" s="16">
        <v>43804</v>
      </c>
      <c r="B3359">
        <v>4</v>
      </c>
      <c r="C3359">
        <v>977</v>
      </c>
      <c r="D3359">
        <v>14471</v>
      </c>
      <c r="E3359" t="s">
        <v>112</v>
      </c>
      <c r="F3359" t="s">
        <v>949</v>
      </c>
      <c r="G3359">
        <v>2</v>
      </c>
      <c r="H3359">
        <v>57</v>
      </c>
      <c r="I3359" s="25">
        <v>2900</v>
      </c>
      <c r="K3359" t="s">
        <v>420</v>
      </c>
      <c r="L3359" t="s">
        <v>114</v>
      </c>
      <c r="M3359" t="s">
        <v>52</v>
      </c>
      <c r="N3359" t="s">
        <v>40</v>
      </c>
      <c r="O3359">
        <v>108</v>
      </c>
      <c r="Q3359">
        <v>2</v>
      </c>
      <c r="R3359">
        <v>1</v>
      </c>
      <c r="S3359">
        <v>0</v>
      </c>
      <c r="T3359">
        <v>0</v>
      </c>
      <c r="U3359">
        <v>0</v>
      </c>
      <c r="V3359">
        <v>2</v>
      </c>
      <c r="W3359">
        <v>0</v>
      </c>
      <c r="X3359" s="21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128</v>
      </c>
      <c r="AJ3359" t="s">
        <v>54</v>
      </c>
      <c r="AK3359" t="s">
        <v>52</v>
      </c>
      <c r="AP3359" t="s">
        <v>951</v>
      </c>
    </row>
    <row r="3360" spans="1:42">
      <c r="A3360" s="16">
        <v>43804</v>
      </c>
      <c r="B3360">
        <v>4</v>
      </c>
      <c r="C3360">
        <v>977</v>
      </c>
      <c r="D3360">
        <v>14471</v>
      </c>
      <c r="E3360" t="s">
        <v>112</v>
      </c>
      <c r="F3360" t="s">
        <v>949</v>
      </c>
      <c r="G3360">
        <v>2</v>
      </c>
      <c r="H3360">
        <v>58</v>
      </c>
      <c r="I3360" s="25">
        <v>2900</v>
      </c>
      <c r="K3360" t="s">
        <v>420</v>
      </c>
      <c r="L3360" t="s">
        <v>114</v>
      </c>
      <c r="M3360" t="s">
        <v>52</v>
      </c>
      <c r="N3360" t="s">
        <v>40</v>
      </c>
      <c r="O3360">
        <v>90</v>
      </c>
      <c r="Q3360">
        <v>4</v>
      </c>
      <c r="R3360">
        <v>1</v>
      </c>
      <c r="S3360">
        <v>0</v>
      </c>
      <c r="T3360">
        <v>0</v>
      </c>
      <c r="U3360">
        <v>2</v>
      </c>
      <c r="V3360">
        <v>0</v>
      </c>
      <c r="W3360">
        <v>2</v>
      </c>
      <c r="X3360" s="21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257</v>
      </c>
      <c r="AJ3360" t="s">
        <v>54</v>
      </c>
      <c r="AK3360" t="s">
        <v>95</v>
      </c>
      <c r="AP3360" t="s">
        <v>951</v>
      </c>
    </row>
    <row r="3361" spans="1:42">
      <c r="A3361" s="16">
        <v>43804</v>
      </c>
      <c r="B3361">
        <v>4</v>
      </c>
      <c r="C3361">
        <v>977</v>
      </c>
      <c r="D3361">
        <v>14471</v>
      </c>
      <c r="E3361" t="s">
        <v>112</v>
      </c>
      <c r="F3361" t="s">
        <v>949</v>
      </c>
      <c r="G3361">
        <v>2</v>
      </c>
      <c r="H3361">
        <v>59</v>
      </c>
      <c r="I3361" s="25">
        <v>700</v>
      </c>
      <c r="K3361" t="s">
        <v>1113</v>
      </c>
      <c r="L3361" t="s">
        <v>141</v>
      </c>
      <c r="M3361" t="s">
        <v>52</v>
      </c>
      <c r="N3361" t="s">
        <v>40</v>
      </c>
      <c r="O3361">
        <v>20</v>
      </c>
      <c r="Q3361">
        <v>1</v>
      </c>
      <c r="R3361">
        <v>1</v>
      </c>
      <c r="S3361">
        <v>0</v>
      </c>
      <c r="T3361">
        <v>0</v>
      </c>
      <c r="U3361">
        <v>0</v>
      </c>
      <c r="V3361">
        <v>0</v>
      </c>
      <c r="W3361">
        <v>1</v>
      </c>
      <c r="X3361" s="2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96</v>
      </c>
      <c r="AJ3361" t="s">
        <v>51</v>
      </c>
      <c r="AK3361" t="s">
        <v>95</v>
      </c>
      <c r="AP3361" t="s">
        <v>951</v>
      </c>
    </row>
    <row r="3362" spans="1:42">
      <c r="A3362" s="16">
        <v>43804</v>
      </c>
      <c r="B3362">
        <v>4</v>
      </c>
      <c r="C3362">
        <v>977</v>
      </c>
      <c r="D3362">
        <v>14471</v>
      </c>
      <c r="E3362" t="s">
        <v>112</v>
      </c>
      <c r="F3362" t="s">
        <v>949</v>
      </c>
      <c r="G3362">
        <v>2</v>
      </c>
      <c r="H3362">
        <v>60</v>
      </c>
      <c r="I3362" s="25">
        <v>700</v>
      </c>
      <c r="K3362" t="s">
        <v>570</v>
      </c>
      <c r="L3362" t="s">
        <v>114</v>
      </c>
      <c r="M3362" t="s">
        <v>52</v>
      </c>
      <c r="N3362" t="s">
        <v>40</v>
      </c>
      <c r="O3362">
        <v>20</v>
      </c>
      <c r="Q3362">
        <v>1</v>
      </c>
      <c r="R3362">
        <v>1</v>
      </c>
      <c r="S3362">
        <v>0</v>
      </c>
      <c r="T3362">
        <v>0</v>
      </c>
      <c r="U3362">
        <v>0</v>
      </c>
      <c r="V3362">
        <v>0</v>
      </c>
      <c r="W3362">
        <v>1</v>
      </c>
      <c r="X3362" s="21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96</v>
      </c>
      <c r="AJ3362" t="s">
        <v>51</v>
      </c>
      <c r="AK3362" t="s">
        <v>95</v>
      </c>
      <c r="AP3362" t="s">
        <v>951</v>
      </c>
    </row>
    <row r="3363" spans="1:42">
      <c r="A3363" s="16">
        <v>43804</v>
      </c>
      <c r="B3363">
        <v>4</v>
      </c>
      <c r="C3363">
        <v>977</v>
      </c>
      <c r="D3363">
        <v>14471</v>
      </c>
      <c r="E3363" t="s">
        <v>112</v>
      </c>
      <c r="F3363" t="s">
        <v>949</v>
      </c>
      <c r="G3363">
        <v>2</v>
      </c>
      <c r="H3363">
        <v>61</v>
      </c>
      <c r="I3363" s="25">
        <v>700</v>
      </c>
      <c r="K3363" t="s">
        <v>570</v>
      </c>
      <c r="L3363" t="s">
        <v>114</v>
      </c>
      <c r="M3363" t="s">
        <v>52</v>
      </c>
      <c r="N3363" t="s">
        <v>40</v>
      </c>
      <c r="O3363">
        <v>24</v>
      </c>
      <c r="Q3363">
        <v>2</v>
      </c>
      <c r="R3363">
        <v>1</v>
      </c>
      <c r="S3363">
        <v>0</v>
      </c>
      <c r="T3363">
        <v>0</v>
      </c>
      <c r="U3363">
        <v>2</v>
      </c>
      <c r="V3363">
        <v>0</v>
      </c>
      <c r="W3363">
        <v>0</v>
      </c>
      <c r="X3363" s="21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64</v>
      </c>
      <c r="AJ3363" t="s">
        <v>54</v>
      </c>
      <c r="AK3363" t="s">
        <v>52</v>
      </c>
      <c r="AP3363" t="s">
        <v>951</v>
      </c>
    </row>
    <row r="3364" spans="1:42">
      <c r="A3364" s="16">
        <v>43804</v>
      </c>
      <c r="B3364">
        <v>4</v>
      </c>
      <c r="C3364">
        <v>977</v>
      </c>
      <c r="D3364">
        <v>14471</v>
      </c>
      <c r="E3364" t="s">
        <v>112</v>
      </c>
      <c r="F3364" t="s">
        <v>949</v>
      </c>
      <c r="G3364">
        <v>2</v>
      </c>
      <c r="H3364">
        <v>62</v>
      </c>
      <c r="I3364" s="25">
        <v>700</v>
      </c>
      <c r="K3364" t="s">
        <v>570</v>
      </c>
      <c r="L3364" t="s">
        <v>114</v>
      </c>
      <c r="M3364" t="s">
        <v>52</v>
      </c>
      <c r="N3364" t="s">
        <v>40</v>
      </c>
      <c r="O3364">
        <v>24</v>
      </c>
      <c r="Q3364">
        <v>1</v>
      </c>
      <c r="R3364">
        <v>1</v>
      </c>
      <c r="S3364">
        <v>0</v>
      </c>
      <c r="T3364">
        <v>0</v>
      </c>
      <c r="U3364">
        <v>0</v>
      </c>
      <c r="V3364">
        <v>0</v>
      </c>
      <c r="W3364">
        <v>1</v>
      </c>
      <c r="X3364" s="21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96</v>
      </c>
      <c r="AJ3364" t="s">
        <v>54</v>
      </c>
      <c r="AK3364" t="s">
        <v>52</v>
      </c>
      <c r="AP3364" t="s">
        <v>951</v>
      </c>
    </row>
    <row r="3365" spans="1:42">
      <c r="A3365" s="16">
        <v>43804</v>
      </c>
      <c r="B3365">
        <v>4</v>
      </c>
      <c r="C3365">
        <v>977</v>
      </c>
      <c r="D3365">
        <v>14471</v>
      </c>
      <c r="E3365" t="s">
        <v>112</v>
      </c>
      <c r="F3365" t="s">
        <v>949</v>
      </c>
      <c r="G3365">
        <v>2</v>
      </c>
      <c r="H3365">
        <v>63</v>
      </c>
      <c r="I3365" s="25">
        <v>800</v>
      </c>
      <c r="K3365" t="s">
        <v>570</v>
      </c>
      <c r="L3365" t="s">
        <v>114</v>
      </c>
      <c r="M3365" t="s">
        <v>52</v>
      </c>
      <c r="N3365" t="s">
        <v>40</v>
      </c>
      <c r="O3365">
        <v>63</v>
      </c>
      <c r="Q3365">
        <v>3</v>
      </c>
      <c r="R3365">
        <v>1</v>
      </c>
      <c r="S3365">
        <v>0</v>
      </c>
      <c r="T3365">
        <v>0</v>
      </c>
      <c r="U3365">
        <v>0</v>
      </c>
      <c r="V3365">
        <v>3</v>
      </c>
      <c r="W3365">
        <v>0</v>
      </c>
      <c r="X3365" s="21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192</v>
      </c>
      <c r="AJ3365" t="s">
        <v>51</v>
      </c>
      <c r="AK3365" t="s">
        <v>52</v>
      </c>
      <c r="AP3365" t="s">
        <v>951</v>
      </c>
    </row>
    <row r="3366" spans="1:42">
      <c r="A3366" s="16">
        <v>43804</v>
      </c>
      <c r="B3366">
        <v>4</v>
      </c>
      <c r="C3366">
        <v>977</v>
      </c>
      <c r="D3366">
        <v>14471</v>
      </c>
      <c r="E3366" t="s">
        <v>112</v>
      </c>
      <c r="F3366" t="s">
        <v>949</v>
      </c>
      <c r="G3366">
        <v>2</v>
      </c>
      <c r="H3366">
        <v>64</v>
      </c>
      <c r="I3366" s="25">
        <v>842</v>
      </c>
      <c r="K3366" t="s">
        <v>570</v>
      </c>
      <c r="M3366" t="s">
        <v>52</v>
      </c>
      <c r="N3366" t="s">
        <v>44</v>
      </c>
      <c r="O3366">
        <v>272</v>
      </c>
      <c r="Q3366">
        <v>4</v>
      </c>
      <c r="R3366">
        <v>1</v>
      </c>
      <c r="S3366">
        <v>0</v>
      </c>
      <c r="T3366">
        <v>0</v>
      </c>
      <c r="U3366">
        <v>0</v>
      </c>
      <c r="V3366">
        <v>1</v>
      </c>
      <c r="W3366">
        <v>3</v>
      </c>
      <c r="X3366" s="21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352</v>
      </c>
      <c r="AJ3366" t="s">
        <v>51</v>
      </c>
      <c r="AK3366" t="s">
        <v>52</v>
      </c>
      <c r="AL3366" t="s">
        <v>1128</v>
      </c>
      <c r="AP3366" t="s">
        <v>951</v>
      </c>
    </row>
    <row r="3367" spans="1:42">
      <c r="A3367" s="16">
        <v>43804</v>
      </c>
      <c r="B3367">
        <v>4</v>
      </c>
      <c r="C3367">
        <v>977</v>
      </c>
      <c r="D3367">
        <v>14471</v>
      </c>
      <c r="E3367" t="s">
        <v>112</v>
      </c>
      <c r="F3367" t="s">
        <v>949</v>
      </c>
      <c r="G3367">
        <v>2</v>
      </c>
      <c r="H3367">
        <v>65</v>
      </c>
      <c r="I3367" s="25">
        <v>870</v>
      </c>
      <c r="K3367" t="s">
        <v>570</v>
      </c>
      <c r="M3367" t="s">
        <v>52</v>
      </c>
      <c r="N3367" t="s">
        <v>44</v>
      </c>
      <c r="O3367">
        <v>128</v>
      </c>
      <c r="Q3367">
        <v>3</v>
      </c>
      <c r="R3367">
        <v>3</v>
      </c>
      <c r="S3367">
        <v>0</v>
      </c>
      <c r="T3367">
        <v>0</v>
      </c>
      <c r="U3367">
        <v>0</v>
      </c>
      <c r="V3367">
        <v>0</v>
      </c>
      <c r="W3367">
        <v>3</v>
      </c>
      <c r="X3367" s="21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288</v>
      </c>
      <c r="AJ3367" t="s">
        <v>51</v>
      </c>
      <c r="AK3367" t="s">
        <v>52</v>
      </c>
      <c r="AL3367" t="s">
        <v>1128</v>
      </c>
      <c r="AP3367" t="s">
        <v>951</v>
      </c>
    </row>
    <row r="3368" spans="1:42">
      <c r="A3368" s="16">
        <v>43804</v>
      </c>
      <c r="B3368">
        <v>4</v>
      </c>
      <c r="C3368">
        <v>977</v>
      </c>
      <c r="D3368">
        <v>14471</v>
      </c>
      <c r="E3368" t="s">
        <v>112</v>
      </c>
      <c r="F3368" t="s">
        <v>949</v>
      </c>
      <c r="G3368">
        <v>2</v>
      </c>
      <c r="H3368">
        <v>66</v>
      </c>
      <c r="I3368" s="25">
        <v>800</v>
      </c>
      <c r="K3368" t="s">
        <v>570</v>
      </c>
      <c r="L3368" t="s">
        <v>114</v>
      </c>
      <c r="M3368" t="s">
        <v>52</v>
      </c>
      <c r="N3368" t="s">
        <v>40</v>
      </c>
      <c r="O3368">
        <v>27</v>
      </c>
      <c r="Q3368">
        <v>1</v>
      </c>
      <c r="R3368">
        <v>1</v>
      </c>
      <c r="S3368">
        <v>0</v>
      </c>
      <c r="T3368">
        <v>0</v>
      </c>
      <c r="U3368">
        <v>0</v>
      </c>
      <c r="V3368">
        <v>0</v>
      </c>
      <c r="W3368">
        <v>1</v>
      </c>
      <c r="X3368" s="21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96</v>
      </c>
      <c r="AJ3368" t="s">
        <v>51</v>
      </c>
      <c r="AK3368" t="s">
        <v>52</v>
      </c>
      <c r="AP3368" t="s">
        <v>951</v>
      </c>
    </row>
    <row r="3369" spans="1:42">
      <c r="A3369" s="16">
        <v>43804</v>
      </c>
      <c r="B3369">
        <v>4</v>
      </c>
      <c r="C3369">
        <v>977</v>
      </c>
      <c r="D3369">
        <v>14471</v>
      </c>
      <c r="E3369" t="s">
        <v>112</v>
      </c>
      <c r="F3369" t="s">
        <v>949</v>
      </c>
      <c r="G3369">
        <v>2</v>
      </c>
      <c r="H3369">
        <v>67</v>
      </c>
      <c r="I3369" s="25">
        <v>800</v>
      </c>
      <c r="K3369" t="s">
        <v>570</v>
      </c>
      <c r="L3369" t="s">
        <v>141</v>
      </c>
      <c r="M3369" t="s">
        <v>52</v>
      </c>
      <c r="N3369" t="s">
        <v>40</v>
      </c>
      <c r="O3369">
        <v>44</v>
      </c>
      <c r="Q3369">
        <v>2</v>
      </c>
      <c r="R3369">
        <v>1</v>
      </c>
      <c r="S3369">
        <v>0</v>
      </c>
      <c r="T3369">
        <v>0</v>
      </c>
      <c r="U3369">
        <v>2</v>
      </c>
      <c r="V3369">
        <v>0</v>
      </c>
      <c r="W3369">
        <v>0</v>
      </c>
      <c r="X3369" s="21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64</v>
      </c>
      <c r="AJ3369" t="s">
        <v>51</v>
      </c>
      <c r="AK3369" t="s">
        <v>95</v>
      </c>
      <c r="AP3369" t="s">
        <v>951</v>
      </c>
    </row>
    <row r="3370" spans="1:42">
      <c r="A3370" s="16">
        <v>43804</v>
      </c>
      <c r="B3370">
        <v>4</v>
      </c>
      <c r="C3370">
        <v>977</v>
      </c>
      <c r="D3370">
        <v>14471</v>
      </c>
      <c r="E3370" t="s">
        <v>112</v>
      </c>
      <c r="F3370" t="s">
        <v>949</v>
      </c>
      <c r="G3370">
        <v>2</v>
      </c>
      <c r="H3370">
        <v>68</v>
      </c>
      <c r="I3370" s="25">
        <v>899</v>
      </c>
      <c r="K3370" t="s">
        <v>570</v>
      </c>
      <c r="M3370" t="s">
        <v>52</v>
      </c>
      <c r="N3370" t="s">
        <v>44</v>
      </c>
      <c r="O3370">
        <v>30</v>
      </c>
      <c r="Q3370">
        <v>1</v>
      </c>
      <c r="R3370">
        <v>1</v>
      </c>
      <c r="S3370">
        <v>0</v>
      </c>
      <c r="T3370">
        <v>0</v>
      </c>
      <c r="U3370">
        <v>0</v>
      </c>
      <c r="V3370">
        <v>0</v>
      </c>
      <c r="W3370">
        <v>1</v>
      </c>
      <c r="X3370" s="21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96</v>
      </c>
      <c r="AJ3370" t="s">
        <v>51</v>
      </c>
      <c r="AK3370" t="s">
        <v>95</v>
      </c>
      <c r="AP3370" t="s">
        <v>951</v>
      </c>
    </row>
    <row r="3371" spans="1:42">
      <c r="A3371" s="16">
        <v>43804</v>
      </c>
      <c r="B3371">
        <v>4</v>
      </c>
      <c r="C3371">
        <v>977</v>
      </c>
      <c r="D3371">
        <v>14471</v>
      </c>
      <c r="E3371" t="s">
        <v>112</v>
      </c>
      <c r="F3371" t="s">
        <v>949</v>
      </c>
      <c r="G3371">
        <v>2</v>
      </c>
      <c r="H3371">
        <v>69</v>
      </c>
      <c r="I3371" s="25">
        <v>895</v>
      </c>
      <c r="K3371" t="s">
        <v>570</v>
      </c>
      <c r="M3371" t="s">
        <v>52</v>
      </c>
      <c r="N3371" t="s">
        <v>44</v>
      </c>
      <c r="O3371">
        <v>57</v>
      </c>
      <c r="Q3371">
        <v>2</v>
      </c>
      <c r="R3371">
        <v>1</v>
      </c>
      <c r="S3371">
        <v>0</v>
      </c>
      <c r="T3371">
        <v>0</v>
      </c>
      <c r="U3371">
        <v>0</v>
      </c>
      <c r="V3371">
        <v>2</v>
      </c>
      <c r="W3371">
        <v>0</v>
      </c>
      <c r="X3371" s="2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128</v>
      </c>
      <c r="AJ3371" t="s">
        <v>51</v>
      </c>
      <c r="AK3371" t="s">
        <v>35</v>
      </c>
      <c r="AP3371" t="s">
        <v>951</v>
      </c>
    </row>
    <row r="3372" spans="1:42">
      <c r="A3372" s="16">
        <v>43804</v>
      </c>
      <c r="B3372">
        <v>4</v>
      </c>
      <c r="C3372">
        <v>977</v>
      </c>
      <c r="D3372">
        <v>14471</v>
      </c>
      <c r="E3372" t="s">
        <v>112</v>
      </c>
      <c r="F3372" t="s">
        <v>949</v>
      </c>
      <c r="G3372">
        <v>2</v>
      </c>
      <c r="H3372">
        <v>70</v>
      </c>
      <c r="I3372" s="25">
        <v>800</v>
      </c>
      <c r="K3372" t="s">
        <v>570</v>
      </c>
      <c r="L3372" t="s">
        <v>141</v>
      </c>
      <c r="M3372" t="s">
        <v>52</v>
      </c>
      <c r="N3372" t="s">
        <v>40</v>
      </c>
      <c r="O3372">
        <v>34</v>
      </c>
      <c r="Q3372">
        <v>3</v>
      </c>
      <c r="R3372">
        <v>1</v>
      </c>
      <c r="S3372">
        <v>0</v>
      </c>
      <c r="T3372">
        <v>0</v>
      </c>
      <c r="U3372">
        <v>0</v>
      </c>
      <c r="V3372">
        <v>2</v>
      </c>
      <c r="W3372">
        <v>1</v>
      </c>
      <c r="X3372" s="21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224</v>
      </c>
      <c r="AJ3372" t="s">
        <v>51</v>
      </c>
      <c r="AK3372" t="s">
        <v>95</v>
      </c>
      <c r="AP3372" t="s">
        <v>951</v>
      </c>
    </row>
    <row r="3373" spans="1:42">
      <c r="A3373" s="16">
        <v>43804</v>
      </c>
      <c r="B3373">
        <v>4</v>
      </c>
      <c r="C3373">
        <v>977</v>
      </c>
      <c r="D3373">
        <v>14471</v>
      </c>
      <c r="E3373" t="s">
        <v>112</v>
      </c>
      <c r="F3373" t="s">
        <v>949</v>
      </c>
      <c r="G3373">
        <v>2</v>
      </c>
      <c r="H3373">
        <v>71</v>
      </c>
      <c r="I3373" s="25">
        <v>800</v>
      </c>
      <c r="K3373" t="s">
        <v>570</v>
      </c>
      <c r="L3373" t="s">
        <v>141</v>
      </c>
      <c r="M3373" t="s">
        <v>52</v>
      </c>
      <c r="N3373" t="s">
        <v>40</v>
      </c>
      <c r="O3373">
        <v>87</v>
      </c>
      <c r="Q3373">
        <v>4</v>
      </c>
      <c r="R3373">
        <v>1</v>
      </c>
      <c r="S3373">
        <v>0</v>
      </c>
      <c r="T3373">
        <v>0</v>
      </c>
      <c r="U3373">
        <v>0</v>
      </c>
      <c r="V3373">
        <v>3</v>
      </c>
      <c r="W3373">
        <v>1</v>
      </c>
      <c r="X3373" s="21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288</v>
      </c>
      <c r="AJ3373" t="s">
        <v>51</v>
      </c>
      <c r="AK3373" t="s">
        <v>52</v>
      </c>
      <c r="AP3373" t="s">
        <v>951</v>
      </c>
    </row>
    <row r="3374" spans="1:42">
      <c r="A3374" s="16">
        <v>43804</v>
      </c>
      <c r="B3374">
        <v>4</v>
      </c>
      <c r="C3374">
        <v>977</v>
      </c>
      <c r="D3374">
        <v>14471</v>
      </c>
      <c r="E3374" t="s">
        <v>112</v>
      </c>
      <c r="F3374" t="s">
        <v>949</v>
      </c>
      <c r="G3374">
        <v>2</v>
      </c>
      <c r="H3374">
        <v>72</v>
      </c>
      <c r="I3374" s="25">
        <v>800</v>
      </c>
      <c r="K3374" t="s">
        <v>570</v>
      </c>
      <c r="L3374" t="s">
        <v>141</v>
      </c>
      <c r="M3374" t="s">
        <v>52</v>
      </c>
      <c r="N3374" t="s">
        <v>40</v>
      </c>
      <c r="O3374">
        <v>21</v>
      </c>
      <c r="Q3374">
        <v>2</v>
      </c>
      <c r="R3374">
        <v>1</v>
      </c>
      <c r="S3374">
        <v>0</v>
      </c>
      <c r="T3374">
        <v>0</v>
      </c>
      <c r="U3374">
        <v>1</v>
      </c>
      <c r="V3374">
        <v>1</v>
      </c>
      <c r="W3374">
        <v>0</v>
      </c>
      <c r="X3374" s="21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96</v>
      </c>
      <c r="AJ3374" t="s">
        <v>51</v>
      </c>
      <c r="AK3374" t="s">
        <v>95</v>
      </c>
      <c r="AP3374" t="s">
        <v>951</v>
      </c>
    </row>
    <row r="3375" spans="1:42">
      <c r="A3375" s="16">
        <v>43804</v>
      </c>
      <c r="B3375">
        <v>4</v>
      </c>
      <c r="C3375">
        <v>977</v>
      </c>
      <c r="D3375">
        <v>14471</v>
      </c>
      <c r="E3375" t="s">
        <v>112</v>
      </c>
      <c r="F3375" t="s">
        <v>949</v>
      </c>
      <c r="G3375">
        <v>2</v>
      </c>
      <c r="H3375">
        <v>73</v>
      </c>
      <c r="I3375" s="25">
        <v>835</v>
      </c>
      <c r="K3375" t="s">
        <v>570</v>
      </c>
      <c r="M3375" t="s">
        <v>52</v>
      </c>
      <c r="N3375" t="s">
        <v>44</v>
      </c>
      <c r="O3375">
        <v>66</v>
      </c>
      <c r="Q3375">
        <v>2</v>
      </c>
      <c r="R3375">
        <v>1</v>
      </c>
      <c r="S3375">
        <v>0</v>
      </c>
      <c r="T3375">
        <v>0</v>
      </c>
      <c r="U3375">
        <v>0</v>
      </c>
      <c r="V3375">
        <v>2</v>
      </c>
      <c r="W3375">
        <v>0</v>
      </c>
      <c r="X3375" s="21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128</v>
      </c>
      <c r="AJ3375" t="s">
        <v>51</v>
      </c>
      <c r="AK3375" t="s">
        <v>95</v>
      </c>
      <c r="AL3375" t="s">
        <v>1129</v>
      </c>
      <c r="AP3375" t="s">
        <v>951</v>
      </c>
    </row>
    <row r="3376" spans="1:42">
      <c r="A3376" s="16">
        <v>43804</v>
      </c>
      <c r="B3376">
        <v>4</v>
      </c>
      <c r="C3376">
        <v>977</v>
      </c>
      <c r="D3376">
        <v>14471</v>
      </c>
      <c r="E3376" t="s">
        <v>112</v>
      </c>
      <c r="F3376" t="s">
        <v>949</v>
      </c>
      <c r="G3376">
        <v>2</v>
      </c>
      <c r="H3376">
        <v>74</v>
      </c>
      <c r="I3376" s="25">
        <v>2645</v>
      </c>
      <c r="K3376" t="s">
        <v>828</v>
      </c>
      <c r="M3376" t="s">
        <v>52</v>
      </c>
      <c r="N3376" t="s">
        <v>44</v>
      </c>
      <c r="O3376">
        <v>113</v>
      </c>
      <c r="Q3376">
        <v>3</v>
      </c>
      <c r="R3376">
        <v>1</v>
      </c>
      <c r="S3376">
        <v>0</v>
      </c>
      <c r="T3376">
        <v>0</v>
      </c>
      <c r="U3376">
        <v>0</v>
      </c>
      <c r="V3376">
        <v>0</v>
      </c>
      <c r="W3376">
        <v>3</v>
      </c>
      <c r="X3376" s="21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288</v>
      </c>
      <c r="AJ3376" t="s">
        <v>51</v>
      </c>
      <c r="AK3376" t="s">
        <v>95</v>
      </c>
      <c r="AL3376" t="s">
        <v>1129</v>
      </c>
      <c r="AP3376" t="s">
        <v>951</v>
      </c>
    </row>
    <row r="3377" spans="1:42">
      <c r="A3377" s="16">
        <v>43804</v>
      </c>
      <c r="B3377">
        <v>4</v>
      </c>
      <c r="C3377">
        <v>977</v>
      </c>
      <c r="D3377">
        <v>14471</v>
      </c>
      <c r="E3377" t="s">
        <v>112</v>
      </c>
      <c r="F3377" t="s">
        <v>949</v>
      </c>
      <c r="G3377">
        <v>2</v>
      </c>
      <c r="H3377">
        <v>75</v>
      </c>
      <c r="I3377" s="25">
        <v>700</v>
      </c>
      <c r="K3377" t="s">
        <v>570</v>
      </c>
      <c r="L3377" t="s">
        <v>141</v>
      </c>
      <c r="M3377" t="s">
        <v>52</v>
      </c>
      <c r="N3377" t="s">
        <v>40</v>
      </c>
      <c r="O3377">
        <v>20</v>
      </c>
      <c r="Q3377">
        <v>2</v>
      </c>
      <c r="R3377">
        <v>1</v>
      </c>
      <c r="S3377">
        <v>0</v>
      </c>
      <c r="T3377">
        <v>0</v>
      </c>
      <c r="U3377">
        <v>2</v>
      </c>
      <c r="V3377">
        <v>0</v>
      </c>
      <c r="W3377">
        <v>0</v>
      </c>
      <c r="X3377" s="21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64</v>
      </c>
      <c r="AJ3377" t="s">
        <v>51</v>
      </c>
      <c r="AK3377" t="s">
        <v>95</v>
      </c>
      <c r="AP3377" t="s">
        <v>951</v>
      </c>
    </row>
    <row r="3378" spans="1:42">
      <c r="A3378" s="16">
        <v>43804</v>
      </c>
      <c r="B3378">
        <v>4</v>
      </c>
      <c r="C3378">
        <v>977</v>
      </c>
      <c r="D3378">
        <v>14471</v>
      </c>
      <c r="E3378" t="s">
        <v>112</v>
      </c>
      <c r="F3378" t="s">
        <v>949</v>
      </c>
      <c r="G3378">
        <v>2</v>
      </c>
      <c r="H3378">
        <v>76</v>
      </c>
      <c r="I3378" s="25">
        <v>747</v>
      </c>
      <c r="K3378" t="s">
        <v>570</v>
      </c>
      <c r="M3378" t="s">
        <v>52</v>
      </c>
      <c r="N3378" t="s">
        <v>44</v>
      </c>
      <c r="O3378">
        <v>81</v>
      </c>
      <c r="Q3378">
        <v>2</v>
      </c>
      <c r="R3378">
        <v>1</v>
      </c>
      <c r="S3378">
        <v>0</v>
      </c>
      <c r="T3378">
        <v>0</v>
      </c>
      <c r="U3378">
        <v>0</v>
      </c>
      <c r="V3378">
        <v>0</v>
      </c>
      <c r="W3378">
        <v>2</v>
      </c>
      <c r="X3378" s="21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192</v>
      </c>
      <c r="AJ3378" t="s">
        <v>1130</v>
      </c>
      <c r="AK3378" t="s">
        <v>95</v>
      </c>
      <c r="AP3378" t="s">
        <v>951</v>
      </c>
    </row>
    <row r="3379" spans="1:42">
      <c r="A3379" s="16">
        <v>43804</v>
      </c>
      <c r="B3379">
        <v>4</v>
      </c>
      <c r="C3379">
        <v>977</v>
      </c>
      <c r="D3379">
        <v>14471</v>
      </c>
      <c r="E3379" t="s">
        <v>112</v>
      </c>
      <c r="F3379" t="s">
        <v>949</v>
      </c>
      <c r="G3379">
        <v>2</v>
      </c>
      <c r="H3379">
        <v>77</v>
      </c>
      <c r="I3379" s="25">
        <v>700</v>
      </c>
      <c r="K3379" t="s">
        <v>570</v>
      </c>
      <c r="L3379" t="s">
        <v>141</v>
      </c>
      <c r="M3379" t="s">
        <v>52</v>
      </c>
      <c r="N3379" t="s">
        <v>40</v>
      </c>
      <c r="O3379">
        <v>120</v>
      </c>
      <c r="Q3379">
        <v>4</v>
      </c>
      <c r="R3379">
        <v>1</v>
      </c>
      <c r="S3379">
        <v>0</v>
      </c>
      <c r="T3379">
        <v>0</v>
      </c>
      <c r="U3379">
        <v>2</v>
      </c>
      <c r="V3379">
        <v>0</v>
      </c>
      <c r="W3379">
        <v>2</v>
      </c>
      <c r="X3379" s="21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156</v>
      </c>
      <c r="AJ3379" t="s">
        <v>54</v>
      </c>
      <c r="AK3379" t="s">
        <v>95</v>
      </c>
      <c r="AP3379" t="s">
        <v>951</v>
      </c>
    </row>
    <row r="3380" spans="1:42">
      <c r="A3380" s="16">
        <v>43804</v>
      </c>
      <c r="B3380">
        <v>4</v>
      </c>
      <c r="C3380">
        <v>977</v>
      </c>
      <c r="D3380">
        <v>14471</v>
      </c>
      <c r="E3380" t="s">
        <v>112</v>
      </c>
      <c r="F3380" t="s">
        <v>949</v>
      </c>
      <c r="G3380">
        <v>2</v>
      </c>
      <c r="H3380">
        <v>78</v>
      </c>
      <c r="I3380" s="25">
        <v>727</v>
      </c>
      <c r="K3380" t="s">
        <v>570</v>
      </c>
      <c r="L3380" t="s">
        <v>141</v>
      </c>
      <c r="M3380" t="s">
        <v>52</v>
      </c>
      <c r="N3380" t="s">
        <v>42</v>
      </c>
      <c r="O3380">
        <v>116</v>
      </c>
      <c r="Q3380">
        <v>2</v>
      </c>
      <c r="R3380">
        <v>1</v>
      </c>
      <c r="S3380">
        <v>0</v>
      </c>
      <c r="T3380">
        <v>0</v>
      </c>
      <c r="U3380">
        <v>2</v>
      </c>
      <c r="V3380">
        <v>0</v>
      </c>
      <c r="W3380">
        <v>0</v>
      </c>
      <c r="X3380" s="21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64</v>
      </c>
      <c r="AJ3380" t="s">
        <v>54</v>
      </c>
      <c r="AK3380" t="s">
        <v>95</v>
      </c>
      <c r="AP3380" t="s">
        <v>951</v>
      </c>
    </row>
    <row r="3381" spans="1:42">
      <c r="A3381" s="16">
        <v>43804</v>
      </c>
      <c r="B3381">
        <v>4</v>
      </c>
      <c r="C3381">
        <v>977</v>
      </c>
      <c r="D3381">
        <v>14471</v>
      </c>
      <c r="E3381" t="s">
        <v>112</v>
      </c>
      <c r="F3381" t="s">
        <v>949</v>
      </c>
      <c r="G3381">
        <v>2</v>
      </c>
      <c r="H3381">
        <v>79</v>
      </c>
      <c r="I3381" s="25">
        <v>2500</v>
      </c>
      <c r="K3381" t="s">
        <v>103</v>
      </c>
      <c r="L3381" t="s">
        <v>141</v>
      </c>
      <c r="M3381" t="s">
        <v>52</v>
      </c>
      <c r="N3381" t="s">
        <v>40</v>
      </c>
      <c r="O3381">
        <v>34</v>
      </c>
      <c r="Q3381">
        <v>2</v>
      </c>
      <c r="R3381">
        <v>1</v>
      </c>
      <c r="S3381">
        <v>0</v>
      </c>
      <c r="T3381">
        <v>0</v>
      </c>
      <c r="U3381">
        <v>1</v>
      </c>
      <c r="V3381">
        <v>1</v>
      </c>
      <c r="W3381">
        <v>0</v>
      </c>
      <c r="X3381" s="2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96</v>
      </c>
      <c r="AJ3381" t="s">
        <v>54</v>
      </c>
      <c r="AK3381" t="s">
        <v>52</v>
      </c>
      <c r="AP3381" t="s">
        <v>951</v>
      </c>
    </row>
    <row r="3382" spans="1:42">
      <c r="A3382" s="16">
        <v>43804</v>
      </c>
      <c r="B3382">
        <v>4</v>
      </c>
      <c r="C3382">
        <v>977</v>
      </c>
      <c r="D3382">
        <v>14471</v>
      </c>
      <c r="E3382" t="s">
        <v>112</v>
      </c>
      <c r="F3382" t="s">
        <v>949</v>
      </c>
      <c r="G3382">
        <v>2</v>
      </c>
      <c r="H3382">
        <v>80</v>
      </c>
      <c r="I3382" s="25">
        <v>2300</v>
      </c>
      <c r="K3382" t="s">
        <v>103</v>
      </c>
      <c r="L3382" t="s">
        <v>141</v>
      </c>
      <c r="M3382" t="s">
        <v>52</v>
      </c>
      <c r="N3382" t="s">
        <v>40</v>
      </c>
      <c r="O3382">
        <v>30</v>
      </c>
      <c r="Q3382">
        <v>2</v>
      </c>
      <c r="R3382">
        <v>1</v>
      </c>
      <c r="S3382">
        <v>0</v>
      </c>
      <c r="T3382">
        <v>0</v>
      </c>
      <c r="U3382">
        <v>1</v>
      </c>
      <c r="V3382">
        <v>1</v>
      </c>
      <c r="W3382">
        <v>0</v>
      </c>
      <c r="X3382" s="21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96</v>
      </c>
      <c r="AJ3382" t="s">
        <v>54</v>
      </c>
      <c r="AK3382" t="s">
        <v>52</v>
      </c>
      <c r="AP3382" t="s">
        <v>951</v>
      </c>
    </row>
    <row r="3383" spans="1:42">
      <c r="A3383" s="16">
        <v>43804</v>
      </c>
      <c r="B3383">
        <v>4</v>
      </c>
      <c r="C3383">
        <v>977</v>
      </c>
      <c r="D3383">
        <v>14471</v>
      </c>
      <c r="E3383" t="s">
        <v>112</v>
      </c>
      <c r="F3383" t="s">
        <v>949</v>
      </c>
      <c r="G3383">
        <v>2</v>
      </c>
      <c r="H3383">
        <v>81</v>
      </c>
      <c r="I3383" s="25">
        <v>2355</v>
      </c>
      <c r="K3383" t="s">
        <v>103</v>
      </c>
      <c r="M3383" t="s">
        <v>52</v>
      </c>
      <c r="N3383" t="s">
        <v>44</v>
      </c>
      <c r="O3383">
        <v>108</v>
      </c>
      <c r="Q3383">
        <v>1</v>
      </c>
      <c r="R3383">
        <v>1</v>
      </c>
      <c r="S3383">
        <v>0</v>
      </c>
      <c r="T3383">
        <v>0</v>
      </c>
      <c r="U3383">
        <v>0</v>
      </c>
      <c r="V3383">
        <v>1</v>
      </c>
      <c r="W3383">
        <v>0</v>
      </c>
      <c r="X3383" s="21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32</v>
      </c>
      <c r="AJ3383" t="s">
        <v>54</v>
      </c>
      <c r="AK3383" t="s">
        <v>95</v>
      </c>
      <c r="AL3383" t="s">
        <v>1131</v>
      </c>
      <c r="AP3383" t="s">
        <v>951</v>
      </c>
    </row>
    <row r="3384" spans="1:42">
      <c r="A3384" s="16">
        <v>43804</v>
      </c>
      <c r="B3384">
        <v>4</v>
      </c>
      <c r="C3384">
        <v>977</v>
      </c>
      <c r="D3384">
        <v>14471</v>
      </c>
      <c r="E3384" t="s">
        <v>112</v>
      </c>
      <c r="F3384" t="s">
        <v>949</v>
      </c>
      <c r="G3384">
        <v>2</v>
      </c>
      <c r="H3384">
        <v>82</v>
      </c>
      <c r="I3384" s="25">
        <v>2331</v>
      </c>
      <c r="K3384" t="s">
        <v>103</v>
      </c>
      <c r="M3384" t="s">
        <v>52</v>
      </c>
      <c r="N3384" t="s">
        <v>44</v>
      </c>
      <c r="O3384">
        <v>81</v>
      </c>
      <c r="Q3384">
        <v>2</v>
      </c>
      <c r="R3384">
        <v>1</v>
      </c>
      <c r="S3384">
        <v>0</v>
      </c>
      <c r="T3384">
        <v>0</v>
      </c>
      <c r="U3384">
        <v>0</v>
      </c>
      <c r="V3384">
        <v>0</v>
      </c>
      <c r="W3384">
        <v>2</v>
      </c>
      <c r="X3384" s="21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192</v>
      </c>
      <c r="AJ3384" t="s">
        <v>54</v>
      </c>
      <c r="AK3384" t="s">
        <v>95</v>
      </c>
      <c r="AP3384" t="s">
        <v>951</v>
      </c>
    </row>
    <row r="3385" spans="1:42">
      <c r="A3385" s="16">
        <v>43804</v>
      </c>
      <c r="B3385">
        <v>4</v>
      </c>
      <c r="C3385">
        <v>977</v>
      </c>
      <c r="D3385">
        <v>14471</v>
      </c>
      <c r="E3385" t="s">
        <v>112</v>
      </c>
      <c r="F3385" t="s">
        <v>949</v>
      </c>
      <c r="G3385">
        <v>2</v>
      </c>
      <c r="H3385">
        <v>83</v>
      </c>
      <c r="I3385" s="25">
        <v>2300</v>
      </c>
      <c r="K3385" t="s">
        <v>103</v>
      </c>
      <c r="L3385" t="s">
        <v>141</v>
      </c>
      <c r="M3385" t="s">
        <v>52</v>
      </c>
      <c r="N3385" t="s">
        <v>40</v>
      </c>
      <c r="O3385">
        <v>37</v>
      </c>
      <c r="Q3385">
        <v>1</v>
      </c>
      <c r="R3385">
        <v>1</v>
      </c>
      <c r="S3385">
        <v>0</v>
      </c>
      <c r="T3385">
        <v>0</v>
      </c>
      <c r="U3385">
        <v>1</v>
      </c>
      <c r="V3385">
        <v>0</v>
      </c>
      <c r="W3385">
        <v>0</v>
      </c>
      <c r="X3385" s="21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32</v>
      </c>
      <c r="AJ3385" t="s">
        <v>54</v>
      </c>
      <c r="AK3385" t="s">
        <v>52</v>
      </c>
      <c r="AP3385" t="s">
        <v>951</v>
      </c>
    </row>
    <row r="3386" spans="1:42">
      <c r="A3386" s="16">
        <v>43804</v>
      </c>
      <c r="B3386">
        <v>4</v>
      </c>
      <c r="C3386">
        <v>977</v>
      </c>
      <c r="D3386">
        <v>14471</v>
      </c>
      <c r="E3386" t="s">
        <v>112</v>
      </c>
      <c r="F3386" t="s">
        <v>949</v>
      </c>
      <c r="G3386">
        <v>2</v>
      </c>
      <c r="H3386">
        <v>84</v>
      </c>
      <c r="I3386" s="25">
        <v>2100</v>
      </c>
      <c r="K3386" t="s">
        <v>103</v>
      </c>
      <c r="L3386" t="s">
        <v>141</v>
      </c>
      <c r="M3386" t="s">
        <v>52</v>
      </c>
      <c r="N3386" t="s">
        <v>40</v>
      </c>
      <c r="O3386">
        <v>81</v>
      </c>
      <c r="Q3386">
        <v>3</v>
      </c>
      <c r="R3386">
        <v>1</v>
      </c>
      <c r="S3386">
        <v>0</v>
      </c>
      <c r="T3386">
        <v>0</v>
      </c>
      <c r="U3386">
        <v>0</v>
      </c>
      <c r="V3386">
        <v>1</v>
      </c>
      <c r="W3386">
        <v>2</v>
      </c>
      <c r="X3386" s="21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256</v>
      </c>
      <c r="AJ3386" t="s">
        <v>54</v>
      </c>
      <c r="AK3386" t="s">
        <v>95</v>
      </c>
      <c r="AP3386" t="s">
        <v>951</v>
      </c>
    </row>
    <row r="3387" spans="1:42">
      <c r="A3387" s="16">
        <v>43804</v>
      </c>
      <c r="B3387">
        <v>4</v>
      </c>
      <c r="C3387">
        <v>977</v>
      </c>
      <c r="D3387">
        <v>14471</v>
      </c>
      <c r="E3387" t="s">
        <v>112</v>
      </c>
      <c r="F3387" t="s">
        <v>949</v>
      </c>
      <c r="G3387">
        <v>2</v>
      </c>
      <c r="H3387">
        <v>85</v>
      </c>
      <c r="I3387" s="25">
        <v>2100</v>
      </c>
      <c r="K3387" t="s">
        <v>103</v>
      </c>
      <c r="L3387" t="s">
        <v>141</v>
      </c>
      <c r="M3387" t="s">
        <v>52</v>
      </c>
      <c r="N3387" t="s">
        <v>40</v>
      </c>
      <c r="O3387">
        <v>53</v>
      </c>
      <c r="Q3387">
        <v>3</v>
      </c>
      <c r="R3387">
        <v>1</v>
      </c>
      <c r="S3387">
        <v>0</v>
      </c>
      <c r="T3387">
        <v>0</v>
      </c>
      <c r="U3387">
        <v>0</v>
      </c>
      <c r="V3387">
        <v>1</v>
      </c>
      <c r="W3387">
        <v>2</v>
      </c>
      <c r="X3387" s="21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256</v>
      </c>
      <c r="AJ3387" t="s">
        <v>54</v>
      </c>
      <c r="AK3387" t="s">
        <v>95</v>
      </c>
      <c r="AP3387" t="s">
        <v>951</v>
      </c>
    </row>
    <row r="3388" spans="1:42">
      <c r="A3388" s="16">
        <v>43804</v>
      </c>
      <c r="B3388">
        <v>4</v>
      </c>
      <c r="C3388">
        <v>977</v>
      </c>
      <c r="D3388">
        <v>14471</v>
      </c>
      <c r="E3388" t="s">
        <v>112</v>
      </c>
      <c r="F3388" t="s">
        <v>949</v>
      </c>
      <c r="G3388">
        <v>2</v>
      </c>
      <c r="H3388">
        <v>86</v>
      </c>
      <c r="I3388" s="25">
        <v>2119</v>
      </c>
      <c r="K3388" t="s">
        <v>103</v>
      </c>
      <c r="M3388" t="s">
        <v>52</v>
      </c>
      <c r="N3388" t="s">
        <v>44</v>
      </c>
      <c r="O3388">
        <v>111</v>
      </c>
      <c r="Q3388">
        <v>1</v>
      </c>
      <c r="R3388">
        <v>1</v>
      </c>
      <c r="S3388">
        <v>0</v>
      </c>
      <c r="T3388">
        <v>0</v>
      </c>
      <c r="U3388">
        <v>0</v>
      </c>
      <c r="V3388">
        <v>0</v>
      </c>
      <c r="W3388">
        <v>1</v>
      </c>
      <c r="X3388" s="21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96</v>
      </c>
      <c r="AJ3388" t="s">
        <v>54</v>
      </c>
      <c r="AK3388" t="s">
        <v>95</v>
      </c>
      <c r="AL3388" t="s">
        <v>1132</v>
      </c>
      <c r="AP3388" t="s">
        <v>951</v>
      </c>
    </row>
    <row r="3389" spans="1:42">
      <c r="A3389" s="16">
        <v>43804</v>
      </c>
      <c r="B3389">
        <v>4</v>
      </c>
      <c r="C3389">
        <v>977</v>
      </c>
      <c r="D3389">
        <v>14471</v>
      </c>
      <c r="E3389" t="s">
        <v>112</v>
      </c>
      <c r="F3389" t="s">
        <v>949</v>
      </c>
      <c r="G3389">
        <v>2</v>
      </c>
      <c r="H3389">
        <v>87</v>
      </c>
      <c r="I3389" s="25">
        <v>2100</v>
      </c>
      <c r="K3389" t="s">
        <v>103</v>
      </c>
      <c r="L3389" t="s">
        <v>141</v>
      </c>
      <c r="M3389" t="s">
        <v>52</v>
      </c>
      <c r="N3389" t="s">
        <v>40</v>
      </c>
      <c r="O3389">
        <v>42</v>
      </c>
      <c r="Q3389">
        <v>3</v>
      </c>
      <c r="R3389">
        <v>1</v>
      </c>
      <c r="S3389">
        <v>0</v>
      </c>
      <c r="T3389">
        <v>0</v>
      </c>
      <c r="U3389">
        <v>0</v>
      </c>
      <c r="V3389">
        <v>2</v>
      </c>
      <c r="W3389">
        <v>1</v>
      </c>
      <c r="X3389" s="21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224</v>
      </c>
      <c r="AJ3389" t="s">
        <v>54</v>
      </c>
      <c r="AK3389" t="s">
        <v>95</v>
      </c>
      <c r="AP3389" t="s">
        <v>951</v>
      </c>
    </row>
    <row r="3390" spans="1:42">
      <c r="A3390" s="16">
        <v>43804</v>
      </c>
      <c r="B3390">
        <v>4</v>
      </c>
      <c r="C3390">
        <v>977</v>
      </c>
      <c r="D3390">
        <v>14471</v>
      </c>
      <c r="E3390" t="s">
        <v>112</v>
      </c>
      <c r="F3390" t="s">
        <v>949</v>
      </c>
      <c r="G3390">
        <v>2</v>
      </c>
      <c r="H3390">
        <v>88</v>
      </c>
      <c r="I3390" s="25">
        <v>2102</v>
      </c>
      <c r="K3390" t="s">
        <v>103</v>
      </c>
      <c r="M3390" t="s">
        <v>52</v>
      </c>
      <c r="N3390" t="s">
        <v>44</v>
      </c>
      <c r="O3390">
        <v>62</v>
      </c>
      <c r="Q3390">
        <v>1</v>
      </c>
      <c r="R3390">
        <v>1</v>
      </c>
      <c r="S3390">
        <v>0</v>
      </c>
      <c r="T3390">
        <v>0</v>
      </c>
      <c r="U3390">
        <v>0</v>
      </c>
      <c r="V3390">
        <v>0</v>
      </c>
      <c r="W3390">
        <v>1</v>
      </c>
      <c r="X3390" s="21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96</v>
      </c>
      <c r="AJ3390" t="s">
        <v>54</v>
      </c>
      <c r="AK3390" t="s">
        <v>52</v>
      </c>
      <c r="AP3390" t="s">
        <v>951</v>
      </c>
    </row>
    <row r="3391" spans="1:42">
      <c r="A3391" s="16">
        <v>43804</v>
      </c>
      <c r="B3391">
        <v>4</v>
      </c>
      <c r="C3391">
        <v>977</v>
      </c>
      <c r="D3391">
        <v>14471</v>
      </c>
      <c r="E3391" t="s">
        <v>112</v>
      </c>
      <c r="F3391" t="s">
        <v>949</v>
      </c>
      <c r="G3391">
        <v>2</v>
      </c>
      <c r="H3391">
        <v>89</v>
      </c>
      <c r="I3391" s="25">
        <v>2200</v>
      </c>
      <c r="K3391" t="s">
        <v>103</v>
      </c>
      <c r="L3391" t="s">
        <v>114</v>
      </c>
      <c r="M3391" t="s">
        <v>52</v>
      </c>
      <c r="N3391" t="s">
        <v>40</v>
      </c>
      <c r="O3391">
        <v>42</v>
      </c>
      <c r="Q3391">
        <v>2</v>
      </c>
      <c r="R3391">
        <v>1</v>
      </c>
      <c r="S3391">
        <v>0</v>
      </c>
      <c r="T3391">
        <v>0</v>
      </c>
      <c r="U3391">
        <v>0</v>
      </c>
      <c r="V3391">
        <v>1</v>
      </c>
      <c r="W3391">
        <v>1</v>
      </c>
      <c r="X3391" s="2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160</v>
      </c>
      <c r="AJ3391" t="s">
        <v>54</v>
      </c>
      <c r="AK3391" t="s">
        <v>52</v>
      </c>
      <c r="AP3391" t="s">
        <v>951</v>
      </c>
    </row>
    <row r="3392" spans="1:42">
      <c r="A3392" s="16">
        <v>43804</v>
      </c>
      <c r="B3392">
        <v>4</v>
      </c>
      <c r="C3392">
        <v>977</v>
      </c>
      <c r="D3392">
        <v>14471</v>
      </c>
      <c r="E3392" t="s">
        <v>112</v>
      </c>
      <c r="F3392" t="s">
        <v>949</v>
      </c>
      <c r="G3392">
        <v>2</v>
      </c>
      <c r="H3392">
        <v>90</v>
      </c>
      <c r="I3392" s="25">
        <v>2200</v>
      </c>
      <c r="K3392" t="s">
        <v>103</v>
      </c>
      <c r="L3392" t="s">
        <v>114</v>
      </c>
      <c r="M3392" t="s">
        <v>52</v>
      </c>
      <c r="N3392" t="s">
        <v>40</v>
      </c>
      <c r="O3392">
        <v>89</v>
      </c>
      <c r="Q3392">
        <v>4</v>
      </c>
      <c r="R3392">
        <v>1</v>
      </c>
      <c r="S3392">
        <v>0</v>
      </c>
      <c r="T3392">
        <v>0</v>
      </c>
      <c r="U3392">
        <v>1</v>
      </c>
      <c r="V3392">
        <v>1</v>
      </c>
      <c r="W3392">
        <v>2</v>
      </c>
      <c r="X3392" s="21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288</v>
      </c>
      <c r="AJ3392" t="s">
        <v>54</v>
      </c>
      <c r="AK3392" t="s">
        <v>52</v>
      </c>
      <c r="AP3392" t="s">
        <v>951</v>
      </c>
    </row>
    <row r="3393" spans="1:42">
      <c r="A3393" s="16">
        <v>43804</v>
      </c>
      <c r="B3393">
        <v>4</v>
      </c>
      <c r="C3393">
        <v>977</v>
      </c>
      <c r="D3393">
        <v>14471</v>
      </c>
      <c r="E3393" t="s">
        <v>112</v>
      </c>
      <c r="F3393" t="s">
        <v>949</v>
      </c>
      <c r="G3393">
        <v>2</v>
      </c>
      <c r="H3393">
        <v>91</v>
      </c>
      <c r="I3393" s="25">
        <v>2228</v>
      </c>
      <c r="K3393" t="s">
        <v>103</v>
      </c>
      <c r="M3393" t="s">
        <v>52</v>
      </c>
      <c r="N3393" t="s">
        <v>44</v>
      </c>
      <c r="O3393">
        <v>73</v>
      </c>
      <c r="Q3393">
        <v>1</v>
      </c>
      <c r="R3393">
        <v>1</v>
      </c>
      <c r="S3393">
        <v>0</v>
      </c>
      <c r="T3393">
        <v>0</v>
      </c>
      <c r="U3393">
        <v>0</v>
      </c>
      <c r="V3393">
        <v>0</v>
      </c>
      <c r="W3393">
        <v>1</v>
      </c>
      <c r="X3393" s="21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96</v>
      </c>
      <c r="AJ3393" t="s">
        <v>54</v>
      </c>
      <c r="AK3393" t="s">
        <v>52</v>
      </c>
      <c r="AL3393" t="s">
        <v>1129</v>
      </c>
      <c r="AP3393" t="s">
        <v>951</v>
      </c>
    </row>
    <row r="3394" spans="1:42">
      <c r="A3394" s="16">
        <v>43804</v>
      </c>
      <c r="B3394">
        <v>4</v>
      </c>
      <c r="C3394">
        <v>977</v>
      </c>
      <c r="D3394">
        <v>14471</v>
      </c>
      <c r="E3394" t="s">
        <v>112</v>
      </c>
      <c r="F3394" t="s">
        <v>949</v>
      </c>
      <c r="G3394">
        <v>2</v>
      </c>
      <c r="H3394">
        <v>92</v>
      </c>
      <c r="I3394" s="25">
        <v>2200</v>
      </c>
      <c r="K3394" t="s">
        <v>103</v>
      </c>
      <c r="L3394" t="s">
        <v>114</v>
      </c>
      <c r="M3394" t="s">
        <v>52</v>
      </c>
      <c r="N3394" t="s">
        <v>40</v>
      </c>
      <c r="O3394">
        <v>95</v>
      </c>
      <c r="Q3394">
        <v>5</v>
      </c>
      <c r="R3394">
        <v>1</v>
      </c>
      <c r="S3394">
        <v>0</v>
      </c>
      <c r="T3394">
        <v>0</v>
      </c>
      <c r="U3394">
        <v>1</v>
      </c>
      <c r="V3394">
        <v>3</v>
      </c>
      <c r="W3394">
        <v>1</v>
      </c>
      <c r="X3394" s="21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320</v>
      </c>
      <c r="AJ3394" t="s">
        <v>54</v>
      </c>
      <c r="AK3394" t="s">
        <v>52</v>
      </c>
      <c r="AP3394" t="s">
        <v>951</v>
      </c>
    </row>
    <row r="3395" spans="1:42">
      <c r="A3395" s="16">
        <v>43804</v>
      </c>
      <c r="B3395">
        <v>4</v>
      </c>
      <c r="C3395">
        <v>977</v>
      </c>
      <c r="D3395">
        <v>14471</v>
      </c>
      <c r="E3395" t="s">
        <v>112</v>
      </c>
      <c r="F3395" t="s">
        <v>949</v>
      </c>
      <c r="G3395">
        <v>2</v>
      </c>
      <c r="H3395">
        <v>93</v>
      </c>
      <c r="I3395" s="25">
        <v>2200</v>
      </c>
      <c r="K3395" t="s">
        <v>103</v>
      </c>
      <c r="L3395" t="s">
        <v>114</v>
      </c>
      <c r="M3395" t="s">
        <v>52</v>
      </c>
      <c r="N3395" t="s">
        <v>40</v>
      </c>
      <c r="O3395">
        <v>25</v>
      </c>
      <c r="Q3395">
        <v>1</v>
      </c>
      <c r="R3395">
        <v>1</v>
      </c>
      <c r="S3395">
        <v>0</v>
      </c>
      <c r="T3395">
        <v>0</v>
      </c>
      <c r="U3395">
        <v>0</v>
      </c>
      <c r="V3395">
        <v>1</v>
      </c>
      <c r="W3395">
        <v>0</v>
      </c>
      <c r="X3395" s="21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64</v>
      </c>
      <c r="AJ3395" t="s">
        <v>54</v>
      </c>
      <c r="AK3395" t="s">
        <v>52</v>
      </c>
      <c r="AP3395" t="s">
        <v>951</v>
      </c>
    </row>
    <row r="3396" spans="1:42">
      <c r="A3396" s="16">
        <v>43804</v>
      </c>
      <c r="B3396">
        <v>4</v>
      </c>
      <c r="C3396">
        <v>977</v>
      </c>
      <c r="D3396">
        <v>14471</v>
      </c>
      <c r="E3396" t="s">
        <v>112</v>
      </c>
      <c r="F3396" t="s">
        <v>949</v>
      </c>
      <c r="G3396">
        <v>2</v>
      </c>
      <c r="H3396">
        <v>94</v>
      </c>
      <c r="I3396" s="25">
        <v>2300</v>
      </c>
      <c r="K3396" t="s">
        <v>103</v>
      </c>
      <c r="L3396" t="s">
        <v>114</v>
      </c>
      <c r="M3396" t="s">
        <v>52</v>
      </c>
      <c r="N3396" t="s">
        <v>40</v>
      </c>
      <c r="O3396">
        <v>59</v>
      </c>
      <c r="Q3396">
        <v>4</v>
      </c>
      <c r="R3396">
        <v>1</v>
      </c>
      <c r="S3396">
        <v>0</v>
      </c>
      <c r="T3396">
        <v>0</v>
      </c>
      <c r="U3396">
        <v>0</v>
      </c>
      <c r="V3396">
        <v>2</v>
      </c>
      <c r="W3396">
        <v>2</v>
      </c>
      <c r="X3396" s="21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320</v>
      </c>
      <c r="AJ3396" t="s">
        <v>51</v>
      </c>
      <c r="AK3396" t="s">
        <v>52</v>
      </c>
      <c r="AP3396" t="s">
        <v>951</v>
      </c>
    </row>
    <row r="3397" spans="1:42">
      <c r="A3397" s="16">
        <v>43804</v>
      </c>
      <c r="B3397">
        <v>4</v>
      </c>
      <c r="C3397">
        <v>977</v>
      </c>
      <c r="D3397">
        <v>14471</v>
      </c>
      <c r="E3397" t="s">
        <v>112</v>
      </c>
      <c r="F3397" t="s">
        <v>949</v>
      </c>
      <c r="G3397">
        <v>2</v>
      </c>
      <c r="H3397">
        <v>95</v>
      </c>
      <c r="I3397" s="25">
        <v>2338</v>
      </c>
      <c r="K3397" t="s">
        <v>103</v>
      </c>
      <c r="M3397" t="s">
        <v>52</v>
      </c>
      <c r="N3397" t="s">
        <v>44</v>
      </c>
      <c r="O3397">
        <v>60</v>
      </c>
      <c r="Q3397">
        <v>1</v>
      </c>
      <c r="R3397">
        <v>1</v>
      </c>
      <c r="S3397">
        <v>0</v>
      </c>
      <c r="T3397">
        <v>0</v>
      </c>
      <c r="U3397">
        <v>0</v>
      </c>
      <c r="V3397">
        <v>0</v>
      </c>
      <c r="W3397">
        <v>1</v>
      </c>
      <c r="X3397" s="21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96</v>
      </c>
      <c r="AJ3397" t="s">
        <v>51</v>
      </c>
      <c r="AK3397" t="s">
        <v>52</v>
      </c>
      <c r="AP3397" t="s">
        <v>951</v>
      </c>
    </row>
    <row r="3398" spans="1:42">
      <c r="A3398" s="16">
        <v>43804</v>
      </c>
      <c r="B3398">
        <v>4</v>
      </c>
      <c r="C3398">
        <v>977</v>
      </c>
      <c r="D3398">
        <v>14471</v>
      </c>
      <c r="E3398" t="s">
        <v>112</v>
      </c>
      <c r="F3398" t="s">
        <v>949</v>
      </c>
      <c r="G3398">
        <v>2</v>
      </c>
      <c r="H3398">
        <v>96</v>
      </c>
      <c r="I3398" s="25">
        <v>2342</v>
      </c>
      <c r="K3398" t="s">
        <v>103</v>
      </c>
      <c r="M3398" t="s">
        <v>52</v>
      </c>
      <c r="N3398" t="s">
        <v>44</v>
      </c>
      <c r="O3398">
        <v>61</v>
      </c>
      <c r="Q3398">
        <v>1</v>
      </c>
      <c r="R3398">
        <v>1</v>
      </c>
      <c r="S3398">
        <v>0</v>
      </c>
      <c r="T3398">
        <v>0</v>
      </c>
      <c r="U3398">
        <v>0</v>
      </c>
      <c r="V3398">
        <v>1</v>
      </c>
      <c r="W3398">
        <v>0</v>
      </c>
      <c r="X3398" s="21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64</v>
      </c>
      <c r="AJ3398" t="s">
        <v>51</v>
      </c>
      <c r="AK3398" t="s">
        <v>52</v>
      </c>
      <c r="AP3398" t="s">
        <v>951</v>
      </c>
    </row>
    <row r="3399" spans="1:42">
      <c r="A3399" s="16">
        <v>43804</v>
      </c>
      <c r="B3399">
        <v>4</v>
      </c>
      <c r="C3399">
        <v>977</v>
      </c>
      <c r="D3399">
        <v>14471</v>
      </c>
      <c r="E3399" t="s">
        <v>112</v>
      </c>
      <c r="F3399" t="s">
        <v>949</v>
      </c>
      <c r="G3399">
        <v>2</v>
      </c>
      <c r="H3399">
        <v>97</v>
      </c>
      <c r="I3399" s="25">
        <v>2300</v>
      </c>
      <c r="K3399" t="s">
        <v>103</v>
      </c>
      <c r="L3399" t="s">
        <v>114</v>
      </c>
      <c r="M3399" t="s">
        <v>52</v>
      </c>
      <c r="N3399" t="s">
        <v>40</v>
      </c>
      <c r="O3399">
        <v>67</v>
      </c>
      <c r="Q3399">
        <v>3</v>
      </c>
      <c r="R3399">
        <v>1</v>
      </c>
      <c r="S3399">
        <v>0</v>
      </c>
      <c r="T3399">
        <v>0</v>
      </c>
      <c r="U3399">
        <v>2</v>
      </c>
      <c r="V3399">
        <v>1</v>
      </c>
      <c r="W3399">
        <v>0</v>
      </c>
      <c r="X3399" s="21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128</v>
      </c>
      <c r="AJ3399" t="s">
        <v>51</v>
      </c>
      <c r="AK3399" t="s">
        <v>52</v>
      </c>
      <c r="AP3399" t="s">
        <v>951</v>
      </c>
    </row>
    <row r="3400" spans="1:42">
      <c r="A3400" s="16">
        <v>43804</v>
      </c>
      <c r="B3400">
        <v>4</v>
      </c>
      <c r="C3400">
        <v>977</v>
      </c>
      <c r="D3400">
        <v>14471</v>
      </c>
      <c r="E3400" t="s">
        <v>112</v>
      </c>
      <c r="F3400" t="s">
        <v>949</v>
      </c>
      <c r="G3400">
        <v>2</v>
      </c>
      <c r="H3400">
        <v>98</v>
      </c>
      <c r="I3400" s="25">
        <v>798</v>
      </c>
      <c r="K3400" t="s">
        <v>324</v>
      </c>
      <c r="M3400" t="s">
        <v>52</v>
      </c>
      <c r="N3400" t="s">
        <v>44</v>
      </c>
      <c r="O3400">
        <v>100</v>
      </c>
      <c r="Q3400">
        <v>2</v>
      </c>
      <c r="R3400">
        <v>1</v>
      </c>
      <c r="S3400">
        <v>0</v>
      </c>
      <c r="T3400">
        <v>0</v>
      </c>
      <c r="U3400">
        <v>0</v>
      </c>
      <c r="V3400">
        <v>0</v>
      </c>
      <c r="W3400">
        <v>2</v>
      </c>
      <c r="X3400" s="21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192</v>
      </c>
      <c r="AJ3400" t="s">
        <v>54</v>
      </c>
      <c r="AK3400" t="s">
        <v>52</v>
      </c>
      <c r="AP3400" t="s">
        <v>951</v>
      </c>
    </row>
    <row r="3401" spans="1:42">
      <c r="A3401" s="16">
        <v>43804</v>
      </c>
      <c r="B3401">
        <v>4</v>
      </c>
      <c r="C3401">
        <v>977</v>
      </c>
      <c r="D3401">
        <v>14471</v>
      </c>
      <c r="E3401" t="s">
        <v>112</v>
      </c>
      <c r="F3401" t="s">
        <v>949</v>
      </c>
      <c r="G3401">
        <v>2</v>
      </c>
      <c r="H3401">
        <v>99</v>
      </c>
      <c r="I3401" s="25">
        <v>2410</v>
      </c>
      <c r="K3401" t="s">
        <v>103</v>
      </c>
      <c r="M3401" t="s">
        <v>52</v>
      </c>
      <c r="N3401" t="s">
        <v>44</v>
      </c>
      <c r="O3401">
        <v>46</v>
      </c>
      <c r="Q3401">
        <v>1</v>
      </c>
      <c r="R3401">
        <v>1</v>
      </c>
      <c r="S3401">
        <v>0</v>
      </c>
      <c r="T3401">
        <v>0</v>
      </c>
      <c r="U3401">
        <v>1</v>
      </c>
      <c r="V3401">
        <v>0</v>
      </c>
      <c r="W3401">
        <v>0</v>
      </c>
      <c r="X3401" s="2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32</v>
      </c>
      <c r="AJ3401" t="s">
        <v>54</v>
      </c>
      <c r="AK3401" t="s">
        <v>95</v>
      </c>
      <c r="AP3401" t="s">
        <v>951</v>
      </c>
    </row>
    <row r="3402" spans="1:42">
      <c r="A3402" s="16">
        <v>43804</v>
      </c>
      <c r="B3402">
        <v>4</v>
      </c>
      <c r="C3402">
        <v>977</v>
      </c>
      <c r="D3402">
        <v>14471</v>
      </c>
      <c r="E3402" t="s">
        <v>112</v>
      </c>
      <c r="F3402" t="s">
        <v>949</v>
      </c>
      <c r="G3402">
        <v>2</v>
      </c>
      <c r="H3402">
        <v>100</v>
      </c>
      <c r="I3402" s="25">
        <v>2424</v>
      </c>
      <c r="K3402" t="s">
        <v>103</v>
      </c>
      <c r="M3402" t="s">
        <v>52</v>
      </c>
      <c r="N3402" t="s">
        <v>44</v>
      </c>
      <c r="O3402">
        <v>56</v>
      </c>
      <c r="Q3402">
        <v>1</v>
      </c>
      <c r="R3402">
        <v>1</v>
      </c>
      <c r="S3402">
        <v>0</v>
      </c>
      <c r="T3402">
        <v>0</v>
      </c>
      <c r="U3402">
        <v>1</v>
      </c>
      <c r="V3402">
        <v>0</v>
      </c>
      <c r="W3402">
        <v>0</v>
      </c>
      <c r="X3402" s="21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32</v>
      </c>
      <c r="AJ3402" t="s">
        <v>54</v>
      </c>
      <c r="AK3402" t="s">
        <v>95</v>
      </c>
      <c r="AP3402" t="s">
        <v>951</v>
      </c>
    </row>
    <row r="3403" spans="1:42">
      <c r="A3403" s="16">
        <v>43804</v>
      </c>
      <c r="B3403">
        <v>4</v>
      </c>
      <c r="C3403">
        <v>977</v>
      </c>
      <c r="D3403">
        <v>14471</v>
      </c>
      <c r="E3403" t="s">
        <v>112</v>
      </c>
      <c r="F3403" t="s">
        <v>949</v>
      </c>
      <c r="G3403">
        <v>2</v>
      </c>
      <c r="H3403">
        <v>101</v>
      </c>
      <c r="I3403" s="25">
        <v>2400</v>
      </c>
      <c r="K3403" t="s">
        <v>103</v>
      </c>
      <c r="M3403" t="s">
        <v>52</v>
      </c>
      <c r="N3403" t="s">
        <v>40</v>
      </c>
      <c r="O3403">
        <v>27</v>
      </c>
      <c r="Q3403">
        <v>1</v>
      </c>
      <c r="R3403">
        <v>1</v>
      </c>
      <c r="S3403">
        <v>0</v>
      </c>
      <c r="T3403">
        <v>0</v>
      </c>
      <c r="U3403">
        <v>1</v>
      </c>
      <c r="V3403">
        <v>0</v>
      </c>
      <c r="W3403">
        <v>0</v>
      </c>
      <c r="X3403" s="21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32</v>
      </c>
      <c r="AJ3403" t="s">
        <v>54</v>
      </c>
      <c r="AK3403" t="s">
        <v>95</v>
      </c>
      <c r="AP3403" t="s">
        <v>951</v>
      </c>
    </row>
    <row r="3404" spans="1:42">
      <c r="A3404" s="16">
        <v>43804</v>
      </c>
      <c r="B3404">
        <v>4</v>
      </c>
      <c r="C3404">
        <v>977</v>
      </c>
      <c r="D3404">
        <v>14471</v>
      </c>
      <c r="E3404" t="s">
        <v>112</v>
      </c>
      <c r="F3404" t="s">
        <v>949</v>
      </c>
      <c r="G3404">
        <v>2</v>
      </c>
      <c r="H3404">
        <v>102</v>
      </c>
      <c r="I3404" s="25" t="s">
        <v>1133</v>
      </c>
      <c r="K3404" t="s">
        <v>1134</v>
      </c>
      <c r="M3404" t="s">
        <v>52</v>
      </c>
      <c r="N3404" t="s">
        <v>44</v>
      </c>
      <c r="O3404">
        <v>372</v>
      </c>
      <c r="Q3404">
        <v>10</v>
      </c>
      <c r="R3404">
        <v>1</v>
      </c>
      <c r="S3404">
        <v>0</v>
      </c>
      <c r="T3404">
        <v>0</v>
      </c>
      <c r="U3404">
        <v>1</v>
      </c>
      <c r="V3404">
        <v>3</v>
      </c>
      <c r="W3404">
        <v>4</v>
      </c>
      <c r="X3404" s="21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2</v>
      </c>
      <c r="AG3404">
        <v>0</v>
      </c>
      <c r="AH3404">
        <v>608</v>
      </c>
      <c r="AJ3404" t="s">
        <v>51</v>
      </c>
      <c r="AK3404" t="s">
        <v>95</v>
      </c>
      <c r="AL3404" t="s">
        <v>1135</v>
      </c>
      <c r="AP3404" t="s">
        <v>951</v>
      </c>
    </row>
    <row r="3405" spans="1:42">
      <c r="A3405" s="16">
        <v>43804</v>
      </c>
      <c r="B3405">
        <v>4</v>
      </c>
      <c r="C3405">
        <v>977</v>
      </c>
      <c r="D3405">
        <v>14471</v>
      </c>
      <c r="E3405" t="s">
        <v>112</v>
      </c>
      <c r="F3405" t="s">
        <v>949</v>
      </c>
      <c r="G3405">
        <v>2</v>
      </c>
      <c r="H3405">
        <v>103</v>
      </c>
      <c r="I3405" s="25">
        <v>700</v>
      </c>
      <c r="K3405" t="s">
        <v>324</v>
      </c>
      <c r="L3405" t="s">
        <v>114</v>
      </c>
      <c r="M3405" t="s">
        <v>52</v>
      </c>
      <c r="N3405" t="s">
        <v>40</v>
      </c>
      <c r="O3405">
        <v>33</v>
      </c>
      <c r="Q3405">
        <v>2</v>
      </c>
      <c r="R3405">
        <v>1</v>
      </c>
      <c r="S3405">
        <v>0</v>
      </c>
      <c r="T3405">
        <v>0</v>
      </c>
      <c r="U3405">
        <v>1</v>
      </c>
      <c r="V3405">
        <v>1</v>
      </c>
      <c r="W3405">
        <v>0</v>
      </c>
      <c r="X3405" s="21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96</v>
      </c>
      <c r="AJ3405" t="s">
        <v>54</v>
      </c>
      <c r="AK3405" t="s">
        <v>52</v>
      </c>
      <c r="AP3405" t="s">
        <v>951</v>
      </c>
    </row>
    <row r="3406" spans="1:42">
      <c r="A3406" s="16">
        <v>43804</v>
      </c>
      <c r="B3406">
        <v>4</v>
      </c>
      <c r="C3406">
        <v>977</v>
      </c>
      <c r="D3406">
        <v>14471</v>
      </c>
      <c r="E3406" t="s">
        <v>112</v>
      </c>
      <c r="F3406" t="s">
        <v>949</v>
      </c>
      <c r="G3406">
        <v>2</v>
      </c>
      <c r="H3406">
        <v>104</v>
      </c>
      <c r="I3406" s="25">
        <v>700</v>
      </c>
      <c r="K3406" t="s">
        <v>324</v>
      </c>
      <c r="L3406" t="s">
        <v>141</v>
      </c>
      <c r="M3406" t="s">
        <v>52</v>
      </c>
      <c r="N3406" t="s">
        <v>40</v>
      </c>
      <c r="O3406">
        <v>31</v>
      </c>
      <c r="Q3406">
        <v>1</v>
      </c>
      <c r="R3406">
        <v>1</v>
      </c>
      <c r="S3406">
        <v>0</v>
      </c>
      <c r="T3406">
        <v>0</v>
      </c>
      <c r="U3406">
        <v>0</v>
      </c>
      <c r="V3406">
        <v>1</v>
      </c>
      <c r="W3406">
        <v>0</v>
      </c>
      <c r="X3406" s="21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64</v>
      </c>
      <c r="AJ3406" t="s">
        <v>54</v>
      </c>
      <c r="AK3406" t="s">
        <v>95</v>
      </c>
      <c r="AP3406" t="s">
        <v>951</v>
      </c>
    </row>
    <row r="3407" spans="1:42">
      <c r="A3407" s="16">
        <v>43804</v>
      </c>
      <c r="B3407">
        <v>4</v>
      </c>
      <c r="C3407">
        <v>977</v>
      </c>
      <c r="D3407">
        <v>14471</v>
      </c>
      <c r="E3407" t="s">
        <v>112</v>
      </c>
      <c r="F3407" t="s">
        <v>949</v>
      </c>
      <c r="G3407">
        <v>2</v>
      </c>
      <c r="H3407">
        <v>105</v>
      </c>
      <c r="I3407" s="25">
        <v>874</v>
      </c>
      <c r="K3407" t="s">
        <v>324</v>
      </c>
      <c r="M3407" t="s">
        <v>52</v>
      </c>
      <c r="N3407" t="s">
        <v>44</v>
      </c>
      <c r="O3407">
        <v>81</v>
      </c>
      <c r="Q3407">
        <v>2</v>
      </c>
      <c r="R3407">
        <v>1</v>
      </c>
      <c r="S3407">
        <v>0</v>
      </c>
      <c r="T3407">
        <v>0</v>
      </c>
      <c r="U3407">
        <v>0</v>
      </c>
      <c r="V3407">
        <v>1</v>
      </c>
      <c r="W3407">
        <v>1</v>
      </c>
      <c r="X3407" s="21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160</v>
      </c>
      <c r="AJ3407" t="s">
        <v>54</v>
      </c>
      <c r="AK3407" t="s">
        <v>95</v>
      </c>
      <c r="AP3407" t="s">
        <v>951</v>
      </c>
    </row>
    <row r="3408" spans="1:42">
      <c r="A3408" s="16">
        <v>43804</v>
      </c>
      <c r="B3408">
        <v>4</v>
      </c>
      <c r="C3408">
        <v>977</v>
      </c>
      <c r="D3408">
        <v>14471</v>
      </c>
      <c r="E3408" t="s">
        <v>112</v>
      </c>
      <c r="F3408" t="s">
        <v>949</v>
      </c>
      <c r="G3408">
        <v>2</v>
      </c>
      <c r="H3408">
        <v>106</v>
      </c>
      <c r="I3408" s="25">
        <v>800</v>
      </c>
      <c r="K3408" t="s">
        <v>324</v>
      </c>
      <c r="L3408" t="s">
        <v>114</v>
      </c>
      <c r="M3408" t="s">
        <v>52</v>
      </c>
      <c r="N3408" t="s">
        <v>40</v>
      </c>
      <c r="O3408">
        <v>60</v>
      </c>
      <c r="Q3408">
        <v>4</v>
      </c>
      <c r="R3408">
        <v>1</v>
      </c>
      <c r="S3408">
        <v>0</v>
      </c>
      <c r="T3408">
        <v>0</v>
      </c>
      <c r="U3408">
        <v>0</v>
      </c>
      <c r="V3408">
        <v>2</v>
      </c>
      <c r="W3408">
        <v>2</v>
      </c>
      <c r="X3408" s="21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320</v>
      </c>
      <c r="AJ3408" t="s">
        <v>54</v>
      </c>
      <c r="AK3408" t="s">
        <v>95</v>
      </c>
      <c r="AP3408" t="s">
        <v>951</v>
      </c>
    </row>
    <row r="3409" spans="1:42">
      <c r="A3409" s="16">
        <v>43804</v>
      </c>
      <c r="B3409">
        <v>4</v>
      </c>
      <c r="C3409">
        <v>977</v>
      </c>
      <c r="D3409">
        <v>14471</v>
      </c>
      <c r="E3409" t="s">
        <v>112</v>
      </c>
      <c r="F3409" t="s">
        <v>949</v>
      </c>
      <c r="G3409">
        <v>2</v>
      </c>
      <c r="H3409">
        <v>107</v>
      </c>
      <c r="I3409" s="25">
        <v>2351</v>
      </c>
      <c r="K3409" t="s">
        <v>91</v>
      </c>
      <c r="M3409" t="s">
        <v>52</v>
      </c>
      <c r="N3409" t="s">
        <v>44</v>
      </c>
      <c r="O3409">
        <v>54</v>
      </c>
      <c r="Q3409">
        <v>3</v>
      </c>
      <c r="R3409">
        <v>1</v>
      </c>
      <c r="S3409">
        <v>0</v>
      </c>
      <c r="T3409">
        <v>0</v>
      </c>
      <c r="U3409">
        <v>0</v>
      </c>
      <c r="V3409">
        <v>0</v>
      </c>
      <c r="W3409">
        <v>3</v>
      </c>
      <c r="X3409" s="21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288</v>
      </c>
      <c r="AJ3409" t="s">
        <v>54</v>
      </c>
      <c r="AK3409" t="s">
        <v>95</v>
      </c>
      <c r="AP3409" t="s">
        <v>951</v>
      </c>
    </row>
    <row r="3410" spans="1:42">
      <c r="A3410" s="16">
        <v>43804</v>
      </c>
      <c r="B3410">
        <v>4</v>
      </c>
      <c r="C3410">
        <v>977</v>
      </c>
      <c r="D3410">
        <v>14471</v>
      </c>
      <c r="E3410" t="s">
        <v>112</v>
      </c>
      <c r="F3410" t="s">
        <v>949</v>
      </c>
      <c r="G3410">
        <v>2</v>
      </c>
      <c r="H3410">
        <v>108</v>
      </c>
      <c r="I3410" s="25">
        <v>700</v>
      </c>
      <c r="K3410" t="s">
        <v>324</v>
      </c>
      <c r="L3410" t="s">
        <v>141</v>
      </c>
      <c r="M3410" t="s">
        <v>52</v>
      </c>
      <c r="N3410" t="s">
        <v>40</v>
      </c>
      <c r="O3410">
        <v>91</v>
      </c>
      <c r="Q3410">
        <v>1</v>
      </c>
      <c r="R3410">
        <v>1</v>
      </c>
      <c r="S3410">
        <v>0</v>
      </c>
      <c r="T3410">
        <v>0</v>
      </c>
      <c r="U3410">
        <v>0</v>
      </c>
      <c r="V3410">
        <v>1</v>
      </c>
      <c r="W3410">
        <v>0</v>
      </c>
      <c r="X3410" s="21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64</v>
      </c>
      <c r="AJ3410" t="s">
        <v>54</v>
      </c>
      <c r="AK3410" t="s">
        <v>95</v>
      </c>
      <c r="AL3410" t="s">
        <v>1136</v>
      </c>
      <c r="AP3410" t="s">
        <v>951</v>
      </c>
    </row>
    <row r="3411" spans="1:42">
      <c r="A3411" s="16">
        <v>43804</v>
      </c>
      <c r="B3411">
        <v>4</v>
      </c>
      <c r="C3411">
        <v>977</v>
      </c>
      <c r="D3411">
        <v>14471</v>
      </c>
      <c r="E3411" t="s">
        <v>112</v>
      </c>
      <c r="F3411" t="s">
        <v>949</v>
      </c>
      <c r="G3411">
        <v>2</v>
      </c>
      <c r="H3411">
        <v>109</v>
      </c>
      <c r="I3411" s="25">
        <v>700</v>
      </c>
      <c r="K3411" t="s">
        <v>324</v>
      </c>
      <c r="L3411" t="s">
        <v>141</v>
      </c>
      <c r="M3411" t="s">
        <v>52</v>
      </c>
      <c r="N3411" t="s">
        <v>40</v>
      </c>
      <c r="O3411">
        <v>55</v>
      </c>
      <c r="Q3411">
        <v>2</v>
      </c>
      <c r="R3411">
        <v>1</v>
      </c>
      <c r="S3411">
        <v>0</v>
      </c>
      <c r="T3411">
        <v>0</v>
      </c>
      <c r="U3411">
        <v>0</v>
      </c>
      <c r="V3411">
        <v>2</v>
      </c>
      <c r="W3411">
        <v>0</v>
      </c>
      <c r="X3411" s="2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128</v>
      </c>
      <c r="AJ3411" t="s">
        <v>54</v>
      </c>
      <c r="AK3411" t="s">
        <v>95</v>
      </c>
      <c r="AP3411" t="s">
        <v>951</v>
      </c>
    </row>
    <row r="3412" spans="1:42">
      <c r="A3412" s="16">
        <v>43804</v>
      </c>
      <c r="B3412">
        <v>4</v>
      </c>
      <c r="C3412">
        <v>977</v>
      </c>
      <c r="D3412">
        <v>14471</v>
      </c>
      <c r="E3412" t="s">
        <v>112</v>
      </c>
      <c r="F3412" t="s">
        <v>949</v>
      </c>
      <c r="G3412">
        <v>2</v>
      </c>
      <c r="H3412">
        <v>110</v>
      </c>
      <c r="I3412" s="25">
        <v>700</v>
      </c>
      <c r="K3412" t="s">
        <v>324</v>
      </c>
      <c r="L3412" t="s">
        <v>141</v>
      </c>
      <c r="M3412" t="s">
        <v>52</v>
      </c>
      <c r="N3412" t="s">
        <v>40</v>
      </c>
      <c r="O3412">
        <v>26</v>
      </c>
      <c r="Q3412">
        <v>2</v>
      </c>
      <c r="R3412">
        <v>1</v>
      </c>
      <c r="S3412">
        <v>0</v>
      </c>
      <c r="T3412">
        <v>0</v>
      </c>
      <c r="U3412">
        <v>1</v>
      </c>
      <c r="V3412">
        <v>1</v>
      </c>
      <c r="W3412">
        <v>0</v>
      </c>
      <c r="X3412" s="21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96</v>
      </c>
      <c r="AJ3412" t="s">
        <v>54</v>
      </c>
      <c r="AK3412" t="s">
        <v>95</v>
      </c>
      <c r="AP3412" t="s">
        <v>951</v>
      </c>
    </row>
    <row r="3413" spans="1:42">
      <c r="A3413" s="16">
        <v>43804</v>
      </c>
      <c r="B3413">
        <v>4</v>
      </c>
      <c r="C3413">
        <v>977</v>
      </c>
      <c r="D3413">
        <v>14471</v>
      </c>
      <c r="E3413" t="s">
        <v>112</v>
      </c>
      <c r="F3413" t="s">
        <v>949</v>
      </c>
      <c r="G3413">
        <v>2</v>
      </c>
      <c r="H3413">
        <v>111</v>
      </c>
      <c r="I3413" s="25">
        <v>700</v>
      </c>
      <c r="K3413" t="s">
        <v>324</v>
      </c>
      <c r="L3413" t="s">
        <v>141</v>
      </c>
      <c r="M3413" t="s">
        <v>52</v>
      </c>
      <c r="N3413" t="s">
        <v>40</v>
      </c>
      <c r="O3413">
        <v>125</v>
      </c>
      <c r="Q3413">
        <v>3</v>
      </c>
      <c r="R3413">
        <v>1</v>
      </c>
      <c r="S3413">
        <v>0</v>
      </c>
      <c r="T3413">
        <v>0</v>
      </c>
      <c r="U3413">
        <v>0</v>
      </c>
      <c r="V3413">
        <v>3</v>
      </c>
      <c r="W3413">
        <v>0</v>
      </c>
      <c r="X3413" s="21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192</v>
      </c>
      <c r="AJ3413" t="s">
        <v>54</v>
      </c>
      <c r="AK3413" t="s">
        <v>95</v>
      </c>
      <c r="AL3413" t="s">
        <v>1137</v>
      </c>
      <c r="AP3413" t="s">
        <v>951</v>
      </c>
    </row>
    <row r="3414" spans="1:42">
      <c r="A3414" s="16">
        <v>43804</v>
      </c>
      <c r="B3414">
        <v>4</v>
      </c>
      <c r="C3414">
        <v>977</v>
      </c>
      <c r="D3414">
        <v>14471</v>
      </c>
      <c r="E3414" t="s">
        <v>112</v>
      </c>
      <c r="F3414" t="s">
        <v>949</v>
      </c>
      <c r="G3414">
        <v>2</v>
      </c>
      <c r="H3414">
        <v>112</v>
      </c>
      <c r="I3414" s="25">
        <v>745</v>
      </c>
      <c r="K3414" t="s">
        <v>324</v>
      </c>
      <c r="M3414" t="s">
        <v>52</v>
      </c>
      <c r="N3414" t="s">
        <v>44</v>
      </c>
      <c r="O3414">
        <v>70</v>
      </c>
      <c r="Q3414">
        <v>1</v>
      </c>
      <c r="R3414">
        <v>1</v>
      </c>
      <c r="S3414">
        <v>0</v>
      </c>
      <c r="T3414">
        <v>0</v>
      </c>
      <c r="U3414">
        <v>0</v>
      </c>
      <c r="V3414">
        <v>0</v>
      </c>
      <c r="W3414">
        <v>1</v>
      </c>
      <c r="X3414" s="21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96</v>
      </c>
      <c r="AJ3414" t="s">
        <v>54</v>
      </c>
      <c r="AK3414" t="s">
        <v>95</v>
      </c>
      <c r="AP3414" t="s">
        <v>951</v>
      </c>
    </row>
    <row r="3415" spans="1:42">
      <c r="A3415" s="16">
        <v>43804</v>
      </c>
      <c r="B3415">
        <v>4</v>
      </c>
      <c r="C3415">
        <v>977</v>
      </c>
      <c r="D3415">
        <v>14471</v>
      </c>
      <c r="E3415" t="s">
        <v>112</v>
      </c>
      <c r="F3415" t="s">
        <v>949</v>
      </c>
      <c r="G3415">
        <v>2</v>
      </c>
      <c r="H3415">
        <v>113</v>
      </c>
      <c r="I3415" s="25">
        <v>700</v>
      </c>
      <c r="K3415" t="s">
        <v>324</v>
      </c>
      <c r="L3415" t="s">
        <v>141</v>
      </c>
      <c r="M3415" t="s">
        <v>52</v>
      </c>
      <c r="N3415" t="s">
        <v>40</v>
      </c>
      <c r="O3415">
        <v>25</v>
      </c>
      <c r="Q3415">
        <v>1</v>
      </c>
      <c r="R3415">
        <v>1</v>
      </c>
      <c r="S3415">
        <v>0</v>
      </c>
      <c r="T3415">
        <v>0</v>
      </c>
      <c r="U3415">
        <v>0</v>
      </c>
      <c r="V3415">
        <v>0</v>
      </c>
      <c r="W3415">
        <v>1</v>
      </c>
      <c r="X3415" s="21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96</v>
      </c>
      <c r="AJ3415" t="s">
        <v>54</v>
      </c>
      <c r="AK3415" t="s">
        <v>95</v>
      </c>
      <c r="AP3415" t="s">
        <v>951</v>
      </c>
    </row>
    <row r="3416" spans="1:42">
      <c r="A3416" s="16">
        <v>43804</v>
      </c>
      <c r="B3416">
        <v>4</v>
      </c>
      <c r="C3416">
        <v>977</v>
      </c>
      <c r="D3416">
        <v>14471</v>
      </c>
      <c r="E3416" t="s">
        <v>112</v>
      </c>
      <c r="F3416" t="s">
        <v>949</v>
      </c>
      <c r="G3416">
        <v>2</v>
      </c>
      <c r="H3416">
        <v>114</v>
      </c>
      <c r="I3416" s="25">
        <v>727</v>
      </c>
      <c r="K3416" t="s">
        <v>324</v>
      </c>
      <c r="M3416" t="s">
        <v>52</v>
      </c>
      <c r="N3416" t="s">
        <v>44</v>
      </c>
      <c r="O3416">
        <v>49</v>
      </c>
      <c r="Q3416">
        <v>1</v>
      </c>
      <c r="R3416">
        <v>1</v>
      </c>
      <c r="S3416">
        <v>0</v>
      </c>
      <c r="T3416">
        <v>0</v>
      </c>
      <c r="U3416">
        <v>0</v>
      </c>
      <c r="V3416">
        <v>0</v>
      </c>
      <c r="W3416">
        <v>1</v>
      </c>
      <c r="X3416" s="21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96</v>
      </c>
      <c r="AJ3416" t="s">
        <v>51</v>
      </c>
      <c r="AK3416" t="s">
        <v>95</v>
      </c>
      <c r="AP3416" t="s">
        <v>951</v>
      </c>
    </row>
    <row r="3417" spans="1:42">
      <c r="A3417" s="16">
        <v>43804</v>
      </c>
      <c r="B3417">
        <v>4</v>
      </c>
      <c r="C3417">
        <v>977</v>
      </c>
      <c r="D3417">
        <v>14471</v>
      </c>
      <c r="E3417" t="s">
        <v>112</v>
      </c>
      <c r="F3417" t="s">
        <v>949</v>
      </c>
      <c r="G3417">
        <v>2</v>
      </c>
      <c r="H3417">
        <v>115</v>
      </c>
      <c r="I3417" s="25">
        <v>700</v>
      </c>
      <c r="K3417" t="s">
        <v>324</v>
      </c>
      <c r="L3417" t="s">
        <v>141</v>
      </c>
      <c r="M3417" t="s">
        <v>52</v>
      </c>
      <c r="N3417" t="s">
        <v>40</v>
      </c>
      <c r="O3417">
        <v>36</v>
      </c>
      <c r="Q3417">
        <v>1</v>
      </c>
      <c r="R3417">
        <v>1</v>
      </c>
      <c r="S3417">
        <v>0</v>
      </c>
      <c r="T3417">
        <v>0</v>
      </c>
      <c r="U3417">
        <v>0</v>
      </c>
      <c r="V3417">
        <v>0</v>
      </c>
      <c r="W3417">
        <v>1</v>
      </c>
      <c r="X3417" s="21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96</v>
      </c>
      <c r="AJ3417" t="s">
        <v>51</v>
      </c>
      <c r="AK3417" t="s">
        <v>95</v>
      </c>
      <c r="AP3417" t="s">
        <v>951</v>
      </c>
    </row>
    <row r="3418" spans="1:42">
      <c r="A3418" s="16">
        <v>43804</v>
      </c>
      <c r="B3418">
        <v>4</v>
      </c>
      <c r="C3418">
        <v>977</v>
      </c>
      <c r="D3418">
        <v>14471</v>
      </c>
      <c r="E3418" t="s">
        <v>112</v>
      </c>
      <c r="F3418" t="s">
        <v>949</v>
      </c>
      <c r="G3418">
        <v>2</v>
      </c>
      <c r="H3418">
        <v>116</v>
      </c>
      <c r="I3418" s="25">
        <v>717</v>
      </c>
      <c r="K3418" t="s">
        <v>324</v>
      </c>
      <c r="M3418" t="s">
        <v>52</v>
      </c>
      <c r="N3418" t="s">
        <v>44</v>
      </c>
      <c r="O3418">
        <v>64</v>
      </c>
      <c r="Q3418">
        <v>2</v>
      </c>
      <c r="R3418">
        <v>1</v>
      </c>
      <c r="S3418">
        <v>0</v>
      </c>
      <c r="T3418">
        <v>0</v>
      </c>
      <c r="U3418">
        <v>0</v>
      </c>
      <c r="V3418">
        <v>0</v>
      </c>
      <c r="W3418">
        <v>2</v>
      </c>
      <c r="X3418" s="21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192</v>
      </c>
      <c r="AJ3418" t="s">
        <v>51</v>
      </c>
      <c r="AK3418" t="s">
        <v>95</v>
      </c>
      <c r="AP3418" t="s">
        <v>951</v>
      </c>
    </row>
    <row r="3419" spans="1:42">
      <c r="A3419" s="16">
        <v>43804</v>
      </c>
      <c r="B3419">
        <v>4</v>
      </c>
      <c r="C3419">
        <v>977</v>
      </c>
      <c r="D3419">
        <v>14471</v>
      </c>
      <c r="E3419" t="s">
        <v>112</v>
      </c>
      <c r="F3419" t="s">
        <v>949</v>
      </c>
      <c r="G3419">
        <v>2</v>
      </c>
      <c r="H3419">
        <v>117</v>
      </c>
      <c r="I3419" s="25">
        <v>900</v>
      </c>
      <c r="K3419" t="s">
        <v>1115</v>
      </c>
      <c r="L3419" t="s">
        <v>141</v>
      </c>
      <c r="M3419" t="s">
        <v>52</v>
      </c>
      <c r="N3419" t="s">
        <v>40</v>
      </c>
      <c r="O3419">
        <v>39</v>
      </c>
      <c r="Q3419">
        <v>2</v>
      </c>
      <c r="R3419">
        <v>1</v>
      </c>
      <c r="S3419">
        <v>0</v>
      </c>
      <c r="T3419">
        <v>0</v>
      </c>
      <c r="U3419">
        <v>0</v>
      </c>
      <c r="V3419">
        <v>1</v>
      </c>
      <c r="W3419">
        <v>1</v>
      </c>
      <c r="X3419" s="21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160</v>
      </c>
      <c r="AJ3419" t="s">
        <v>51</v>
      </c>
      <c r="AK3419" t="s">
        <v>52</v>
      </c>
      <c r="AP3419" t="s">
        <v>951</v>
      </c>
    </row>
    <row r="3420" spans="1:42">
      <c r="A3420" s="16">
        <v>43804</v>
      </c>
      <c r="B3420">
        <v>4</v>
      </c>
      <c r="C3420">
        <v>977</v>
      </c>
      <c r="D3420">
        <v>14471</v>
      </c>
      <c r="E3420" t="s">
        <v>112</v>
      </c>
      <c r="F3420" t="s">
        <v>949</v>
      </c>
      <c r="G3420">
        <v>2</v>
      </c>
      <c r="H3420">
        <v>118</v>
      </c>
      <c r="I3420" s="25">
        <v>800</v>
      </c>
      <c r="K3420" t="s">
        <v>1115</v>
      </c>
      <c r="L3420" t="s">
        <v>141</v>
      </c>
      <c r="M3420" t="s">
        <v>52</v>
      </c>
      <c r="N3420" t="s">
        <v>40</v>
      </c>
      <c r="O3420">
        <v>17</v>
      </c>
      <c r="Q3420">
        <v>1</v>
      </c>
      <c r="R3420">
        <v>1</v>
      </c>
      <c r="S3420">
        <v>0</v>
      </c>
      <c r="T3420">
        <v>0</v>
      </c>
      <c r="U3420">
        <v>1</v>
      </c>
      <c r="V3420">
        <v>0</v>
      </c>
      <c r="W3420">
        <v>0</v>
      </c>
      <c r="X3420" s="21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32</v>
      </c>
      <c r="AJ3420" t="s">
        <v>51</v>
      </c>
      <c r="AK3420" t="s">
        <v>52</v>
      </c>
      <c r="AP3420" t="s">
        <v>951</v>
      </c>
    </row>
    <row r="3421" spans="1:42">
      <c r="A3421" s="16">
        <v>43804</v>
      </c>
      <c r="B3421">
        <v>4</v>
      </c>
      <c r="C3421">
        <v>977</v>
      </c>
      <c r="D3421">
        <v>14471</v>
      </c>
      <c r="E3421" t="s">
        <v>112</v>
      </c>
      <c r="F3421" t="s">
        <v>949</v>
      </c>
      <c r="G3421">
        <v>2</v>
      </c>
      <c r="H3421">
        <v>119</v>
      </c>
      <c r="I3421" s="25">
        <v>800</v>
      </c>
      <c r="K3421" t="s">
        <v>1115</v>
      </c>
      <c r="L3421" t="s">
        <v>141</v>
      </c>
      <c r="M3421" t="s">
        <v>52</v>
      </c>
      <c r="N3421" t="s">
        <v>40</v>
      </c>
      <c r="O3421">
        <v>29</v>
      </c>
      <c r="Q3421">
        <v>2</v>
      </c>
      <c r="R3421">
        <v>1</v>
      </c>
      <c r="S3421">
        <v>0</v>
      </c>
      <c r="T3421">
        <v>0</v>
      </c>
      <c r="U3421">
        <v>0</v>
      </c>
      <c r="V3421">
        <v>0</v>
      </c>
      <c r="W3421">
        <v>2</v>
      </c>
      <c r="X3421" s="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192</v>
      </c>
      <c r="AJ3421" t="s">
        <v>51</v>
      </c>
      <c r="AK3421" t="s">
        <v>52</v>
      </c>
      <c r="AP3421" t="s">
        <v>951</v>
      </c>
    </row>
    <row r="3422" spans="1:42">
      <c r="A3422" s="16">
        <v>43804</v>
      </c>
      <c r="B3422">
        <v>4</v>
      </c>
      <c r="C3422">
        <v>977</v>
      </c>
      <c r="D3422">
        <v>14471</v>
      </c>
      <c r="E3422" t="s">
        <v>112</v>
      </c>
      <c r="F3422" t="s">
        <v>949</v>
      </c>
      <c r="G3422">
        <v>2</v>
      </c>
      <c r="H3422">
        <v>120</v>
      </c>
      <c r="I3422" s="25">
        <v>135</v>
      </c>
      <c r="K3422" t="s">
        <v>102</v>
      </c>
      <c r="M3422" t="s">
        <v>52</v>
      </c>
      <c r="N3422" t="s">
        <v>44</v>
      </c>
      <c r="O3422">
        <v>69</v>
      </c>
      <c r="Q3422">
        <v>2</v>
      </c>
      <c r="R3422">
        <v>1</v>
      </c>
      <c r="S3422">
        <v>0</v>
      </c>
      <c r="T3422">
        <v>0</v>
      </c>
      <c r="U3422">
        <v>1</v>
      </c>
      <c r="V3422">
        <v>0</v>
      </c>
      <c r="W3422">
        <v>1</v>
      </c>
      <c r="X3422" s="21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128</v>
      </c>
      <c r="AJ3422" t="s">
        <v>54</v>
      </c>
      <c r="AK3422" t="s">
        <v>52</v>
      </c>
      <c r="AP3422" t="s">
        <v>951</v>
      </c>
    </row>
    <row r="3423" spans="1:42">
      <c r="A3423" s="16">
        <v>43804</v>
      </c>
      <c r="B3423">
        <v>4</v>
      </c>
      <c r="C3423">
        <v>977</v>
      </c>
      <c r="D3423">
        <v>14471</v>
      </c>
      <c r="E3423" t="s">
        <v>112</v>
      </c>
      <c r="F3423" t="s">
        <v>949</v>
      </c>
      <c r="G3423">
        <v>2</v>
      </c>
      <c r="H3423">
        <v>121</v>
      </c>
      <c r="I3423" s="25">
        <v>1905</v>
      </c>
      <c r="K3423" t="s">
        <v>102</v>
      </c>
      <c r="M3423" t="s">
        <v>52</v>
      </c>
      <c r="N3423" t="s">
        <v>44</v>
      </c>
      <c r="O3423">
        <v>75</v>
      </c>
      <c r="Q3423">
        <v>2</v>
      </c>
      <c r="R3423">
        <v>1</v>
      </c>
      <c r="S3423">
        <v>0</v>
      </c>
      <c r="T3423">
        <v>0</v>
      </c>
      <c r="U3423">
        <v>0</v>
      </c>
      <c r="V3423">
        <v>0</v>
      </c>
      <c r="W3423">
        <v>2</v>
      </c>
      <c r="X3423" s="21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192</v>
      </c>
      <c r="AJ3423" t="s">
        <v>54</v>
      </c>
      <c r="AK3423" t="s">
        <v>52</v>
      </c>
      <c r="AP3423" t="s">
        <v>951</v>
      </c>
    </row>
    <row r="3424" spans="1:42">
      <c r="A3424" s="16">
        <v>43804</v>
      </c>
      <c r="B3424">
        <v>4</v>
      </c>
      <c r="C3424">
        <v>977</v>
      </c>
      <c r="D3424">
        <v>14471</v>
      </c>
      <c r="E3424" t="s">
        <v>112</v>
      </c>
      <c r="F3424" t="s">
        <v>949</v>
      </c>
      <c r="G3424">
        <v>2</v>
      </c>
      <c r="H3424">
        <v>122</v>
      </c>
      <c r="I3424" s="25">
        <v>700</v>
      </c>
      <c r="K3424" t="s">
        <v>1115</v>
      </c>
      <c r="L3424" t="s">
        <v>141</v>
      </c>
      <c r="M3424" t="s">
        <v>52</v>
      </c>
      <c r="N3424" t="s">
        <v>44</v>
      </c>
      <c r="O3424">
        <v>22</v>
      </c>
      <c r="Q3424">
        <v>1</v>
      </c>
      <c r="R3424">
        <v>1</v>
      </c>
      <c r="S3424">
        <v>0</v>
      </c>
      <c r="T3424">
        <v>0</v>
      </c>
      <c r="U3424">
        <v>0</v>
      </c>
      <c r="V3424">
        <v>0</v>
      </c>
      <c r="W3424">
        <v>1</v>
      </c>
      <c r="X3424" s="21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96</v>
      </c>
      <c r="AJ3424" t="s">
        <v>51</v>
      </c>
      <c r="AK3424" t="s">
        <v>52</v>
      </c>
      <c r="AP3424" t="s">
        <v>951</v>
      </c>
    </row>
    <row r="3425" spans="1:42">
      <c r="A3425" s="16">
        <v>43804</v>
      </c>
      <c r="B3425">
        <v>4</v>
      </c>
      <c r="C3425">
        <v>977</v>
      </c>
      <c r="D3425">
        <v>14471</v>
      </c>
      <c r="E3425" t="s">
        <v>112</v>
      </c>
      <c r="F3425" t="s">
        <v>949</v>
      </c>
      <c r="G3425">
        <v>2</v>
      </c>
      <c r="H3425">
        <v>123</v>
      </c>
      <c r="I3425" s="25">
        <v>700</v>
      </c>
      <c r="K3425" t="s">
        <v>1115</v>
      </c>
      <c r="L3425" t="s">
        <v>141</v>
      </c>
      <c r="M3425" t="s">
        <v>52</v>
      </c>
      <c r="N3425" t="s">
        <v>40</v>
      </c>
      <c r="O3425">
        <v>24</v>
      </c>
      <c r="Q3425">
        <v>1</v>
      </c>
      <c r="R3425">
        <v>1</v>
      </c>
      <c r="S3425">
        <v>0</v>
      </c>
      <c r="T3425">
        <v>0</v>
      </c>
      <c r="U3425">
        <v>0</v>
      </c>
      <c r="V3425">
        <v>0</v>
      </c>
      <c r="W3425">
        <v>1</v>
      </c>
      <c r="X3425" s="21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96</v>
      </c>
      <c r="AJ3425" t="s">
        <v>51</v>
      </c>
      <c r="AK3425" t="s">
        <v>52</v>
      </c>
      <c r="AP3425" t="s">
        <v>951</v>
      </c>
    </row>
    <row r="3426" spans="1:42">
      <c r="A3426" s="16">
        <v>43804</v>
      </c>
      <c r="B3426">
        <v>4</v>
      </c>
      <c r="C3426">
        <v>977</v>
      </c>
      <c r="D3426">
        <v>14471</v>
      </c>
      <c r="E3426" t="s">
        <v>112</v>
      </c>
      <c r="F3426" t="s">
        <v>949</v>
      </c>
      <c r="G3426">
        <v>2</v>
      </c>
      <c r="H3426">
        <v>124</v>
      </c>
      <c r="I3426" s="25">
        <v>700</v>
      </c>
      <c r="K3426" t="s">
        <v>148</v>
      </c>
      <c r="L3426" t="s">
        <v>114</v>
      </c>
      <c r="M3426" t="s">
        <v>52</v>
      </c>
      <c r="N3426" t="s">
        <v>40</v>
      </c>
      <c r="O3426">
        <v>37</v>
      </c>
      <c r="Q3426">
        <v>1</v>
      </c>
      <c r="R3426">
        <v>1</v>
      </c>
      <c r="S3426">
        <v>0</v>
      </c>
      <c r="T3426">
        <v>0</v>
      </c>
      <c r="U3426">
        <v>0</v>
      </c>
      <c r="V3426">
        <v>1</v>
      </c>
      <c r="W3426">
        <v>0</v>
      </c>
      <c r="X3426" s="21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64</v>
      </c>
      <c r="AJ3426" t="s">
        <v>51</v>
      </c>
      <c r="AK3426" t="s">
        <v>52</v>
      </c>
      <c r="AP3426" t="s">
        <v>951</v>
      </c>
    </row>
    <row r="3427" spans="1:42">
      <c r="A3427" s="16">
        <v>43804</v>
      </c>
      <c r="B3427">
        <v>4</v>
      </c>
      <c r="C3427">
        <v>977</v>
      </c>
      <c r="D3427">
        <v>14471</v>
      </c>
      <c r="E3427" t="s">
        <v>112</v>
      </c>
      <c r="F3427" t="s">
        <v>949</v>
      </c>
      <c r="G3427">
        <v>2</v>
      </c>
      <c r="H3427">
        <v>125</v>
      </c>
      <c r="I3427" s="25">
        <v>770</v>
      </c>
      <c r="K3427" t="s">
        <v>148</v>
      </c>
      <c r="L3427" t="s">
        <v>114</v>
      </c>
      <c r="M3427" t="s">
        <v>52</v>
      </c>
      <c r="N3427" t="s">
        <v>42</v>
      </c>
      <c r="O3427">
        <v>104</v>
      </c>
      <c r="Q3427">
        <v>3</v>
      </c>
      <c r="R3427">
        <v>1</v>
      </c>
      <c r="S3427">
        <v>0</v>
      </c>
      <c r="T3427">
        <v>0</v>
      </c>
      <c r="U3427">
        <v>0</v>
      </c>
      <c r="V3427">
        <v>1</v>
      </c>
      <c r="W3427">
        <v>2</v>
      </c>
      <c r="X3427" s="21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256</v>
      </c>
      <c r="AJ3427" t="s">
        <v>54</v>
      </c>
      <c r="AK3427" t="s">
        <v>52</v>
      </c>
      <c r="AP3427" t="s">
        <v>951</v>
      </c>
    </row>
    <row r="3428" spans="1:42">
      <c r="A3428" s="16">
        <v>43804</v>
      </c>
      <c r="B3428">
        <v>4</v>
      </c>
      <c r="C3428">
        <v>977</v>
      </c>
      <c r="D3428">
        <v>14471</v>
      </c>
      <c r="E3428" t="s">
        <v>112</v>
      </c>
      <c r="F3428" t="s">
        <v>949</v>
      </c>
      <c r="G3428">
        <v>2</v>
      </c>
      <c r="H3428">
        <v>126</v>
      </c>
      <c r="I3428" s="25">
        <v>1928</v>
      </c>
      <c r="K3428" t="s">
        <v>102</v>
      </c>
      <c r="M3428" t="s">
        <v>52</v>
      </c>
      <c r="N3428" t="s">
        <v>44</v>
      </c>
      <c r="O3428">
        <v>116</v>
      </c>
      <c r="Q3428">
        <v>1</v>
      </c>
      <c r="R3428">
        <v>1</v>
      </c>
      <c r="S3428">
        <v>0</v>
      </c>
      <c r="T3428">
        <v>0</v>
      </c>
      <c r="U3428">
        <v>0</v>
      </c>
      <c r="V3428">
        <v>0</v>
      </c>
      <c r="W3428">
        <v>1</v>
      </c>
      <c r="X3428" s="21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96</v>
      </c>
      <c r="AJ3428" t="s">
        <v>54</v>
      </c>
      <c r="AK3428" t="s">
        <v>52</v>
      </c>
      <c r="AL3428" t="s">
        <v>1129</v>
      </c>
      <c r="AP3428" t="s">
        <v>951</v>
      </c>
    </row>
    <row r="3429" spans="1:42">
      <c r="A3429" s="16">
        <v>43804</v>
      </c>
      <c r="B3429">
        <v>4</v>
      </c>
      <c r="C3429">
        <v>977</v>
      </c>
      <c r="D3429">
        <v>14471</v>
      </c>
      <c r="E3429" t="s">
        <v>112</v>
      </c>
      <c r="F3429" t="s">
        <v>949</v>
      </c>
      <c r="G3429">
        <v>2</v>
      </c>
      <c r="H3429">
        <v>127</v>
      </c>
      <c r="I3429" s="25">
        <v>1900</v>
      </c>
      <c r="K3429" t="s">
        <v>102</v>
      </c>
      <c r="L3429" t="s">
        <v>114</v>
      </c>
      <c r="M3429" t="s">
        <v>52</v>
      </c>
      <c r="N3429" t="s">
        <v>40</v>
      </c>
      <c r="O3429">
        <v>31</v>
      </c>
      <c r="Q3429">
        <v>1</v>
      </c>
      <c r="R3429">
        <v>1</v>
      </c>
      <c r="S3429">
        <v>0</v>
      </c>
      <c r="T3429">
        <v>0</v>
      </c>
      <c r="U3429">
        <v>1</v>
      </c>
      <c r="V3429">
        <v>0</v>
      </c>
      <c r="W3429">
        <v>0</v>
      </c>
      <c r="X3429" s="21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32</v>
      </c>
      <c r="AJ3429" t="s">
        <v>54</v>
      </c>
      <c r="AK3429" t="s">
        <v>95</v>
      </c>
      <c r="AP3429" t="s">
        <v>951</v>
      </c>
    </row>
    <row r="3430" spans="1:42">
      <c r="A3430" s="16">
        <v>43805</v>
      </c>
      <c r="B3430">
        <v>5</v>
      </c>
      <c r="C3430">
        <v>977</v>
      </c>
      <c r="D3430">
        <v>14471</v>
      </c>
      <c r="E3430" t="s">
        <v>112</v>
      </c>
      <c r="F3430" t="s">
        <v>949</v>
      </c>
      <c r="G3430">
        <v>2</v>
      </c>
      <c r="H3430">
        <v>1</v>
      </c>
      <c r="I3430" s="25">
        <v>2700</v>
      </c>
      <c r="K3430" t="s">
        <v>828</v>
      </c>
      <c r="L3430" t="s">
        <v>141</v>
      </c>
      <c r="M3430" t="s">
        <v>52</v>
      </c>
      <c r="N3430" t="s">
        <v>40</v>
      </c>
      <c r="O3430">
        <v>26</v>
      </c>
      <c r="Q3430">
        <v>1</v>
      </c>
      <c r="R3430">
        <v>1</v>
      </c>
      <c r="S3430">
        <v>0</v>
      </c>
      <c r="T3430">
        <v>0</v>
      </c>
      <c r="U3430">
        <v>1</v>
      </c>
      <c r="V3430">
        <v>0</v>
      </c>
      <c r="W3430">
        <v>0</v>
      </c>
      <c r="X3430" s="21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32</v>
      </c>
      <c r="AJ3430" t="s">
        <v>54</v>
      </c>
      <c r="AK3430" t="s">
        <v>95</v>
      </c>
      <c r="AP3430" t="s">
        <v>951</v>
      </c>
    </row>
    <row r="3431" spans="1:42">
      <c r="A3431" s="16">
        <v>43805</v>
      </c>
      <c r="B3431">
        <v>5</v>
      </c>
      <c r="C3431">
        <v>977</v>
      </c>
      <c r="D3431">
        <v>14471</v>
      </c>
      <c r="E3431" t="s">
        <v>112</v>
      </c>
      <c r="F3431" t="s">
        <v>949</v>
      </c>
      <c r="G3431">
        <v>2</v>
      </c>
      <c r="H3431">
        <v>2</v>
      </c>
      <c r="I3431" s="25">
        <v>2700</v>
      </c>
      <c r="K3431" t="s">
        <v>828</v>
      </c>
      <c r="L3431" t="s">
        <v>141</v>
      </c>
      <c r="M3431" t="s">
        <v>52</v>
      </c>
      <c r="N3431" t="s">
        <v>40</v>
      </c>
      <c r="O3431">
        <v>56</v>
      </c>
      <c r="Q3431">
        <v>3</v>
      </c>
      <c r="R3431">
        <v>1</v>
      </c>
      <c r="S3431">
        <v>0</v>
      </c>
      <c r="T3431">
        <v>0</v>
      </c>
      <c r="U3431">
        <v>0</v>
      </c>
      <c r="V3431">
        <v>0</v>
      </c>
      <c r="W3431">
        <v>3</v>
      </c>
      <c r="X3431" s="2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288</v>
      </c>
      <c r="AJ3431" t="s">
        <v>54</v>
      </c>
      <c r="AK3431" t="s">
        <v>95</v>
      </c>
      <c r="AP3431" t="s">
        <v>951</v>
      </c>
    </row>
    <row r="3432" spans="1:42">
      <c r="A3432" s="16">
        <v>43805</v>
      </c>
      <c r="B3432">
        <v>5</v>
      </c>
      <c r="C3432">
        <v>977</v>
      </c>
      <c r="D3432">
        <v>14471</v>
      </c>
      <c r="E3432" t="s">
        <v>112</v>
      </c>
      <c r="F3432" t="s">
        <v>949</v>
      </c>
      <c r="G3432">
        <v>2</v>
      </c>
      <c r="H3432">
        <v>3</v>
      </c>
      <c r="I3432" s="25">
        <v>3000</v>
      </c>
      <c r="K3432" t="s">
        <v>420</v>
      </c>
      <c r="L3432" t="s">
        <v>114</v>
      </c>
      <c r="M3432" t="s">
        <v>52</v>
      </c>
      <c r="N3432" t="s">
        <v>40</v>
      </c>
      <c r="O3432">
        <v>54</v>
      </c>
      <c r="Q3432">
        <v>1</v>
      </c>
      <c r="R3432">
        <v>1</v>
      </c>
      <c r="S3432">
        <v>0</v>
      </c>
      <c r="T3432">
        <v>0</v>
      </c>
      <c r="U3432">
        <v>0</v>
      </c>
      <c r="V3432">
        <v>0</v>
      </c>
      <c r="W3432">
        <v>1</v>
      </c>
      <c r="X3432" s="21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96</v>
      </c>
      <c r="AJ3432" t="s">
        <v>54</v>
      </c>
      <c r="AK3432" t="s">
        <v>95</v>
      </c>
      <c r="AP3432" t="s">
        <v>951</v>
      </c>
    </row>
    <row r="3433" spans="1:42">
      <c r="A3433" s="16">
        <v>43805</v>
      </c>
      <c r="B3433">
        <v>5</v>
      </c>
      <c r="C3433">
        <v>977</v>
      </c>
      <c r="D3433">
        <v>14471</v>
      </c>
      <c r="E3433" t="s">
        <v>112</v>
      </c>
      <c r="F3433" t="s">
        <v>949</v>
      </c>
      <c r="G3433">
        <v>2</v>
      </c>
      <c r="H3433">
        <v>4</v>
      </c>
      <c r="I3433" s="25">
        <v>3000</v>
      </c>
      <c r="K3433" t="s">
        <v>420</v>
      </c>
      <c r="L3433" t="s">
        <v>141</v>
      </c>
      <c r="M3433" t="s">
        <v>52</v>
      </c>
      <c r="N3433" t="s">
        <v>40</v>
      </c>
      <c r="O3433">
        <v>45</v>
      </c>
      <c r="Q3433">
        <v>1</v>
      </c>
      <c r="R3433">
        <v>1</v>
      </c>
      <c r="S3433">
        <v>0</v>
      </c>
      <c r="T3433">
        <v>0</v>
      </c>
      <c r="U3433">
        <v>0</v>
      </c>
      <c r="V3433">
        <v>1</v>
      </c>
      <c r="W3433">
        <v>0</v>
      </c>
      <c r="X3433" s="21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64</v>
      </c>
      <c r="AJ3433" t="s">
        <v>54</v>
      </c>
      <c r="AK3433" t="s">
        <v>95</v>
      </c>
      <c r="AL3433" t="s">
        <v>856</v>
      </c>
      <c r="AP3433" t="s">
        <v>951</v>
      </c>
    </row>
    <row r="3434" spans="1:42">
      <c r="A3434" s="16">
        <v>43805</v>
      </c>
      <c r="B3434">
        <v>5</v>
      </c>
      <c r="C3434">
        <v>977</v>
      </c>
      <c r="D3434">
        <v>14471</v>
      </c>
      <c r="E3434" t="s">
        <v>112</v>
      </c>
      <c r="F3434" t="s">
        <v>949</v>
      </c>
      <c r="G3434">
        <v>2</v>
      </c>
      <c r="H3434">
        <v>5</v>
      </c>
      <c r="I3434" s="25">
        <v>2700</v>
      </c>
      <c r="K3434" t="s">
        <v>1113</v>
      </c>
      <c r="L3434" t="s">
        <v>141</v>
      </c>
      <c r="M3434" t="s">
        <v>52</v>
      </c>
      <c r="N3434" t="s">
        <v>40</v>
      </c>
      <c r="O3434">
        <v>40</v>
      </c>
      <c r="Q3434">
        <v>1</v>
      </c>
      <c r="R3434">
        <v>1</v>
      </c>
      <c r="S3434">
        <v>0</v>
      </c>
      <c r="T3434">
        <v>0</v>
      </c>
      <c r="U3434">
        <v>0</v>
      </c>
      <c r="V3434">
        <v>0</v>
      </c>
      <c r="W3434">
        <v>1</v>
      </c>
      <c r="X3434" s="21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96</v>
      </c>
      <c r="AJ3434" t="s">
        <v>51</v>
      </c>
      <c r="AK3434" t="s">
        <v>95</v>
      </c>
      <c r="AP3434" t="s">
        <v>951</v>
      </c>
    </row>
    <row r="3435" spans="1:42">
      <c r="A3435" s="16">
        <v>43805</v>
      </c>
      <c r="B3435">
        <v>5</v>
      </c>
      <c r="C3435">
        <v>977</v>
      </c>
      <c r="D3435">
        <v>14471</v>
      </c>
      <c r="E3435" t="s">
        <v>112</v>
      </c>
      <c r="F3435" t="s">
        <v>949</v>
      </c>
      <c r="G3435">
        <v>2</v>
      </c>
      <c r="H3435">
        <v>6</v>
      </c>
      <c r="I3435" s="25">
        <v>2600</v>
      </c>
      <c r="K3435" t="s">
        <v>1113</v>
      </c>
      <c r="L3435" t="s">
        <v>141</v>
      </c>
      <c r="M3435" t="s">
        <v>52</v>
      </c>
      <c r="N3435" t="s">
        <v>40</v>
      </c>
      <c r="O3435">
        <v>64</v>
      </c>
      <c r="Q3435">
        <v>3</v>
      </c>
      <c r="R3435">
        <v>1</v>
      </c>
      <c r="S3435">
        <v>0</v>
      </c>
      <c r="T3435">
        <v>0</v>
      </c>
      <c r="U3435">
        <v>0</v>
      </c>
      <c r="V3435">
        <v>0</v>
      </c>
      <c r="W3435">
        <v>3</v>
      </c>
      <c r="X3435" s="21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288</v>
      </c>
      <c r="AJ3435" t="s">
        <v>51</v>
      </c>
      <c r="AK3435" t="s">
        <v>95</v>
      </c>
      <c r="AP3435" t="s">
        <v>951</v>
      </c>
    </row>
    <row r="3436" spans="1:42">
      <c r="A3436" s="16">
        <v>43805</v>
      </c>
      <c r="B3436">
        <v>5</v>
      </c>
      <c r="C3436">
        <v>977</v>
      </c>
      <c r="D3436">
        <v>14471</v>
      </c>
      <c r="E3436" t="s">
        <v>112</v>
      </c>
      <c r="F3436" t="s">
        <v>949</v>
      </c>
      <c r="G3436">
        <v>2</v>
      </c>
      <c r="H3436">
        <v>7</v>
      </c>
      <c r="I3436" s="25">
        <v>1300</v>
      </c>
      <c r="K3436" t="s">
        <v>1115</v>
      </c>
      <c r="L3436" t="s">
        <v>141</v>
      </c>
      <c r="M3436" t="s">
        <v>52</v>
      </c>
      <c r="N3436" t="s">
        <v>40</v>
      </c>
      <c r="O3436">
        <v>22</v>
      </c>
      <c r="Q3436">
        <v>1</v>
      </c>
      <c r="R3436">
        <v>1</v>
      </c>
      <c r="S3436">
        <v>0</v>
      </c>
      <c r="T3436">
        <v>0</v>
      </c>
      <c r="U3436">
        <v>0</v>
      </c>
      <c r="V3436">
        <v>0</v>
      </c>
      <c r="W3436">
        <v>1</v>
      </c>
      <c r="X3436" s="21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96</v>
      </c>
      <c r="AJ3436" t="s">
        <v>51</v>
      </c>
      <c r="AK3436" t="s">
        <v>95</v>
      </c>
      <c r="AP3436" t="s">
        <v>951</v>
      </c>
    </row>
    <row r="3437" spans="1:42">
      <c r="A3437" s="16">
        <v>43805</v>
      </c>
      <c r="B3437">
        <v>5</v>
      </c>
      <c r="C3437">
        <v>977</v>
      </c>
      <c r="D3437">
        <v>14471</v>
      </c>
      <c r="E3437" t="s">
        <v>112</v>
      </c>
      <c r="F3437" t="s">
        <v>949</v>
      </c>
      <c r="G3437">
        <v>2</v>
      </c>
      <c r="H3437">
        <v>8</v>
      </c>
      <c r="I3437" s="25">
        <v>1300</v>
      </c>
      <c r="K3437" t="s">
        <v>1115</v>
      </c>
      <c r="L3437" t="s">
        <v>141</v>
      </c>
      <c r="M3437" t="s">
        <v>52</v>
      </c>
      <c r="N3437" t="s">
        <v>40</v>
      </c>
      <c r="O3437">
        <v>25</v>
      </c>
      <c r="Q3437">
        <v>1</v>
      </c>
      <c r="R3437">
        <v>1</v>
      </c>
      <c r="S3437">
        <v>0</v>
      </c>
      <c r="T3437">
        <v>0</v>
      </c>
      <c r="U3437">
        <v>0</v>
      </c>
      <c r="V3437">
        <v>1</v>
      </c>
      <c r="W3437">
        <v>0</v>
      </c>
      <c r="X3437" s="21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64</v>
      </c>
      <c r="AJ3437" t="s">
        <v>51</v>
      </c>
      <c r="AK3437" t="s">
        <v>95</v>
      </c>
      <c r="AP3437" t="s">
        <v>951</v>
      </c>
    </row>
    <row r="3438" spans="1:42">
      <c r="A3438" s="16">
        <v>43805</v>
      </c>
      <c r="B3438">
        <v>5</v>
      </c>
      <c r="C3438">
        <v>977</v>
      </c>
      <c r="D3438">
        <v>14471</v>
      </c>
      <c r="E3438" t="s">
        <v>112</v>
      </c>
      <c r="F3438" t="s">
        <v>949</v>
      </c>
      <c r="G3438">
        <v>2</v>
      </c>
      <c r="H3438">
        <v>9</v>
      </c>
      <c r="I3438" s="25">
        <v>1300</v>
      </c>
      <c r="K3438" t="s">
        <v>1115</v>
      </c>
      <c r="L3438" t="s">
        <v>141</v>
      </c>
      <c r="M3438" t="s">
        <v>52</v>
      </c>
      <c r="N3438" t="s">
        <v>40</v>
      </c>
      <c r="O3438">
        <v>18</v>
      </c>
      <c r="Q3438">
        <v>1</v>
      </c>
      <c r="R3438">
        <v>1</v>
      </c>
      <c r="S3438">
        <v>0</v>
      </c>
      <c r="T3438">
        <v>0</v>
      </c>
      <c r="U3438">
        <v>1</v>
      </c>
      <c r="V3438">
        <v>0</v>
      </c>
      <c r="W3438">
        <v>0</v>
      </c>
      <c r="X3438" s="21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32</v>
      </c>
      <c r="AJ3438" t="s">
        <v>51</v>
      </c>
      <c r="AK3438" t="s">
        <v>95</v>
      </c>
      <c r="AP3438" t="s">
        <v>951</v>
      </c>
    </row>
    <row r="3439" spans="1:42">
      <c r="A3439" s="16">
        <v>43805</v>
      </c>
      <c r="B3439">
        <v>5</v>
      </c>
      <c r="C3439">
        <v>977</v>
      </c>
      <c r="D3439">
        <v>14471</v>
      </c>
      <c r="E3439" t="s">
        <v>112</v>
      </c>
      <c r="F3439" t="s">
        <v>949</v>
      </c>
      <c r="G3439">
        <v>2</v>
      </c>
      <c r="H3439">
        <v>10</v>
      </c>
      <c r="I3439" s="25">
        <v>706</v>
      </c>
      <c r="K3439" t="s">
        <v>570</v>
      </c>
      <c r="M3439" t="s">
        <v>52</v>
      </c>
      <c r="N3439" t="s">
        <v>44</v>
      </c>
      <c r="O3439">
        <v>86</v>
      </c>
      <c r="Q3439">
        <v>1</v>
      </c>
      <c r="R3439">
        <v>1</v>
      </c>
      <c r="S3439">
        <v>0</v>
      </c>
      <c r="T3439">
        <v>0</v>
      </c>
      <c r="U3439">
        <v>0</v>
      </c>
      <c r="V3439">
        <v>0</v>
      </c>
      <c r="W3439">
        <v>1</v>
      </c>
      <c r="X3439" s="21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96</v>
      </c>
      <c r="AJ3439" t="s">
        <v>51</v>
      </c>
      <c r="AK3439" t="s">
        <v>95</v>
      </c>
      <c r="AP3439" t="s">
        <v>951</v>
      </c>
    </row>
    <row r="3440" spans="1:42">
      <c r="A3440" s="16">
        <v>43805</v>
      </c>
      <c r="B3440">
        <v>5</v>
      </c>
      <c r="C3440">
        <v>977</v>
      </c>
      <c r="D3440">
        <v>14471</v>
      </c>
      <c r="E3440" t="s">
        <v>112</v>
      </c>
      <c r="F3440" t="s">
        <v>949</v>
      </c>
      <c r="G3440">
        <v>2</v>
      </c>
      <c r="H3440">
        <v>11</v>
      </c>
      <c r="I3440" s="25">
        <v>760</v>
      </c>
      <c r="K3440" t="s">
        <v>570</v>
      </c>
      <c r="M3440" t="s">
        <v>52</v>
      </c>
      <c r="N3440" t="s">
        <v>44</v>
      </c>
      <c r="O3440">
        <v>140</v>
      </c>
      <c r="Q3440">
        <v>1</v>
      </c>
      <c r="R3440">
        <v>1</v>
      </c>
      <c r="S3440">
        <v>0</v>
      </c>
      <c r="T3440">
        <v>0</v>
      </c>
      <c r="U3440">
        <v>0</v>
      </c>
      <c r="V3440">
        <v>0</v>
      </c>
      <c r="W3440">
        <v>1</v>
      </c>
      <c r="X3440" s="21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96</v>
      </c>
      <c r="AJ3440" t="s">
        <v>51</v>
      </c>
      <c r="AK3440" t="s">
        <v>95</v>
      </c>
      <c r="AP3440" t="s">
        <v>951</v>
      </c>
    </row>
    <row r="3441" spans="1:42">
      <c r="A3441" s="16">
        <v>43805</v>
      </c>
      <c r="B3441">
        <v>5</v>
      </c>
      <c r="C3441">
        <v>977</v>
      </c>
      <c r="D3441">
        <v>14471</v>
      </c>
      <c r="E3441" t="s">
        <v>112</v>
      </c>
      <c r="F3441" t="s">
        <v>949</v>
      </c>
      <c r="G3441">
        <v>2</v>
      </c>
      <c r="H3441">
        <v>12</v>
      </c>
      <c r="I3441" s="25">
        <v>1000</v>
      </c>
      <c r="K3441" t="s">
        <v>324</v>
      </c>
      <c r="M3441" t="s">
        <v>52</v>
      </c>
      <c r="N3441" t="s">
        <v>44</v>
      </c>
      <c r="O3441">
        <v>16</v>
      </c>
      <c r="Q3441">
        <v>0</v>
      </c>
      <c r="R3441">
        <v>1</v>
      </c>
      <c r="S3441">
        <v>0</v>
      </c>
      <c r="T3441">
        <v>0</v>
      </c>
      <c r="U3441">
        <v>0</v>
      </c>
      <c r="V3441">
        <v>0</v>
      </c>
      <c r="W3441">
        <v>0</v>
      </c>
      <c r="X3441" s="2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J3441" t="s">
        <v>54</v>
      </c>
      <c r="AK3441" t="s">
        <v>95</v>
      </c>
      <c r="AL3441" t="s">
        <v>1138</v>
      </c>
      <c r="AP3441" t="s">
        <v>951</v>
      </c>
    </row>
    <row r="3442" spans="1:42">
      <c r="A3442" s="16">
        <v>43805</v>
      </c>
      <c r="B3442">
        <v>5</v>
      </c>
      <c r="C3442">
        <v>977</v>
      </c>
      <c r="D3442">
        <v>14471</v>
      </c>
      <c r="E3442" t="s">
        <v>112</v>
      </c>
      <c r="F3442" t="s">
        <v>949</v>
      </c>
      <c r="G3442">
        <v>2</v>
      </c>
      <c r="H3442">
        <v>13</v>
      </c>
      <c r="I3442" s="25">
        <v>2164</v>
      </c>
      <c r="K3442" t="s">
        <v>828</v>
      </c>
      <c r="M3442" t="s">
        <v>52</v>
      </c>
      <c r="N3442" t="s">
        <v>44</v>
      </c>
      <c r="O3442">
        <v>173</v>
      </c>
      <c r="Q3442">
        <v>1</v>
      </c>
      <c r="R3442">
        <v>1</v>
      </c>
      <c r="S3442">
        <v>0</v>
      </c>
      <c r="T3442">
        <v>0</v>
      </c>
      <c r="U3442">
        <v>0</v>
      </c>
      <c r="V3442">
        <v>0</v>
      </c>
      <c r="W3442">
        <v>1</v>
      </c>
      <c r="X3442" s="21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96</v>
      </c>
      <c r="AJ3442" t="s">
        <v>51</v>
      </c>
      <c r="AK3442" t="s">
        <v>95</v>
      </c>
      <c r="AL3442" t="s">
        <v>1139</v>
      </c>
      <c r="AP3442" t="s">
        <v>951</v>
      </c>
    </row>
    <row r="3443" spans="1:42">
      <c r="A3443" s="16">
        <v>43805</v>
      </c>
      <c r="B3443">
        <v>5</v>
      </c>
      <c r="C3443">
        <v>977</v>
      </c>
      <c r="D3443">
        <v>14471</v>
      </c>
      <c r="E3443" t="s">
        <v>112</v>
      </c>
      <c r="F3443" t="s">
        <v>949</v>
      </c>
      <c r="G3443">
        <v>2</v>
      </c>
      <c r="H3443">
        <v>14</v>
      </c>
      <c r="I3443" s="25">
        <v>2111</v>
      </c>
      <c r="K3443" t="s">
        <v>828</v>
      </c>
      <c r="M3443" t="s">
        <v>52</v>
      </c>
      <c r="N3443" t="s">
        <v>44</v>
      </c>
      <c r="O3443">
        <v>173</v>
      </c>
      <c r="Q3443">
        <v>2</v>
      </c>
      <c r="R3443">
        <v>1</v>
      </c>
      <c r="S3443">
        <v>0</v>
      </c>
      <c r="T3443">
        <v>0</v>
      </c>
      <c r="U3443">
        <v>0</v>
      </c>
      <c r="V3443">
        <v>0</v>
      </c>
      <c r="W3443">
        <v>2</v>
      </c>
      <c r="X3443" s="21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192</v>
      </c>
      <c r="AJ3443" t="s">
        <v>54</v>
      </c>
      <c r="AK3443" t="s">
        <v>95</v>
      </c>
      <c r="AL3443" t="s">
        <v>1140</v>
      </c>
      <c r="AP3443" t="s">
        <v>951</v>
      </c>
    </row>
    <row r="3444" spans="1:42">
      <c r="A3444" s="16">
        <v>43805</v>
      </c>
      <c r="B3444">
        <v>5</v>
      </c>
      <c r="C3444">
        <v>977</v>
      </c>
      <c r="D3444">
        <v>14471</v>
      </c>
      <c r="E3444" t="s">
        <v>112</v>
      </c>
      <c r="F3444" t="s">
        <v>949</v>
      </c>
      <c r="G3444">
        <v>2</v>
      </c>
      <c r="H3444">
        <v>15</v>
      </c>
      <c r="I3444" s="25">
        <v>2200</v>
      </c>
      <c r="K3444" t="s">
        <v>828</v>
      </c>
      <c r="M3444" t="s">
        <v>52</v>
      </c>
      <c r="N3444" t="s">
        <v>40</v>
      </c>
      <c r="O3444">
        <v>24</v>
      </c>
      <c r="Q3444">
        <v>1</v>
      </c>
      <c r="R3444">
        <v>1</v>
      </c>
      <c r="S3444">
        <v>0</v>
      </c>
      <c r="T3444">
        <v>0</v>
      </c>
      <c r="U3444">
        <v>0</v>
      </c>
      <c r="V3444">
        <v>1</v>
      </c>
      <c r="W3444">
        <v>0</v>
      </c>
      <c r="X3444" s="21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64</v>
      </c>
      <c r="AJ3444" t="s">
        <v>54</v>
      </c>
      <c r="AK3444" t="s">
        <v>95</v>
      </c>
      <c r="AP3444" t="s">
        <v>951</v>
      </c>
    </row>
    <row r="3445" spans="1:42">
      <c r="A3445" s="16">
        <v>43805</v>
      </c>
      <c r="B3445">
        <v>5</v>
      </c>
      <c r="C3445">
        <v>977</v>
      </c>
      <c r="D3445">
        <v>14471</v>
      </c>
      <c r="E3445" t="s">
        <v>112</v>
      </c>
      <c r="F3445" t="s">
        <v>949</v>
      </c>
      <c r="G3445">
        <v>2</v>
      </c>
      <c r="H3445">
        <v>16</v>
      </c>
      <c r="I3445" s="25">
        <v>2200</v>
      </c>
      <c r="K3445" t="s">
        <v>828</v>
      </c>
      <c r="L3445" t="s">
        <v>114</v>
      </c>
      <c r="M3445" t="s">
        <v>52</v>
      </c>
      <c r="N3445" t="s">
        <v>40</v>
      </c>
      <c r="O3445">
        <v>38</v>
      </c>
      <c r="Q3445">
        <v>2</v>
      </c>
      <c r="R3445">
        <v>1</v>
      </c>
      <c r="S3445">
        <v>0</v>
      </c>
      <c r="T3445">
        <v>0</v>
      </c>
      <c r="U3445">
        <v>0</v>
      </c>
      <c r="V3445">
        <v>0</v>
      </c>
      <c r="W3445">
        <v>2</v>
      </c>
      <c r="X3445" s="21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192</v>
      </c>
      <c r="AJ3445" t="s">
        <v>54</v>
      </c>
      <c r="AK3445" t="s">
        <v>95</v>
      </c>
      <c r="AP3445" t="s">
        <v>951</v>
      </c>
    </row>
    <row r="3446" spans="1:42">
      <c r="A3446" s="16">
        <v>43805</v>
      </c>
      <c r="B3446">
        <v>5</v>
      </c>
      <c r="C3446">
        <v>977</v>
      </c>
      <c r="D3446">
        <v>14471</v>
      </c>
      <c r="E3446" t="s">
        <v>112</v>
      </c>
      <c r="F3446" t="s">
        <v>949</v>
      </c>
      <c r="G3446">
        <v>2</v>
      </c>
      <c r="H3446">
        <v>17</v>
      </c>
      <c r="I3446" s="25">
        <v>2555</v>
      </c>
      <c r="K3446" t="s">
        <v>91</v>
      </c>
      <c r="M3446" t="s">
        <v>52</v>
      </c>
      <c r="N3446" t="s">
        <v>44</v>
      </c>
      <c r="O3446">
        <v>133</v>
      </c>
      <c r="Q3446">
        <v>2</v>
      </c>
      <c r="R3446">
        <v>1</v>
      </c>
      <c r="S3446">
        <v>0</v>
      </c>
      <c r="T3446">
        <v>0</v>
      </c>
      <c r="U3446">
        <v>0</v>
      </c>
      <c r="V3446">
        <v>0</v>
      </c>
      <c r="W3446">
        <v>2</v>
      </c>
      <c r="X3446" s="21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192</v>
      </c>
      <c r="AJ3446" t="s">
        <v>54</v>
      </c>
      <c r="AK3446" t="s">
        <v>95</v>
      </c>
      <c r="AL3446" t="s">
        <v>1141</v>
      </c>
      <c r="AP3446" t="s">
        <v>951</v>
      </c>
    </row>
    <row r="3447" spans="1:42">
      <c r="A3447" s="16">
        <v>43805</v>
      </c>
      <c r="B3447">
        <v>5</v>
      </c>
      <c r="C3447">
        <v>977</v>
      </c>
      <c r="D3447">
        <v>14471</v>
      </c>
      <c r="E3447" t="s">
        <v>112</v>
      </c>
      <c r="F3447" t="s">
        <v>949</v>
      </c>
      <c r="G3447">
        <v>2</v>
      </c>
      <c r="H3447">
        <v>18</v>
      </c>
      <c r="I3447" s="25">
        <v>2400</v>
      </c>
      <c r="K3447" t="s">
        <v>91</v>
      </c>
      <c r="L3447" t="s">
        <v>114</v>
      </c>
      <c r="M3447" t="s">
        <v>52</v>
      </c>
      <c r="N3447" t="s">
        <v>40</v>
      </c>
      <c r="O3447">
        <v>40</v>
      </c>
      <c r="Q3447">
        <v>1</v>
      </c>
      <c r="R3447">
        <v>1</v>
      </c>
      <c r="S3447">
        <v>0</v>
      </c>
      <c r="T3447">
        <v>0</v>
      </c>
      <c r="U3447">
        <v>0</v>
      </c>
      <c r="V3447">
        <v>0</v>
      </c>
      <c r="W3447">
        <v>1</v>
      </c>
      <c r="X3447" s="21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96</v>
      </c>
      <c r="AJ3447" t="s">
        <v>54</v>
      </c>
      <c r="AK3447" t="s">
        <v>95</v>
      </c>
      <c r="AP3447" t="s">
        <v>951</v>
      </c>
    </row>
    <row r="3448" spans="1:42">
      <c r="A3448" s="16">
        <v>43805</v>
      </c>
      <c r="B3448">
        <v>5</v>
      </c>
      <c r="C3448">
        <v>977</v>
      </c>
      <c r="D3448">
        <v>14471</v>
      </c>
      <c r="E3448" t="s">
        <v>112</v>
      </c>
      <c r="F3448" t="s">
        <v>949</v>
      </c>
      <c r="G3448">
        <v>2</v>
      </c>
      <c r="H3448">
        <v>19</v>
      </c>
      <c r="I3448" s="25">
        <v>2400</v>
      </c>
      <c r="K3448" t="s">
        <v>91</v>
      </c>
      <c r="L3448" t="s">
        <v>114</v>
      </c>
      <c r="M3448" t="s">
        <v>52</v>
      </c>
      <c r="N3448" t="s">
        <v>40</v>
      </c>
      <c r="O3448">
        <v>28</v>
      </c>
      <c r="Q3448">
        <v>1</v>
      </c>
      <c r="R3448">
        <v>1</v>
      </c>
      <c r="S3448">
        <v>0</v>
      </c>
      <c r="T3448">
        <v>0</v>
      </c>
      <c r="U3448">
        <v>0</v>
      </c>
      <c r="V3448">
        <v>1</v>
      </c>
      <c r="W3448">
        <v>0</v>
      </c>
      <c r="X3448" s="21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64</v>
      </c>
      <c r="AJ3448" t="s">
        <v>54</v>
      </c>
      <c r="AK3448" t="s">
        <v>95</v>
      </c>
      <c r="AP3448" t="s">
        <v>951</v>
      </c>
    </row>
    <row r="3449" spans="1:42">
      <c r="A3449" s="16">
        <v>43805</v>
      </c>
      <c r="B3449">
        <v>5</v>
      </c>
      <c r="C3449">
        <v>977</v>
      </c>
      <c r="D3449">
        <v>14471</v>
      </c>
      <c r="E3449" t="s">
        <v>112</v>
      </c>
      <c r="F3449" t="s">
        <v>949</v>
      </c>
      <c r="G3449">
        <v>2</v>
      </c>
      <c r="H3449">
        <v>20</v>
      </c>
      <c r="I3449" s="25">
        <v>900</v>
      </c>
      <c r="K3449" t="s">
        <v>324</v>
      </c>
      <c r="M3449" t="s">
        <v>52</v>
      </c>
      <c r="N3449" t="s">
        <v>44</v>
      </c>
      <c r="O3449">
        <v>174</v>
      </c>
      <c r="Q3449">
        <v>4</v>
      </c>
      <c r="R3449">
        <v>1</v>
      </c>
      <c r="S3449">
        <v>0</v>
      </c>
      <c r="T3449">
        <v>0</v>
      </c>
      <c r="U3449">
        <v>0</v>
      </c>
      <c r="V3449">
        <v>0</v>
      </c>
      <c r="W3449">
        <v>4</v>
      </c>
      <c r="X3449" s="21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384</v>
      </c>
      <c r="AJ3449" t="s">
        <v>54</v>
      </c>
      <c r="AK3449" t="s">
        <v>52</v>
      </c>
      <c r="AL3449" t="s">
        <v>1142</v>
      </c>
      <c r="AP3449" t="s">
        <v>951</v>
      </c>
    </row>
    <row r="3450" spans="1:42">
      <c r="A3450" s="16">
        <v>43805</v>
      </c>
      <c r="B3450">
        <v>5</v>
      </c>
      <c r="C3450">
        <v>977</v>
      </c>
      <c r="D3450">
        <v>14471</v>
      </c>
      <c r="E3450" t="s">
        <v>112</v>
      </c>
      <c r="F3450" t="s">
        <v>949</v>
      </c>
      <c r="G3450">
        <v>2</v>
      </c>
      <c r="H3450">
        <v>21</v>
      </c>
      <c r="I3450" s="25">
        <v>685</v>
      </c>
      <c r="K3450" t="s">
        <v>862</v>
      </c>
      <c r="M3450" t="s">
        <v>52</v>
      </c>
      <c r="N3450" t="s">
        <v>44</v>
      </c>
      <c r="O3450">
        <v>105</v>
      </c>
      <c r="Q3450">
        <v>1</v>
      </c>
      <c r="R3450">
        <v>1</v>
      </c>
      <c r="S3450">
        <v>0</v>
      </c>
      <c r="T3450">
        <v>0</v>
      </c>
      <c r="U3450">
        <v>0</v>
      </c>
      <c r="V3450">
        <v>0</v>
      </c>
      <c r="W3450">
        <v>1</v>
      </c>
      <c r="X3450" s="21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96</v>
      </c>
      <c r="AJ3450" t="s">
        <v>54</v>
      </c>
      <c r="AK3450" t="s">
        <v>95</v>
      </c>
      <c r="AP3450" t="s">
        <v>951</v>
      </c>
    </row>
    <row r="3451" spans="1:42">
      <c r="A3451" s="16">
        <v>43805</v>
      </c>
      <c r="B3451">
        <v>5</v>
      </c>
      <c r="C3451">
        <v>977</v>
      </c>
      <c r="D3451">
        <v>14471</v>
      </c>
      <c r="E3451" t="s">
        <v>112</v>
      </c>
      <c r="F3451" t="s">
        <v>949</v>
      </c>
      <c r="G3451">
        <v>2</v>
      </c>
      <c r="H3451">
        <v>22</v>
      </c>
      <c r="I3451" s="25">
        <v>1095</v>
      </c>
      <c r="K3451" t="s">
        <v>1115</v>
      </c>
      <c r="M3451" t="s">
        <v>52</v>
      </c>
      <c r="N3451" t="s">
        <v>44</v>
      </c>
      <c r="O3451">
        <v>60</v>
      </c>
      <c r="Q3451">
        <v>2</v>
      </c>
      <c r="R3451">
        <v>1</v>
      </c>
      <c r="S3451">
        <v>0</v>
      </c>
      <c r="T3451">
        <v>0</v>
      </c>
      <c r="U3451">
        <v>0</v>
      </c>
      <c r="V3451">
        <v>0</v>
      </c>
      <c r="W3451">
        <v>2</v>
      </c>
      <c r="X3451" s="2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192</v>
      </c>
      <c r="AJ3451" t="s">
        <v>51</v>
      </c>
      <c r="AK3451" t="s">
        <v>95</v>
      </c>
      <c r="AP3451" t="s">
        <v>951</v>
      </c>
    </row>
    <row r="3452" spans="1:42">
      <c r="A3452" s="16">
        <v>43805</v>
      </c>
      <c r="B3452">
        <v>5</v>
      </c>
      <c r="C3452">
        <v>977</v>
      </c>
      <c r="D3452">
        <v>14471</v>
      </c>
      <c r="E3452" t="s">
        <v>112</v>
      </c>
      <c r="F3452" t="s">
        <v>949</v>
      </c>
      <c r="G3452">
        <v>2</v>
      </c>
      <c r="H3452">
        <v>23</v>
      </c>
      <c r="I3452" s="25">
        <v>2207</v>
      </c>
      <c r="K3452" t="s">
        <v>101</v>
      </c>
      <c r="M3452" t="s">
        <v>52</v>
      </c>
      <c r="N3452" t="s">
        <v>44</v>
      </c>
      <c r="O3452">
        <v>70</v>
      </c>
      <c r="Q3452">
        <v>1</v>
      </c>
      <c r="R3452">
        <v>1</v>
      </c>
      <c r="S3452">
        <v>0</v>
      </c>
      <c r="T3452">
        <v>0</v>
      </c>
      <c r="U3452">
        <v>0</v>
      </c>
      <c r="V3452">
        <v>0</v>
      </c>
      <c r="W3452">
        <v>1</v>
      </c>
      <c r="X3452" s="21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96</v>
      </c>
      <c r="AJ3452" t="s">
        <v>51</v>
      </c>
      <c r="AK3452" t="s">
        <v>52</v>
      </c>
      <c r="AP3452" t="s">
        <v>951</v>
      </c>
    </row>
    <row r="3453" spans="1:42">
      <c r="A3453" s="16">
        <v>43805</v>
      </c>
      <c r="B3453">
        <v>5</v>
      </c>
      <c r="C3453">
        <v>977</v>
      </c>
      <c r="D3453">
        <v>14471</v>
      </c>
      <c r="E3453" t="s">
        <v>112</v>
      </c>
      <c r="F3453" t="s">
        <v>949</v>
      </c>
      <c r="G3453">
        <v>2</v>
      </c>
      <c r="H3453">
        <v>24</v>
      </c>
      <c r="I3453" s="25">
        <v>2227</v>
      </c>
      <c r="K3453" t="s">
        <v>101</v>
      </c>
      <c r="M3453" t="s">
        <v>52</v>
      </c>
      <c r="N3453" t="s">
        <v>44</v>
      </c>
      <c r="O3453">
        <v>60</v>
      </c>
      <c r="Q3453">
        <v>1</v>
      </c>
      <c r="R3453">
        <v>1</v>
      </c>
      <c r="S3453">
        <v>0</v>
      </c>
      <c r="T3453">
        <v>0</v>
      </c>
      <c r="U3453">
        <v>0</v>
      </c>
      <c r="V3453">
        <v>0</v>
      </c>
      <c r="W3453">
        <v>1</v>
      </c>
      <c r="X3453" s="21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96</v>
      </c>
      <c r="AJ3453" t="s">
        <v>51</v>
      </c>
      <c r="AK3453" t="s">
        <v>52</v>
      </c>
      <c r="AP3453" t="s">
        <v>951</v>
      </c>
    </row>
    <row r="3454" spans="1:42">
      <c r="A3454" s="16">
        <v>43805</v>
      </c>
      <c r="B3454">
        <v>5</v>
      </c>
      <c r="C3454">
        <v>977</v>
      </c>
      <c r="D3454">
        <v>14471</v>
      </c>
      <c r="E3454" t="s">
        <v>112</v>
      </c>
      <c r="F3454" t="s">
        <v>949</v>
      </c>
      <c r="G3454">
        <v>2</v>
      </c>
      <c r="H3454">
        <v>25</v>
      </c>
      <c r="I3454" s="25">
        <v>800</v>
      </c>
      <c r="K3454" t="s">
        <v>210</v>
      </c>
      <c r="M3454" t="s">
        <v>52</v>
      </c>
      <c r="N3454" t="s">
        <v>44</v>
      </c>
      <c r="O3454">
        <v>56</v>
      </c>
      <c r="Q3454">
        <v>1</v>
      </c>
      <c r="R3454">
        <v>1</v>
      </c>
      <c r="S3454">
        <v>0</v>
      </c>
      <c r="T3454">
        <v>0</v>
      </c>
      <c r="U3454">
        <v>0</v>
      </c>
      <c r="V3454">
        <v>0</v>
      </c>
      <c r="W3454">
        <v>1</v>
      </c>
      <c r="X3454" s="21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96</v>
      </c>
      <c r="AJ3454" t="s">
        <v>51</v>
      </c>
      <c r="AK3454" t="s">
        <v>52</v>
      </c>
      <c r="AP3454" t="s">
        <v>951</v>
      </c>
    </row>
    <row r="3455" spans="1:42">
      <c r="A3455" s="16">
        <v>43805</v>
      </c>
      <c r="B3455">
        <v>5</v>
      </c>
      <c r="C3455">
        <v>977</v>
      </c>
      <c r="D3455">
        <v>14471</v>
      </c>
      <c r="E3455" t="s">
        <v>112</v>
      </c>
      <c r="F3455" t="s">
        <v>949</v>
      </c>
      <c r="G3455">
        <v>2</v>
      </c>
      <c r="H3455">
        <v>26</v>
      </c>
      <c r="I3455" s="25" t="s">
        <v>1143</v>
      </c>
      <c r="K3455" t="s">
        <v>101</v>
      </c>
      <c r="M3455" t="s">
        <v>52</v>
      </c>
      <c r="N3455" t="s">
        <v>44</v>
      </c>
      <c r="O3455">
        <v>111</v>
      </c>
      <c r="Q3455">
        <v>2</v>
      </c>
      <c r="R3455">
        <v>1</v>
      </c>
      <c r="S3455">
        <v>0</v>
      </c>
      <c r="T3455">
        <v>0</v>
      </c>
      <c r="U3455">
        <v>0</v>
      </c>
      <c r="V3455">
        <v>0</v>
      </c>
      <c r="W3455">
        <v>2</v>
      </c>
      <c r="X3455" s="21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192</v>
      </c>
      <c r="AJ3455" t="s">
        <v>51</v>
      </c>
      <c r="AK3455" t="s">
        <v>95</v>
      </c>
      <c r="AP3455" t="s">
        <v>951</v>
      </c>
    </row>
    <row r="3456" spans="1:42">
      <c r="A3456" s="16">
        <v>43805</v>
      </c>
      <c r="B3456">
        <v>5</v>
      </c>
      <c r="C3456">
        <v>977</v>
      </c>
      <c r="D3456">
        <v>14471</v>
      </c>
      <c r="E3456" t="s">
        <v>112</v>
      </c>
      <c r="F3456" t="s">
        <v>949</v>
      </c>
      <c r="G3456">
        <v>2</v>
      </c>
      <c r="H3456">
        <v>27</v>
      </c>
      <c r="I3456" s="25" t="s">
        <v>1144</v>
      </c>
      <c r="K3456" t="s">
        <v>101</v>
      </c>
      <c r="M3456" t="s">
        <v>52</v>
      </c>
      <c r="N3456" t="s">
        <v>44</v>
      </c>
      <c r="O3456">
        <v>120</v>
      </c>
      <c r="Q3456">
        <v>2</v>
      </c>
      <c r="R3456">
        <v>1</v>
      </c>
      <c r="S3456">
        <v>0</v>
      </c>
      <c r="T3456">
        <v>0</v>
      </c>
      <c r="U3456">
        <v>0</v>
      </c>
      <c r="V3456">
        <v>0</v>
      </c>
      <c r="W3456">
        <v>2</v>
      </c>
      <c r="X3456" s="21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192</v>
      </c>
      <c r="AJ3456" t="s">
        <v>51</v>
      </c>
      <c r="AK3456" t="s">
        <v>95</v>
      </c>
      <c r="AP3456" t="s">
        <v>951</v>
      </c>
    </row>
    <row r="3457" spans="1:42">
      <c r="A3457" s="16">
        <v>43805</v>
      </c>
      <c r="B3457">
        <v>5</v>
      </c>
      <c r="C3457">
        <v>977</v>
      </c>
      <c r="D3457">
        <v>14471</v>
      </c>
      <c r="E3457" t="s">
        <v>112</v>
      </c>
      <c r="F3457" t="s">
        <v>949</v>
      </c>
      <c r="G3457">
        <v>2</v>
      </c>
      <c r="H3457">
        <v>28</v>
      </c>
      <c r="I3457" s="25">
        <v>800</v>
      </c>
      <c r="K3457" t="s">
        <v>1115</v>
      </c>
      <c r="L3457" t="s">
        <v>141</v>
      </c>
      <c r="M3457" t="s">
        <v>52</v>
      </c>
      <c r="N3457" t="s">
        <v>40</v>
      </c>
      <c r="O3457">
        <v>23</v>
      </c>
      <c r="Q3457">
        <v>1</v>
      </c>
      <c r="R3457">
        <v>1</v>
      </c>
      <c r="S3457">
        <v>0</v>
      </c>
      <c r="T3457">
        <v>0</v>
      </c>
      <c r="U3457">
        <v>1</v>
      </c>
      <c r="V3457">
        <v>0</v>
      </c>
      <c r="W3457">
        <v>0</v>
      </c>
      <c r="X3457" s="21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32</v>
      </c>
      <c r="AJ3457" t="s">
        <v>51</v>
      </c>
      <c r="AK3457" t="s">
        <v>95</v>
      </c>
      <c r="AP3457" t="s">
        <v>951</v>
      </c>
    </row>
    <row r="3458" spans="1:42">
      <c r="A3458" s="16">
        <v>43805</v>
      </c>
      <c r="B3458">
        <v>5</v>
      </c>
      <c r="C3458">
        <v>977</v>
      </c>
      <c r="D3458">
        <v>14471</v>
      </c>
      <c r="E3458" t="s">
        <v>112</v>
      </c>
      <c r="F3458" t="s">
        <v>949</v>
      </c>
      <c r="G3458">
        <v>2</v>
      </c>
      <c r="H3458">
        <v>29</v>
      </c>
      <c r="I3458" s="25">
        <v>800</v>
      </c>
      <c r="K3458" t="s">
        <v>1115</v>
      </c>
      <c r="L3458" t="s">
        <v>141</v>
      </c>
      <c r="M3458" t="s">
        <v>52</v>
      </c>
      <c r="N3458" t="s">
        <v>40</v>
      </c>
      <c r="O3458">
        <v>28</v>
      </c>
      <c r="Q3458">
        <v>1</v>
      </c>
      <c r="R3458">
        <v>1</v>
      </c>
      <c r="S3458">
        <v>0</v>
      </c>
      <c r="T3458">
        <v>0</v>
      </c>
      <c r="U3458">
        <v>0</v>
      </c>
      <c r="V3458">
        <v>0</v>
      </c>
      <c r="W3458">
        <v>1</v>
      </c>
      <c r="X3458" s="21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96</v>
      </c>
      <c r="AJ3458" t="s">
        <v>51</v>
      </c>
      <c r="AK3458" t="s">
        <v>95</v>
      </c>
      <c r="AP3458" t="s">
        <v>951</v>
      </c>
    </row>
    <row r="3459" spans="1:42">
      <c r="A3459" s="16">
        <v>43805</v>
      </c>
      <c r="B3459">
        <v>5</v>
      </c>
      <c r="C3459">
        <v>977</v>
      </c>
      <c r="D3459">
        <v>14471</v>
      </c>
      <c r="E3459" t="s">
        <v>112</v>
      </c>
      <c r="F3459" t="s">
        <v>949</v>
      </c>
      <c r="G3459">
        <v>2</v>
      </c>
      <c r="H3459">
        <v>30</v>
      </c>
      <c r="I3459" s="25">
        <v>759</v>
      </c>
      <c r="K3459" t="s">
        <v>1115</v>
      </c>
      <c r="M3459" t="s">
        <v>52</v>
      </c>
      <c r="N3459" t="s">
        <v>44</v>
      </c>
      <c r="O3459">
        <v>65</v>
      </c>
      <c r="Q3459">
        <v>1</v>
      </c>
      <c r="R3459">
        <v>1</v>
      </c>
      <c r="S3459">
        <v>0</v>
      </c>
      <c r="T3459">
        <v>0</v>
      </c>
      <c r="U3459">
        <v>0</v>
      </c>
      <c r="V3459">
        <v>0</v>
      </c>
      <c r="W3459">
        <v>1</v>
      </c>
      <c r="X3459" s="21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96</v>
      </c>
      <c r="AJ3459" t="s">
        <v>51</v>
      </c>
      <c r="AK3459" t="s">
        <v>95</v>
      </c>
      <c r="AL3459" t="s">
        <v>1145</v>
      </c>
      <c r="AP3459" t="s">
        <v>951</v>
      </c>
    </row>
    <row r="3460" spans="1:42">
      <c r="A3460" s="16">
        <v>43805</v>
      </c>
      <c r="B3460">
        <v>5</v>
      </c>
      <c r="C3460">
        <v>977</v>
      </c>
      <c r="D3460">
        <v>14471</v>
      </c>
      <c r="E3460" t="s">
        <v>112</v>
      </c>
      <c r="F3460" t="s">
        <v>949</v>
      </c>
      <c r="G3460">
        <v>2</v>
      </c>
      <c r="H3460">
        <v>31</v>
      </c>
      <c r="I3460" s="25">
        <v>700</v>
      </c>
      <c r="K3460" t="s">
        <v>1115</v>
      </c>
      <c r="L3460" t="s">
        <v>141</v>
      </c>
      <c r="M3460" t="s">
        <v>52</v>
      </c>
      <c r="N3460" t="s">
        <v>40</v>
      </c>
      <c r="O3460">
        <v>18</v>
      </c>
      <c r="Q3460">
        <v>1</v>
      </c>
      <c r="R3460">
        <v>1</v>
      </c>
      <c r="S3460">
        <v>0</v>
      </c>
      <c r="T3460">
        <v>0</v>
      </c>
      <c r="U3460">
        <v>1</v>
      </c>
      <c r="V3460">
        <v>0</v>
      </c>
      <c r="W3460">
        <v>0</v>
      </c>
      <c r="X3460" s="21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96</v>
      </c>
      <c r="AJ3460" t="s">
        <v>51</v>
      </c>
      <c r="AK3460" t="s">
        <v>95</v>
      </c>
      <c r="AP3460" t="s">
        <v>951</v>
      </c>
    </row>
    <row r="3461" spans="1:42">
      <c r="A3461" s="16">
        <v>43805</v>
      </c>
      <c r="B3461">
        <v>5</v>
      </c>
      <c r="C3461">
        <v>977</v>
      </c>
      <c r="D3461">
        <v>14471</v>
      </c>
      <c r="E3461" t="s">
        <v>112</v>
      </c>
      <c r="F3461" t="s">
        <v>949</v>
      </c>
      <c r="G3461">
        <v>2</v>
      </c>
      <c r="H3461">
        <v>32</v>
      </c>
      <c r="I3461" s="25">
        <v>700</v>
      </c>
      <c r="K3461" t="s">
        <v>1115</v>
      </c>
      <c r="L3461" t="s">
        <v>141</v>
      </c>
      <c r="M3461" t="s">
        <v>52</v>
      </c>
      <c r="N3461" t="s">
        <v>40</v>
      </c>
      <c r="O3461">
        <v>27</v>
      </c>
      <c r="Q3461">
        <v>1</v>
      </c>
      <c r="R3461">
        <v>1</v>
      </c>
      <c r="S3461">
        <v>0</v>
      </c>
      <c r="T3461">
        <v>0</v>
      </c>
      <c r="U3461">
        <v>0</v>
      </c>
      <c r="V3461">
        <v>0</v>
      </c>
      <c r="W3461">
        <v>1</v>
      </c>
      <c r="X3461" s="2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32</v>
      </c>
      <c r="AJ3461" t="s">
        <v>51</v>
      </c>
      <c r="AK3461" t="s">
        <v>95</v>
      </c>
      <c r="AP3461" t="s">
        <v>951</v>
      </c>
    </row>
    <row r="3462" spans="1:42">
      <c r="A3462" s="16">
        <v>43805</v>
      </c>
      <c r="B3462">
        <v>5</v>
      </c>
      <c r="C3462">
        <v>977</v>
      </c>
      <c r="D3462">
        <v>14471</v>
      </c>
      <c r="E3462" t="s">
        <v>112</v>
      </c>
      <c r="F3462" t="s">
        <v>949</v>
      </c>
      <c r="G3462">
        <v>2</v>
      </c>
      <c r="H3462">
        <v>33</v>
      </c>
      <c r="I3462" s="25">
        <v>733</v>
      </c>
      <c r="K3462" t="s">
        <v>148</v>
      </c>
      <c r="M3462" t="s">
        <v>52</v>
      </c>
      <c r="N3462" t="s">
        <v>44</v>
      </c>
      <c r="O3462">
        <v>111</v>
      </c>
      <c r="Q3462">
        <v>1</v>
      </c>
      <c r="R3462">
        <v>1</v>
      </c>
      <c r="S3462">
        <v>0</v>
      </c>
      <c r="T3462">
        <v>0</v>
      </c>
      <c r="U3462">
        <v>0</v>
      </c>
      <c r="V3462">
        <v>0</v>
      </c>
      <c r="W3462">
        <v>1</v>
      </c>
      <c r="X3462" s="21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96</v>
      </c>
      <c r="AJ3462" t="s">
        <v>54</v>
      </c>
      <c r="AK3462" t="s">
        <v>52</v>
      </c>
      <c r="AL3462" t="s">
        <v>1146</v>
      </c>
      <c r="AP3462" t="s">
        <v>951</v>
      </c>
    </row>
    <row r="3463" spans="1:42">
      <c r="A3463" s="16">
        <v>43805</v>
      </c>
      <c r="B3463">
        <v>5</v>
      </c>
      <c r="C3463">
        <v>977</v>
      </c>
      <c r="D3463">
        <v>14471</v>
      </c>
      <c r="E3463" t="s">
        <v>112</v>
      </c>
      <c r="F3463" t="s">
        <v>949</v>
      </c>
      <c r="G3463">
        <v>2</v>
      </c>
      <c r="H3463">
        <v>34</v>
      </c>
      <c r="I3463" s="25">
        <v>700</v>
      </c>
      <c r="K3463" t="s">
        <v>148</v>
      </c>
      <c r="L3463" t="s">
        <v>141</v>
      </c>
      <c r="M3463" t="s">
        <v>52</v>
      </c>
      <c r="N3463" t="s">
        <v>40</v>
      </c>
      <c r="O3463">
        <v>34</v>
      </c>
      <c r="Q3463">
        <v>2</v>
      </c>
      <c r="R3463">
        <v>1</v>
      </c>
      <c r="S3463">
        <v>0</v>
      </c>
      <c r="T3463">
        <v>0</v>
      </c>
      <c r="U3463">
        <v>0</v>
      </c>
      <c r="V3463">
        <v>2</v>
      </c>
      <c r="W3463">
        <v>0</v>
      </c>
      <c r="X3463" s="21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128</v>
      </c>
      <c r="AJ3463" t="s">
        <v>54</v>
      </c>
      <c r="AK3463" t="s">
        <v>95</v>
      </c>
      <c r="AP3463" t="s">
        <v>951</v>
      </c>
    </row>
    <row r="3464" spans="1:42">
      <c r="A3464" s="16">
        <v>43805</v>
      </c>
      <c r="B3464">
        <v>5</v>
      </c>
      <c r="C3464">
        <v>977</v>
      </c>
      <c r="D3464">
        <v>14471</v>
      </c>
      <c r="E3464" t="s">
        <v>112</v>
      </c>
      <c r="F3464" t="s">
        <v>949</v>
      </c>
      <c r="G3464">
        <v>2</v>
      </c>
      <c r="H3464">
        <v>35</v>
      </c>
      <c r="I3464" s="25">
        <v>800</v>
      </c>
      <c r="K3464" t="s">
        <v>1147</v>
      </c>
      <c r="L3464" t="s">
        <v>114</v>
      </c>
      <c r="M3464" t="s">
        <v>52</v>
      </c>
      <c r="N3464" t="s">
        <v>40</v>
      </c>
      <c r="O3464">
        <v>34</v>
      </c>
      <c r="Q3464">
        <v>1</v>
      </c>
      <c r="R3464">
        <v>1</v>
      </c>
      <c r="S3464">
        <v>0</v>
      </c>
      <c r="T3464">
        <v>0</v>
      </c>
      <c r="U3464">
        <v>0</v>
      </c>
      <c r="V3464">
        <v>0</v>
      </c>
      <c r="W3464">
        <v>1</v>
      </c>
      <c r="X3464" s="21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96</v>
      </c>
      <c r="AJ3464" t="s">
        <v>54</v>
      </c>
      <c r="AK3464" t="s">
        <v>52</v>
      </c>
      <c r="AP3464" t="s">
        <v>951</v>
      </c>
    </row>
    <row r="3465" spans="1:42">
      <c r="A3465" s="16">
        <v>43805</v>
      </c>
      <c r="B3465">
        <v>5</v>
      </c>
      <c r="C3465">
        <v>977</v>
      </c>
      <c r="D3465">
        <v>14471</v>
      </c>
      <c r="E3465" t="s">
        <v>112</v>
      </c>
      <c r="F3465" t="s">
        <v>949</v>
      </c>
      <c r="G3465">
        <v>2</v>
      </c>
      <c r="H3465">
        <v>36</v>
      </c>
      <c r="I3465" s="25">
        <v>822</v>
      </c>
      <c r="K3465" t="s">
        <v>1147</v>
      </c>
      <c r="M3465" t="s">
        <v>52</v>
      </c>
      <c r="N3465" t="s">
        <v>44</v>
      </c>
      <c r="O3465">
        <v>105</v>
      </c>
      <c r="Q3465">
        <v>1</v>
      </c>
      <c r="R3465">
        <v>1</v>
      </c>
      <c r="S3465">
        <v>0</v>
      </c>
      <c r="T3465">
        <v>0</v>
      </c>
      <c r="U3465">
        <v>0</v>
      </c>
      <c r="V3465">
        <v>0</v>
      </c>
      <c r="W3465">
        <v>1</v>
      </c>
      <c r="X3465" s="21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96</v>
      </c>
      <c r="AJ3465" t="s">
        <v>54</v>
      </c>
      <c r="AK3465" t="s">
        <v>52</v>
      </c>
      <c r="AP3465" t="s">
        <v>951</v>
      </c>
    </row>
    <row r="3466" spans="1:42">
      <c r="A3466" s="16">
        <v>43805</v>
      </c>
      <c r="B3466">
        <v>5</v>
      </c>
      <c r="C3466">
        <v>977</v>
      </c>
      <c r="D3466">
        <v>14471</v>
      </c>
      <c r="E3466" t="s">
        <v>112</v>
      </c>
      <c r="F3466" t="s">
        <v>949</v>
      </c>
      <c r="G3466">
        <v>2</v>
      </c>
      <c r="H3466">
        <v>37</v>
      </c>
      <c r="I3466" s="25">
        <v>830</v>
      </c>
      <c r="K3466" t="s">
        <v>1147</v>
      </c>
      <c r="M3466" t="s">
        <v>52</v>
      </c>
      <c r="N3466" t="s">
        <v>44</v>
      </c>
      <c r="O3466">
        <v>48</v>
      </c>
      <c r="Q3466">
        <v>0</v>
      </c>
      <c r="R3466">
        <v>1</v>
      </c>
      <c r="S3466">
        <v>0</v>
      </c>
      <c r="T3466">
        <v>0</v>
      </c>
      <c r="U3466">
        <v>0</v>
      </c>
      <c r="V3466">
        <v>0</v>
      </c>
      <c r="W3466">
        <v>0</v>
      </c>
      <c r="X3466" s="21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J3466" t="s">
        <v>51</v>
      </c>
      <c r="AK3466" t="s">
        <v>52</v>
      </c>
      <c r="AL3466" t="s">
        <v>1148</v>
      </c>
      <c r="AP3466" t="s">
        <v>951</v>
      </c>
    </row>
    <row r="3467" spans="1:42">
      <c r="A3467" s="16">
        <v>43805</v>
      </c>
      <c r="B3467">
        <v>5</v>
      </c>
      <c r="C3467">
        <v>977</v>
      </c>
      <c r="D3467">
        <v>14471</v>
      </c>
      <c r="E3467" t="s">
        <v>112</v>
      </c>
      <c r="F3467" t="s">
        <v>949</v>
      </c>
      <c r="G3467">
        <v>2</v>
      </c>
      <c r="H3467">
        <v>38</v>
      </c>
      <c r="I3467" s="25">
        <v>932</v>
      </c>
      <c r="K3467" t="s">
        <v>1147</v>
      </c>
      <c r="M3467" t="s">
        <v>52</v>
      </c>
      <c r="N3467" t="s">
        <v>44</v>
      </c>
      <c r="O3467">
        <v>92</v>
      </c>
      <c r="Q3467">
        <v>1</v>
      </c>
      <c r="R3467">
        <v>1</v>
      </c>
      <c r="S3467">
        <v>0</v>
      </c>
      <c r="T3467">
        <v>0</v>
      </c>
      <c r="U3467">
        <v>0</v>
      </c>
      <c r="V3467">
        <v>0</v>
      </c>
      <c r="W3467">
        <v>1</v>
      </c>
      <c r="X3467" s="21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96</v>
      </c>
      <c r="AJ3467" t="s">
        <v>54</v>
      </c>
      <c r="AK3467" t="s">
        <v>95</v>
      </c>
      <c r="AL3467" t="s">
        <v>654</v>
      </c>
      <c r="AP3467" t="s">
        <v>951</v>
      </c>
    </row>
    <row r="3468" spans="1:42">
      <c r="A3468" s="16">
        <v>43805</v>
      </c>
      <c r="B3468">
        <v>5</v>
      </c>
      <c r="C3468">
        <v>977</v>
      </c>
      <c r="D3468">
        <v>14471</v>
      </c>
      <c r="E3468" t="s">
        <v>112</v>
      </c>
      <c r="F3468" t="s">
        <v>949</v>
      </c>
      <c r="G3468">
        <v>2</v>
      </c>
      <c r="H3468">
        <v>39</v>
      </c>
      <c r="I3468" s="25">
        <v>970</v>
      </c>
      <c r="K3468" t="s">
        <v>1147</v>
      </c>
      <c r="M3468" t="s">
        <v>52</v>
      </c>
      <c r="N3468" t="s">
        <v>44</v>
      </c>
      <c r="O3468">
        <v>100</v>
      </c>
      <c r="Q3468">
        <v>1</v>
      </c>
      <c r="R3468">
        <v>1</v>
      </c>
      <c r="S3468">
        <v>0</v>
      </c>
      <c r="T3468">
        <v>0</v>
      </c>
      <c r="U3468">
        <v>0</v>
      </c>
      <c r="V3468">
        <v>0</v>
      </c>
      <c r="W3468">
        <v>1</v>
      </c>
      <c r="X3468" s="21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96</v>
      </c>
      <c r="AJ3468" t="s">
        <v>54</v>
      </c>
      <c r="AK3468" t="s">
        <v>52</v>
      </c>
      <c r="AP3468" t="s">
        <v>951</v>
      </c>
    </row>
    <row r="3469" spans="1:42">
      <c r="A3469" s="16">
        <v>43805</v>
      </c>
      <c r="B3469">
        <v>5</v>
      </c>
      <c r="C3469">
        <v>977</v>
      </c>
      <c r="D3469">
        <v>14471</v>
      </c>
      <c r="E3469" t="s">
        <v>112</v>
      </c>
      <c r="F3469" t="s">
        <v>949</v>
      </c>
      <c r="G3469">
        <v>2</v>
      </c>
      <c r="H3469">
        <v>40</v>
      </c>
      <c r="I3469" s="25">
        <v>400</v>
      </c>
      <c r="K3469" t="s">
        <v>103</v>
      </c>
      <c r="L3469" t="s">
        <v>114</v>
      </c>
      <c r="M3469" t="s">
        <v>52</v>
      </c>
      <c r="N3469" t="s">
        <v>40</v>
      </c>
      <c r="O3469">
        <v>41</v>
      </c>
      <c r="Q3469">
        <v>1</v>
      </c>
      <c r="R3469">
        <v>1</v>
      </c>
      <c r="S3469">
        <v>0</v>
      </c>
      <c r="T3469">
        <v>0</v>
      </c>
      <c r="U3469">
        <v>0</v>
      </c>
      <c r="V3469">
        <v>1</v>
      </c>
      <c r="W3469">
        <v>0</v>
      </c>
      <c r="X3469" s="21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64</v>
      </c>
      <c r="AJ3469" t="s">
        <v>54</v>
      </c>
      <c r="AK3469" t="s">
        <v>52</v>
      </c>
      <c r="AP3469" t="s">
        <v>951</v>
      </c>
    </row>
    <row r="3470" spans="1:42">
      <c r="A3470" s="16">
        <v>43805</v>
      </c>
      <c r="B3470">
        <v>5</v>
      </c>
      <c r="C3470">
        <v>977</v>
      </c>
      <c r="D3470">
        <v>14471</v>
      </c>
      <c r="E3470" t="s">
        <v>112</v>
      </c>
      <c r="F3470" t="s">
        <v>949</v>
      </c>
      <c r="G3470">
        <v>2</v>
      </c>
      <c r="H3470">
        <v>41</v>
      </c>
      <c r="I3470" s="25">
        <v>940</v>
      </c>
      <c r="K3470" t="s">
        <v>148</v>
      </c>
      <c r="M3470" t="s">
        <v>52</v>
      </c>
      <c r="N3470" t="s">
        <v>44</v>
      </c>
      <c r="O3470">
        <v>192</v>
      </c>
      <c r="Q3470">
        <v>6</v>
      </c>
      <c r="R3470">
        <v>1</v>
      </c>
      <c r="S3470">
        <v>0</v>
      </c>
      <c r="T3470">
        <v>0</v>
      </c>
      <c r="U3470">
        <v>0</v>
      </c>
      <c r="V3470">
        <v>0</v>
      </c>
      <c r="W3470">
        <v>6</v>
      </c>
      <c r="X3470" s="21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576</v>
      </c>
      <c r="AJ3470" t="s">
        <v>51</v>
      </c>
      <c r="AK3470" t="s">
        <v>95</v>
      </c>
      <c r="AL3470" t="s">
        <v>1149</v>
      </c>
      <c r="AP3470" t="s">
        <v>951</v>
      </c>
    </row>
    <row r="3471" spans="1:42">
      <c r="A3471" s="16">
        <v>43805</v>
      </c>
      <c r="B3471">
        <v>5</v>
      </c>
      <c r="C3471">
        <v>977</v>
      </c>
      <c r="D3471">
        <v>14471</v>
      </c>
      <c r="E3471" t="s">
        <v>112</v>
      </c>
      <c r="F3471" t="s">
        <v>949</v>
      </c>
      <c r="G3471">
        <v>2</v>
      </c>
      <c r="H3471">
        <v>42</v>
      </c>
      <c r="I3471" s="25">
        <v>888</v>
      </c>
      <c r="K3471" t="s">
        <v>1147</v>
      </c>
      <c r="M3471" t="s">
        <v>52</v>
      </c>
      <c r="N3471" t="s">
        <v>44</v>
      </c>
      <c r="O3471">
        <v>62</v>
      </c>
      <c r="Q3471">
        <v>1</v>
      </c>
      <c r="R3471">
        <v>1</v>
      </c>
      <c r="S3471">
        <v>0</v>
      </c>
      <c r="T3471">
        <v>0</v>
      </c>
      <c r="U3471">
        <v>0</v>
      </c>
      <c r="V3471">
        <v>0</v>
      </c>
      <c r="W3471">
        <v>1</v>
      </c>
      <c r="X3471" s="2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96</v>
      </c>
      <c r="AJ3471" t="s">
        <v>54</v>
      </c>
      <c r="AK3471" t="s">
        <v>95</v>
      </c>
      <c r="AP3471" t="s">
        <v>951</v>
      </c>
    </row>
    <row r="3472" spans="1:42">
      <c r="A3472" s="16">
        <v>43805</v>
      </c>
      <c r="B3472">
        <v>5</v>
      </c>
      <c r="C3472">
        <v>977</v>
      </c>
      <c r="D3472">
        <v>14471</v>
      </c>
      <c r="E3472" t="s">
        <v>112</v>
      </c>
      <c r="F3472" t="s">
        <v>949</v>
      </c>
      <c r="G3472">
        <v>2</v>
      </c>
      <c r="H3472">
        <v>43</v>
      </c>
      <c r="I3472" s="25">
        <v>2140</v>
      </c>
      <c r="K3472" t="s">
        <v>101</v>
      </c>
      <c r="M3472" t="s">
        <v>52</v>
      </c>
      <c r="N3472" t="s">
        <v>44</v>
      </c>
      <c r="O3472">
        <v>195</v>
      </c>
      <c r="Q3472">
        <v>5</v>
      </c>
      <c r="R3472">
        <v>1</v>
      </c>
      <c r="S3472">
        <v>0</v>
      </c>
      <c r="T3472">
        <v>0</v>
      </c>
      <c r="U3472">
        <v>0</v>
      </c>
      <c r="V3472">
        <v>0</v>
      </c>
      <c r="W3472">
        <v>5</v>
      </c>
      <c r="X3472" s="21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480</v>
      </c>
      <c r="AJ3472" t="s">
        <v>54</v>
      </c>
      <c r="AK3472" t="s">
        <v>52</v>
      </c>
      <c r="AL3472" t="s">
        <v>1150</v>
      </c>
      <c r="AP3472" t="s">
        <v>951</v>
      </c>
    </row>
    <row r="3473" spans="1:42">
      <c r="A3473" s="16">
        <v>43805</v>
      </c>
      <c r="B3473">
        <v>5</v>
      </c>
      <c r="C3473">
        <v>977</v>
      </c>
      <c r="D3473">
        <v>14471</v>
      </c>
      <c r="E3473" t="s">
        <v>112</v>
      </c>
      <c r="F3473" t="s">
        <v>949</v>
      </c>
      <c r="G3473">
        <v>2</v>
      </c>
      <c r="H3473">
        <v>44</v>
      </c>
      <c r="I3473" s="25">
        <v>2127</v>
      </c>
      <c r="K3473" t="s">
        <v>101</v>
      </c>
      <c r="M3473" t="s">
        <v>52</v>
      </c>
      <c r="N3473" t="s">
        <v>44</v>
      </c>
      <c r="O3473">
        <v>166</v>
      </c>
      <c r="Q3473">
        <v>2</v>
      </c>
      <c r="R3473">
        <v>1</v>
      </c>
      <c r="S3473">
        <v>0</v>
      </c>
      <c r="T3473">
        <v>0</v>
      </c>
      <c r="U3473">
        <v>0</v>
      </c>
      <c r="V3473">
        <v>0</v>
      </c>
      <c r="W3473">
        <v>2</v>
      </c>
      <c r="X3473" s="21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192</v>
      </c>
      <c r="AJ3473" t="s">
        <v>54</v>
      </c>
      <c r="AK3473" t="s">
        <v>52</v>
      </c>
      <c r="AL3473" t="s">
        <v>1151</v>
      </c>
      <c r="AP3473" t="s">
        <v>951</v>
      </c>
    </row>
    <row r="3474" spans="1:42">
      <c r="A3474" s="16">
        <v>43805</v>
      </c>
      <c r="B3474">
        <v>5</v>
      </c>
      <c r="C3474">
        <v>977</v>
      </c>
      <c r="D3474">
        <v>14471</v>
      </c>
      <c r="E3474" t="s">
        <v>112</v>
      </c>
      <c r="F3474" t="s">
        <v>949</v>
      </c>
      <c r="G3474">
        <v>2</v>
      </c>
      <c r="H3474">
        <v>45</v>
      </c>
      <c r="I3474" s="25">
        <v>2200</v>
      </c>
      <c r="K3474" t="s">
        <v>101</v>
      </c>
      <c r="L3474" t="s">
        <v>114</v>
      </c>
      <c r="M3474" t="s">
        <v>52</v>
      </c>
      <c r="N3474" t="s">
        <v>40</v>
      </c>
      <c r="O3474">
        <v>22</v>
      </c>
      <c r="Q3474">
        <v>1</v>
      </c>
      <c r="R3474">
        <v>1</v>
      </c>
      <c r="S3474">
        <v>0</v>
      </c>
      <c r="T3474">
        <v>0</v>
      </c>
      <c r="U3474">
        <v>0</v>
      </c>
      <c r="V3474">
        <v>0</v>
      </c>
      <c r="W3474">
        <v>1</v>
      </c>
      <c r="X3474" s="21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96</v>
      </c>
      <c r="AJ3474" t="s">
        <v>51</v>
      </c>
      <c r="AK3474" t="s">
        <v>52</v>
      </c>
      <c r="AP3474" t="s">
        <v>951</v>
      </c>
    </row>
    <row r="3475" spans="1:42">
      <c r="A3475" s="16">
        <v>43805</v>
      </c>
      <c r="B3475">
        <v>5</v>
      </c>
      <c r="C3475">
        <v>977</v>
      </c>
      <c r="D3475">
        <v>14471</v>
      </c>
      <c r="E3475" t="s">
        <v>112</v>
      </c>
      <c r="F3475" t="s">
        <v>949</v>
      </c>
      <c r="G3475">
        <v>2</v>
      </c>
      <c r="H3475">
        <v>46</v>
      </c>
      <c r="I3475" s="25">
        <v>2228</v>
      </c>
      <c r="K3475" t="s">
        <v>101</v>
      </c>
      <c r="M3475" t="s">
        <v>52</v>
      </c>
      <c r="N3475" t="s">
        <v>44</v>
      </c>
      <c r="O3475">
        <v>65</v>
      </c>
      <c r="Q3475">
        <v>2</v>
      </c>
      <c r="R3475">
        <v>1</v>
      </c>
      <c r="S3475">
        <v>0</v>
      </c>
      <c r="T3475">
        <v>0</v>
      </c>
      <c r="U3475">
        <v>0</v>
      </c>
      <c r="V3475">
        <v>0</v>
      </c>
      <c r="W3475">
        <v>2</v>
      </c>
      <c r="X3475" s="21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192</v>
      </c>
      <c r="AJ3475" t="s">
        <v>51</v>
      </c>
      <c r="AK3475" t="s">
        <v>52</v>
      </c>
      <c r="AP3475" t="s">
        <v>951</v>
      </c>
    </row>
    <row r="3476" spans="1:42">
      <c r="A3476" s="16">
        <v>43805</v>
      </c>
      <c r="B3476">
        <v>5</v>
      </c>
      <c r="C3476">
        <v>977</v>
      </c>
      <c r="D3476">
        <v>14471</v>
      </c>
      <c r="E3476" t="s">
        <v>112</v>
      </c>
      <c r="F3476" t="s">
        <v>949</v>
      </c>
      <c r="G3476">
        <v>2</v>
      </c>
      <c r="H3476">
        <v>47</v>
      </c>
      <c r="I3476" s="25">
        <v>2200</v>
      </c>
      <c r="K3476" t="s">
        <v>101</v>
      </c>
      <c r="L3476" t="s">
        <v>114</v>
      </c>
      <c r="M3476" t="s">
        <v>52</v>
      </c>
      <c r="N3476" t="s">
        <v>40</v>
      </c>
      <c r="O3476">
        <v>63</v>
      </c>
      <c r="Q3476">
        <v>2</v>
      </c>
      <c r="R3476">
        <v>1</v>
      </c>
      <c r="S3476">
        <v>0</v>
      </c>
      <c r="T3476">
        <v>0</v>
      </c>
      <c r="U3476">
        <v>1</v>
      </c>
      <c r="V3476">
        <v>0</v>
      </c>
      <c r="W3476">
        <v>1</v>
      </c>
      <c r="X3476" s="21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128</v>
      </c>
      <c r="AJ3476" t="s">
        <v>51</v>
      </c>
      <c r="AK3476" t="s">
        <v>95</v>
      </c>
      <c r="AP3476" t="s">
        <v>951</v>
      </c>
    </row>
    <row r="3477" spans="1:42">
      <c r="A3477" s="16">
        <v>43805</v>
      </c>
      <c r="B3477">
        <v>5</v>
      </c>
      <c r="C3477">
        <v>977</v>
      </c>
      <c r="D3477">
        <v>14471</v>
      </c>
      <c r="E3477" t="s">
        <v>112</v>
      </c>
      <c r="F3477" t="s">
        <v>949</v>
      </c>
      <c r="G3477">
        <v>2</v>
      </c>
      <c r="H3477">
        <v>48</v>
      </c>
      <c r="I3477" s="25">
        <v>900</v>
      </c>
      <c r="K3477" t="s">
        <v>1115</v>
      </c>
      <c r="L3477" t="s">
        <v>141</v>
      </c>
      <c r="M3477" t="s">
        <v>52</v>
      </c>
      <c r="N3477" t="s">
        <v>40</v>
      </c>
      <c r="O3477">
        <v>29</v>
      </c>
      <c r="Q3477">
        <v>1</v>
      </c>
      <c r="R3477">
        <v>1</v>
      </c>
      <c r="S3477">
        <v>0</v>
      </c>
      <c r="T3477">
        <v>0</v>
      </c>
      <c r="U3477">
        <v>0</v>
      </c>
      <c r="V3477">
        <v>0</v>
      </c>
      <c r="W3477">
        <v>1</v>
      </c>
      <c r="X3477" s="21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96</v>
      </c>
      <c r="AJ3477" t="s">
        <v>51</v>
      </c>
      <c r="AK3477" t="s">
        <v>95</v>
      </c>
      <c r="AP3477" t="s">
        <v>951</v>
      </c>
    </row>
    <row r="3478" spans="1:42">
      <c r="A3478" s="16">
        <v>43805</v>
      </c>
      <c r="B3478">
        <v>5</v>
      </c>
      <c r="C3478">
        <v>977</v>
      </c>
      <c r="D3478">
        <v>14471</v>
      </c>
      <c r="E3478" t="s">
        <v>112</v>
      </c>
      <c r="F3478" t="s">
        <v>949</v>
      </c>
      <c r="G3478">
        <v>2</v>
      </c>
      <c r="H3478">
        <v>49</v>
      </c>
      <c r="I3478" s="25">
        <v>900</v>
      </c>
      <c r="K3478" t="s">
        <v>1115</v>
      </c>
      <c r="L3478" t="s">
        <v>141</v>
      </c>
      <c r="M3478" t="s">
        <v>52</v>
      </c>
      <c r="N3478" t="s">
        <v>40</v>
      </c>
      <c r="O3478">
        <v>29</v>
      </c>
      <c r="Q3478">
        <v>1</v>
      </c>
      <c r="R3478">
        <v>1</v>
      </c>
      <c r="S3478">
        <v>0</v>
      </c>
      <c r="T3478">
        <v>0</v>
      </c>
      <c r="U3478">
        <v>0</v>
      </c>
      <c r="V3478">
        <v>0</v>
      </c>
      <c r="W3478">
        <v>1</v>
      </c>
      <c r="X3478" s="21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96</v>
      </c>
      <c r="AJ3478" t="s">
        <v>51</v>
      </c>
      <c r="AK3478" t="s">
        <v>95</v>
      </c>
      <c r="AP3478" t="s">
        <v>951</v>
      </c>
    </row>
    <row r="3479" spans="1:42">
      <c r="A3479" s="16">
        <v>43805</v>
      </c>
      <c r="B3479">
        <v>5</v>
      </c>
      <c r="C3479">
        <v>977</v>
      </c>
      <c r="D3479">
        <v>14471</v>
      </c>
      <c r="E3479" t="s">
        <v>112</v>
      </c>
      <c r="F3479" t="s">
        <v>949</v>
      </c>
      <c r="G3479">
        <v>2</v>
      </c>
      <c r="H3479">
        <v>50</v>
      </c>
      <c r="I3479" s="25">
        <v>900</v>
      </c>
      <c r="K3479" t="s">
        <v>1115</v>
      </c>
      <c r="L3479" t="s">
        <v>141</v>
      </c>
      <c r="M3479" t="s">
        <v>52</v>
      </c>
      <c r="N3479" t="s">
        <v>40</v>
      </c>
      <c r="O3479">
        <v>265</v>
      </c>
      <c r="Q3479">
        <v>10</v>
      </c>
      <c r="R3479">
        <v>1</v>
      </c>
      <c r="S3479">
        <v>0</v>
      </c>
      <c r="T3479">
        <v>0</v>
      </c>
      <c r="U3479">
        <v>0</v>
      </c>
      <c r="V3479">
        <v>2</v>
      </c>
      <c r="W3479">
        <v>8</v>
      </c>
      <c r="X3479" s="21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893</v>
      </c>
      <c r="AJ3479" t="s">
        <v>51</v>
      </c>
      <c r="AK3479" t="s">
        <v>52</v>
      </c>
      <c r="AP3479" t="s">
        <v>951</v>
      </c>
    </row>
    <row r="3480" spans="1:42">
      <c r="A3480" s="16">
        <v>43805</v>
      </c>
      <c r="B3480">
        <v>5</v>
      </c>
      <c r="C3480">
        <v>977</v>
      </c>
      <c r="D3480">
        <v>14471</v>
      </c>
      <c r="E3480" t="s">
        <v>112</v>
      </c>
      <c r="F3480" t="s">
        <v>949</v>
      </c>
      <c r="G3480">
        <v>2</v>
      </c>
      <c r="H3480">
        <v>51</v>
      </c>
      <c r="I3480" s="25">
        <v>2224</v>
      </c>
      <c r="K3480" t="s">
        <v>103</v>
      </c>
      <c r="M3480" t="s">
        <v>52</v>
      </c>
      <c r="N3480" t="s">
        <v>44</v>
      </c>
      <c r="O3480">
        <v>234</v>
      </c>
      <c r="Q3480">
        <v>6</v>
      </c>
      <c r="R3480">
        <v>1</v>
      </c>
      <c r="S3480">
        <v>0</v>
      </c>
      <c r="T3480">
        <v>0</v>
      </c>
      <c r="U3480">
        <v>0</v>
      </c>
      <c r="V3480">
        <v>0</v>
      </c>
      <c r="W3480">
        <v>6</v>
      </c>
      <c r="X3480" s="21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576</v>
      </c>
      <c r="AJ3480" t="s">
        <v>54</v>
      </c>
      <c r="AK3480" t="s">
        <v>95</v>
      </c>
      <c r="AP3480" t="s">
        <v>951</v>
      </c>
    </row>
    <row r="3481" spans="1:42">
      <c r="A3481" s="16">
        <v>43805</v>
      </c>
      <c r="B3481">
        <v>5</v>
      </c>
      <c r="C3481">
        <v>977</v>
      </c>
      <c r="D3481">
        <v>14471</v>
      </c>
      <c r="E3481" t="s">
        <v>112</v>
      </c>
      <c r="F3481" t="s">
        <v>949</v>
      </c>
      <c r="G3481">
        <v>2</v>
      </c>
      <c r="H3481">
        <v>52</v>
      </c>
      <c r="I3481" s="25">
        <v>2355</v>
      </c>
      <c r="K3481" t="s">
        <v>91</v>
      </c>
      <c r="M3481" t="s">
        <v>52</v>
      </c>
      <c r="N3481" t="s">
        <v>44</v>
      </c>
      <c r="O3481">
        <v>84</v>
      </c>
      <c r="Q3481">
        <v>2</v>
      </c>
      <c r="R3481">
        <v>1</v>
      </c>
      <c r="S3481">
        <v>0</v>
      </c>
      <c r="T3481">
        <v>0</v>
      </c>
      <c r="U3481">
        <v>0</v>
      </c>
      <c r="V3481">
        <v>0</v>
      </c>
      <c r="W3481">
        <v>2</v>
      </c>
      <c r="X3481" s="2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192</v>
      </c>
      <c r="AJ3481" t="s">
        <v>54</v>
      </c>
      <c r="AK3481" t="s">
        <v>95</v>
      </c>
      <c r="AP3481" t="s">
        <v>951</v>
      </c>
    </row>
    <row r="3482" spans="1:42">
      <c r="A3482" s="16">
        <v>43805</v>
      </c>
      <c r="B3482">
        <v>5</v>
      </c>
      <c r="C3482">
        <v>977</v>
      </c>
      <c r="D3482">
        <v>14471</v>
      </c>
      <c r="E3482" t="s">
        <v>112</v>
      </c>
      <c r="F3482" t="s">
        <v>949</v>
      </c>
      <c r="G3482">
        <v>2</v>
      </c>
      <c r="H3482">
        <v>53</v>
      </c>
      <c r="I3482" s="25">
        <v>970</v>
      </c>
      <c r="K3482" t="s">
        <v>324</v>
      </c>
      <c r="M3482" t="s">
        <v>52</v>
      </c>
      <c r="N3482" t="s">
        <v>44</v>
      </c>
      <c r="O3482">
        <v>157</v>
      </c>
      <c r="Q3482">
        <v>2</v>
      </c>
      <c r="R3482">
        <v>1</v>
      </c>
      <c r="S3482">
        <v>0</v>
      </c>
      <c r="T3482">
        <v>0</v>
      </c>
      <c r="U3482">
        <v>0</v>
      </c>
      <c r="V3482">
        <v>0</v>
      </c>
      <c r="W3482">
        <v>2</v>
      </c>
      <c r="X3482" s="21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192</v>
      </c>
      <c r="AJ3482" t="s">
        <v>54</v>
      </c>
      <c r="AK3482" t="s">
        <v>95</v>
      </c>
      <c r="AP3482" t="s">
        <v>951</v>
      </c>
    </row>
    <row r="3483" spans="1:42">
      <c r="A3483" s="16">
        <v>43805</v>
      </c>
      <c r="B3483">
        <v>5</v>
      </c>
      <c r="C3483">
        <v>977</v>
      </c>
      <c r="D3483">
        <v>14471</v>
      </c>
      <c r="E3483" t="s">
        <v>112</v>
      </c>
      <c r="F3483" t="s">
        <v>949</v>
      </c>
      <c r="G3483">
        <v>2</v>
      </c>
      <c r="H3483">
        <v>54</v>
      </c>
      <c r="I3483" s="25">
        <v>1275</v>
      </c>
      <c r="K3483" t="s">
        <v>1147</v>
      </c>
      <c r="M3483" t="s">
        <v>52</v>
      </c>
      <c r="N3483" t="s">
        <v>44</v>
      </c>
      <c r="O3483">
        <v>312</v>
      </c>
      <c r="Q3483">
        <v>3</v>
      </c>
      <c r="R3483">
        <v>1</v>
      </c>
      <c r="S3483">
        <v>0</v>
      </c>
      <c r="T3483">
        <v>0</v>
      </c>
      <c r="U3483">
        <v>0</v>
      </c>
      <c r="V3483">
        <v>0</v>
      </c>
      <c r="W3483">
        <v>3</v>
      </c>
      <c r="X3483" s="21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288</v>
      </c>
      <c r="AJ3483" t="s">
        <v>54</v>
      </c>
      <c r="AK3483" t="s">
        <v>95</v>
      </c>
      <c r="AL3483" t="s">
        <v>1152</v>
      </c>
      <c r="AP3483" t="s">
        <v>951</v>
      </c>
    </row>
    <row r="3484" spans="1:42">
      <c r="A3484" s="16">
        <v>43805</v>
      </c>
      <c r="B3484">
        <v>5</v>
      </c>
      <c r="C3484">
        <v>977</v>
      </c>
      <c r="D3484">
        <v>14471</v>
      </c>
      <c r="E3484" t="s">
        <v>112</v>
      </c>
      <c r="F3484" t="s">
        <v>949</v>
      </c>
      <c r="G3484">
        <v>2</v>
      </c>
      <c r="H3484">
        <v>55</v>
      </c>
      <c r="I3484" s="25">
        <v>1221</v>
      </c>
      <c r="K3484" t="s">
        <v>1147</v>
      </c>
      <c r="M3484" t="s">
        <v>52</v>
      </c>
      <c r="N3484" t="s">
        <v>44</v>
      </c>
      <c r="O3484">
        <v>157</v>
      </c>
      <c r="Q3484">
        <v>2</v>
      </c>
      <c r="R3484">
        <v>1</v>
      </c>
      <c r="S3484">
        <v>0</v>
      </c>
      <c r="T3484">
        <v>0</v>
      </c>
      <c r="U3484">
        <v>0</v>
      </c>
      <c r="V3484">
        <v>0</v>
      </c>
      <c r="W3484">
        <v>2</v>
      </c>
      <c r="X3484" s="21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192</v>
      </c>
      <c r="AJ3484" t="s">
        <v>54</v>
      </c>
      <c r="AK3484" t="s">
        <v>95</v>
      </c>
      <c r="AP3484" t="s">
        <v>951</v>
      </c>
    </row>
    <row r="3485" spans="1:42">
      <c r="A3485" s="16">
        <v>43805</v>
      </c>
      <c r="B3485">
        <v>5</v>
      </c>
      <c r="C3485">
        <v>977</v>
      </c>
      <c r="D3485">
        <v>14471</v>
      </c>
      <c r="E3485" t="s">
        <v>112</v>
      </c>
      <c r="F3485" t="s">
        <v>949</v>
      </c>
      <c r="G3485">
        <v>2</v>
      </c>
      <c r="H3485">
        <v>56</v>
      </c>
      <c r="I3485" s="25">
        <v>1215</v>
      </c>
      <c r="K3485" t="s">
        <v>1147</v>
      </c>
      <c r="M3485" t="s">
        <v>52</v>
      </c>
      <c r="N3485" t="s">
        <v>44</v>
      </c>
      <c r="O3485">
        <v>157</v>
      </c>
      <c r="Q3485">
        <v>1</v>
      </c>
      <c r="R3485">
        <v>1</v>
      </c>
      <c r="S3485">
        <v>0</v>
      </c>
      <c r="T3485">
        <v>0</v>
      </c>
      <c r="U3485">
        <v>0</v>
      </c>
      <c r="V3485">
        <v>0</v>
      </c>
      <c r="W3485">
        <v>3</v>
      </c>
      <c r="X3485" s="21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288</v>
      </c>
      <c r="AJ3485" t="s">
        <v>54</v>
      </c>
      <c r="AK3485" t="s">
        <v>95</v>
      </c>
      <c r="AP3485" t="s">
        <v>951</v>
      </c>
    </row>
    <row r="3486" spans="1:42">
      <c r="A3486" s="16">
        <v>43805</v>
      </c>
      <c r="B3486">
        <v>5</v>
      </c>
      <c r="C3486">
        <v>977</v>
      </c>
      <c r="D3486">
        <v>14471</v>
      </c>
      <c r="E3486" t="s">
        <v>112</v>
      </c>
      <c r="F3486" t="s">
        <v>949</v>
      </c>
      <c r="G3486">
        <v>2</v>
      </c>
      <c r="H3486">
        <v>57</v>
      </c>
      <c r="I3486" s="25">
        <v>1201</v>
      </c>
      <c r="K3486" t="s">
        <v>1147</v>
      </c>
      <c r="M3486" t="s">
        <v>52</v>
      </c>
      <c r="N3486" t="s">
        <v>44</v>
      </c>
      <c r="O3486">
        <v>45</v>
      </c>
      <c r="Q3486">
        <v>2</v>
      </c>
      <c r="R3486">
        <v>1</v>
      </c>
      <c r="S3486">
        <v>0</v>
      </c>
      <c r="T3486">
        <v>0</v>
      </c>
      <c r="U3486">
        <v>0</v>
      </c>
      <c r="V3486">
        <v>0</v>
      </c>
      <c r="W3486">
        <v>2</v>
      </c>
      <c r="X3486" s="21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192</v>
      </c>
      <c r="AJ3486" t="s">
        <v>54</v>
      </c>
      <c r="AK3486" t="s">
        <v>95</v>
      </c>
      <c r="AP3486" t="s">
        <v>951</v>
      </c>
    </row>
    <row r="3487" spans="1:42">
      <c r="A3487" s="16">
        <v>43805</v>
      </c>
      <c r="B3487">
        <v>5</v>
      </c>
      <c r="C3487">
        <v>977</v>
      </c>
      <c r="D3487">
        <v>14471</v>
      </c>
      <c r="E3487" t="s">
        <v>112</v>
      </c>
      <c r="F3487" t="s">
        <v>949</v>
      </c>
      <c r="G3487">
        <v>2</v>
      </c>
      <c r="H3487">
        <v>58</v>
      </c>
      <c r="I3487" s="25">
        <v>2222</v>
      </c>
      <c r="K3487" t="s">
        <v>828</v>
      </c>
      <c r="M3487" t="s">
        <v>52</v>
      </c>
      <c r="N3487" t="s">
        <v>44</v>
      </c>
      <c r="O3487">
        <v>31</v>
      </c>
      <c r="Q3487">
        <v>2</v>
      </c>
      <c r="R3487">
        <v>1</v>
      </c>
      <c r="S3487">
        <v>0</v>
      </c>
      <c r="T3487">
        <v>0</v>
      </c>
      <c r="U3487">
        <v>0</v>
      </c>
      <c r="V3487">
        <v>0</v>
      </c>
      <c r="W3487">
        <v>2</v>
      </c>
      <c r="X3487" s="21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192</v>
      </c>
      <c r="AJ3487" t="s">
        <v>51</v>
      </c>
      <c r="AK3487" t="s">
        <v>95</v>
      </c>
      <c r="AP3487" t="s">
        <v>951</v>
      </c>
    </row>
    <row r="3488" spans="1:42">
      <c r="A3488" s="16">
        <v>43805</v>
      </c>
      <c r="B3488">
        <v>5</v>
      </c>
      <c r="C3488">
        <v>977</v>
      </c>
      <c r="D3488">
        <v>14471</v>
      </c>
      <c r="E3488" t="s">
        <v>112</v>
      </c>
      <c r="F3488" t="s">
        <v>949</v>
      </c>
      <c r="G3488">
        <v>2</v>
      </c>
      <c r="H3488">
        <v>59</v>
      </c>
      <c r="I3488" s="25">
        <v>2227</v>
      </c>
      <c r="K3488" t="s">
        <v>828</v>
      </c>
      <c r="M3488" t="s">
        <v>52</v>
      </c>
      <c r="N3488" t="s">
        <v>44</v>
      </c>
      <c r="O3488">
        <v>101</v>
      </c>
      <c r="Q3488">
        <v>1</v>
      </c>
      <c r="R3488">
        <v>1</v>
      </c>
      <c r="S3488">
        <v>0</v>
      </c>
      <c r="T3488">
        <v>0</v>
      </c>
      <c r="U3488">
        <v>0</v>
      </c>
      <c r="V3488">
        <v>0</v>
      </c>
      <c r="W3488">
        <v>1</v>
      </c>
      <c r="X3488" s="21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96</v>
      </c>
      <c r="AJ3488" t="s">
        <v>54</v>
      </c>
      <c r="AK3488" t="s">
        <v>95</v>
      </c>
      <c r="AP3488" t="s">
        <v>951</v>
      </c>
    </row>
    <row r="3489" spans="1:42">
      <c r="A3489" s="16">
        <v>43805</v>
      </c>
      <c r="B3489">
        <v>5</v>
      </c>
      <c r="C3489">
        <v>977</v>
      </c>
      <c r="D3489">
        <v>14471</v>
      </c>
      <c r="E3489" t="s">
        <v>112</v>
      </c>
      <c r="F3489" t="s">
        <v>949</v>
      </c>
      <c r="G3489">
        <v>2</v>
      </c>
      <c r="H3489">
        <v>60</v>
      </c>
      <c r="I3489" s="25">
        <v>2240</v>
      </c>
      <c r="K3489" t="s">
        <v>828</v>
      </c>
      <c r="M3489" t="s">
        <v>52</v>
      </c>
      <c r="N3489" t="s">
        <v>44</v>
      </c>
      <c r="O3489">
        <v>150</v>
      </c>
      <c r="Q3489">
        <v>3</v>
      </c>
      <c r="R3489">
        <v>1</v>
      </c>
      <c r="S3489">
        <v>0</v>
      </c>
      <c r="T3489">
        <v>0</v>
      </c>
      <c r="U3489">
        <v>0</v>
      </c>
      <c r="V3489">
        <v>0</v>
      </c>
      <c r="W3489">
        <v>3</v>
      </c>
      <c r="X3489" s="21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288</v>
      </c>
      <c r="AJ3489" t="s">
        <v>54</v>
      </c>
      <c r="AK3489" t="s">
        <v>95</v>
      </c>
      <c r="AP3489" t="s">
        <v>951</v>
      </c>
    </row>
    <row r="3490" spans="1:42">
      <c r="A3490" s="16">
        <v>43805</v>
      </c>
      <c r="B3490">
        <v>5</v>
      </c>
      <c r="C3490">
        <v>977</v>
      </c>
      <c r="D3490">
        <v>14471</v>
      </c>
      <c r="E3490" t="s">
        <v>112</v>
      </c>
      <c r="F3490" t="s">
        <v>949</v>
      </c>
      <c r="G3490">
        <v>2</v>
      </c>
      <c r="H3490">
        <v>61</v>
      </c>
      <c r="I3490" s="25">
        <v>1103</v>
      </c>
      <c r="K3490" t="s">
        <v>1147</v>
      </c>
      <c r="M3490" t="s">
        <v>52</v>
      </c>
      <c r="N3490" t="s">
        <v>44</v>
      </c>
      <c r="O3490">
        <v>30</v>
      </c>
      <c r="Q3490">
        <v>1</v>
      </c>
      <c r="R3490">
        <v>1</v>
      </c>
      <c r="S3490">
        <v>0</v>
      </c>
      <c r="T3490">
        <v>0</v>
      </c>
      <c r="U3490">
        <v>0</v>
      </c>
      <c r="V3490">
        <v>1</v>
      </c>
      <c r="W3490">
        <v>0</v>
      </c>
      <c r="X3490" s="21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64</v>
      </c>
      <c r="AJ3490" t="s">
        <v>54</v>
      </c>
      <c r="AK3490" t="s">
        <v>95</v>
      </c>
      <c r="AP3490" t="s">
        <v>951</v>
      </c>
    </row>
    <row r="3491" spans="1:42">
      <c r="A3491" s="16">
        <v>43805</v>
      </c>
      <c r="B3491">
        <v>5</v>
      </c>
      <c r="C3491">
        <v>977</v>
      </c>
      <c r="D3491">
        <v>14471</v>
      </c>
      <c r="E3491" t="s">
        <v>112</v>
      </c>
      <c r="F3491" t="s">
        <v>949</v>
      </c>
      <c r="G3491">
        <v>2</v>
      </c>
      <c r="H3491">
        <v>62</v>
      </c>
      <c r="I3491" s="25">
        <v>1140</v>
      </c>
      <c r="K3491" t="s">
        <v>1147</v>
      </c>
      <c r="M3491" t="s">
        <v>52</v>
      </c>
      <c r="N3491" t="s">
        <v>44</v>
      </c>
      <c r="O3491">
        <v>35</v>
      </c>
      <c r="Q3491">
        <v>1</v>
      </c>
      <c r="R3491">
        <v>1</v>
      </c>
      <c r="S3491">
        <v>0</v>
      </c>
      <c r="T3491">
        <v>0</v>
      </c>
      <c r="U3491">
        <v>0</v>
      </c>
      <c r="V3491">
        <v>0</v>
      </c>
      <c r="W3491">
        <v>1</v>
      </c>
      <c r="X3491" s="2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96</v>
      </c>
      <c r="AJ3491" t="s">
        <v>54</v>
      </c>
      <c r="AK3491" t="s">
        <v>95</v>
      </c>
      <c r="AP3491" t="s">
        <v>951</v>
      </c>
    </row>
    <row r="3492" spans="1:42">
      <c r="A3492" s="16">
        <v>43805</v>
      </c>
      <c r="B3492">
        <v>5</v>
      </c>
      <c r="C3492">
        <v>977</v>
      </c>
      <c r="D3492">
        <v>14471</v>
      </c>
      <c r="E3492" t="s">
        <v>112</v>
      </c>
      <c r="F3492" t="s">
        <v>949</v>
      </c>
      <c r="G3492">
        <v>2</v>
      </c>
      <c r="H3492">
        <v>63</v>
      </c>
      <c r="I3492" s="25">
        <v>1120</v>
      </c>
      <c r="K3492" t="s">
        <v>1147</v>
      </c>
      <c r="M3492" t="s">
        <v>52</v>
      </c>
      <c r="N3492" t="s">
        <v>44</v>
      </c>
      <c r="O3492">
        <v>193</v>
      </c>
      <c r="Q3492">
        <v>2</v>
      </c>
      <c r="R3492">
        <v>1</v>
      </c>
      <c r="S3492">
        <v>0</v>
      </c>
      <c r="T3492">
        <v>0</v>
      </c>
      <c r="U3492">
        <v>2</v>
      </c>
      <c r="V3492">
        <v>0</v>
      </c>
      <c r="W3492">
        <v>0</v>
      </c>
      <c r="X3492" s="21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64</v>
      </c>
      <c r="AJ3492" t="s">
        <v>54</v>
      </c>
      <c r="AK3492" t="s">
        <v>95</v>
      </c>
      <c r="AL3492" t="s">
        <v>1153</v>
      </c>
      <c r="AP3492" t="s">
        <v>951</v>
      </c>
    </row>
    <row r="3493" spans="1:42">
      <c r="A3493" s="16">
        <v>43805</v>
      </c>
      <c r="B3493">
        <v>5</v>
      </c>
      <c r="C3493">
        <v>977</v>
      </c>
      <c r="D3493">
        <v>14471</v>
      </c>
      <c r="E3493" t="s">
        <v>112</v>
      </c>
      <c r="F3493" t="s">
        <v>949</v>
      </c>
      <c r="G3493">
        <v>2</v>
      </c>
      <c r="H3493">
        <v>64</v>
      </c>
      <c r="I3493" s="25">
        <v>2310</v>
      </c>
      <c r="K3493" t="s">
        <v>828</v>
      </c>
      <c r="M3493" t="s">
        <v>52</v>
      </c>
      <c r="N3493" t="s">
        <v>44</v>
      </c>
      <c r="O3493">
        <v>45</v>
      </c>
      <c r="Q3493">
        <v>1</v>
      </c>
      <c r="R3493">
        <v>1</v>
      </c>
      <c r="S3493">
        <v>0</v>
      </c>
      <c r="T3493">
        <v>0</v>
      </c>
      <c r="U3493">
        <v>0</v>
      </c>
      <c r="V3493">
        <v>0</v>
      </c>
      <c r="W3493">
        <v>1</v>
      </c>
      <c r="X3493" s="21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96</v>
      </c>
      <c r="AJ3493" t="s">
        <v>54</v>
      </c>
      <c r="AK3493" t="s">
        <v>95</v>
      </c>
      <c r="AP3493" t="s">
        <v>951</v>
      </c>
    </row>
    <row r="3494" spans="1:42">
      <c r="A3494" s="16">
        <v>43805</v>
      </c>
      <c r="B3494">
        <v>5</v>
      </c>
      <c r="C3494">
        <v>977</v>
      </c>
      <c r="D3494">
        <v>14471</v>
      </c>
      <c r="E3494" t="s">
        <v>112</v>
      </c>
      <c r="F3494" t="s">
        <v>949</v>
      </c>
      <c r="G3494">
        <v>2</v>
      </c>
      <c r="H3494">
        <v>65</v>
      </c>
      <c r="I3494" s="25">
        <v>2145</v>
      </c>
      <c r="K3494" t="s">
        <v>91</v>
      </c>
      <c r="M3494" t="s">
        <v>52</v>
      </c>
      <c r="N3494" t="s">
        <v>44</v>
      </c>
      <c r="O3494">
        <v>61</v>
      </c>
      <c r="Q3494">
        <v>1</v>
      </c>
      <c r="R3494">
        <v>1</v>
      </c>
      <c r="S3494">
        <v>0</v>
      </c>
      <c r="T3494">
        <v>0</v>
      </c>
      <c r="U3494">
        <v>0</v>
      </c>
      <c r="V3494">
        <v>0</v>
      </c>
      <c r="W3494">
        <v>1</v>
      </c>
      <c r="X3494" s="21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96</v>
      </c>
      <c r="AJ3494" t="s">
        <v>54</v>
      </c>
      <c r="AK3494" t="s">
        <v>95</v>
      </c>
      <c r="AP3494" t="s">
        <v>951</v>
      </c>
    </row>
    <row r="3495" spans="1:42">
      <c r="A3495" s="16">
        <v>43805</v>
      </c>
      <c r="B3495">
        <v>5</v>
      </c>
      <c r="C3495">
        <v>977</v>
      </c>
      <c r="D3495">
        <v>14471</v>
      </c>
      <c r="E3495" t="s">
        <v>112</v>
      </c>
      <c r="F3495" t="s">
        <v>949</v>
      </c>
      <c r="G3495">
        <v>2</v>
      </c>
      <c r="H3495">
        <v>66</v>
      </c>
      <c r="I3495" s="25">
        <v>2233</v>
      </c>
      <c r="K3495" t="s">
        <v>91</v>
      </c>
      <c r="M3495" t="s">
        <v>52</v>
      </c>
      <c r="N3495" t="s">
        <v>44</v>
      </c>
      <c r="O3495">
        <v>28</v>
      </c>
      <c r="Q3495">
        <v>1</v>
      </c>
      <c r="R3495">
        <v>1</v>
      </c>
      <c r="S3495">
        <v>0</v>
      </c>
      <c r="T3495">
        <v>0</v>
      </c>
      <c r="U3495">
        <v>0</v>
      </c>
      <c r="V3495">
        <v>0</v>
      </c>
      <c r="W3495">
        <v>0</v>
      </c>
      <c r="X3495" s="21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1</v>
      </c>
      <c r="AG3495">
        <v>0</v>
      </c>
      <c r="AH3495">
        <v>0</v>
      </c>
      <c r="AJ3495" t="s">
        <v>54</v>
      </c>
      <c r="AK3495" t="s">
        <v>95</v>
      </c>
      <c r="AP3495" t="s">
        <v>951</v>
      </c>
    </row>
    <row r="3496" spans="1:42">
      <c r="A3496" s="16">
        <v>43805</v>
      </c>
      <c r="B3496">
        <v>5</v>
      </c>
      <c r="C3496">
        <v>977</v>
      </c>
      <c r="D3496">
        <v>14471</v>
      </c>
      <c r="E3496" t="s">
        <v>112</v>
      </c>
      <c r="F3496" t="s">
        <v>949</v>
      </c>
      <c r="G3496">
        <v>2</v>
      </c>
      <c r="H3496">
        <v>67</v>
      </c>
      <c r="I3496" s="25">
        <v>2231</v>
      </c>
      <c r="K3496" t="s">
        <v>91</v>
      </c>
      <c r="M3496" t="s">
        <v>52</v>
      </c>
      <c r="N3496" t="s">
        <v>44</v>
      </c>
      <c r="O3496">
        <v>76</v>
      </c>
      <c r="Q3496">
        <v>1</v>
      </c>
      <c r="R3496">
        <v>1</v>
      </c>
      <c r="S3496">
        <v>0</v>
      </c>
      <c r="T3496">
        <v>0</v>
      </c>
      <c r="U3496">
        <v>0</v>
      </c>
      <c r="V3496">
        <v>0</v>
      </c>
      <c r="W3496">
        <v>1</v>
      </c>
      <c r="X3496" s="21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96</v>
      </c>
      <c r="AJ3496" t="s">
        <v>54</v>
      </c>
      <c r="AK3496" t="s">
        <v>95</v>
      </c>
      <c r="AL3496" t="s">
        <v>1154</v>
      </c>
      <c r="AP3496" t="s">
        <v>951</v>
      </c>
    </row>
    <row r="3497" spans="1:42">
      <c r="A3497" s="16">
        <v>43805</v>
      </c>
      <c r="B3497">
        <v>5</v>
      </c>
      <c r="C3497">
        <v>977</v>
      </c>
      <c r="D3497">
        <v>14471</v>
      </c>
      <c r="E3497" t="s">
        <v>112</v>
      </c>
      <c r="F3497" t="s">
        <v>949</v>
      </c>
      <c r="G3497">
        <v>2</v>
      </c>
      <c r="H3497">
        <v>68</v>
      </c>
      <c r="I3497" s="25">
        <v>2200</v>
      </c>
      <c r="K3497" t="s">
        <v>91</v>
      </c>
      <c r="M3497" t="s">
        <v>52</v>
      </c>
      <c r="N3497" t="s">
        <v>40</v>
      </c>
      <c r="O3497">
        <v>30</v>
      </c>
      <c r="Q3497">
        <v>1</v>
      </c>
      <c r="R3497">
        <v>1</v>
      </c>
      <c r="S3497">
        <v>0</v>
      </c>
      <c r="T3497">
        <v>0</v>
      </c>
      <c r="U3497">
        <v>0</v>
      </c>
      <c r="V3497">
        <v>1</v>
      </c>
      <c r="W3497">
        <v>0</v>
      </c>
      <c r="X3497" s="21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64</v>
      </c>
      <c r="AJ3497" t="s">
        <v>54</v>
      </c>
      <c r="AK3497" t="s">
        <v>95</v>
      </c>
      <c r="AP3497" t="s">
        <v>951</v>
      </c>
    </row>
    <row r="3498" spans="1:42">
      <c r="A3498" s="16">
        <v>43805</v>
      </c>
      <c r="B3498">
        <v>5</v>
      </c>
      <c r="C3498">
        <v>977</v>
      </c>
      <c r="D3498">
        <v>14471</v>
      </c>
      <c r="E3498" t="s">
        <v>112</v>
      </c>
      <c r="F3498" t="s">
        <v>949</v>
      </c>
      <c r="G3498">
        <v>2</v>
      </c>
      <c r="H3498">
        <v>69</v>
      </c>
      <c r="I3498" s="25">
        <v>1103</v>
      </c>
      <c r="K3498" t="s">
        <v>1147</v>
      </c>
      <c r="M3498" t="s">
        <v>52</v>
      </c>
      <c r="N3498" t="s">
        <v>44</v>
      </c>
      <c r="O3498">
        <v>19</v>
      </c>
      <c r="Q3498">
        <v>2</v>
      </c>
      <c r="R3498">
        <v>1</v>
      </c>
      <c r="S3498">
        <v>0</v>
      </c>
      <c r="T3498">
        <v>0</v>
      </c>
      <c r="U3498">
        <v>0</v>
      </c>
      <c r="V3498">
        <v>2</v>
      </c>
      <c r="W3498">
        <v>0</v>
      </c>
      <c r="X3498" s="21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128</v>
      </c>
      <c r="AJ3498" t="s">
        <v>51</v>
      </c>
      <c r="AK3498" t="s">
        <v>95</v>
      </c>
      <c r="AP3498" t="s">
        <v>951</v>
      </c>
    </row>
    <row r="3499" spans="1:42">
      <c r="A3499" s="16">
        <v>43805</v>
      </c>
      <c r="B3499">
        <v>5</v>
      </c>
      <c r="C3499">
        <v>977</v>
      </c>
      <c r="D3499">
        <v>14471</v>
      </c>
      <c r="E3499" t="s">
        <v>112</v>
      </c>
      <c r="F3499" t="s">
        <v>949</v>
      </c>
      <c r="G3499">
        <v>2</v>
      </c>
      <c r="H3499">
        <v>70</v>
      </c>
      <c r="I3499" s="25">
        <v>2116</v>
      </c>
      <c r="K3499" t="s">
        <v>91</v>
      </c>
      <c r="M3499" t="s">
        <v>52</v>
      </c>
      <c r="N3499" t="s">
        <v>44</v>
      </c>
      <c r="O3499">
        <v>106</v>
      </c>
      <c r="Q3499">
        <v>2</v>
      </c>
      <c r="R3499">
        <v>1</v>
      </c>
      <c r="S3499">
        <v>0</v>
      </c>
      <c r="T3499">
        <v>0</v>
      </c>
      <c r="U3499">
        <v>0</v>
      </c>
      <c r="V3499">
        <v>0</v>
      </c>
      <c r="W3499">
        <v>2</v>
      </c>
      <c r="X3499" s="21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192</v>
      </c>
      <c r="AJ3499" t="s">
        <v>51</v>
      </c>
      <c r="AK3499" t="s">
        <v>95</v>
      </c>
      <c r="AP3499" t="s">
        <v>951</v>
      </c>
    </row>
    <row r="3500" spans="1:42">
      <c r="A3500" s="16">
        <v>43805</v>
      </c>
      <c r="B3500">
        <v>5</v>
      </c>
      <c r="C3500">
        <v>977</v>
      </c>
      <c r="D3500">
        <v>14471</v>
      </c>
      <c r="E3500" t="s">
        <v>112</v>
      </c>
      <c r="F3500" t="s">
        <v>949</v>
      </c>
      <c r="G3500">
        <v>2</v>
      </c>
      <c r="H3500">
        <v>71</v>
      </c>
      <c r="I3500" s="25">
        <v>1040</v>
      </c>
      <c r="K3500" t="s">
        <v>1147</v>
      </c>
      <c r="M3500" t="s">
        <v>52</v>
      </c>
      <c r="N3500" t="s">
        <v>44</v>
      </c>
      <c r="O3500">
        <v>210</v>
      </c>
      <c r="Q3500">
        <v>3</v>
      </c>
      <c r="R3500">
        <v>1</v>
      </c>
      <c r="S3500">
        <v>0</v>
      </c>
      <c r="T3500">
        <v>0</v>
      </c>
      <c r="U3500">
        <v>0</v>
      </c>
      <c r="V3500">
        <v>0</v>
      </c>
      <c r="W3500">
        <v>3</v>
      </c>
      <c r="X3500" s="21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288</v>
      </c>
      <c r="AJ3500" t="s">
        <v>54</v>
      </c>
      <c r="AK3500" t="s">
        <v>52</v>
      </c>
      <c r="AL3500" t="s">
        <v>1155</v>
      </c>
      <c r="AP3500" t="s">
        <v>951</v>
      </c>
    </row>
    <row r="3501" spans="1:42">
      <c r="A3501" s="16">
        <v>43805</v>
      </c>
      <c r="B3501">
        <v>5</v>
      </c>
      <c r="C3501">
        <v>977</v>
      </c>
      <c r="D3501">
        <v>14471</v>
      </c>
      <c r="E3501" t="s">
        <v>112</v>
      </c>
      <c r="F3501" t="s">
        <v>949</v>
      </c>
      <c r="G3501">
        <v>2</v>
      </c>
      <c r="H3501">
        <v>72</v>
      </c>
      <c r="I3501" s="25">
        <v>2022</v>
      </c>
      <c r="K3501" t="s">
        <v>91</v>
      </c>
      <c r="M3501" t="s">
        <v>52</v>
      </c>
      <c r="N3501" t="s">
        <v>44</v>
      </c>
      <c r="O3501">
        <v>197</v>
      </c>
      <c r="Q3501">
        <v>4</v>
      </c>
      <c r="R3501">
        <v>1</v>
      </c>
      <c r="S3501">
        <v>0</v>
      </c>
      <c r="T3501">
        <v>0</v>
      </c>
      <c r="U3501">
        <v>0</v>
      </c>
      <c r="V3501">
        <v>0</v>
      </c>
      <c r="W3501">
        <v>4</v>
      </c>
      <c r="X3501" s="2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384</v>
      </c>
      <c r="AJ3501" t="s">
        <v>51</v>
      </c>
      <c r="AK3501" t="s">
        <v>52</v>
      </c>
      <c r="AP3501" t="s">
        <v>951</v>
      </c>
    </row>
    <row r="3502" spans="1:42">
      <c r="A3502" s="16">
        <v>43805</v>
      </c>
      <c r="B3502">
        <v>5</v>
      </c>
      <c r="C3502">
        <v>977</v>
      </c>
      <c r="D3502">
        <v>14471</v>
      </c>
      <c r="E3502" t="s">
        <v>112</v>
      </c>
      <c r="F3502" t="s">
        <v>949</v>
      </c>
      <c r="G3502">
        <v>2</v>
      </c>
      <c r="H3502">
        <v>73</v>
      </c>
      <c r="I3502" s="25">
        <v>800</v>
      </c>
      <c r="K3502" t="s">
        <v>324</v>
      </c>
      <c r="M3502" t="s">
        <v>52</v>
      </c>
      <c r="N3502" t="s">
        <v>44</v>
      </c>
      <c r="O3502">
        <v>230</v>
      </c>
      <c r="Q3502">
        <v>9</v>
      </c>
      <c r="R3502">
        <v>1</v>
      </c>
      <c r="S3502">
        <v>0</v>
      </c>
      <c r="T3502">
        <v>0</v>
      </c>
      <c r="U3502">
        <v>0</v>
      </c>
      <c r="V3502">
        <v>0</v>
      </c>
      <c r="W3502">
        <v>9</v>
      </c>
      <c r="X3502" s="21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864</v>
      </c>
      <c r="AJ3502" t="s">
        <v>54</v>
      </c>
      <c r="AK3502" t="s">
        <v>95</v>
      </c>
      <c r="AP3502" t="s">
        <v>951</v>
      </c>
    </row>
    <row r="3503" spans="1:42">
      <c r="A3503" s="16">
        <v>43808</v>
      </c>
      <c r="B3503">
        <v>1</v>
      </c>
      <c r="C3503">
        <v>988</v>
      </c>
      <c r="D3503">
        <v>14629</v>
      </c>
      <c r="E3503" t="s">
        <v>112</v>
      </c>
      <c r="F3503" t="s">
        <v>949</v>
      </c>
      <c r="G3503">
        <v>2</v>
      </c>
      <c r="H3503">
        <v>1</v>
      </c>
      <c r="I3503" s="25">
        <v>1900</v>
      </c>
      <c r="K3503" t="s">
        <v>185</v>
      </c>
      <c r="M3503" t="s">
        <v>52</v>
      </c>
      <c r="N3503" t="s">
        <v>44</v>
      </c>
      <c r="O3503">
        <v>89</v>
      </c>
      <c r="Q3503">
        <v>2</v>
      </c>
      <c r="R3503">
        <v>1</v>
      </c>
      <c r="S3503">
        <v>0</v>
      </c>
      <c r="T3503">
        <v>0</v>
      </c>
      <c r="U3503">
        <v>0</v>
      </c>
      <c r="V3503">
        <v>0</v>
      </c>
      <c r="W3503">
        <v>2</v>
      </c>
      <c r="X3503" s="21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192</v>
      </c>
      <c r="AJ3503" t="s">
        <v>54</v>
      </c>
      <c r="AK3503" t="s">
        <v>95</v>
      </c>
      <c r="AP3503" t="s">
        <v>951</v>
      </c>
    </row>
    <row r="3504" spans="1:42">
      <c r="A3504" s="16">
        <v>43808</v>
      </c>
      <c r="B3504">
        <v>1</v>
      </c>
      <c r="C3504">
        <v>988</v>
      </c>
      <c r="D3504">
        <v>14629</v>
      </c>
      <c r="E3504" t="s">
        <v>112</v>
      </c>
      <c r="F3504" t="s">
        <v>949</v>
      </c>
      <c r="G3504">
        <v>2</v>
      </c>
      <c r="H3504">
        <v>2</v>
      </c>
      <c r="I3504" s="25">
        <v>2323</v>
      </c>
      <c r="K3504" t="s">
        <v>862</v>
      </c>
      <c r="M3504" t="s">
        <v>52</v>
      </c>
      <c r="N3504" t="s">
        <v>44</v>
      </c>
      <c r="O3504">
        <v>70</v>
      </c>
      <c r="Q3504">
        <v>1</v>
      </c>
      <c r="R3504">
        <v>1</v>
      </c>
      <c r="S3504">
        <v>0</v>
      </c>
      <c r="T3504">
        <v>0</v>
      </c>
      <c r="U3504">
        <v>0</v>
      </c>
      <c r="V3504">
        <v>0</v>
      </c>
      <c r="W3504">
        <v>1</v>
      </c>
      <c r="X3504" s="21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96</v>
      </c>
      <c r="AJ3504" t="s">
        <v>54</v>
      </c>
      <c r="AK3504" t="s">
        <v>95</v>
      </c>
      <c r="AP3504" t="s">
        <v>951</v>
      </c>
    </row>
    <row r="3505" spans="1:42">
      <c r="A3505" s="16">
        <v>43808</v>
      </c>
      <c r="B3505">
        <v>1</v>
      </c>
      <c r="C3505">
        <v>988</v>
      </c>
      <c r="D3505">
        <v>14629</v>
      </c>
      <c r="E3505" t="s">
        <v>112</v>
      </c>
      <c r="F3505" t="s">
        <v>949</v>
      </c>
      <c r="G3505">
        <v>2</v>
      </c>
      <c r="H3505">
        <v>3</v>
      </c>
      <c r="I3505" s="25">
        <v>2341</v>
      </c>
      <c r="K3505" t="s">
        <v>862</v>
      </c>
      <c r="M3505" t="s">
        <v>52</v>
      </c>
      <c r="N3505" t="s">
        <v>44</v>
      </c>
      <c r="O3505">
        <v>123</v>
      </c>
      <c r="Q3505">
        <v>2</v>
      </c>
      <c r="R3505">
        <v>1</v>
      </c>
      <c r="S3505">
        <v>0</v>
      </c>
      <c r="T3505">
        <v>0</v>
      </c>
      <c r="U3505">
        <v>0</v>
      </c>
      <c r="V3505">
        <v>1</v>
      </c>
      <c r="W3505">
        <v>1</v>
      </c>
      <c r="X3505" s="21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160</v>
      </c>
      <c r="AJ3505" t="s">
        <v>54</v>
      </c>
      <c r="AK3505" t="s">
        <v>95</v>
      </c>
      <c r="AP3505" t="s">
        <v>951</v>
      </c>
    </row>
    <row r="3506" spans="1:42">
      <c r="A3506" s="16">
        <v>43808</v>
      </c>
      <c r="B3506">
        <v>1</v>
      </c>
      <c r="C3506">
        <v>988</v>
      </c>
      <c r="D3506">
        <v>14629</v>
      </c>
      <c r="E3506" t="s">
        <v>112</v>
      </c>
      <c r="F3506" t="s">
        <v>949</v>
      </c>
      <c r="G3506">
        <v>2</v>
      </c>
      <c r="H3506">
        <v>4</v>
      </c>
      <c r="I3506" s="25">
        <v>2338</v>
      </c>
      <c r="K3506" t="s">
        <v>1156</v>
      </c>
      <c r="M3506" t="s">
        <v>52</v>
      </c>
      <c r="N3506" t="s">
        <v>44</v>
      </c>
      <c r="O3506">
        <v>118</v>
      </c>
      <c r="Q3506">
        <v>1</v>
      </c>
      <c r="R3506">
        <v>1</v>
      </c>
      <c r="S3506">
        <v>0</v>
      </c>
      <c r="T3506">
        <v>0</v>
      </c>
      <c r="U3506">
        <v>0</v>
      </c>
      <c r="V3506">
        <v>0</v>
      </c>
      <c r="W3506">
        <v>1</v>
      </c>
      <c r="X3506" s="21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96</v>
      </c>
      <c r="AJ3506" t="s">
        <v>54</v>
      </c>
      <c r="AK3506" t="s">
        <v>95</v>
      </c>
      <c r="AP3506" t="s">
        <v>951</v>
      </c>
    </row>
    <row r="3507" spans="1:42">
      <c r="A3507" s="16">
        <v>43808</v>
      </c>
      <c r="B3507">
        <v>1</v>
      </c>
      <c r="C3507">
        <v>988</v>
      </c>
      <c r="D3507">
        <v>14629</v>
      </c>
      <c r="E3507" t="s">
        <v>112</v>
      </c>
      <c r="F3507" t="s">
        <v>949</v>
      </c>
      <c r="G3507">
        <v>2</v>
      </c>
      <c r="H3507">
        <v>5</v>
      </c>
      <c r="I3507" s="25">
        <v>2420</v>
      </c>
      <c r="K3507" t="s">
        <v>631</v>
      </c>
      <c r="M3507" t="s">
        <v>52</v>
      </c>
      <c r="N3507" t="s">
        <v>44</v>
      </c>
      <c r="O3507">
        <v>90</v>
      </c>
      <c r="Q3507">
        <v>2</v>
      </c>
      <c r="R3507">
        <v>1</v>
      </c>
      <c r="S3507">
        <v>0</v>
      </c>
      <c r="T3507">
        <v>0</v>
      </c>
      <c r="U3507">
        <v>0</v>
      </c>
      <c r="V3507">
        <v>2</v>
      </c>
      <c r="W3507">
        <v>1</v>
      </c>
      <c r="X3507" s="21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128</v>
      </c>
      <c r="AJ3507" t="s">
        <v>54</v>
      </c>
      <c r="AK3507" t="s">
        <v>52</v>
      </c>
      <c r="AP3507" t="s">
        <v>951</v>
      </c>
    </row>
    <row r="3508" spans="1:42">
      <c r="A3508" s="16">
        <v>43808</v>
      </c>
      <c r="B3508">
        <v>1</v>
      </c>
      <c r="C3508">
        <v>988</v>
      </c>
      <c r="D3508">
        <v>14629</v>
      </c>
      <c r="E3508" t="s">
        <v>112</v>
      </c>
      <c r="F3508" t="s">
        <v>949</v>
      </c>
      <c r="G3508">
        <v>2</v>
      </c>
      <c r="H3508">
        <v>6</v>
      </c>
      <c r="I3508" s="25">
        <v>2433</v>
      </c>
      <c r="K3508" t="s">
        <v>1156</v>
      </c>
      <c r="M3508" t="s">
        <v>52</v>
      </c>
      <c r="N3508" t="s">
        <v>44</v>
      </c>
      <c r="O3508">
        <v>92</v>
      </c>
      <c r="Q3508">
        <v>1</v>
      </c>
      <c r="R3508">
        <v>1</v>
      </c>
      <c r="S3508">
        <v>0</v>
      </c>
      <c r="T3508">
        <v>0</v>
      </c>
      <c r="U3508">
        <v>0</v>
      </c>
      <c r="V3508">
        <v>0</v>
      </c>
      <c r="W3508">
        <v>1</v>
      </c>
      <c r="X3508" s="21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96</v>
      </c>
      <c r="AJ3508" t="s">
        <v>54</v>
      </c>
      <c r="AK3508" t="s">
        <v>52</v>
      </c>
      <c r="AP3508" t="s">
        <v>951</v>
      </c>
    </row>
    <row r="3509" spans="1:42">
      <c r="A3509" s="16">
        <v>43808</v>
      </c>
      <c r="B3509">
        <v>1</v>
      </c>
      <c r="C3509">
        <v>988</v>
      </c>
      <c r="D3509">
        <v>14629</v>
      </c>
      <c r="E3509" t="s">
        <v>112</v>
      </c>
      <c r="F3509" t="s">
        <v>949</v>
      </c>
      <c r="G3509">
        <v>2</v>
      </c>
      <c r="H3509">
        <v>7</v>
      </c>
      <c r="I3509" s="25">
        <v>2425</v>
      </c>
      <c r="K3509" t="s">
        <v>1156</v>
      </c>
      <c r="M3509" t="s">
        <v>52</v>
      </c>
      <c r="N3509" t="s">
        <v>44</v>
      </c>
      <c r="O3509">
        <v>166</v>
      </c>
      <c r="Q3509">
        <v>2</v>
      </c>
      <c r="R3509">
        <v>1</v>
      </c>
      <c r="S3509">
        <v>0</v>
      </c>
      <c r="T3509">
        <v>0</v>
      </c>
      <c r="U3509">
        <v>0</v>
      </c>
      <c r="V3509">
        <v>0</v>
      </c>
      <c r="W3509">
        <v>1</v>
      </c>
      <c r="X3509" s="21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1</v>
      </c>
      <c r="AH3509">
        <v>96</v>
      </c>
      <c r="AJ3509" t="s">
        <v>54</v>
      </c>
      <c r="AK3509" t="s">
        <v>52</v>
      </c>
      <c r="AL3509" t="s">
        <v>1157</v>
      </c>
      <c r="AP3509" t="s">
        <v>951</v>
      </c>
    </row>
    <row r="3510" spans="1:42">
      <c r="A3510" s="16">
        <v>43808</v>
      </c>
      <c r="B3510">
        <v>1</v>
      </c>
      <c r="C3510">
        <v>988</v>
      </c>
      <c r="D3510">
        <v>14629</v>
      </c>
      <c r="E3510" t="s">
        <v>112</v>
      </c>
      <c r="F3510" t="s">
        <v>949</v>
      </c>
      <c r="G3510">
        <v>2</v>
      </c>
      <c r="H3510">
        <v>8</v>
      </c>
      <c r="I3510" s="25">
        <v>1599</v>
      </c>
      <c r="K3510" t="s">
        <v>162</v>
      </c>
      <c r="M3510" t="s">
        <v>52</v>
      </c>
      <c r="N3510" t="s">
        <v>44</v>
      </c>
      <c r="O3510">
        <v>135</v>
      </c>
      <c r="Q3510">
        <v>3</v>
      </c>
      <c r="R3510">
        <v>1</v>
      </c>
      <c r="S3510">
        <v>0</v>
      </c>
      <c r="T3510">
        <v>0</v>
      </c>
      <c r="U3510">
        <v>0</v>
      </c>
      <c r="V3510">
        <v>0</v>
      </c>
      <c r="W3510">
        <v>3</v>
      </c>
      <c r="X3510" s="21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288</v>
      </c>
      <c r="AJ3510" t="s">
        <v>54</v>
      </c>
      <c r="AK3510" t="s">
        <v>95</v>
      </c>
      <c r="AP3510" t="s">
        <v>951</v>
      </c>
    </row>
    <row r="3511" spans="1:42">
      <c r="A3511" s="16">
        <v>43808</v>
      </c>
      <c r="B3511">
        <v>1</v>
      </c>
      <c r="C3511">
        <v>988</v>
      </c>
      <c r="D3511">
        <v>14629</v>
      </c>
      <c r="E3511" t="s">
        <v>112</v>
      </c>
      <c r="F3511" t="s">
        <v>949</v>
      </c>
      <c r="G3511">
        <v>2</v>
      </c>
      <c r="H3511">
        <v>9</v>
      </c>
      <c r="I3511" s="25">
        <v>1651</v>
      </c>
      <c r="K3511" t="s">
        <v>156</v>
      </c>
      <c r="M3511" t="s">
        <v>52</v>
      </c>
      <c r="N3511" t="s">
        <v>44</v>
      </c>
      <c r="O3511">
        <v>159</v>
      </c>
      <c r="Q3511">
        <v>4</v>
      </c>
      <c r="R3511">
        <v>1</v>
      </c>
      <c r="S3511">
        <v>0</v>
      </c>
      <c r="T3511">
        <v>0</v>
      </c>
      <c r="U3511">
        <v>0</v>
      </c>
      <c r="V3511">
        <v>0</v>
      </c>
      <c r="W3511">
        <v>4</v>
      </c>
      <c r="X3511" s="2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384</v>
      </c>
      <c r="AJ3511" t="s">
        <v>54</v>
      </c>
      <c r="AK3511" t="s">
        <v>95</v>
      </c>
      <c r="AP3511" t="s">
        <v>951</v>
      </c>
    </row>
    <row r="3512" spans="1:42">
      <c r="A3512" s="16">
        <v>43808</v>
      </c>
      <c r="B3512">
        <v>1</v>
      </c>
      <c r="C3512">
        <v>988</v>
      </c>
      <c r="D3512">
        <v>14629</v>
      </c>
      <c r="E3512" t="s">
        <v>112</v>
      </c>
      <c r="F3512" t="s">
        <v>949</v>
      </c>
      <c r="G3512">
        <v>2</v>
      </c>
      <c r="H3512">
        <v>10</v>
      </c>
      <c r="I3512" s="25">
        <v>1600</v>
      </c>
      <c r="K3512" t="s">
        <v>156</v>
      </c>
      <c r="M3512" t="s">
        <v>52</v>
      </c>
      <c r="N3512" t="s">
        <v>40</v>
      </c>
      <c r="O3512">
        <v>37</v>
      </c>
      <c r="Q3512">
        <v>1</v>
      </c>
      <c r="R3512">
        <v>1</v>
      </c>
      <c r="S3512">
        <v>0</v>
      </c>
      <c r="T3512">
        <v>0</v>
      </c>
      <c r="U3512">
        <v>0</v>
      </c>
      <c r="V3512">
        <v>1</v>
      </c>
      <c r="W3512">
        <v>0</v>
      </c>
      <c r="X3512" s="21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64</v>
      </c>
      <c r="AJ3512" t="s">
        <v>51</v>
      </c>
      <c r="AK3512" t="s">
        <v>95</v>
      </c>
      <c r="AP3512" t="s">
        <v>951</v>
      </c>
    </row>
    <row r="3513" spans="1:42">
      <c r="A3513" s="16">
        <v>43808</v>
      </c>
      <c r="B3513">
        <v>1</v>
      </c>
      <c r="C3513">
        <v>988</v>
      </c>
      <c r="D3513">
        <v>14629</v>
      </c>
      <c r="E3513" t="s">
        <v>112</v>
      </c>
      <c r="F3513" t="s">
        <v>949</v>
      </c>
      <c r="G3513">
        <v>2</v>
      </c>
      <c r="H3513">
        <v>11</v>
      </c>
      <c r="I3513" s="25">
        <v>1648</v>
      </c>
      <c r="K3513" t="s">
        <v>156</v>
      </c>
      <c r="M3513" t="s">
        <v>52</v>
      </c>
      <c r="N3513" t="s">
        <v>44</v>
      </c>
      <c r="O3513">
        <v>59</v>
      </c>
      <c r="Q3513">
        <v>1</v>
      </c>
      <c r="R3513">
        <v>1</v>
      </c>
      <c r="S3513">
        <v>0</v>
      </c>
      <c r="T3513">
        <v>0</v>
      </c>
      <c r="U3513">
        <v>0</v>
      </c>
      <c r="V3513">
        <v>0</v>
      </c>
      <c r="W3513">
        <v>1</v>
      </c>
      <c r="X3513" s="21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96</v>
      </c>
      <c r="AJ3513" t="s">
        <v>51</v>
      </c>
      <c r="AK3513" t="s">
        <v>95</v>
      </c>
      <c r="AP3513" t="s">
        <v>951</v>
      </c>
    </row>
    <row r="3514" spans="1:42">
      <c r="A3514" s="16">
        <v>43808</v>
      </c>
      <c r="B3514">
        <v>1</v>
      </c>
      <c r="C3514">
        <v>988</v>
      </c>
      <c r="D3514">
        <v>14629</v>
      </c>
      <c r="E3514" t="s">
        <v>112</v>
      </c>
      <c r="F3514" t="s">
        <v>949</v>
      </c>
      <c r="G3514">
        <v>2</v>
      </c>
      <c r="H3514">
        <v>12</v>
      </c>
      <c r="I3514" s="25">
        <v>1670</v>
      </c>
      <c r="K3514" t="s">
        <v>156</v>
      </c>
      <c r="M3514" t="s">
        <v>52</v>
      </c>
      <c r="N3514" t="s">
        <v>44</v>
      </c>
      <c r="O3514">
        <v>59</v>
      </c>
      <c r="Q3514">
        <v>1</v>
      </c>
      <c r="R3514">
        <v>1</v>
      </c>
      <c r="S3514">
        <v>0</v>
      </c>
      <c r="T3514">
        <v>0</v>
      </c>
      <c r="U3514">
        <v>0</v>
      </c>
      <c r="V3514">
        <v>0</v>
      </c>
      <c r="W3514">
        <v>1</v>
      </c>
      <c r="X3514" s="21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96</v>
      </c>
      <c r="AJ3514" t="s">
        <v>51</v>
      </c>
      <c r="AK3514" t="s">
        <v>95</v>
      </c>
      <c r="AP3514" t="s">
        <v>951</v>
      </c>
    </row>
    <row r="3515" spans="1:42">
      <c r="A3515" s="16">
        <v>43808</v>
      </c>
      <c r="B3515">
        <v>1</v>
      </c>
      <c r="C3515">
        <v>988</v>
      </c>
      <c r="D3515">
        <v>14629</v>
      </c>
      <c r="E3515" t="s">
        <v>112</v>
      </c>
      <c r="F3515" t="s">
        <v>949</v>
      </c>
      <c r="G3515">
        <v>2</v>
      </c>
      <c r="H3515">
        <v>13</v>
      </c>
      <c r="I3515" s="25">
        <v>1685</v>
      </c>
      <c r="K3515" t="s">
        <v>156</v>
      </c>
      <c r="M3515" t="s">
        <v>95</v>
      </c>
      <c r="N3515" t="s">
        <v>44</v>
      </c>
      <c r="O3515">
        <v>65</v>
      </c>
      <c r="Q3515">
        <v>1</v>
      </c>
      <c r="R3515">
        <v>1</v>
      </c>
      <c r="S3515">
        <v>0</v>
      </c>
      <c r="T3515">
        <v>0</v>
      </c>
      <c r="U3515">
        <v>0</v>
      </c>
      <c r="V3515">
        <v>1</v>
      </c>
      <c r="W3515">
        <v>0</v>
      </c>
      <c r="X3515" s="21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64</v>
      </c>
      <c r="AJ3515" t="s">
        <v>51</v>
      </c>
      <c r="AK3515" t="s">
        <v>95</v>
      </c>
      <c r="AP3515" t="s">
        <v>951</v>
      </c>
    </row>
    <row r="3516" spans="1:42">
      <c r="A3516" s="16">
        <v>43808</v>
      </c>
      <c r="B3516">
        <v>1</v>
      </c>
      <c r="C3516">
        <v>988</v>
      </c>
      <c r="D3516">
        <v>14629</v>
      </c>
      <c r="E3516" t="s">
        <v>112</v>
      </c>
      <c r="F3516" t="s">
        <v>949</v>
      </c>
      <c r="G3516">
        <v>2</v>
      </c>
      <c r="H3516">
        <v>14</v>
      </c>
      <c r="I3516" s="25">
        <v>1600</v>
      </c>
      <c r="K3516" t="s">
        <v>156</v>
      </c>
      <c r="L3516" t="s">
        <v>141</v>
      </c>
      <c r="M3516" t="s">
        <v>95</v>
      </c>
      <c r="N3516" t="s">
        <v>44</v>
      </c>
      <c r="O3516">
        <v>94</v>
      </c>
      <c r="Q3516">
        <v>2</v>
      </c>
      <c r="R3516">
        <v>1</v>
      </c>
      <c r="S3516">
        <v>0</v>
      </c>
      <c r="T3516">
        <v>0</v>
      </c>
      <c r="U3516">
        <v>0</v>
      </c>
      <c r="V3516">
        <v>1</v>
      </c>
      <c r="W3516">
        <v>1</v>
      </c>
      <c r="X3516" s="21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160</v>
      </c>
      <c r="AJ3516" t="s">
        <v>51</v>
      </c>
      <c r="AK3516" t="s">
        <v>95</v>
      </c>
      <c r="AP3516" t="s">
        <v>951</v>
      </c>
    </row>
    <row r="3517" spans="1:42">
      <c r="A3517" s="16">
        <v>43808</v>
      </c>
      <c r="B3517">
        <v>1</v>
      </c>
      <c r="C3517">
        <v>988</v>
      </c>
      <c r="D3517">
        <v>14629</v>
      </c>
      <c r="E3517" t="s">
        <v>112</v>
      </c>
      <c r="F3517" t="s">
        <v>949</v>
      </c>
      <c r="G3517">
        <v>2</v>
      </c>
      <c r="H3517">
        <v>15</v>
      </c>
      <c r="I3517" s="25">
        <v>1712</v>
      </c>
      <c r="K3517" t="s">
        <v>156</v>
      </c>
      <c r="M3517" t="s">
        <v>95</v>
      </c>
      <c r="N3517" t="s">
        <v>42</v>
      </c>
      <c r="O3517">
        <v>172</v>
      </c>
      <c r="Q3517">
        <v>2</v>
      </c>
      <c r="R3517">
        <v>1</v>
      </c>
      <c r="S3517">
        <v>0</v>
      </c>
      <c r="T3517">
        <v>0</v>
      </c>
      <c r="U3517">
        <v>0</v>
      </c>
      <c r="V3517">
        <v>1</v>
      </c>
      <c r="W3517">
        <v>1</v>
      </c>
      <c r="X3517" s="21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160</v>
      </c>
      <c r="AJ3517" t="s">
        <v>51</v>
      </c>
      <c r="AK3517" t="s">
        <v>95</v>
      </c>
      <c r="AL3517" t="s">
        <v>1158</v>
      </c>
      <c r="AP3517" t="s">
        <v>951</v>
      </c>
    </row>
    <row r="3518" spans="1:42">
      <c r="A3518" s="16">
        <v>43808</v>
      </c>
      <c r="B3518">
        <v>1</v>
      </c>
      <c r="C3518">
        <v>988</v>
      </c>
      <c r="D3518">
        <v>14629</v>
      </c>
      <c r="E3518" t="s">
        <v>112</v>
      </c>
      <c r="F3518" t="s">
        <v>949</v>
      </c>
      <c r="G3518">
        <v>2</v>
      </c>
      <c r="H3518">
        <v>16</v>
      </c>
      <c r="I3518" s="25" t="s">
        <v>1159</v>
      </c>
      <c r="K3518" t="s">
        <v>156</v>
      </c>
      <c r="M3518" t="s">
        <v>52</v>
      </c>
      <c r="N3518" t="s">
        <v>44</v>
      </c>
      <c r="O3518">
        <v>223</v>
      </c>
      <c r="Q3518">
        <v>6</v>
      </c>
      <c r="R3518">
        <v>1</v>
      </c>
      <c r="S3518">
        <v>0</v>
      </c>
      <c r="T3518">
        <v>0</v>
      </c>
      <c r="U3518">
        <v>0</v>
      </c>
      <c r="V3518">
        <v>2</v>
      </c>
      <c r="W3518">
        <v>4</v>
      </c>
      <c r="X3518" s="21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512</v>
      </c>
      <c r="AJ3518" t="s">
        <v>51</v>
      </c>
      <c r="AK3518" t="s">
        <v>95</v>
      </c>
      <c r="AL3518" t="s">
        <v>1160</v>
      </c>
      <c r="AP3518" t="s">
        <v>951</v>
      </c>
    </row>
    <row r="3519" spans="1:42">
      <c r="A3519" s="16">
        <v>43808</v>
      </c>
      <c r="B3519">
        <v>1</v>
      </c>
      <c r="C3519">
        <v>988</v>
      </c>
      <c r="D3519">
        <v>14629</v>
      </c>
      <c r="E3519" t="s">
        <v>112</v>
      </c>
      <c r="F3519" t="s">
        <v>949</v>
      </c>
      <c r="G3519">
        <v>2</v>
      </c>
      <c r="H3519">
        <v>17</v>
      </c>
      <c r="I3519" s="25">
        <v>1800</v>
      </c>
      <c r="K3519" t="s">
        <v>156</v>
      </c>
      <c r="L3519" t="s">
        <v>141</v>
      </c>
      <c r="M3519" t="s">
        <v>95</v>
      </c>
      <c r="N3519" t="s">
        <v>40</v>
      </c>
      <c r="O3519">
        <v>32</v>
      </c>
      <c r="Q3519">
        <v>2</v>
      </c>
      <c r="R3519">
        <v>1</v>
      </c>
      <c r="S3519">
        <v>0</v>
      </c>
      <c r="T3519">
        <v>0</v>
      </c>
      <c r="U3519">
        <v>0</v>
      </c>
      <c r="V3519">
        <v>0</v>
      </c>
      <c r="W3519">
        <v>2</v>
      </c>
      <c r="X3519" s="21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192</v>
      </c>
      <c r="AJ3519" t="s">
        <v>51</v>
      </c>
      <c r="AK3519" t="s">
        <v>95</v>
      </c>
      <c r="AP3519" t="s">
        <v>951</v>
      </c>
    </row>
    <row r="3520" spans="1:42">
      <c r="A3520" s="16">
        <v>43808</v>
      </c>
      <c r="B3520">
        <v>1</v>
      </c>
      <c r="C3520">
        <v>988</v>
      </c>
      <c r="D3520">
        <v>14629</v>
      </c>
      <c r="E3520" t="s">
        <v>112</v>
      </c>
      <c r="F3520" t="s">
        <v>949</v>
      </c>
      <c r="G3520">
        <v>2</v>
      </c>
      <c r="H3520">
        <v>18</v>
      </c>
      <c r="I3520" s="25">
        <v>2600</v>
      </c>
      <c r="K3520" t="s">
        <v>638</v>
      </c>
      <c r="L3520" t="s">
        <v>141</v>
      </c>
      <c r="M3520" t="s">
        <v>52</v>
      </c>
      <c r="N3520" t="s">
        <v>40</v>
      </c>
      <c r="O3520">
        <v>49</v>
      </c>
      <c r="Q3520">
        <v>2</v>
      </c>
      <c r="R3520">
        <v>1</v>
      </c>
      <c r="S3520">
        <v>0</v>
      </c>
      <c r="T3520">
        <v>0</v>
      </c>
      <c r="U3520">
        <v>0</v>
      </c>
      <c r="V3520">
        <v>0</v>
      </c>
      <c r="W3520">
        <v>2</v>
      </c>
      <c r="X3520" s="21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192</v>
      </c>
      <c r="AJ3520" t="s">
        <v>51</v>
      </c>
      <c r="AK3520" t="s">
        <v>52</v>
      </c>
      <c r="AP3520" t="s">
        <v>951</v>
      </c>
    </row>
    <row r="3521" spans="1:42">
      <c r="A3521" s="16">
        <v>43808</v>
      </c>
      <c r="B3521">
        <v>1</v>
      </c>
      <c r="C3521">
        <v>988</v>
      </c>
      <c r="D3521">
        <v>14629</v>
      </c>
      <c r="E3521" t="s">
        <v>112</v>
      </c>
      <c r="F3521" t="s">
        <v>949</v>
      </c>
      <c r="G3521">
        <v>2</v>
      </c>
      <c r="H3521">
        <v>19</v>
      </c>
      <c r="I3521" s="25">
        <v>2614</v>
      </c>
      <c r="K3521" t="s">
        <v>638</v>
      </c>
      <c r="M3521" t="s">
        <v>52</v>
      </c>
      <c r="N3521" t="s">
        <v>44</v>
      </c>
      <c r="O3521">
        <v>68</v>
      </c>
      <c r="Q3521">
        <v>1</v>
      </c>
      <c r="R3521">
        <v>1</v>
      </c>
      <c r="S3521">
        <v>0</v>
      </c>
      <c r="T3521">
        <v>0</v>
      </c>
      <c r="U3521">
        <v>0</v>
      </c>
      <c r="V3521">
        <v>0</v>
      </c>
      <c r="W3521">
        <v>1</v>
      </c>
      <c r="X3521" s="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96</v>
      </c>
      <c r="AJ3521" t="s">
        <v>51</v>
      </c>
      <c r="AK3521" t="s">
        <v>52</v>
      </c>
      <c r="AP3521" t="s">
        <v>951</v>
      </c>
    </row>
    <row r="3522" spans="1:42">
      <c r="A3522" s="16">
        <v>43808</v>
      </c>
      <c r="B3522">
        <v>1</v>
      </c>
      <c r="C3522">
        <v>988</v>
      </c>
      <c r="D3522">
        <v>14629</v>
      </c>
      <c r="E3522" t="s">
        <v>112</v>
      </c>
      <c r="F3522" t="s">
        <v>949</v>
      </c>
      <c r="G3522">
        <v>2</v>
      </c>
      <c r="H3522">
        <v>20</v>
      </c>
      <c r="I3522" s="25">
        <v>2630</v>
      </c>
      <c r="K3522" t="s">
        <v>638</v>
      </c>
      <c r="M3522" t="s">
        <v>52</v>
      </c>
      <c r="N3522" t="s">
        <v>44</v>
      </c>
      <c r="O3522">
        <v>69</v>
      </c>
      <c r="Q3522">
        <v>1</v>
      </c>
      <c r="R3522">
        <v>1</v>
      </c>
      <c r="S3522">
        <v>0</v>
      </c>
      <c r="T3522">
        <v>0</v>
      </c>
      <c r="U3522">
        <v>0</v>
      </c>
      <c r="V3522">
        <v>0</v>
      </c>
      <c r="W3522">
        <v>1</v>
      </c>
      <c r="X3522" s="21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96</v>
      </c>
      <c r="AJ3522" t="s">
        <v>51</v>
      </c>
      <c r="AK3522" t="s">
        <v>95</v>
      </c>
      <c r="AP3522" t="s">
        <v>951</v>
      </c>
    </row>
    <row r="3523" spans="1:42">
      <c r="A3523" s="16">
        <v>43808</v>
      </c>
      <c r="B3523">
        <v>1</v>
      </c>
      <c r="C3523">
        <v>988</v>
      </c>
      <c r="D3523">
        <v>14629</v>
      </c>
      <c r="E3523" t="s">
        <v>112</v>
      </c>
      <c r="F3523" t="s">
        <v>949</v>
      </c>
      <c r="G3523">
        <v>2</v>
      </c>
      <c r="H3523">
        <v>21</v>
      </c>
      <c r="I3523" s="25">
        <v>2632</v>
      </c>
      <c r="K3523" t="s">
        <v>638</v>
      </c>
      <c r="M3523" t="s">
        <v>52</v>
      </c>
      <c r="N3523" t="s">
        <v>44</v>
      </c>
      <c r="O3523">
        <v>96</v>
      </c>
      <c r="Q3523">
        <v>1</v>
      </c>
      <c r="R3523">
        <v>1</v>
      </c>
      <c r="S3523">
        <v>0</v>
      </c>
      <c r="T3523">
        <v>0</v>
      </c>
      <c r="U3523">
        <v>0</v>
      </c>
      <c r="V3523">
        <v>0</v>
      </c>
      <c r="W3523">
        <v>1</v>
      </c>
      <c r="X3523" s="21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96</v>
      </c>
      <c r="AJ3523" t="s">
        <v>51</v>
      </c>
      <c r="AK3523" t="s">
        <v>95</v>
      </c>
      <c r="AP3523" t="s">
        <v>951</v>
      </c>
    </row>
    <row r="3524" spans="1:42">
      <c r="A3524" s="16">
        <v>43808</v>
      </c>
      <c r="B3524">
        <v>1</v>
      </c>
      <c r="C3524">
        <v>988</v>
      </c>
      <c r="D3524">
        <v>14629</v>
      </c>
      <c r="E3524" t="s">
        <v>112</v>
      </c>
      <c r="F3524" t="s">
        <v>949</v>
      </c>
      <c r="G3524">
        <v>2</v>
      </c>
      <c r="H3524">
        <v>22</v>
      </c>
      <c r="I3524" s="25">
        <v>2600</v>
      </c>
      <c r="K3524" t="s">
        <v>638</v>
      </c>
      <c r="M3524" t="s">
        <v>52</v>
      </c>
      <c r="N3524" t="s">
        <v>40</v>
      </c>
      <c r="O3524">
        <v>39</v>
      </c>
      <c r="Q3524">
        <v>1</v>
      </c>
      <c r="R3524">
        <v>1</v>
      </c>
      <c r="S3524">
        <v>0</v>
      </c>
      <c r="T3524">
        <v>0</v>
      </c>
      <c r="U3524">
        <v>0</v>
      </c>
      <c r="V3524">
        <v>0</v>
      </c>
      <c r="W3524">
        <v>1</v>
      </c>
      <c r="X3524" s="21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96</v>
      </c>
      <c r="AJ3524" t="s">
        <v>51</v>
      </c>
      <c r="AK3524" t="s">
        <v>95</v>
      </c>
      <c r="AP3524" t="s">
        <v>951</v>
      </c>
    </row>
    <row r="3525" spans="1:42">
      <c r="A3525" s="16">
        <v>43808</v>
      </c>
      <c r="B3525">
        <v>1</v>
      </c>
      <c r="C3525">
        <v>988</v>
      </c>
      <c r="D3525">
        <v>14629</v>
      </c>
      <c r="E3525" t="s">
        <v>112</v>
      </c>
      <c r="F3525" t="s">
        <v>949</v>
      </c>
      <c r="G3525">
        <v>2</v>
      </c>
      <c r="H3525">
        <v>23</v>
      </c>
      <c r="I3525" s="25"/>
      <c r="K3525" t="s">
        <v>156</v>
      </c>
      <c r="L3525" t="s">
        <v>114</v>
      </c>
      <c r="M3525" t="s">
        <v>52</v>
      </c>
      <c r="N3525" t="s">
        <v>40</v>
      </c>
      <c r="O3525">
        <v>72</v>
      </c>
      <c r="Q3525">
        <v>2</v>
      </c>
      <c r="R3525">
        <v>1</v>
      </c>
      <c r="S3525">
        <v>0</v>
      </c>
      <c r="T3525">
        <v>0</v>
      </c>
      <c r="U3525">
        <v>0</v>
      </c>
      <c r="V3525">
        <v>1</v>
      </c>
      <c r="W3525">
        <v>1</v>
      </c>
      <c r="X3525" s="21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160</v>
      </c>
      <c r="AJ3525" t="s">
        <v>51</v>
      </c>
      <c r="AK3525" t="s">
        <v>95</v>
      </c>
      <c r="AP3525" t="s">
        <v>951</v>
      </c>
    </row>
    <row r="3526" spans="1:42">
      <c r="A3526" s="16">
        <v>43808</v>
      </c>
      <c r="B3526">
        <v>1</v>
      </c>
      <c r="C3526">
        <v>988</v>
      </c>
      <c r="D3526">
        <v>14629</v>
      </c>
      <c r="E3526" t="s">
        <v>112</v>
      </c>
      <c r="F3526" t="s">
        <v>949</v>
      </c>
      <c r="G3526">
        <v>2</v>
      </c>
      <c r="H3526">
        <v>24</v>
      </c>
      <c r="I3526" s="25"/>
      <c r="K3526" t="s">
        <v>156</v>
      </c>
      <c r="L3526" t="s">
        <v>114</v>
      </c>
      <c r="M3526" t="s">
        <v>52</v>
      </c>
      <c r="N3526" t="s">
        <v>40</v>
      </c>
      <c r="O3526">
        <v>51</v>
      </c>
      <c r="Q3526">
        <v>1</v>
      </c>
      <c r="R3526">
        <v>1</v>
      </c>
      <c r="S3526">
        <v>0</v>
      </c>
      <c r="T3526">
        <v>0</v>
      </c>
      <c r="U3526">
        <v>0</v>
      </c>
      <c r="V3526">
        <v>0</v>
      </c>
      <c r="W3526">
        <v>1</v>
      </c>
      <c r="X3526" s="21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96</v>
      </c>
      <c r="AJ3526" t="s">
        <v>51</v>
      </c>
      <c r="AK3526" t="s">
        <v>95</v>
      </c>
      <c r="AP3526" t="s">
        <v>951</v>
      </c>
    </row>
    <row r="3527" spans="1:42">
      <c r="A3527" s="16">
        <v>43808</v>
      </c>
      <c r="B3527">
        <v>1</v>
      </c>
      <c r="C3527">
        <v>988</v>
      </c>
      <c r="D3527">
        <v>14629</v>
      </c>
      <c r="E3527" t="s">
        <v>112</v>
      </c>
      <c r="F3527" t="s">
        <v>949</v>
      </c>
      <c r="G3527">
        <v>2</v>
      </c>
      <c r="H3527">
        <v>25</v>
      </c>
      <c r="I3527" s="25">
        <v>3054</v>
      </c>
      <c r="K3527" t="s">
        <v>595</v>
      </c>
      <c r="M3527" t="s">
        <v>52</v>
      </c>
      <c r="N3527" t="s">
        <v>44</v>
      </c>
      <c r="O3527">
        <v>75</v>
      </c>
      <c r="Q3527">
        <v>1</v>
      </c>
      <c r="R3527">
        <v>1</v>
      </c>
      <c r="S3527">
        <v>0</v>
      </c>
      <c r="T3527">
        <v>0</v>
      </c>
      <c r="U3527">
        <v>0</v>
      </c>
      <c r="V3527">
        <v>0</v>
      </c>
      <c r="W3527">
        <v>1</v>
      </c>
      <c r="X3527" s="21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96</v>
      </c>
      <c r="AJ3527" t="s">
        <v>51</v>
      </c>
      <c r="AK3527" t="s">
        <v>95</v>
      </c>
      <c r="AL3527" t="s">
        <v>1161</v>
      </c>
      <c r="AP3527" t="s">
        <v>951</v>
      </c>
    </row>
    <row r="3528" spans="1:42">
      <c r="A3528" s="16">
        <v>43808</v>
      </c>
      <c r="B3528">
        <v>1</v>
      </c>
      <c r="C3528">
        <v>988</v>
      </c>
      <c r="D3528">
        <v>14629</v>
      </c>
      <c r="E3528" t="s">
        <v>112</v>
      </c>
      <c r="F3528" t="s">
        <v>949</v>
      </c>
      <c r="G3528">
        <v>2</v>
      </c>
      <c r="H3528">
        <v>26</v>
      </c>
      <c r="I3528" s="25">
        <v>1671</v>
      </c>
      <c r="K3528" t="s">
        <v>210</v>
      </c>
      <c r="M3528" t="s">
        <v>52</v>
      </c>
      <c r="N3528" t="s">
        <v>44</v>
      </c>
      <c r="O3528">
        <v>196</v>
      </c>
      <c r="Q3528">
        <v>2</v>
      </c>
      <c r="R3528">
        <v>1</v>
      </c>
      <c r="S3528">
        <v>0</v>
      </c>
      <c r="T3528">
        <v>0</v>
      </c>
      <c r="U3528">
        <v>0</v>
      </c>
      <c r="V3528">
        <v>0</v>
      </c>
      <c r="W3528">
        <v>2</v>
      </c>
      <c r="X3528" s="21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192</v>
      </c>
      <c r="AJ3528" t="s">
        <v>51</v>
      </c>
      <c r="AK3528" t="s">
        <v>95</v>
      </c>
      <c r="AP3528" t="s">
        <v>951</v>
      </c>
    </row>
    <row r="3529" spans="1:42">
      <c r="A3529" s="16">
        <v>43808</v>
      </c>
      <c r="B3529">
        <v>1</v>
      </c>
      <c r="C3529">
        <v>988</v>
      </c>
      <c r="D3529">
        <v>14629</v>
      </c>
      <c r="E3529" t="s">
        <v>112</v>
      </c>
      <c r="F3529" t="s">
        <v>949</v>
      </c>
      <c r="G3529">
        <v>2</v>
      </c>
      <c r="H3529">
        <v>27</v>
      </c>
      <c r="I3529" s="25">
        <v>601</v>
      </c>
      <c r="K3529" t="s">
        <v>210</v>
      </c>
      <c r="M3529" t="s">
        <v>52</v>
      </c>
      <c r="N3529" t="s">
        <v>44</v>
      </c>
      <c r="O3529">
        <v>70</v>
      </c>
      <c r="Q3529">
        <v>1</v>
      </c>
      <c r="R3529">
        <v>1</v>
      </c>
      <c r="S3529">
        <v>0</v>
      </c>
      <c r="T3529">
        <v>0</v>
      </c>
      <c r="U3529">
        <v>0</v>
      </c>
      <c r="V3529">
        <v>0</v>
      </c>
      <c r="W3529">
        <v>1</v>
      </c>
      <c r="X3529" s="21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96</v>
      </c>
      <c r="AJ3529" t="s">
        <v>51</v>
      </c>
      <c r="AK3529" t="s">
        <v>52</v>
      </c>
      <c r="AL3529" t="s">
        <v>692</v>
      </c>
      <c r="AP3529" t="s">
        <v>951</v>
      </c>
    </row>
    <row r="3530" spans="1:42">
      <c r="A3530" s="16">
        <v>43808</v>
      </c>
      <c r="B3530">
        <v>1</v>
      </c>
      <c r="C3530">
        <v>988</v>
      </c>
      <c r="D3530">
        <v>14629</v>
      </c>
      <c r="E3530" t="s">
        <v>112</v>
      </c>
      <c r="F3530" t="s">
        <v>949</v>
      </c>
      <c r="G3530">
        <v>2</v>
      </c>
      <c r="H3530">
        <v>28</v>
      </c>
      <c r="I3530" s="25">
        <v>2941</v>
      </c>
      <c r="K3530" t="s">
        <v>638</v>
      </c>
      <c r="M3530" t="s">
        <v>52</v>
      </c>
      <c r="N3530" t="s">
        <v>44</v>
      </c>
      <c r="O3530">
        <v>73</v>
      </c>
      <c r="Q3530">
        <v>1</v>
      </c>
      <c r="R3530">
        <v>1</v>
      </c>
      <c r="S3530">
        <v>0</v>
      </c>
      <c r="T3530">
        <v>0</v>
      </c>
      <c r="U3530">
        <v>0</v>
      </c>
      <c r="V3530">
        <v>0</v>
      </c>
      <c r="W3530">
        <v>1</v>
      </c>
      <c r="X3530" s="21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96</v>
      </c>
      <c r="AJ3530" t="s">
        <v>51</v>
      </c>
      <c r="AK3530" t="s">
        <v>95</v>
      </c>
      <c r="AP3530" t="s">
        <v>951</v>
      </c>
    </row>
    <row r="3531" spans="1:42">
      <c r="A3531" s="16">
        <v>43808</v>
      </c>
      <c r="B3531">
        <v>1</v>
      </c>
      <c r="C3531">
        <v>988</v>
      </c>
      <c r="D3531">
        <v>14629</v>
      </c>
      <c r="E3531" t="s">
        <v>112</v>
      </c>
      <c r="F3531" t="s">
        <v>949</v>
      </c>
      <c r="G3531">
        <v>2</v>
      </c>
      <c r="H3531">
        <v>29</v>
      </c>
      <c r="I3531" s="25">
        <v>2929</v>
      </c>
      <c r="K3531" t="s">
        <v>638</v>
      </c>
      <c r="M3531" t="s">
        <v>95</v>
      </c>
      <c r="N3531" t="s">
        <v>44</v>
      </c>
      <c r="O3531">
        <v>67</v>
      </c>
      <c r="Q3531">
        <v>1</v>
      </c>
      <c r="R3531">
        <v>1</v>
      </c>
      <c r="S3531">
        <v>0</v>
      </c>
      <c r="T3531">
        <v>0</v>
      </c>
      <c r="U3531">
        <v>0</v>
      </c>
      <c r="V3531">
        <v>0</v>
      </c>
      <c r="W3531">
        <v>1</v>
      </c>
      <c r="X3531" s="2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96</v>
      </c>
      <c r="AJ3531" t="s">
        <v>51</v>
      </c>
      <c r="AK3531" t="s">
        <v>95</v>
      </c>
      <c r="AP3531" t="s">
        <v>951</v>
      </c>
    </row>
    <row r="3532" spans="1:42">
      <c r="A3532" s="16">
        <v>43808</v>
      </c>
      <c r="B3532">
        <v>1</v>
      </c>
      <c r="C3532">
        <v>988</v>
      </c>
      <c r="D3532">
        <v>14629</v>
      </c>
      <c r="E3532" t="s">
        <v>112</v>
      </c>
      <c r="F3532" t="s">
        <v>949</v>
      </c>
      <c r="G3532">
        <v>2</v>
      </c>
      <c r="H3532">
        <v>30</v>
      </c>
      <c r="I3532" s="25">
        <v>1690</v>
      </c>
      <c r="K3532" t="s">
        <v>1147</v>
      </c>
      <c r="M3532" t="s">
        <v>95</v>
      </c>
      <c r="N3532" t="s">
        <v>44</v>
      </c>
      <c r="O3532">
        <v>117</v>
      </c>
      <c r="Q3532">
        <v>1</v>
      </c>
      <c r="R3532">
        <v>1</v>
      </c>
      <c r="S3532">
        <v>0</v>
      </c>
      <c r="T3532">
        <v>0</v>
      </c>
      <c r="U3532">
        <v>0</v>
      </c>
      <c r="V3532">
        <v>0</v>
      </c>
      <c r="W3532">
        <v>1</v>
      </c>
      <c r="X3532" s="21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96</v>
      </c>
      <c r="AJ3532" t="s">
        <v>51</v>
      </c>
      <c r="AK3532" t="s">
        <v>95</v>
      </c>
      <c r="AL3532" t="s">
        <v>692</v>
      </c>
      <c r="AP3532" t="s">
        <v>951</v>
      </c>
    </row>
    <row r="3533" spans="1:42">
      <c r="A3533" s="16">
        <v>43808</v>
      </c>
      <c r="B3533">
        <v>1</v>
      </c>
      <c r="C3533">
        <v>988</v>
      </c>
      <c r="D3533">
        <v>14629</v>
      </c>
      <c r="E3533" t="s">
        <v>112</v>
      </c>
      <c r="F3533" t="s">
        <v>949</v>
      </c>
      <c r="G3533">
        <v>2</v>
      </c>
      <c r="H3533">
        <v>31</v>
      </c>
      <c r="I3533" s="25"/>
      <c r="K3533" t="s">
        <v>638</v>
      </c>
      <c r="L3533" t="s">
        <v>141</v>
      </c>
      <c r="M3533" t="s">
        <v>52</v>
      </c>
      <c r="N3533" t="s">
        <v>40</v>
      </c>
      <c r="O3533">
        <v>58</v>
      </c>
      <c r="Q3533">
        <v>3</v>
      </c>
      <c r="R3533">
        <v>1</v>
      </c>
      <c r="S3533">
        <v>0</v>
      </c>
      <c r="T3533">
        <v>0</v>
      </c>
      <c r="U3533">
        <v>0</v>
      </c>
      <c r="V3533">
        <v>0</v>
      </c>
      <c r="W3533">
        <v>3</v>
      </c>
      <c r="X3533" s="21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288</v>
      </c>
      <c r="AJ3533" t="s">
        <v>51</v>
      </c>
      <c r="AK3533" t="s">
        <v>95</v>
      </c>
      <c r="AP3533" t="s">
        <v>951</v>
      </c>
    </row>
    <row r="3534" spans="1:42">
      <c r="A3534" s="16">
        <v>43808</v>
      </c>
      <c r="B3534">
        <v>1</v>
      </c>
      <c r="C3534">
        <v>988</v>
      </c>
      <c r="D3534">
        <v>14629</v>
      </c>
      <c r="E3534" t="s">
        <v>112</v>
      </c>
      <c r="F3534" t="s">
        <v>949</v>
      </c>
      <c r="G3534">
        <v>2</v>
      </c>
      <c r="H3534">
        <v>32</v>
      </c>
      <c r="I3534" s="25">
        <v>2811</v>
      </c>
      <c r="K3534" t="s">
        <v>185</v>
      </c>
      <c r="M3534" t="s">
        <v>52</v>
      </c>
      <c r="N3534" t="s">
        <v>44</v>
      </c>
      <c r="O3534">
        <v>98</v>
      </c>
      <c r="Q3534">
        <v>2</v>
      </c>
      <c r="R3534">
        <v>1</v>
      </c>
      <c r="S3534">
        <v>0</v>
      </c>
      <c r="T3534">
        <v>0</v>
      </c>
      <c r="U3534">
        <v>0</v>
      </c>
      <c r="V3534">
        <v>0</v>
      </c>
      <c r="W3534">
        <v>2</v>
      </c>
      <c r="X3534" s="21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192</v>
      </c>
      <c r="AJ3534" t="s">
        <v>51</v>
      </c>
      <c r="AK3534" t="s">
        <v>52</v>
      </c>
      <c r="AP3534" t="s">
        <v>951</v>
      </c>
    </row>
    <row r="3535" spans="1:42">
      <c r="A3535" s="16">
        <v>43808</v>
      </c>
      <c r="B3535">
        <v>1</v>
      </c>
      <c r="C3535">
        <v>988</v>
      </c>
      <c r="D3535">
        <v>14629</v>
      </c>
      <c r="E3535" t="s">
        <v>112</v>
      </c>
      <c r="F3535" t="s">
        <v>949</v>
      </c>
      <c r="G3535">
        <v>2</v>
      </c>
      <c r="H3535">
        <v>33</v>
      </c>
      <c r="I3535" s="25">
        <v>2765</v>
      </c>
      <c r="K3535" t="s">
        <v>638</v>
      </c>
      <c r="M3535" t="s">
        <v>95</v>
      </c>
      <c r="N3535" t="s">
        <v>44</v>
      </c>
      <c r="O3535">
        <v>71</v>
      </c>
      <c r="Q3535">
        <v>1</v>
      </c>
      <c r="R3535">
        <v>1</v>
      </c>
      <c r="S3535">
        <v>0</v>
      </c>
      <c r="T3535">
        <v>0</v>
      </c>
      <c r="U3535">
        <v>0</v>
      </c>
      <c r="V3535">
        <v>0</v>
      </c>
      <c r="W3535">
        <v>1</v>
      </c>
      <c r="X3535" s="21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96</v>
      </c>
      <c r="AJ3535" t="s">
        <v>51</v>
      </c>
      <c r="AK3535" t="s">
        <v>52</v>
      </c>
      <c r="AP3535" t="s">
        <v>951</v>
      </c>
    </row>
    <row r="3536" spans="1:42">
      <c r="A3536" s="16">
        <v>43808</v>
      </c>
      <c r="B3536">
        <v>1</v>
      </c>
      <c r="C3536">
        <v>988</v>
      </c>
      <c r="D3536">
        <v>14629</v>
      </c>
      <c r="E3536" t="s">
        <v>112</v>
      </c>
      <c r="F3536" t="s">
        <v>949</v>
      </c>
      <c r="G3536">
        <v>2</v>
      </c>
      <c r="H3536">
        <v>34</v>
      </c>
      <c r="I3536" s="25">
        <v>1714</v>
      </c>
      <c r="K3536" t="s">
        <v>148</v>
      </c>
      <c r="M3536" t="s">
        <v>95</v>
      </c>
      <c r="N3536" t="s">
        <v>44</v>
      </c>
      <c r="O3536">
        <v>62</v>
      </c>
      <c r="Q3536">
        <v>1</v>
      </c>
      <c r="R3536">
        <v>1</v>
      </c>
      <c r="S3536">
        <v>0</v>
      </c>
      <c r="T3536">
        <v>0</v>
      </c>
      <c r="U3536">
        <v>1</v>
      </c>
      <c r="V3536">
        <v>0</v>
      </c>
      <c r="W3536">
        <v>0</v>
      </c>
      <c r="X3536" s="21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32</v>
      </c>
      <c r="AJ3536" t="s">
        <v>51</v>
      </c>
      <c r="AK3536" t="s">
        <v>52</v>
      </c>
      <c r="AP3536" t="s">
        <v>951</v>
      </c>
    </row>
    <row r="3537" spans="1:42">
      <c r="A3537" s="16">
        <v>43808</v>
      </c>
      <c r="B3537">
        <v>1</v>
      </c>
      <c r="C3537">
        <v>988</v>
      </c>
      <c r="D3537">
        <v>14629</v>
      </c>
      <c r="E3537" t="s">
        <v>112</v>
      </c>
      <c r="F3537" t="s">
        <v>949</v>
      </c>
      <c r="G3537">
        <v>2</v>
      </c>
      <c r="H3537">
        <v>35</v>
      </c>
      <c r="I3537" s="25">
        <v>1730</v>
      </c>
      <c r="K3537" t="s">
        <v>148</v>
      </c>
      <c r="M3537" t="s">
        <v>52</v>
      </c>
      <c r="N3537" t="s">
        <v>44</v>
      </c>
      <c r="O3537">
        <v>65</v>
      </c>
      <c r="Q3537">
        <v>1</v>
      </c>
      <c r="R3537">
        <v>1</v>
      </c>
      <c r="S3537">
        <v>0</v>
      </c>
      <c r="T3537">
        <v>0</v>
      </c>
      <c r="U3537">
        <v>0</v>
      </c>
      <c r="V3537">
        <v>0</v>
      </c>
      <c r="W3537">
        <v>1</v>
      </c>
      <c r="X3537" s="21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96</v>
      </c>
      <c r="AJ3537" t="s">
        <v>51</v>
      </c>
      <c r="AK3537" t="s">
        <v>52</v>
      </c>
      <c r="AP3537" t="s">
        <v>951</v>
      </c>
    </row>
    <row r="3538" spans="1:42">
      <c r="A3538" s="16">
        <v>43808</v>
      </c>
      <c r="B3538">
        <v>1</v>
      </c>
      <c r="C3538">
        <v>988</v>
      </c>
      <c r="D3538">
        <v>14629</v>
      </c>
      <c r="E3538" t="s">
        <v>112</v>
      </c>
      <c r="F3538" t="s">
        <v>949</v>
      </c>
      <c r="G3538">
        <v>2</v>
      </c>
      <c r="H3538">
        <v>36</v>
      </c>
      <c r="I3538" s="25">
        <v>1755</v>
      </c>
      <c r="K3538" t="s">
        <v>148</v>
      </c>
      <c r="M3538" t="s">
        <v>95</v>
      </c>
      <c r="N3538" t="s">
        <v>44</v>
      </c>
      <c r="O3538">
        <v>77</v>
      </c>
      <c r="Q3538">
        <v>1</v>
      </c>
      <c r="R3538">
        <v>1</v>
      </c>
      <c r="S3538">
        <v>0</v>
      </c>
      <c r="T3538">
        <v>0</v>
      </c>
      <c r="U3538">
        <v>0</v>
      </c>
      <c r="V3538">
        <v>0</v>
      </c>
      <c r="W3538">
        <v>2</v>
      </c>
      <c r="X3538" s="21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192</v>
      </c>
      <c r="AJ3538" t="s">
        <v>51</v>
      </c>
      <c r="AK3538" t="s">
        <v>52</v>
      </c>
      <c r="AP3538" t="s">
        <v>951</v>
      </c>
    </row>
    <row r="3539" spans="1:42">
      <c r="A3539" s="16">
        <v>43808</v>
      </c>
      <c r="B3539">
        <v>1</v>
      </c>
      <c r="C3539">
        <v>988</v>
      </c>
      <c r="D3539">
        <v>14629</v>
      </c>
      <c r="E3539" t="s">
        <v>112</v>
      </c>
      <c r="F3539" t="s">
        <v>949</v>
      </c>
      <c r="G3539">
        <v>2</v>
      </c>
      <c r="H3539">
        <v>37</v>
      </c>
      <c r="I3539" s="25">
        <v>1760</v>
      </c>
      <c r="K3539" t="s">
        <v>148</v>
      </c>
      <c r="M3539" t="s">
        <v>95</v>
      </c>
      <c r="N3539" t="s">
        <v>44</v>
      </c>
      <c r="O3539">
        <v>87</v>
      </c>
      <c r="Q3539">
        <v>2</v>
      </c>
      <c r="R3539">
        <v>1</v>
      </c>
      <c r="S3539">
        <v>0</v>
      </c>
      <c r="T3539">
        <v>0</v>
      </c>
      <c r="U3539">
        <v>0</v>
      </c>
      <c r="V3539">
        <v>0</v>
      </c>
      <c r="W3539">
        <v>2</v>
      </c>
      <c r="X3539" s="21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192</v>
      </c>
      <c r="AJ3539" t="s">
        <v>51</v>
      </c>
      <c r="AK3539" t="s">
        <v>95</v>
      </c>
      <c r="AP3539" t="s">
        <v>951</v>
      </c>
    </row>
    <row r="3540" spans="1:42">
      <c r="A3540" s="16">
        <v>43808</v>
      </c>
      <c r="B3540">
        <v>1</v>
      </c>
      <c r="C3540">
        <v>988</v>
      </c>
      <c r="D3540">
        <v>14629</v>
      </c>
      <c r="E3540" t="s">
        <v>112</v>
      </c>
      <c r="F3540" t="s">
        <v>949</v>
      </c>
      <c r="G3540">
        <v>2</v>
      </c>
      <c r="H3540">
        <v>38</v>
      </c>
      <c r="I3540" s="25">
        <v>2645</v>
      </c>
      <c r="K3540" t="s">
        <v>415</v>
      </c>
      <c r="M3540" t="s">
        <v>52</v>
      </c>
      <c r="N3540" t="s">
        <v>44</v>
      </c>
      <c r="O3540">
        <v>113</v>
      </c>
      <c r="Q3540">
        <v>1</v>
      </c>
      <c r="R3540">
        <v>1</v>
      </c>
      <c r="S3540">
        <v>0</v>
      </c>
      <c r="T3540">
        <v>0</v>
      </c>
      <c r="U3540">
        <v>0</v>
      </c>
      <c r="V3540">
        <v>1</v>
      </c>
      <c r="W3540">
        <v>0</v>
      </c>
      <c r="X3540" s="21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64</v>
      </c>
      <c r="AJ3540" t="s">
        <v>51</v>
      </c>
      <c r="AK3540" t="s">
        <v>95</v>
      </c>
      <c r="AL3540" t="s">
        <v>1162</v>
      </c>
      <c r="AP3540" t="s">
        <v>951</v>
      </c>
    </row>
    <row r="3541" spans="1:42">
      <c r="A3541" s="16">
        <v>43808</v>
      </c>
      <c r="B3541">
        <v>1</v>
      </c>
      <c r="C3541">
        <v>988</v>
      </c>
      <c r="D3541">
        <v>14629</v>
      </c>
      <c r="E3541" t="s">
        <v>112</v>
      </c>
      <c r="F3541" t="s">
        <v>949</v>
      </c>
      <c r="G3541">
        <v>2</v>
      </c>
      <c r="H3541">
        <v>39</v>
      </c>
      <c r="I3541" s="25"/>
      <c r="K3541" t="s">
        <v>415</v>
      </c>
      <c r="L3541" t="s">
        <v>141</v>
      </c>
      <c r="M3541" t="s">
        <v>52</v>
      </c>
      <c r="N3541" t="s">
        <v>40</v>
      </c>
      <c r="O3541">
        <v>91</v>
      </c>
      <c r="Q3541">
        <v>1</v>
      </c>
      <c r="R3541">
        <v>1</v>
      </c>
      <c r="S3541">
        <v>0</v>
      </c>
      <c r="T3541">
        <v>0</v>
      </c>
      <c r="U3541">
        <v>0</v>
      </c>
      <c r="V3541">
        <v>1</v>
      </c>
      <c r="W3541">
        <v>0</v>
      </c>
      <c r="X3541" s="2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64</v>
      </c>
      <c r="AJ3541" t="s">
        <v>51</v>
      </c>
      <c r="AK3541" t="s">
        <v>95</v>
      </c>
      <c r="AP3541" t="s">
        <v>951</v>
      </c>
    </row>
    <row r="3542" spans="1:42">
      <c r="A3542" s="16">
        <v>43808</v>
      </c>
      <c r="B3542">
        <v>1</v>
      </c>
      <c r="C3542">
        <v>988</v>
      </c>
      <c r="D3542">
        <v>14629</v>
      </c>
      <c r="E3542" t="s">
        <v>112</v>
      </c>
      <c r="F3542" t="s">
        <v>949</v>
      </c>
      <c r="G3542">
        <v>2</v>
      </c>
      <c r="H3542">
        <v>40</v>
      </c>
      <c r="I3542" s="25"/>
      <c r="K3542" t="s">
        <v>148</v>
      </c>
      <c r="L3542" t="s">
        <v>114</v>
      </c>
      <c r="M3542" t="s">
        <v>52</v>
      </c>
      <c r="N3542" t="s">
        <v>40</v>
      </c>
      <c r="O3542">
        <v>32</v>
      </c>
      <c r="Q3542">
        <v>1</v>
      </c>
      <c r="R3542">
        <v>1</v>
      </c>
      <c r="S3542">
        <v>0</v>
      </c>
      <c r="T3542">
        <v>0</v>
      </c>
      <c r="U3542">
        <v>0</v>
      </c>
      <c r="V3542">
        <v>1</v>
      </c>
      <c r="W3542">
        <v>0</v>
      </c>
      <c r="X3542" s="21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64</v>
      </c>
      <c r="AJ3542" t="s">
        <v>51</v>
      </c>
      <c r="AK3542" t="s">
        <v>95</v>
      </c>
      <c r="AP3542" t="s">
        <v>951</v>
      </c>
    </row>
    <row r="3543" spans="1:42">
      <c r="A3543" s="16">
        <v>43808</v>
      </c>
      <c r="B3543">
        <v>1</v>
      </c>
      <c r="C3543">
        <v>988</v>
      </c>
      <c r="D3543">
        <v>14629</v>
      </c>
      <c r="E3543" t="s">
        <v>112</v>
      </c>
      <c r="F3543" t="s">
        <v>949</v>
      </c>
      <c r="G3543">
        <v>2</v>
      </c>
      <c r="H3543">
        <v>41</v>
      </c>
      <c r="I3543" s="25"/>
      <c r="K3543" t="s">
        <v>148</v>
      </c>
      <c r="L3543" t="s">
        <v>141</v>
      </c>
      <c r="M3543" t="s">
        <v>52</v>
      </c>
      <c r="N3543" t="s">
        <v>40</v>
      </c>
      <c r="O3543">
        <v>56</v>
      </c>
      <c r="Q3543">
        <v>2</v>
      </c>
      <c r="R3543">
        <v>1</v>
      </c>
      <c r="S3543">
        <v>0</v>
      </c>
      <c r="T3543">
        <v>0</v>
      </c>
      <c r="U3543">
        <v>0</v>
      </c>
      <c r="V3543">
        <v>0</v>
      </c>
      <c r="W3543">
        <v>2</v>
      </c>
      <c r="X3543" s="21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192</v>
      </c>
      <c r="AJ3543" t="s">
        <v>51</v>
      </c>
      <c r="AK3543" t="s">
        <v>95</v>
      </c>
      <c r="AP3543" t="s">
        <v>951</v>
      </c>
    </row>
    <row r="3544" spans="1:42">
      <c r="A3544" s="16">
        <v>43808</v>
      </c>
      <c r="B3544">
        <v>1</v>
      </c>
      <c r="C3544">
        <v>988</v>
      </c>
      <c r="D3544">
        <v>14629</v>
      </c>
      <c r="E3544" t="s">
        <v>112</v>
      </c>
      <c r="F3544" t="s">
        <v>949</v>
      </c>
      <c r="G3544">
        <v>2</v>
      </c>
      <c r="H3544">
        <v>42</v>
      </c>
      <c r="I3544" s="25">
        <v>1576</v>
      </c>
      <c r="K3544" t="s">
        <v>148</v>
      </c>
      <c r="M3544" t="s">
        <v>52</v>
      </c>
      <c r="N3544" t="s">
        <v>44</v>
      </c>
      <c r="O3544">
        <v>77</v>
      </c>
      <c r="Q3544">
        <v>1</v>
      </c>
      <c r="R3544">
        <v>1</v>
      </c>
      <c r="S3544">
        <v>0</v>
      </c>
      <c r="T3544">
        <v>0</v>
      </c>
      <c r="U3544">
        <v>0</v>
      </c>
      <c r="V3544">
        <v>0</v>
      </c>
      <c r="W3544">
        <v>1</v>
      </c>
      <c r="X3544" s="21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96</v>
      </c>
      <c r="AJ3544" t="s">
        <v>51</v>
      </c>
      <c r="AK3544" t="s">
        <v>95</v>
      </c>
      <c r="AL3544" t="s">
        <v>668</v>
      </c>
      <c r="AP3544" t="s">
        <v>951</v>
      </c>
    </row>
    <row r="3545" spans="1:42">
      <c r="A3545" s="16">
        <v>43808</v>
      </c>
      <c r="B3545">
        <v>1</v>
      </c>
      <c r="C3545">
        <v>988</v>
      </c>
      <c r="D3545">
        <v>14629</v>
      </c>
      <c r="E3545" t="s">
        <v>112</v>
      </c>
      <c r="F3545" t="s">
        <v>949</v>
      </c>
      <c r="G3545">
        <v>2</v>
      </c>
      <c r="H3545">
        <v>43</v>
      </c>
      <c r="I3545" s="25">
        <v>1576</v>
      </c>
      <c r="K3545" t="s">
        <v>148</v>
      </c>
      <c r="M3545" t="s">
        <v>52</v>
      </c>
      <c r="N3545" t="s">
        <v>44</v>
      </c>
      <c r="O3545">
        <v>69</v>
      </c>
      <c r="Q3545">
        <v>1</v>
      </c>
      <c r="R3545">
        <v>1</v>
      </c>
      <c r="S3545">
        <v>0</v>
      </c>
      <c r="T3545">
        <v>0</v>
      </c>
      <c r="U3545">
        <v>0</v>
      </c>
      <c r="V3545">
        <v>0</v>
      </c>
      <c r="W3545">
        <v>1</v>
      </c>
      <c r="X3545" s="21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96</v>
      </c>
      <c r="AJ3545" t="s">
        <v>51</v>
      </c>
      <c r="AK3545" t="s">
        <v>95</v>
      </c>
      <c r="AP3545" t="s">
        <v>951</v>
      </c>
    </row>
    <row r="3546" spans="1:42">
      <c r="A3546" s="16">
        <v>43808</v>
      </c>
      <c r="B3546">
        <v>1</v>
      </c>
      <c r="C3546">
        <v>988</v>
      </c>
      <c r="D3546">
        <v>14629</v>
      </c>
      <c r="E3546" t="s">
        <v>112</v>
      </c>
      <c r="F3546" t="s">
        <v>949</v>
      </c>
      <c r="G3546">
        <v>2</v>
      </c>
      <c r="H3546">
        <v>44</v>
      </c>
      <c r="I3546" s="25">
        <v>1581</v>
      </c>
      <c r="K3546" t="s">
        <v>148</v>
      </c>
      <c r="M3546" t="s">
        <v>52</v>
      </c>
      <c r="N3546" t="s">
        <v>44</v>
      </c>
      <c r="O3546">
        <v>60</v>
      </c>
      <c r="Q3546">
        <v>1</v>
      </c>
      <c r="R3546">
        <v>1</v>
      </c>
      <c r="S3546">
        <v>0</v>
      </c>
      <c r="T3546">
        <v>0</v>
      </c>
      <c r="U3546">
        <v>0</v>
      </c>
      <c r="V3546">
        <v>0</v>
      </c>
      <c r="W3546">
        <v>1</v>
      </c>
      <c r="X3546" s="21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96</v>
      </c>
      <c r="AJ3546" t="s">
        <v>51</v>
      </c>
      <c r="AK3546" t="s">
        <v>52</v>
      </c>
      <c r="AP3546" t="s">
        <v>951</v>
      </c>
    </row>
    <row r="3547" spans="1:42">
      <c r="A3547" s="16">
        <v>43808</v>
      </c>
      <c r="B3547">
        <v>1</v>
      </c>
      <c r="C3547">
        <v>988</v>
      </c>
      <c r="D3547">
        <v>14629</v>
      </c>
      <c r="E3547" t="s">
        <v>112</v>
      </c>
      <c r="F3547" t="s">
        <v>949</v>
      </c>
      <c r="G3547">
        <v>2</v>
      </c>
      <c r="H3547">
        <v>45</v>
      </c>
      <c r="I3547" s="25">
        <v>2635</v>
      </c>
      <c r="K3547" t="s">
        <v>631</v>
      </c>
      <c r="M3547" t="s">
        <v>52</v>
      </c>
      <c r="N3547" t="s">
        <v>44</v>
      </c>
      <c r="O3547">
        <v>225</v>
      </c>
      <c r="Q3547">
        <v>2</v>
      </c>
      <c r="R3547">
        <v>1</v>
      </c>
      <c r="S3547">
        <v>0</v>
      </c>
      <c r="T3547">
        <v>0</v>
      </c>
      <c r="U3547">
        <v>0</v>
      </c>
      <c r="V3547">
        <v>2</v>
      </c>
      <c r="W3547">
        <v>0</v>
      </c>
      <c r="X3547" s="21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128</v>
      </c>
      <c r="AJ3547" t="s">
        <v>51</v>
      </c>
      <c r="AK3547" t="s">
        <v>52</v>
      </c>
      <c r="AP3547" t="s">
        <v>951</v>
      </c>
    </row>
    <row r="3548" spans="1:42">
      <c r="A3548" s="16">
        <v>43808</v>
      </c>
      <c r="B3548">
        <v>1</v>
      </c>
      <c r="C3548">
        <v>988</v>
      </c>
      <c r="D3548">
        <v>14629</v>
      </c>
      <c r="E3548" t="s">
        <v>112</v>
      </c>
      <c r="F3548" t="s">
        <v>949</v>
      </c>
      <c r="G3548">
        <v>2</v>
      </c>
      <c r="H3548">
        <v>46</v>
      </c>
      <c r="I3548" s="25">
        <v>2641</v>
      </c>
      <c r="K3548" t="s">
        <v>631</v>
      </c>
      <c r="M3548" t="s">
        <v>52</v>
      </c>
      <c r="N3548" t="s">
        <v>44</v>
      </c>
      <c r="O3548">
        <v>85</v>
      </c>
      <c r="Q3548">
        <v>2</v>
      </c>
      <c r="R3548">
        <v>1</v>
      </c>
      <c r="S3548">
        <v>0</v>
      </c>
      <c r="T3548">
        <v>0</v>
      </c>
      <c r="U3548">
        <v>0</v>
      </c>
      <c r="V3548">
        <v>0</v>
      </c>
      <c r="W3548">
        <v>1</v>
      </c>
      <c r="X3548" s="21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96</v>
      </c>
      <c r="AJ3548" t="s">
        <v>51</v>
      </c>
      <c r="AK3548" t="s">
        <v>52</v>
      </c>
      <c r="AP3548" t="s">
        <v>951</v>
      </c>
    </row>
    <row r="3549" spans="1:42">
      <c r="A3549" s="16">
        <v>43808</v>
      </c>
      <c r="B3549">
        <v>1</v>
      </c>
      <c r="C3549">
        <v>988</v>
      </c>
      <c r="D3549">
        <v>14629</v>
      </c>
      <c r="E3549" t="s">
        <v>112</v>
      </c>
      <c r="F3549" t="s">
        <v>949</v>
      </c>
      <c r="G3549">
        <v>2</v>
      </c>
      <c r="H3549">
        <v>47</v>
      </c>
      <c r="I3549" s="25">
        <v>2645</v>
      </c>
      <c r="K3549" t="s">
        <v>631</v>
      </c>
      <c r="M3549" t="s">
        <v>52</v>
      </c>
      <c r="N3549" t="s">
        <v>44</v>
      </c>
      <c r="O3549">
        <v>59</v>
      </c>
      <c r="Q3549">
        <v>1</v>
      </c>
      <c r="R3549">
        <v>1</v>
      </c>
      <c r="S3549">
        <v>0</v>
      </c>
      <c r="T3549">
        <v>0</v>
      </c>
      <c r="U3549">
        <v>0</v>
      </c>
      <c r="V3549">
        <v>0</v>
      </c>
      <c r="W3549">
        <v>1</v>
      </c>
      <c r="X3549" s="21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96</v>
      </c>
      <c r="AJ3549" t="s">
        <v>51</v>
      </c>
      <c r="AK3549" t="s">
        <v>52</v>
      </c>
      <c r="AP3549" t="s">
        <v>951</v>
      </c>
    </row>
    <row r="3550" spans="1:42">
      <c r="A3550" s="16">
        <v>43808</v>
      </c>
      <c r="B3550">
        <v>1</v>
      </c>
      <c r="C3550">
        <v>988</v>
      </c>
      <c r="D3550">
        <v>14629</v>
      </c>
      <c r="E3550" t="s">
        <v>112</v>
      </c>
      <c r="F3550" t="s">
        <v>949</v>
      </c>
      <c r="G3550">
        <v>2</v>
      </c>
      <c r="H3550">
        <v>48</v>
      </c>
      <c r="I3550" s="25">
        <v>2649</v>
      </c>
      <c r="K3550" t="s">
        <v>631</v>
      </c>
      <c r="M3550" t="s">
        <v>52</v>
      </c>
      <c r="N3550" t="s">
        <v>44</v>
      </c>
      <c r="O3550">
        <v>64</v>
      </c>
      <c r="Q3550">
        <v>1</v>
      </c>
      <c r="R3550">
        <v>1</v>
      </c>
      <c r="S3550">
        <v>0</v>
      </c>
      <c r="T3550">
        <v>0</v>
      </c>
      <c r="U3550">
        <v>0</v>
      </c>
      <c r="V3550">
        <v>0</v>
      </c>
      <c r="W3550">
        <v>1</v>
      </c>
      <c r="X3550" s="21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96</v>
      </c>
      <c r="AJ3550" t="s">
        <v>51</v>
      </c>
      <c r="AK3550" t="s">
        <v>52</v>
      </c>
      <c r="AP3550" t="s">
        <v>951</v>
      </c>
    </row>
    <row r="3551" spans="1:42">
      <c r="A3551" s="16">
        <v>43808</v>
      </c>
      <c r="B3551">
        <v>1</v>
      </c>
      <c r="C3551">
        <v>988</v>
      </c>
      <c r="D3551">
        <v>14629</v>
      </c>
      <c r="E3551" t="s">
        <v>112</v>
      </c>
      <c r="F3551" t="s">
        <v>949</v>
      </c>
      <c r="G3551">
        <v>2</v>
      </c>
      <c r="H3551">
        <v>49</v>
      </c>
      <c r="I3551" s="25">
        <v>2748</v>
      </c>
      <c r="K3551" t="s">
        <v>631</v>
      </c>
      <c r="M3551" t="s">
        <v>52</v>
      </c>
      <c r="N3551" t="s">
        <v>44</v>
      </c>
      <c r="O3551">
        <v>116</v>
      </c>
      <c r="Q3551">
        <v>1</v>
      </c>
      <c r="R3551">
        <v>1</v>
      </c>
      <c r="S3551">
        <v>0</v>
      </c>
      <c r="T3551">
        <v>0</v>
      </c>
      <c r="U3551">
        <v>0</v>
      </c>
      <c r="V3551">
        <v>0</v>
      </c>
      <c r="W3551">
        <v>1</v>
      </c>
      <c r="X3551" s="2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96</v>
      </c>
      <c r="AJ3551" t="s">
        <v>51</v>
      </c>
      <c r="AK3551" t="s">
        <v>52</v>
      </c>
      <c r="AL3551" t="s">
        <v>692</v>
      </c>
      <c r="AP3551" t="s">
        <v>951</v>
      </c>
    </row>
    <row r="3552" spans="1:42">
      <c r="A3552" s="16">
        <v>43808</v>
      </c>
      <c r="B3552">
        <v>1</v>
      </c>
      <c r="C3552">
        <v>988</v>
      </c>
      <c r="D3552">
        <v>14629</v>
      </c>
      <c r="E3552" t="s">
        <v>112</v>
      </c>
      <c r="F3552" t="s">
        <v>949</v>
      </c>
      <c r="G3552">
        <v>2</v>
      </c>
      <c r="H3552">
        <v>50</v>
      </c>
      <c r="I3552" s="25">
        <v>2820</v>
      </c>
      <c r="K3552" t="s">
        <v>631</v>
      </c>
      <c r="M3552" t="s">
        <v>52</v>
      </c>
      <c r="N3552" t="s">
        <v>44</v>
      </c>
      <c r="O3552">
        <v>83</v>
      </c>
      <c r="Q3552">
        <v>1</v>
      </c>
      <c r="R3552">
        <v>1</v>
      </c>
      <c r="S3552">
        <v>0</v>
      </c>
      <c r="T3552">
        <v>0</v>
      </c>
      <c r="U3552">
        <v>0</v>
      </c>
      <c r="V3552">
        <v>0</v>
      </c>
      <c r="W3552">
        <v>1</v>
      </c>
      <c r="X3552" s="21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96</v>
      </c>
      <c r="AJ3552" t="s">
        <v>51</v>
      </c>
      <c r="AK3552" t="s">
        <v>95</v>
      </c>
      <c r="AP3552" t="s">
        <v>951</v>
      </c>
    </row>
    <row r="3553" spans="1:42">
      <c r="A3553" s="16">
        <v>43808</v>
      </c>
      <c r="B3553">
        <v>1</v>
      </c>
      <c r="C3553">
        <v>988</v>
      </c>
      <c r="D3553">
        <v>14629</v>
      </c>
      <c r="E3553" t="s">
        <v>112</v>
      </c>
      <c r="F3553" t="s">
        <v>949</v>
      </c>
      <c r="G3553">
        <v>2</v>
      </c>
      <c r="H3553">
        <v>51</v>
      </c>
      <c r="I3553" s="25">
        <v>2827</v>
      </c>
      <c r="K3553" t="s">
        <v>631</v>
      </c>
      <c r="M3553" t="s">
        <v>52</v>
      </c>
      <c r="N3553" t="s">
        <v>44</v>
      </c>
      <c r="O3553">
        <v>80</v>
      </c>
      <c r="Q3553">
        <v>1</v>
      </c>
      <c r="R3553">
        <v>1</v>
      </c>
      <c r="S3553">
        <v>0</v>
      </c>
      <c r="T3553">
        <v>0</v>
      </c>
      <c r="U3553">
        <v>0</v>
      </c>
      <c r="V3553">
        <v>0</v>
      </c>
      <c r="W3553">
        <v>1</v>
      </c>
      <c r="X3553" s="21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96</v>
      </c>
      <c r="AJ3553" t="s">
        <v>51</v>
      </c>
      <c r="AK3553" t="s">
        <v>52</v>
      </c>
      <c r="AP3553" t="s">
        <v>951</v>
      </c>
    </row>
    <row r="3554" spans="1:42">
      <c r="A3554" s="16">
        <v>43808</v>
      </c>
      <c r="B3554">
        <v>1</v>
      </c>
      <c r="C3554">
        <v>988</v>
      </c>
      <c r="D3554">
        <v>14629</v>
      </c>
      <c r="E3554" t="s">
        <v>112</v>
      </c>
      <c r="F3554" t="s">
        <v>949</v>
      </c>
      <c r="G3554">
        <v>2</v>
      </c>
      <c r="H3554">
        <v>52</v>
      </c>
      <c r="I3554" s="25">
        <v>1501</v>
      </c>
      <c r="K3554" t="s">
        <v>210</v>
      </c>
      <c r="M3554" t="s">
        <v>52</v>
      </c>
      <c r="N3554" t="s">
        <v>44</v>
      </c>
      <c r="O3554">
        <v>100</v>
      </c>
      <c r="Q3554">
        <v>1</v>
      </c>
      <c r="R3554">
        <v>1</v>
      </c>
      <c r="S3554">
        <v>0</v>
      </c>
      <c r="T3554">
        <v>0</v>
      </c>
      <c r="U3554">
        <v>0</v>
      </c>
      <c r="V3554">
        <v>0</v>
      </c>
      <c r="W3554">
        <v>1</v>
      </c>
      <c r="X3554" s="21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96</v>
      </c>
      <c r="AJ3554" t="s">
        <v>51</v>
      </c>
      <c r="AK3554" t="s">
        <v>52</v>
      </c>
      <c r="AP3554" t="s">
        <v>951</v>
      </c>
    </row>
    <row r="3555" spans="1:42">
      <c r="A3555" s="16">
        <v>43808</v>
      </c>
      <c r="B3555">
        <v>1</v>
      </c>
      <c r="C3555">
        <v>988</v>
      </c>
      <c r="D3555">
        <v>14629</v>
      </c>
      <c r="E3555" t="s">
        <v>112</v>
      </c>
      <c r="F3555" t="s">
        <v>949</v>
      </c>
      <c r="G3555">
        <v>2</v>
      </c>
      <c r="H3555">
        <v>53</v>
      </c>
      <c r="I3555" s="25">
        <v>1475</v>
      </c>
      <c r="K3555" t="s">
        <v>210</v>
      </c>
      <c r="M3555" t="s">
        <v>52</v>
      </c>
      <c r="N3555" t="s">
        <v>44</v>
      </c>
      <c r="O3555">
        <v>33</v>
      </c>
      <c r="Q3555">
        <v>1</v>
      </c>
      <c r="R3555">
        <v>1</v>
      </c>
      <c r="S3555">
        <v>0</v>
      </c>
      <c r="T3555">
        <v>0</v>
      </c>
      <c r="U3555">
        <v>0</v>
      </c>
      <c r="V3555">
        <v>0</v>
      </c>
      <c r="W3555">
        <v>1</v>
      </c>
      <c r="X3555" s="21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96</v>
      </c>
      <c r="AJ3555" t="s">
        <v>54</v>
      </c>
      <c r="AK3555" t="s">
        <v>95</v>
      </c>
      <c r="AP3555" t="s">
        <v>951</v>
      </c>
    </row>
    <row r="3556" spans="1:42">
      <c r="A3556" s="16">
        <v>43808</v>
      </c>
      <c r="B3556">
        <v>1</v>
      </c>
      <c r="C3556">
        <v>988</v>
      </c>
      <c r="D3556">
        <v>14629</v>
      </c>
      <c r="E3556" t="s">
        <v>112</v>
      </c>
      <c r="F3556" t="s">
        <v>949</v>
      </c>
      <c r="G3556">
        <v>2</v>
      </c>
      <c r="H3556">
        <v>54</v>
      </c>
      <c r="I3556" s="25">
        <v>2725</v>
      </c>
      <c r="K3556" t="s">
        <v>415</v>
      </c>
      <c r="M3556" t="s">
        <v>52</v>
      </c>
      <c r="N3556" t="s">
        <v>44</v>
      </c>
      <c r="O3556">
        <v>33</v>
      </c>
      <c r="Q3556">
        <v>1</v>
      </c>
      <c r="R3556">
        <v>1</v>
      </c>
      <c r="S3556">
        <v>0</v>
      </c>
      <c r="T3556">
        <v>0</v>
      </c>
      <c r="U3556">
        <v>0</v>
      </c>
      <c r="V3556">
        <v>0</v>
      </c>
      <c r="W3556">
        <v>1</v>
      </c>
      <c r="X3556" s="21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96</v>
      </c>
      <c r="AJ3556" t="s">
        <v>54</v>
      </c>
      <c r="AK3556" t="s">
        <v>52</v>
      </c>
      <c r="AP3556" t="s">
        <v>951</v>
      </c>
    </row>
    <row r="3557" spans="1:42">
      <c r="A3557" s="16">
        <v>43808</v>
      </c>
      <c r="B3557">
        <v>1</v>
      </c>
      <c r="C3557">
        <v>988</v>
      </c>
      <c r="D3557">
        <v>14629</v>
      </c>
      <c r="E3557" t="s">
        <v>112</v>
      </c>
      <c r="F3557" t="s">
        <v>949</v>
      </c>
      <c r="G3557">
        <v>2</v>
      </c>
      <c r="H3557">
        <v>55</v>
      </c>
      <c r="I3557" s="25">
        <v>2415</v>
      </c>
      <c r="K3557" t="s">
        <v>415</v>
      </c>
      <c r="M3557" t="s">
        <v>52</v>
      </c>
      <c r="N3557" t="s">
        <v>44</v>
      </c>
      <c r="O3557">
        <v>127</v>
      </c>
      <c r="Q3557">
        <v>2</v>
      </c>
      <c r="R3557">
        <v>1</v>
      </c>
      <c r="S3557">
        <v>0</v>
      </c>
      <c r="T3557">
        <v>0</v>
      </c>
      <c r="U3557">
        <v>0</v>
      </c>
      <c r="V3557">
        <v>0</v>
      </c>
      <c r="W3557">
        <v>2</v>
      </c>
      <c r="X3557" s="21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192</v>
      </c>
      <c r="AJ3557" t="s">
        <v>51</v>
      </c>
      <c r="AK3557" t="s">
        <v>52</v>
      </c>
      <c r="AL3557" t="s">
        <v>1163</v>
      </c>
      <c r="AP3557" t="s">
        <v>951</v>
      </c>
    </row>
    <row r="3558" spans="1:42">
      <c r="A3558" s="16">
        <v>43808</v>
      </c>
      <c r="B3558">
        <v>1</v>
      </c>
      <c r="C3558">
        <v>988</v>
      </c>
      <c r="D3558">
        <v>14629</v>
      </c>
      <c r="E3558" t="s">
        <v>112</v>
      </c>
      <c r="F3558" t="s">
        <v>949</v>
      </c>
      <c r="G3558">
        <v>2</v>
      </c>
      <c r="H3558">
        <v>56</v>
      </c>
      <c r="I3558" s="25">
        <v>2315</v>
      </c>
      <c r="K3558" t="s">
        <v>415</v>
      </c>
      <c r="M3558" t="s">
        <v>52</v>
      </c>
      <c r="N3558" t="s">
        <v>44</v>
      </c>
      <c r="O3558">
        <v>157</v>
      </c>
      <c r="Q3558">
        <v>2</v>
      </c>
      <c r="R3558">
        <v>1</v>
      </c>
      <c r="S3558">
        <v>0</v>
      </c>
      <c r="T3558">
        <v>0</v>
      </c>
      <c r="U3558">
        <v>0</v>
      </c>
      <c r="V3558">
        <v>0</v>
      </c>
      <c r="W3558">
        <v>2</v>
      </c>
      <c r="X3558" s="21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192</v>
      </c>
      <c r="AJ3558" t="s">
        <v>51</v>
      </c>
      <c r="AK3558" t="s">
        <v>52</v>
      </c>
      <c r="AL3558" t="s">
        <v>1163</v>
      </c>
      <c r="AP3558" t="s">
        <v>951</v>
      </c>
    </row>
    <row r="3559" spans="1:42">
      <c r="A3559" s="16">
        <v>43808</v>
      </c>
      <c r="B3559">
        <v>1</v>
      </c>
      <c r="C3559">
        <v>988</v>
      </c>
      <c r="D3559">
        <v>14629</v>
      </c>
      <c r="E3559" t="s">
        <v>112</v>
      </c>
      <c r="F3559" t="s">
        <v>949</v>
      </c>
      <c r="G3559">
        <v>2</v>
      </c>
      <c r="H3559">
        <v>57</v>
      </c>
      <c r="I3559" s="25">
        <v>2307</v>
      </c>
      <c r="K3559" t="s">
        <v>415</v>
      </c>
      <c r="M3559" t="s">
        <v>52</v>
      </c>
      <c r="N3559" t="s">
        <v>44</v>
      </c>
      <c r="O3559">
        <v>111</v>
      </c>
      <c r="Q3559">
        <v>3</v>
      </c>
      <c r="R3559">
        <v>1</v>
      </c>
      <c r="S3559">
        <v>0</v>
      </c>
      <c r="T3559">
        <v>0</v>
      </c>
      <c r="U3559">
        <v>2</v>
      </c>
      <c r="V3559">
        <v>1</v>
      </c>
      <c r="W3559">
        <v>0</v>
      </c>
      <c r="X3559" s="21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128</v>
      </c>
      <c r="AJ3559" t="s">
        <v>51</v>
      </c>
      <c r="AK3559" t="s">
        <v>52</v>
      </c>
      <c r="AL3559" t="s">
        <v>1164</v>
      </c>
      <c r="AP3559" t="s">
        <v>951</v>
      </c>
    </row>
    <row r="3560" spans="1:42">
      <c r="A3560" s="16">
        <v>43808</v>
      </c>
      <c r="B3560">
        <v>1</v>
      </c>
      <c r="C3560">
        <v>988</v>
      </c>
      <c r="D3560">
        <v>14629</v>
      </c>
      <c r="E3560" t="s">
        <v>112</v>
      </c>
      <c r="F3560" t="s">
        <v>949</v>
      </c>
      <c r="G3560">
        <v>2</v>
      </c>
      <c r="H3560">
        <v>58</v>
      </c>
      <c r="I3560" s="25" t="s">
        <v>1165</v>
      </c>
      <c r="K3560" t="s">
        <v>415</v>
      </c>
      <c r="M3560" t="s">
        <v>52</v>
      </c>
      <c r="N3560" t="s">
        <v>44</v>
      </c>
      <c r="O3560">
        <v>157</v>
      </c>
      <c r="Q3560">
        <v>2</v>
      </c>
      <c r="R3560">
        <v>1</v>
      </c>
      <c r="S3560">
        <v>0</v>
      </c>
      <c r="T3560">
        <v>0</v>
      </c>
      <c r="U3560">
        <v>0</v>
      </c>
      <c r="V3560">
        <v>0</v>
      </c>
      <c r="W3560">
        <v>2</v>
      </c>
      <c r="X3560" s="21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192</v>
      </c>
      <c r="AJ3560" t="s">
        <v>51</v>
      </c>
      <c r="AK3560" t="s">
        <v>52</v>
      </c>
      <c r="AP3560" t="s">
        <v>951</v>
      </c>
    </row>
    <row r="3561" spans="1:42">
      <c r="A3561" s="16">
        <v>43808</v>
      </c>
      <c r="B3561">
        <v>1</v>
      </c>
      <c r="C3561">
        <v>988</v>
      </c>
      <c r="D3561">
        <v>14629</v>
      </c>
      <c r="E3561" t="s">
        <v>112</v>
      </c>
      <c r="F3561" t="s">
        <v>949</v>
      </c>
      <c r="G3561">
        <v>2</v>
      </c>
      <c r="H3561">
        <v>59</v>
      </c>
      <c r="I3561" s="25"/>
      <c r="K3561" t="s">
        <v>585</v>
      </c>
      <c r="L3561" t="s">
        <v>141</v>
      </c>
      <c r="M3561" t="s">
        <v>52</v>
      </c>
      <c r="N3561" t="s">
        <v>40</v>
      </c>
      <c r="O3561">
        <v>47</v>
      </c>
      <c r="Q3561">
        <v>2</v>
      </c>
      <c r="R3561">
        <v>1</v>
      </c>
      <c r="S3561">
        <v>0</v>
      </c>
      <c r="T3561">
        <v>0</v>
      </c>
      <c r="U3561">
        <v>1</v>
      </c>
      <c r="V3561">
        <v>1</v>
      </c>
      <c r="W3561">
        <v>0</v>
      </c>
      <c r="X3561" s="2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96</v>
      </c>
      <c r="AJ3561" t="s">
        <v>51</v>
      </c>
      <c r="AK3561" t="s">
        <v>52</v>
      </c>
      <c r="AP3561" t="s">
        <v>951</v>
      </c>
    </row>
    <row r="3562" spans="1:42">
      <c r="A3562" s="16">
        <v>43808</v>
      </c>
      <c r="B3562">
        <v>1</v>
      </c>
      <c r="C3562">
        <v>988</v>
      </c>
      <c r="D3562">
        <v>14629</v>
      </c>
      <c r="E3562" t="s">
        <v>112</v>
      </c>
      <c r="F3562" t="s">
        <v>949</v>
      </c>
      <c r="G3562">
        <v>2</v>
      </c>
      <c r="H3562">
        <v>60</v>
      </c>
      <c r="I3562" s="25">
        <v>1611</v>
      </c>
      <c r="K3562" t="s">
        <v>585</v>
      </c>
      <c r="M3562" t="s">
        <v>95</v>
      </c>
      <c r="N3562" t="s">
        <v>44</v>
      </c>
      <c r="O3562">
        <v>104</v>
      </c>
      <c r="Q3562">
        <v>1</v>
      </c>
      <c r="R3562">
        <v>1</v>
      </c>
      <c r="S3562">
        <v>0</v>
      </c>
      <c r="T3562">
        <v>0</v>
      </c>
      <c r="U3562">
        <v>0</v>
      </c>
      <c r="V3562">
        <v>0</v>
      </c>
      <c r="W3562">
        <v>1</v>
      </c>
      <c r="X3562" s="21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96</v>
      </c>
      <c r="AJ3562" t="s">
        <v>51</v>
      </c>
      <c r="AK3562" t="s">
        <v>95</v>
      </c>
      <c r="AP3562" t="s">
        <v>951</v>
      </c>
    </row>
    <row r="3563" spans="1:42">
      <c r="A3563" s="16">
        <v>43808</v>
      </c>
      <c r="B3563">
        <v>1</v>
      </c>
      <c r="C3563">
        <v>988</v>
      </c>
      <c r="D3563">
        <v>14629</v>
      </c>
      <c r="E3563" t="s">
        <v>112</v>
      </c>
      <c r="F3563" t="s">
        <v>949</v>
      </c>
      <c r="G3563">
        <v>2</v>
      </c>
      <c r="H3563">
        <v>61</v>
      </c>
      <c r="I3563" s="25">
        <v>1614</v>
      </c>
      <c r="K3563" t="s">
        <v>585</v>
      </c>
      <c r="M3563" t="s">
        <v>52</v>
      </c>
      <c r="N3563" t="s">
        <v>44</v>
      </c>
      <c r="O3563">
        <v>64</v>
      </c>
      <c r="Q3563">
        <v>1</v>
      </c>
      <c r="R3563">
        <v>1</v>
      </c>
      <c r="S3563">
        <v>0</v>
      </c>
      <c r="T3563">
        <v>0</v>
      </c>
      <c r="U3563">
        <v>0</v>
      </c>
      <c r="V3563">
        <v>0</v>
      </c>
      <c r="W3563">
        <v>1</v>
      </c>
      <c r="X3563" s="21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96</v>
      </c>
      <c r="AJ3563" t="s">
        <v>51</v>
      </c>
      <c r="AK3563" t="s">
        <v>95</v>
      </c>
      <c r="AP3563" t="s">
        <v>951</v>
      </c>
    </row>
    <row r="3564" spans="1:42">
      <c r="A3564" s="16">
        <v>43808</v>
      </c>
      <c r="B3564">
        <v>1</v>
      </c>
      <c r="C3564">
        <v>988</v>
      </c>
      <c r="D3564">
        <v>14629</v>
      </c>
      <c r="E3564" t="s">
        <v>112</v>
      </c>
      <c r="F3564" t="s">
        <v>949</v>
      </c>
      <c r="G3564">
        <v>2</v>
      </c>
      <c r="H3564">
        <v>62</v>
      </c>
      <c r="I3564" s="25">
        <v>1624</v>
      </c>
      <c r="K3564" t="s">
        <v>585</v>
      </c>
      <c r="M3564" t="s">
        <v>52</v>
      </c>
      <c r="N3564" t="s">
        <v>44</v>
      </c>
      <c r="O3564">
        <v>111</v>
      </c>
      <c r="Q3564">
        <v>2</v>
      </c>
      <c r="R3564">
        <v>1</v>
      </c>
      <c r="S3564">
        <v>0</v>
      </c>
      <c r="T3564">
        <v>0</v>
      </c>
      <c r="U3564">
        <v>0</v>
      </c>
      <c r="V3564">
        <v>0</v>
      </c>
      <c r="W3564">
        <v>2</v>
      </c>
      <c r="X3564" s="21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192</v>
      </c>
      <c r="AJ3564" t="s">
        <v>51</v>
      </c>
      <c r="AK3564" t="s">
        <v>52</v>
      </c>
      <c r="AP3564" t="s">
        <v>951</v>
      </c>
    </row>
    <row r="3565" spans="1:42">
      <c r="A3565" s="16">
        <v>43808</v>
      </c>
      <c r="B3565">
        <v>1</v>
      </c>
      <c r="C3565">
        <v>988</v>
      </c>
      <c r="D3565">
        <v>14629</v>
      </c>
      <c r="E3565" t="s">
        <v>112</v>
      </c>
      <c r="F3565" t="s">
        <v>949</v>
      </c>
      <c r="G3565">
        <v>2</v>
      </c>
      <c r="H3565">
        <v>63</v>
      </c>
      <c r="I3565" s="25">
        <v>1640</v>
      </c>
      <c r="K3565" t="s">
        <v>585</v>
      </c>
      <c r="M3565" t="s">
        <v>52</v>
      </c>
      <c r="N3565" t="s">
        <v>44</v>
      </c>
      <c r="O3565">
        <v>199</v>
      </c>
      <c r="Q3565">
        <v>1</v>
      </c>
      <c r="R3565">
        <v>1</v>
      </c>
      <c r="S3565">
        <v>0</v>
      </c>
      <c r="T3565">
        <v>0</v>
      </c>
      <c r="U3565">
        <v>0</v>
      </c>
      <c r="V3565">
        <v>0</v>
      </c>
      <c r="W3565">
        <v>1</v>
      </c>
      <c r="X3565" s="21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96</v>
      </c>
      <c r="AJ3565" t="s">
        <v>51</v>
      </c>
      <c r="AK3565" t="s">
        <v>52</v>
      </c>
      <c r="AL3565" t="s">
        <v>1166</v>
      </c>
      <c r="AP3565" t="s">
        <v>951</v>
      </c>
    </row>
    <row r="3566" spans="1:42">
      <c r="A3566" s="16">
        <v>43808</v>
      </c>
      <c r="B3566">
        <v>1</v>
      </c>
      <c r="C3566">
        <v>988</v>
      </c>
      <c r="D3566">
        <v>14629</v>
      </c>
      <c r="E3566" t="s">
        <v>112</v>
      </c>
      <c r="F3566" t="s">
        <v>949</v>
      </c>
      <c r="G3566">
        <v>2</v>
      </c>
      <c r="H3566">
        <v>64</v>
      </c>
      <c r="I3566" s="25">
        <v>1701</v>
      </c>
      <c r="K3566" t="s">
        <v>585</v>
      </c>
      <c r="M3566" t="s">
        <v>95</v>
      </c>
      <c r="N3566" t="s">
        <v>44</v>
      </c>
      <c r="O3566">
        <v>144</v>
      </c>
      <c r="Q3566">
        <v>2</v>
      </c>
      <c r="R3566">
        <v>1</v>
      </c>
      <c r="S3566">
        <v>0</v>
      </c>
      <c r="T3566">
        <v>0</v>
      </c>
      <c r="U3566">
        <v>0</v>
      </c>
      <c r="V3566">
        <v>0</v>
      </c>
      <c r="W3566">
        <v>2</v>
      </c>
      <c r="X3566" s="21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192</v>
      </c>
      <c r="AJ3566" t="s">
        <v>51</v>
      </c>
      <c r="AK3566" t="s">
        <v>52</v>
      </c>
      <c r="AP3566" t="s">
        <v>951</v>
      </c>
    </row>
    <row r="3567" spans="1:42">
      <c r="A3567" s="16">
        <v>43808</v>
      </c>
      <c r="B3567">
        <v>1</v>
      </c>
      <c r="C3567">
        <v>988</v>
      </c>
      <c r="D3567">
        <v>14629</v>
      </c>
      <c r="E3567" t="s">
        <v>112</v>
      </c>
      <c r="F3567" t="s">
        <v>949</v>
      </c>
      <c r="G3567">
        <v>2</v>
      </c>
      <c r="H3567">
        <v>65</v>
      </c>
      <c r="I3567" s="25">
        <v>1750</v>
      </c>
      <c r="K3567" t="s">
        <v>585</v>
      </c>
      <c r="M3567" t="s">
        <v>52</v>
      </c>
      <c r="N3567" t="s">
        <v>44</v>
      </c>
      <c r="O3567">
        <v>159</v>
      </c>
      <c r="Q3567">
        <v>4</v>
      </c>
      <c r="R3567">
        <v>1</v>
      </c>
      <c r="S3567">
        <v>0</v>
      </c>
      <c r="T3567">
        <v>0</v>
      </c>
      <c r="U3567">
        <v>0</v>
      </c>
      <c r="V3567">
        <v>0</v>
      </c>
      <c r="W3567">
        <v>4</v>
      </c>
      <c r="X3567" s="21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384</v>
      </c>
      <c r="AJ3567" t="s">
        <v>51</v>
      </c>
      <c r="AK3567" t="s">
        <v>95</v>
      </c>
      <c r="AP3567" t="s">
        <v>951</v>
      </c>
    </row>
    <row r="3568" spans="1:42">
      <c r="A3568" s="16">
        <v>43808</v>
      </c>
      <c r="B3568">
        <v>1</v>
      </c>
      <c r="C3568">
        <v>988</v>
      </c>
      <c r="D3568">
        <v>14629</v>
      </c>
      <c r="E3568" t="s">
        <v>112</v>
      </c>
      <c r="F3568" t="s">
        <v>949</v>
      </c>
      <c r="G3568">
        <v>2</v>
      </c>
      <c r="H3568">
        <v>66</v>
      </c>
      <c r="I3568" s="25">
        <v>1730</v>
      </c>
      <c r="K3568" t="s">
        <v>585</v>
      </c>
      <c r="M3568" t="s">
        <v>52</v>
      </c>
      <c r="N3568" t="s">
        <v>44</v>
      </c>
      <c r="O3568">
        <v>92</v>
      </c>
      <c r="Q3568">
        <v>2</v>
      </c>
      <c r="R3568">
        <v>1</v>
      </c>
      <c r="S3568">
        <v>0</v>
      </c>
      <c r="T3568">
        <v>0</v>
      </c>
      <c r="U3568">
        <v>0</v>
      </c>
      <c r="V3568">
        <v>0</v>
      </c>
      <c r="W3568">
        <v>2</v>
      </c>
      <c r="X3568" s="21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192</v>
      </c>
      <c r="AJ3568" t="s">
        <v>51</v>
      </c>
      <c r="AK3568" t="s">
        <v>95</v>
      </c>
      <c r="AP3568" t="s">
        <v>951</v>
      </c>
    </row>
    <row r="3569" spans="1:42">
      <c r="A3569" s="16">
        <v>43808</v>
      </c>
      <c r="B3569">
        <v>1</v>
      </c>
      <c r="C3569">
        <v>988</v>
      </c>
      <c r="D3569">
        <v>14629</v>
      </c>
      <c r="E3569" t="s">
        <v>112</v>
      </c>
      <c r="F3569" t="s">
        <v>949</v>
      </c>
      <c r="G3569">
        <v>2</v>
      </c>
      <c r="H3569">
        <v>67</v>
      </c>
      <c r="I3569" s="25">
        <v>1761</v>
      </c>
      <c r="K3569" t="s">
        <v>585</v>
      </c>
      <c r="M3569" t="s">
        <v>95</v>
      </c>
      <c r="N3569" t="s">
        <v>44</v>
      </c>
      <c r="O3569">
        <v>117</v>
      </c>
      <c r="Q3569">
        <v>1</v>
      </c>
      <c r="R3569">
        <v>1</v>
      </c>
      <c r="S3569">
        <v>0</v>
      </c>
      <c r="T3569">
        <v>0</v>
      </c>
      <c r="U3569">
        <v>0</v>
      </c>
      <c r="V3569">
        <v>0</v>
      </c>
      <c r="W3569">
        <v>1</v>
      </c>
      <c r="X3569" s="21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96</v>
      </c>
      <c r="AJ3569" t="s">
        <v>51</v>
      </c>
      <c r="AK3569" t="s">
        <v>52</v>
      </c>
      <c r="AP3569" t="s">
        <v>951</v>
      </c>
    </row>
    <row r="3570" spans="1:42">
      <c r="A3570" s="16">
        <v>43808</v>
      </c>
      <c r="B3570">
        <v>1</v>
      </c>
      <c r="C3570">
        <v>988</v>
      </c>
      <c r="D3570">
        <v>14629</v>
      </c>
      <c r="E3570" t="s">
        <v>112</v>
      </c>
      <c r="F3570" t="s">
        <v>949</v>
      </c>
      <c r="G3570">
        <v>2</v>
      </c>
      <c r="H3570">
        <v>68</v>
      </c>
      <c r="I3570" s="25">
        <v>1765</v>
      </c>
      <c r="K3570" t="s">
        <v>585</v>
      </c>
      <c r="M3570" t="s">
        <v>52</v>
      </c>
      <c r="N3570" t="s">
        <v>44</v>
      </c>
      <c r="O3570">
        <v>118</v>
      </c>
      <c r="Q3570">
        <v>1</v>
      </c>
      <c r="R3570">
        <v>1</v>
      </c>
      <c r="S3570">
        <v>0</v>
      </c>
      <c r="T3570">
        <v>0</v>
      </c>
      <c r="U3570">
        <v>0</v>
      </c>
      <c r="V3570">
        <v>0</v>
      </c>
      <c r="W3570">
        <v>1</v>
      </c>
      <c r="X3570" s="21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96</v>
      </c>
      <c r="AJ3570" t="s">
        <v>51</v>
      </c>
      <c r="AK3570" t="s">
        <v>52</v>
      </c>
      <c r="AL3570" t="s">
        <v>1167</v>
      </c>
      <c r="AP3570" t="s">
        <v>951</v>
      </c>
    </row>
    <row r="3571" spans="1:42">
      <c r="A3571" s="16">
        <v>43808</v>
      </c>
      <c r="B3571">
        <v>1</v>
      </c>
      <c r="C3571">
        <v>988</v>
      </c>
      <c r="D3571">
        <v>14629</v>
      </c>
      <c r="E3571" t="s">
        <v>112</v>
      </c>
      <c r="F3571" t="s">
        <v>949</v>
      </c>
      <c r="G3571">
        <v>2</v>
      </c>
      <c r="H3571">
        <v>69</v>
      </c>
      <c r="I3571" s="25">
        <v>2550</v>
      </c>
      <c r="K3571" t="s">
        <v>638</v>
      </c>
      <c r="M3571" t="s">
        <v>52</v>
      </c>
      <c r="N3571" t="s">
        <v>44</v>
      </c>
      <c r="O3571">
        <v>83</v>
      </c>
      <c r="Q3571">
        <v>1</v>
      </c>
      <c r="R3571">
        <v>1</v>
      </c>
      <c r="S3571">
        <v>0</v>
      </c>
      <c r="T3571">
        <v>0</v>
      </c>
      <c r="U3571">
        <v>0</v>
      </c>
      <c r="V3571">
        <v>0</v>
      </c>
      <c r="W3571">
        <v>1</v>
      </c>
      <c r="X3571" s="2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96</v>
      </c>
      <c r="AJ3571" t="s">
        <v>51</v>
      </c>
      <c r="AK3571" t="s">
        <v>52</v>
      </c>
      <c r="AP3571" t="s">
        <v>951</v>
      </c>
    </row>
    <row r="3572" spans="1:42">
      <c r="A3572" s="16">
        <v>43808</v>
      </c>
      <c r="B3572">
        <v>1</v>
      </c>
      <c r="C3572">
        <v>988</v>
      </c>
      <c r="D3572">
        <v>14629</v>
      </c>
      <c r="E3572" t="s">
        <v>112</v>
      </c>
      <c r="F3572" t="s">
        <v>949</v>
      </c>
      <c r="G3572">
        <v>2</v>
      </c>
      <c r="H3572">
        <v>70</v>
      </c>
      <c r="I3572" s="25">
        <v>1698</v>
      </c>
      <c r="K3572" t="s">
        <v>119</v>
      </c>
      <c r="M3572" t="s">
        <v>52</v>
      </c>
      <c r="N3572" t="s">
        <v>44</v>
      </c>
      <c r="O3572">
        <v>131</v>
      </c>
      <c r="Q3572">
        <v>2</v>
      </c>
      <c r="R3572">
        <v>1</v>
      </c>
      <c r="S3572">
        <v>0</v>
      </c>
      <c r="T3572">
        <v>0</v>
      </c>
      <c r="U3572">
        <v>0</v>
      </c>
      <c r="V3572">
        <v>1</v>
      </c>
      <c r="W3572">
        <v>1</v>
      </c>
      <c r="X3572" s="21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160</v>
      </c>
      <c r="AJ3572" t="s">
        <v>51</v>
      </c>
      <c r="AK3572" t="s">
        <v>52</v>
      </c>
      <c r="AL3572" t="s">
        <v>1168</v>
      </c>
      <c r="AP3572" t="s">
        <v>951</v>
      </c>
    </row>
    <row r="3573" spans="1:42">
      <c r="A3573" s="16">
        <v>43808</v>
      </c>
      <c r="B3573">
        <v>1</v>
      </c>
      <c r="C3573">
        <v>988</v>
      </c>
      <c r="D3573">
        <v>14629</v>
      </c>
      <c r="E3573" t="s">
        <v>112</v>
      </c>
      <c r="F3573" t="s">
        <v>949</v>
      </c>
      <c r="G3573">
        <v>2</v>
      </c>
      <c r="H3573">
        <v>71</v>
      </c>
      <c r="I3573" s="25">
        <v>1675</v>
      </c>
      <c r="K3573" t="s">
        <v>119</v>
      </c>
      <c r="M3573" t="s">
        <v>52</v>
      </c>
      <c r="N3573" t="s">
        <v>44</v>
      </c>
      <c r="O3573">
        <v>64</v>
      </c>
      <c r="Q3573">
        <v>1</v>
      </c>
      <c r="R3573">
        <v>1</v>
      </c>
      <c r="S3573">
        <v>0</v>
      </c>
      <c r="T3573">
        <v>0</v>
      </c>
      <c r="U3573">
        <v>0</v>
      </c>
      <c r="V3573">
        <v>0</v>
      </c>
      <c r="W3573">
        <v>1</v>
      </c>
      <c r="X3573" s="21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96</v>
      </c>
      <c r="AJ3573" t="s">
        <v>51</v>
      </c>
      <c r="AK3573" t="s">
        <v>52</v>
      </c>
      <c r="AP3573" t="s">
        <v>951</v>
      </c>
    </row>
    <row r="3574" spans="1:42">
      <c r="A3574" s="16">
        <v>43808</v>
      </c>
      <c r="B3574">
        <v>1</v>
      </c>
      <c r="C3574">
        <v>988</v>
      </c>
      <c r="D3574">
        <v>14629</v>
      </c>
      <c r="E3574" t="s">
        <v>112</v>
      </c>
      <c r="F3574" t="s">
        <v>949</v>
      </c>
      <c r="G3574">
        <v>2</v>
      </c>
      <c r="H3574">
        <v>72</v>
      </c>
      <c r="I3574" s="25">
        <v>1667</v>
      </c>
      <c r="K3574" t="s">
        <v>119</v>
      </c>
      <c r="M3574" t="s">
        <v>52</v>
      </c>
      <c r="N3574" t="s">
        <v>44</v>
      </c>
      <c r="O3574">
        <v>73</v>
      </c>
      <c r="Q3574">
        <v>1</v>
      </c>
      <c r="R3574">
        <v>1</v>
      </c>
      <c r="S3574">
        <v>0</v>
      </c>
      <c r="T3574">
        <v>0</v>
      </c>
      <c r="U3574">
        <v>0</v>
      </c>
      <c r="V3574">
        <v>1</v>
      </c>
      <c r="W3574">
        <v>0</v>
      </c>
      <c r="X3574" s="21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64</v>
      </c>
      <c r="AJ3574" t="s">
        <v>51</v>
      </c>
      <c r="AK3574" t="s">
        <v>52</v>
      </c>
      <c r="AP3574" t="s">
        <v>951</v>
      </c>
    </row>
    <row r="3575" spans="1:42">
      <c r="A3575" s="16">
        <v>43808</v>
      </c>
      <c r="B3575">
        <v>1</v>
      </c>
      <c r="C3575">
        <v>988</v>
      </c>
      <c r="D3575">
        <v>14629</v>
      </c>
      <c r="E3575" t="s">
        <v>112</v>
      </c>
      <c r="F3575" t="s">
        <v>949</v>
      </c>
      <c r="G3575">
        <v>2</v>
      </c>
      <c r="H3575">
        <v>73</v>
      </c>
      <c r="I3575" s="25">
        <v>1565</v>
      </c>
      <c r="K3575" t="s">
        <v>119</v>
      </c>
      <c r="M3575" t="s">
        <v>52</v>
      </c>
      <c r="N3575" t="s">
        <v>44</v>
      </c>
      <c r="O3575">
        <v>101</v>
      </c>
      <c r="Q3575">
        <v>1</v>
      </c>
      <c r="R3575">
        <v>1</v>
      </c>
      <c r="S3575">
        <v>0</v>
      </c>
      <c r="T3575">
        <v>0</v>
      </c>
      <c r="U3575">
        <v>0</v>
      </c>
      <c r="V3575">
        <v>1</v>
      </c>
      <c r="W3575">
        <v>0</v>
      </c>
      <c r="X3575" s="21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64</v>
      </c>
      <c r="AJ3575" t="s">
        <v>51</v>
      </c>
      <c r="AK3575" t="s">
        <v>52</v>
      </c>
      <c r="AP3575" t="s">
        <v>951</v>
      </c>
    </row>
    <row r="3576" spans="1:42">
      <c r="A3576" s="16">
        <v>43808</v>
      </c>
      <c r="B3576">
        <v>1</v>
      </c>
      <c r="C3576">
        <v>988</v>
      </c>
      <c r="D3576">
        <v>14629</v>
      </c>
      <c r="E3576" t="s">
        <v>112</v>
      </c>
      <c r="F3576" t="s">
        <v>949</v>
      </c>
      <c r="G3576">
        <v>2</v>
      </c>
      <c r="H3576">
        <v>74</v>
      </c>
      <c r="I3576" s="25">
        <v>1560</v>
      </c>
      <c r="K3576" t="s">
        <v>119</v>
      </c>
      <c r="M3576" t="s">
        <v>52</v>
      </c>
      <c r="N3576" t="s">
        <v>44</v>
      </c>
      <c r="O3576">
        <v>100</v>
      </c>
      <c r="Q3576">
        <v>1</v>
      </c>
      <c r="R3576">
        <v>1</v>
      </c>
      <c r="S3576">
        <v>0</v>
      </c>
      <c r="T3576">
        <v>0</v>
      </c>
      <c r="U3576">
        <v>0</v>
      </c>
      <c r="V3576">
        <v>1</v>
      </c>
      <c r="W3576">
        <v>0</v>
      </c>
      <c r="X3576" s="21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64</v>
      </c>
      <c r="AJ3576" t="s">
        <v>51</v>
      </c>
      <c r="AK3576" t="s">
        <v>52</v>
      </c>
      <c r="AP3576" t="s">
        <v>951</v>
      </c>
    </row>
    <row r="3577" spans="1:42">
      <c r="A3577" s="16">
        <v>43808</v>
      </c>
      <c r="B3577">
        <v>1</v>
      </c>
      <c r="C3577">
        <v>988</v>
      </c>
      <c r="D3577">
        <v>14629</v>
      </c>
      <c r="E3577" t="s">
        <v>112</v>
      </c>
      <c r="F3577" t="s">
        <v>949</v>
      </c>
      <c r="G3577">
        <v>2</v>
      </c>
      <c r="H3577">
        <v>75</v>
      </c>
      <c r="I3577" s="25">
        <v>1545</v>
      </c>
      <c r="K3577" t="s">
        <v>119</v>
      </c>
      <c r="M3577" t="s">
        <v>52</v>
      </c>
      <c r="N3577" t="s">
        <v>44</v>
      </c>
      <c r="O3577">
        <v>125</v>
      </c>
      <c r="Q3577">
        <v>2</v>
      </c>
      <c r="R3577">
        <v>1</v>
      </c>
      <c r="S3577">
        <v>0</v>
      </c>
      <c r="T3577">
        <v>0</v>
      </c>
      <c r="U3577">
        <v>0</v>
      </c>
      <c r="V3577">
        <v>2</v>
      </c>
      <c r="W3577">
        <v>0</v>
      </c>
      <c r="X3577" s="21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128</v>
      </c>
      <c r="AJ3577" t="s">
        <v>51</v>
      </c>
      <c r="AK3577" t="s">
        <v>52</v>
      </c>
      <c r="AP3577" t="s">
        <v>951</v>
      </c>
    </row>
    <row r="3578" spans="1:42">
      <c r="A3578" s="16">
        <v>43808</v>
      </c>
      <c r="B3578">
        <v>1</v>
      </c>
      <c r="C3578">
        <v>988</v>
      </c>
      <c r="D3578">
        <v>14629</v>
      </c>
      <c r="E3578" t="s">
        <v>112</v>
      </c>
      <c r="F3578" t="s">
        <v>949</v>
      </c>
      <c r="G3578">
        <v>2</v>
      </c>
      <c r="H3578">
        <v>76</v>
      </c>
      <c r="I3578" s="25">
        <v>1535</v>
      </c>
      <c r="K3578" t="s">
        <v>119</v>
      </c>
      <c r="M3578" t="s">
        <v>52</v>
      </c>
      <c r="N3578" t="s">
        <v>44</v>
      </c>
      <c r="O3578">
        <v>108</v>
      </c>
      <c r="Q3578">
        <v>2</v>
      </c>
      <c r="R3578">
        <v>1</v>
      </c>
      <c r="S3578">
        <v>0</v>
      </c>
      <c r="T3578">
        <v>0</v>
      </c>
      <c r="U3578">
        <v>0</v>
      </c>
      <c r="V3578">
        <v>0</v>
      </c>
      <c r="W3578">
        <v>2</v>
      </c>
      <c r="X3578" s="21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192</v>
      </c>
      <c r="AJ3578" t="s">
        <v>51</v>
      </c>
      <c r="AK3578" t="s">
        <v>52</v>
      </c>
      <c r="AL3578" t="s">
        <v>692</v>
      </c>
      <c r="AP3578" t="s">
        <v>951</v>
      </c>
    </row>
    <row r="3579" spans="1:42">
      <c r="A3579" s="16">
        <v>43808</v>
      </c>
      <c r="B3579">
        <v>1</v>
      </c>
      <c r="C3579">
        <v>988</v>
      </c>
      <c r="D3579">
        <v>14629</v>
      </c>
      <c r="E3579" t="s">
        <v>112</v>
      </c>
      <c r="F3579" t="s">
        <v>949</v>
      </c>
      <c r="G3579">
        <v>2</v>
      </c>
      <c r="H3579">
        <v>77</v>
      </c>
      <c r="I3579" s="25">
        <v>2399</v>
      </c>
      <c r="K3579" t="s">
        <v>415</v>
      </c>
      <c r="M3579" t="s">
        <v>52</v>
      </c>
      <c r="N3579" t="s">
        <v>44</v>
      </c>
      <c r="O3579">
        <v>246</v>
      </c>
      <c r="Q3579">
        <v>4</v>
      </c>
      <c r="R3579">
        <v>1</v>
      </c>
      <c r="S3579">
        <v>0</v>
      </c>
      <c r="T3579">
        <v>0</v>
      </c>
      <c r="U3579">
        <v>0</v>
      </c>
      <c r="V3579">
        <v>4</v>
      </c>
      <c r="W3579">
        <v>0</v>
      </c>
      <c r="X3579" s="21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256</v>
      </c>
      <c r="AJ3579" t="s">
        <v>51</v>
      </c>
      <c r="AK3579" t="s">
        <v>95</v>
      </c>
      <c r="AP3579" t="s">
        <v>951</v>
      </c>
    </row>
    <row r="3580" spans="1:42">
      <c r="A3580" s="16">
        <v>43808</v>
      </c>
      <c r="B3580">
        <v>1</v>
      </c>
      <c r="C3580">
        <v>988</v>
      </c>
      <c r="D3580">
        <v>14629</v>
      </c>
      <c r="E3580" t="s">
        <v>112</v>
      </c>
      <c r="F3580" t="s">
        <v>949</v>
      </c>
      <c r="G3580">
        <v>2</v>
      </c>
      <c r="H3580">
        <v>78</v>
      </c>
      <c r="I3580" s="25"/>
      <c r="K3580" t="s">
        <v>415</v>
      </c>
      <c r="L3580" t="s">
        <v>141</v>
      </c>
      <c r="M3580" t="s">
        <v>52</v>
      </c>
      <c r="N3580" t="s">
        <v>40</v>
      </c>
      <c r="O3580">
        <v>58</v>
      </c>
      <c r="Q3580">
        <v>2</v>
      </c>
      <c r="R3580">
        <v>1</v>
      </c>
      <c r="S3580">
        <v>0</v>
      </c>
      <c r="T3580">
        <v>0</v>
      </c>
      <c r="U3580">
        <v>0</v>
      </c>
      <c r="V3580">
        <v>0</v>
      </c>
      <c r="W3580">
        <v>2</v>
      </c>
      <c r="X3580" s="21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192</v>
      </c>
      <c r="AJ3580" t="s">
        <v>51</v>
      </c>
      <c r="AK3580" t="s">
        <v>52</v>
      </c>
      <c r="AL3580" t="s">
        <v>1169</v>
      </c>
      <c r="AP3580" t="s">
        <v>951</v>
      </c>
    </row>
    <row r="3581" spans="1:42">
      <c r="A3581" s="16">
        <v>43808</v>
      </c>
      <c r="B3581">
        <v>1</v>
      </c>
      <c r="C3581">
        <v>988</v>
      </c>
      <c r="D3581">
        <v>14629</v>
      </c>
      <c r="E3581" t="s">
        <v>112</v>
      </c>
      <c r="F3581" t="s">
        <v>949</v>
      </c>
      <c r="G3581">
        <v>2</v>
      </c>
      <c r="H3581">
        <v>79</v>
      </c>
      <c r="I3581" s="25"/>
      <c r="K3581" t="s">
        <v>185</v>
      </c>
      <c r="L3581" t="s">
        <v>114</v>
      </c>
      <c r="M3581" t="s">
        <v>52</v>
      </c>
      <c r="N3581" t="s">
        <v>40</v>
      </c>
      <c r="O3581">
        <v>50</v>
      </c>
      <c r="Q3581">
        <v>1</v>
      </c>
      <c r="R3581">
        <v>1</v>
      </c>
      <c r="S3581">
        <v>0</v>
      </c>
      <c r="T3581">
        <v>0</v>
      </c>
      <c r="U3581">
        <v>0</v>
      </c>
      <c r="V3581">
        <v>1</v>
      </c>
      <c r="W3581">
        <v>0</v>
      </c>
      <c r="X3581" s="2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64</v>
      </c>
      <c r="AJ3581" t="s">
        <v>51</v>
      </c>
      <c r="AK3581" t="s">
        <v>95</v>
      </c>
      <c r="AP3581" t="s">
        <v>951</v>
      </c>
    </row>
    <row r="3582" spans="1:42">
      <c r="A3582" s="16">
        <v>43808</v>
      </c>
      <c r="B3582">
        <v>1</v>
      </c>
      <c r="C3582">
        <v>988</v>
      </c>
      <c r="D3582">
        <v>14629</v>
      </c>
      <c r="E3582" t="s">
        <v>112</v>
      </c>
      <c r="F3582" t="s">
        <v>949</v>
      </c>
      <c r="G3582">
        <v>2</v>
      </c>
      <c r="H3582">
        <v>80</v>
      </c>
      <c r="I3582" s="25">
        <v>1650</v>
      </c>
      <c r="K3582" t="s">
        <v>185</v>
      </c>
      <c r="M3582" t="s">
        <v>52</v>
      </c>
      <c r="N3582" t="s">
        <v>44</v>
      </c>
      <c r="O3582">
        <v>271</v>
      </c>
      <c r="Q3582">
        <v>4</v>
      </c>
      <c r="R3582">
        <v>1</v>
      </c>
      <c r="S3582">
        <v>0</v>
      </c>
      <c r="T3582">
        <v>0</v>
      </c>
      <c r="U3582">
        <v>0</v>
      </c>
      <c r="V3582">
        <v>0</v>
      </c>
      <c r="W3582">
        <v>4</v>
      </c>
      <c r="X3582" s="21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384</v>
      </c>
      <c r="AJ3582" t="s">
        <v>51</v>
      </c>
      <c r="AK3582" t="s">
        <v>95</v>
      </c>
      <c r="AL3582" t="s">
        <v>1170</v>
      </c>
      <c r="AP3582" t="s">
        <v>951</v>
      </c>
    </row>
    <row r="3583" spans="1:42">
      <c r="A3583" s="16">
        <v>43808</v>
      </c>
      <c r="B3583">
        <v>1</v>
      </c>
      <c r="C3583">
        <v>988</v>
      </c>
      <c r="D3583">
        <v>14629</v>
      </c>
      <c r="E3583" t="s">
        <v>112</v>
      </c>
      <c r="F3583" t="s">
        <v>949</v>
      </c>
      <c r="G3583">
        <v>2</v>
      </c>
      <c r="H3583">
        <v>81</v>
      </c>
      <c r="I3583" s="25"/>
      <c r="K3583" t="s">
        <v>185</v>
      </c>
      <c r="L3583" t="s">
        <v>114</v>
      </c>
      <c r="M3583" t="s">
        <v>52</v>
      </c>
      <c r="N3583" t="s">
        <v>40</v>
      </c>
      <c r="O3583">
        <v>43</v>
      </c>
      <c r="Q3583">
        <v>1</v>
      </c>
      <c r="R3583">
        <v>1</v>
      </c>
      <c r="S3583">
        <v>0</v>
      </c>
      <c r="T3583">
        <v>0</v>
      </c>
      <c r="U3583">
        <v>0</v>
      </c>
      <c r="V3583">
        <v>0</v>
      </c>
      <c r="W3583">
        <v>1</v>
      </c>
      <c r="X3583" s="21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96</v>
      </c>
      <c r="AJ3583" t="s">
        <v>51</v>
      </c>
      <c r="AK3583" t="s">
        <v>52</v>
      </c>
      <c r="AP3583" t="s">
        <v>951</v>
      </c>
    </row>
    <row r="3584" spans="1:42">
      <c r="A3584" s="16">
        <v>43808</v>
      </c>
      <c r="B3584">
        <v>1</v>
      </c>
      <c r="C3584">
        <v>988</v>
      </c>
      <c r="D3584">
        <v>14629</v>
      </c>
      <c r="E3584" t="s">
        <v>112</v>
      </c>
      <c r="F3584" t="s">
        <v>949</v>
      </c>
      <c r="G3584">
        <v>2</v>
      </c>
      <c r="H3584">
        <v>82</v>
      </c>
      <c r="I3584" s="25">
        <v>1770</v>
      </c>
      <c r="K3584" t="s">
        <v>185</v>
      </c>
      <c r="M3584" t="s">
        <v>52</v>
      </c>
      <c r="N3584" t="s">
        <v>44</v>
      </c>
      <c r="O3584">
        <v>118</v>
      </c>
      <c r="Q3584">
        <v>2</v>
      </c>
      <c r="R3584">
        <v>1</v>
      </c>
      <c r="S3584">
        <v>0</v>
      </c>
      <c r="T3584">
        <v>0</v>
      </c>
      <c r="U3584">
        <v>0</v>
      </c>
      <c r="V3584">
        <v>0</v>
      </c>
      <c r="W3584">
        <v>2</v>
      </c>
      <c r="X3584" s="21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192</v>
      </c>
      <c r="AJ3584" t="s">
        <v>51</v>
      </c>
      <c r="AK3584" t="s">
        <v>95</v>
      </c>
      <c r="AP3584" t="s">
        <v>951</v>
      </c>
    </row>
    <row r="3585" spans="1:42">
      <c r="A3585" s="16">
        <v>43808</v>
      </c>
      <c r="B3585">
        <v>1</v>
      </c>
      <c r="C3585">
        <v>988</v>
      </c>
      <c r="D3585">
        <v>14629</v>
      </c>
      <c r="E3585" t="s">
        <v>112</v>
      </c>
      <c r="F3585" t="s">
        <v>949</v>
      </c>
      <c r="G3585">
        <v>2</v>
      </c>
      <c r="H3585">
        <v>83</v>
      </c>
      <c r="I3585" s="25">
        <v>1790</v>
      </c>
      <c r="K3585" t="s">
        <v>185</v>
      </c>
      <c r="M3585" t="s">
        <v>52</v>
      </c>
      <c r="N3585" t="s">
        <v>44</v>
      </c>
      <c r="O3585">
        <v>128</v>
      </c>
      <c r="Q3585">
        <v>4</v>
      </c>
      <c r="R3585">
        <v>1</v>
      </c>
      <c r="S3585">
        <v>0</v>
      </c>
      <c r="T3585">
        <v>0</v>
      </c>
      <c r="U3585">
        <v>0</v>
      </c>
      <c r="V3585">
        <v>0</v>
      </c>
      <c r="W3585">
        <v>4</v>
      </c>
      <c r="X3585" s="21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384</v>
      </c>
      <c r="AJ3585" t="s">
        <v>51</v>
      </c>
      <c r="AK3585" t="s">
        <v>95</v>
      </c>
      <c r="AP3585" t="s">
        <v>951</v>
      </c>
    </row>
    <row r="3586" spans="1:42">
      <c r="A3586" s="16">
        <v>43808</v>
      </c>
      <c r="B3586">
        <v>1</v>
      </c>
      <c r="C3586">
        <v>988</v>
      </c>
      <c r="D3586">
        <v>14629</v>
      </c>
      <c r="E3586" t="s">
        <v>112</v>
      </c>
      <c r="F3586" t="s">
        <v>949</v>
      </c>
      <c r="G3586">
        <v>2</v>
      </c>
      <c r="H3586">
        <v>84</v>
      </c>
      <c r="I3586" s="25">
        <v>1800</v>
      </c>
      <c r="K3586" t="s">
        <v>185</v>
      </c>
      <c r="M3586" t="s">
        <v>52</v>
      </c>
      <c r="N3586" t="s">
        <v>44</v>
      </c>
      <c r="O3586">
        <v>110</v>
      </c>
      <c r="Q3586">
        <v>2</v>
      </c>
      <c r="R3586">
        <v>1</v>
      </c>
      <c r="S3586">
        <v>0</v>
      </c>
      <c r="T3586">
        <v>0</v>
      </c>
      <c r="U3586">
        <v>0</v>
      </c>
      <c r="V3586">
        <v>0</v>
      </c>
      <c r="W3586">
        <v>2</v>
      </c>
      <c r="X3586" s="21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192</v>
      </c>
      <c r="AJ3586" t="s">
        <v>51</v>
      </c>
      <c r="AK3586" t="s">
        <v>95</v>
      </c>
      <c r="AP3586" t="s">
        <v>951</v>
      </c>
    </row>
    <row r="3587" spans="1:42">
      <c r="A3587" s="16">
        <v>43808</v>
      </c>
      <c r="B3587">
        <v>1</v>
      </c>
      <c r="C3587">
        <v>988</v>
      </c>
      <c r="D3587">
        <v>14629</v>
      </c>
      <c r="E3587" t="s">
        <v>112</v>
      </c>
      <c r="F3587" t="s">
        <v>949</v>
      </c>
      <c r="G3587">
        <v>2</v>
      </c>
      <c r="H3587">
        <v>85</v>
      </c>
      <c r="I3587" s="25">
        <v>1828</v>
      </c>
      <c r="K3587" t="s">
        <v>185</v>
      </c>
      <c r="M3587" t="s">
        <v>52</v>
      </c>
      <c r="N3587" t="s">
        <v>44</v>
      </c>
      <c r="O3587">
        <v>137</v>
      </c>
      <c r="Q3587">
        <v>4</v>
      </c>
      <c r="R3587">
        <v>1</v>
      </c>
      <c r="S3587">
        <v>0</v>
      </c>
      <c r="T3587">
        <v>0</v>
      </c>
      <c r="U3587">
        <v>0</v>
      </c>
      <c r="V3587">
        <v>0</v>
      </c>
      <c r="W3587">
        <v>4</v>
      </c>
      <c r="X3587" s="21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384</v>
      </c>
      <c r="AJ3587" t="s">
        <v>51</v>
      </c>
      <c r="AK3587" t="s">
        <v>95</v>
      </c>
      <c r="AP3587" t="s">
        <v>951</v>
      </c>
    </row>
    <row r="3588" spans="1:42">
      <c r="A3588" s="16">
        <v>43808</v>
      </c>
      <c r="B3588">
        <v>1</v>
      </c>
      <c r="C3588">
        <v>988</v>
      </c>
      <c r="D3588">
        <v>14629</v>
      </c>
      <c r="E3588" t="s">
        <v>112</v>
      </c>
      <c r="F3588" t="s">
        <v>949</v>
      </c>
      <c r="G3588">
        <v>2</v>
      </c>
      <c r="H3588">
        <v>86</v>
      </c>
      <c r="I3588" s="25">
        <v>1818</v>
      </c>
      <c r="K3588" t="s">
        <v>185</v>
      </c>
      <c r="M3588" t="s">
        <v>52</v>
      </c>
      <c r="N3588" t="s">
        <v>44</v>
      </c>
      <c r="O3588">
        <v>142</v>
      </c>
      <c r="Q3588">
        <v>2</v>
      </c>
      <c r="R3588">
        <v>1</v>
      </c>
      <c r="S3588">
        <v>0</v>
      </c>
      <c r="T3588">
        <v>0</v>
      </c>
      <c r="U3588">
        <v>0</v>
      </c>
      <c r="V3588">
        <v>0</v>
      </c>
      <c r="W3588">
        <v>2</v>
      </c>
      <c r="X3588" s="21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192</v>
      </c>
      <c r="AJ3588" t="s">
        <v>51</v>
      </c>
      <c r="AK3588" t="s">
        <v>95</v>
      </c>
      <c r="AP3588" t="s">
        <v>951</v>
      </c>
    </row>
    <row r="3589" spans="1:42">
      <c r="A3589" s="16">
        <v>43808</v>
      </c>
      <c r="B3589">
        <v>1</v>
      </c>
      <c r="C3589">
        <v>988</v>
      </c>
      <c r="D3589">
        <v>14629</v>
      </c>
      <c r="E3589" t="s">
        <v>112</v>
      </c>
      <c r="F3589" t="s">
        <v>949</v>
      </c>
      <c r="G3589">
        <v>2</v>
      </c>
      <c r="H3589">
        <v>87</v>
      </c>
      <c r="I3589" s="25">
        <v>1815</v>
      </c>
      <c r="K3589" t="s">
        <v>185</v>
      </c>
      <c r="M3589" t="s">
        <v>52</v>
      </c>
      <c r="N3589" t="s">
        <v>44</v>
      </c>
      <c r="O3589">
        <v>59</v>
      </c>
      <c r="Q3589">
        <v>2</v>
      </c>
      <c r="R3589">
        <v>1</v>
      </c>
      <c r="S3589">
        <v>0</v>
      </c>
      <c r="T3589">
        <v>0</v>
      </c>
      <c r="U3589">
        <v>0</v>
      </c>
      <c r="V3589">
        <v>0</v>
      </c>
      <c r="W3589">
        <v>2</v>
      </c>
      <c r="X3589" s="21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192</v>
      </c>
      <c r="AJ3589" t="s">
        <v>51</v>
      </c>
      <c r="AK3589" t="s">
        <v>95</v>
      </c>
      <c r="AP3589" t="s">
        <v>951</v>
      </c>
    </row>
    <row r="3590" spans="1:42">
      <c r="A3590" s="16">
        <v>43808</v>
      </c>
      <c r="B3590">
        <v>1</v>
      </c>
      <c r="C3590">
        <v>988</v>
      </c>
      <c r="D3590">
        <v>14629</v>
      </c>
      <c r="E3590" t="s">
        <v>112</v>
      </c>
      <c r="F3590" t="s">
        <v>949</v>
      </c>
      <c r="G3590">
        <v>2</v>
      </c>
      <c r="H3590">
        <v>88</v>
      </c>
      <c r="I3590" s="25">
        <v>1803</v>
      </c>
      <c r="K3590" t="s">
        <v>185</v>
      </c>
      <c r="M3590" t="s">
        <v>52</v>
      </c>
      <c r="N3590" t="s">
        <v>44</v>
      </c>
      <c r="O3590">
        <v>167</v>
      </c>
      <c r="Q3590">
        <v>2</v>
      </c>
      <c r="R3590">
        <v>1</v>
      </c>
      <c r="S3590">
        <v>0</v>
      </c>
      <c r="T3590">
        <v>0</v>
      </c>
      <c r="U3590">
        <v>0</v>
      </c>
      <c r="V3590">
        <v>0</v>
      </c>
      <c r="W3590">
        <v>2</v>
      </c>
      <c r="X3590" s="21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192</v>
      </c>
      <c r="AJ3590" t="s">
        <v>51</v>
      </c>
      <c r="AK3590" t="s">
        <v>95</v>
      </c>
      <c r="AL3590" t="s">
        <v>1171</v>
      </c>
      <c r="AP3590" t="s">
        <v>951</v>
      </c>
    </row>
    <row r="3591" spans="1:42">
      <c r="A3591" s="16">
        <v>43808</v>
      </c>
      <c r="B3591">
        <v>1</v>
      </c>
      <c r="C3591">
        <v>988</v>
      </c>
      <c r="D3591">
        <v>14629</v>
      </c>
      <c r="E3591" t="s">
        <v>112</v>
      </c>
      <c r="F3591" t="s">
        <v>949</v>
      </c>
      <c r="G3591">
        <v>2</v>
      </c>
      <c r="H3591">
        <v>89</v>
      </c>
      <c r="I3591" s="25">
        <v>1775</v>
      </c>
      <c r="K3591" t="s">
        <v>185</v>
      </c>
      <c r="M3591" t="s">
        <v>52</v>
      </c>
      <c r="N3591" t="s">
        <v>44</v>
      </c>
      <c r="O3591">
        <v>90</v>
      </c>
      <c r="Q3591">
        <v>2</v>
      </c>
      <c r="R3591">
        <v>1</v>
      </c>
      <c r="S3591">
        <v>0</v>
      </c>
      <c r="T3591">
        <v>0</v>
      </c>
      <c r="U3591">
        <v>0</v>
      </c>
      <c r="V3591">
        <v>0</v>
      </c>
      <c r="W3591">
        <v>2</v>
      </c>
      <c r="X3591" s="2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192</v>
      </c>
      <c r="AJ3591" t="s">
        <v>51</v>
      </c>
      <c r="AK3591" t="s">
        <v>95</v>
      </c>
      <c r="AP3591" t="s">
        <v>951</v>
      </c>
    </row>
    <row r="3592" spans="1:42">
      <c r="A3592" s="16">
        <v>43808</v>
      </c>
      <c r="B3592">
        <v>1</v>
      </c>
      <c r="C3592">
        <v>988</v>
      </c>
      <c r="D3592">
        <v>14629</v>
      </c>
      <c r="E3592" t="s">
        <v>112</v>
      </c>
      <c r="F3592" t="s">
        <v>949</v>
      </c>
      <c r="G3592">
        <v>2</v>
      </c>
      <c r="H3592">
        <v>90</v>
      </c>
      <c r="I3592" s="25">
        <v>1769</v>
      </c>
      <c r="K3592" t="s">
        <v>185</v>
      </c>
      <c r="M3592" t="s">
        <v>52</v>
      </c>
      <c r="N3592" t="s">
        <v>44</v>
      </c>
      <c r="O3592">
        <v>69</v>
      </c>
      <c r="Q3592">
        <v>1</v>
      </c>
      <c r="R3592">
        <v>1</v>
      </c>
      <c r="S3592">
        <v>0</v>
      </c>
      <c r="T3592">
        <v>0</v>
      </c>
      <c r="U3592">
        <v>0</v>
      </c>
      <c r="V3592">
        <v>0</v>
      </c>
      <c r="W3592">
        <v>1</v>
      </c>
      <c r="X3592" s="21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96</v>
      </c>
      <c r="AJ3592" t="s">
        <v>51</v>
      </c>
      <c r="AK3592" t="s">
        <v>95</v>
      </c>
      <c r="AP3592" t="s">
        <v>951</v>
      </c>
    </row>
    <row r="3593" spans="1:42">
      <c r="A3593" s="16">
        <v>43808</v>
      </c>
      <c r="B3593">
        <v>1</v>
      </c>
      <c r="C3593">
        <v>988</v>
      </c>
      <c r="D3593">
        <v>14629</v>
      </c>
      <c r="E3593" t="s">
        <v>112</v>
      </c>
      <c r="F3593" t="s">
        <v>949</v>
      </c>
      <c r="G3593">
        <v>2</v>
      </c>
      <c r="H3593">
        <v>91</v>
      </c>
      <c r="I3593" s="25">
        <v>1701</v>
      </c>
      <c r="K3593" t="s">
        <v>185</v>
      </c>
      <c r="M3593" t="s">
        <v>52</v>
      </c>
      <c r="N3593" t="s">
        <v>44</v>
      </c>
      <c r="O3593">
        <v>62</v>
      </c>
      <c r="Q3593">
        <v>1</v>
      </c>
      <c r="R3593">
        <v>1</v>
      </c>
      <c r="S3593">
        <v>0</v>
      </c>
      <c r="T3593">
        <v>0</v>
      </c>
      <c r="U3593">
        <v>0</v>
      </c>
      <c r="V3593">
        <v>0</v>
      </c>
      <c r="W3593">
        <v>1</v>
      </c>
      <c r="X3593" s="21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96</v>
      </c>
      <c r="AJ3593" t="s">
        <v>51</v>
      </c>
      <c r="AK3593" t="s">
        <v>95</v>
      </c>
      <c r="AP3593" t="s">
        <v>951</v>
      </c>
    </row>
    <row r="3594" spans="1:42">
      <c r="A3594" s="16">
        <v>43808</v>
      </c>
      <c r="B3594">
        <v>1</v>
      </c>
      <c r="C3594">
        <v>988</v>
      </c>
      <c r="D3594">
        <v>14629</v>
      </c>
      <c r="E3594" t="s">
        <v>112</v>
      </c>
      <c r="F3594" t="s">
        <v>949</v>
      </c>
      <c r="G3594">
        <v>2</v>
      </c>
      <c r="H3594">
        <v>92</v>
      </c>
      <c r="I3594" s="25">
        <v>1516</v>
      </c>
      <c r="K3594" t="s">
        <v>210</v>
      </c>
      <c r="M3594" t="s">
        <v>52</v>
      </c>
      <c r="N3594" t="s">
        <v>44</v>
      </c>
      <c r="O3594">
        <v>71</v>
      </c>
      <c r="Q3594">
        <v>1</v>
      </c>
      <c r="R3594">
        <v>1</v>
      </c>
      <c r="S3594">
        <v>0</v>
      </c>
      <c r="T3594">
        <v>0</v>
      </c>
      <c r="U3594">
        <v>0</v>
      </c>
      <c r="V3594">
        <v>0</v>
      </c>
      <c r="W3594">
        <v>1</v>
      </c>
      <c r="X3594" s="21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96</v>
      </c>
      <c r="AJ3594" t="s">
        <v>51</v>
      </c>
      <c r="AK3594" t="s">
        <v>95</v>
      </c>
      <c r="AP3594" t="s">
        <v>951</v>
      </c>
    </row>
    <row r="3595" spans="1:42">
      <c r="A3595" s="16">
        <v>43808</v>
      </c>
      <c r="B3595">
        <v>1</v>
      </c>
      <c r="C3595">
        <v>988</v>
      </c>
      <c r="D3595">
        <v>14629</v>
      </c>
      <c r="E3595" t="s">
        <v>112</v>
      </c>
      <c r="F3595" t="s">
        <v>949</v>
      </c>
      <c r="G3595">
        <v>2</v>
      </c>
      <c r="H3595">
        <v>93</v>
      </c>
      <c r="I3595" s="25">
        <v>1530</v>
      </c>
      <c r="K3595" t="s">
        <v>210</v>
      </c>
      <c r="M3595" t="s">
        <v>52</v>
      </c>
      <c r="N3595" t="s">
        <v>44</v>
      </c>
      <c r="O3595">
        <v>44</v>
      </c>
      <c r="Q3595">
        <v>1</v>
      </c>
      <c r="R3595">
        <v>1</v>
      </c>
      <c r="S3595">
        <v>0</v>
      </c>
      <c r="T3595">
        <v>0</v>
      </c>
      <c r="U3595">
        <v>0</v>
      </c>
      <c r="V3595">
        <v>0</v>
      </c>
      <c r="W3595">
        <v>1</v>
      </c>
      <c r="X3595" s="21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96</v>
      </c>
      <c r="AJ3595" t="s">
        <v>51</v>
      </c>
      <c r="AK3595" t="s">
        <v>95</v>
      </c>
      <c r="AL3595" t="s">
        <v>1172</v>
      </c>
      <c r="AP3595" t="s">
        <v>951</v>
      </c>
    </row>
    <row r="3596" spans="1:42">
      <c r="A3596" s="16">
        <v>43808</v>
      </c>
      <c r="B3596">
        <v>1</v>
      </c>
      <c r="C3596">
        <v>988</v>
      </c>
      <c r="D3596">
        <v>14629</v>
      </c>
      <c r="E3596" t="s">
        <v>112</v>
      </c>
      <c r="F3596" t="s">
        <v>949</v>
      </c>
      <c r="G3596">
        <v>2</v>
      </c>
      <c r="H3596">
        <v>94</v>
      </c>
      <c r="I3596" s="25">
        <v>1540</v>
      </c>
      <c r="K3596" t="s">
        <v>210</v>
      </c>
      <c r="M3596" t="s">
        <v>52</v>
      </c>
      <c r="N3596" t="s">
        <v>44</v>
      </c>
      <c r="O3596">
        <v>63</v>
      </c>
      <c r="Q3596">
        <v>1</v>
      </c>
      <c r="R3596">
        <v>1</v>
      </c>
      <c r="S3596">
        <v>0</v>
      </c>
      <c r="T3596">
        <v>0</v>
      </c>
      <c r="U3596">
        <v>0</v>
      </c>
      <c r="V3596">
        <v>0</v>
      </c>
      <c r="W3596">
        <v>1</v>
      </c>
      <c r="X3596" s="21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96</v>
      </c>
      <c r="AJ3596" t="s">
        <v>51</v>
      </c>
      <c r="AK3596" t="s">
        <v>95</v>
      </c>
      <c r="AL3596" t="s">
        <v>1173</v>
      </c>
      <c r="AP3596" t="s">
        <v>951</v>
      </c>
    </row>
    <row r="3597" spans="1:42">
      <c r="A3597" s="16">
        <v>43808</v>
      </c>
      <c r="B3597">
        <v>1</v>
      </c>
      <c r="C3597">
        <v>988</v>
      </c>
      <c r="D3597">
        <v>14629</v>
      </c>
      <c r="E3597" t="s">
        <v>112</v>
      </c>
      <c r="F3597" t="s">
        <v>949</v>
      </c>
      <c r="G3597">
        <v>2</v>
      </c>
      <c r="H3597">
        <v>95</v>
      </c>
      <c r="I3597" s="25">
        <v>1564</v>
      </c>
      <c r="K3597" t="s">
        <v>210</v>
      </c>
      <c r="M3597" t="s">
        <v>52</v>
      </c>
      <c r="N3597" t="s">
        <v>44</v>
      </c>
      <c r="O3597">
        <v>145</v>
      </c>
      <c r="Q3597">
        <v>2</v>
      </c>
      <c r="R3597">
        <v>1</v>
      </c>
      <c r="S3597">
        <v>0</v>
      </c>
      <c r="T3597">
        <v>0</v>
      </c>
      <c r="U3597">
        <v>0</v>
      </c>
      <c r="V3597">
        <v>0</v>
      </c>
      <c r="W3597">
        <v>2</v>
      </c>
      <c r="X3597" s="21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192</v>
      </c>
      <c r="AJ3597" t="s">
        <v>51</v>
      </c>
      <c r="AK3597" t="s">
        <v>95</v>
      </c>
      <c r="AP3597" t="s">
        <v>951</v>
      </c>
    </row>
    <row r="3598" spans="1:42">
      <c r="A3598" s="16">
        <v>43808</v>
      </c>
      <c r="B3598">
        <v>1</v>
      </c>
      <c r="C3598">
        <v>988</v>
      </c>
      <c r="D3598">
        <v>14629</v>
      </c>
      <c r="E3598" t="s">
        <v>112</v>
      </c>
      <c r="F3598" t="s">
        <v>949</v>
      </c>
      <c r="G3598">
        <v>2</v>
      </c>
      <c r="H3598">
        <v>96</v>
      </c>
      <c r="I3598" s="25">
        <v>1580</v>
      </c>
      <c r="K3598" t="s">
        <v>210</v>
      </c>
      <c r="M3598" t="s">
        <v>52</v>
      </c>
      <c r="N3598" t="s">
        <v>44</v>
      </c>
      <c r="O3598">
        <v>54</v>
      </c>
      <c r="Q3598">
        <v>2</v>
      </c>
      <c r="R3598">
        <v>1</v>
      </c>
      <c r="S3598">
        <v>0</v>
      </c>
      <c r="T3598">
        <v>0</v>
      </c>
      <c r="U3598">
        <v>0</v>
      </c>
      <c r="V3598">
        <v>0</v>
      </c>
      <c r="W3598">
        <v>2</v>
      </c>
      <c r="X3598" s="21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192</v>
      </c>
      <c r="AJ3598" t="s">
        <v>51</v>
      </c>
      <c r="AK3598" t="s">
        <v>95</v>
      </c>
      <c r="AP3598" t="s">
        <v>951</v>
      </c>
    </row>
    <row r="3599" spans="1:42">
      <c r="A3599" s="16">
        <v>43808</v>
      </c>
      <c r="B3599">
        <v>1</v>
      </c>
      <c r="C3599">
        <v>988</v>
      </c>
      <c r="D3599">
        <v>14629</v>
      </c>
      <c r="E3599" t="s">
        <v>112</v>
      </c>
      <c r="F3599" t="s">
        <v>949</v>
      </c>
      <c r="G3599">
        <v>2</v>
      </c>
      <c r="H3599">
        <v>97</v>
      </c>
      <c r="I3599" s="25">
        <v>3006</v>
      </c>
      <c r="K3599" t="s">
        <v>638</v>
      </c>
      <c r="M3599" t="s">
        <v>52</v>
      </c>
      <c r="N3599" t="s">
        <v>44</v>
      </c>
      <c r="O3599">
        <v>103</v>
      </c>
      <c r="Q3599">
        <v>2</v>
      </c>
      <c r="R3599">
        <v>1</v>
      </c>
      <c r="S3599">
        <v>0</v>
      </c>
      <c r="T3599">
        <v>0</v>
      </c>
      <c r="U3599">
        <v>0</v>
      </c>
      <c r="V3599">
        <v>0</v>
      </c>
      <c r="W3599">
        <v>2</v>
      </c>
      <c r="X3599" s="21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192</v>
      </c>
      <c r="AJ3599" t="s">
        <v>51</v>
      </c>
      <c r="AK3599" t="s">
        <v>95</v>
      </c>
      <c r="AP3599" t="s">
        <v>951</v>
      </c>
    </row>
    <row r="3600" spans="1:42">
      <c r="A3600" s="16">
        <v>43808</v>
      </c>
      <c r="B3600">
        <v>1</v>
      </c>
      <c r="C3600">
        <v>988</v>
      </c>
      <c r="D3600">
        <v>14629</v>
      </c>
      <c r="E3600" t="s">
        <v>112</v>
      </c>
      <c r="F3600" t="s">
        <v>949</v>
      </c>
      <c r="G3600">
        <v>2</v>
      </c>
      <c r="H3600">
        <v>98</v>
      </c>
      <c r="I3600" s="25">
        <v>1447</v>
      </c>
      <c r="K3600" t="s">
        <v>324</v>
      </c>
      <c r="M3600" t="s">
        <v>52</v>
      </c>
      <c r="N3600" t="s">
        <v>44</v>
      </c>
      <c r="O3600">
        <v>56</v>
      </c>
      <c r="Q3600">
        <v>1</v>
      </c>
      <c r="R3600">
        <v>1</v>
      </c>
      <c r="S3600">
        <v>0</v>
      </c>
      <c r="T3600">
        <v>0</v>
      </c>
      <c r="U3600">
        <v>0</v>
      </c>
      <c r="V3600">
        <v>0</v>
      </c>
      <c r="W3600">
        <v>1</v>
      </c>
      <c r="X3600" s="21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96</v>
      </c>
      <c r="AJ3600" t="s">
        <v>51</v>
      </c>
      <c r="AK3600" t="s">
        <v>95</v>
      </c>
      <c r="AP3600" t="s">
        <v>951</v>
      </c>
    </row>
    <row r="3601" spans="1:42">
      <c r="A3601" s="16">
        <v>43808</v>
      </c>
      <c r="B3601">
        <v>1</v>
      </c>
      <c r="C3601">
        <v>988</v>
      </c>
      <c r="D3601">
        <v>14629</v>
      </c>
      <c r="E3601" t="s">
        <v>112</v>
      </c>
      <c r="F3601" t="s">
        <v>949</v>
      </c>
      <c r="G3601">
        <v>2</v>
      </c>
      <c r="H3601">
        <v>99</v>
      </c>
      <c r="I3601" s="25">
        <v>1441</v>
      </c>
      <c r="K3601" t="s">
        <v>324</v>
      </c>
      <c r="M3601" t="s">
        <v>52</v>
      </c>
      <c r="N3601" t="s">
        <v>44</v>
      </c>
      <c r="O3601">
        <v>80</v>
      </c>
      <c r="Q3601">
        <v>1</v>
      </c>
      <c r="R3601">
        <v>1</v>
      </c>
      <c r="S3601">
        <v>0</v>
      </c>
      <c r="T3601">
        <v>0</v>
      </c>
      <c r="U3601">
        <v>0</v>
      </c>
      <c r="V3601">
        <v>0</v>
      </c>
      <c r="W3601">
        <v>1</v>
      </c>
      <c r="X3601" s="2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96</v>
      </c>
      <c r="AJ3601" t="s">
        <v>51</v>
      </c>
      <c r="AK3601" t="s">
        <v>95</v>
      </c>
      <c r="AL3601" t="s">
        <v>1174</v>
      </c>
      <c r="AP3601" t="s">
        <v>951</v>
      </c>
    </row>
    <row r="3602" spans="1:42">
      <c r="A3602" s="16">
        <v>43808</v>
      </c>
      <c r="B3602">
        <v>1</v>
      </c>
      <c r="C3602">
        <v>988</v>
      </c>
      <c r="D3602">
        <v>14629</v>
      </c>
      <c r="E3602" t="s">
        <v>112</v>
      </c>
      <c r="F3602" t="s">
        <v>949</v>
      </c>
      <c r="G3602">
        <v>2</v>
      </c>
      <c r="H3602">
        <v>100</v>
      </c>
      <c r="I3602" s="25">
        <v>1437</v>
      </c>
      <c r="K3602" t="s">
        <v>324</v>
      </c>
      <c r="M3602" t="s">
        <v>52</v>
      </c>
      <c r="N3602" t="s">
        <v>44</v>
      </c>
      <c r="O3602">
        <v>156</v>
      </c>
      <c r="Q3602">
        <v>1</v>
      </c>
      <c r="R3602">
        <v>1</v>
      </c>
      <c r="S3602">
        <v>0</v>
      </c>
      <c r="T3602">
        <v>0</v>
      </c>
      <c r="U3602">
        <v>0</v>
      </c>
      <c r="V3602">
        <v>0</v>
      </c>
      <c r="W3602">
        <v>2</v>
      </c>
      <c r="X3602" s="21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192</v>
      </c>
      <c r="AJ3602" t="s">
        <v>51</v>
      </c>
      <c r="AK3602" t="s">
        <v>95</v>
      </c>
      <c r="AL3602" t="s">
        <v>1175</v>
      </c>
      <c r="AP3602" t="s">
        <v>951</v>
      </c>
    </row>
    <row r="3603" spans="1:42">
      <c r="A3603" s="16">
        <v>43808</v>
      </c>
      <c r="B3603">
        <v>1</v>
      </c>
      <c r="C3603">
        <v>988</v>
      </c>
      <c r="D3603">
        <v>14629</v>
      </c>
      <c r="E3603" t="s">
        <v>112</v>
      </c>
      <c r="F3603" t="s">
        <v>949</v>
      </c>
      <c r="G3603">
        <v>2</v>
      </c>
      <c r="H3603">
        <v>101</v>
      </c>
      <c r="I3603" s="25">
        <v>1365</v>
      </c>
      <c r="K3603" t="s">
        <v>324</v>
      </c>
      <c r="M3603" t="s">
        <v>52</v>
      </c>
      <c r="N3603" t="s">
        <v>44</v>
      </c>
      <c r="O3603">
        <v>56</v>
      </c>
      <c r="Q3603">
        <v>1</v>
      </c>
      <c r="R3603">
        <v>1</v>
      </c>
      <c r="S3603">
        <v>0</v>
      </c>
      <c r="T3603">
        <v>0</v>
      </c>
      <c r="U3603">
        <v>0</v>
      </c>
      <c r="V3603">
        <v>0</v>
      </c>
      <c r="W3603">
        <v>1</v>
      </c>
      <c r="X3603" s="21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96</v>
      </c>
      <c r="AJ3603" t="s">
        <v>51</v>
      </c>
      <c r="AK3603" t="s">
        <v>95</v>
      </c>
      <c r="AP3603" t="s">
        <v>951</v>
      </c>
    </row>
    <row r="3604" spans="1:42">
      <c r="A3604" s="16">
        <v>43808</v>
      </c>
      <c r="B3604">
        <v>1</v>
      </c>
      <c r="C3604">
        <v>988</v>
      </c>
      <c r="D3604">
        <v>14629</v>
      </c>
      <c r="E3604" t="s">
        <v>112</v>
      </c>
      <c r="F3604" t="s">
        <v>949</v>
      </c>
      <c r="G3604">
        <v>2</v>
      </c>
      <c r="H3604">
        <v>102</v>
      </c>
      <c r="I3604" s="25">
        <v>1321</v>
      </c>
      <c r="K3604" t="s">
        <v>324</v>
      </c>
      <c r="M3604" t="s">
        <v>52</v>
      </c>
      <c r="N3604" t="s">
        <v>44</v>
      </c>
      <c r="O3604">
        <v>111</v>
      </c>
      <c r="Q3604">
        <v>1</v>
      </c>
      <c r="R3604">
        <v>1</v>
      </c>
      <c r="S3604">
        <v>0</v>
      </c>
      <c r="T3604">
        <v>0</v>
      </c>
      <c r="U3604">
        <v>0</v>
      </c>
      <c r="V3604">
        <v>0</v>
      </c>
      <c r="W3604">
        <v>1</v>
      </c>
      <c r="X3604" s="21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96</v>
      </c>
      <c r="AJ3604" t="s">
        <v>51</v>
      </c>
      <c r="AK3604" t="s">
        <v>95</v>
      </c>
      <c r="AL3604" t="s">
        <v>1176</v>
      </c>
      <c r="AP3604" t="s">
        <v>951</v>
      </c>
    </row>
    <row r="3605" spans="1:42">
      <c r="A3605" s="16">
        <v>43808</v>
      </c>
      <c r="B3605">
        <v>1</v>
      </c>
      <c r="C3605">
        <v>988</v>
      </c>
      <c r="D3605">
        <v>14629</v>
      </c>
      <c r="E3605" t="s">
        <v>112</v>
      </c>
      <c r="F3605" t="s">
        <v>949</v>
      </c>
      <c r="G3605">
        <v>2</v>
      </c>
      <c r="H3605">
        <v>103</v>
      </c>
      <c r="I3605" s="25">
        <v>2905</v>
      </c>
      <c r="K3605" t="s">
        <v>415</v>
      </c>
      <c r="M3605" t="s">
        <v>95</v>
      </c>
      <c r="N3605" t="s">
        <v>44</v>
      </c>
      <c r="O3605">
        <v>92</v>
      </c>
      <c r="Q3605">
        <v>2</v>
      </c>
      <c r="R3605">
        <v>1</v>
      </c>
      <c r="S3605">
        <v>0</v>
      </c>
      <c r="T3605">
        <v>0</v>
      </c>
      <c r="U3605">
        <v>0</v>
      </c>
      <c r="V3605">
        <v>0</v>
      </c>
      <c r="W3605">
        <v>2</v>
      </c>
      <c r="X3605" s="21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192</v>
      </c>
      <c r="AJ3605" t="s">
        <v>51</v>
      </c>
      <c r="AK3605" t="s">
        <v>52</v>
      </c>
      <c r="AP3605" t="s">
        <v>951</v>
      </c>
    </row>
    <row r="3606" spans="1:42">
      <c r="A3606" s="16">
        <v>43808</v>
      </c>
      <c r="B3606">
        <v>1</v>
      </c>
      <c r="C3606">
        <v>988</v>
      </c>
      <c r="D3606">
        <v>14629</v>
      </c>
      <c r="E3606" t="s">
        <v>112</v>
      </c>
      <c r="F3606" t="s">
        <v>949</v>
      </c>
      <c r="G3606">
        <v>2</v>
      </c>
      <c r="H3606">
        <v>104</v>
      </c>
      <c r="I3606" s="25">
        <v>1311</v>
      </c>
      <c r="K3606" t="s">
        <v>324</v>
      </c>
      <c r="M3606" t="s">
        <v>52</v>
      </c>
      <c r="N3606" t="s">
        <v>44</v>
      </c>
      <c r="O3606">
        <v>71</v>
      </c>
      <c r="Q3606">
        <v>1</v>
      </c>
      <c r="R3606">
        <v>1</v>
      </c>
      <c r="S3606">
        <v>0</v>
      </c>
      <c r="T3606">
        <v>0</v>
      </c>
      <c r="U3606">
        <v>0</v>
      </c>
      <c r="V3606">
        <v>0</v>
      </c>
      <c r="W3606">
        <v>1</v>
      </c>
      <c r="X3606" s="21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96</v>
      </c>
      <c r="AJ3606" t="s">
        <v>51</v>
      </c>
      <c r="AK3606" t="s">
        <v>95</v>
      </c>
      <c r="AP3606" t="s">
        <v>951</v>
      </c>
    </row>
    <row r="3607" spans="1:42">
      <c r="A3607" s="16">
        <v>43808</v>
      </c>
      <c r="B3607">
        <v>1</v>
      </c>
      <c r="C3607">
        <v>988</v>
      </c>
      <c r="D3607">
        <v>14629</v>
      </c>
      <c r="E3607" t="s">
        <v>112</v>
      </c>
      <c r="F3607" t="s">
        <v>949</v>
      </c>
      <c r="G3607">
        <v>2</v>
      </c>
      <c r="H3607">
        <v>105</v>
      </c>
      <c r="I3607" s="25">
        <v>1402</v>
      </c>
      <c r="K3607" t="s">
        <v>210</v>
      </c>
      <c r="M3607" t="s">
        <v>52</v>
      </c>
      <c r="N3607" t="s">
        <v>44</v>
      </c>
      <c r="O3607">
        <v>192</v>
      </c>
      <c r="Q3607">
        <v>1</v>
      </c>
      <c r="R3607">
        <v>1</v>
      </c>
      <c r="S3607">
        <v>0</v>
      </c>
      <c r="T3607">
        <v>0</v>
      </c>
      <c r="U3607">
        <v>0</v>
      </c>
      <c r="V3607">
        <v>0</v>
      </c>
      <c r="W3607">
        <v>1</v>
      </c>
      <c r="X3607" s="21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96</v>
      </c>
      <c r="AJ3607" t="s">
        <v>51</v>
      </c>
      <c r="AK3607" t="s">
        <v>52</v>
      </c>
      <c r="AL3607" t="s">
        <v>1177</v>
      </c>
      <c r="AP3607" t="s">
        <v>951</v>
      </c>
    </row>
    <row r="3608" spans="1:42">
      <c r="A3608" s="16">
        <v>43808</v>
      </c>
      <c r="B3608">
        <v>1</v>
      </c>
      <c r="C3608">
        <v>988</v>
      </c>
      <c r="D3608">
        <v>14629</v>
      </c>
      <c r="E3608" t="s">
        <v>112</v>
      </c>
      <c r="F3608" t="s">
        <v>949</v>
      </c>
      <c r="G3608">
        <v>2</v>
      </c>
      <c r="H3608">
        <v>106</v>
      </c>
      <c r="I3608" s="25">
        <v>1400</v>
      </c>
      <c r="K3608" t="s">
        <v>210</v>
      </c>
      <c r="L3608" t="s">
        <v>114</v>
      </c>
      <c r="M3608" t="s">
        <v>52</v>
      </c>
      <c r="N3608" t="s">
        <v>40</v>
      </c>
      <c r="O3608">
        <v>41</v>
      </c>
      <c r="Q3608">
        <v>1</v>
      </c>
      <c r="R3608">
        <v>1</v>
      </c>
      <c r="S3608">
        <v>0</v>
      </c>
      <c r="T3608">
        <v>0</v>
      </c>
      <c r="U3608">
        <v>0</v>
      </c>
      <c r="V3608">
        <v>1</v>
      </c>
      <c r="W3608">
        <v>0</v>
      </c>
      <c r="X3608" s="21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64</v>
      </c>
      <c r="AJ3608" t="s">
        <v>51</v>
      </c>
      <c r="AK3608" t="s">
        <v>52</v>
      </c>
      <c r="AP3608" t="s">
        <v>951</v>
      </c>
    </row>
    <row r="3609" spans="1:42">
      <c r="A3609" s="16">
        <v>43808</v>
      </c>
      <c r="B3609">
        <v>1</v>
      </c>
      <c r="C3609">
        <v>988</v>
      </c>
      <c r="D3609">
        <v>14629</v>
      </c>
      <c r="E3609" t="s">
        <v>112</v>
      </c>
      <c r="F3609" t="s">
        <v>949</v>
      </c>
      <c r="G3609">
        <v>2</v>
      </c>
      <c r="H3609">
        <v>107</v>
      </c>
      <c r="I3609" s="25">
        <v>2900</v>
      </c>
      <c r="K3609" t="s">
        <v>631</v>
      </c>
      <c r="M3609" t="s">
        <v>52</v>
      </c>
      <c r="N3609" t="s">
        <v>42</v>
      </c>
      <c r="O3609">
        <v>197</v>
      </c>
      <c r="Q3609">
        <v>3</v>
      </c>
      <c r="R3609">
        <v>1</v>
      </c>
      <c r="S3609">
        <v>0</v>
      </c>
      <c r="T3609">
        <v>0</v>
      </c>
      <c r="U3609">
        <v>1</v>
      </c>
      <c r="V3609">
        <v>0</v>
      </c>
      <c r="W3609">
        <v>2</v>
      </c>
      <c r="X3609" s="21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128</v>
      </c>
      <c r="AJ3609" t="s">
        <v>51</v>
      </c>
      <c r="AK3609" t="s">
        <v>95</v>
      </c>
      <c r="AP3609" t="s">
        <v>951</v>
      </c>
    </row>
    <row r="3610" spans="1:42">
      <c r="A3610" s="16">
        <v>43808</v>
      </c>
      <c r="B3610">
        <v>1</v>
      </c>
      <c r="C3610">
        <v>988</v>
      </c>
      <c r="D3610">
        <v>14629</v>
      </c>
      <c r="E3610" t="s">
        <v>112</v>
      </c>
      <c r="F3610" t="s">
        <v>949</v>
      </c>
      <c r="G3610">
        <v>2</v>
      </c>
      <c r="H3610">
        <v>108</v>
      </c>
      <c r="I3610" s="25">
        <v>3010</v>
      </c>
      <c r="K3610" t="s">
        <v>631</v>
      </c>
      <c r="M3610" t="s">
        <v>52</v>
      </c>
      <c r="N3610" t="s">
        <v>44</v>
      </c>
      <c r="O3610">
        <v>109</v>
      </c>
      <c r="Q3610">
        <v>2</v>
      </c>
      <c r="R3610">
        <v>1</v>
      </c>
      <c r="S3610">
        <v>0</v>
      </c>
      <c r="T3610">
        <v>0</v>
      </c>
      <c r="U3610">
        <v>0</v>
      </c>
      <c r="V3610">
        <v>0</v>
      </c>
      <c r="W3610">
        <v>2</v>
      </c>
      <c r="X3610" s="21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192</v>
      </c>
      <c r="AJ3610" t="s">
        <v>51</v>
      </c>
      <c r="AK3610" t="s">
        <v>95</v>
      </c>
      <c r="AP3610" t="s">
        <v>951</v>
      </c>
    </row>
    <row r="3611" spans="1:42">
      <c r="A3611" s="16">
        <v>43808</v>
      </c>
      <c r="B3611">
        <v>1</v>
      </c>
      <c r="C3611">
        <v>988</v>
      </c>
      <c r="D3611">
        <v>14629</v>
      </c>
      <c r="E3611" t="s">
        <v>112</v>
      </c>
      <c r="F3611" t="s">
        <v>949</v>
      </c>
      <c r="G3611">
        <v>2</v>
      </c>
      <c r="H3611">
        <v>109</v>
      </c>
      <c r="I3611" s="25">
        <v>3040</v>
      </c>
      <c r="K3611" t="s">
        <v>631</v>
      </c>
      <c r="M3611" t="s">
        <v>52</v>
      </c>
      <c r="N3611" t="s">
        <v>44</v>
      </c>
      <c r="O3611">
        <v>74</v>
      </c>
      <c r="Q3611">
        <v>1</v>
      </c>
      <c r="R3611">
        <v>1</v>
      </c>
      <c r="S3611">
        <v>0</v>
      </c>
      <c r="T3611">
        <v>0</v>
      </c>
      <c r="U3611">
        <v>0</v>
      </c>
      <c r="V3611">
        <v>0</v>
      </c>
      <c r="W3611">
        <v>1</v>
      </c>
      <c r="X3611" s="2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96</v>
      </c>
      <c r="AJ3611" t="s">
        <v>51</v>
      </c>
      <c r="AK3611" t="s">
        <v>95</v>
      </c>
      <c r="AP3611" t="s">
        <v>951</v>
      </c>
    </row>
    <row r="3612" spans="1:42">
      <c r="A3612" s="16">
        <v>43808</v>
      </c>
      <c r="B3612">
        <v>1</v>
      </c>
      <c r="C3612">
        <v>988</v>
      </c>
      <c r="D3612">
        <v>14629</v>
      </c>
      <c r="E3612" t="s">
        <v>112</v>
      </c>
      <c r="F3612" t="s">
        <v>949</v>
      </c>
      <c r="G3612">
        <v>2</v>
      </c>
      <c r="H3612">
        <v>110</v>
      </c>
      <c r="I3612" s="25">
        <v>3044</v>
      </c>
      <c r="K3612" t="s">
        <v>631</v>
      </c>
      <c r="M3612" t="s">
        <v>52</v>
      </c>
      <c r="N3612" t="s">
        <v>44</v>
      </c>
      <c r="O3612">
        <v>75</v>
      </c>
      <c r="Q3612">
        <v>1</v>
      </c>
      <c r="R3612">
        <v>1</v>
      </c>
      <c r="S3612">
        <v>0</v>
      </c>
      <c r="T3612">
        <v>0</v>
      </c>
      <c r="U3612">
        <v>0</v>
      </c>
      <c r="V3612">
        <v>0</v>
      </c>
      <c r="W3612">
        <v>1</v>
      </c>
      <c r="X3612" s="21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96</v>
      </c>
      <c r="AJ3612" t="s">
        <v>51</v>
      </c>
      <c r="AK3612" t="s">
        <v>95</v>
      </c>
      <c r="AP3612" t="s">
        <v>951</v>
      </c>
    </row>
    <row r="3613" spans="1:42">
      <c r="A3613" s="16">
        <v>43808</v>
      </c>
      <c r="B3613">
        <v>1</v>
      </c>
      <c r="C3613">
        <v>988</v>
      </c>
      <c r="D3613">
        <v>14629</v>
      </c>
      <c r="E3613" t="s">
        <v>112</v>
      </c>
      <c r="F3613" t="s">
        <v>949</v>
      </c>
      <c r="G3613">
        <v>2</v>
      </c>
      <c r="H3613">
        <v>111</v>
      </c>
      <c r="I3613" s="25" t="s">
        <v>1178</v>
      </c>
      <c r="K3613" t="s">
        <v>862</v>
      </c>
      <c r="M3613" t="s">
        <v>52</v>
      </c>
      <c r="N3613" t="s">
        <v>44</v>
      </c>
      <c r="O3613">
        <v>180</v>
      </c>
      <c r="Q3613">
        <v>2</v>
      </c>
      <c r="R3613">
        <v>1</v>
      </c>
      <c r="S3613">
        <v>0</v>
      </c>
      <c r="T3613">
        <v>0</v>
      </c>
      <c r="U3613">
        <v>0</v>
      </c>
      <c r="V3613">
        <v>0</v>
      </c>
      <c r="W3613">
        <v>2</v>
      </c>
      <c r="X3613" s="21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192</v>
      </c>
      <c r="AJ3613" t="s">
        <v>51</v>
      </c>
      <c r="AK3613" t="s">
        <v>95</v>
      </c>
      <c r="AP3613" t="s">
        <v>951</v>
      </c>
    </row>
    <row r="3614" spans="1:42">
      <c r="A3614" s="16">
        <v>43808</v>
      </c>
      <c r="B3614">
        <v>1</v>
      </c>
      <c r="C3614">
        <v>988</v>
      </c>
      <c r="D3614">
        <v>14629</v>
      </c>
      <c r="E3614" t="s">
        <v>112</v>
      </c>
      <c r="F3614" t="s">
        <v>949</v>
      </c>
      <c r="G3614">
        <v>2</v>
      </c>
      <c r="H3614">
        <v>112</v>
      </c>
      <c r="I3614" s="25">
        <v>1242</v>
      </c>
      <c r="K3614" t="s">
        <v>862</v>
      </c>
      <c r="M3614" t="s">
        <v>95</v>
      </c>
      <c r="N3614" t="s">
        <v>44</v>
      </c>
      <c r="O3614">
        <v>68</v>
      </c>
      <c r="Q3614">
        <v>1</v>
      </c>
      <c r="R3614">
        <v>1</v>
      </c>
      <c r="S3614">
        <v>0</v>
      </c>
      <c r="T3614">
        <v>0</v>
      </c>
      <c r="U3614">
        <v>0</v>
      </c>
      <c r="V3614">
        <v>0</v>
      </c>
      <c r="W3614">
        <v>1</v>
      </c>
      <c r="X3614" s="21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96</v>
      </c>
      <c r="AJ3614" t="s">
        <v>51</v>
      </c>
      <c r="AK3614" t="s">
        <v>95</v>
      </c>
      <c r="AP3614" t="s">
        <v>951</v>
      </c>
    </row>
    <row r="3615" spans="1:42">
      <c r="A3615" s="16">
        <v>43808</v>
      </c>
      <c r="B3615">
        <v>1</v>
      </c>
      <c r="C3615">
        <v>988</v>
      </c>
      <c r="D3615">
        <v>14629</v>
      </c>
      <c r="E3615" t="s">
        <v>112</v>
      </c>
      <c r="F3615" t="s">
        <v>949</v>
      </c>
      <c r="G3615">
        <v>2</v>
      </c>
      <c r="H3615">
        <v>113</v>
      </c>
      <c r="I3615" s="25">
        <v>1234</v>
      </c>
      <c r="K3615" t="s">
        <v>862</v>
      </c>
      <c r="M3615" t="s">
        <v>95</v>
      </c>
      <c r="N3615" t="s">
        <v>44</v>
      </c>
      <c r="O3615">
        <v>66</v>
      </c>
      <c r="Q3615">
        <v>1</v>
      </c>
      <c r="R3615">
        <v>1</v>
      </c>
      <c r="S3615">
        <v>0</v>
      </c>
      <c r="T3615">
        <v>0</v>
      </c>
      <c r="U3615">
        <v>0</v>
      </c>
      <c r="V3615">
        <v>0</v>
      </c>
      <c r="W3615">
        <v>1</v>
      </c>
      <c r="X3615" s="21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96</v>
      </c>
      <c r="AJ3615" t="s">
        <v>51</v>
      </c>
      <c r="AK3615" t="s">
        <v>95</v>
      </c>
      <c r="AP3615" t="s">
        <v>951</v>
      </c>
    </row>
    <row r="3616" spans="1:42">
      <c r="A3616" s="16">
        <v>43808</v>
      </c>
      <c r="B3616">
        <v>1</v>
      </c>
      <c r="C3616">
        <v>988</v>
      </c>
      <c r="D3616">
        <v>14629</v>
      </c>
      <c r="E3616" t="s">
        <v>112</v>
      </c>
      <c r="F3616" t="s">
        <v>949</v>
      </c>
      <c r="G3616">
        <v>2</v>
      </c>
      <c r="H3616">
        <v>114</v>
      </c>
      <c r="I3616" s="25">
        <v>1200</v>
      </c>
      <c r="K3616" t="s">
        <v>862</v>
      </c>
      <c r="M3616" t="s">
        <v>95</v>
      </c>
      <c r="N3616" t="s">
        <v>44</v>
      </c>
      <c r="O3616">
        <v>119</v>
      </c>
      <c r="Q3616">
        <v>1</v>
      </c>
      <c r="R3616">
        <v>1</v>
      </c>
      <c r="S3616">
        <v>0</v>
      </c>
      <c r="T3616">
        <v>0</v>
      </c>
      <c r="U3616">
        <v>0</v>
      </c>
      <c r="V3616">
        <v>0</v>
      </c>
      <c r="W3616">
        <v>1</v>
      </c>
      <c r="X3616" s="21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96</v>
      </c>
      <c r="AJ3616" t="s">
        <v>51</v>
      </c>
      <c r="AK3616" t="s">
        <v>95</v>
      </c>
      <c r="AL3616" t="s">
        <v>1179</v>
      </c>
      <c r="AP3616" t="s">
        <v>951</v>
      </c>
    </row>
    <row r="3617" spans="1:42">
      <c r="A3617" s="16">
        <v>43808</v>
      </c>
      <c r="B3617">
        <v>1</v>
      </c>
      <c r="C3617">
        <v>988</v>
      </c>
      <c r="D3617">
        <v>14629</v>
      </c>
      <c r="E3617" t="s">
        <v>112</v>
      </c>
      <c r="F3617" t="s">
        <v>949</v>
      </c>
      <c r="G3617">
        <v>2</v>
      </c>
      <c r="H3617">
        <v>115</v>
      </c>
      <c r="I3617" s="25">
        <v>1261</v>
      </c>
      <c r="K3617" t="s">
        <v>862</v>
      </c>
      <c r="M3617" t="s">
        <v>52</v>
      </c>
      <c r="N3617" t="s">
        <v>44</v>
      </c>
      <c r="O3617">
        <v>181</v>
      </c>
      <c r="Q3617">
        <v>2</v>
      </c>
      <c r="R3617">
        <v>1</v>
      </c>
      <c r="S3617">
        <v>0</v>
      </c>
      <c r="T3617">
        <v>0</v>
      </c>
      <c r="U3617">
        <v>0</v>
      </c>
      <c r="V3617">
        <v>0</v>
      </c>
      <c r="W3617">
        <v>2</v>
      </c>
      <c r="X3617" s="21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192</v>
      </c>
      <c r="AJ3617" t="s">
        <v>51</v>
      </c>
      <c r="AK3617" t="s">
        <v>95</v>
      </c>
      <c r="AL3617" t="s">
        <v>1180</v>
      </c>
      <c r="AP3617" t="s">
        <v>951</v>
      </c>
    </row>
    <row r="3618" spans="1:42">
      <c r="A3618" s="16">
        <v>43808</v>
      </c>
      <c r="B3618">
        <v>1</v>
      </c>
      <c r="C3618">
        <v>988</v>
      </c>
      <c r="D3618">
        <v>14629</v>
      </c>
      <c r="E3618" t="s">
        <v>112</v>
      </c>
      <c r="F3618" t="s">
        <v>949</v>
      </c>
      <c r="G3618">
        <v>2</v>
      </c>
      <c r="H3618">
        <v>116</v>
      </c>
      <c r="I3618" s="25">
        <v>2975</v>
      </c>
      <c r="K3618" t="s">
        <v>415</v>
      </c>
      <c r="M3618" t="s">
        <v>52</v>
      </c>
      <c r="N3618" t="s">
        <v>44</v>
      </c>
      <c r="O3618">
        <v>90</v>
      </c>
      <c r="Q3618">
        <v>2</v>
      </c>
      <c r="R3618">
        <v>1</v>
      </c>
      <c r="S3618">
        <v>0</v>
      </c>
      <c r="T3618">
        <v>0</v>
      </c>
      <c r="U3618">
        <v>0</v>
      </c>
      <c r="V3618">
        <v>0</v>
      </c>
      <c r="W3618">
        <v>2</v>
      </c>
      <c r="X3618" s="21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192</v>
      </c>
      <c r="AJ3618" t="s">
        <v>51</v>
      </c>
      <c r="AK3618" t="s">
        <v>95</v>
      </c>
      <c r="AP3618" t="s">
        <v>951</v>
      </c>
    </row>
    <row r="3619" spans="1:42">
      <c r="A3619" s="16">
        <v>43808</v>
      </c>
      <c r="B3619">
        <v>1</v>
      </c>
      <c r="C3619">
        <v>988</v>
      </c>
      <c r="D3619">
        <v>14629</v>
      </c>
      <c r="E3619" t="s">
        <v>112</v>
      </c>
      <c r="F3619" t="s">
        <v>949</v>
      </c>
      <c r="G3619">
        <v>2</v>
      </c>
      <c r="H3619">
        <v>117</v>
      </c>
      <c r="I3619" s="25">
        <v>2955</v>
      </c>
      <c r="K3619" t="s">
        <v>415</v>
      </c>
      <c r="M3619" t="s">
        <v>52</v>
      </c>
      <c r="N3619" t="s">
        <v>44</v>
      </c>
      <c r="O3619">
        <v>187</v>
      </c>
      <c r="Q3619">
        <v>2</v>
      </c>
      <c r="R3619">
        <v>1</v>
      </c>
      <c r="S3619">
        <v>0</v>
      </c>
      <c r="T3619">
        <v>0</v>
      </c>
      <c r="U3619">
        <v>0</v>
      </c>
      <c r="V3619">
        <v>0</v>
      </c>
      <c r="W3619">
        <v>2</v>
      </c>
      <c r="X3619" s="21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192</v>
      </c>
      <c r="AJ3619" t="s">
        <v>51</v>
      </c>
      <c r="AK3619" t="s">
        <v>95</v>
      </c>
      <c r="AL3619" t="s">
        <v>1181</v>
      </c>
      <c r="AP3619" t="s">
        <v>951</v>
      </c>
    </row>
    <row r="3620" spans="1:42">
      <c r="A3620" s="16">
        <v>43808</v>
      </c>
      <c r="B3620">
        <v>1</v>
      </c>
      <c r="C3620">
        <v>988</v>
      </c>
      <c r="D3620">
        <v>14629</v>
      </c>
      <c r="E3620" t="s">
        <v>112</v>
      </c>
      <c r="F3620" t="s">
        <v>949</v>
      </c>
      <c r="G3620">
        <v>2</v>
      </c>
      <c r="H3620">
        <v>118</v>
      </c>
      <c r="I3620" s="25">
        <v>2935</v>
      </c>
      <c r="K3620" t="s">
        <v>415</v>
      </c>
      <c r="M3620" t="s">
        <v>52</v>
      </c>
      <c r="N3620" t="s">
        <v>44</v>
      </c>
      <c r="O3620">
        <v>230</v>
      </c>
      <c r="Q3620">
        <v>3</v>
      </c>
      <c r="R3620">
        <v>1</v>
      </c>
      <c r="S3620">
        <v>0</v>
      </c>
      <c r="T3620">
        <v>0</v>
      </c>
      <c r="U3620">
        <v>0</v>
      </c>
      <c r="V3620">
        <v>0</v>
      </c>
      <c r="W3620">
        <v>3</v>
      </c>
      <c r="X3620" s="21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288</v>
      </c>
      <c r="AJ3620" t="s">
        <v>51</v>
      </c>
      <c r="AK3620" t="s">
        <v>95</v>
      </c>
      <c r="AL3620" t="s">
        <v>1181</v>
      </c>
      <c r="AP3620" t="s">
        <v>951</v>
      </c>
    </row>
    <row r="3621" spans="1:42">
      <c r="A3621" s="16">
        <v>43808</v>
      </c>
      <c r="B3621">
        <v>1</v>
      </c>
      <c r="C3621">
        <v>988</v>
      </c>
      <c r="D3621">
        <v>14629</v>
      </c>
      <c r="E3621" t="s">
        <v>112</v>
      </c>
      <c r="F3621" t="s">
        <v>949</v>
      </c>
      <c r="G3621">
        <v>2</v>
      </c>
      <c r="H3621">
        <v>119</v>
      </c>
      <c r="I3621" s="25">
        <v>3150</v>
      </c>
      <c r="K3621" t="s">
        <v>631</v>
      </c>
      <c r="M3621" t="s">
        <v>52</v>
      </c>
      <c r="N3621" t="s">
        <v>44</v>
      </c>
      <c r="O3621">
        <v>165</v>
      </c>
      <c r="Q3621">
        <v>1</v>
      </c>
      <c r="R3621">
        <v>1</v>
      </c>
      <c r="S3621">
        <v>0</v>
      </c>
      <c r="T3621">
        <v>0</v>
      </c>
      <c r="U3621">
        <v>0</v>
      </c>
      <c r="V3621">
        <v>0</v>
      </c>
      <c r="W3621">
        <v>1</v>
      </c>
      <c r="X3621" s="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96</v>
      </c>
      <c r="AJ3621" t="s">
        <v>51</v>
      </c>
      <c r="AK3621" t="s">
        <v>95</v>
      </c>
      <c r="AL3621" t="s">
        <v>1182</v>
      </c>
      <c r="AP3621" t="s">
        <v>951</v>
      </c>
    </row>
    <row r="3622" spans="1:42">
      <c r="A3622" s="16">
        <v>43808</v>
      </c>
      <c r="B3622">
        <v>1</v>
      </c>
      <c r="C3622">
        <v>988</v>
      </c>
      <c r="D3622">
        <v>14629</v>
      </c>
      <c r="E3622" t="s">
        <v>112</v>
      </c>
      <c r="F3622" t="s">
        <v>949</v>
      </c>
      <c r="G3622">
        <v>2</v>
      </c>
      <c r="H3622">
        <v>120</v>
      </c>
      <c r="I3622" s="25">
        <v>3147</v>
      </c>
      <c r="K3622" t="s">
        <v>631</v>
      </c>
      <c r="M3622" t="s">
        <v>52</v>
      </c>
      <c r="N3622" t="s">
        <v>44</v>
      </c>
      <c r="O3622">
        <v>71</v>
      </c>
      <c r="Q3622">
        <v>1</v>
      </c>
      <c r="R3622">
        <v>1</v>
      </c>
      <c r="S3622">
        <v>0</v>
      </c>
      <c r="T3622">
        <v>0</v>
      </c>
      <c r="U3622">
        <v>0</v>
      </c>
      <c r="V3622">
        <v>0</v>
      </c>
      <c r="W3622">
        <v>1</v>
      </c>
      <c r="X3622" s="21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96</v>
      </c>
      <c r="AJ3622" t="s">
        <v>51</v>
      </c>
      <c r="AK3622" t="s">
        <v>95</v>
      </c>
      <c r="AP3622" t="s">
        <v>951</v>
      </c>
    </row>
    <row r="3623" spans="1:42">
      <c r="A3623" s="16">
        <v>43808</v>
      </c>
      <c r="B3623">
        <v>1</v>
      </c>
      <c r="C3623">
        <v>988</v>
      </c>
      <c r="D3623">
        <v>14629</v>
      </c>
      <c r="E3623" t="s">
        <v>112</v>
      </c>
      <c r="F3623" t="s">
        <v>949</v>
      </c>
      <c r="G3623">
        <v>2</v>
      </c>
      <c r="H3623">
        <v>121</v>
      </c>
      <c r="I3623" s="25">
        <v>3141</v>
      </c>
      <c r="K3623" t="s">
        <v>631</v>
      </c>
      <c r="M3623" t="s">
        <v>52</v>
      </c>
      <c r="N3623" t="s">
        <v>44</v>
      </c>
      <c r="O3623">
        <v>63</v>
      </c>
      <c r="Q3623">
        <v>1</v>
      </c>
      <c r="R3623">
        <v>1</v>
      </c>
      <c r="S3623">
        <v>0</v>
      </c>
      <c r="T3623">
        <v>0</v>
      </c>
      <c r="U3623">
        <v>0</v>
      </c>
      <c r="V3623">
        <v>0</v>
      </c>
      <c r="W3623">
        <v>1</v>
      </c>
      <c r="X3623" s="21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96</v>
      </c>
      <c r="AJ3623" t="s">
        <v>51</v>
      </c>
      <c r="AK3623" t="s">
        <v>95</v>
      </c>
      <c r="AP3623" t="s">
        <v>951</v>
      </c>
    </row>
    <row r="3624" spans="1:42">
      <c r="A3624" s="16">
        <v>43808</v>
      </c>
      <c r="B3624">
        <v>1</v>
      </c>
      <c r="C3624">
        <v>988</v>
      </c>
      <c r="D3624">
        <v>14629</v>
      </c>
      <c r="E3624" t="s">
        <v>112</v>
      </c>
      <c r="F3624" t="s">
        <v>949</v>
      </c>
      <c r="G3624">
        <v>2</v>
      </c>
      <c r="H3624">
        <v>122</v>
      </c>
      <c r="I3624" s="25">
        <v>3033</v>
      </c>
      <c r="K3624" t="s">
        <v>631</v>
      </c>
      <c r="M3624" t="s">
        <v>52</v>
      </c>
      <c r="N3624" t="s">
        <v>44</v>
      </c>
      <c r="O3624">
        <v>65</v>
      </c>
      <c r="Q3624">
        <v>1</v>
      </c>
      <c r="R3624">
        <v>1</v>
      </c>
      <c r="S3624">
        <v>0</v>
      </c>
      <c r="T3624">
        <v>0</v>
      </c>
      <c r="U3624">
        <v>0</v>
      </c>
      <c r="V3624">
        <v>0</v>
      </c>
      <c r="W3624">
        <v>1</v>
      </c>
      <c r="X3624" s="21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96</v>
      </c>
      <c r="AJ3624" t="s">
        <v>51</v>
      </c>
      <c r="AK3624" t="s">
        <v>95</v>
      </c>
      <c r="AP3624" t="s">
        <v>951</v>
      </c>
    </row>
    <row r="3625" spans="1:42">
      <c r="A3625" s="16">
        <v>43808</v>
      </c>
      <c r="B3625">
        <v>1</v>
      </c>
      <c r="C3625">
        <v>988</v>
      </c>
      <c r="D3625">
        <v>14629</v>
      </c>
      <c r="E3625" t="s">
        <v>112</v>
      </c>
      <c r="F3625" t="s">
        <v>949</v>
      </c>
      <c r="G3625">
        <v>2</v>
      </c>
      <c r="H3625">
        <v>123</v>
      </c>
      <c r="I3625" s="25">
        <v>1454</v>
      </c>
      <c r="K3625" t="s">
        <v>324</v>
      </c>
      <c r="M3625" t="s">
        <v>52</v>
      </c>
      <c r="N3625" t="s">
        <v>44</v>
      </c>
      <c r="O3625">
        <v>160</v>
      </c>
      <c r="Q3625">
        <v>3</v>
      </c>
      <c r="R3625">
        <v>1</v>
      </c>
      <c r="S3625">
        <v>0</v>
      </c>
      <c r="T3625">
        <v>0</v>
      </c>
      <c r="U3625">
        <v>0</v>
      </c>
      <c r="V3625">
        <v>0</v>
      </c>
      <c r="W3625">
        <v>3</v>
      </c>
      <c r="X3625" s="21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288</v>
      </c>
      <c r="AJ3625" t="s">
        <v>51</v>
      </c>
      <c r="AK3625" t="s">
        <v>95</v>
      </c>
      <c r="AP3625" t="s">
        <v>951</v>
      </c>
    </row>
    <row r="3626" spans="1:42">
      <c r="A3626" s="16">
        <v>43808</v>
      </c>
      <c r="B3626">
        <v>1</v>
      </c>
      <c r="C3626">
        <v>988</v>
      </c>
      <c r="D3626">
        <v>14629</v>
      </c>
      <c r="E3626" t="s">
        <v>112</v>
      </c>
      <c r="F3626" t="s">
        <v>949</v>
      </c>
      <c r="G3626">
        <v>2</v>
      </c>
      <c r="H3626">
        <v>124</v>
      </c>
      <c r="I3626" s="25">
        <v>1490</v>
      </c>
      <c r="K3626" t="s">
        <v>324</v>
      </c>
      <c r="M3626" t="s">
        <v>52</v>
      </c>
      <c r="N3626" t="s">
        <v>44</v>
      </c>
      <c r="O3626">
        <v>50</v>
      </c>
      <c r="Q3626">
        <v>1</v>
      </c>
      <c r="R3626">
        <v>1</v>
      </c>
      <c r="S3626">
        <v>0</v>
      </c>
      <c r="T3626">
        <v>0</v>
      </c>
      <c r="U3626">
        <v>0</v>
      </c>
      <c r="V3626">
        <v>0</v>
      </c>
      <c r="W3626">
        <v>1</v>
      </c>
      <c r="X3626" s="21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96</v>
      </c>
      <c r="AJ3626" t="s">
        <v>51</v>
      </c>
      <c r="AK3626" t="s">
        <v>95</v>
      </c>
      <c r="AP3626" t="s">
        <v>951</v>
      </c>
    </row>
    <row r="3627" spans="1:42">
      <c r="A3627" s="16">
        <v>43808</v>
      </c>
      <c r="B3627">
        <v>1</v>
      </c>
      <c r="C3627">
        <v>988</v>
      </c>
      <c r="D3627">
        <v>14629</v>
      </c>
      <c r="E3627" t="s">
        <v>112</v>
      </c>
      <c r="F3627" t="s">
        <v>949</v>
      </c>
      <c r="G3627">
        <v>2</v>
      </c>
      <c r="H3627">
        <v>125</v>
      </c>
      <c r="I3627" s="25">
        <v>3260</v>
      </c>
      <c r="K3627" t="s">
        <v>638</v>
      </c>
      <c r="M3627" t="s">
        <v>52</v>
      </c>
      <c r="N3627" t="s">
        <v>44</v>
      </c>
      <c r="O3627">
        <v>145</v>
      </c>
      <c r="Q3627">
        <v>3</v>
      </c>
      <c r="R3627">
        <v>1</v>
      </c>
      <c r="S3627">
        <v>0</v>
      </c>
      <c r="T3627">
        <v>0</v>
      </c>
      <c r="U3627">
        <v>0</v>
      </c>
      <c r="V3627">
        <v>0</v>
      </c>
      <c r="W3627">
        <v>3</v>
      </c>
      <c r="X3627" s="21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288</v>
      </c>
      <c r="AJ3627" t="s">
        <v>51</v>
      </c>
      <c r="AK3627" t="s">
        <v>95</v>
      </c>
      <c r="AP3627" t="s">
        <v>951</v>
      </c>
    </row>
    <row r="3628" spans="1:42">
      <c r="A3628" s="16">
        <v>43808</v>
      </c>
      <c r="B3628">
        <v>1</v>
      </c>
      <c r="C3628">
        <v>988</v>
      </c>
      <c r="D3628">
        <v>14629</v>
      </c>
      <c r="E3628" t="s">
        <v>112</v>
      </c>
      <c r="F3628" t="s">
        <v>949</v>
      </c>
      <c r="G3628">
        <v>2</v>
      </c>
      <c r="H3628">
        <v>126</v>
      </c>
      <c r="I3628" s="25">
        <v>1235</v>
      </c>
      <c r="K3628" t="s">
        <v>1122</v>
      </c>
      <c r="M3628" t="s">
        <v>52</v>
      </c>
      <c r="N3628" t="s">
        <v>44</v>
      </c>
      <c r="O3628">
        <v>161</v>
      </c>
      <c r="Q3628">
        <v>2</v>
      </c>
      <c r="R3628">
        <v>1</v>
      </c>
      <c r="S3628">
        <v>0</v>
      </c>
      <c r="T3628">
        <v>0</v>
      </c>
      <c r="U3628">
        <v>0</v>
      </c>
      <c r="V3628">
        <v>0</v>
      </c>
      <c r="W3628">
        <v>2</v>
      </c>
      <c r="X3628" s="21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192</v>
      </c>
      <c r="AJ3628" t="s">
        <v>51</v>
      </c>
      <c r="AK3628" t="s">
        <v>95</v>
      </c>
      <c r="AL3628" t="s">
        <v>1182</v>
      </c>
      <c r="AP3628" t="s">
        <v>951</v>
      </c>
    </row>
    <row r="3629" spans="1:42">
      <c r="A3629" s="16">
        <v>43808</v>
      </c>
      <c r="B3629">
        <v>1</v>
      </c>
      <c r="C3629">
        <v>988</v>
      </c>
      <c r="D3629">
        <v>14629</v>
      </c>
      <c r="E3629" t="s">
        <v>112</v>
      </c>
      <c r="F3629" t="s">
        <v>949</v>
      </c>
      <c r="G3629">
        <v>2</v>
      </c>
      <c r="H3629">
        <v>127</v>
      </c>
      <c r="I3629" s="25">
        <v>1225</v>
      </c>
      <c r="K3629" t="s">
        <v>1125</v>
      </c>
      <c r="M3629" t="s">
        <v>52</v>
      </c>
      <c r="N3629" t="s">
        <v>44</v>
      </c>
      <c r="O3629">
        <v>85</v>
      </c>
      <c r="Q3629">
        <v>1</v>
      </c>
      <c r="R3629">
        <v>1</v>
      </c>
      <c r="S3629">
        <v>0</v>
      </c>
      <c r="T3629">
        <v>0</v>
      </c>
      <c r="U3629">
        <v>0</v>
      </c>
      <c r="V3629">
        <v>0</v>
      </c>
      <c r="W3629">
        <v>1</v>
      </c>
      <c r="X3629" s="21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96</v>
      </c>
      <c r="AJ3629" t="s">
        <v>51</v>
      </c>
      <c r="AK3629" t="s">
        <v>95</v>
      </c>
      <c r="AP3629" t="s">
        <v>951</v>
      </c>
    </row>
    <row r="3630" spans="1:42">
      <c r="A3630" s="16">
        <v>43808</v>
      </c>
      <c r="B3630">
        <v>1</v>
      </c>
      <c r="C3630">
        <v>988</v>
      </c>
      <c r="D3630">
        <v>14629</v>
      </c>
      <c r="E3630" t="s">
        <v>112</v>
      </c>
      <c r="F3630" t="s">
        <v>949</v>
      </c>
      <c r="G3630">
        <v>2</v>
      </c>
      <c r="H3630">
        <v>128</v>
      </c>
      <c r="I3630" s="25">
        <v>1205</v>
      </c>
      <c r="K3630" t="s">
        <v>1122</v>
      </c>
      <c r="M3630" t="s">
        <v>52</v>
      </c>
      <c r="N3630" t="s">
        <v>44</v>
      </c>
      <c r="O3630">
        <v>193</v>
      </c>
      <c r="Q3630">
        <v>2</v>
      </c>
      <c r="R3630">
        <v>1</v>
      </c>
      <c r="S3630">
        <v>0</v>
      </c>
      <c r="T3630">
        <v>0</v>
      </c>
      <c r="U3630">
        <v>0</v>
      </c>
      <c r="V3630">
        <v>0</v>
      </c>
      <c r="W3630">
        <v>2</v>
      </c>
      <c r="X3630" s="21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192</v>
      </c>
      <c r="AJ3630" t="s">
        <v>51</v>
      </c>
      <c r="AK3630" t="s">
        <v>95</v>
      </c>
      <c r="AP3630" t="s">
        <v>951</v>
      </c>
    </row>
    <row r="3631" spans="1:42">
      <c r="A3631" s="16">
        <v>43808</v>
      </c>
      <c r="B3631">
        <v>1</v>
      </c>
      <c r="C3631">
        <v>988</v>
      </c>
      <c r="D3631">
        <v>14629</v>
      </c>
      <c r="E3631" t="s">
        <v>112</v>
      </c>
      <c r="F3631" t="s">
        <v>949</v>
      </c>
      <c r="G3631">
        <v>2</v>
      </c>
      <c r="H3631">
        <v>129</v>
      </c>
      <c r="I3631" s="25">
        <v>1165</v>
      </c>
      <c r="K3631" t="s">
        <v>1122</v>
      </c>
      <c r="M3631" t="s">
        <v>52</v>
      </c>
      <c r="N3631" t="s">
        <v>44</v>
      </c>
      <c r="O3631">
        <v>160</v>
      </c>
      <c r="Q3631">
        <v>2</v>
      </c>
      <c r="R3631">
        <v>1</v>
      </c>
      <c r="S3631">
        <v>0</v>
      </c>
      <c r="T3631">
        <v>0</v>
      </c>
      <c r="U3631">
        <v>0</v>
      </c>
      <c r="V3631">
        <v>0</v>
      </c>
      <c r="W3631">
        <v>2</v>
      </c>
      <c r="X3631" s="2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192</v>
      </c>
      <c r="AJ3631" t="s">
        <v>51</v>
      </c>
      <c r="AK3631" t="s">
        <v>95</v>
      </c>
      <c r="AL3631" t="s">
        <v>1183</v>
      </c>
      <c r="AP3631" t="s">
        <v>951</v>
      </c>
    </row>
    <row r="3632" spans="1:42">
      <c r="A3632" s="16">
        <v>43808</v>
      </c>
      <c r="B3632">
        <v>1</v>
      </c>
      <c r="C3632">
        <v>988</v>
      </c>
      <c r="D3632">
        <v>14629</v>
      </c>
      <c r="E3632" t="s">
        <v>112</v>
      </c>
      <c r="F3632" t="s">
        <v>949</v>
      </c>
      <c r="G3632">
        <v>2</v>
      </c>
      <c r="H3632">
        <v>130</v>
      </c>
      <c r="I3632" s="25">
        <v>1135</v>
      </c>
      <c r="K3632" t="s">
        <v>1122</v>
      </c>
      <c r="M3632" t="s">
        <v>52</v>
      </c>
      <c r="N3632" t="s">
        <v>44</v>
      </c>
      <c r="O3632">
        <v>117</v>
      </c>
      <c r="Q3632">
        <v>1</v>
      </c>
      <c r="R3632">
        <v>1</v>
      </c>
      <c r="S3632">
        <v>0</v>
      </c>
      <c r="T3632">
        <v>0</v>
      </c>
      <c r="U3632">
        <v>0</v>
      </c>
      <c r="V3632">
        <v>0</v>
      </c>
      <c r="W3632">
        <v>1</v>
      </c>
      <c r="X3632" s="21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96</v>
      </c>
      <c r="AJ3632" t="s">
        <v>51</v>
      </c>
      <c r="AK3632" t="s">
        <v>95</v>
      </c>
      <c r="AP3632" t="s">
        <v>951</v>
      </c>
    </row>
    <row r="3633" spans="1:42">
      <c r="A3633" s="16">
        <v>43808</v>
      </c>
      <c r="B3633">
        <v>1</v>
      </c>
      <c r="C3633">
        <v>988</v>
      </c>
      <c r="D3633">
        <v>14629</v>
      </c>
      <c r="E3633" t="s">
        <v>112</v>
      </c>
      <c r="F3633" t="s">
        <v>949</v>
      </c>
      <c r="G3633">
        <v>2</v>
      </c>
      <c r="H3633">
        <v>131</v>
      </c>
      <c r="I3633" s="25">
        <v>1111</v>
      </c>
      <c r="K3633" t="s">
        <v>1122</v>
      </c>
      <c r="M3633" t="s">
        <v>52</v>
      </c>
      <c r="N3633" t="s">
        <v>44</v>
      </c>
      <c r="O3633">
        <v>154</v>
      </c>
      <c r="Q3633">
        <v>3</v>
      </c>
      <c r="R3633">
        <v>1</v>
      </c>
      <c r="S3633">
        <v>0</v>
      </c>
      <c r="T3633">
        <v>0</v>
      </c>
      <c r="U3633">
        <v>0</v>
      </c>
      <c r="V3633">
        <v>0</v>
      </c>
      <c r="W3633">
        <v>3</v>
      </c>
      <c r="X3633" s="21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288</v>
      </c>
      <c r="AJ3633" t="s">
        <v>51</v>
      </c>
      <c r="AK3633" t="s">
        <v>95</v>
      </c>
      <c r="AP3633" t="s">
        <v>951</v>
      </c>
    </row>
    <row r="3634" spans="1:42">
      <c r="A3634" s="16">
        <v>43808</v>
      </c>
      <c r="B3634">
        <v>1</v>
      </c>
      <c r="C3634">
        <v>988</v>
      </c>
      <c r="D3634">
        <v>14629</v>
      </c>
      <c r="E3634" t="s">
        <v>112</v>
      </c>
      <c r="F3634" t="s">
        <v>949</v>
      </c>
      <c r="G3634">
        <v>2</v>
      </c>
      <c r="H3634">
        <v>132</v>
      </c>
      <c r="I3634" s="25">
        <v>3015</v>
      </c>
      <c r="K3634" t="s">
        <v>415</v>
      </c>
      <c r="M3634" t="s">
        <v>52</v>
      </c>
      <c r="N3634" t="s">
        <v>44</v>
      </c>
      <c r="O3634">
        <v>124</v>
      </c>
      <c r="Q3634">
        <v>2</v>
      </c>
      <c r="R3634">
        <v>1</v>
      </c>
      <c r="S3634">
        <v>0</v>
      </c>
      <c r="T3634">
        <v>0</v>
      </c>
      <c r="U3634">
        <v>0</v>
      </c>
      <c r="V3634">
        <v>0</v>
      </c>
      <c r="W3634">
        <v>2</v>
      </c>
      <c r="X3634" s="21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192</v>
      </c>
      <c r="AJ3634" t="s">
        <v>51</v>
      </c>
      <c r="AK3634" t="s">
        <v>52</v>
      </c>
      <c r="AP3634" t="s">
        <v>951</v>
      </c>
    </row>
    <row r="3635" spans="1:42">
      <c r="A3635" s="16">
        <v>43808</v>
      </c>
      <c r="B3635">
        <v>1</v>
      </c>
      <c r="C3635">
        <v>988</v>
      </c>
      <c r="D3635">
        <v>14629</v>
      </c>
      <c r="E3635" t="s">
        <v>112</v>
      </c>
      <c r="F3635" t="s">
        <v>949</v>
      </c>
      <c r="G3635">
        <v>2</v>
      </c>
      <c r="H3635">
        <v>133</v>
      </c>
      <c r="I3635" s="25">
        <v>3025</v>
      </c>
      <c r="K3635" t="s">
        <v>415</v>
      </c>
      <c r="M3635" t="s">
        <v>52</v>
      </c>
      <c r="N3635" t="s">
        <v>44</v>
      </c>
      <c r="O3635">
        <v>121</v>
      </c>
      <c r="Q3635">
        <v>2</v>
      </c>
      <c r="R3635">
        <v>1</v>
      </c>
      <c r="S3635">
        <v>0</v>
      </c>
      <c r="T3635">
        <v>0</v>
      </c>
      <c r="U3635">
        <v>0</v>
      </c>
      <c r="V3635">
        <v>0</v>
      </c>
      <c r="W3635">
        <v>2</v>
      </c>
      <c r="X3635" s="21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192</v>
      </c>
      <c r="AJ3635" t="s">
        <v>51</v>
      </c>
      <c r="AK3635" t="s">
        <v>52</v>
      </c>
      <c r="AL3635" t="s">
        <v>1184</v>
      </c>
      <c r="AP3635" t="s">
        <v>951</v>
      </c>
    </row>
    <row r="3636" spans="1:42">
      <c r="A3636" s="16">
        <v>43826</v>
      </c>
      <c r="B3636">
        <v>5</v>
      </c>
      <c r="C3636">
        <v>988</v>
      </c>
      <c r="D3636">
        <v>14629</v>
      </c>
      <c r="E3636" t="s">
        <v>112</v>
      </c>
      <c r="F3636" t="s">
        <v>949</v>
      </c>
      <c r="G3636">
        <v>2</v>
      </c>
      <c r="H3636">
        <v>1</v>
      </c>
      <c r="I3636" s="25">
        <v>1700</v>
      </c>
      <c r="K3636" t="s">
        <v>185</v>
      </c>
      <c r="M3636" t="s">
        <v>52</v>
      </c>
      <c r="N3636" t="s">
        <v>44</v>
      </c>
      <c r="O3636">
        <v>114</v>
      </c>
      <c r="Q3636">
        <v>2</v>
      </c>
      <c r="R3636">
        <v>1</v>
      </c>
      <c r="S3636">
        <v>0</v>
      </c>
      <c r="T3636">
        <v>0</v>
      </c>
      <c r="U3636">
        <v>0</v>
      </c>
      <c r="V3636">
        <v>0</v>
      </c>
      <c r="W3636">
        <v>2</v>
      </c>
      <c r="X3636" s="21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192</v>
      </c>
      <c r="AJ3636" t="s">
        <v>54</v>
      </c>
      <c r="AK3636" t="s">
        <v>52</v>
      </c>
      <c r="AL3636" t="s">
        <v>1185</v>
      </c>
      <c r="AP3636" t="s">
        <v>951</v>
      </c>
    </row>
    <row r="3637" spans="1:42">
      <c r="A3637" s="16">
        <v>43826</v>
      </c>
      <c r="B3637">
        <v>5</v>
      </c>
      <c r="C3637">
        <v>988</v>
      </c>
      <c r="D3637">
        <v>14629</v>
      </c>
      <c r="E3637" t="s">
        <v>112</v>
      </c>
      <c r="F3637" t="s">
        <v>949</v>
      </c>
      <c r="G3637">
        <v>2</v>
      </c>
      <c r="H3637">
        <v>2</v>
      </c>
      <c r="I3637" s="25">
        <v>2341</v>
      </c>
      <c r="K3637" t="s">
        <v>631</v>
      </c>
      <c r="M3637" t="s">
        <v>52</v>
      </c>
      <c r="N3637" t="s">
        <v>44</v>
      </c>
      <c r="O3637">
        <v>205</v>
      </c>
      <c r="Q3637">
        <v>3</v>
      </c>
      <c r="R3637">
        <v>1</v>
      </c>
      <c r="S3637">
        <v>0</v>
      </c>
      <c r="T3637">
        <v>0</v>
      </c>
      <c r="U3637">
        <v>0</v>
      </c>
      <c r="V3637">
        <v>1</v>
      </c>
      <c r="W3637">
        <v>2</v>
      </c>
      <c r="X3637" s="21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256</v>
      </c>
      <c r="AJ3637" t="s">
        <v>54</v>
      </c>
      <c r="AK3637" t="s">
        <v>95</v>
      </c>
      <c r="AL3637" t="s">
        <v>1186</v>
      </c>
      <c r="AP3637" t="s">
        <v>951</v>
      </c>
    </row>
    <row r="3638" spans="1:42">
      <c r="A3638" s="16">
        <v>43826</v>
      </c>
      <c r="B3638">
        <v>5</v>
      </c>
      <c r="C3638">
        <v>988</v>
      </c>
      <c r="D3638">
        <v>14629</v>
      </c>
      <c r="E3638" t="s">
        <v>112</v>
      </c>
      <c r="F3638" t="s">
        <v>949</v>
      </c>
      <c r="G3638">
        <v>2</v>
      </c>
      <c r="H3638">
        <v>3</v>
      </c>
      <c r="I3638" s="25">
        <v>2420</v>
      </c>
      <c r="K3638" t="s">
        <v>631</v>
      </c>
      <c r="M3638" t="s">
        <v>52</v>
      </c>
      <c r="N3638" t="s">
        <v>44</v>
      </c>
      <c r="O3638">
        <v>96</v>
      </c>
      <c r="Q3638">
        <v>2</v>
      </c>
      <c r="R3638">
        <v>1</v>
      </c>
      <c r="S3638">
        <v>0</v>
      </c>
      <c r="T3638">
        <v>0</v>
      </c>
      <c r="U3638">
        <v>0</v>
      </c>
      <c r="V3638">
        <v>0</v>
      </c>
      <c r="W3638">
        <v>2</v>
      </c>
      <c r="X3638" s="21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192</v>
      </c>
      <c r="AJ3638" t="s">
        <v>54</v>
      </c>
      <c r="AK3638" t="s">
        <v>95</v>
      </c>
      <c r="AL3638" t="s">
        <v>1187</v>
      </c>
      <c r="AP3638" t="s">
        <v>951</v>
      </c>
    </row>
    <row r="3639" spans="1:42">
      <c r="A3639" s="16">
        <v>43826</v>
      </c>
      <c r="B3639">
        <v>5</v>
      </c>
      <c r="C3639">
        <v>988</v>
      </c>
      <c r="D3639">
        <v>14629</v>
      </c>
      <c r="E3639" t="s">
        <v>112</v>
      </c>
      <c r="F3639" t="s">
        <v>949</v>
      </c>
      <c r="G3639">
        <v>2</v>
      </c>
      <c r="H3639">
        <v>4</v>
      </c>
      <c r="I3639" s="25">
        <v>2425</v>
      </c>
      <c r="K3639" t="s">
        <v>631</v>
      </c>
      <c r="M3639" t="s">
        <v>95</v>
      </c>
      <c r="N3639" t="s">
        <v>44</v>
      </c>
      <c r="O3639">
        <v>70</v>
      </c>
      <c r="Q3639">
        <v>1</v>
      </c>
      <c r="R3639">
        <v>1</v>
      </c>
      <c r="S3639">
        <v>0</v>
      </c>
      <c r="T3639">
        <v>0</v>
      </c>
      <c r="U3639">
        <v>1</v>
      </c>
      <c r="V3639">
        <v>0</v>
      </c>
      <c r="W3639">
        <v>0</v>
      </c>
      <c r="X3639" s="21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32</v>
      </c>
      <c r="AJ3639" t="s">
        <v>54</v>
      </c>
      <c r="AK3639" t="s">
        <v>95</v>
      </c>
      <c r="AL3639" t="s">
        <v>1188</v>
      </c>
      <c r="AP3639" t="s">
        <v>951</v>
      </c>
    </row>
    <row r="3640" spans="1:42">
      <c r="A3640" s="16">
        <v>43826</v>
      </c>
      <c r="B3640">
        <v>5</v>
      </c>
      <c r="C3640">
        <v>988</v>
      </c>
      <c r="D3640">
        <v>14629</v>
      </c>
      <c r="E3640" t="s">
        <v>112</v>
      </c>
      <c r="F3640" t="s">
        <v>949</v>
      </c>
      <c r="G3640">
        <v>2</v>
      </c>
      <c r="H3640">
        <v>5</v>
      </c>
      <c r="I3640" s="25">
        <v>1600</v>
      </c>
      <c r="K3640" t="s">
        <v>156</v>
      </c>
      <c r="L3640" t="s">
        <v>1189</v>
      </c>
      <c r="M3640" t="s">
        <v>52</v>
      </c>
      <c r="N3640" t="s">
        <v>40</v>
      </c>
      <c r="O3640">
        <v>24</v>
      </c>
      <c r="Q3640">
        <v>1</v>
      </c>
      <c r="R3640">
        <v>1</v>
      </c>
      <c r="S3640">
        <v>0</v>
      </c>
      <c r="T3640">
        <v>0</v>
      </c>
      <c r="U3640">
        <v>0</v>
      </c>
      <c r="V3640">
        <v>0</v>
      </c>
      <c r="W3640">
        <v>1</v>
      </c>
      <c r="X3640" s="21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96</v>
      </c>
      <c r="AJ3640" t="s">
        <v>51</v>
      </c>
      <c r="AK3640" t="s">
        <v>95</v>
      </c>
      <c r="AP3640" t="s">
        <v>951</v>
      </c>
    </row>
    <row r="3641" spans="1:42">
      <c r="A3641" s="16">
        <v>43826</v>
      </c>
      <c r="B3641">
        <v>5</v>
      </c>
      <c r="C3641">
        <v>988</v>
      </c>
      <c r="D3641">
        <v>14629</v>
      </c>
      <c r="E3641" t="s">
        <v>112</v>
      </c>
      <c r="F3641" t="s">
        <v>949</v>
      </c>
      <c r="G3641">
        <v>2</v>
      </c>
      <c r="H3641">
        <v>6</v>
      </c>
      <c r="I3641" s="25">
        <v>1670</v>
      </c>
      <c r="K3641" t="s">
        <v>156</v>
      </c>
      <c r="M3641" t="s">
        <v>52</v>
      </c>
      <c r="N3641" t="s">
        <v>44</v>
      </c>
      <c r="O3641">
        <v>55</v>
      </c>
      <c r="Q3641">
        <v>1</v>
      </c>
      <c r="R3641">
        <v>1</v>
      </c>
      <c r="S3641">
        <v>0</v>
      </c>
      <c r="T3641">
        <v>0</v>
      </c>
      <c r="U3641">
        <v>0</v>
      </c>
      <c r="V3641">
        <v>0</v>
      </c>
      <c r="W3641">
        <v>1</v>
      </c>
      <c r="X3641" s="2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96</v>
      </c>
      <c r="AJ3641" t="s">
        <v>51</v>
      </c>
      <c r="AK3641" t="s">
        <v>95</v>
      </c>
      <c r="AP3641" t="s">
        <v>951</v>
      </c>
    </row>
    <row r="3642" spans="1:42">
      <c r="A3642" s="16">
        <v>43826</v>
      </c>
      <c r="B3642">
        <v>5</v>
      </c>
      <c r="C3642">
        <v>988</v>
      </c>
      <c r="D3642">
        <v>14629</v>
      </c>
      <c r="E3642" t="s">
        <v>112</v>
      </c>
      <c r="F3642" t="s">
        <v>949</v>
      </c>
      <c r="G3642">
        <v>2</v>
      </c>
      <c r="H3642">
        <v>7</v>
      </c>
      <c r="I3642" s="25">
        <v>1685</v>
      </c>
      <c r="K3642" t="s">
        <v>156</v>
      </c>
      <c r="M3642" t="s">
        <v>95</v>
      </c>
      <c r="N3642" t="s">
        <v>44</v>
      </c>
      <c r="O3642">
        <v>94</v>
      </c>
      <c r="Q3642">
        <v>1</v>
      </c>
      <c r="R3642">
        <v>1</v>
      </c>
      <c r="S3642">
        <v>0</v>
      </c>
      <c r="T3642">
        <v>0</v>
      </c>
      <c r="U3642">
        <v>0</v>
      </c>
      <c r="V3642">
        <v>1</v>
      </c>
      <c r="W3642">
        <v>0</v>
      </c>
      <c r="X3642" s="21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64</v>
      </c>
      <c r="AJ3642" t="s">
        <v>51</v>
      </c>
      <c r="AK3642" t="s">
        <v>95</v>
      </c>
      <c r="AL3642" t="s">
        <v>1190</v>
      </c>
      <c r="AP3642" t="s">
        <v>951</v>
      </c>
    </row>
    <row r="3643" spans="1:42">
      <c r="A3643" s="16">
        <v>43826</v>
      </c>
      <c r="B3643">
        <v>5</v>
      </c>
      <c r="C3643">
        <v>988</v>
      </c>
      <c r="D3643">
        <v>14629</v>
      </c>
      <c r="E3643" t="s">
        <v>112</v>
      </c>
      <c r="F3643" t="s">
        <v>949</v>
      </c>
      <c r="G3643">
        <v>2</v>
      </c>
      <c r="H3643">
        <v>8</v>
      </c>
      <c r="I3643" s="25">
        <v>1700</v>
      </c>
      <c r="K3643" t="s">
        <v>156</v>
      </c>
      <c r="L3643" t="s">
        <v>114</v>
      </c>
      <c r="M3643" t="s">
        <v>52</v>
      </c>
      <c r="N3643" t="s">
        <v>40</v>
      </c>
      <c r="O3643">
        <v>92</v>
      </c>
      <c r="Q3643">
        <v>2</v>
      </c>
      <c r="R3643">
        <v>1</v>
      </c>
      <c r="S3643">
        <v>0</v>
      </c>
      <c r="T3643">
        <v>0</v>
      </c>
      <c r="U3643">
        <v>0</v>
      </c>
      <c r="V3643">
        <v>1</v>
      </c>
      <c r="W3643">
        <v>1</v>
      </c>
      <c r="X3643" s="21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160</v>
      </c>
      <c r="AJ3643" t="s">
        <v>51</v>
      </c>
      <c r="AK3643" t="s">
        <v>95</v>
      </c>
      <c r="AL3643" t="s">
        <v>1191</v>
      </c>
      <c r="AP3643" t="s">
        <v>951</v>
      </c>
    </row>
    <row r="3644" spans="1:42">
      <c r="A3644" s="16">
        <v>43826</v>
      </c>
      <c r="B3644">
        <v>5</v>
      </c>
      <c r="C3644">
        <v>988</v>
      </c>
      <c r="D3644">
        <v>14629</v>
      </c>
      <c r="E3644" t="s">
        <v>112</v>
      </c>
      <c r="F3644" t="s">
        <v>949</v>
      </c>
      <c r="G3644">
        <v>2</v>
      </c>
      <c r="H3644">
        <v>9</v>
      </c>
      <c r="I3644" s="25">
        <v>1760</v>
      </c>
      <c r="K3644" t="s">
        <v>156</v>
      </c>
      <c r="M3644" t="s">
        <v>52</v>
      </c>
      <c r="N3644" t="s">
        <v>44</v>
      </c>
      <c r="O3644">
        <v>86</v>
      </c>
      <c r="Q3644">
        <v>1</v>
      </c>
      <c r="R3644">
        <v>1</v>
      </c>
      <c r="S3644">
        <v>0</v>
      </c>
      <c r="T3644">
        <v>0</v>
      </c>
      <c r="U3644">
        <v>0</v>
      </c>
      <c r="V3644">
        <v>1</v>
      </c>
      <c r="W3644">
        <v>0</v>
      </c>
      <c r="X3644" s="21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96</v>
      </c>
      <c r="AJ3644" t="s">
        <v>51</v>
      </c>
      <c r="AK3644" t="s">
        <v>95</v>
      </c>
      <c r="AL3644" t="s">
        <v>1192</v>
      </c>
      <c r="AP3644" t="s">
        <v>951</v>
      </c>
    </row>
    <row r="3645" spans="1:42">
      <c r="A3645" s="16">
        <v>43826</v>
      </c>
      <c r="B3645">
        <v>5</v>
      </c>
      <c r="C3645">
        <v>988</v>
      </c>
      <c r="D3645">
        <v>14629</v>
      </c>
      <c r="E3645" t="s">
        <v>112</v>
      </c>
      <c r="F3645" t="s">
        <v>949</v>
      </c>
      <c r="G3645">
        <v>2</v>
      </c>
      <c r="H3645">
        <v>10</v>
      </c>
      <c r="I3645" s="25">
        <v>1770</v>
      </c>
      <c r="K3645" t="s">
        <v>156</v>
      </c>
      <c r="M3645" t="s">
        <v>52</v>
      </c>
      <c r="N3645" t="s">
        <v>44</v>
      </c>
      <c r="O3645">
        <v>71</v>
      </c>
      <c r="Q3645">
        <v>1</v>
      </c>
      <c r="R3645">
        <v>1</v>
      </c>
      <c r="S3645">
        <v>0</v>
      </c>
      <c r="T3645">
        <v>0</v>
      </c>
      <c r="U3645">
        <v>0</v>
      </c>
      <c r="V3645">
        <v>0</v>
      </c>
      <c r="W3645">
        <v>1</v>
      </c>
      <c r="X3645" s="21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96</v>
      </c>
      <c r="AJ3645" t="s">
        <v>51</v>
      </c>
      <c r="AK3645" t="s">
        <v>95</v>
      </c>
      <c r="AL3645" t="s">
        <v>1193</v>
      </c>
      <c r="AP3645" t="s">
        <v>951</v>
      </c>
    </row>
    <row r="3646" spans="1:42">
      <c r="A3646" s="16">
        <v>43826</v>
      </c>
      <c r="B3646">
        <v>5</v>
      </c>
      <c r="C3646">
        <v>988</v>
      </c>
      <c r="D3646">
        <v>14629</v>
      </c>
      <c r="E3646" t="s">
        <v>112</v>
      </c>
      <c r="F3646" t="s">
        <v>949</v>
      </c>
      <c r="G3646">
        <v>2</v>
      </c>
      <c r="H3646">
        <v>11</v>
      </c>
      <c r="I3646" s="25">
        <v>1700</v>
      </c>
      <c r="K3646" t="s">
        <v>156</v>
      </c>
      <c r="L3646" t="s">
        <v>141</v>
      </c>
      <c r="M3646" t="s">
        <v>95</v>
      </c>
      <c r="N3646" t="s">
        <v>40</v>
      </c>
      <c r="O3646">
        <v>61</v>
      </c>
      <c r="Q3646">
        <v>2</v>
      </c>
      <c r="R3646">
        <v>1</v>
      </c>
      <c r="S3646">
        <v>0</v>
      </c>
      <c r="T3646">
        <v>0</v>
      </c>
      <c r="U3646">
        <v>1</v>
      </c>
      <c r="V3646">
        <v>0</v>
      </c>
      <c r="W3646">
        <v>1</v>
      </c>
      <c r="X3646" s="21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128</v>
      </c>
      <c r="AJ3646" t="s">
        <v>51</v>
      </c>
      <c r="AK3646" t="s">
        <v>95</v>
      </c>
      <c r="AL3646" t="s">
        <v>1191</v>
      </c>
      <c r="AP3646" t="s">
        <v>951</v>
      </c>
    </row>
    <row r="3647" spans="1:42">
      <c r="A3647" s="16">
        <v>43826</v>
      </c>
      <c r="B3647">
        <v>5</v>
      </c>
      <c r="C3647">
        <v>988</v>
      </c>
      <c r="D3647">
        <v>14629</v>
      </c>
      <c r="E3647" t="s">
        <v>112</v>
      </c>
      <c r="F3647" t="s">
        <v>949</v>
      </c>
      <c r="G3647">
        <v>2</v>
      </c>
      <c r="H3647">
        <v>12</v>
      </c>
      <c r="I3647" s="25">
        <v>2567</v>
      </c>
      <c r="K3647" t="s">
        <v>638</v>
      </c>
      <c r="L3647" t="s">
        <v>141</v>
      </c>
      <c r="M3647" t="s">
        <v>52</v>
      </c>
      <c r="N3647" t="s">
        <v>40</v>
      </c>
      <c r="O3647">
        <v>44</v>
      </c>
      <c r="Q3647">
        <v>2</v>
      </c>
      <c r="R3647">
        <v>1</v>
      </c>
      <c r="S3647">
        <v>0</v>
      </c>
      <c r="T3647">
        <v>0</v>
      </c>
      <c r="U3647">
        <v>0</v>
      </c>
      <c r="V3647">
        <v>0</v>
      </c>
      <c r="W3647">
        <v>2</v>
      </c>
      <c r="X3647" s="21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192</v>
      </c>
      <c r="AJ3647" t="s">
        <v>51</v>
      </c>
      <c r="AK3647" t="s">
        <v>95</v>
      </c>
      <c r="AP3647" t="s">
        <v>951</v>
      </c>
    </row>
    <row r="3648" spans="1:42">
      <c r="A3648" s="16">
        <v>43826</v>
      </c>
      <c r="B3648">
        <v>5</v>
      </c>
      <c r="C3648">
        <v>988</v>
      </c>
      <c r="D3648">
        <v>14629</v>
      </c>
      <c r="E3648" t="s">
        <v>112</v>
      </c>
      <c r="F3648" t="s">
        <v>949</v>
      </c>
      <c r="G3648">
        <v>2</v>
      </c>
      <c r="H3648">
        <v>13</v>
      </c>
      <c r="I3648" s="25">
        <v>2614</v>
      </c>
      <c r="K3648" t="s">
        <v>638</v>
      </c>
      <c r="L3648" t="s">
        <v>114</v>
      </c>
      <c r="M3648" t="s">
        <v>52</v>
      </c>
      <c r="N3648" t="s">
        <v>42</v>
      </c>
      <c r="O3648">
        <v>110</v>
      </c>
      <c r="Q3648">
        <v>2</v>
      </c>
      <c r="R3648">
        <v>1</v>
      </c>
      <c r="S3648">
        <v>0</v>
      </c>
      <c r="T3648">
        <v>0</v>
      </c>
      <c r="U3648">
        <v>0</v>
      </c>
      <c r="V3648">
        <v>1</v>
      </c>
      <c r="W3648">
        <v>1</v>
      </c>
      <c r="X3648" s="21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160</v>
      </c>
      <c r="AJ3648" t="s">
        <v>54</v>
      </c>
      <c r="AK3648" t="s">
        <v>95</v>
      </c>
      <c r="AL3648" t="s">
        <v>1194</v>
      </c>
      <c r="AP3648" t="s">
        <v>951</v>
      </c>
    </row>
    <row r="3649" spans="1:42">
      <c r="A3649" s="16">
        <v>43826</v>
      </c>
      <c r="B3649">
        <v>5</v>
      </c>
      <c r="C3649">
        <v>988</v>
      </c>
      <c r="D3649">
        <v>14629</v>
      </c>
      <c r="E3649" t="s">
        <v>112</v>
      </c>
      <c r="F3649" t="s">
        <v>949</v>
      </c>
      <c r="G3649">
        <v>2</v>
      </c>
      <c r="H3649">
        <v>14</v>
      </c>
      <c r="I3649" s="25">
        <v>2600</v>
      </c>
      <c r="K3649" t="s">
        <v>638</v>
      </c>
      <c r="L3649" t="s">
        <v>114</v>
      </c>
      <c r="M3649" t="s">
        <v>52</v>
      </c>
      <c r="N3649" t="s">
        <v>40</v>
      </c>
      <c r="O3649">
        <v>47</v>
      </c>
      <c r="Q3649">
        <v>1</v>
      </c>
      <c r="R3649">
        <v>1</v>
      </c>
      <c r="S3649">
        <v>0</v>
      </c>
      <c r="T3649">
        <v>0</v>
      </c>
      <c r="U3649">
        <v>0</v>
      </c>
      <c r="V3649">
        <v>0</v>
      </c>
      <c r="W3649">
        <v>1</v>
      </c>
      <c r="X3649" s="21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96</v>
      </c>
      <c r="AJ3649" t="s">
        <v>51</v>
      </c>
      <c r="AK3649" t="s">
        <v>95</v>
      </c>
      <c r="AP3649" t="s">
        <v>951</v>
      </c>
    </row>
    <row r="3650" spans="1:42">
      <c r="A3650" s="16">
        <v>43826</v>
      </c>
      <c r="B3650">
        <v>5</v>
      </c>
      <c r="C3650">
        <v>988</v>
      </c>
      <c r="D3650">
        <v>14629</v>
      </c>
      <c r="E3650" t="s">
        <v>112</v>
      </c>
      <c r="F3650" t="s">
        <v>949</v>
      </c>
      <c r="G3650">
        <v>2</v>
      </c>
      <c r="H3650">
        <v>15</v>
      </c>
      <c r="I3650" s="25">
        <v>1671</v>
      </c>
      <c r="K3650" t="s">
        <v>210</v>
      </c>
      <c r="M3650" t="s">
        <v>52</v>
      </c>
      <c r="N3650" t="s">
        <v>44</v>
      </c>
      <c r="O3650">
        <v>128</v>
      </c>
      <c r="Q3650">
        <v>2</v>
      </c>
      <c r="R3650">
        <v>1</v>
      </c>
      <c r="S3650">
        <v>0</v>
      </c>
      <c r="T3650">
        <v>0</v>
      </c>
      <c r="U3650">
        <v>0</v>
      </c>
      <c r="V3650">
        <v>0</v>
      </c>
      <c r="W3650">
        <v>2</v>
      </c>
      <c r="X3650" s="21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2</v>
      </c>
      <c r="AH3650">
        <v>192</v>
      </c>
      <c r="AJ3650" t="s">
        <v>51</v>
      </c>
      <c r="AK3650" t="s">
        <v>52</v>
      </c>
      <c r="AL3650" t="s">
        <v>1179</v>
      </c>
      <c r="AP3650" t="s">
        <v>951</v>
      </c>
    </row>
    <row r="3651" spans="1:42">
      <c r="A3651" s="16">
        <v>43826</v>
      </c>
      <c r="B3651">
        <v>5</v>
      </c>
      <c r="C3651">
        <v>988</v>
      </c>
      <c r="D3651">
        <v>14629</v>
      </c>
      <c r="E3651" t="s">
        <v>112</v>
      </c>
      <c r="F3651" t="s">
        <v>949</v>
      </c>
      <c r="G3651">
        <v>2</v>
      </c>
      <c r="H3651">
        <v>16</v>
      </c>
      <c r="I3651" s="25">
        <v>1601</v>
      </c>
      <c r="K3651" t="s">
        <v>210</v>
      </c>
      <c r="M3651" t="s">
        <v>52</v>
      </c>
      <c r="N3651" t="s">
        <v>44</v>
      </c>
      <c r="O3651">
        <v>55</v>
      </c>
      <c r="Q3651">
        <v>1</v>
      </c>
      <c r="R3651">
        <v>1</v>
      </c>
      <c r="S3651">
        <v>0</v>
      </c>
      <c r="T3651">
        <v>0</v>
      </c>
      <c r="U3651">
        <v>0</v>
      </c>
      <c r="V3651">
        <v>0</v>
      </c>
      <c r="W3651">
        <v>1</v>
      </c>
      <c r="X3651" s="2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96</v>
      </c>
      <c r="AJ3651" t="s">
        <v>51</v>
      </c>
      <c r="AK3651" t="s">
        <v>52</v>
      </c>
      <c r="AL3651" t="s">
        <v>1195</v>
      </c>
      <c r="AP3651" t="s">
        <v>951</v>
      </c>
    </row>
    <row r="3652" spans="1:42">
      <c r="A3652" s="16">
        <v>43826</v>
      </c>
      <c r="B3652">
        <v>5</v>
      </c>
      <c r="C3652">
        <v>988</v>
      </c>
      <c r="D3652">
        <v>14629</v>
      </c>
      <c r="E3652" t="s">
        <v>112</v>
      </c>
      <c r="F3652" t="s">
        <v>949</v>
      </c>
      <c r="G3652">
        <v>2</v>
      </c>
      <c r="H3652">
        <v>17</v>
      </c>
      <c r="I3652" s="25">
        <v>2929</v>
      </c>
      <c r="K3652" t="s">
        <v>638</v>
      </c>
      <c r="M3652" t="s">
        <v>52</v>
      </c>
      <c r="N3652" t="s">
        <v>44</v>
      </c>
      <c r="O3652">
        <v>80</v>
      </c>
      <c r="Q3652">
        <v>1</v>
      </c>
      <c r="R3652">
        <v>1</v>
      </c>
      <c r="S3652">
        <v>0</v>
      </c>
      <c r="T3652">
        <v>0</v>
      </c>
      <c r="U3652">
        <v>0</v>
      </c>
      <c r="V3652">
        <v>0</v>
      </c>
      <c r="W3652">
        <v>1</v>
      </c>
      <c r="X3652" s="21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96</v>
      </c>
      <c r="AJ3652" t="s">
        <v>51</v>
      </c>
      <c r="AK3652" t="s">
        <v>95</v>
      </c>
      <c r="AL3652" t="s">
        <v>1195</v>
      </c>
      <c r="AP3652" t="s">
        <v>951</v>
      </c>
    </row>
    <row r="3653" spans="1:42">
      <c r="A3653" s="16">
        <v>43826</v>
      </c>
      <c r="B3653">
        <v>5</v>
      </c>
      <c r="C3653">
        <v>988</v>
      </c>
      <c r="D3653">
        <v>14629</v>
      </c>
      <c r="E3653" t="s">
        <v>112</v>
      </c>
      <c r="F3653" t="s">
        <v>949</v>
      </c>
      <c r="G3653">
        <v>2</v>
      </c>
      <c r="H3653">
        <v>18</v>
      </c>
      <c r="I3653" s="25">
        <v>2941</v>
      </c>
      <c r="K3653" t="s">
        <v>638</v>
      </c>
      <c r="M3653" t="s">
        <v>52</v>
      </c>
      <c r="N3653" t="s">
        <v>44</v>
      </c>
      <c r="O3653">
        <v>59</v>
      </c>
      <c r="Q3653">
        <v>1</v>
      </c>
      <c r="R3653">
        <v>1</v>
      </c>
      <c r="S3653">
        <v>0</v>
      </c>
      <c r="T3653">
        <v>0</v>
      </c>
      <c r="U3653">
        <v>0</v>
      </c>
      <c r="V3653">
        <v>0</v>
      </c>
      <c r="W3653">
        <v>1</v>
      </c>
      <c r="X3653" s="21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96</v>
      </c>
      <c r="AJ3653" t="s">
        <v>51</v>
      </c>
      <c r="AK3653" t="s">
        <v>95</v>
      </c>
      <c r="AP3653" t="s">
        <v>951</v>
      </c>
    </row>
    <row r="3654" spans="1:42">
      <c r="A3654" s="16">
        <v>43826</v>
      </c>
      <c r="B3654">
        <v>5</v>
      </c>
      <c r="C3654">
        <v>988</v>
      </c>
      <c r="D3654">
        <v>14629</v>
      </c>
      <c r="E3654" t="s">
        <v>112</v>
      </c>
      <c r="F3654" t="s">
        <v>949</v>
      </c>
      <c r="G3654">
        <v>2</v>
      </c>
      <c r="H3654">
        <v>19</v>
      </c>
      <c r="I3654" s="25">
        <v>2900</v>
      </c>
      <c r="K3654" t="s">
        <v>638</v>
      </c>
      <c r="L3654" t="s">
        <v>114</v>
      </c>
      <c r="M3654" t="s">
        <v>52</v>
      </c>
      <c r="N3654" t="s">
        <v>40</v>
      </c>
      <c r="O3654">
        <v>25</v>
      </c>
      <c r="Q3654">
        <v>1</v>
      </c>
      <c r="R3654">
        <v>1</v>
      </c>
      <c r="S3654">
        <v>0</v>
      </c>
      <c r="T3654">
        <v>0</v>
      </c>
      <c r="U3654">
        <v>0</v>
      </c>
      <c r="V3654">
        <v>0</v>
      </c>
      <c r="W3654">
        <v>1</v>
      </c>
      <c r="X3654" s="21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96</v>
      </c>
      <c r="AJ3654" t="s">
        <v>51</v>
      </c>
      <c r="AK3654" t="s">
        <v>52</v>
      </c>
      <c r="AP3654" t="s">
        <v>951</v>
      </c>
    </row>
    <row r="3655" spans="1:42">
      <c r="A3655" s="16">
        <v>43826</v>
      </c>
      <c r="B3655">
        <v>5</v>
      </c>
      <c r="C3655">
        <v>988</v>
      </c>
      <c r="D3655">
        <v>14629</v>
      </c>
      <c r="E3655" t="s">
        <v>112</v>
      </c>
      <c r="F3655" t="s">
        <v>949</v>
      </c>
      <c r="G3655">
        <v>2</v>
      </c>
      <c r="H3655">
        <v>20</v>
      </c>
      <c r="I3655" s="25">
        <v>1693</v>
      </c>
      <c r="K3655" t="s">
        <v>1147</v>
      </c>
      <c r="M3655" t="s">
        <v>95</v>
      </c>
      <c r="N3655" t="s">
        <v>44</v>
      </c>
      <c r="O3655">
        <v>91</v>
      </c>
      <c r="Q3655">
        <v>1</v>
      </c>
      <c r="R3655">
        <v>1</v>
      </c>
      <c r="S3655">
        <v>0</v>
      </c>
      <c r="T3655">
        <v>0</v>
      </c>
      <c r="U3655">
        <v>0</v>
      </c>
      <c r="V3655">
        <v>0</v>
      </c>
      <c r="W3655">
        <v>1</v>
      </c>
      <c r="X3655" s="21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96</v>
      </c>
      <c r="AJ3655" t="s">
        <v>51</v>
      </c>
      <c r="AK3655" t="s">
        <v>52</v>
      </c>
      <c r="AP3655" t="s">
        <v>951</v>
      </c>
    </row>
    <row r="3656" spans="1:42">
      <c r="A3656" s="16">
        <v>43826</v>
      </c>
      <c r="B3656">
        <v>5</v>
      </c>
      <c r="C3656">
        <v>988</v>
      </c>
      <c r="D3656">
        <v>14629</v>
      </c>
      <c r="E3656" t="s">
        <v>112</v>
      </c>
      <c r="F3656" t="s">
        <v>949</v>
      </c>
      <c r="G3656">
        <v>2</v>
      </c>
      <c r="H3656">
        <v>21</v>
      </c>
      <c r="I3656" s="25">
        <v>2811</v>
      </c>
      <c r="K3656" t="s">
        <v>638</v>
      </c>
      <c r="M3656" t="s">
        <v>52</v>
      </c>
      <c r="N3656" t="s">
        <v>44</v>
      </c>
      <c r="O3656">
        <v>102</v>
      </c>
      <c r="Q3656">
        <v>2</v>
      </c>
      <c r="R3656">
        <v>1</v>
      </c>
      <c r="S3656">
        <v>0</v>
      </c>
      <c r="T3656">
        <v>0</v>
      </c>
      <c r="U3656">
        <v>0</v>
      </c>
      <c r="V3656">
        <v>0</v>
      </c>
      <c r="W3656">
        <v>2</v>
      </c>
      <c r="X3656" s="21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192</v>
      </c>
      <c r="AJ3656" t="s">
        <v>51</v>
      </c>
      <c r="AK3656" t="s">
        <v>52</v>
      </c>
      <c r="AP3656" t="s">
        <v>951</v>
      </c>
    </row>
    <row r="3657" spans="1:42">
      <c r="A3657" s="16">
        <v>43826</v>
      </c>
      <c r="B3657">
        <v>5</v>
      </c>
      <c r="C3657">
        <v>988</v>
      </c>
      <c r="D3657">
        <v>14629</v>
      </c>
      <c r="E3657" t="s">
        <v>112</v>
      </c>
      <c r="F3657" t="s">
        <v>949</v>
      </c>
      <c r="G3657">
        <v>2</v>
      </c>
      <c r="H3657">
        <v>22</v>
      </c>
      <c r="I3657" s="25">
        <v>1708</v>
      </c>
      <c r="K3657" t="s">
        <v>148</v>
      </c>
      <c r="M3657" t="s">
        <v>52</v>
      </c>
      <c r="N3657" t="s">
        <v>44</v>
      </c>
      <c r="O3657">
        <v>123</v>
      </c>
      <c r="Q3657">
        <v>1</v>
      </c>
      <c r="R3657">
        <v>1</v>
      </c>
      <c r="S3657">
        <v>0</v>
      </c>
      <c r="T3657">
        <v>0</v>
      </c>
      <c r="U3657">
        <v>0</v>
      </c>
      <c r="V3657">
        <v>0</v>
      </c>
      <c r="W3657">
        <v>1</v>
      </c>
      <c r="X3657" s="21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96</v>
      </c>
      <c r="AJ3657" t="s">
        <v>51</v>
      </c>
      <c r="AK3657" t="s">
        <v>95</v>
      </c>
      <c r="AL3657" t="s">
        <v>1160</v>
      </c>
      <c r="AP3657" t="s">
        <v>951</v>
      </c>
    </row>
    <row r="3658" spans="1:42">
      <c r="A3658" s="16">
        <v>43826</v>
      </c>
      <c r="B3658">
        <v>5</v>
      </c>
      <c r="C3658">
        <v>988</v>
      </c>
      <c r="D3658">
        <v>14629</v>
      </c>
      <c r="E3658" t="s">
        <v>112</v>
      </c>
      <c r="F3658" t="s">
        <v>949</v>
      </c>
      <c r="G3658">
        <v>2</v>
      </c>
      <c r="H3658">
        <v>23</v>
      </c>
      <c r="I3658" s="25">
        <v>2765</v>
      </c>
      <c r="K3658" t="s">
        <v>638</v>
      </c>
      <c r="M3658" t="s">
        <v>95</v>
      </c>
      <c r="N3658" t="s">
        <v>44</v>
      </c>
      <c r="O3658">
        <v>44</v>
      </c>
      <c r="Q3658">
        <v>2</v>
      </c>
      <c r="R3658">
        <v>1</v>
      </c>
      <c r="S3658">
        <v>0</v>
      </c>
      <c r="T3658">
        <v>0</v>
      </c>
      <c r="U3658">
        <v>1</v>
      </c>
      <c r="V3658">
        <v>0</v>
      </c>
      <c r="W3658">
        <v>1</v>
      </c>
      <c r="X3658" s="21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128</v>
      </c>
      <c r="AJ3658" t="s">
        <v>51</v>
      </c>
      <c r="AK3658" t="s">
        <v>52</v>
      </c>
      <c r="AP3658" t="s">
        <v>951</v>
      </c>
    </row>
    <row r="3659" spans="1:42">
      <c r="A3659" s="16">
        <v>43826</v>
      </c>
      <c r="B3659">
        <v>5</v>
      </c>
      <c r="C3659">
        <v>988</v>
      </c>
      <c r="D3659">
        <v>14629</v>
      </c>
      <c r="E3659" t="s">
        <v>112</v>
      </c>
      <c r="F3659" t="s">
        <v>949</v>
      </c>
      <c r="G3659">
        <v>2</v>
      </c>
      <c r="H3659">
        <v>24</v>
      </c>
      <c r="I3659" s="25">
        <v>1700</v>
      </c>
      <c r="K3659" t="s">
        <v>148</v>
      </c>
      <c r="L3659" t="s">
        <v>114</v>
      </c>
      <c r="M3659" t="s">
        <v>95</v>
      </c>
      <c r="N3659" t="s">
        <v>40</v>
      </c>
      <c r="O3659">
        <v>52</v>
      </c>
      <c r="Q3659">
        <v>2</v>
      </c>
      <c r="R3659">
        <v>1</v>
      </c>
      <c r="S3659">
        <v>0</v>
      </c>
      <c r="T3659">
        <v>0</v>
      </c>
      <c r="U3659">
        <v>2</v>
      </c>
      <c r="V3659">
        <v>0</v>
      </c>
      <c r="W3659">
        <v>0</v>
      </c>
      <c r="X3659" s="21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64</v>
      </c>
      <c r="AJ3659" t="s">
        <v>51</v>
      </c>
      <c r="AK3659" t="s">
        <v>52</v>
      </c>
      <c r="AP3659" t="s">
        <v>951</v>
      </c>
    </row>
    <row r="3660" spans="1:42">
      <c r="A3660" s="16">
        <v>43826</v>
      </c>
      <c r="B3660">
        <v>5</v>
      </c>
      <c r="C3660">
        <v>988</v>
      </c>
      <c r="D3660">
        <v>14629</v>
      </c>
      <c r="E3660" t="s">
        <v>112</v>
      </c>
      <c r="F3660" t="s">
        <v>949</v>
      </c>
      <c r="G3660">
        <v>2</v>
      </c>
      <c r="H3660">
        <v>25</v>
      </c>
      <c r="I3660" s="25">
        <v>1755</v>
      </c>
      <c r="K3660" t="s">
        <v>148</v>
      </c>
      <c r="M3660" t="s">
        <v>52</v>
      </c>
      <c r="N3660" t="s">
        <v>44</v>
      </c>
      <c r="O3660">
        <v>205</v>
      </c>
      <c r="Q3660">
        <v>4</v>
      </c>
      <c r="R3660">
        <v>1</v>
      </c>
      <c r="S3660">
        <v>0</v>
      </c>
      <c r="T3660">
        <v>0</v>
      </c>
      <c r="U3660">
        <v>0</v>
      </c>
      <c r="V3660">
        <v>0</v>
      </c>
      <c r="W3660">
        <v>4</v>
      </c>
      <c r="X3660" s="21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1</v>
      </c>
      <c r="AH3660">
        <v>384</v>
      </c>
      <c r="AJ3660" t="s">
        <v>51</v>
      </c>
      <c r="AK3660" t="s">
        <v>95</v>
      </c>
      <c r="AL3660" t="s">
        <v>1196</v>
      </c>
      <c r="AP3660" t="s">
        <v>951</v>
      </c>
    </row>
    <row r="3661" spans="1:42">
      <c r="A3661" s="16">
        <v>43826</v>
      </c>
      <c r="B3661">
        <v>5</v>
      </c>
      <c r="C3661">
        <v>988</v>
      </c>
      <c r="D3661">
        <v>14629</v>
      </c>
      <c r="E3661" t="s">
        <v>112</v>
      </c>
      <c r="F3661" t="s">
        <v>949</v>
      </c>
      <c r="G3661">
        <v>2</v>
      </c>
      <c r="H3661">
        <v>26</v>
      </c>
      <c r="I3661" s="25">
        <v>1760</v>
      </c>
      <c r="K3661" t="s">
        <v>148</v>
      </c>
      <c r="M3661" t="s">
        <v>52</v>
      </c>
      <c r="N3661" t="s">
        <v>44</v>
      </c>
      <c r="O3661">
        <v>79</v>
      </c>
      <c r="Q3661">
        <v>1</v>
      </c>
      <c r="R3661">
        <v>1</v>
      </c>
      <c r="S3661">
        <v>0</v>
      </c>
      <c r="T3661">
        <v>0</v>
      </c>
      <c r="U3661">
        <v>0</v>
      </c>
      <c r="V3661">
        <v>0</v>
      </c>
      <c r="W3661">
        <v>1</v>
      </c>
      <c r="X3661" s="2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96</v>
      </c>
      <c r="AJ3661" t="s">
        <v>51</v>
      </c>
      <c r="AK3661" t="s">
        <v>52</v>
      </c>
      <c r="AP3661" t="s">
        <v>951</v>
      </c>
    </row>
    <row r="3662" spans="1:42">
      <c r="A3662" s="16">
        <v>43826</v>
      </c>
      <c r="B3662">
        <v>5</v>
      </c>
      <c r="C3662">
        <v>988</v>
      </c>
      <c r="D3662">
        <v>14629</v>
      </c>
      <c r="E3662" t="s">
        <v>112</v>
      </c>
      <c r="F3662" t="s">
        <v>949</v>
      </c>
      <c r="G3662">
        <v>2</v>
      </c>
      <c r="H3662">
        <v>27</v>
      </c>
      <c r="I3662" s="25">
        <v>1750</v>
      </c>
      <c r="K3662" t="s">
        <v>1147</v>
      </c>
      <c r="M3662" t="s">
        <v>52</v>
      </c>
      <c r="N3662" t="s">
        <v>44</v>
      </c>
      <c r="O3662">
        <v>117</v>
      </c>
      <c r="Q3662">
        <v>2</v>
      </c>
      <c r="R3662">
        <v>1</v>
      </c>
      <c r="S3662">
        <v>0</v>
      </c>
      <c r="T3662">
        <v>0</v>
      </c>
      <c r="U3662">
        <v>0</v>
      </c>
      <c r="V3662">
        <v>0</v>
      </c>
      <c r="W3662">
        <v>2</v>
      </c>
      <c r="X3662" s="21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192</v>
      </c>
      <c r="AJ3662" t="s">
        <v>51</v>
      </c>
      <c r="AK3662" t="s">
        <v>52</v>
      </c>
      <c r="AP3662" t="s">
        <v>951</v>
      </c>
    </row>
    <row r="3663" spans="1:42">
      <c r="A3663" s="16">
        <v>43826</v>
      </c>
      <c r="B3663">
        <v>5</v>
      </c>
      <c r="C3663">
        <v>988</v>
      </c>
      <c r="D3663">
        <v>14629</v>
      </c>
      <c r="E3663" t="s">
        <v>112</v>
      </c>
      <c r="F3663" t="s">
        <v>949</v>
      </c>
      <c r="G3663">
        <v>2</v>
      </c>
      <c r="H3663">
        <v>28</v>
      </c>
      <c r="I3663" s="25">
        <v>1741</v>
      </c>
      <c r="K3663" t="s">
        <v>1147</v>
      </c>
      <c r="M3663" t="s">
        <v>95</v>
      </c>
      <c r="N3663" t="s">
        <v>44</v>
      </c>
      <c r="O3663">
        <v>106</v>
      </c>
      <c r="Q3663">
        <v>1</v>
      </c>
      <c r="R3663">
        <v>1</v>
      </c>
      <c r="S3663">
        <v>0</v>
      </c>
      <c r="T3663">
        <v>0</v>
      </c>
      <c r="U3663">
        <v>0</v>
      </c>
      <c r="V3663">
        <v>0</v>
      </c>
      <c r="W3663">
        <v>1</v>
      </c>
      <c r="X3663" s="21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96</v>
      </c>
      <c r="AJ3663" t="s">
        <v>51</v>
      </c>
      <c r="AK3663" t="s">
        <v>52</v>
      </c>
      <c r="AL3663" t="s">
        <v>1197</v>
      </c>
      <c r="AP3663" t="s">
        <v>951</v>
      </c>
    </row>
    <row r="3664" spans="1:42">
      <c r="A3664" s="16">
        <v>43826</v>
      </c>
      <c r="B3664">
        <v>5</v>
      </c>
      <c r="C3664">
        <v>988</v>
      </c>
      <c r="D3664">
        <v>14629</v>
      </c>
      <c r="E3664" t="s">
        <v>112</v>
      </c>
      <c r="F3664" t="s">
        <v>949</v>
      </c>
      <c r="G3664">
        <v>2</v>
      </c>
      <c r="H3664">
        <v>29</v>
      </c>
      <c r="I3664" s="25">
        <v>1734</v>
      </c>
      <c r="K3664" t="s">
        <v>1147</v>
      </c>
      <c r="M3664" t="s">
        <v>95</v>
      </c>
      <c r="N3664" t="s">
        <v>44</v>
      </c>
      <c r="O3664">
        <v>86</v>
      </c>
      <c r="Q3664">
        <v>1</v>
      </c>
      <c r="R3664">
        <v>1</v>
      </c>
      <c r="S3664">
        <v>0</v>
      </c>
      <c r="T3664">
        <v>0</v>
      </c>
      <c r="U3664">
        <v>0</v>
      </c>
      <c r="V3664">
        <v>0</v>
      </c>
      <c r="W3664">
        <v>1</v>
      </c>
      <c r="X3664" s="21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96</v>
      </c>
      <c r="AJ3664" t="s">
        <v>51</v>
      </c>
      <c r="AK3664" t="s">
        <v>52</v>
      </c>
      <c r="AL3664" t="s">
        <v>1160</v>
      </c>
      <c r="AP3664" t="s">
        <v>951</v>
      </c>
    </row>
    <row r="3665" spans="1:42">
      <c r="A3665" s="16">
        <v>43826</v>
      </c>
      <c r="B3665">
        <v>5</v>
      </c>
      <c r="C3665">
        <v>988</v>
      </c>
      <c r="D3665">
        <v>14629</v>
      </c>
      <c r="E3665" t="s">
        <v>112</v>
      </c>
      <c r="F3665" t="s">
        <v>949</v>
      </c>
      <c r="G3665">
        <v>2</v>
      </c>
      <c r="H3665">
        <v>30</v>
      </c>
      <c r="I3665" s="25">
        <v>2655</v>
      </c>
      <c r="K3665" t="s">
        <v>631</v>
      </c>
      <c r="M3665" t="s">
        <v>52</v>
      </c>
      <c r="N3665" t="s">
        <v>44</v>
      </c>
      <c r="O3665">
        <v>54</v>
      </c>
      <c r="Q3665">
        <v>1</v>
      </c>
      <c r="R3665">
        <v>1</v>
      </c>
      <c r="S3665">
        <v>0</v>
      </c>
      <c r="T3665">
        <v>0</v>
      </c>
      <c r="U3665">
        <v>0</v>
      </c>
      <c r="V3665">
        <v>0</v>
      </c>
      <c r="W3665">
        <v>1</v>
      </c>
      <c r="X3665" s="21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96</v>
      </c>
      <c r="AJ3665" t="s">
        <v>51</v>
      </c>
      <c r="AK3665" t="s">
        <v>52</v>
      </c>
      <c r="AL3665" t="s">
        <v>1181</v>
      </c>
      <c r="AP3665" t="s">
        <v>951</v>
      </c>
    </row>
    <row r="3666" spans="1:42">
      <c r="A3666" s="16">
        <v>43826</v>
      </c>
      <c r="B3666">
        <v>5</v>
      </c>
      <c r="C3666">
        <v>988</v>
      </c>
      <c r="D3666">
        <v>14629</v>
      </c>
      <c r="E3666" t="s">
        <v>112</v>
      </c>
      <c r="F3666" t="s">
        <v>949</v>
      </c>
      <c r="G3666">
        <v>2</v>
      </c>
      <c r="H3666">
        <v>31</v>
      </c>
      <c r="I3666" s="25">
        <v>1595</v>
      </c>
      <c r="K3666" t="s">
        <v>1147</v>
      </c>
      <c r="M3666" t="s">
        <v>52</v>
      </c>
      <c r="N3666" t="s">
        <v>44</v>
      </c>
      <c r="O3666">
        <v>144</v>
      </c>
      <c r="Q3666">
        <v>1</v>
      </c>
      <c r="R3666">
        <v>1</v>
      </c>
      <c r="S3666">
        <v>0</v>
      </c>
      <c r="T3666">
        <v>0</v>
      </c>
      <c r="U3666">
        <v>0</v>
      </c>
      <c r="V3666">
        <v>0</v>
      </c>
      <c r="W3666">
        <v>1</v>
      </c>
      <c r="X3666" s="21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96</v>
      </c>
      <c r="AJ3666" t="s">
        <v>51</v>
      </c>
      <c r="AK3666" t="s">
        <v>52</v>
      </c>
      <c r="AL3666" t="s">
        <v>1198</v>
      </c>
      <c r="AP3666" t="s">
        <v>951</v>
      </c>
    </row>
    <row r="3667" spans="1:42">
      <c r="A3667" s="16">
        <v>43826</v>
      </c>
      <c r="B3667">
        <v>5</v>
      </c>
      <c r="C3667">
        <v>988</v>
      </c>
      <c r="D3667">
        <v>14629</v>
      </c>
      <c r="E3667" t="s">
        <v>112</v>
      </c>
      <c r="F3667" t="s">
        <v>949</v>
      </c>
      <c r="G3667">
        <v>2</v>
      </c>
      <c r="H3667">
        <v>32</v>
      </c>
      <c r="I3667" s="25">
        <v>1555</v>
      </c>
      <c r="K3667" t="s">
        <v>1147</v>
      </c>
      <c r="M3667" t="s">
        <v>52</v>
      </c>
      <c r="N3667" t="s">
        <v>44</v>
      </c>
      <c r="O3667">
        <v>82</v>
      </c>
      <c r="Q3667">
        <v>1</v>
      </c>
      <c r="R3667">
        <v>1</v>
      </c>
      <c r="S3667">
        <v>0</v>
      </c>
      <c r="T3667">
        <v>0</v>
      </c>
      <c r="U3667">
        <v>0</v>
      </c>
      <c r="V3667">
        <v>0</v>
      </c>
      <c r="W3667">
        <v>1</v>
      </c>
      <c r="X3667" s="21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96</v>
      </c>
      <c r="AJ3667" t="s">
        <v>54</v>
      </c>
      <c r="AK3667" t="s">
        <v>95</v>
      </c>
      <c r="AL3667" t="s">
        <v>1198</v>
      </c>
      <c r="AP3667" t="s">
        <v>951</v>
      </c>
    </row>
    <row r="3668" spans="1:42">
      <c r="A3668" s="16">
        <v>43826</v>
      </c>
      <c r="B3668">
        <v>5</v>
      </c>
      <c r="C3668">
        <v>988</v>
      </c>
      <c r="D3668">
        <v>14629</v>
      </c>
      <c r="E3668" t="s">
        <v>112</v>
      </c>
      <c r="F3668" t="s">
        <v>949</v>
      </c>
      <c r="G3668">
        <v>2</v>
      </c>
      <c r="H3668">
        <v>33</v>
      </c>
      <c r="I3668" s="25">
        <v>1545</v>
      </c>
      <c r="K3668" t="s">
        <v>1147</v>
      </c>
      <c r="M3668" t="s">
        <v>52</v>
      </c>
      <c r="N3668" t="s">
        <v>44</v>
      </c>
      <c r="O3668">
        <v>54</v>
      </c>
      <c r="Q3668">
        <v>1</v>
      </c>
      <c r="R3668">
        <v>1</v>
      </c>
      <c r="S3668">
        <v>0</v>
      </c>
      <c r="T3668">
        <v>0</v>
      </c>
      <c r="U3668">
        <v>0</v>
      </c>
      <c r="V3668">
        <v>0</v>
      </c>
      <c r="W3668">
        <v>1</v>
      </c>
      <c r="X3668" s="21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96</v>
      </c>
      <c r="AJ3668" t="s">
        <v>54</v>
      </c>
      <c r="AK3668" t="s">
        <v>52</v>
      </c>
      <c r="AL3668" t="s">
        <v>1198</v>
      </c>
      <c r="AP3668" t="s">
        <v>951</v>
      </c>
    </row>
    <row r="3669" spans="1:42">
      <c r="A3669" s="16">
        <v>43826</v>
      </c>
      <c r="B3669">
        <v>5</v>
      </c>
      <c r="C3669">
        <v>988</v>
      </c>
      <c r="D3669">
        <v>14629</v>
      </c>
      <c r="E3669" t="s">
        <v>112</v>
      </c>
      <c r="F3669" t="s">
        <v>949</v>
      </c>
      <c r="G3669">
        <v>2</v>
      </c>
      <c r="H3669">
        <v>34</v>
      </c>
      <c r="I3669" s="25">
        <v>1539</v>
      </c>
      <c r="K3669" t="s">
        <v>1147</v>
      </c>
      <c r="M3669" t="s">
        <v>52</v>
      </c>
      <c r="N3669" t="s">
        <v>44</v>
      </c>
      <c r="O3669">
        <v>212</v>
      </c>
      <c r="Q3669">
        <v>2</v>
      </c>
      <c r="R3669">
        <v>1</v>
      </c>
      <c r="S3669">
        <v>0</v>
      </c>
      <c r="T3669">
        <v>0</v>
      </c>
      <c r="U3669">
        <v>0</v>
      </c>
      <c r="V3669">
        <v>0</v>
      </c>
      <c r="W3669">
        <v>2</v>
      </c>
      <c r="X3669" s="21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192</v>
      </c>
      <c r="AJ3669" t="s">
        <v>54</v>
      </c>
      <c r="AK3669" t="s">
        <v>52</v>
      </c>
      <c r="AL3669" t="s">
        <v>812</v>
      </c>
      <c r="AP3669" t="s">
        <v>951</v>
      </c>
    </row>
    <row r="3670" spans="1:42">
      <c r="A3670" s="16">
        <v>43826</v>
      </c>
      <c r="B3670">
        <v>5</v>
      </c>
      <c r="C3670">
        <v>988</v>
      </c>
      <c r="D3670">
        <v>14629</v>
      </c>
      <c r="E3670" t="s">
        <v>112</v>
      </c>
      <c r="F3670" t="s">
        <v>949</v>
      </c>
      <c r="G3670">
        <v>2</v>
      </c>
      <c r="H3670">
        <v>35</v>
      </c>
      <c r="I3670" s="25">
        <v>1540</v>
      </c>
      <c r="K3670" t="s">
        <v>1147</v>
      </c>
      <c r="M3670" t="s">
        <v>95</v>
      </c>
      <c r="N3670" t="s">
        <v>44</v>
      </c>
      <c r="O3670">
        <v>70</v>
      </c>
      <c r="Q3670">
        <v>1</v>
      </c>
      <c r="R3670">
        <v>1</v>
      </c>
      <c r="S3670">
        <v>0</v>
      </c>
      <c r="T3670">
        <v>0</v>
      </c>
      <c r="U3670">
        <v>0</v>
      </c>
      <c r="V3670">
        <v>0</v>
      </c>
      <c r="W3670">
        <v>1</v>
      </c>
      <c r="X3670" s="21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96</v>
      </c>
      <c r="AJ3670" t="s">
        <v>54</v>
      </c>
      <c r="AK3670" t="s">
        <v>52</v>
      </c>
      <c r="AP3670" t="s">
        <v>951</v>
      </c>
    </row>
    <row r="3671" spans="1:42">
      <c r="A3671" s="16">
        <v>43826</v>
      </c>
      <c r="B3671">
        <v>5</v>
      </c>
      <c r="C3671">
        <v>988</v>
      </c>
      <c r="D3671">
        <v>14629</v>
      </c>
      <c r="E3671" t="s">
        <v>112</v>
      </c>
      <c r="F3671" t="s">
        <v>949</v>
      </c>
      <c r="G3671">
        <v>2</v>
      </c>
      <c r="H3671">
        <v>36</v>
      </c>
      <c r="I3671" s="25">
        <v>1520</v>
      </c>
      <c r="K3671" t="s">
        <v>1147</v>
      </c>
      <c r="M3671" t="s">
        <v>52</v>
      </c>
      <c r="N3671" t="s">
        <v>44</v>
      </c>
      <c r="O3671">
        <v>73</v>
      </c>
      <c r="Q3671">
        <v>1</v>
      </c>
      <c r="R3671">
        <v>1</v>
      </c>
      <c r="S3671">
        <v>0</v>
      </c>
      <c r="T3671">
        <v>0</v>
      </c>
      <c r="U3671">
        <v>0</v>
      </c>
      <c r="V3671">
        <v>0</v>
      </c>
      <c r="W3671">
        <v>1</v>
      </c>
      <c r="X3671" s="2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96</v>
      </c>
      <c r="AJ3671" t="s">
        <v>51</v>
      </c>
      <c r="AK3671" t="s">
        <v>52</v>
      </c>
      <c r="AP3671" t="s">
        <v>951</v>
      </c>
    </row>
    <row r="3672" spans="1:42">
      <c r="A3672" s="16">
        <v>43826</v>
      </c>
      <c r="B3672">
        <v>5</v>
      </c>
      <c r="C3672">
        <v>988</v>
      </c>
      <c r="D3672">
        <v>14629</v>
      </c>
      <c r="E3672" t="s">
        <v>112</v>
      </c>
      <c r="F3672" t="s">
        <v>949</v>
      </c>
      <c r="G3672">
        <v>2</v>
      </c>
      <c r="H3672">
        <v>37</v>
      </c>
      <c r="I3672" s="25">
        <v>1515</v>
      </c>
      <c r="K3672" t="s">
        <v>1147</v>
      </c>
      <c r="M3672" t="s">
        <v>52</v>
      </c>
      <c r="N3672" t="s">
        <v>44</v>
      </c>
      <c r="O3672">
        <v>130</v>
      </c>
      <c r="Q3672">
        <v>3</v>
      </c>
      <c r="R3672">
        <v>1</v>
      </c>
      <c r="S3672">
        <v>0</v>
      </c>
      <c r="T3672">
        <v>0</v>
      </c>
      <c r="U3672">
        <v>0</v>
      </c>
      <c r="V3672">
        <v>0</v>
      </c>
      <c r="W3672">
        <v>3</v>
      </c>
      <c r="X3672" s="21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288</v>
      </c>
      <c r="AJ3672" t="s">
        <v>54</v>
      </c>
      <c r="AK3672" t="s">
        <v>52</v>
      </c>
      <c r="AP3672" t="s">
        <v>951</v>
      </c>
    </row>
    <row r="3673" spans="1:42">
      <c r="A3673" s="16">
        <v>43826</v>
      </c>
      <c r="B3673">
        <v>5</v>
      </c>
      <c r="C3673">
        <v>988</v>
      </c>
      <c r="D3673">
        <v>14629</v>
      </c>
      <c r="E3673" t="s">
        <v>112</v>
      </c>
      <c r="F3673" t="s">
        <v>949</v>
      </c>
      <c r="G3673">
        <v>2</v>
      </c>
      <c r="H3673">
        <v>38</v>
      </c>
      <c r="I3673" s="25">
        <v>1501</v>
      </c>
      <c r="K3673" t="s">
        <v>1147</v>
      </c>
      <c r="M3673" t="s">
        <v>52</v>
      </c>
      <c r="N3673" t="s">
        <v>44</v>
      </c>
      <c r="O3673">
        <v>163</v>
      </c>
      <c r="Q3673">
        <v>3</v>
      </c>
      <c r="R3673">
        <v>1</v>
      </c>
      <c r="S3673">
        <v>0</v>
      </c>
      <c r="T3673">
        <v>0</v>
      </c>
      <c r="U3673">
        <v>0</v>
      </c>
      <c r="V3673">
        <v>0</v>
      </c>
      <c r="W3673">
        <v>3</v>
      </c>
      <c r="X3673" s="21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288</v>
      </c>
      <c r="AJ3673" t="s">
        <v>54</v>
      </c>
      <c r="AK3673" t="s">
        <v>52</v>
      </c>
      <c r="AL3673" t="s">
        <v>1199</v>
      </c>
      <c r="AP3673" t="s">
        <v>951</v>
      </c>
    </row>
    <row r="3674" spans="1:42">
      <c r="A3674" s="16">
        <v>43826</v>
      </c>
      <c r="B3674">
        <v>5</v>
      </c>
      <c r="C3674">
        <v>988</v>
      </c>
      <c r="D3674">
        <v>14629</v>
      </c>
      <c r="E3674" t="s">
        <v>112</v>
      </c>
      <c r="F3674" t="s">
        <v>949</v>
      </c>
      <c r="G3674">
        <v>2</v>
      </c>
      <c r="H3674">
        <v>39</v>
      </c>
      <c r="I3674" s="25">
        <v>2645</v>
      </c>
      <c r="K3674" t="s">
        <v>415</v>
      </c>
      <c r="M3674" t="s">
        <v>52</v>
      </c>
      <c r="N3674" t="s">
        <v>44</v>
      </c>
      <c r="O3674">
        <v>137</v>
      </c>
      <c r="Q3674">
        <v>1</v>
      </c>
      <c r="R3674">
        <v>1</v>
      </c>
      <c r="S3674">
        <v>0</v>
      </c>
      <c r="T3674">
        <v>0</v>
      </c>
      <c r="U3674">
        <v>1</v>
      </c>
      <c r="V3674">
        <v>0</v>
      </c>
      <c r="W3674">
        <v>0</v>
      </c>
      <c r="X3674" s="21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32</v>
      </c>
      <c r="AJ3674" t="s">
        <v>51</v>
      </c>
      <c r="AK3674" t="s">
        <v>52</v>
      </c>
      <c r="AL3674" t="s">
        <v>1200</v>
      </c>
      <c r="AP3674" t="s">
        <v>951</v>
      </c>
    </row>
    <row r="3675" spans="1:42">
      <c r="A3675" s="16">
        <v>43826</v>
      </c>
      <c r="B3675">
        <v>5</v>
      </c>
      <c r="C3675">
        <v>988</v>
      </c>
      <c r="D3675">
        <v>14629</v>
      </c>
      <c r="E3675" t="s">
        <v>112</v>
      </c>
      <c r="F3675" t="s">
        <v>949</v>
      </c>
      <c r="G3675">
        <v>2</v>
      </c>
      <c r="H3675">
        <v>40</v>
      </c>
      <c r="I3675" s="25">
        <v>1500</v>
      </c>
      <c r="K3675" t="s">
        <v>148</v>
      </c>
      <c r="L3675" t="s">
        <v>114</v>
      </c>
      <c r="M3675" t="s">
        <v>95</v>
      </c>
      <c r="N3675" t="s">
        <v>40</v>
      </c>
      <c r="O3675">
        <v>45</v>
      </c>
      <c r="Q3675">
        <v>1</v>
      </c>
      <c r="R3675">
        <v>1</v>
      </c>
      <c r="S3675">
        <v>0</v>
      </c>
      <c r="T3675">
        <v>0</v>
      </c>
      <c r="U3675">
        <v>0</v>
      </c>
      <c r="V3675">
        <v>0</v>
      </c>
      <c r="W3675">
        <v>1</v>
      </c>
      <c r="X3675" s="21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96</v>
      </c>
      <c r="AJ3675" t="s">
        <v>51</v>
      </c>
      <c r="AK3675" t="s">
        <v>95</v>
      </c>
      <c r="AP3675" t="s">
        <v>951</v>
      </c>
    </row>
    <row r="3676" spans="1:42">
      <c r="A3676" s="16">
        <v>43826</v>
      </c>
      <c r="B3676">
        <v>5</v>
      </c>
      <c r="C3676">
        <v>988</v>
      </c>
      <c r="D3676">
        <v>14629</v>
      </c>
      <c r="E3676" t="s">
        <v>112</v>
      </c>
      <c r="F3676" t="s">
        <v>949</v>
      </c>
      <c r="G3676">
        <v>2</v>
      </c>
      <c r="H3676">
        <v>41</v>
      </c>
      <c r="I3676" s="25">
        <v>1538</v>
      </c>
      <c r="K3676" t="s">
        <v>148</v>
      </c>
      <c r="M3676" t="s">
        <v>52</v>
      </c>
      <c r="N3676" t="s">
        <v>44</v>
      </c>
      <c r="O3676">
        <v>110</v>
      </c>
      <c r="Q3676">
        <v>1</v>
      </c>
      <c r="R3676">
        <v>1</v>
      </c>
      <c r="S3676">
        <v>0</v>
      </c>
      <c r="T3676">
        <v>0</v>
      </c>
      <c r="U3676">
        <v>0</v>
      </c>
      <c r="V3676">
        <v>0</v>
      </c>
      <c r="W3676">
        <v>1</v>
      </c>
      <c r="X3676" s="21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96</v>
      </c>
      <c r="AJ3676" t="s">
        <v>51</v>
      </c>
      <c r="AK3676" t="s">
        <v>95</v>
      </c>
      <c r="AL3676" t="s">
        <v>1201</v>
      </c>
      <c r="AP3676" t="s">
        <v>951</v>
      </c>
    </row>
    <row r="3677" spans="1:42">
      <c r="A3677" s="16">
        <v>43826</v>
      </c>
      <c r="B3677">
        <v>5</v>
      </c>
      <c r="C3677">
        <v>988</v>
      </c>
      <c r="D3677">
        <v>14629</v>
      </c>
      <c r="E3677" t="s">
        <v>112</v>
      </c>
      <c r="F3677" t="s">
        <v>949</v>
      </c>
      <c r="G3677">
        <v>2</v>
      </c>
      <c r="H3677">
        <v>42</v>
      </c>
      <c r="I3677" s="25">
        <v>1526</v>
      </c>
      <c r="K3677" t="s">
        <v>148</v>
      </c>
      <c r="M3677" t="s">
        <v>52</v>
      </c>
      <c r="N3677" t="s">
        <v>44</v>
      </c>
      <c r="O3677">
        <v>70</v>
      </c>
      <c r="Q3677">
        <v>1</v>
      </c>
      <c r="R3677">
        <v>1</v>
      </c>
      <c r="S3677">
        <v>0</v>
      </c>
      <c r="T3677">
        <v>0</v>
      </c>
      <c r="U3677">
        <v>0</v>
      </c>
      <c r="V3677">
        <v>0</v>
      </c>
      <c r="W3677">
        <v>1</v>
      </c>
      <c r="X3677" s="21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96</v>
      </c>
      <c r="AJ3677" t="s">
        <v>51</v>
      </c>
      <c r="AK3677" t="s">
        <v>95</v>
      </c>
      <c r="AP3677" t="s">
        <v>951</v>
      </c>
    </row>
    <row r="3678" spans="1:42">
      <c r="A3678" s="16">
        <v>43826</v>
      </c>
      <c r="B3678">
        <v>5</v>
      </c>
      <c r="C3678">
        <v>988</v>
      </c>
      <c r="D3678">
        <v>14629</v>
      </c>
      <c r="E3678" t="s">
        <v>112</v>
      </c>
      <c r="F3678" t="s">
        <v>949</v>
      </c>
      <c r="G3678">
        <v>2</v>
      </c>
      <c r="H3678">
        <v>43</v>
      </c>
      <c r="I3678" s="25">
        <v>1556</v>
      </c>
      <c r="K3678" t="s">
        <v>148</v>
      </c>
      <c r="M3678" t="s">
        <v>52</v>
      </c>
      <c r="N3678" t="s">
        <v>44</v>
      </c>
      <c r="O3678">
        <v>127</v>
      </c>
      <c r="Q3678">
        <v>3</v>
      </c>
      <c r="R3678">
        <v>1</v>
      </c>
      <c r="S3678">
        <v>0</v>
      </c>
      <c r="T3678">
        <v>0</v>
      </c>
      <c r="U3678">
        <v>0</v>
      </c>
      <c r="V3678">
        <v>0</v>
      </c>
      <c r="W3678">
        <v>3</v>
      </c>
      <c r="X3678" s="21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288</v>
      </c>
      <c r="AJ3678" t="s">
        <v>51</v>
      </c>
      <c r="AK3678" t="s">
        <v>95</v>
      </c>
      <c r="AL3678" t="s">
        <v>1201</v>
      </c>
      <c r="AP3678" t="s">
        <v>951</v>
      </c>
    </row>
    <row r="3679" spans="1:42">
      <c r="A3679" s="16">
        <v>43826</v>
      </c>
      <c r="B3679">
        <v>5</v>
      </c>
      <c r="C3679">
        <v>988</v>
      </c>
      <c r="D3679">
        <v>14629</v>
      </c>
      <c r="E3679" t="s">
        <v>112</v>
      </c>
      <c r="F3679" t="s">
        <v>949</v>
      </c>
      <c r="G3679">
        <v>2</v>
      </c>
      <c r="H3679">
        <v>44</v>
      </c>
      <c r="I3679" s="25">
        <v>1500</v>
      </c>
      <c r="K3679" t="s">
        <v>148</v>
      </c>
      <c r="L3679" t="s">
        <v>114</v>
      </c>
      <c r="M3679" t="s">
        <v>52</v>
      </c>
      <c r="N3679" t="s">
        <v>40</v>
      </c>
      <c r="O3679">
        <v>36</v>
      </c>
      <c r="Q3679">
        <v>1</v>
      </c>
      <c r="R3679">
        <v>1</v>
      </c>
      <c r="S3679">
        <v>0</v>
      </c>
      <c r="T3679">
        <v>0</v>
      </c>
      <c r="U3679">
        <v>0</v>
      </c>
      <c r="V3679">
        <v>0</v>
      </c>
      <c r="W3679">
        <v>1</v>
      </c>
      <c r="X3679" s="21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96</v>
      </c>
      <c r="AJ3679" t="s">
        <v>51</v>
      </c>
      <c r="AK3679" t="s">
        <v>95</v>
      </c>
      <c r="AL3679" t="s">
        <v>1202</v>
      </c>
      <c r="AP3679" t="s">
        <v>951</v>
      </c>
    </row>
    <row r="3680" spans="1:42">
      <c r="A3680" s="16">
        <v>43826</v>
      </c>
      <c r="B3680">
        <v>5</v>
      </c>
      <c r="C3680">
        <v>988</v>
      </c>
      <c r="D3680">
        <v>14629</v>
      </c>
      <c r="E3680" t="s">
        <v>112</v>
      </c>
      <c r="F3680" t="s">
        <v>949</v>
      </c>
      <c r="G3680">
        <v>2</v>
      </c>
      <c r="H3680">
        <v>45</v>
      </c>
      <c r="I3680" s="25">
        <v>1630</v>
      </c>
      <c r="K3680" t="s">
        <v>148</v>
      </c>
      <c r="M3680" t="s">
        <v>52</v>
      </c>
      <c r="N3680" t="s">
        <v>44</v>
      </c>
      <c r="O3680">
        <v>94</v>
      </c>
      <c r="Q3680">
        <v>1</v>
      </c>
      <c r="R3680">
        <v>1</v>
      </c>
      <c r="S3680">
        <v>0</v>
      </c>
      <c r="T3680">
        <v>0</v>
      </c>
      <c r="U3680">
        <v>0</v>
      </c>
      <c r="V3680">
        <v>0</v>
      </c>
      <c r="W3680">
        <v>1</v>
      </c>
      <c r="X3680" s="21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96</v>
      </c>
      <c r="AJ3680" t="s">
        <v>51</v>
      </c>
      <c r="AK3680" t="s">
        <v>52</v>
      </c>
      <c r="AL3680" t="s">
        <v>668</v>
      </c>
      <c r="AP3680" t="s">
        <v>951</v>
      </c>
    </row>
    <row r="3681" spans="1:42">
      <c r="A3681" s="16">
        <v>43826</v>
      </c>
      <c r="B3681">
        <v>5</v>
      </c>
      <c r="C3681">
        <v>988</v>
      </c>
      <c r="D3681">
        <v>14629</v>
      </c>
      <c r="E3681" t="s">
        <v>112</v>
      </c>
      <c r="F3681" t="s">
        <v>949</v>
      </c>
      <c r="G3681">
        <v>2</v>
      </c>
      <c r="H3681">
        <v>46</v>
      </c>
      <c r="I3681" s="25">
        <v>1645</v>
      </c>
      <c r="K3681" t="s">
        <v>148</v>
      </c>
      <c r="M3681" t="s">
        <v>95</v>
      </c>
      <c r="N3681" t="s">
        <v>44</v>
      </c>
      <c r="O3681">
        <v>77</v>
      </c>
      <c r="Q3681">
        <v>1</v>
      </c>
      <c r="R3681">
        <v>1</v>
      </c>
      <c r="S3681">
        <v>0</v>
      </c>
      <c r="T3681">
        <v>0</v>
      </c>
      <c r="U3681">
        <v>0</v>
      </c>
      <c r="V3681">
        <v>0</v>
      </c>
      <c r="W3681">
        <v>1</v>
      </c>
      <c r="X3681" s="2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96</v>
      </c>
      <c r="AJ3681" t="s">
        <v>51</v>
      </c>
      <c r="AK3681" t="s">
        <v>52</v>
      </c>
      <c r="AP3681" t="s">
        <v>951</v>
      </c>
    </row>
    <row r="3682" spans="1:42">
      <c r="A3682" s="16">
        <v>43826</v>
      </c>
      <c r="B3682">
        <v>5</v>
      </c>
      <c r="C3682">
        <v>988</v>
      </c>
      <c r="D3682">
        <v>14629</v>
      </c>
      <c r="E3682" t="s">
        <v>112</v>
      </c>
      <c r="F3682" t="s">
        <v>949</v>
      </c>
      <c r="G3682">
        <v>2</v>
      </c>
      <c r="H3682">
        <v>47</v>
      </c>
      <c r="I3682" s="25">
        <v>1651</v>
      </c>
      <c r="K3682" t="s">
        <v>148</v>
      </c>
      <c r="M3682" t="s">
        <v>52</v>
      </c>
      <c r="N3682" t="s">
        <v>44</v>
      </c>
      <c r="O3682">
        <v>88</v>
      </c>
      <c r="Q3682">
        <v>1</v>
      </c>
      <c r="R3682">
        <v>1</v>
      </c>
      <c r="S3682">
        <v>0</v>
      </c>
      <c r="T3682">
        <v>0</v>
      </c>
      <c r="U3682">
        <v>0</v>
      </c>
      <c r="V3682">
        <v>0</v>
      </c>
      <c r="W3682">
        <v>1</v>
      </c>
      <c r="X3682" s="21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96</v>
      </c>
      <c r="AJ3682" t="s">
        <v>51</v>
      </c>
      <c r="AK3682" t="s">
        <v>52</v>
      </c>
      <c r="AL3682" t="s">
        <v>812</v>
      </c>
      <c r="AP3682" t="s">
        <v>951</v>
      </c>
    </row>
    <row r="3683" spans="1:42">
      <c r="A3683" s="16">
        <v>43826</v>
      </c>
      <c r="B3683">
        <v>5</v>
      </c>
      <c r="C3683">
        <v>988</v>
      </c>
      <c r="D3683">
        <v>14629</v>
      </c>
      <c r="E3683" t="s">
        <v>112</v>
      </c>
      <c r="F3683" t="s">
        <v>949</v>
      </c>
      <c r="G3683">
        <v>2</v>
      </c>
      <c r="H3683">
        <v>48</v>
      </c>
      <c r="I3683" s="25">
        <v>1648</v>
      </c>
      <c r="K3683" t="s">
        <v>148</v>
      </c>
      <c r="M3683" t="s">
        <v>95</v>
      </c>
      <c r="N3683" t="s">
        <v>44</v>
      </c>
      <c r="O3683">
        <v>81</v>
      </c>
      <c r="Q3683">
        <v>1</v>
      </c>
      <c r="R3683">
        <v>1</v>
      </c>
      <c r="S3683">
        <v>0</v>
      </c>
      <c r="T3683">
        <v>0</v>
      </c>
      <c r="U3683">
        <v>0</v>
      </c>
      <c r="V3683">
        <v>0</v>
      </c>
      <c r="W3683">
        <v>1</v>
      </c>
      <c r="X3683" s="21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96</v>
      </c>
      <c r="AJ3683" t="s">
        <v>51</v>
      </c>
      <c r="AK3683" t="s">
        <v>95</v>
      </c>
      <c r="AL3683" t="s">
        <v>1203</v>
      </c>
      <c r="AP3683" t="s">
        <v>951</v>
      </c>
    </row>
    <row r="3684" spans="1:42">
      <c r="A3684" s="16">
        <v>43826</v>
      </c>
      <c r="B3684">
        <v>5</v>
      </c>
      <c r="C3684">
        <v>988</v>
      </c>
      <c r="D3684">
        <v>14629</v>
      </c>
      <c r="E3684" t="s">
        <v>112</v>
      </c>
      <c r="F3684" t="s">
        <v>949</v>
      </c>
      <c r="G3684">
        <v>2</v>
      </c>
      <c r="H3684">
        <v>49</v>
      </c>
      <c r="I3684" s="25">
        <v>1690</v>
      </c>
      <c r="K3684" t="s">
        <v>148</v>
      </c>
      <c r="M3684" t="s">
        <v>52</v>
      </c>
      <c r="N3684" t="s">
        <v>44</v>
      </c>
      <c r="O3684">
        <v>150</v>
      </c>
      <c r="Q3684">
        <v>2</v>
      </c>
      <c r="R3684">
        <v>1</v>
      </c>
      <c r="S3684">
        <v>0</v>
      </c>
      <c r="T3684">
        <v>0</v>
      </c>
      <c r="U3684">
        <v>0</v>
      </c>
      <c r="V3684">
        <v>0</v>
      </c>
      <c r="W3684">
        <v>2</v>
      </c>
      <c r="X3684" s="21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192</v>
      </c>
      <c r="AJ3684" t="s">
        <v>51</v>
      </c>
      <c r="AK3684" t="s">
        <v>95</v>
      </c>
      <c r="AL3684" t="s">
        <v>1204</v>
      </c>
      <c r="AP3684" t="s">
        <v>951</v>
      </c>
    </row>
    <row r="3685" spans="1:42">
      <c r="A3685" s="16">
        <v>43826</v>
      </c>
      <c r="B3685">
        <v>5</v>
      </c>
      <c r="C3685">
        <v>988</v>
      </c>
      <c r="D3685">
        <v>14629</v>
      </c>
      <c r="E3685" t="s">
        <v>112</v>
      </c>
      <c r="F3685" t="s">
        <v>949</v>
      </c>
      <c r="G3685">
        <v>2</v>
      </c>
      <c r="H3685">
        <v>50</v>
      </c>
      <c r="I3685" s="25">
        <v>1695</v>
      </c>
      <c r="K3685" t="s">
        <v>148</v>
      </c>
      <c r="M3685" t="s">
        <v>95</v>
      </c>
      <c r="N3685" t="s">
        <v>44</v>
      </c>
      <c r="O3685">
        <v>90</v>
      </c>
      <c r="Q3685">
        <v>1</v>
      </c>
      <c r="R3685">
        <v>1</v>
      </c>
      <c r="S3685">
        <v>0</v>
      </c>
      <c r="T3685">
        <v>0</v>
      </c>
      <c r="U3685">
        <v>0</v>
      </c>
      <c r="V3685">
        <v>0</v>
      </c>
      <c r="W3685">
        <v>1</v>
      </c>
      <c r="X3685" s="21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96</v>
      </c>
      <c r="AJ3685" t="s">
        <v>51</v>
      </c>
      <c r="AK3685" t="s">
        <v>95</v>
      </c>
      <c r="AP3685" t="s">
        <v>951</v>
      </c>
    </row>
    <row r="3686" spans="1:42">
      <c r="A3686" s="16">
        <v>43826</v>
      </c>
      <c r="B3686">
        <v>5</v>
      </c>
      <c r="C3686">
        <v>988</v>
      </c>
      <c r="D3686">
        <v>14629</v>
      </c>
      <c r="E3686" t="s">
        <v>112</v>
      </c>
      <c r="F3686" t="s">
        <v>949</v>
      </c>
      <c r="G3686">
        <v>2</v>
      </c>
      <c r="H3686">
        <v>51</v>
      </c>
      <c r="I3686" s="25">
        <v>1604</v>
      </c>
      <c r="K3686" t="s">
        <v>156</v>
      </c>
      <c r="M3686" t="s">
        <v>52</v>
      </c>
      <c r="N3686" t="s">
        <v>44</v>
      </c>
      <c r="O3686">
        <v>108</v>
      </c>
      <c r="Q3686">
        <v>2</v>
      </c>
      <c r="R3686">
        <v>1</v>
      </c>
      <c r="S3686">
        <v>0</v>
      </c>
      <c r="T3686">
        <v>0</v>
      </c>
      <c r="U3686">
        <v>0</v>
      </c>
      <c r="V3686">
        <v>0</v>
      </c>
      <c r="W3686">
        <v>2</v>
      </c>
      <c r="X3686" s="21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192</v>
      </c>
      <c r="AJ3686" t="s">
        <v>51</v>
      </c>
      <c r="AK3686" t="s">
        <v>95</v>
      </c>
      <c r="AP3686" t="s">
        <v>951</v>
      </c>
    </row>
    <row r="3687" spans="1:42">
      <c r="A3687" s="16">
        <v>43826</v>
      </c>
      <c r="B3687">
        <v>5</v>
      </c>
      <c r="C3687">
        <v>988</v>
      </c>
      <c r="D3687">
        <v>14629</v>
      </c>
      <c r="E3687" t="s">
        <v>112</v>
      </c>
      <c r="F3687" t="s">
        <v>949</v>
      </c>
      <c r="G3687">
        <v>2</v>
      </c>
      <c r="H3687">
        <v>52</v>
      </c>
      <c r="I3687" s="25">
        <v>2625</v>
      </c>
      <c r="K3687" t="s">
        <v>631</v>
      </c>
      <c r="M3687" t="s">
        <v>52</v>
      </c>
      <c r="N3687" t="s">
        <v>44</v>
      </c>
      <c r="O3687">
        <v>80</v>
      </c>
      <c r="Q3687">
        <v>2</v>
      </c>
      <c r="R3687">
        <v>1</v>
      </c>
      <c r="S3687">
        <v>0</v>
      </c>
      <c r="T3687">
        <v>0</v>
      </c>
      <c r="U3687">
        <v>0</v>
      </c>
      <c r="V3687">
        <v>1</v>
      </c>
      <c r="W3687">
        <v>1</v>
      </c>
      <c r="X3687" s="21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160</v>
      </c>
      <c r="AJ3687" t="s">
        <v>51</v>
      </c>
      <c r="AK3687" t="s">
        <v>95</v>
      </c>
      <c r="AL3687" t="s">
        <v>1205</v>
      </c>
      <c r="AP3687" t="s">
        <v>951</v>
      </c>
    </row>
    <row r="3688" spans="1:42">
      <c r="A3688" s="16">
        <v>43826</v>
      </c>
      <c r="B3688">
        <v>5</v>
      </c>
      <c r="C3688">
        <v>988</v>
      </c>
      <c r="D3688">
        <v>14629</v>
      </c>
      <c r="E3688" t="s">
        <v>112</v>
      </c>
      <c r="F3688" t="s">
        <v>949</v>
      </c>
      <c r="G3688">
        <v>2</v>
      </c>
      <c r="H3688">
        <v>53</v>
      </c>
      <c r="I3688" s="25">
        <v>2635</v>
      </c>
      <c r="K3688" t="s">
        <v>631</v>
      </c>
      <c r="M3688" t="s">
        <v>52</v>
      </c>
      <c r="N3688" t="s">
        <v>44</v>
      </c>
      <c r="O3688">
        <v>79</v>
      </c>
      <c r="Q3688">
        <v>1</v>
      </c>
      <c r="R3688">
        <v>1</v>
      </c>
      <c r="S3688">
        <v>0</v>
      </c>
      <c r="T3688">
        <v>0</v>
      </c>
      <c r="U3688">
        <v>0</v>
      </c>
      <c r="V3688">
        <v>1</v>
      </c>
      <c r="W3688">
        <v>0</v>
      </c>
      <c r="X3688" s="21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64</v>
      </c>
      <c r="AJ3688" t="s">
        <v>51</v>
      </c>
      <c r="AK3688" t="s">
        <v>52</v>
      </c>
      <c r="AL3688" t="s">
        <v>812</v>
      </c>
      <c r="AP3688" t="s">
        <v>951</v>
      </c>
    </row>
    <row r="3689" spans="1:42">
      <c r="A3689" s="16">
        <v>43826</v>
      </c>
      <c r="B3689">
        <v>5</v>
      </c>
      <c r="C3689">
        <v>988</v>
      </c>
      <c r="D3689">
        <v>14629</v>
      </c>
      <c r="E3689" t="s">
        <v>112</v>
      </c>
      <c r="F3689" t="s">
        <v>949</v>
      </c>
      <c r="G3689">
        <v>2</v>
      </c>
      <c r="H3689">
        <v>54</v>
      </c>
      <c r="I3689" s="25">
        <v>2641</v>
      </c>
      <c r="K3689" t="s">
        <v>631</v>
      </c>
      <c r="M3689" t="s">
        <v>52</v>
      </c>
      <c r="N3689" t="s">
        <v>44</v>
      </c>
      <c r="O3689">
        <v>115</v>
      </c>
      <c r="Q3689">
        <v>1</v>
      </c>
      <c r="R3689">
        <v>1</v>
      </c>
      <c r="S3689">
        <v>0</v>
      </c>
      <c r="T3689">
        <v>0</v>
      </c>
      <c r="U3689">
        <v>0</v>
      </c>
      <c r="V3689">
        <v>0</v>
      </c>
      <c r="W3689">
        <v>1</v>
      </c>
      <c r="X3689" s="21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96</v>
      </c>
      <c r="AJ3689" t="s">
        <v>51</v>
      </c>
      <c r="AK3689" t="s">
        <v>52</v>
      </c>
      <c r="AL3689" t="s">
        <v>812</v>
      </c>
      <c r="AP3689" t="s">
        <v>951</v>
      </c>
    </row>
    <row r="3690" spans="1:42">
      <c r="A3690" s="16">
        <v>43826</v>
      </c>
      <c r="B3690">
        <v>5</v>
      </c>
      <c r="C3690">
        <v>988</v>
      </c>
      <c r="D3690">
        <v>14629</v>
      </c>
      <c r="E3690" t="s">
        <v>112</v>
      </c>
      <c r="F3690" t="s">
        <v>949</v>
      </c>
      <c r="G3690">
        <v>2</v>
      </c>
      <c r="H3690">
        <v>55</v>
      </c>
      <c r="I3690" s="25">
        <v>2645</v>
      </c>
      <c r="K3690" t="s">
        <v>631</v>
      </c>
      <c r="M3690" t="s">
        <v>52</v>
      </c>
      <c r="N3690" t="s">
        <v>44</v>
      </c>
      <c r="O3690">
        <v>63</v>
      </c>
      <c r="Q3690">
        <v>1</v>
      </c>
      <c r="R3690">
        <v>1</v>
      </c>
      <c r="S3690">
        <v>0</v>
      </c>
      <c r="T3690">
        <v>0</v>
      </c>
      <c r="U3690">
        <v>0</v>
      </c>
      <c r="V3690">
        <v>0</v>
      </c>
      <c r="W3690">
        <v>1</v>
      </c>
      <c r="X3690" s="21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96</v>
      </c>
      <c r="AJ3690" t="s">
        <v>51</v>
      </c>
      <c r="AK3690" t="s">
        <v>52</v>
      </c>
      <c r="AL3690" t="s">
        <v>812</v>
      </c>
      <c r="AP3690" t="s">
        <v>951</v>
      </c>
    </row>
    <row r="3691" spans="1:42">
      <c r="A3691" s="16">
        <v>43826</v>
      </c>
      <c r="B3691">
        <v>5</v>
      </c>
      <c r="C3691">
        <v>988</v>
      </c>
      <c r="D3691">
        <v>14629</v>
      </c>
      <c r="E3691" t="s">
        <v>112</v>
      </c>
      <c r="F3691" t="s">
        <v>949</v>
      </c>
      <c r="G3691">
        <v>2</v>
      </c>
      <c r="H3691">
        <v>56</v>
      </c>
      <c r="I3691" s="25">
        <v>2655</v>
      </c>
      <c r="K3691" t="s">
        <v>631</v>
      </c>
      <c r="M3691" t="s">
        <v>52</v>
      </c>
      <c r="N3691" t="s">
        <v>44</v>
      </c>
      <c r="O3691">
        <v>73</v>
      </c>
      <c r="Q3691">
        <v>1</v>
      </c>
      <c r="R3691">
        <v>1</v>
      </c>
      <c r="S3691">
        <v>0</v>
      </c>
      <c r="T3691">
        <v>0</v>
      </c>
      <c r="U3691">
        <v>0</v>
      </c>
      <c r="V3691">
        <v>0</v>
      </c>
      <c r="W3691">
        <v>1</v>
      </c>
      <c r="X3691" s="2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96</v>
      </c>
      <c r="AJ3691" t="s">
        <v>51</v>
      </c>
      <c r="AK3691" t="s">
        <v>52</v>
      </c>
      <c r="AL3691" t="s">
        <v>812</v>
      </c>
      <c r="AP3691" t="s">
        <v>951</v>
      </c>
    </row>
    <row r="3692" spans="1:42">
      <c r="A3692" s="16">
        <v>43826</v>
      </c>
      <c r="B3692">
        <v>5</v>
      </c>
      <c r="C3692">
        <v>988</v>
      </c>
      <c r="D3692">
        <v>14629</v>
      </c>
      <c r="E3692" t="s">
        <v>112</v>
      </c>
      <c r="F3692" t="s">
        <v>949</v>
      </c>
      <c r="G3692">
        <v>2</v>
      </c>
      <c r="H3692">
        <v>57</v>
      </c>
      <c r="I3692" s="25">
        <v>2501</v>
      </c>
      <c r="K3692" t="s">
        <v>415</v>
      </c>
      <c r="M3692" t="s">
        <v>52</v>
      </c>
      <c r="N3692" t="s">
        <v>44</v>
      </c>
      <c r="O3692">
        <v>169</v>
      </c>
      <c r="Q3692">
        <v>1</v>
      </c>
      <c r="R3692">
        <v>1</v>
      </c>
      <c r="S3692">
        <v>0</v>
      </c>
      <c r="T3692">
        <v>0</v>
      </c>
      <c r="U3692">
        <v>0</v>
      </c>
      <c r="V3692">
        <v>1</v>
      </c>
      <c r="W3692">
        <v>0</v>
      </c>
      <c r="X3692" s="21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64</v>
      </c>
      <c r="AJ3692" t="s">
        <v>51</v>
      </c>
      <c r="AK3692" t="s">
        <v>52</v>
      </c>
      <c r="AL3692" t="s">
        <v>1206</v>
      </c>
      <c r="AP3692" t="s">
        <v>951</v>
      </c>
    </row>
    <row r="3693" spans="1:42">
      <c r="A3693" s="16">
        <v>43826</v>
      </c>
      <c r="B3693">
        <v>5</v>
      </c>
      <c r="C3693">
        <v>988</v>
      </c>
      <c r="D3693">
        <v>14629</v>
      </c>
      <c r="E3693" t="s">
        <v>112</v>
      </c>
      <c r="F3693" t="s">
        <v>949</v>
      </c>
      <c r="G3693">
        <v>2</v>
      </c>
      <c r="H3693">
        <v>58</v>
      </c>
      <c r="I3693" s="25">
        <v>1555</v>
      </c>
      <c r="K3693" t="s">
        <v>156</v>
      </c>
      <c r="M3693" t="s">
        <v>52</v>
      </c>
      <c r="N3693" t="s">
        <v>44</v>
      </c>
      <c r="O3693">
        <v>65</v>
      </c>
      <c r="Q3693">
        <v>2</v>
      </c>
      <c r="R3693">
        <v>1</v>
      </c>
      <c r="S3693">
        <v>0</v>
      </c>
      <c r="T3693">
        <v>0</v>
      </c>
      <c r="U3693">
        <v>0</v>
      </c>
      <c r="V3693">
        <v>0</v>
      </c>
      <c r="W3693">
        <v>2</v>
      </c>
      <c r="X3693" s="21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192</v>
      </c>
      <c r="AJ3693" t="s">
        <v>51</v>
      </c>
      <c r="AK3693" t="s">
        <v>95</v>
      </c>
      <c r="AL3693" t="s">
        <v>1207</v>
      </c>
      <c r="AP3693" t="s">
        <v>951</v>
      </c>
    </row>
    <row r="3694" spans="1:42">
      <c r="A3694" s="16">
        <v>43826</v>
      </c>
      <c r="B3694">
        <v>5</v>
      </c>
      <c r="C3694">
        <v>988</v>
      </c>
      <c r="D3694">
        <v>14629</v>
      </c>
      <c r="E3694" t="s">
        <v>112</v>
      </c>
      <c r="F3694" t="s">
        <v>949</v>
      </c>
      <c r="G3694">
        <v>2</v>
      </c>
      <c r="H3694">
        <v>59</v>
      </c>
      <c r="I3694" s="25">
        <v>1592</v>
      </c>
      <c r="K3694" t="s">
        <v>156</v>
      </c>
      <c r="M3694" t="s">
        <v>52</v>
      </c>
      <c r="N3694" t="s">
        <v>44</v>
      </c>
      <c r="O3694">
        <v>72</v>
      </c>
      <c r="Q3694">
        <v>1</v>
      </c>
      <c r="R3694">
        <v>1</v>
      </c>
      <c r="S3694">
        <v>0</v>
      </c>
      <c r="T3694">
        <v>0</v>
      </c>
      <c r="U3694">
        <v>0</v>
      </c>
      <c r="V3694">
        <v>0</v>
      </c>
      <c r="W3694">
        <v>1</v>
      </c>
      <c r="X3694" s="21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96</v>
      </c>
      <c r="AJ3694" t="s">
        <v>51</v>
      </c>
      <c r="AK3694" t="s">
        <v>95</v>
      </c>
      <c r="AL3694" t="s">
        <v>1208</v>
      </c>
      <c r="AP3694" t="s">
        <v>951</v>
      </c>
    </row>
    <row r="3695" spans="1:42">
      <c r="A3695" s="16">
        <v>43826</v>
      </c>
      <c r="B3695">
        <v>5</v>
      </c>
      <c r="C3695">
        <v>988</v>
      </c>
      <c r="D3695">
        <v>14629</v>
      </c>
      <c r="E3695" t="s">
        <v>112</v>
      </c>
      <c r="F3695" t="s">
        <v>949</v>
      </c>
      <c r="G3695">
        <v>2</v>
      </c>
      <c r="H3695">
        <v>60</v>
      </c>
      <c r="I3695" s="25">
        <v>2748</v>
      </c>
      <c r="K3695" t="s">
        <v>631</v>
      </c>
      <c r="M3695" t="s">
        <v>52</v>
      </c>
      <c r="N3695" t="s">
        <v>44</v>
      </c>
      <c r="O3695">
        <v>98</v>
      </c>
      <c r="Q3695">
        <v>1</v>
      </c>
      <c r="R3695">
        <v>1</v>
      </c>
      <c r="S3695">
        <v>0</v>
      </c>
      <c r="T3695">
        <v>0</v>
      </c>
      <c r="U3695">
        <v>0</v>
      </c>
      <c r="V3695">
        <v>0</v>
      </c>
      <c r="W3695">
        <v>1</v>
      </c>
      <c r="X3695" s="21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96</v>
      </c>
      <c r="AJ3695" t="s">
        <v>51</v>
      </c>
      <c r="AK3695" t="s">
        <v>95</v>
      </c>
      <c r="AP3695" t="s">
        <v>951</v>
      </c>
    </row>
    <row r="3696" spans="1:42">
      <c r="A3696" s="16">
        <v>43826</v>
      </c>
      <c r="B3696">
        <v>5</v>
      </c>
      <c r="C3696">
        <v>988</v>
      </c>
      <c r="D3696">
        <v>14629</v>
      </c>
      <c r="E3696" t="s">
        <v>112</v>
      </c>
      <c r="F3696" t="s">
        <v>949</v>
      </c>
      <c r="G3696">
        <v>2</v>
      </c>
      <c r="H3696">
        <v>61</v>
      </c>
      <c r="I3696" s="25">
        <v>2810</v>
      </c>
      <c r="K3696" t="s">
        <v>631</v>
      </c>
      <c r="M3696" t="s">
        <v>52</v>
      </c>
      <c r="N3696" t="s">
        <v>44</v>
      </c>
      <c r="O3696">
        <v>78</v>
      </c>
      <c r="Q3696">
        <v>1</v>
      </c>
      <c r="R3696">
        <v>1</v>
      </c>
      <c r="S3696">
        <v>0</v>
      </c>
      <c r="T3696">
        <v>0</v>
      </c>
      <c r="U3696">
        <v>0</v>
      </c>
      <c r="V3696">
        <v>0</v>
      </c>
      <c r="W3696">
        <v>1</v>
      </c>
      <c r="X3696" s="21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96</v>
      </c>
      <c r="AJ3696" t="s">
        <v>51</v>
      </c>
      <c r="AK3696" t="s">
        <v>52</v>
      </c>
      <c r="AP3696" t="s">
        <v>951</v>
      </c>
    </row>
    <row r="3697" spans="1:42">
      <c r="A3697" s="16">
        <v>43826</v>
      </c>
      <c r="B3697">
        <v>5</v>
      </c>
      <c r="C3697">
        <v>988</v>
      </c>
      <c r="D3697">
        <v>14629</v>
      </c>
      <c r="E3697" t="s">
        <v>112</v>
      </c>
      <c r="F3697" t="s">
        <v>949</v>
      </c>
      <c r="G3697">
        <v>2</v>
      </c>
      <c r="H3697">
        <v>62</v>
      </c>
      <c r="I3697" s="25">
        <v>1501</v>
      </c>
      <c r="K3697" t="s">
        <v>210</v>
      </c>
      <c r="M3697" t="s">
        <v>52</v>
      </c>
      <c r="N3697" t="s">
        <v>44</v>
      </c>
      <c r="O3697">
        <v>83</v>
      </c>
      <c r="Q3697">
        <v>1</v>
      </c>
      <c r="R3697">
        <v>1</v>
      </c>
      <c r="S3697">
        <v>0</v>
      </c>
      <c r="T3697">
        <v>0</v>
      </c>
      <c r="U3697">
        <v>0</v>
      </c>
      <c r="V3697">
        <v>0</v>
      </c>
      <c r="W3697">
        <v>1</v>
      </c>
      <c r="X3697" s="21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96</v>
      </c>
      <c r="AJ3697" t="s">
        <v>51</v>
      </c>
      <c r="AK3697" t="s">
        <v>52</v>
      </c>
      <c r="AL3697" t="s">
        <v>1209</v>
      </c>
      <c r="AP3697" t="s">
        <v>951</v>
      </c>
    </row>
    <row r="3698" spans="1:42">
      <c r="A3698" s="16">
        <v>43826</v>
      </c>
      <c r="B3698">
        <v>5</v>
      </c>
      <c r="C3698">
        <v>988</v>
      </c>
      <c r="D3698">
        <v>14629</v>
      </c>
      <c r="E3698" t="s">
        <v>112</v>
      </c>
      <c r="F3698" t="s">
        <v>949</v>
      </c>
      <c r="G3698">
        <v>2</v>
      </c>
      <c r="H3698">
        <v>63</v>
      </c>
      <c r="I3698" s="25">
        <v>1475</v>
      </c>
      <c r="K3698" t="s">
        <v>210</v>
      </c>
      <c r="M3698" t="s">
        <v>52</v>
      </c>
      <c r="N3698" t="s">
        <v>44</v>
      </c>
      <c r="O3698">
        <v>17</v>
      </c>
      <c r="Q3698">
        <v>0</v>
      </c>
      <c r="R3698">
        <v>1</v>
      </c>
      <c r="S3698">
        <v>0</v>
      </c>
      <c r="T3698">
        <v>0</v>
      </c>
      <c r="U3698">
        <v>0</v>
      </c>
      <c r="V3698">
        <v>0</v>
      </c>
      <c r="W3698">
        <v>0</v>
      </c>
      <c r="X3698" s="21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J3698" t="s">
        <v>51</v>
      </c>
      <c r="AK3698" t="s">
        <v>52</v>
      </c>
      <c r="AL3698" t="s">
        <v>1210</v>
      </c>
      <c r="AP3698" t="s">
        <v>951</v>
      </c>
    </row>
    <row r="3699" spans="1:42">
      <c r="A3699" s="16">
        <v>43826</v>
      </c>
      <c r="B3699">
        <v>5</v>
      </c>
      <c r="C3699">
        <v>988</v>
      </c>
      <c r="D3699">
        <v>14629</v>
      </c>
      <c r="E3699" t="s">
        <v>112</v>
      </c>
      <c r="F3699" t="s">
        <v>949</v>
      </c>
      <c r="G3699">
        <v>2</v>
      </c>
      <c r="H3699">
        <v>64</v>
      </c>
      <c r="I3699" s="25">
        <v>2725</v>
      </c>
      <c r="K3699" t="s">
        <v>415</v>
      </c>
      <c r="M3699" t="s">
        <v>52</v>
      </c>
      <c r="N3699" t="s">
        <v>44</v>
      </c>
      <c r="O3699">
        <v>163</v>
      </c>
      <c r="Q3699">
        <v>2</v>
      </c>
      <c r="R3699">
        <v>1</v>
      </c>
      <c r="S3699">
        <v>0</v>
      </c>
      <c r="T3699">
        <v>0</v>
      </c>
      <c r="U3699">
        <v>0</v>
      </c>
      <c r="V3699">
        <v>0</v>
      </c>
      <c r="W3699">
        <v>2</v>
      </c>
      <c r="X3699" s="21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192</v>
      </c>
      <c r="AJ3699" t="s">
        <v>51</v>
      </c>
      <c r="AK3699" t="s">
        <v>52</v>
      </c>
      <c r="AL3699" t="s">
        <v>1160</v>
      </c>
      <c r="AP3699" t="s">
        <v>951</v>
      </c>
    </row>
    <row r="3700" spans="1:42">
      <c r="A3700" s="16">
        <v>43826</v>
      </c>
      <c r="B3700">
        <v>5</v>
      </c>
      <c r="C3700">
        <v>988</v>
      </c>
      <c r="D3700">
        <v>14629</v>
      </c>
      <c r="E3700" t="s">
        <v>112</v>
      </c>
      <c r="F3700" t="s">
        <v>949</v>
      </c>
      <c r="G3700">
        <v>2</v>
      </c>
      <c r="H3700">
        <v>65</v>
      </c>
      <c r="I3700" s="25">
        <v>2415</v>
      </c>
      <c r="K3700" t="s">
        <v>415</v>
      </c>
      <c r="M3700" t="s">
        <v>52</v>
      </c>
      <c r="N3700" t="s">
        <v>44</v>
      </c>
      <c r="O3700">
        <v>90</v>
      </c>
      <c r="Q3700">
        <v>1</v>
      </c>
      <c r="R3700">
        <v>1</v>
      </c>
      <c r="S3700">
        <v>0</v>
      </c>
      <c r="T3700">
        <v>0</v>
      </c>
      <c r="U3700">
        <v>0</v>
      </c>
      <c r="V3700">
        <v>0</v>
      </c>
      <c r="W3700">
        <v>1</v>
      </c>
      <c r="X3700" s="21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96</v>
      </c>
      <c r="AJ3700" t="s">
        <v>51</v>
      </c>
      <c r="AK3700" t="s">
        <v>52</v>
      </c>
      <c r="AP3700" t="s">
        <v>951</v>
      </c>
    </row>
    <row r="3701" spans="1:42">
      <c r="A3701" s="16">
        <v>43826</v>
      </c>
      <c r="B3701">
        <v>5</v>
      </c>
      <c r="C3701">
        <v>988</v>
      </c>
      <c r="D3701">
        <v>14629</v>
      </c>
      <c r="E3701" t="s">
        <v>112</v>
      </c>
      <c r="F3701" t="s">
        <v>949</v>
      </c>
      <c r="G3701">
        <v>2</v>
      </c>
      <c r="H3701">
        <v>66</v>
      </c>
      <c r="I3701" s="25">
        <v>2299</v>
      </c>
      <c r="K3701" t="s">
        <v>415</v>
      </c>
      <c r="M3701" t="s">
        <v>52</v>
      </c>
      <c r="N3701" t="s">
        <v>44</v>
      </c>
      <c r="O3701">
        <v>35</v>
      </c>
      <c r="Q3701">
        <v>1</v>
      </c>
      <c r="R3701">
        <v>1</v>
      </c>
      <c r="S3701">
        <v>0</v>
      </c>
      <c r="T3701">
        <v>0</v>
      </c>
      <c r="U3701">
        <v>0</v>
      </c>
      <c r="V3701">
        <v>0</v>
      </c>
      <c r="W3701">
        <v>1</v>
      </c>
      <c r="X3701" s="2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96</v>
      </c>
      <c r="AJ3701" t="s">
        <v>51</v>
      </c>
      <c r="AK3701" t="s">
        <v>52</v>
      </c>
      <c r="AL3701" t="s">
        <v>1211</v>
      </c>
      <c r="AP3701" t="s">
        <v>951</v>
      </c>
    </row>
    <row r="3702" spans="1:42">
      <c r="A3702" s="16">
        <v>43826</v>
      </c>
      <c r="B3702">
        <v>5</v>
      </c>
      <c r="C3702">
        <v>988</v>
      </c>
      <c r="D3702">
        <v>14629</v>
      </c>
      <c r="E3702" t="s">
        <v>112</v>
      </c>
      <c r="F3702" t="s">
        <v>949</v>
      </c>
      <c r="G3702">
        <v>2</v>
      </c>
      <c r="H3702">
        <v>67</v>
      </c>
      <c r="I3702" s="25">
        <v>1600</v>
      </c>
      <c r="K3702" t="s">
        <v>585</v>
      </c>
      <c r="M3702" t="s">
        <v>52</v>
      </c>
      <c r="N3702" t="s">
        <v>44</v>
      </c>
      <c r="O3702">
        <v>114</v>
      </c>
      <c r="R3702">
        <v>1</v>
      </c>
      <c r="S3702">
        <v>0</v>
      </c>
      <c r="T3702">
        <v>0</v>
      </c>
      <c r="U3702">
        <v>0</v>
      </c>
      <c r="V3702">
        <v>0</v>
      </c>
      <c r="W3702">
        <v>0</v>
      </c>
      <c r="X3702" s="21">
        <v>0</v>
      </c>
      <c r="Y3702" s="21">
        <v>0</v>
      </c>
      <c r="Z3702" s="21">
        <v>0</v>
      </c>
      <c r="AA3702" s="21">
        <v>0</v>
      </c>
      <c r="AB3702" s="21">
        <v>0</v>
      </c>
      <c r="AC3702" s="21">
        <v>0</v>
      </c>
      <c r="AD3702" s="21">
        <v>0</v>
      </c>
      <c r="AE3702" s="21">
        <v>0</v>
      </c>
      <c r="AF3702" s="21">
        <v>0</v>
      </c>
      <c r="AG3702">
        <v>0</v>
      </c>
      <c r="AP3702" t="s">
        <v>951</v>
      </c>
    </row>
    <row r="3703" spans="1:42">
      <c r="A3703" s="16">
        <v>43826</v>
      </c>
      <c r="B3703">
        <v>5</v>
      </c>
      <c r="C3703">
        <v>988</v>
      </c>
      <c r="D3703">
        <v>14629</v>
      </c>
      <c r="E3703" t="s">
        <v>112</v>
      </c>
      <c r="F3703" t="s">
        <v>949</v>
      </c>
      <c r="G3703">
        <v>2</v>
      </c>
      <c r="H3703">
        <v>68</v>
      </c>
      <c r="I3703" s="25">
        <v>1600</v>
      </c>
      <c r="K3703" t="s">
        <v>585</v>
      </c>
      <c r="L3703" t="s">
        <v>114</v>
      </c>
      <c r="M3703" t="s">
        <v>52</v>
      </c>
      <c r="N3703" t="s">
        <v>40</v>
      </c>
      <c r="O3703">
        <v>30</v>
      </c>
      <c r="Q3703">
        <v>1</v>
      </c>
      <c r="R3703">
        <v>1</v>
      </c>
      <c r="S3703">
        <v>0</v>
      </c>
      <c r="T3703">
        <v>0</v>
      </c>
      <c r="U3703">
        <v>0</v>
      </c>
      <c r="V3703">
        <v>1</v>
      </c>
      <c r="W3703">
        <v>0</v>
      </c>
      <c r="X3703" s="21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 s="21">
        <v>0</v>
      </c>
      <c r="AE3703" s="21">
        <v>0</v>
      </c>
      <c r="AF3703">
        <v>0</v>
      </c>
      <c r="AG3703">
        <v>0</v>
      </c>
      <c r="AH3703">
        <v>64</v>
      </c>
      <c r="AJ3703" t="s">
        <v>51</v>
      </c>
      <c r="AK3703" t="s">
        <v>52</v>
      </c>
      <c r="AP3703" t="s">
        <v>951</v>
      </c>
    </row>
    <row r="3704" spans="1:42">
      <c r="A3704" s="16">
        <v>43826</v>
      </c>
      <c r="B3704">
        <v>5</v>
      </c>
      <c r="C3704">
        <v>988</v>
      </c>
      <c r="D3704">
        <v>14629</v>
      </c>
      <c r="E3704" t="s">
        <v>112</v>
      </c>
      <c r="F3704" t="s">
        <v>949</v>
      </c>
      <c r="G3704">
        <v>2</v>
      </c>
      <c r="H3704">
        <v>69</v>
      </c>
      <c r="I3704" s="25">
        <v>16114</v>
      </c>
      <c r="K3704" t="s">
        <v>585</v>
      </c>
      <c r="M3704" t="s">
        <v>52</v>
      </c>
      <c r="N3704" t="s">
        <v>44</v>
      </c>
      <c r="O3704">
        <v>88</v>
      </c>
      <c r="Q3704">
        <v>1</v>
      </c>
      <c r="R3704">
        <v>1</v>
      </c>
      <c r="S3704">
        <v>0</v>
      </c>
      <c r="T3704">
        <v>0</v>
      </c>
      <c r="U3704">
        <v>0</v>
      </c>
      <c r="V3704">
        <v>0</v>
      </c>
      <c r="W3704">
        <v>1</v>
      </c>
      <c r="X3704" s="21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 s="21">
        <v>0</v>
      </c>
      <c r="AE3704" s="21">
        <v>0</v>
      </c>
      <c r="AF3704">
        <v>0</v>
      </c>
      <c r="AG3704">
        <v>0</v>
      </c>
      <c r="AH3704">
        <v>96</v>
      </c>
      <c r="AJ3704" t="s">
        <v>51</v>
      </c>
      <c r="AK3704" t="s">
        <v>52</v>
      </c>
      <c r="AL3704" t="s">
        <v>1212</v>
      </c>
      <c r="AP3704" t="s">
        <v>951</v>
      </c>
    </row>
    <row r="3705" spans="1:42">
      <c r="A3705" s="16">
        <v>43826</v>
      </c>
      <c r="B3705">
        <v>5</v>
      </c>
      <c r="C3705">
        <v>988</v>
      </c>
      <c r="D3705">
        <v>14629</v>
      </c>
      <c r="E3705" t="s">
        <v>112</v>
      </c>
      <c r="F3705" t="s">
        <v>949</v>
      </c>
      <c r="G3705">
        <v>2</v>
      </c>
      <c r="H3705">
        <v>70</v>
      </c>
      <c r="I3705" s="25">
        <v>1610</v>
      </c>
      <c r="K3705" t="s">
        <v>585</v>
      </c>
      <c r="M3705" t="s">
        <v>52</v>
      </c>
      <c r="N3705" t="s">
        <v>44</v>
      </c>
      <c r="O3705">
        <v>49</v>
      </c>
      <c r="Q3705">
        <v>1</v>
      </c>
      <c r="R3705">
        <v>1</v>
      </c>
      <c r="S3705">
        <v>0</v>
      </c>
      <c r="T3705">
        <v>0</v>
      </c>
      <c r="U3705">
        <v>0</v>
      </c>
      <c r="V3705">
        <v>0</v>
      </c>
      <c r="W3705">
        <v>1</v>
      </c>
      <c r="X3705" s="21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 s="21">
        <v>0</v>
      </c>
      <c r="AE3705" s="21">
        <v>0</v>
      </c>
      <c r="AF3705">
        <v>0</v>
      </c>
      <c r="AG3705">
        <v>0</v>
      </c>
      <c r="AH3705">
        <v>96</v>
      </c>
      <c r="AJ3705" t="s">
        <v>51</v>
      </c>
      <c r="AK3705" t="s">
        <v>52</v>
      </c>
      <c r="AP3705" t="s">
        <v>951</v>
      </c>
    </row>
    <row r="3706" spans="1:42">
      <c r="A3706" s="16">
        <v>43826</v>
      </c>
      <c r="B3706">
        <v>5</v>
      </c>
      <c r="C3706">
        <v>988</v>
      </c>
      <c r="D3706">
        <v>14629</v>
      </c>
      <c r="E3706" t="s">
        <v>112</v>
      </c>
      <c r="F3706" t="s">
        <v>949</v>
      </c>
      <c r="G3706">
        <v>2</v>
      </c>
      <c r="H3706">
        <v>71</v>
      </c>
      <c r="I3706" s="25">
        <v>1611</v>
      </c>
      <c r="K3706" t="s">
        <v>585</v>
      </c>
      <c r="M3706" t="s">
        <v>95</v>
      </c>
      <c r="N3706" t="s">
        <v>44</v>
      </c>
      <c r="O3706">
        <v>106</v>
      </c>
      <c r="Q3706">
        <v>1</v>
      </c>
      <c r="R3706">
        <v>1</v>
      </c>
      <c r="S3706">
        <v>0</v>
      </c>
      <c r="T3706">
        <v>0</v>
      </c>
      <c r="U3706">
        <v>0</v>
      </c>
      <c r="V3706">
        <v>0</v>
      </c>
      <c r="W3706">
        <v>1</v>
      </c>
      <c r="X3706" s="21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 s="21">
        <v>0</v>
      </c>
      <c r="AE3706" s="21">
        <v>0</v>
      </c>
      <c r="AF3706">
        <v>0</v>
      </c>
      <c r="AG3706">
        <v>0</v>
      </c>
      <c r="AH3706">
        <v>96</v>
      </c>
      <c r="AJ3706" t="s">
        <v>51</v>
      </c>
      <c r="AK3706" t="s">
        <v>52</v>
      </c>
      <c r="AL3706" t="s">
        <v>1213</v>
      </c>
      <c r="AP3706" t="s">
        <v>951</v>
      </c>
    </row>
    <row r="3707" spans="1:42">
      <c r="A3707" s="16">
        <v>43826</v>
      </c>
      <c r="B3707">
        <v>5</v>
      </c>
      <c r="C3707">
        <v>988</v>
      </c>
      <c r="D3707">
        <v>14629</v>
      </c>
      <c r="E3707" t="s">
        <v>112</v>
      </c>
      <c r="F3707" t="s">
        <v>949</v>
      </c>
      <c r="G3707">
        <v>2</v>
      </c>
      <c r="H3707">
        <v>72</v>
      </c>
      <c r="I3707" s="25">
        <v>1626</v>
      </c>
      <c r="K3707" t="s">
        <v>585</v>
      </c>
      <c r="M3707" t="s">
        <v>52</v>
      </c>
      <c r="N3707" t="s">
        <v>44</v>
      </c>
      <c r="O3707">
        <v>121</v>
      </c>
      <c r="Q3707">
        <v>3</v>
      </c>
      <c r="R3707">
        <v>1</v>
      </c>
      <c r="S3707">
        <v>0</v>
      </c>
      <c r="T3707">
        <v>0</v>
      </c>
      <c r="U3707">
        <v>0</v>
      </c>
      <c r="V3707">
        <v>0</v>
      </c>
      <c r="W3707">
        <v>3</v>
      </c>
      <c r="X3707" s="21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 s="21">
        <v>0</v>
      </c>
      <c r="AE3707" s="21">
        <v>0</v>
      </c>
      <c r="AF3707">
        <v>0</v>
      </c>
      <c r="AG3707">
        <v>0</v>
      </c>
      <c r="AH3707">
        <v>288</v>
      </c>
      <c r="AJ3707" t="s">
        <v>51</v>
      </c>
      <c r="AK3707" t="s">
        <v>52</v>
      </c>
      <c r="AL3707" t="s">
        <v>1214</v>
      </c>
      <c r="AP3707" t="s">
        <v>951</v>
      </c>
    </row>
    <row r="3708" spans="1:42">
      <c r="A3708" s="16">
        <v>43826</v>
      </c>
      <c r="B3708">
        <v>5</v>
      </c>
      <c r="C3708">
        <v>988</v>
      </c>
      <c r="D3708">
        <v>14629</v>
      </c>
      <c r="E3708" t="s">
        <v>112</v>
      </c>
      <c r="F3708" t="s">
        <v>949</v>
      </c>
      <c r="G3708">
        <v>2</v>
      </c>
      <c r="H3708">
        <v>73</v>
      </c>
      <c r="I3708" s="25">
        <v>1640</v>
      </c>
      <c r="K3708" t="s">
        <v>585</v>
      </c>
      <c r="M3708" t="s">
        <v>52</v>
      </c>
      <c r="N3708" t="s">
        <v>44</v>
      </c>
      <c r="O3708">
        <v>135</v>
      </c>
      <c r="Q3708">
        <v>1</v>
      </c>
      <c r="R3708">
        <v>1</v>
      </c>
      <c r="S3708">
        <v>0</v>
      </c>
      <c r="T3708">
        <v>0</v>
      </c>
      <c r="U3708">
        <v>0</v>
      </c>
      <c r="V3708">
        <v>0</v>
      </c>
      <c r="W3708">
        <v>1</v>
      </c>
      <c r="X3708" s="21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 s="21">
        <v>0</v>
      </c>
      <c r="AE3708" s="21">
        <v>0</v>
      </c>
      <c r="AF3708">
        <v>0</v>
      </c>
      <c r="AG3708">
        <v>0</v>
      </c>
      <c r="AH3708">
        <v>96</v>
      </c>
      <c r="AJ3708" t="s">
        <v>51</v>
      </c>
      <c r="AK3708" t="s">
        <v>52</v>
      </c>
      <c r="AL3708" t="s">
        <v>1215</v>
      </c>
      <c r="AP3708" t="s">
        <v>951</v>
      </c>
    </row>
    <row r="3709" spans="1:42">
      <c r="A3709" s="16">
        <v>43826</v>
      </c>
      <c r="B3709">
        <v>5</v>
      </c>
      <c r="C3709">
        <v>988</v>
      </c>
      <c r="D3709">
        <v>14629</v>
      </c>
      <c r="E3709" t="s">
        <v>112</v>
      </c>
      <c r="F3709" t="s">
        <v>949</v>
      </c>
      <c r="G3709">
        <v>2</v>
      </c>
      <c r="H3709">
        <v>74</v>
      </c>
      <c r="I3709" s="25">
        <v>1701</v>
      </c>
      <c r="K3709" t="s">
        <v>585</v>
      </c>
      <c r="M3709" t="s">
        <v>52</v>
      </c>
      <c r="N3709" t="s">
        <v>44</v>
      </c>
      <c r="O3709">
        <v>141</v>
      </c>
      <c r="Q3709">
        <v>1</v>
      </c>
      <c r="R3709">
        <v>1</v>
      </c>
      <c r="S3709">
        <v>0</v>
      </c>
      <c r="T3709">
        <v>0</v>
      </c>
      <c r="U3709">
        <v>0</v>
      </c>
      <c r="V3709">
        <v>0</v>
      </c>
      <c r="W3709">
        <v>1</v>
      </c>
      <c r="X3709" s="21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 s="21">
        <v>0</v>
      </c>
      <c r="AE3709" s="21">
        <v>0</v>
      </c>
      <c r="AF3709">
        <v>0</v>
      </c>
      <c r="AG3709">
        <v>0</v>
      </c>
      <c r="AH3709">
        <v>96</v>
      </c>
      <c r="AJ3709" t="s">
        <v>51</v>
      </c>
      <c r="AK3709" t="s">
        <v>52</v>
      </c>
      <c r="AL3709" t="s">
        <v>812</v>
      </c>
      <c r="AP3709" t="s">
        <v>951</v>
      </c>
    </row>
    <row r="3710" spans="1:42">
      <c r="A3710" s="16">
        <v>43826</v>
      </c>
      <c r="B3710">
        <v>5</v>
      </c>
      <c r="C3710">
        <v>988</v>
      </c>
      <c r="D3710">
        <v>14629</v>
      </c>
      <c r="E3710" t="s">
        <v>112</v>
      </c>
      <c r="F3710" t="s">
        <v>949</v>
      </c>
      <c r="G3710">
        <v>2</v>
      </c>
      <c r="H3710">
        <v>75</v>
      </c>
      <c r="I3710" s="25">
        <v>1730</v>
      </c>
      <c r="K3710" t="s">
        <v>585</v>
      </c>
      <c r="M3710" t="s">
        <v>52</v>
      </c>
      <c r="N3710" t="s">
        <v>44</v>
      </c>
      <c r="O3710">
        <v>105</v>
      </c>
      <c r="Q3710">
        <v>1</v>
      </c>
      <c r="R3710">
        <v>1</v>
      </c>
      <c r="S3710">
        <v>0</v>
      </c>
      <c r="T3710">
        <v>0</v>
      </c>
      <c r="U3710">
        <v>0</v>
      </c>
      <c r="V3710">
        <v>0</v>
      </c>
      <c r="W3710">
        <v>1</v>
      </c>
      <c r="X3710" s="21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 s="21">
        <v>0</v>
      </c>
      <c r="AE3710" s="21">
        <v>0</v>
      </c>
      <c r="AF3710">
        <v>0</v>
      </c>
      <c r="AG3710">
        <v>0</v>
      </c>
      <c r="AH3710">
        <v>96</v>
      </c>
      <c r="AJ3710" t="s">
        <v>51</v>
      </c>
      <c r="AK3710" t="s">
        <v>95</v>
      </c>
      <c r="AL3710" t="s">
        <v>1216</v>
      </c>
      <c r="AP3710" t="s">
        <v>951</v>
      </c>
    </row>
    <row r="3711" spans="1:42">
      <c r="A3711" s="16">
        <v>43826</v>
      </c>
      <c r="B3711">
        <v>5</v>
      </c>
      <c r="C3711">
        <v>988</v>
      </c>
      <c r="D3711">
        <v>14629</v>
      </c>
      <c r="E3711" t="s">
        <v>112</v>
      </c>
      <c r="F3711" t="s">
        <v>949</v>
      </c>
      <c r="G3711">
        <v>2</v>
      </c>
      <c r="H3711">
        <v>76</v>
      </c>
      <c r="I3711" s="25">
        <v>1750</v>
      </c>
      <c r="K3711" t="s">
        <v>585</v>
      </c>
      <c r="M3711" t="s">
        <v>52</v>
      </c>
      <c r="N3711" t="s">
        <v>44</v>
      </c>
      <c r="O3711">
        <v>176</v>
      </c>
      <c r="Q3711">
        <v>4</v>
      </c>
      <c r="R3711">
        <v>1</v>
      </c>
      <c r="S3711">
        <v>0</v>
      </c>
      <c r="T3711">
        <v>0</v>
      </c>
      <c r="U3711">
        <v>0</v>
      </c>
      <c r="V3711">
        <v>0</v>
      </c>
      <c r="W3711">
        <v>4</v>
      </c>
      <c r="X3711" s="2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 s="21">
        <v>0</v>
      </c>
      <c r="AE3711" s="21">
        <v>0</v>
      </c>
      <c r="AF3711">
        <v>0</v>
      </c>
      <c r="AG3711">
        <v>0</v>
      </c>
      <c r="AH3711">
        <v>384</v>
      </c>
      <c r="AJ3711" t="s">
        <v>51</v>
      </c>
      <c r="AK3711" t="s">
        <v>95</v>
      </c>
      <c r="AP3711" t="s">
        <v>951</v>
      </c>
    </row>
    <row r="3712" spans="1:42">
      <c r="A3712" s="16">
        <v>43826</v>
      </c>
      <c r="B3712">
        <v>5</v>
      </c>
      <c r="C3712">
        <v>988</v>
      </c>
      <c r="D3712">
        <v>14629</v>
      </c>
      <c r="E3712" t="s">
        <v>112</v>
      </c>
      <c r="F3712" t="s">
        <v>949</v>
      </c>
      <c r="G3712">
        <v>2</v>
      </c>
      <c r="H3712">
        <v>77</v>
      </c>
      <c r="I3712" s="25">
        <v>1761</v>
      </c>
      <c r="K3712" t="s">
        <v>585</v>
      </c>
      <c r="M3712" t="s">
        <v>95</v>
      </c>
      <c r="N3712" t="s">
        <v>44</v>
      </c>
      <c r="O3712">
        <v>104</v>
      </c>
      <c r="Q3712">
        <v>1</v>
      </c>
      <c r="R3712">
        <v>1</v>
      </c>
      <c r="S3712">
        <v>0</v>
      </c>
      <c r="T3712">
        <v>0</v>
      </c>
      <c r="U3712">
        <v>0</v>
      </c>
      <c r="V3712">
        <v>0</v>
      </c>
      <c r="W3712">
        <v>1</v>
      </c>
      <c r="X3712" s="21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 s="21">
        <v>0</v>
      </c>
      <c r="AE3712" s="21">
        <v>0</v>
      </c>
      <c r="AF3712">
        <v>0</v>
      </c>
      <c r="AG3712">
        <v>0</v>
      </c>
      <c r="AH3712">
        <v>96</v>
      </c>
      <c r="AJ3712" t="s">
        <v>51</v>
      </c>
      <c r="AK3712" t="s">
        <v>95</v>
      </c>
      <c r="AL3712" t="s">
        <v>1217</v>
      </c>
      <c r="AP3712" t="s">
        <v>951</v>
      </c>
    </row>
    <row r="3713" spans="1:42">
      <c r="A3713" s="16">
        <v>43826</v>
      </c>
      <c r="B3713">
        <v>5</v>
      </c>
      <c r="C3713">
        <v>988</v>
      </c>
      <c r="D3713">
        <v>14629</v>
      </c>
      <c r="E3713" t="s">
        <v>112</v>
      </c>
      <c r="F3713" t="s">
        <v>949</v>
      </c>
      <c r="G3713">
        <v>2</v>
      </c>
      <c r="H3713">
        <v>78</v>
      </c>
      <c r="I3713" s="25">
        <v>1765</v>
      </c>
      <c r="K3713" t="s">
        <v>585</v>
      </c>
      <c r="M3713" t="s">
        <v>52</v>
      </c>
      <c r="N3713" t="s">
        <v>44</v>
      </c>
      <c r="O3713">
        <v>124</v>
      </c>
      <c r="Q3713">
        <v>1</v>
      </c>
      <c r="R3713">
        <v>1</v>
      </c>
      <c r="S3713">
        <v>0</v>
      </c>
      <c r="T3713">
        <v>0</v>
      </c>
      <c r="U3713">
        <v>0</v>
      </c>
      <c r="V3713">
        <v>1</v>
      </c>
      <c r="W3713">
        <v>0</v>
      </c>
      <c r="X3713" s="21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 s="21">
        <v>0</v>
      </c>
      <c r="AE3713" s="21">
        <v>0</v>
      </c>
      <c r="AF3713">
        <v>0</v>
      </c>
      <c r="AG3713">
        <v>0</v>
      </c>
      <c r="AH3713">
        <v>64</v>
      </c>
      <c r="AJ3713" t="s">
        <v>51</v>
      </c>
      <c r="AK3713" t="s">
        <v>52</v>
      </c>
      <c r="AL3713" t="s">
        <v>1218</v>
      </c>
      <c r="AP3713" t="s">
        <v>951</v>
      </c>
    </row>
    <row r="3714" spans="1:42">
      <c r="A3714" s="16">
        <v>43826</v>
      </c>
      <c r="B3714">
        <v>5</v>
      </c>
      <c r="C3714">
        <v>988</v>
      </c>
      <c r="D3714">
        <v>14629</v>
      </c>
      <c r="E3714" t="s">
        <v>112</v>
      </c>
      <c r="F3714" t="s">
        <v>949</v>
      </c>
      <c r="G3714">
        <v>2</v>
      </c>
      <c r="H3714">
        <v>79</v>
      </c>
      <c r="I3714" s="25">
        <v>1800</v>
      </c>
      <c r="K3714" t="s">
        <v>185</v>
      </c>
      <c r="M3714" t="s">
        <v>52</v>
      </c>
      <c r="N3714" t="s">
        <v>44</v>
      </c>
      <c r="O3714">
        <v>85</v>
      </c>
      <c r="Q3714">
        <v>2</v>
      </c>
      <c r="R3714">
        <v>1</v>
      </c>
      <c r="S3714">
        <v>0</v>
      </c>
      <c r="T3714">
        <v>0</v>
      </c>
      <c r="U3714">
        <v>0</v>
      </c>
      <c r="V3714">
        <v>0</v>
      </c>
      <c r="W3714">
        <v>2</v>
      </c>
      <c r="X3714" s="21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 s="21">
        <v>0</v>
      </c>
      <c r="AE3714" s="21">
        <v>0</v>
      </c>
      <c r="AF3714">
        <v>0</v>
      </c>
      <c r="AG3714">
        <v>0</v>
      </c>
      <c r="AH3714">
        <v>192</v>
      </c>
      <c r="AJ3714" t="s">
        <v>51</v>
      </c>
      <c r="AK3714" t="s">
        <v>52</v>
      </c>
      <c r="AL3714" t="s">
        <v>812</v>
      </c>
      <c r="AP3714" t="s">
        <v>951</v>
      </c>
    </row>
    <row r="3715" spans="1:42">
      <c r="A3715" s="16">
        <v>43826</v>
      </c>
      <c r="B3715">
        <v>5</v>
      </c>
      <c r="C3715">
        <v>988</v>
      </c>
      <c r="D3715">
        <v>14629</v>
      </c>
      <c r="E3715" t="s">
        <v>112</v>
      </c>
      <c r="F3715" t="s">
        <v>949</v>
      </c>
      <c r="G3715">
        <v>2</v>
      </c>
      <c r="H3715">
        <v>80</v>
      </c>
      <c r="I3715" s="25">
        <v>1800</v>
      </c>
      <c r="K3715" t="s">
        <v>185</v>
      </c>
      <c r="M3715" t="s">
        <v>52</v>
      </c>
      <c r="N3715" t="s">
        <v>40</v>
      </c>
      <c r="O3715">
        <v>29</v>
      </c>
      <c r="Q3715">
        <v>1</v>
      </c>
      <c r="R3715">
        <v>1</v>
      </c>
      <c r="S3715">
        <v>0</v>
      </c>
      <c r="T3715">
        <v>0</v>
      </c>
      <c r="U3715">
        <v>0</v>
      </c>
      <c r="V3715">
        <v>0</v>
      </c>
      <c r="W3715">
        <v>1</v>
      </c>
      <c r="X3715" s="21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 s="21">
        <v>0</v>
      </c>
      <c r="AE3715" s="21">
        <v>0</v>
      </c>
      <c r="AF3715">
        <v>0</v>
      </c>
      <c r="AG3715">
        <v>0</v>
      </c>
      <c r="AH3715">
        <v>96</v>
      </c>
      <c r="AJ3715" t="s">
        <v>51</v>
      </c>
      <c r="AK3715" t="s">
        <v>52</v>
      </c>
      <c r="AP3715" t="s">
        <v>951</v>
      </c>
    </row>
    <row r="3716" spans="1:42">
      <c r="A3716" s="16">
        <v>43826</v>
      </c>
      <c r="B3716">
        <v>5</v>
      </c>
      <c r="C3716">
        <v>988</v>
      </c>
      <c r="D3716">
        <v>14629</v>
      </c>
      <c r="E3716" t="s">
        <v>112</v>
      </c>
      <c r="F3716" t="s">
        <v>949</v>
      </c>
      <c r="G3716">
        <v>2</v>
      </c>
      <c r="H3716">
        <v>81</v>
      </c>
      <c r="I3716" s="25">
        <v>1698</v>
      </c>
      <c r="K3716" t="s">
        <v>119</v>
      </c>
      <c r="M3716" t="s">
        <v>95</v>
      </c>
      <c r="N3716" t="s">
        <v>44</v>
      </c>
      <c r="O3716">
        <v>164</v>
      </c>
      <c r="Q3716">
        <v>2</v>
      </c>
      <c r="R3716">
        <v>1</v>
      </c>
      <c r="S3716">
        <v>0</v>
      </c>
      <c r="T3716">
        <v>0</v>
      </c>
      <c r="U3716">
        <v>0</v>
      </c>
      <c r="V3716">
        <v>1</v>
      </c>
      <c r="W3716">
        <v>1</v>
      </c>
      <c r="X3716" s="21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 s="21">
        <v>0</v>
      </c>
      <c r="AE3716" s="21">
        <v>0</v>
      </c>
      <c r="AF3716">
        <v>0</v>
      </c>
      <c r="AG3716">
        <v>0</v>
      </c>
      <c r="AH3716">
        <v>160</v>
      </c>
      <c r="AJ3716" t="s">
        <v>51</v>
      </c>
      <c r="AK3716" t="s">
        <v>95</v>
      </c>
      <c r="AL3716" t="s">
        <v>1219</v>
      </c>
      <c r="AP3716" t="s">
        <v>951</v>
      </c>
    </row>
    <row r="3717" spans="1:42">
      <c r="A3717" s="16">
        <v>43826</v>
      </c>
      <c r="B3717">
        <v>5</v>
      </c>
      <c r="C3717">
        <v>988</v>
      </c>
      <c r="D3717">
        <v>14629</v>
      </c>
      <c r="E3717" t="s">
        <v>112</v>
      </c>
      <c r="F3717" t="s">
        <v>949</v>
      </c>
      <c r="G3717">
        <v>2</v>
      </c>
      <c r="H3717">
        <v>82</v>
      </c>
      <c r="I3717" s="25">
        <v>1675</v>
      </c>
      <c r="K3717" t="s">
        <v>119</v>
      </c>
      <c r="M3717" t="s">
        <v>52</v>
      </c>
      <c r="N3717" t="s">
        <v>44</v>
      </c>
      <c r="O3717">
        <v>86</v>
      </c>
      <c r="Q3717">
        <v>1</v>
      </c>
      <c r="R3717">
        <v>1</v>
      </c>
      <c r="S3717">
        <v>0</v>
      </c>
      <c r="T3717">
        <v>0</v>
      </c>
      <c r="U3717">
        <v>0</v>
      </c>
      <c r="V3717">
        <v>0</v>
      </c>
      <c r="W3717">
        <v>1</v>
      </c>
      <c r="X3717" s="21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 s="21">
        <v>0</v>
      </c>
      <c r="AE3717" s="21">
        <v>0</v>
      </c>
      <c r="AF3717">
        <v>0</v>
      </c>
      <c r="AG3717">
        <v>0</v>
      </c>
      <c r="AH3717">
        <v>96</v>
      </c>
      <c r="AJ3717" t="s">
        <v>51</v>
      </c>
      <c r="AK3717" t="s">
        <v>95</v>
      </c>
      <c r="AP3717" t="s">
        <v>951</v>
      </c>
    </row>
    <row r="3718" spans="1:42">
      <c r="A3718" s="16">
        <v>43826</v>
      </c>
      <c r="B3718">
        <v>5</v>
      </c>
      <c r="C3718">
        <v>988</v>
      </c>
      <c r="D3718">
        <v>14629</v>
      </c>
      <c r="E3718" t="s">
        <v>112</v>
      </c>
      <c r="F3718" t="s">
        <v>949</v>
      </c>
      <c r="G3718">
        <v>2</v>
      </c>
      <c r="H3718">
        <v>83</v>
      </c>
      <c r="I3718" s="25">
        <v>1667</v>
      </c>
      <c r="K3718" t="s">
        <v>119</v>
      </c>
      <c r="M3718" t="s">
        <v>52</v>
      </c>
      <c r="N3718" t="s">
        <v>44</v>
      </c>
      <c r="O3718">
        <v>82</v>
      </c>
      <c r="Q3718">
        <v>1</v>
      </c>
      <c r="R3718">
        <v>1</v>
      </c>
      <c r="S3718">
        <v>0</v>
      </c>
      <c r="T3718">
        <v>0</v>
      </c>
      <c r="U3718">
        <v>0</v>
      </c>
      <c r="V3718">
        <v>1</v>
      </c>
      <c r="W3718">
        <v>0</v>
      </c>
      <c r="X3718" s="21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 s="21">
        <v>0</v>
      </c>
      <c r="AE3718" s="21">
        <v>0</v>
      </c>
      <c r="AF3718">
        <v>0</v>
      </c>
      <c r="AG3718">
        <v>0</v>
      </c>
      <c r="AH3718">
        <v>64</v>
      </c>
      <c r="AJ3718" t="s">
        <v>51</v>
      </c>
      <c r="AK3718" t="s">
        <v>95</v>
      </c>
      <c r="AP3718" t="s">
        <v>951</v>
      </c>
    </row>
    <row r="3719" spans="1:42">
      <c r="A3719" s="16">
        <v>43826</v>
      </c>
      <c r="B3719">
        <v>5</v>
      </c>
      <c r="C3719">
        <v>988</v>
      </c>
      <c r="D3719">
        <v>14629</v>
      </c>
      <c r="E3719" t="s">
        <v>112</v>
      </c>
      <c r="F3719" t="s">
        <v>949</v>
      </c>
      <c r="G3719">
        <v>2</v>
      </c>
      <c r="H3719">
        <v>84</v>
      </c>
      <c r="I3719" s="25">
        <v>1565</v>
      </c>
      <c r="K3719" t="s">
        <v>119</v>
      </c>
      <c r="M3719" t="s">
        <v>52</v>
      </c>
      <c r="N3719" t="s">
        <v>44</v>
      </c>
      <c r="O3719">
        <v>85</v>
      </c>
      <c r="Q3719">
        <v>1</v>
      </c>
      <c r="R3719">
        <v>1</v>
      </c>
      <c r="S3719">
        <v>0</v>
      </c>
      <c r="T3719">
        <v>0</v>
      </c>
      <c r="U3719">
        <v>0</v>
      </c>
      <c r="V3719">
        <v>0</v>
      </c>
      <c r="W3719">
        <v>1</v>
      </c>
      <c r="X3719" s="21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 s="21">
        <v>0</v>
      </c>
      <c r="AE3719" s="21">
        <v>0</v>
      </c>
      <c r="AF3719">
        <v>0</v>
      </c>
      <c r="AG3719">
        <v>0</v>
      </c>
      <c r="AH3719">
        <v>96</v>
      </c>
      <c r="AJ3719" t="s">
        <v>51</v>
      </c>
      <c r="AK3719" t="s">
        <v>95</v>
      </c>
      <c r="AL3719" t="s">
        <v>1220</v>
      </c>
      <c r="AP3719" t="s">
        <v>951</v>
      </c>
    </row>
    <row r="3720" spans="1:42">
      <c r="A3720" s="16">
        <v>43826</v>
      </c>
      <c r="B3720">
        <v>5</v>
      </c>
      <c r="C3720">
        <v>988</v>
      </c>
      <c r="D3720">
        <v>14629</v>
      </c>
      <c r="E3720" t="s">
        <v>112</v>
      </c>
      <c r="F3720" t="s">
        <v>949</v>
      </c>
      <c r="G3720">
        <v>2</v>
      </c>
      <c r="H3720">
        <v>85</v>
      </c>
      <c r="I3720" s="25">
        <v>1545</v>
      </c>
      <c r="K3720" t="s">
        <v>119</v>
      </c>
      <c r="M3720" t="s">
        <v>52</v>
      </c>
      <c r="N3720" t="s">
        <v>44</v>
      </c>
      <c r="O3720">
        <v>125</v>
      </c>
      <c r="Q3720">
        <v>2</v>
      </c>
      <c r="R3720">
        <v>1</v>
      </c>
      <c r="S3720">
        <v>0</v>
      </c>
      <c r="T3720">
        <v>0</v>
      </c>
      <c r="U3720">
        <v>0</v>
      </c>
      <c r="V3720">
        <v>0</v>
      </c>
      <c r="W3720">
        <v>2</v>
      </c>
      <c r="X3720" s="21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 s="21">
        <v>0</v>
      </c>
      <c r="AE3720" s="21">
        <v>0</v>
      </c>
      <c r="AF3720">
        <v>0</v>
      </c>
      <c r="AG3720">
        <v>0</v>
      </c>
      <c r="AH3720">
        <v>192</v>
      </c>
      <c r="AJ3720" t="s">
        <v>51</v>
      </c>
      <c r="AK3720" t="s">
        <v>95</v>
      </c>
      <c r="AL3720" t="s">
        <v>1220</v>
      </c>
      <c r="AP3720" t="s">
        <v>951</v>
      </c>
    </row>
    <row r="3721" spans="1:42">
      <c r="A3721" s="16">
        <v>43826</v>
      </c>
      <c r="B3721">
        <v>5</v>
      </c>
      <c r="C3721">
        <v>988</v>
      </c>
      <c r="D3721">
        <v>14629</v>
      </c>
      <c r="E3721" t="s">
        <v>112</v>
      </c>
      <c r="F3721" t="s">
        <v>949</v>
      </c>
      <c r="G3721">
        <v>2</v>
      </c>
      <c r="H3721">
        <v>86</v>
      </c>
      <c r="I3721" s="25">
        <v>1552</v>
      </c>
      <c r="K3721" t="s">
        <v>119</v>
      </c>
      <c r="M3721" t="s">
        <v>95</v>
      </c>
      <c r="N3721" t="s">
        <v>44</v>
      </c>
      <c r="O3721">
        <v>87</v>
      </c>
      <c r="Q3721">
        <v>2</v>
      </c>
      <c r="R3721">
        <v>1</v>
      </c>
      <c r="S3721">
        <v>0</v>
      </c>
      <c r="T3721">
        <v>0</v>
      </c>
      <c r="U3721">
        <v>0</v>
      </c>
      <c r="V3721">
        <v>0</v>
      </c>
      <c r="W3721">
        <v>2</v>
      </c>
      <c r="X3721" s="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 s="21">
        <v>0</v>
      </c>
      <c r="AE3721" s="21">
        <v>0</v>
      </c>
      <c r="AF3721">
        <v>0</v>
      </c>
      <c r="AG3721">
        <v>0</v>
      </c>
      <c r="AH3721">
        <v>192</v>
      </c>
      <c r="AJ3721" t="s">
        <v>51</v>
      </c>
      <c r="AK3721" t="s">
        <v>95</v>
      </c>
      <c r="AP3721" t="s">
        <v>951</v>
      </c>
    </row>
    <row r="3722" spans="1:42">
      <c r="A3722" s="16">
        <v>43826</v>
      </c>
      <c r="B3722">
        <v>5</v>
      </c>
      <c r="C3722">
        <v>988</v>
      </c>
      <c r="D3722">
        <v>14629</v>
      </c>
      <c r="E3722" t="s">
        <v>112</v>
      </c>
      <c r="F3722" t="s">
        <v>949</v>
      </c>
      <c r="G3722">
        <v>2</v>
      </c>
      <c r="H3722">
        <v>87</v>
      </c>
      <c r="I3722" s="25">
        <v>1560</v>
      </c>
      <c r="K3722" t="s">
        <v>119</v>
      </c>
      <c r="M3722" t="s">
        <v>52</v>
      </c>
      <c r="N3722" t="s">
        <v>44</v>
      </c>
      <c r="O3722">
        <v>79</v>
      </c>
      <c r="Q3722">
        <v>1</v>
      </c>
      <c r="R3722">
        <v>1</v>
      </c>
      <c r="S3722">
        <v>0</v>
      </c>
      <c r="T3722">
        <v>0</v>
      </c>
      <c r="U3722">
        <v>0</v>
      </c>
      <c r="V3722">
        <v>1</v>
      </c>
      <c r="W3722">
        <v>0</v>
      </c>
      <c r="X3722" s="21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 s="21">
        <v>0</v>
      </c>
      <c r="AE3722" s="21">
        <v>0</v>
      </c>
      <c r="AF3722">
        <v>0</v>
      </c>
      <c r="AG3722">
        <v>0</v>
      </c>
      <c r="AH3722">
        <v>64</v>
      </c>
      <c r="AJ3722" t="s">
        <v>51</v>
      </c>
      <c r="AK3722" t="s">
        <v>95</v>
      </c>
      <c r="AL3722" t="s">
        <v>1221</v>
      </c>
      <c r="AP3722" t="s">
        <v>951</v>
      </c>
    </row>
    <row r="3723" spans="1:42">
      <c r="A3723" s="16">
        <v>43826</v>
      </c>
      <c r="B3723">
        <v>5</v>
      </c>
      <c r="C3723">
        <v>988</v>
      </c>
      <c r="D3723">
        <v>14629</v>
      </c>
      <c r="E3723" t="s">
        <v>112</v>
      </c>
      <c r="F3723" t="s">
        <v>949</v>
      </c>
      <c r="G3723">
        <v>2</v>
      </c>
      <c r="H3723">
        <v>88</v>
      </c>
      <c r="I3723" s="25">
        <v>1535</v>
      </c>
      <c r="K3723" t="s">
        <v>119</v>
      </c>
      <c r="M3723" t="s">
        <v>52</v>
      </c>
      <c r="N3723" t="s">
        <v>44</v>
      </c>
      <c r="O3723">
        <v>109</v>
      </c>
      <c r="Q3723">
        <v>2</v>
      </c>
      <c r="R3723">
        <v>1</v>
      </c>
      <c r="S3723">
        <v>0</v>
      </c>
      <c r="T3723">
        <v>0</v>
      </c>
      <c r="U3723">
        <v>0</v>
      </c>
      <c r="V3723">
        <v>0</v>
      </c>
      <c r="W3723">
        <v>2</v>
      </c>
      <c r="X3723" s="21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 s="21">
        <v>0</v>
      </c>
      <c r="AE3723" s="21">
        <v>0</v>
      </c>
      <c r="AF3723">
        <v>0</v>
      </c>
      <c r="AG3723">
        <v>0</v>
      </c>
      <c r="AH3723">
        <v>192</v>
      </c>
      <c r="AJ3723" t="s">
        <v>51</v>
      </c>
      <c r="AK3723" t="s">
        <v>52</v>
      </c>
      <c r="AL3723" t="s">
        <v>1221</v>
      </c>
      <c r="AP3723" t="s">
        <v>951</v>
      </c>
    </row>
    <row r="3724" spans="1:42">
      <c r="A3724" s="16">
        <v>43826</v>
      </c>
      <c r="B3724">
        <v>5</v>
      </c>
      <c r="C3724">
        <v>988</v>
      </c>
      <c r="D3724">
        <v>14629</v>
      </c>
      <c r="E3724" t="s">
        <v>112</v>
      </c>
      <c r="F3724" t="s">
        <v>949</v>
      </c>
      <c r="G3724">
        <v>2</v>
      </c>
      <c r="H3724">
        <v>89</v>
      </c>
      <c r="I3724" s="25">
        <v>1525</v>
      </c>
      <c r="K3724" t="s">
        <v>119</v>
      </c>
      <c r="M3724" t="s">
        <v>52</v>
      </c>
      <c r="N3724" t="s">
        <v>44</v>
      </c>
      <c r="O3724">
        <v>65</v>
      </c>
      <c r="Q3724">
        <v>1</v>
      </c>
      <c r="R3724">
        <v>1</v>
      </c>
      <c r="S3724">
        <v>0</v>
      </c>
      <c r="T3724">
        <v>0</v>
      </c>
      <c r="U3724">
        <v>0</v>
      </c>
      <c r="V3724">
        <v>1</v>
      </c>
      <c r="W3724">
        <v>0</v>
      </c>
      <c r="X3724" s="21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 s="21">
        <v>0</v>
      </c>
      <c r="AE3724" s="21">
        <v>0</v>
      </c>
      <c r="AF3724">
        <v>0</v>
      </c>
      <c r="AG3724">
        <v>0</v>
      </c>
      <c r="AH3724">
        <v>64</v>
      </c>
      <c r="AJ3724" t="s">
        <v>51</v>
      </c>
      <c r="AK3724" t="s">
        <v>52</v>
      </c>
      <c r="AP3724" t="s">
        <v>951</v>
      </c>
    </row>
    <row r="3725" spans="1:42">
      <c r="A3725" s="16">
        <v>43826</v>
      </c>
      <c r="B3725">
        <v>5</v>
      </c>
      <c r="C3725">
        <v>988</v>
      </c>
      <c r="D3725">
        <v>14629</v>
      </c>
      <c r="E3725" t="s">
        <v>112</v>
      </c>
      <c r="F3725" t="s">
        <v>949</v>
      </c>
      <c r="G3725">
        <v>2</v>
      </c>
      <c r="H3725">
        <v>90</v>
      </c>
      <c r="I3725" s="25">
        <v>2363</v>
      </c>
      <c r="K3725" t="s">
        <v>185</v>
      </c>
      <c r="M3725" t="s">
        <v>52</v>
      </c>
      <c r="N3725" t="s">
        <v>44</v>
      </c>
      <c r="O3725">
        <v>141</v>
      </c>
      <c r="Q3725">
        <v>3</v>
      </c>
      <c r="R3725">
        <v>1</v>
      </c>
      <c r="S3725">
        <v>0</v>
      </c>
      <c r="T3725">
        <v>0</v>
      </c>
      <c r="U3725">
        <v>0</v>
      </c>
      <c r="V3725">
        <v>0</v>
      </c>
      <c r="W3725">
        <v>3</v>
      </c>
      <c r="X3725" s="21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 s="21">
        <v>0</v>
      </c>
      <c r="AE3725" s="21">
        <v>0</v>
      </c>
      <c r="AF3725">
        <v>0</v>
      </c>
      <c r="AG3725">
        <v>0</v>
      </c>
      <c r="AH3725">
        <v>288</v>
      </c>
      <c r="AJ3725" t="s">
        <v>51</v>
      </c>
      <c r="AK3725" t="s">
        <v>52</v>
      </c>
      <c r="AL3725" t="s">
        <v>1222</v>
      </c>
      <c r="AP3725" t="s">
        <v>951</v>
      </c>
    </row>
    <row r="3726" spans="1:42">
      <c r="A3726" s="16">
        <v>43826</v>
      </c>
      <c r="B3726">
        <v>5</v>
      </c>
      <c r="C3726">
        <v>988</v>
      </c>
      <c r="D3726">
        <v>14629</v>
      </c>
      <c r="E3726" t="s">
        <v>112</v>
      </c>
      <c r="F3726" t="s">
        <v>949</v>
      </c>
      <c r="G3726">
        <v>2</v>
      </c>
      <c r="H3726">
        <v>91</v>
      </c>
      <c r="I3726" s="25">
        <v>1530</v>
      </c>
      <c r="K3726" t="s">
        <v>119</v>
      </c>
      <c r="M3726" t="s">
        <v>95</v>
      </c>
      <c r="N3726" t="s">
        <v>44</v>
      </c>
      <c r="O3726">
        <v>160</v>
      </c>
      <c r="Q3726">
        <v>1</v>
      </c>
      <c r="R3726">
        <v>1</v>
      </c>
      <c r="S3726">
        <v>0</v>
      </c>
      <c r="T3726">
        <v>0</v>
      </c>
      <c r="U3726">
        <v>0</v>
      </c>
      <c r="V3726">
        <v>0</v>
      </c>
      <c r="W3726">
        <v>1</v>
      </c>
      <c r="X3726" s="21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 s="21">
        <v>0</v>
      </c>
      <c r="AE3726" s="21">
        <v>0</v>
      </c>
      <c r="AF3726">
        <v>0</v>
      </c>
      <c r="AG3726">
        <v>0</v>
      </c>
      <c r="AH3726">
        <v>96</v>
      </c>
      <c r="AJ3726" t="s">
        <v>51</v>
      </c>
      <c r="AK3726" t="s">
        <v>52</v>
      </c>
      <c r="AL3726" t="s">
        <v>1223</v>
      </c>
      <c r="AP3726" t="s">
        <v>951</v>
      </c>
    </row>
    <row r="3727" spans="1:42">
      <c r="A3727" s="16">
        <v>43826</v>
      </c>
      <c r="B3727">
        <v>5</v>
      </c>
      <c r="C3727">
        <v>988</v>
      </c>
      <c r="D3727">
        <v>14629</v>
      </c>
      <c r="E3727" t="s">
        <v>112</v>
      </c>
      <c r="F3727" t="s">
        <v>949</v>
      </c>
      <c r="G3727">
        <v>2</v>
      </c>
      <c r="H3727">
        <v>92</v>
      </c>
      <c r="I3727" s="25">
        <v>2323</v>
      </c>
      <c r="K3727" t="s">
        <v>415</v>
      </c>
      <c r="M3727" t="s">
        <v>52</v>
      </c>
      <c r="N3727" t="s">
        <v>42</v>
      </c>
      <c r="O3727">
        <v>257</v>
      </c>
      <c r="Q3727">
        <v>5</v>
      </c>
      <c r="R3727">
        <v>1</v>
      </c>
      <c r="S3727">
        <v>0</v>
      </c>
      <c r="T3727">
        <v>0</v>
      </c>
      <c r="U3727">
        <v>1</v>
      </c>
      <c r="V3727">
        <v>4</v>
      </c>
      <c r="W3727">
        <v>0</v>
      </c>
      <c r="X3727" s="21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 s="21">
        <v>0</v>
      </c>
      <c r="AE3727" s="21">
        <v>0</v>
      </c>
      <c r="AF3727">
        <v>0</v>
      </c>
      <c r="AG3727">
        <v>0</v>
      </c>
      <c r="AH3727">
        <v>292</v>
      </c>
      <c r="AJ3727" t="s">
        <v>51</v>
      </c>
      <c r="AK3727" t="s">
        <v>52</v>
      </c>
      <c r="AL3727" t="s">
        <v>1224</v>
      </c>
      <c r="AP3727" t="s">
        <v>951</v>
      </c>
    </row>
    <row r="3728" spans="1:42">
      <c r="A3728" s="16">
        <v>43826</v>
      </c>
      <c r="B3728">
        <v>5</v>
      </c>
      <c r="C3728">
        <v>988</v>
      </c>
      <c r="D3728">
        <v>14629</v>
      </c>
      <c r="E3728" t="s">
        <v>112</v>
      </c>
      <c r="F3728" t="s">
        <v>949</v>
      </c>
      <c r="G3728">
        <v>2</v>
      </c>
      <c r="H3728">
        <v>93</v>
      </c>
      <c r="I3728" s="25">
        <v>2200</v>
      </c>
      <c r="K3728" t="s">
        <v>415</v>
      </c>
      <c r="L3728" t="s">
        <v>141</v>
      </c>
      <c r="M3728" t="s">
        <v>52</v>
      </c>
      <c r="N3728" t="s">
        <v>40</v>
      </c>
      <c r="O3728">
        <v>64</v>
      </c>
      <c r="Q3728">
        <v>2</v>
      </c>
      <c r="R3728">
        <v>1</v>
      </c>
      <c r="S3728">
        <v>0</v>
      </c>
      <c r="T3728">
        <v>0</v>
      </c>
      <c r="U3728">
        <v>0</v>
      </c>
      <c r="V3728">
        <v>0</v>
      </c>
      <c r="W3728">
        <v>2</v>
      </c>
      <c r="X3728" s="21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 s="21">
        <v>0</v>
      </c>
      <c r="AE3728" s="21">
        <v>0</v>
      </c>
      <c r="AF3728">
        <v>0</v>
      </c>
      <c r="AG3728">
        <v>0</v>
      </c>
      <c r="AH3728">
        <v>192</v>
      </c>
      <c r="AJ3728" t="s">
        <v>54</v>
      </c>
      <c r="AK3728" t="s">
        <v>52</v>
      </c>
      <c r="AL3728" t="s">
        <v>1225</v>
      </c>
      <c r="AP3728" t="s">
        <v>951</v>
      </c>
    </row>
    <row r="3729" spans="1:42">
      <c r="A3729" s="16">
        <v>43826</v>
      </c>
      <c r="B3729">
        <v>5</v>
      </c>
      <c r="C3729">
        <v>988</v>
      </c>
      <c r="D3729">
        <v>14629</v>
      </c>
      <c r="E3729" t="s">
        <v>112</v>
      </c>
      <c r="F3729" t="s">
        <v>949</v>
      </c>
      <c r="G3729">
        <v>2</v>
      </c>
      <c r="H3729">
        <v>94</v>
      </c>
      <c r="I3729" s="25">
        <v>1650</v>
      </c>
      <c r="K3729" t="s">
        <v>185</v>
      </c>
      <c r="M3729" t="s">
        <v>52</v>
      </c>
      <c r="N3729" t="s">
        <v>44</v>
      </c>
      <c r="O3729">
        <v>211</v>
      </c>
      <c r="Q3729">
        <v>2</v>
      </c>
      <c r="R3729">
        <v>1</v>
      </c>
      <c r="S3729">
        <v>0</v>
      </c>
      <c r="T3729">
        <v>0</v>
      </c>
      <c r="U3729">
        <v>0</v>
      </c>
      <c r="V3729">
        <v>0</v>
      </c>
      <c r="W3729">
        <v>2</v>
      </c>
      <c r="X3729" s="21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 s="21">
        <v>0</v>
      </c>
      <c r="AE3729" s="21">
        <v>0</v>
      </c>
      <c r="AF3729">
        <v>0</v>
      </c>
      <c r="AG3729">
        <v>0</v>
      </c>
      <c r="AH3729">
        <v>192</v>
      </c>
      <c r="AJ3729" t="s">
        <v>51</v>
      </c>
      <c r="AK3729" t="s">
        <v>52</v>
      </c>
      <c r="AL3729" t="s">
        <v>1226</v>
      </c>
      <c r="AP3729" t="s">
        <v>951</v>
      </c>
    </row>
    <row r="3730" spans="1:42">
      <c r="A3730" s="16">
        <v>43826</v>
      </c>
      <c r="B3730">
        <v>5</v>
      </c>
      <c r="C3730">
        <v>988</v>
      </c>
      <c r="D3730">
        <v>14629</v>
      </c>
      <c r="E3730" t="s">
        <v>112</v>
      </c>
      <c r="F3730" t="s">
        <v>949</v>
      </c>
      <c r="G3730">
        <v>2</v>
      </c>
      <c r="H3730">
        <v>95</v>
      </c>
      <c r="I3730" s="25">
        <v>1700</v>
      </c>
      <c r="K3730" t="s">
        <v>185</v>
      </c>
      <c r="L3730" t="s">
        <v>114</v>
      </c>
      <c r="M3730" t="s">
        <v>52</v>
      </c>
      <c r="N3730" t="s">
        <v>40</v>
      </c>
      <c r="O3730">
        <v>90</v>
      </c>
      <c r="Q3730">
        <v>3</v>
      </c>
      <c r="R3730">
        <v>1</v>
      </c>
      <c r="S3730">
        <v>0</v>
      </c>
      <c r="T3730">
        <v>0</v>
      </c>
      <c r="U3730">
        <v>1</v>
      </c>
      <c r="V3730">
        <v>1</v>
      </c>
      <c r="W3730">
        <v>1</v>
      </c>
      <c r="X3730" s="21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 s="21">
        <v>0</v>
      </c>
      <c r="AE3730" s="21">
        <v>0</v>
      </c>
      <c r="AF3730">
        <v>0</v>
      </c>
      <c r="AG3730">
        <v>0</v>
      </c>
      <c r="AH3730">
        <v>192</v>
      </c>
      <c r="AJ3730" t="s">
        <v>51</v>
      </c>
      <c r="AK3730" t="s">
        <v>95</v>
      </c>
      <c r="AP3730" t="s">
        <v>951</v>
      </c>
    </row>
    <row r="3731" spans="1:42">
      <c r="A3731" s="16">
        <v>43826</v>
      </c>
      <c r="B3731">
        <v>5</v>
      </c>
      <c r="C3731">
        <v>988</v>
      </c>
      <c r="D3731">
        <v>14629</v>
      </c>
      <c r="E3731" t="s">
        <v>112</v>
      </c>
      <c r="F3731" t="s">
        <v>949</v>
      </c>
      <c r="G3731">
        <v>2</v>
      </c>
      <c r="H3731">
        <v>96</v>
      </c>
      <c r="I3731" s="25">
        <v>1700</v>
      </c>
      <c r="K3731" t="s">
        <v>185</v>
      </c>
      <c r="M3731" t="s">
        <v>52</v>
      </c>
      <c r="N3731" t="s">
        <v>44</v>
      </c>
      <c r="O3731">
        <v>159</v>
      </c>
      <c r="Q3731">
        <v>3</v>
      </c>
      <c r="R3731">
        <v>1</v>
      </c>
      <c r="S3731">
        <v>0</v>
      </c>
      <c r="T3731">
        <v>0</v>
      </c>
      <c r="U3731">
        <v>0</v>
      </c>
      <c r="V3731">
        <v>0</v>
      </c>
      <c r="W3731">
        <v>3</v>
      </c>
      <c r="X3731" s="2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 s="21">
        <v>0</v>
      </c>
      <c r="AE3731" s="21">
        <v>0</v>
      </c>
      <c r="AF3731">
        <v>0</v>
      </c>
      <c r="AG3731">
        <v>0</v>
      </c>
      <c r="AH3731">
        <v>288</v>
      </c>
      <c r="AJ3731" t="s">
        <v>51</v>
      </c>
      <c r="AK3731" t="s">
        <v>95</v>
      </c>
      <c r="AL3731" t="s">
        <v>1226</v>
      </c>
      <c r="AP3731" t="s">
        <v>951</v>
      </c>
    </row>
    <row r="3732" spans="1:42">
      <c r="A3732" s="16">
        <v>43826</v>
      </c>
      <c r="B3732">
        <v>5</v>
      </c>
      <c r="C3732">
        <v>988</v>
      </c>
      <c r="D3732">
        <v>14629</v>
      </c>
      <c r="E3732" t="s">
        <v>112</v>
      </c>
      <c r="F3732" t="s">
        <v>949</v>
      </c>
      <c r="G3732">
        <v>2</v>
      </c>
      <c r="H3732">
        <v>97</v>
      </c>
      <c r="I3732" s="25">
        <v>1790</v>
      </c>
      <c r="K3732" t="s">
        <v>185</v>
      </c>
      <c r="M3732" t="s">
        <v>52</v>
      </c>
      <c r="N3732" t="s">
        <v>44</v>
      </c>
      <c r="O3732">
        <v>121</v>
      </c>
      <c r="Q3732">
        <v>4</v>
      </c>
      <c r="R3732">
        <v>1</v>
      </c>
      <c r="S3732">
        <v>0</v>
      </c>
      <c r="T3732">
        <v>0</v>
      </c>
      <c r="U3732">
        <v>0</v>
      </c>
      <c r="V3732">
        <v>0</v>
      </c>
      <c r="W3732">
        <v>4</v>
      </c>
      <c r="X3732" s="21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 s="21">
        <v>0</v>
      </c>
      <c r="AE3732" s="21">
        <v>0</v>
      </c>
      <c r="AF3732">
        <v>0</v>
      </c>
      <c r="AG3732">
        <v>0</v>
      </c>
      <c r="AH3732">
        <v>384</v>
      </c>
      <c r="AJ3732" t="s">
        <v>51</v>
      </c>
      <c r="AK3732" t="s">
        <v>95</v>
      </c>
      <c r="AL3732" t="s">
        <v>1227</v>
      </c>
      <c r="AP3732" t="s">
        <v>951</v>
      </c>
    </row>
    <row r="3733" spans="1:42">
      <c r="A3733" s="16">
        <v>43826</v>
      </c>
      <c r="B3733">
        <v>5</v>
      </c>
      <c r="C3733">
        <v>988</v>
      </c>
      <c r="D3733">
        <v>14629</v>
      </c>
      <c r="E3733" t="s">
        <v>112</v>
      </c>
      <c r="F3733" t="s">
        <v>949</v>
      </c>
      <c r="G3733">
        <v>2</v>
      </c>
      <c r="H3733">
        <v>98</v>
      </c>
      <c r="I3733" s="25">
        <v>2500</v>
      </c>
      <c r="K3733" t="s">
        <v>638</v>
      </c>
      <c r="L3733" t="s">
        <v>141</v>
      </c>
      <c r="M3733" t="s">
        <v>52</v>
      </c>
      <c r="N3733" t="s">
        <v>40</v>
      </c>
      <c r="O3733">
        <v>41</v>
      </c>
      <c r="Q3733">
        <v>1</v>
      </c>
      <c r="R3733">
        <v>1</v>
      </c>
      <c r="S3733">
        <v>0</v>
      </c>
      <c r="T3733">
        <v>0</v>
      </c>
      <c r="U3733">
        <v>1</v>
      </c>
      <c r="V3733">
        <v>0</v>
      </c>
      <c r="W3733">
        <v>0</v>
      </c>
      <c r="X3733" s="21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 s="21">
        <v>0</v>
      </c>
      <c r="AE3733" s="21">
        <v>0</v>
      </c>
      <c r="AF3733">
        <v>0</v>
      </c>
      <c r="AG3733">
        <v>0</v>
      </c>
      <c r="AH3733">
        <v>32</v>
      </c>
      <c r="AJ3733" t="s">
        <v>54</v>
      </c>
      <c r="AK3733" t="s">
        <v>52</v>
      </c>
      <c r="AL3733" t="s">
        <v>1228</v>
      </c>
      <c r="AP3733" t="s">
        <v>951</v>
      </c>
    </row>
    <row r="3734" spans="1:42">
      <c r="A3734" s="16">
        <v>43826</v>
      </c>
      <c r="B3734">
        <v>5</v>
      </c>
      <c r="C3734">
        <v>988</v>
      </c>
      <c r="D3734">
        <v>14629</v>
      </c>
      <c r="E3734" t="s">
        <v>112</v>
      </c>
      <c r="F3734" t="s">
        <v>949</v>
      </c>
      <c r="G3734">
        <v>2</v>
      </c>
      <c r="H3734">
        <v>99</v>
      </c>
      <c r="I3734" s="25">
        <v>1530</v>
      </c>
      <c r="K3734" t="s">
        <v>210</v>
      </c>
      <c r="M3734" t="s">
        <v>52</v>
      </c>
      <c r="N3734" t="s">
        <v>44</v>
      </c>
      <c r="O3734">
        <v>61</v>
      </c>
      <c r="Q3734">
        <v>1</v>
      </c>
      <c r="R3734">
        <v>1</v>
      </c>
      <c r="S3734">
        <v>0</v>
      </c>
      <c r="T3734">
        <v>0</v>
      </c>
      <c r="U3734">
        <v>0</v>
      </c>
      <c r="V3734">
        <v>0</v>
      </c>
      <c r="W3734">
        <v>1</v>
      </c>
      <c r="X3734" s="21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 s="21">
        <v>0</v>
      </c>
      <c r="AE3734" s="21">
        <v>0</v>
      </c>
      <c r="AF3734">
        <v>0</v>
      </c>
      <c r="AG3734">
        <v>0</v>
      </c>
      <c r="AH3734">
        <v>96</v>
      </c>
      <c r="AJ3734" t="s">
        <v>51</v>
      </c>
      <c r="AK3734" t="s">
        <v>95</v>
      </c>
      <c r="AL3734" t="s">
        <v>1229</v>
      </c>
      <c r="AP3734" t="s">
        <v>951</v>
      </c>
    </row>
    <row r="3735" spans="1:42">
      <c r="A3735" s="16">
        <v>43826</v>
      </c>
      <c r="B3735">
        <v>5</v>
      </c>
      <c r="C3735">
        <v>988</v>
      </c>
      <c r="D3735">
        <v>14629</v>
      </c>
      <c r="E3735" t="s">
        <v>112</v>
      </c>
      <c r="F3735" t="s">
        <v>949</v>
      </c>
      <c r="G3735">
        <v>2</v>
      </c>
      <c r="H3735">
        <v>100</v>
      </c>
      <c r="I3735" s="25">
        <v>1457</v>
      </c>
      <c r="K3735" t="s">
        <v>324</v>
      </c>
      <c r="M3735" t="s">
        <v>52</v>
      </c>
      <c r="N3735" t="s">
        <v>44</v>
      </c>
      <c r="O3735">
        <v>133</v>
      </c>
      <c r="Q3735">
        <v>2</v>
      </c>
      <c r="R3735">
        <v>1</v>
      </c>
      <c r="S3735">
        <v>0</v>
      </c>
      <c r="T3735">
        <v>0</v>
      </c>
      <c r="U3735">
        <v>0</v>
      </c>
      <c r="V3735">
        <v>0</v>
      </c>
      <c r="W3735">
        <v>2</v>
      </c>
      <c r="X3735" s="21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 s="21">
        <v>0</v>
      </c>
      <c r="AE3735" s="21">
        <v>0</v>
      </c>
      <c r="AF3735">
        <v>0</v>
      </c>
      <c r="AG3735">
        <v>0</v>
      </c>
      <c r="AH3735">
        <v>192</v>
      </c>
      <c r="AJ3735" t="s">
        <v>51</v>
      </c>
      <c r="AK3735" t="s">
        <v>95</v>
      </c>
      <c r="AL3735" t="s">
        <v>1230</v>
      </c>
      <c r="AP3735" t="s">
        <v>951</v>
      </c>
    </row>
    <row r="3736" spans="1:42">
      <c r="A3736" s="16">
        <v>43826</v>
      </c>
      <c r="B3736">
        <v>5</v>
      </c>
      <c r="C3736">
        <v>988</v>
      </c>
      <c r="D3736">
        <v>14629</v>
      </c>
      <c r="E3736" t="s">
        <v>112</v>
      </c>
      <c r="F3736" t="s">
        <v>949</v>
      </c>
      <c r="G3736">
        <v>2</v>
      </c>
      <c r="H3736">
        <v>101</v>
      </c>
      <c r="I3736" s="25">
        <v>1447</v>
      </c>
      <c r="K3736" t="s">
        <v>324</v>
      </c>
      <c r="M3736" t="s">
        <v>52</v>
      </c>
      <c r="N3736" t="s">
        <v>44</v>
      </c>
      <c r="O3736">
        <v>71</v>
      </c>
      <c r="Q3736">
        <v>1</v>
      </c>
      <c r="R3736">
        <v>1</v>
      </c>
      <c r="S3736">
        <v>0</v>
      </c>
      <c r="T3736">
        <v>0</v>
      </c>
      <c r="U3736">
        <v>0</v>
      </c>
      <c r="V3736">
        <v>0</v>
      </c>
      <c r="W3736">
        <v>1</v>
      </c>
      <c r="X3736" s="21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 s="21">
        <v>0</v>
      </c>
      <c r="AE3736" s="21">
        <v>0</v>
      </c>
      <c r="AF3736">
        <v>0</v>
      </c>
      <c r="AG3736">
        <v>0</v>
      </c>
      <c r="AH3736">
        <v>96</v>
      </c>
      <c r="AJ3736" t="s">
        <v>51</v>
      </c>
      <c r="AK3736" t="s">
        <v>95</v>
      </c>
      <c r="AP3736" t="s">
        <v>951</v>
      </c>
    </row>
    <row r="3737" spans="1:42">
      <c r="A3737" s="16">
        <v>43826</v>
      </c>
      <c r="B3737">
        <v>5</v>
      </c>
      <c r="C3737">
        <v>988</v>
      </c>
      <c r="D3737">
        <v>14629</v>
      </c>
      <c r="E3737" t="s">
        <v>112</v>
      </c>
      <c r="F3737" t="s">
        <v>949</v>
      </c>
      <c r="G3737">
        <v>2</v>
      </c>
      <c r="H3737">
        <v>102</v>
      </c>
      <c r="I3737" s="25">
        <v>1400</v>
      </c>
      <c r="K3737" t="s">
        <v>324</v>
      </c>
      <c r="M3737" t="s">
        <v>52</v>
      </c>
      <c r="N3737" t="s">
        <v>40</v>
      </c>
      <c r="O3737">
        <v>61</v>
      </c>
      <c r="Q3737">
        <v>2</v>
      </c>
      <c r="R3737">
        <v>1</v>
      </c>
      <c r="S3737">
        <v>0</v>
      </c>
      <c r="T3737">
        <v>0</v>
      </c>
      <c r="U3737">
        <v>0</v>
      </c>
      <c r="V3737">
        <v>2</v>
      </c>
      <c r="W3737">
        <v>0</v>
      </c>
      <c r="X3737" s="21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 s="21">
        <v>0</v>
      </c>
      <c r="AE3737" s="21">
        <v>0</v>
      </c>
      <c r="AF3737">
        <v>0</v>
      </c>
      <c r="AG3737">
        <v>0</v>
      </c>
      <c r="AH3737">
        <v>128</v>
      </c>
      <c r="AJ3737" t="s">
        <v>51</v>
      </c>
      <c r="AK3737" t="s">
        <v>95</v>
      </c>
      <c r="AP3737" t="s">
        <v>951</v>
      </c>
    </row>
    <row r="3738" spans="1:42">
      <c r="A3738" s="16">
        <v>43826</v>
      </c>
      <c r="B3738">
        <v>5</v>
      </c>
      <c r="C3738">
        <v>988</v>
      </c>
      <c r="D3738">
        <v>14629</v>
      </c>
      <c r="E3738" t="s">
        <v>112</v>
      </c>
      <c r="F3738" t="s">
        <v>949</v>
      </c>
      <c r="G3738">
        <v>2</v>
      </c>
      <c r="H3738">
        <v>103</v>
      </c>
      <c r="I3738" s="25">
        <v>1365</v>
      </c>
      <c r="K3738" t="s">
        <v>324</v>
      </c>
      <c r="M3738" t="s">
        <v>52</v>
      </c>
      <c r="N3738" t="s">
        <v>44</v>
      </c>
      <c r="O3738">
        <v>46</v>
      </c>
      <c r="Q3738">
        <v>1</v>
      </c>
      <c r="R3738">
        <v>1</v>
      </c>
      <c r="S3738">
        <v>0</v>
      </c>
      <c r="T3738">
        <v>0</v>
      </c>
      <c r="U3738">
        <v>0</v>
      </c>
      <c r="V3738">
        <v>0</v>
      </c>
      <c r="W3738">
        <v>1</v>
      </c>
      <c r="X3738" s="21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 s="21">
        <v>0</v>
      </c>
      <c r="AE3738" s="21">
        <v>0</v>
      </c>
      <c r="AF3738">
        <v>0</v>
      </c>
      <c r="AG3738">
        <v>0</v>
      </c>
      <c r="AH3738">
        <v>96</v>
      </c>
      <c r="AJ3738" t="s">
        <v>51</v>
      </c>
      <c r="AK3738" t="s">
        <v>95</v>
      </c>
      <c r="AL3738" t="s">
        <v>1231</v>
      </c>
      <c r="AP3738" t="s">
        <v>951</v>
      </c>
    </row>
    <row r="3739" spans="1:42">
      <c r="A3739" s="16">
        <v>43826</v>
      </c>
      <c r="B3739">
        <v>5</v>
      </c>
      <c r="C3739">
        <v>988</v>
      </c>
      <c r="D3739">
        <v>14629</v>
      </c>
      <c r="E3739" t="s">
        <v>112</v>
      </c>
      <c r="F3739" t="s">
        <v>949</v>
      </c>
      <c r="G3739">
        <v>2</v>
      </c>
      <c r="H3739">
        <v>104</v>
      </c>
      <c r="I3739" s="25">
        <v>1301</v>
      </c>
      <c r="K3739" t="s">
        <v>324</v>
      </c>
      <c r="M3739" t="s">
        <v>52</v>
      </c>
      <c r="N3739" t="s">
        <v>44</v>
      </c>
      <c r="O3739">
        <v>58</v>
      </c>
      <c r="Q3739">
        <v>2</v>
      </c>
      <c r="R3739">
        <v>1</v>
      </c>
      <c r="S3739">
        <v>0</v>
      </c>
      <c r="T3739">
        <v>0</v>
      </c>
      <c r="U3739">
        <v>0</v>
      </c>
      <c r="V3739">
        <v>0</v>
      </c>
      <c r="W3739">
        <v>2</v>
      </c>
      <c r="X3739" s="21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 s="21">
        <v>0</v>
      </c>
      <c r="AE3739" s="21">
        <v>0</v>
      </c>
      <c r="AF3739">
        <v>0</v>
      </c>
      <c r="AG3739">
        <v>0</v>
      </c>
      <c r="AH3739">
        <v>192</v>
      </c>
      <c r="AJ3739" t="s">
        <v>54</v>
      </c>
      <c r="AK3739" t="s">
        <v>95</v>
      </c>
      <c r="AL3739" t="s">
        <v>1232</v>
      </c>
      <c r="AP3739" t="s">
        <v>951</v>
      </c>
    </row>
    <row r="3740" spans="1:42">
      <c r="A3740" s="16">
        <v>43826</v>
      </c>
      <c r="B3740">
        <v>5</v>
      </c>
      <c r="C3740">
        <v>988</v>
      </c>
      <c r="D3740">
        <v>14629</v>
      </c>
      <c r="E3740" t="s">
        <v>112</v>
      </c>
      <c r="F3740" t="s">
        <v>949</v>
      </c>
      <c r="G3740">
        <v>2</v>
      </c>
      <c r="H3740">
        <v>105</v>
      </c>
      <c r="I3740" s="25">
        <v>1312</v>
      </c>
      <c r="K3740" t="s">
        <v>324</v>
      </c>
      <c r="M3740" t="s">
        <v>95</v>
      </c>
      <c r="N3740" t="s">
        <v>44</v>
      </c>
      <c r="O3740">
        <v>91</v>
      </c>
      <c r="Q3740">
        <v>2</v>
      </c>
      <c r="R3740">
        <v>1</v>
      </c>
      <c r="S3740">
        <v>0</v>
      </c>
      <c r="T3740">
        <v>0</v>
      </c>
      <c r="U3740">
        <v>0</v>
      </c>
      <c r="V3740">
        <v>0</v>
      </c>
      <c r="W3740">
        <v>2</v>
      </c>
      <c r="X3740" s="21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 s="21">
        <v>0</v>
      </c>
      <c r="AE3740" s="21">
        <v>0</v>
      </c>
      <c r="AF3740">
        <v>0</v>
      </c>
      <c r="AG3740">
        <v>0</v>
      </c>
      <c r="AH3740">
        <v>192</v>
      </c>
      <c r="AJ3740" t="s">
        <v>54</v>
      </c>
      <c r="AK3740" t="s">
        <v>95</v>
      </c>
      <c r="AP3740" t="s">
        <v>951</v>
      </c>
    </row>
    <row r="3741" spans="1:42">
      <c r="A3741" s="16">
        <v>43826</v>
      </c>
      <c r="B3741">
        <v>5</v>
      </c>
      <c r="C3741">
        <v>988</v>
      </c>
      <c r="D3741">
        <v>14629</v>
      </c>
      <c r="E3741" t="s">
        <v>112</v>
      </c>
      <c r="F3741" t="s">
        <v>949</v>
      </c>
      <c r="G3741">
        <v>2</v>
      </c>
      <c r="H3741">
        <v>106</v>
      </c>
      <c r="I3741" s="25">
        <v>2855</v>
      </c>
      <c r="K3741" t="s">
        <v>415</v>
      </c>
      <c r="M3741" t="s">
        <v>52</v>
      </c>
      <c r="N3741" t="s">
        <v>44</v>
      </c>
      <c r="O3741">
        <v>79</v>
      </c>
      <c r="Q3741">
        <v>1</v>
      </c>
      <c r="R3741">
        <v>1</v>
      </c>
      <c r="S3741">
        <v>0</v>
      </c>
      <c r="T3741">
        <v>0</v>
      </c>
      <c r="U3741">
        <v>0</v>
      </c>
      <c r="V3741">
        <v>0</v>
      </c>
      <c r="W3741">
        <v>1</v>
      </c>
      <c r="X3741" s="2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 s="21">
        <v>0</v>
      </c>
      <c r="AE3741" s="21">
        <v>0</v>
      </c>
      <c r="AF3741">
        <v>0</v>
      </c>
      <c r="AG3741">
        <v>0</v>
      </c>
      <c r="AH3741">
        <v>96</v>
      </c>
      <c r="AJ3741" t="s">
        <v>51</v>
      </c>
      <c r="AK3741" t="s">
        <v>95</v>
      </c>
      <c r="AL3741" t="s">
        <v>1225</v>
      </c>
      <c r="AP3741" t="s">
        <v>951</v>
      </c>
    </row>
    <row r="3742" spans="1:42">
      <c r="A3742" s="16">
        <v>43826</v>
      </c>
      <c r="B3742">
        <v>5</v>
      </c>
      <c r="C3742">
        <v>988</v>
      </c>
      <c r="D3742">
        <v>14629</v>
      </c>
      <c r="E3742" t="s">
        <v>112</v>
      </c>
      <c r="F3742" t="s">
        <v>949</v>
      </c>
      <c r="G3742">
        <v>2</v>
      </c>
      <c r="H3742">
        <v>107</v>
      </c>
      <c r="I3742" s="25">
        <v>2845</v>
      </c>
      <c r="K3742" t="s">
        <v>415</v>
      </c>
      <c r="M3742" t="s">
        <v>52</v>
      </c>
      <c r="N3742" t="s">
        <v>44</v>
      </c>
      <c r="O3742">
        <v>223</v>
      </c>
      <c r="Q3742">
        <v>2</v>
      </c>
      <c r="R3742">
        <v>1</v>
      </c>
      <c r="S3742">
        <v>0</v>
      </c>
      <c r="T3742">
        <v>0</v>
      </c>
      <c r="U3742">
        <v>0</v>
      </c>
      <c r="V3742">
        <v>0</v>
      </c>
      <c r="W3742">
        <v>2</v>
      </c>
      <c r="X3742" s="21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 s="21">
        <v>0</v>
      </c>
      <c r="AE3742" s="21">
        <v>0</v>
      </c>
      <c r="AF3742">
        <v>0</v>
      </c>
      <c r="AG3742">
        <v>0</v>
      </c>
      <c r="AH3742">
        <v>192</v>
      </c>
      <c r="AJ3742" t="s">
        <v>51</v>
      </c>
      <c r="AK3742" t="s">
        <v>95</v>
      </c>
      <c r="AL3742" t="s">
        <v>1233</v>
      </c>
      <c r="AP3742" t="s">
        <v>951</v>
      </c>
    </row>
    <row r="3743" spans="1:42">
      <c r="A3743" s="16">
        <v>43826</v>
      </c>
      <c r="B3743">
        <v>5</v>
      </c>
      <c r="C3743">
        <v>988</v>
      </c>
      <c r="D3743">
        <v>14629</v>
      </c>
      <c r="E3743" t="s">
        <v>112</v>
      </c>
      <c r="F3743" t="s">
        <v>949</v>
      </c>
      <c r="G3743">
        <v>2</v>
      </c>
      <c r="H3743">
        <v>108</v>
      </c>
      <c r="I3743" s="25">
        <v>2835</v>
      </c>
      <c r="K3743" t="s">
        <v>415</v>
      </c>
      <c r="M3743" t="s">
        <v>52</v>
      </c>
      <c r="N3743" t="s">
        <v>44</v>
      </c>
      <c r="O3743">
        <v>143</v>
      </c>
      <c r="Q3743">
        <v>2</v>
      </c>
      <c r="R3743">
        <v>1</v>
      </c>
      <c r="S3743">
        <v>0</v>
      </c>
      <c r="T3743">
        <v>0</v>
      </c>
      <c r="U3743">
        <v>0</v>
      </c>
      <c r="V3743">
        <v>2</v>
      </c>
      <c r="W3743">
        <v>0</v>
      </c>
      <c r="X3743" s="21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 s="21">
        <v>0</v>
      </c>
      <c r="AE3743" s="21">
        <v>0</v>
      </c>
      <c r="AF3743">
        <v>0</v>
      </c>
      <c r="AG3743">
        <v>0</v>
      </c>
      <c r="AH3743">
        <v>128</v>
      </c>
      <c r="AJ3743" t="s">
        <v>51</v>
      </c>
      <c r="AK3743" t="s">
        <v>52</v>
      </c>
      <c r="AP3743" t="s">
        <v>951</v>
      </c>
    </row>
    <row r="3744" spans="1:42">
      <c r="A3744" s="16">
        <v>43826</v>
      </c>
      <c r="B3744">
        <v>5</v>
      </c>
      <c r="C3744">
        <v>988</v>
      </c>
      <c r="D3744">
        <v>14629</v>
      </c>
      <c r="E3744" t="s">
        <v>112</v>
      </c>
      <c r="F3744" t="s">
        <v>949</v>
      </c>
      <c r="G3744">
        <v>2</v>
      </c>
      <c r="H3744">
        <v>109</v>
      </c>
      <c r="I3744" s="25">
        <v>2815</v>
      </c>
      <c r="K3744" t="s">
        <v>415</v>
      </c>
      <c r="M3744" t="s">
        <v>52</v>
      </c>
      <c r="N3744" t="s">
        <v>44</v>
      </c>
      <c r="O3744">
        <v>134</v>
      </c>
      <c r="Q3744">
        <v>2</v>
      </c>
      <c r="R3744">
        <v>1</v>
      </c>
      <c r="S3744">
        <v>0</v>
      </c>
      <c r="T3744">
        <v>0</v>
      </c>
      <c r="U3744">
        <v>0</v>
      </c>
      <c r="V3744">
        <v>0</v>
      </c>
      <c r="W3744">
        <v>2</v>
      </c>
      <c r="X3744" s="21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 s="21">
        <v>0</v>
      </c>
      <c r="AE3744" s="21">
        <v>0</v>
      </c>
      <c r="AF3744">
        <v>0</v>
      </c>
      <c r="AG3744">
        <v>0</v>
      </c>
      <c r="AH3744">
        <v>192</v>
      </c>
      <c r="AJ3744" t="s">
        <v>51</v>
      </c>
      <c r="AK3744" t="s">
        <v>52</v>
      </c>
      <c r="AP3744" t="s">
        <v>951</v>
      </c>
    </row>
    <row r="3745" spans="1:42">
      <c r="A3745" s="16">
        <v>43826</v>
      </c>
      <c r="B3745">
        <v>5</v>
      </c>
      <c r="C3745">
        <v>988</v>
      </c>
      <c r="D3745">
        <v>14629</v>
      </c>
      <c r="E3745" t="s">
        <v>112</v>
      </c>
      <c r="F3745" t="s">
        <v>949</v>
      </c>
      <c r="G3745">
        <v>2</v>
      </c>
      <c r="H3745">
        <v>110</v>
      </c>
      <c r="I3745" s="25">
        <v>2825</v>
      </c>
      <c r="K3745" t="s">
        <v>415</v>
      </c>
      <c r="M3745" t="s">
        <v>52</v>
      </c>
      <c r="N3745" t="s">
        <v>44</v>
      </c>
      <c r="O3745">
        <v>66</v>
      </c>
      <c r="Q3745">
        <v>1</v>
      </c>
      <c r="R3745">
        <v>1</v>
      </c>
      <c r="S3745">
        <v>0</v>
      </c>
      <c r="T3745">
        <v>0</v>
      </c>
      <c r="U3745">
        <v>0</v>
      </c>
      <c r="V3745">
        <v>0</v>
      </c>
      <c r="W3745">
        <v>1</v>
      </c>
      <c r="X3745" s="21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 s="21">
        <v>0</v>
      </c>
      <c r="AE3745" s="21">
        <v>0</v>
      </c>
      <c r="AF3745">
        <v>0</v>
      </c>
      <c r="AG3745">
        <v>0</v>
      </c>
      <c r="AH3745">
        <v>96</v>
      </c>
      <c r="AJ3745" t="s">
        <v>51</v>
      </c>
      <c r="AK3745" t="s">
        <v>95</v>
      </c>
      <c r="AP3745" t="s">
        <v>951</v>
      </c>
    </row>
    <row r="3746" spans="1:42">
      <c r="A3746" s="16">
        <v>43826</v>
      </c>
      <c r="B3746">
        <v>5</v>
      </c>
      <c r="C3746">
        <v>988</v>
      </c>
      <c r="D3746">
        <v>14629</v>
      </c>
      <c r="E3746" t="s">
        <v>112</v>
      </c>
      <c r="F3746" t="s">
        <v>949</v>
      </c>
      <c r="G3746">
        <v>2</v>
      </c>
      <c r="H3746">
        <v>111</v>
      </c>
      <c r="I3746" s="25">
        <v>2805</v>
      </c>
      <c r="K3746" t="s">
        <v>415</v>
      </c>
      <c r="M3746" t="s">
        <v>52</v>
      </c>
      <c r="N3746" t="s">
        <v>44</v>
      </c>
      <c r="O3746">
        <v>90</v>
      </c>
      <c r="Q3746">
        <v>1</v>
      </c>
      <c r="R3746">
        <v>1</v>
      </c>
      <c r="S3746">
        <v>0</v>
      </c>
      <c r="T3746">
        <v>0</v>
      </c>
      <c r="U3746">
        <v>0</v>
      </c>
      <c r="V3746">
        <v>0</v>
      </c>
      <c r="W3746">
        <v>1</v>
      </c>
      <c r="X3746" s="21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 s="21">
        <v>0</v>
      </c>
      <c r="AE3746" s="21">
        <v>0</v>
      </c>
      <c r="AF3746">
        <v>0</v>
      </c>
      <c r="AG3746">
        <v>0</v>
      </c>
      <c r="AH3746">
        <v>96</v>
      </c>
      <c r="AJ3746" t="s">
        <v>51</v>
      </c>
      <c r="AK3746" t="s">
        <v>95</v>
      </c>
      <c r="AP3746" t="s">
        <v>951</v>
      </c>
    </row>
    <row r="3747" spans="1:42">
      <c r="A3747" s="16">
        <v>43826</v>
      </c>
      <c r="B3747">
        <v>5</v>
      </c>
      <c r="C3747">
        <v>988</v>
      </c>
      <c r="D3747">
        <v>14629</v>
      </c>
      <c r="E3747" t="s">
        <v>112</v>
      </c>
      <c r="F3747" t="s">
        <v>949</v>
      </c>
      <c r="G3747">
        <v>2</v>
      </c>
      <c r="H3747">
        <v>112</v>
      </c>
      <c r="I3747" s="25">
        <v>1408</v>
      </c>
      <c r="K3747" t="s">
        <v>210</v>
      </c>
      <c r="M3747" t="s">
        <v>52</v>
      </c>
      <c r="N3747" t="s">
        <v>44</v>
      </c>
      <c r="O3747">
        <v>112</v>
      </c>
      <c r="Q3747">
        <v>1</v>
      </c>
      <c r="R3747">
        <v>1</v>
      </c>
      <c r="S3747">
        <v>0</v>
      </c>
      <c r="T3747">
        <v>0</v>
      </c>
      <c r="U3747">
        <v>0</v>
      </c>
      <c r="V3747">
        <v>1</v>
      </c>
      <c r="W3747">
        <v>0</v>
      </c>
      <c r="X3747" s="21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 s="21">
        <v>0</v>
      </c>
      <c r="AE3747" s="21">
        <v>0</v>
      </c>
      <c r="AF3747">
        <v>0</v>
      </c>
      <c r="AG3747">
        <v>0</v>
      </c>
      <c r="AH3747">
        <v>64</v>
      </c>
      <c r="AJ3747" t="s">
        <v>51</v>
      </c>
      <c r="AK3747" t="s">
        <v>95</v>
      </c>
      <c r="AL3747" t="s">
        <v>1234</v>
      </c>
      <c r="AP3747" t="s">
        <v>951</v>
      </c>
    </row>
    <row r="3748" spans="1:42">
      <c r="A3748" s="16">
        <v>43826</v>
      </c>
      <c r="B3748">
        <v>5</v>
      </c>
      <c r="C3748">
        <v>988</v>
      </c>
      <c r="D3748">
        <v>14629</v>
      </c>
      <c r="E3748" t="s">
        <v>112</v>
      </c>
      <c r="F3748" t="s">
        <v>949</v>
      </c>
      <c r="G3748">
        <v>2</v>
      </c>
      <c r="H3748">
        <v>113</v>
      </c>
      <c r="I3748" s="25">
        <v>1424</v>
      </c>
      <c r="K3748" t="s">
        <v>210</v>
      </c>
      <c r="L3748" t="s">
        <v>114</v>
      </c>
      <c r="M3748" t="s">
        <v>52</v>
      </c>
      <c r="N3748" t="s">
        <v>40</v>
      </c>
      <c r="O3748">
        <v>28</v>
      </c>
      <c r="Q3748">
        <v>2</v>
      </c>
      <c r="R3748">
        <v>1</v>
      </c>
      <c r="S3748">
        <v>0</v>
      </c>
      <c r="T3748">
        <v>0</v>
      </c>
      <c r="U3748">
        <v>0</v>
      </c>
      <c r="V3748">
        <v>2</v>
      </c>
      <c r="W3748">
        <v>0</v>
      </c>
      <c r="X3748" s="21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 s="21">
        <v>0</v>
      </c>
      <c r="AE3748" s="21">
        <v>0</v>
      </c>
      <c r="AF3748">
        <v>0</v>
      </c>
      <c r="AG3748">
        <v>0</v>
      </c>
      <c r="AH3748">
        <v>128</v>
      </c>
      <c r="AJ3748" t="s">
        <v>51</v>
      </c>
      <c r="AK3748" t="s">
        <v>52</v>
      </c>
      <c r="AP3748" t="s">
        <v>951</v>
      </c>
    </row>
    <row r="3749" spans="1:42">
      <c r="A3749" s="16">
        <v>43826</v>
      </c>
      <c r="B3749">
        <v>5</v>
      </c>
      <c r="C3749">
        <v>988</v>
      </c>
      <c r="D3749">
        <v>14629</v>
      </c>
      <c r="E3749" t="s">
        <v>112</v>
      </c>
      <c r="F3749" t="s">
        <v>949</v>
      </c>
      <c r="G3749">
        <v>2</v>
      </c>
      <c r="H3749">
        <v>114</v>
      </c>
      <c r="I3749" s="25">
        <v>1424</v>
      </c>
      <c r="K3749" t="s">
        <v>210</v>
      </c>
      <c r="M3749" t="s">
        <v>52</v>
      </c>
      <c r="N3749" t="s">
        <v>44</v>
      </c>
      <c r="O3749">
        <v>91</v>
      </c>
      <c r="Q3749">
        <v>1</v>
      </c>
      <c r="R3749">
        <v>1</v>
      </c>
      <c r="S3749">
        <v>0</v>
      </c>
      <c r="T3749">
        <v>0</v>
      </c>
      <c r="U3749">
        <v>0</v>
      </c>
      <c r="V3749">
        <v>0</v>
      </c>
      <c r="W3749">
        <v>1</v>
      </c>
      <c r="X3749" s="21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 s="21">
        <v>0</v>
      </c>
      <c r="AE3749" s="21">
        <v>0</v>
      </c>
      <c r="AF3749">
        <v>0</v>
      </c>
      <c r="AG3749">
        <v>0</v>
      </c>
      <c r="AH3749">
        <v>96</v>
      </c>
      <c r="AJ3749" t="s">
        <v>51</v>
      </c>
      <c r="AK3749" t="s">
        <v>52</v>
      </c>
      <c r="AP3749" t="s">
        <v>951</v>
      </c>
    </row>
    <row r="3750" spans="1:42">
      <c r="A3750" s="16">
        <v>43826</v>
      </c>
      <c r="B3750">
        <v>5</v>
      </c>
      <c r="C3750">
        <v>988</v>
      </c>
      <c r="D3750">
        <v>14629</v>
      </c>
      <c r="E3750" t="s">
        <v>112</v>
      </c>
      <c r="F3750" t="s">
        <v>949</v>
      </c>
      <c r="G3750">
        <v>2</v>
      </c>
      <c r="H3750">
        <v>115</v>
      </c>
      <c r="I3750" s="25">
        <v>2900</v>
      </c>
      <c r="K3750" t="s">
        <v>631</v>
      </c>
      <c r="M3750" t="s">
        <v>52</v>
      </c>
      <c r="N3750" t="s">
        <v>44</v>
      </c>
      <c r="O3750">
        <v>118</v>
      </c>
      <c r="Q3750">
        <v>1</v>
      </c>
      <c r="R3750">
        <v>1</v>
      </c>
      <c r="S3750">
        <v>0</v>
      </c>
      <c r="T3750">
        <v>0</v>
      </c>
      <c r="U3750">
        <v>0</v>
      </c>
      <c r="V3750">
        <v>0</v>
      </c>
      <c r="W3750">
        <v>1</v>
      </c>
      <c r="X3750" s="21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 s="21">
        <v>0</v>
      </c>
      <c r="AE3750" s="21">
        <v>0</v>
      </c>
      <c r="AF3750">
        <v>1</v>
      </c>
      <c r="AG3750">
        <v>0</v>
      </c>
      <c r="AH3750">
        <v>96</v>
      </c>
      <c r="AJ3750" t="s">
        <v>51</v>
      </c>
      <c r="AK3750" t="s">
        <v>95</v>
      </c>
      <c r="AP3750" t="s">
        <v>951</v>
      </c>
    </row>
    <row r="3751" spans="1:42">
      <c r="A3751" s="16">
        <v>43826</v>
      </c>
      <c r="B3751">
        <v>5</v>
      </c>
      <c r="C3751">
        <v>988</v>
      </c>
      <c r="D3751">
        <v>14629</v>
      </c>
      <c r="E3751" t="s">
        <v>112</v>
      </c>
      <c r="F3751" t="s">
        <v>949</v>
      </c>
      <c r="G3751">
        <v>2</v>
      </c>
      <c r="H3751">
        <v>116</v>
      </c>
      <c r="I3751" s="25">
        <v>3030</v>
      </c>
      <c r="K3751" t="s">
        <v>631</v>
      </c>
      <c r="M3751" t="s">
        <v>52</v>
      </c>
      <c r="N3751" t="s">
        <v>44</v>
      </c>
      <c r="O3751">
        <v>80</v>
      </c>
      <c r="Q3751">
        <v>1</v>
      </c>
      <c r="R3751">
        <v>1</v>
      </c>
      <c r="S3751">
        <v>0</v>
      </c>
      <c r="T3751">
        <v>0</v>
      </c>
      <c r="U3751">
        <v>0</v>
      </c>
      <c r="V3751">
        <v>0</v>
      </c>
      <c r="W3751">
        <v>1</v>
      </c>
      <c r="X3751" s="2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 s="21">
        <v>0</v>
      </c>
      <c r="AE3751" s="21">
        <v>0</v>
      </c>
      <c r="AF3751">
        <v>0</v>
      </c>
      <c r="AG3751">
        <v>0</v>
      </c>
      <c r="AH3751">
        <v>96</v>
      </c>
      <c r="AJ3751" t="s">
        <v>51</v>
      </c>
      <c r="AK3751" t="s">
        <v>52</v>
      </c>
      <c r="AP3751" t="s">
        <v>951</v>
      </c>
    </row>
    <row r="3752" spans="1:42">
      <c r="A3752" s="16">
        <v>43826</v>
      </c>
      <c r="B3752">
        <v>5</v>
      </c>
      <c r="C3752">
        <v>988</v>
      </c>
      <c r="D3752">
        <v>14629</v>
      </c>
      <c r="E3752" t="s">
        <v>112</v>
      </c>
      <c r="F3752" t="s">
        <v>949</v>
      </c>
      <c r="G3752">
        <v>2</v>
      </c>
      <c r="H3752">
        <v>117</v>
      </c>
      <c r="I3752" s="25">
        <v>3150</v>
      </c>
      <c r="K3752" t="s">
        <v>631</v>
      </c>
      <c r="M3752" t="s">
        <v>52</v>
      </c>
      <c r="N3752" t="s">
        <v>44</v>
      </c>
      <c r="O3752">
        <v>101</v>
      </c>
      <c r="Q3752">
        <v>1</v>
      </c>
      <c r="R3752">
        <v>1</v>
      </c>
      <c r="S3752">
        <v>0</v>
      </c>
      <c r="T3752">
        <v>0</v>
      </c>
      <c r="U3752">
        <v>0</v>
      </c>
      <c r="V3752">
        <v>0</v>
      </c>
      <c r="W3752">
        <v>1</v>
      </c>
      <c r="X3752" s="21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 s="21">
        <v>0</v>
      </c>
      <c r="AE3752" s="21">
        <v>0</v>
      </c>
      <c r="AF3752">
        <v>0</v>
      </c>
      <c r="AG3752">
        <v>0</v>
      </c>
      <c r="AH3752">
        <v>96</v>
      </c>
      <c r="AJ3752" t="s">
        <v>51</v>
      </c>
      <c r="AK3752" t="s">
        <v>52</v>
      </c>
      <c r="AL3752" t="s">
        <v>1235</v>
      </c>
      <c r="AP3752" t="s">
        <v>951</v>
      </c>
    </row>
    <row r="3753" spans="1:42">
      <c r="A3753" s="16">
        <v>43826</v>
      </c>
      <c r="B3753">
        <v>5</v>
      </c>
      <c r="C3753">
        <v>988</v>
      </c>
      <c r="D3753">
        <v>14629</v>
      </c>
      <c r="E3753" t="s">
        <v>112</v>
      </c>
      <c r="F3753" t="s">
        <v>949</v>
      </c>
      <c r="G3753">
        <v>2</v>
      </c>
      <c r="H3753">
        <v>118</v>
      </c>
      <c r="I3753" s="25">
        <v>3151</v>
      </c>
      <c r="K3753" t="s">
        <v>631</v>
      </c>
      <c r="M3753" t="s">
        <v>52</v>
      </c>
      <c r="N3753" t="s">
        <v>44</v>
      </c>
      <c r="O3753">
        <v>275</v>
      </c>
      <c r="Q3753">
        <v>1</v>
      </c>
      <c r="R3753">
        <v>1</v>
      </c>
      <c r="S3753">
        <v>0</v>
      </c>
      <c r="T3753">
        <v>0</v>
      </c>
      <c r="U3753">
        <v>0</v>
      </c>
      <c r="V3753">
        <v>0</v>
      </c>
      <c r="W3753">
        <v>1</v>
      </c>
      <c r="X3753" s="21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 s="21">
        <v>0</v>
      </c>
      <c r="AE3753" s="21">
        <v>0</v>
      </c>
      <c r="AF3753">
        <v>0</v>
      </c>
      <c r="AG3753">
        <v>0</v>
      </c>
      <c r="AH3753">
        <v>96</v>
      </c>
      <c r="AJ3753" t="s">
        <v>51</v>
      </c>
      <c r="AK3753" t="s">
        <v>52</v>
      </c>
      <c r="AL3753" t="s">
        <v>1236</v>
      </c>
      <c r="AP3753" t="s">
        <v>951</v>
      </c>
    </row>
    <row r="3754" spans="1:42">
      <c r="A3754" s="16">
        <v>43826</v>
      </c>
      <c r="B3754">
        <v>5</v>
      </c>
      <c r="C3754">
        <v>988</v>
      </c>
      <c r="D3754">
        <v>14629</v>
      </c>
      <c r="E3754" t="s">
        <v>112</v>
      </c>
      <c r="F3754" t="s">
        <v>949</v>
      </c>
      <c r="G3754">
        <v>2</v>
      </c>
      <c r="H3754">
        <v>119</v>
      </c>
      <c r="I3754" s="25">
        <v>1424</v>
      </c>
      <c r="K3754" t="s">
        <v>324</v>
      </c>
      <c r="M3754" t="s">
        <v>52</v>
      </c>
      <c r="N3754" t="s">
        <v>44</v>
      </c>
      <c r="O3754">
        <v>175</v>
      </c>
      <c r="Q3754">
        <v>2</v>
      </c>
      <c r="R3754">
        <v>1</v>
      </c>
      <c r="S3754">
        <v>0</v>
      </c>
      <c r="T3754">
        <v>0</v>
      </c>
      <c r="U3754">
        <v>0</v>
      </c>
      <c r="V3754">
        <v>0</v>
      </c>
      <c r="W3754">
        <v>2</v>
      </c>
      <c r="X3754" s="21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 s="21">
        <v>0</v>
      </c>
      <c r="AE3754" s="21">
        <v>0</v>
      </c>
      <c r="AF3754">
        <v>0</v>
      </c>
      <c r="AG3754">
        <v>0</v>
      </c>
      <c r="AH3754">
        <v>192</v>
      </c>
      <c r="AJ3754" t="s">
        <v>51</v>
      </c>
      <c r="AK3754" t="s">
        <v>95</v>
      </c>
      <c r="AL3754" t="s">
        <v>1237</v>
      </c>
      <c r="AP3754" t="s">
        <v>951</v>
      </c>
    </row>
    <row r="3755" spans="1:42">
      <c r="A3755" s="16">
        <v>43826</v>
      </c>
      <c r="B3755">
        <v>5</v>
      </c>
      <c r="C3755">
        <v>988</v>
      </c>
      <c r="D3755">
        <v>14629</v>
      </c>
      <c r="E3755" t="s">
        <v>112</v>
      </c>
      <c r="F3755" t="s">
        <v>949</v>
      </c>
      <c r="G3755">
        <v>2</v>
      </c>
      <c r="H3755">
        <v>120</v>
      </c>
      <c r="I3755" s="25">
        <v>1490</v>
      </c>
      <c r="K3755" t="s">
        <v>324</v>
      </c>
      <c r="M3755" t="s">
        <v>52</v>
      </c>
      <c r="N3755" t="s">
        <v>44</v>
      </c>
      <c r="O3755">
        <v>51</v>
      </c>
      <c r="Q3755">
        <v>1</v>
      </c>
      <c r="R3755">
        <v>1</v>
      </c>
      <c r="S3755">
        <v>0</v>
      </c>
      <c r="T3755">
        <v>0</v>
      </c>
      <c r="U3755">
        <v>0</v>
      </c>
      <c r="V3755">
        <v>0</v>
      </c>
      <c r="W3755">
        <v>1</v>
      </c>
      <c r="X3755" s="21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 s="21">
        <v>0</v>
      </c>
      <c r="AE3755" s="21">
        <v>0</v>
      </c>
      <c r="AF3755">
        <v>0</v>
      </c>
      <c r="AG3755">
        <v>0</v>
      </c>
      <c r="AH3755">
        <v>96</v>
      </c>
      <c r="AJ3755" t="s">
        <v>51</v>
      </c>
      <c r="AK3755" t="s">
        <v>95</v>
      </c>
      <c r="AP3755" t="s">
        <v>951</v>
      </c>
    </row>
    <row r="3756" spans="1:42">
      <c r="A3756" s="16">
        <v>43826</v>
      </c>
      <c r="B3756">
        <v>5</v>
      </c>
      <c r="C3756">
        <v>988</v>
      </c>
      <c r="D3756">
        <v>14629</v>
      </c>
      <c r="E3756" t="s">
        <v>112</v>
      </c>
      <c r="F3756" t="s">
        <v>949</v>
      </c>
      <c r="G3756">
        <v>2</v>
      </c>
      <c r="H3756">
        <v>121</v>
      </c>
      <c r="I3756" s="25">
        <v>3260</v>
      </c>
      <c r="K3756" t="s">
        <v>638</v>
      </c>
      <c r="M3756" t="s">
        <v>52</v>
      </c>
      <c r="N3756" t="s">
        <v>44</v>
      </c>
      <c r="O3756">
        <v>101</v>
      </c>
      <c r="Q3756">
        <v>2</v>
      </c>
      <c r="R3756">
        <v>1</v>
      </c>
      <c r="S3756">
        <v>0</v>
      </c>
      <c r="T3756">
        <v>0</v>
      </c>
      <c r="U3756">
        <v>0</v>
      </c>
      <c r="V3756">
        <v>0</v>
      </c>
      <c r="W3756">
        <v>2</v>
      </c>
      <c r="X3756" s="21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 s="21">
        <v>0</v>
      </c>
      <c r="AE3756" s="21">
        <v>0</v>
      </c>
      <c r="AF3756">
        <v>0</v>
      </c>
      <c r="AG3756">
        <v>0</v>
      </c>
      <c r="AH3756">
        <v>192</v>
      </c>
      <c r="AJ3756" t="s">
        <v>51</v>
      </c>
      <c r="AK3756" t="s">
        <v>95</v>
      </c>
      <c r="AL3756" t="s">
        <v>1231</v>
      </c>
      <c r="AP3756" t="s">
        <v>951</v>
      </c>
    </row>
    <row r="3757" spans="1:42">
      <c r="A3757" s="16">
        <v>43826</v>
      </c>
      <c r="B3757">
        <v>5</v>
      </c>
      <c r="C3757">
        <v>988</v>
      </c>
      <c r="D3757">
        <v>14629</v>
      </c>
      <c r="E3757" t="s">
        <v>112</v>
      </c>
      <c r="F3757" t="s">
        <v>949</v>
      </c>
      <c r="G3757">
        <v>2</v>
      </c>
      <c r="H3757">
        <v>122</v>
      </c>
      <c r="I3757" s="25">
        <v>1235</v>
      </c>
      <c r="K3757" t="s">
        <v>1122</v>
      </c>
      <c r="M3757" t="s">
        <v>52</v>
      </c>
      <c r="N3757" t="s">
        <v>44</v>
      </c>
      <c r="O3757">
        <v>428</v>
      </c>
      <c r="Q3757">
        <v>2</v>
      </c>
      <c r="R3757">
        <v>1</v>
      </c>
      <c r="S3757">
        <v>0</v>
      </c>
      <c r="T3757">
        <v>0</v>
      </c>
      <c r="U3757">
        <v>0</v>
      </c>
      <c r="V3757">
        <v>0</v>
      </c>
      <c r="W3757">
        <v>2</v>
      </c>
      <c r="X3757" s="21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 s="21">
        <v>0</v>
      </c>
      <c r="AE3757" s="21">
        <v>0</v>
      </c>
      <c r="AF3757">
        <v>0</v>
      </c>
      <c r="AG3757">
        <v>0</v>
      </c>
      <c r="AH3757">
        <v>192</v>
      </c>
      <c r="AJ3757" t="s">
        <v>51</v>
      </c>
      <c r="AK3757" t="s">
        <v>95</v>
      </c>
      <c r="AL3757" t="s">
        <v>1238</v>
      </c>
      <c r="AP3757" t="s">
        <v>951</v>
      </c>
    </row>
    <row r="3758" spans="1:42">
      <c r="A3758" s="16">
        <v>43826</v>
      </c>
      <c r="B3758">
        <v>5</v>
      </c>
      <c r="C3758">
        <v>988</v>
      </c>
      <c r="D3758">
        <v>14629</v>
      </c>
      <c r="E3758" t="s">
        <v>112</v>
      </c>
      <c r="F3758" t="s">
        <v>949</v>
      </c>
      <c r="G3758">
        <v>2</v>
      </c>
      <c r="H3758">
        <v>123</v>
      </c>
      <c r="I3758" s="25">
        <v>1225</v>
      </c>
      <c r="K3758" t="s">
        <v>1122</v>
      </c>
      <c r="M3758" t="s">
        <v>52</v>
      </c>
      <c r="N3758" t="s">
        <v>44</v>
      </c>
      <c r="O3758">
        <v>130</v>
      </c>
      <c r="Q3758">
        <v>1</v>
      </c>
      <c r="R3758">
        <v>1</v>
      </c>
      <c r="S3758">
        <v>0</v>
      </c>
      <c r="T3758">
        <v>0</v>
      </c>
      <c r="U3758">
        <v>0</v>
      </c>
      <c r="V3758">
        <v>0</v>
      </c>
      <c r="W3758">
        <v>1</v>
      </c>
      <c r="X3758" s="21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 s="21">
        <v>0</v>
      </c>
      <c r="AE3758" s="21">
        <v>0</v>
      </c>
      <c r="AF3758">
        <v>0</v>
      </c>
      <c r="AG3758">
        <v>0</v>
      </c>
      <c r="AH3758">
        <v>96</v>
      </c>
      <c r="AJ3758" t="s">
        <v>51</v>
      </c>
      <c r="AK3758" t="s">
        <v>95</v>
      </c>
      <c r="AP3758" t="s">
        <v>951</v>
      </c>
    </row>
    <row r="3759" spans="1:42">
      <c r="A3759" s="16">
        <v>43826</v>
      </c>
      <c r="B3759">
        <v>5</v>
      </c>
      <c r="C3759">
        <v>988</v>
      </c>
      <c r="D3759">
        <v>14629</v>
      </c>
      <c r="E3759" t="s">
        <v>112</v>
      </c>
      <c r="F3759" t="s">
        <v>949</v>
      </c>
      <c r="G3759">
        <v>2</v>
      </c>
      <c r="H3759">
        <v>124</v>
      </c>
      <c r="I3759" s="25">
        <v>1215</v>
      </c>
      <c r="K3759" t="s">
        <v>1122</v>
      </c>
      <c r="M3759" t="s">
        <v>52</v>
      </c>
      <c r="N3759" t="s">
        <v>44</v>
      </c>
      <c r="O3759">
        <v>181</v>
      </c>
      <c r="Q3759">
        <v>1</v>
      </c>
      <c r="R3759">
        <v>1</v>
      </c>
      <c r="S3759">
        <v>0</v>
      </c>
      <c r="T3759">
        <v>0</v>
      </c>
      <c r="U3759">
        <v>0</v>
      </c>
      <c r="V3759">
        <v>0</v>
      </c>
      <c r="W3759">
        <v>1</v>
      </c>
      <c r="X3759" s="21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 s="21">
        <v>0</v>
      </c>
      <c r="AE3759" s="21">
        <v>0</v>
      </c>
      <c r="AF3759">
        <v>0</v>
      </c>
      <c r="AG3759">
        <v>0</v>
      </c>
      <c r="AH3759">
        <v>96</v>
      </c>
      <c r="AJ3759" t="s">
        <v>51</v>
      </c>
      <c r="AK3759" t="s">
        <v>95</v>
      </c>
      <c r="AL3759" t="s">
        <v>1239</v>
      </c>
      <c r="AP3759" t="s">
        <v>951</v>
      </c>
    </row>
    <row r="3760" spans="1:42">
      <c r="A3760" s="16">
        <v>43826</v>
      </c>
      <c r="B3760">
        <v>5</v>
      </c>
      <c r="C3760">
        <v>988</v>
      </c>
      <c r="D3760">
        <v>14629</v>
      </c>
      <c r="E3760" t="s">
        <v>112</v>
      </c>
      <c r="F3760" t="s">
        <v>949</v>
      </c>
      <c r="G3760">
        <v>2</v>
      </c>
      <c r="H3760">
        <v>125</v>
      </c>
      <c r="I3760" s="25">
        <v>1135</v>
      </c>
      <c r="K3760" t="s">
        <v>1122</v>
      </c>
      <c r="M3760" t="s">
        <v>52</v>
      </c>
      <c r="N3760" t="s">
        <v>44</v>
      </c>
      <c r="O3760">
        <v>105</v>
      </c>
      <c r="Q3760">
        <v>1</v>
      </c>
      <c r="R3760">
        <v>1</v>
      </c>
      <c r="S3760">
        <v>0</v>
      </c>
      <c r="T3760">
        <v>0</v>
      </c>
      <c r="U3760">
        <v>0</v>
      </c>
      <c r="V3760">
        <v>0</v>
      </c>
      <c r="W3760">
        <v>1</v>
      </c>
      <c r="X3760" s="21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 s="21">
        <v>0</v>
      </c>
      <c r="AE3760" s="21">
        <v>0</v>
      </c>
      <c r="AF3760">
        <v>0</v>
      </c>
      <c r="AG3760">
        <v>0</v>
      </c>
      <c r="AH3760">
        <v>96</v>
      </c>
      <c r="AJ3760" t="s">
        <v>51</v>
      </c>
      <c r="AK3760" t="s">
        <v>95</v>
      </c>
      <c r="AP3760" t="s">
        <v>951</v>
      </c>
    </row>
    <row r="3761" spans="1:42">
      <c r="A3761" s="16">
        <v>43826</v>
      </c>
      <c r="B3761">
        <v>5</v>
      </c>
      <c r="C3761">
        <v>988</v>
      </c>
      <c r="D3761">
        <v>14629</v>
      </c>
      <c r="E3761" t="s">
        <v>112</v>
      </c>
      <c r="F3761" t="s">
        <v>949</v>
      </c>
      <c r="G3761">
        <v>2</v>
      </c>
      <c r="H3761">
        <v>126</v>
      </c>
      <c r="I3761" s="25">
        <v>1111</v>
      </c>
      <c r="K3761" t="s">
        <v>1122</v>
      </c>
      <c r="M3761" t="s">
        <v>52</v>
      </c>
      <c r="N3761" t="s">
        <v>44</v>
      </c>
      <c r="O3761">
        <v>218</v>
      </c>
      <c r="Q3761">
        <v>3</v>
      </c>
      <c r="R3761">
        <v>1</v>
      </c>
      <c r="S3761">
        <v>0</v>
      </c>
      <c r="T3761">
        <v>0</v>
      </c>
      <c r="U3761">
        <v>0</v>
      </c>
      <c r="V3761">
        <v>0</v>
      </c>
      <c r="W3761">
        <v>3</v>
      </c>
      <c r="X3761" s="2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 s="21">
        <v>0</v>
      </c>
      <c r="AE3761" s="21">
        <v>0</v>
      </c>
      <c r="AF3761">
        <v>0</v>
      </c>
      <c r="AG3761">
        <v>0</v>
      </c>
      <c r="AH3761">
        <v>288</v>
      </c>
      <c r="AJ3761" t="s">
        <v>51</v>
      </c>
      <c r="AK3761" t="s">
        <v>95</v>
      </c>
      <c r="AP3761" t="s">
        <v>951</v>
      </c>
    </row>
    <row r="3762" spans="1:42">
      <c r="A3762" s="16">
        <v>43826</v>
      </c>
      <c r="B3762">
        <v>5</v>
      </c>
      <c r="C3762">
        <v>988</v>
      </c>
      <c r="D3762">
        <v>14629</v>
      </c>
      <c r="E3762" t="s">
        <v>112</v>
      </c>
      <c r="F3762" t="s">
        <v>949</v>
      </c>
      <c r="G3762">
        <v>2</v>
      </c>
      <c r="H3762">
        <v>127</v>
      </c>
      <c r="I3762" s="25">
        <v>3025</v>
      </c>
      <c r="K3762" t="s">
        <v>415</v>
      </c>
      <c r="M3762" t="s">
        <v>52</v>
      </c>
      <c r="N3762" t="s">
        <v>44</v>
      </c>
      <c r="O3762">
        <v>74</v>
      </c>
      <c r="Q3762">
        <v>1</v>
      </c>
      <c r="R3762">
        <v>1</v>
      </c>
      <c r="S3762">
        <v>0</v>
      </c>
      <c r="T3762">
        <v>0</v>
      </c>
      <c r="U3762">
        <v>0</v>
      </c>
      <c r="V3762">
        <v>0</v>
      </c>
      <c r="W3762">
        <v>1</v>
      </c>
      <c r="X3762" s="21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 s="21">
        <v>0</v>
      </c>
      <c r="AE3762" s="21">
        <v>0</v>
      </c>
      <c r="AF3762">
        <v>0</v>
      </c>
      <c r="AG3762">
        <v>0</v>
      </c>
      <c r="AH3762">
        <v>96</v>
      </c>
      <c r="AJ3762" t="s">
        <v>51</v>
      </c>
      <c r="AK3762" t="s">
        <v>95</v>
      </c>
      <c r="AL3762" t="s">
        <v>1240</v>
      </c>
      <c r="AP3762" t="s">
        <v>951</v>
      </c>
    </row>
    <row r="3763" spans="1:42">
      <c r="A3763" s="16">
        <v>43826</v>
      </c>
      <c r="B3763">
        <v>5</v>
      </c>
      <c r="C3763">
        <v>988</v>
      </c>
      <c r="D3763">
        <v>14629</v>
      </c>
      <c r="E3763" t="s">
        <v>112</v>
      </c>
      <c r="F3763" t="s">
        <v>949</v>
      </c>
      <c r="G3763">
        <v>2</v>
      </c>
      <c r="H3763">
        <v>128</v>
      </c>
      <c r="I3763" s="25">
        <v>3015</v>
      </c>
      <c r="K3763" t="s">
        <v>415</v>
      </c>
      <c r="M3763" t="s">
        <v>52</v>
      </c>
      <c r="N3763" t="s">
        <v>44</v>
      </c>
      <c r="O3763">
        <v>131</v>
      </c>
      <c r="Q3763">
        <v>2</v>
      </c>
      <c r="R3763">
        <v>1</v>
      </c>
      <c r="S3763">
        <v>0</v>
      </c>
      <c r="T3763">
        <v>0</v>
      </c>
      <c r="U3763">
        <v>0</v>
      </c>
      <c r="V3763">
        <v>0</v>
      </c>
      <c r="W3763">
        <v>2</v>
      </c>
      <c r="X3763" s="21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 s="21">
        <v>0</v>
      </c>
      <c r="AE3763" s="21">
        <v>0</v>
      </c>
      <c r="AF3763">
        <v>0</v>
      </c>
      <c r="AG3763">
        <v>0</v>
      </c>
      <c r="AH3763">
        <v>192</v>
      </c>
      <c r="AJ3763" t="s">
        <v>51</v>
      </c>
      <c r="AK3763" t="s">
        <v>95</v>
      </c>
      <c r="AL3763" t="s">
        <v>1240</v>
      </c>
      <c r="AP3763" t="s">
        <v>951</v>
      </c>
    </row>
    <row r="3764" spans="1:42">
      <c r="A3764" s="16">
        <v>43826</v>
      </c>
      <c r="B3764">
        <v>5</v>
      </c>
      <c r="C3764">
        <v>988</v>
      </c>
      <c r="D3764">
        <v>14629</v>
      </c>
      <c r="E3764" t="s">
        <v>112</v>
      </c>
      <c r="F3764" t="s">
        <v>949</v>
      </c>
      <c r="G3764">
        <v>2</v>
      </c>
      <c r="H3764">
        <v>129</v>
      </c>
      <c r="I3764" s="25">
        <v>2965</v>
      </c>
      <c r="K3764" t="s">
        <v>415</v>
      </c>
      <c r="M3764" t="s">
        <v>52</v>
      </c>
      <c r="N3764" t="s">
        <v>44</v>
      </c>
      <c r="O3764">
        <v>145</v>
      </c>
      <c r="Q3764">
        <v>2</v>
      </c>
      <c r="R3764">
        <v>1</v>
      </c>
      <c r="S3764">
        <v>0</v>
      </c>
      <c r="T3764">
        <v>0</v>
      </c>
      <c r="U3764">
        <v>0</v>
      </c>
      <c r="V3764">
        <v>0</v>
      </c>
      <c r="W3764">
        <v>2</v>
      </c>
      <c r="X3764" s="21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 s="21">
        <v>0</v>
      </c>
      <c r="AE3764" s="21">
        <v>0</v>
      </c>
      <c r="AF3764">
        <v>0</v>
      </c>
      <c r="AG3764">
        <v>0</v>
      </c>
      <c r="AH3764">
        <v>192</v>
      </c>
      <c r="AJ3764" t="s">
        <v>51</v>
      </c>
      <c r="AK3764" t="s">
        <v>52</v>
      </c>
      <c r="AP3764" t="s">
        <v>951</v>
      </c>
    </row>
    <row r="3765" spans="1:42">
      <c r="A3765" s="16">
        <v>43826</v>
      </c>
      <c r="B3765">
        <v>5</v>
      </c>
      <c r="C3765">
        <v>988</v>
      </c>
      <c r="D3765">
        <v>14629</v>
      </c>
      <c r="E3765" t="s">
        <v>112</v>
      </c>
      <c r="F3765" t="s">
        <v>949</v>
      </c>
      <c r="G3765">
        <v>2</v>
      </c>
      <c r="H3765">
        <v>130</v>
      </c>
      <c r="I3765" s="25">
        <v>2955</v>
      </c>
      <c r="K3765" t="s">
        <v>415</v>
      </c>
      <c r="M3765" t="s">
        <v>52</v>
      </c>
      <c r="N3765" t="s">
        <v>44</v>
      </c>
      <c r="O3765">
        <v>155</v>
      </c>
      <c r="Q3765">
        <v>2</v>
      </c>
      <c r="R3765">
        <v>1</v>
      </c>
      <c r="S3765">
        <v>0</v>
      </c>
      <c r="T3765">
        <v>0</v>
      </c>
      <c r="U3765">
        <v>0</v>
      </c>
      <c r="V3765">
        <v>0</v>
      </c>
      <c r="W3765">
        <v>2</v>
      </c>
      <c r="X3765" s="21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 s="21">
        <v>0</v>
      </c>
      <c r="AE3765" s="21">
        <v>0</v>
      </c>
      <c r="AF3765">
        <v>0</v>
      </c>
      <c r="AG3765">
        <v>0</v>
      </c>
      <c r="AH3765">
        <v>192</v>
      </c>
      <c r="AJ3765" t="s">
        <v>51</v>
      </c>
      <c r="AK3765" t="s">
        <v>52</v>
      </c>
      <c r="AP3765" t="s">
        <v>951</v>
      </c>
    </row>
    <row r="3766" spans="1:42">
      <c r="A3766" s="16">
        <v>43826</v>
      </c>
      <c r="B3766">
        <v>5</v>
      </c>
      <c r="C3766">
        <v>988</v>
      </c>
      <c r="D3766">
        <v>14629</v>
      </c>
      <c r="E3766" t="s">
        <v>112</v>
      </c>
      <c r="F3766" t="s">
        <v>949</v>
      </c>
      <c r="G3766">
        <v>2</v>
      </c>
      <c r="H3766">
        <v>131</v>
      </c>
      <c r="I3766" s="25">
        <v>2945</v>
      </c>
      <c r="K3766" t="s">
        <v>415</v>
      </c>
      <c r="M3766" t="s">
        <v>52</v>
      </c>
      <c r="N3766" t="s">
        <v>44</v>
      </c>
      <c r="O3766">
        <v>143</v>
      </c>
      <c r="Q3766">
        <v>2</v>
      </c>
      <c r="R3766">
        <v>1</v>
      </c>
      <c r="S3766">
        <v>0</v>
      </c>
      <c r="T3766">
        <v>0</v>
      </c>
      <c r="U3766">
        <v>0</v>
      </c>
      <c r="V3766">
        <v>0</v>
      </c>
      <c r="W3766">
        <v>2</v>
      </c>
      <c r="X3766" s="21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 s="21">
        <v>0</v>
      </c>
      <c r="AE3766" s="21">
        <v>0</v>
      </c>
      <c r="AF3766">
        <v>0</v>
      </c>
      <c r="AG3766">
        <v>0</v>
      </c>
      <c r="AH3766">
        <v>192</v>
      </c>
      <c r="AJ3766" t="s">
        <v>51</v>
      </c>
      <c r="AK3766" t="s">
        <v>95</v>
      </c>
      <c r="AP3766" t="s">
        <v>951</v>
      </c>
    </row>
    <row r="3767" spans="1:42">
      <c r="A3767" s="16">
        <v>43826</v>
      </c>
      <c r="B3767">
        <v>5</v>
      </c>
      <c r="C3767">
        <v>988</v>
      </c>
      <c r="D3767">
        <v>14629</v>
      </c>
      <c r="E3767" t="s">
        <v>112</v>
      </c>
      <c r="F3767" t="s">
        <v>949</v>
      </c>
      <c r="G3767">
        <v>2</v>
      </c>
      <c r="H3767">
        <v>132</v>
      </c>
      <c r="I3767" s="25">
        <v>2935</v>
      </c>
      <c r="K3767" t="s">
        <v>415</v>
      </c>
      <c r="M3767" t="s">
        <v>52</v>
      </c>
      <c r="N3767" t="s">
        <v>44</v>
      </c>
      <c r="O3767">
        <v>136</v>
      </c>
      <c r="Q3767">
        <v>2</v>
      </c>
      <c r="R3767">
        <v>1</v>
      </c>
      <c r="S3767">
        <v>0</v>
      </c>
      <c r="T3767">
        <v>0</v>
      </c>
      <c r="U3767">
        <v>0</v>
      </c>
      <c r="V3767">
        <v>0</v>
      </c>
      <c r="W3767">
        <v>2</v>
      </c>
      <c r="X3767" s="21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 s="21">
        <v>0</v>
      </c>
      <c r="AE3767" s="21">
        <v>0</v>
      </c>
      <c r="AF3767">
        <v>0</v>
      </c>
      <c r="AG3767">
        <v>0</v>
      </c>
      <c r="AH3767">
        <v>192</v>
      </c>
      <c r="AJ3767" t="s">
        <v>51</v>
      </c>
      <c r="AK3767" t="s">
        <v>95</v>
      </c>
      <c r="AL3767" t="s">
        <v>668</v>
      </c>
      <c r="AP3767" t="s">
        <v>951</v>
      </c>
    </row>
    <row r="3768" spans="1:42">
      <c r="A3768" s="16">
        <v>43826</v>
      </c>
      <c r="B3768">
        <v>5</v>
      </c>
      <c r="C3768">
        <v>988</v>
      </c>
      <c r="D3768">
        <v>14629</v>
      </c>
      <c r="E3768" t="s">
        <v>112</v>
      </c>
      <c r="F3768" t="s">
        <v>949</v>
      </c>
      <c r="G3768">
        <v>2</v>
      </c>
      <c r="H3768">
        <v>133</v>
      </c>
      <c r="I3768" s="25">
        <v>2925</v>
      </c>
      <c r="K3768" t="s">
        <v>415</v>
      </c>
      <c r="M3768" t="s">
        <v>52</v>
      </c>
      <c r="N3768" t="s">
        <v>44</v>
      </c>
      <c r="O3768">
        <v>248</v>
      </c>
      <c r="Q3768">
        <v>2</v>
      </c>
      <c r="R3768">
        <v>1</v>
      </c>
      <c r="S3768">
        <v>0</v>
      </c>
      <c r="T3768">
        <v>0</v>
      </c>
      <c r="U3768">
        <v>0</v>
      </c>
      <c r="V3768">
        <v>0</v>
      </c>
      <c r="W3768">
        <v>2</v>
      </c>
      <c r="X3768" s="21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 s="21">
        <v>0</v>
      </c>
      <c r="AE3768" s="21">
        <v>0</v>
      </c>
      <c r="AF3768">
        <v>0</v>
      </c>
      <c r="AG3768">
        <v>0</v>
      </c>
      <c r="AH3768">
        <v>192</v>
      </c>
      <c r="AJ3768" t="s">
        <v>51</v>
      </c>
      <c r="AK3768" t="s">
        <v>95</v>
      </c>
      <c r="AL3768" t="s">
        <v>1241</v>
      </c>
      <c r="AP3768" t="s">
        <v>951</v>
      </c>
    </row>
    <row r="3769" spans="1:42">
      <c r="A3769" s="16">
        <v>43836</v>
      </c>
      <c r="B3769">
        <v>1</v>
      </c>
      <c r="C3769">
        <v>539</v>
      </c>
      <c r="D3769">
        <v>10294</v>
      </c>
      <c r="E3769" t="s">
        <v>37</v>
      </c>
      <c r="F3769" t="s">
        <v>949</v>
      </c>
      <c r="G3769">
        <v>2</v>
      </c>
      <c r="H3769">
        <v>1</v>
      </c>
      <c r="I3769" s="25">
        <v>1150</v>
      </c>
      <c r="K3769" t="s">
        <v>862</v>
      </c>
      <c r="M3769" t="s">
        <v>52</v>
      </c>
      <c r="N3769" t="s">
        <v>44</v>
      </c>
      <c r="O3769">
        <v>343</v>
      </c>
      <c r="Q3769">
        <v>2</v>
      </c>
      <c r="R3769">
        <v>1</v>
      </c>
      <c r="S3769">
        <v>0</v>
      </c>
      <c r="T3769">
        <v>0</v>
      </c>
      <c r="U3769">
        <v>0</v>
      </c>
      <c r="V3769">
        <v>0</v>
      </c>
      <c r="W3769">
        <v>0</v>
      </c>
      <c r="X3769" s="21">
        <v>0</v>
      </c>
      <c r="Y3769">
        <v>0</v>
      </c>
      <c r="Z3769">
        <v>0</v>
      </c>
      <c r="AA3769">
        <v>2</v>
      </c>
      <c r="AB3769">
        <v>0</v>
      </c>
      <c r="AC3769">
        <v>0</v>
      </c>
      <c r="AD3769" s="21">
        <v>0</v>
      </c>
      <c r="AE3769" s="21">
        <v>0</v>
      </c>
      <c r="AF3769">
        <v>0</v>
      </c>
      <c r="AG3769">
        <v>0</v>
      </c>
      <c r="AJ3769" t="s">
        <v>51</v>
      </c>
      <c r="AK3769" t="s">
        <v>95</v>
      </c>
      <c r="AL3769" t="s">
        <v>1242</v>
      </c>
      <c r="AP3769" t="s">
        <v>951</v>
      </c>
    </row>
    <row r="3770" spans="1:42">
      <c r="A3770" s="16">
        <v>43836</v>
      </c>
      <c r="B3770">
        <v>1</v>
      </c>
      <c r="C3770">
        <v>539</v>
      </c>
      <c r="D3770">
        <v>10294</v>
      </c>
      <c r="E3770" t="s">
        <v>37</v>
      </c>
      <c r="F3770" t="s">
        <v>949</v>
      </c>
      <c r="G3770">
        <v>2</v>
      </c>
      <c r="H3770">
        <v>2</v>
      </c>
      <c r="I3770" s="25">
        <v>757</v>
      </c>
      <c r="K3770" t="s">
        <v>1113</v>
      </c>
      <c r="M3770" t="s">
        <v>52</v>
      </c>
      <c r="N3770" t="s">
        <v>44</v>
      </c>
      <c r="O3770">
        <v>70</v>
      </c>
      <c r="Q3770">
        <v>1</v>
      </c>
      <c r="R3770">
        <v>1</v>
      </c>
      <c r="S3770">
        <v>0</v>
      </c>
      <c r="T3770">
        <v>0</v>
      </c>
      <c r="U3770">
        <v>0</v>
      </c>
      <c r="V3770">
        <v>0</v>
      </c>
      <c r="W3770">
        <v>0</v>
      </c>
      <c r="X3770" s="21">
        <v>0</v>
      </c>
      <c r="Y3770">
        <v>0</v>
      </c>
      <c r="Z3770">
        <v>0</v>
      </c>
      <c r="AA3770">
        <v>1</v>
      </c>
      <c r="AB3770">
        <v>0</v>
      </c>
      <c r="AC3770">
        <v>0</v>
      </c>
      <c r="AD3770" s="21">
        <v>0</v>
      </c>
      <c r="AE3770" s="21">
        <v>0</v>
      </c>
      <c r="AF3770">
        <v>0</v>
      </c>
      <c r="AG3770">
        <v>0</v>
      </c>
      <c r="AJ3770" t="s">
        <v>51</v>
      </c>
      <c r="AK3770" t="s">
        <v>95</v>
      </c>
      <c r="AP3770" t="s">
        <v>951</v>
      </c>
    </row>
    <row r="3771" spans="1:42">
      <c r="A3771" s="16">
        <v>43836</v>
      </c>
      <c r="B3771">
        <v>1</v>
      </c>
      <c r="C3771">
        <v>539</v>
      </c>
      <c r="D3771">
        <v>10294</v>
      </c>
      <c r="E3771" t="s">
        <v>37</v>
      </c>
      <c r="F3771" t="s">
        <v>949</v>
      </c>
      <c r="G3771">
        <v>2</v>
      </c>
      <c r="H3771">
        <v>3</v>
      </c>
      <c r="I3771" s="25">
        <v>655</v>
      </c>
      <c r="K3771" t="s">
        <v>1113</v>
      </c>
      <c r="M3771" t="s">
        <v>52</v>
      </c>
      <c r="N3771" t="s">
        <v>40</v>
      </c>
      <c r="O3771">
        <v>69</v>
      </c>
      <c r="Q3771">
        <v>1</v>
      </c>
      <c r="R3771">
        <v>1</v>
      </c>
      <c r="S3771">
        <v>0</v>
      </c>
      <c r="T3771">
        <v>0</v>
      </c>
      <c r="U3771">
        <v>0</v>
      </c>
      <c r="V3771">
        <v>0</v>
      </c>
      <c r="W3771">
        <v>0</v>
      </c>
      <c r="X3771" s="21">
        <v>0</v>
      </c>
      <c r="Y3771">
        <v>0</v>
      </c>
      <c r="Z3771">
        <v>0</v>
      </c>
      <c r="AA3771">
        <v>1</v>
      </c>
      <c r="AB3771">
        <v>0</v>
      </c>
      <c r="AC3771">
        <v>0</v>
      </c>
      <c r="AD3771" s="21">
        <v>0</v>
      </c>
      <c r="AE3771" s="21">
        <v>0</v>
      </c>
      <c r="AF3771">
        <v>0</v>
      </c>
      <c r="AG3771">
        <v>0</v>
      </c>
      <c r="AJ3771" t="s">
        <v>51</v>
      </c>
      <c r="AK3771" t="s">
        <v>95</v>
      </c>
      <c r="AP3771" t="s">
        <v>951</v>
      </c>
    </row>
    <row r="3772" spans="1:42">
      <c r="A3772" s="16">
        <v>43836</v>
      </c>
      <c r="B3772">
        <v>1</v>
      </c>
      <c r="C3772">
        <v>539</v>
      </c>
      <c r="D3772">
        <v>10294</v>
      </c>
      <c r="E3772" t="s">
        <v>37</v>
      </c>
      <c r="F3772" t="s">
        <v>949</v>
      </c>
      <c r="G3772">
        <v>2</v>
      </c>
      <c r="H3772">
        <v>4</v>
      </c>
      <c r="I3772" s="25">
        <v>3400</v>
      </c>
      <c r="K3772" t="s">
        <v>588</v>
      </c>
      <c r="M3772" t="s">
        <v>52</v>
      </c>
      <c r="N3772" t="s">
        <v>44</v>
      </c>
      <c r="O3772">
        <v>213</v>
      </c>
      <c r="Q3772">
        <v>1</v>
      </c>
      <c r="R3772">
        <v>1</v>
      </c>
      <c r="S3772">
        <v>0</v>
      </c>
      <c r="T3772">
        <v>0</v>
      </c>
      <c r="U3772">
        <v>0</v>
      </c>
      <c r="V3772">
        <v>0</v>
      </c>
      <c r="W3772">
        <v>0</v>
      </c>
      <c r="X3772" s="21">
        <v>0</v>
      </c>
      <c r="Y3772">
        <v>0</v>
      </c>
      <c r="Z3772">
        <v>0</v>
      </c>
      <c r="AA3772">
        <v>1</v>
      </c>
      <c r="AB3772">
        <v>0</v>
      </c>
      <c r="AC3772">
        <v>0</v>
      </c>
      <c r="AD3772" s="21">
        <v>0</v>
      </c>
      <c r="AE3772" s="21">
        <v>0</v>
      </c>
      <c r="AF3772">
        <v>0</v>
      </c>
      <c r="AG3772">
        <v>0</v>
      </c>
      <c r="AJ3772" t="s">
        <v>51</v>
      </c>
      <c r="AK3772" t="s">
        <v>95</v>
      </c>
      <c r="AL3772" t="s">
        <v>1243</v>
      </c>
      <c r="AP3772" t="s">
        <v>951</v>
      </c>
    </row>
    <row r="3773" spans="1:42">
      <c r="A3773" s="16">
        <v>43836</v>
      </c>
      <c r="B3773">
        <v>1</v>
      </c>
      <c r="C3773">
        <v>539</v>
      </c>
      <c r="D3773">
        <v>10294</v>
      </c>
      <c r="E3773" t="s">
        <v>37</v>
      </c>
      <c r="F3773" t="s">
        <v>949</v>
      </c>
      <c r="G3773">
        <v>2</v>
      </c>
      <c r="H3773">
        <v>5</v>
      </c>
      <c r="I3773" s="25">
        <v>3199</v>
      </c>
      <c r="K3773" t="s">
        <v>909</v>
      </c>
      <c r="M3773" t="s">
        <v>52</v>
      </c>
      <c r="N3773" t="s">
        <v>44</v>
      </c>
      <c r="O3773">
        <v>125</v>
      </c>
      <c r="Q3773">
        <v>1</v>
      </c>
      <c r="R3773">
        <v>1</v>
      </c>
      <c r="S3773">
        <v>0</v>
      </c>
      <c r="T3773">
        <v>0</v>
      </c>
      <c r="U3773">
        <v>0</v>
      </c>
      <c r="V3773">
        <v>0</v>
      </c>
      <c r="W3773">
        <v>0</v>
      </c>
      <c r="X3773" s="21">
        <v>0</v>
      </c>
      <c r="Y3773">
        <v>0</v>
      </c>
      <c r="Z3773">
        <v>1</v>
      </c>
      <c r="AA3773">
        <v>0</v>
      </c>
      <c r="AB3773">
        <v>0</v>
      </c>
      <c r="AC3773">
        <v>0</v>
      </c>
      <c r="AD3773" s="21">
        <v>0</v>
      </c>
      <c r="AE3773" s="21">
        <v>0</v>
      </c>
      <c r="AF3773">
        <v>0</v>
      </c>
      <c r="AG3773">
        <v>0</v>
      </c>
      <c r="AJ3773" t="s">
        <v>51</v>
      </c>
      <c r="AK3773" t="s">
        <v>95</v>
      </c>
      <c r="AP3773" t="s">
        <v>951</v>
      </c>
    </row>
    <row r="3774" spans="1:42">
      <c r="A3774" s="16">
        <v>43836</v>
      </c>
      <c r="B3774">
        <v>1</v>
      </c>
      <c r="C3774">
        <v>539</v>
      </c>
      <c r="D3774">
        <v>10294</v>
      </c>
      <c r="E3774" t="s">
        <v>37</v>
      </c>
      <c r="F3774" t="s">
        <v>949</v>
      </c>
      <c r="G3774">
        <v>2</v>
      </c>
      <c r="H3774">
        <v>6</v>
      </c>
      <c r="I3774" s="25">
        <v>1881</v>
      </c>
      <c r="K3774" t="s">
        <v>53</v>
      </c>
      <c r="M3774" t="s">
        <v>52</v>
      </c>
      <c r="N3774" t="s">
        <v>44</v>
      </c>
      <c r="O3774">
        <v>216</v>
      </c>
      <c r="Q3774">
        <v>1</v>
      </c>
      <c r="R3774">
        <v>1</v>
      </c>
      <c r="S3774">
        <v>0</v>
      </c>
      <c r="T3774">
        <v>0</v>
      </c>
      <c r="U3774">
        <v>0</v>
      </c>
      <c r="V3774">
        <v>0</v>
      </c>
      <c r="W3774">
        <v>0</v>
      </c>
      <c r="X3774" s="21">
        <v>0</v>
      </c>
      <c r="Y3774">
        <v>0</v>
      </c>
      <c r="Z3774">
        <v>0</v>
      </c>
      <c r="AA3774">
        <v>1</v>
      </c>
      <c r="AB3774">
        <v>0</v>
      </c>
      <c r="AC3774">
        <v>0</v>
      </c>
      <c r="AD3774" s="21">
        <v>0</v>
      </c>
      <c r="AE3774" s="21">
        <v>0</v>
      </c>
      <c r="AF3774">
        <v>0</v>
      </c>
      <c r="AG3774">
        <v>0</v>
      </c>
      <c r="AJ3774" t="s">
        <v>51</v>
      </c>
      <c r="AK3774" t="s">
        <v>95</v>
      </c>
      <c r="AL3774" t="s">
        <v>1244</v>
      </c>
      <c r="AP3774" t="s">
        <v>951</v>
      </c>
    </row>
    <row r="3775" spans="1:42">
      <c r="A3775" s="16">
        <v>43836</v>
      </c>
      <c r="B3775">
        <v>1</v>
      </c>
      <c r="C3775">
        <v>539</v>
      </c>
      <c r="D3775">
        <v>10294</v>
      </c>
      <c r="E3775" t="s">
        <v>37</v>
      </c>
      <c r="F3775" t="s">
        <v>949</v>
      </c>
      <c r="G3775">
        <v>2</v>
      </c>
      <c r="H3775">
        <v>7</v>
      </c>
      <c r="I3775" s="25">
        <v>1980</v>
      </c>
      <c r="K3775" t="s">
        <v>49</v>
      </c>
      <c r="M3775" t="s">
        <v>52</v>
      </c>
      <c r="N3775" t="s">
        <v>44</v>
      </c>
      <c r="O3775">
        <v>142</v>
      </c>
      <c r="Q3775">
        <v>1</v>
      </c>
      <c r="R3775">
        <v>1</v>
      </c>
      <c r="S3775">
        <v>0</v>
      </c>
      <c r="T3775">
        <v>0</v>
      </c>
      <c r="U3775">
        <v>0</v>
      </c>
      <c r="V3775">
        <v>0</v>
      </c>
      <c r="W3775">
        <v>0</v>
      </c>
      <c r="X3775" s="21">
        <v>0</v>
      </c>
      <c r="Y3775">
        <v>0</v>
      </c>
      <c r="Z3775">
        <v>0</v>
      </c>
      <c r="AA3775">
        <v>1</v>
      </c>
      <c r="AB3775">
        <v>0</v>
      </c>
      <c r="AC3775">
        <v>0</v>
      </c>
      <c r="AD3775" s="21">
        <v>0</v>
      </c>
      <c r="AE3775" s="21">
        <v>0</v>
      </c>
      <c r="AF3775">
        <v>0</v>
      </c>
      <c r="AG3775">
        <v>0</v>
      </c>
      <c r="AJ3775" t="s">
        <v>51</v>
      </c>
      <c r="AK3775" t="s">
        <v>95</v>
      </c>
      <c r="AL3775" t="s">
        <v>1245</v>
      </c>
      <c r="AP3775" t="s">
        <v>951</v>
      </c>
    </row>
    <row r="3776" spans="1:42">
      <c r="A3776" s="16">
        <v>43836</v>
      </c>
      <c r="B3776">
        <v>1</v>
      </c>
      <c r="C3776">
        <v>539</v>
      </c>
      <c r="D3776">
        <v>10294</v>
      </c>
      <c r="E3776" t="s">
        <v>37</v>
      </c>
      <c r="F3776" t="s">
        <v>949</v>
      </c>
      <c r="G3776">
        <v>2</v>
      </c>
      <c r="H3776">
        <v>8</v>
      </c>
      <c r="I3776" s="25">
        <v>1640</v>
      </c>
      <c r="K3776" t="s">
        <v>53</v>
      </c>
      <c r="M3776" t="s">
        <v>52</v>
      </c>
      <c r="N3776" t="s">
        <v>44</v>
      </c>
      <c r="O3776">
        <v>156</v>
      </c>
      <c r="Q3776">
        <v>1</v>
      </c>
      <c r="R3776">
        <v>1</v>
      </c>
      <c r="S3776">
        <v>0</v>
      </c>
      <c r="T3776">
        <v>0</v>
      </c>
      <c r="U3776">
        <v>0</v>
      </c>
      <c r="V3776">
        <v>0</v>
      </c>
      <c r="W3776">
        <v>0</v>
      </c>
      <c r="X3776" s="21">
        <v>0</v>
      </c>
      <c r="Y3776">
        <v>1</v>
      </c>
      <c r="Z3776">
        <v>0</v>
      </c>
      <c r="AA3776">
        <v>0</v>
      </c>
      <c r="AB3776">
        <v>0</v>
      </c>
      <c r="AC3776">
        <v>0</v>
      </c>
      <c r="AD3776" s="21">
        <v>0</v>
      </c>
      <c r="AE3776" s="21">
        <v>0</v>
      </c>
      <c r="AF3776">
        <v>0</v>
      </c>
      <c r="AG3776">
        <v>0</v>
      </c>
      <c r="AJ3776" t="s">
        <v>51</v>
      </c>
      <c r="AK3776" t="s">
        <v>95</v>
      </c>
      <c r="AL3776" t="s">
        <v>1246</v>
      </c>
      <c r="AP3776" t="s">
        <v>951</v>
      </c>
    </row>
    <row r="3777" spans="1:42">
      <c r="A3777" s="16">
        <v>43836</v>
      </c>
      <c r="B3777">
        <v>1</v>
      </c>
      <c r="C3777">
        <v>539</v>
      </c>
      <c r="D3777">
        <v>10294</v>
      </c>
      <c r="E3777" t="s">
        <v>37</v>
      </c>
      <c r="F3777" t="s">
        <v>949</v>
      </c>
      <c r="G3777">
        <v>2</v>
      </c>
      <c r="H3777">
        <v>9</v>
      </c>
      <c r="I3777" s="25">
        <v>616</v>
      </c>
      <c r="K3777" t="s">
        <v>1092</v>
      </c>
      <c r="M3777" t="s">
        <v>52</v>
      </c>
      <c r="N3777" t="s">
        <v>44</v>
      </c>
      <c r="O3777">
        <v>163</v>
      </c>
      <c r="Q3777">
        <v>1</v>
      </c>
      <c r="R3777">
        <v>1</v>
      </c>
      <c r="S3777">
        <v>0</v>
      </c>
      <c r="T3777">
        <v>0</v>
      </c>
      <c r="U3777">
        <v>0</v>
      </c>
      <c r="V3777">
        <v>0</v>
      </c>
      <c r="W3777">
        <v>0</v>
      </c>
      <c r="X3777" s="21">
        <v>0</v>
      </c>
      <c r="Y3777">
        <v>0</v>
      </c>
      <c r="Z3777">
        <v>0</v>
      </c>
      <c r="AA3777">
        <v>1</v>
      </c>
      <c r="AB3777">
        <v>0</v>
      </c>
      <c r="AC3777">
        <v>0</v>
      </c>
      <c r="AD3777" s="21">
        <v>0</v>
      </c>
      <c r="AE3777" s="21">
        <v>0</v>
      </c>
      <c r="AF3777">
        <v>0</v>
      </c>
      <c r="AG3777">
        <v>0</v>
      </c>
      <c r="AJ3777" t="s">
        <v>54</v>
      </c>
      <c r="AK3777" t="s">
        <v>95</v>
      </c>
      <c r="AL3777" t="s">
        <v>1247</v>
      </c>
      <c r="AP3777" t="s">
        <v>951</v>
      </c>
    </row>
    <row r="3778" spans="1:42">
      <c r="A3778" s="16">
        <v>43836</v>
      </c>
      <c r="B3778">
        <v>1</v>
      </c>
      <c r="C3778">
        <v>539</v>
      </c>
      <c r="D3778">
        <v>10294</v>
      </c>
      <c r="E3778" t="s">
        <v>37</v>
      </c>
      <c r="F3778" t="s">
        <v>949</v>
      </c>
      <c r="G3778">
        <v>2</v>
      </c>
      <c r="H3778">
        <v>10</v>
      </c>
      <c r="I3778" s="25">
        <v>1728</v>
      </c>
      <c r="K3778" t="s">
        <v>596</v>
      </c>
      <c r="M3778" t="s">
        <v>52</v>
      </c>
      <c r="N3778" t="s">
        <v>44</v>
      </c>
      <c r="O3778">
        <v>265</v>
      </c>
      <c r="Q3778">
        <v>1</v>
      </c>
      <c r="R3778">
        <v>1</v>
      </c>
      <c r="S3778">
        <v>0</v>
      </c>
      <c r="T3778">
        <v>0</v>
      </c>
      <c r="U3778">
        <v>0</v>
      </c>
      <c r="V3778">
        <v>0</v>
      </c>
      <c r="W3778">
        <v>0</v>
      </c>
      <c r="X3778" s="21">
        <v>0</v>
      </c>
      <c r="Y3778">
        <v>0</v>
      </c>
      <c r="Z3778">
        <v>0</v>
      </c>
      <c r="AA3778">
        <v>1</v>
      </c>
      <c r="AB3778">
        <v>0</v>
      </c>
      <c r="AC3778">
        <v>0</v>
      </c>
      <c r="AD3778" s="21">
        <v>0</v>
      </c>
      <c r="AE3778" s="21">
        <v>0</v>
      </c>
      <c r="AF3778">
        <v>0</v>
      </c>
      <c r="AG3778">
        <v>0</v>
      </c>
      <c r="AJ3778" t="s">
        <v>54</v>
      </c>
      <c r="AK3778" t="s">
        <v>95</v>
      </c>
      <c r="AL3778" t="s">
        <v>1248</v>
      </c>
      <c r="AP3778" t="s">
        <v>951</v>
      </c>
    </row>
    <row r="3779" spans="1:42">
      <c r="A3779" s="16">
        <v>43836</v>
      </c>
      <c r="B3779">
        <v>1</v>
      </c>
      <c r="C3779">
        <v>539</v>
      </c>
      <c r="D3779">
        <v>10294</v>
      </c>
      <c r="E3779" t="s">
        <v>37</v>
      </c>
      <c r="F3779" t="s">
        <v>949</v>
      </c>
      <c r="G3779">
        <v>2</v>
      </c>
      <c r="H3779">
        <v>11</v>
      </c>
      <c r="I3779" s="25">
        <v>1450</v>
      </c>
      <c r="K3779" t="s">
        <v>53</v>
      </c>
      <c r="M3779" t="s">
        <v>52</v>
      </c>
      <c r="N3779" t="s">
        <v>44</v>
      </c>
      <c r="O3779">
        <v>157</v>
      </c>
      <c r="Q3779">
        <v>1</v>
      </c>
      <c r="R3779">
        <v>1</v>
      </c>
      <c r="S3779">
        <v>0</v>
      </c>
      <c r="T3779">
        <v>0</v>
      </c>
      <c r="U3779">
        <v>0</v>
      </c>
      <c r="V3779">
        <v>0</v>
      </c>
      <c r="W3779">
        <v>0</v>
      </c>
      <c r="X3779" s="21">
        <v>0</v>
      </c>
      <c r="Y3779">
        <v>0</v>
      </c>
      <c r="Z3779">
        <v>0</v>
      </c>
      <c r="AA3779">
        <v>1</v>
      </c>
      <c r="AB3779">
        <v>0</v>
      </c>
      <c r="AC3779">
        <v>0</v>
      </c>
      <c r="AD3779" s="21">
        <v>0</v>
      </c>
      <c r="AE3779" s="21">
        <v>0</v>
      </c>
      <c r="AF3779">
        <v>0</v>
      </c>
      <c r="AG3779">
        <v>0</v>
      </c>
      <c r="AJ3779" t="s">
        <v>51</v>
      </c>
      <c r="AK3779" t="s">
        <v>95</v>
      </c>
      <c r="AP3779" t="s">
        <v>951</v>
      </c>
    </row>
    <row r="3780" spans="1:42">
      <c r="A3780" s="16">
        <v>43836</v>
      </c>
      <c r="B3780">
        <v>1</v>
      </c>
      <c r="C3780">
        <v>539</v>
      </c>
      <c r="D3780">
        <v>10294</v>
      </c>
      <c r="E3780" t="s">
        <v>37</v>
      </c>
      <c r="F3780" t="s">
        <v>949</v>
      </c>
      <c r="G3780">
        <v>2</v>
      </c>
      <c r="H3780">
        <v>12</v>
      </c>
      <c r="I3780" s="25">
        <v>1550</v>
      </c>
      <c r="K3780" t="s">
        <v>49</v>
      </c>
      <c r="M3780" t="s">
        <v>52</v>
      </c>
      <c r="N3780" t="s">
        <v>44</v>
      </c>
      <c r="O3780">
        <v>183</v>
      </c>
      <c r="Q3780">
        <v>3</v>
      </c>
      <c r="R3780">
        <v>1</v>
      </c>
      <c r="S3780">
        <v>0</v>
      </c>
      <c r="T3780">
        <v>0</v>
      </c>
      <c r="U3780">
        <v>0</v>
      </c>
      <c r="V3780">
        <v>0</v>
      </c>
      <c r="W3780">
        <v>2</v>
      </c>
      <c r="X3780" s="21">
        <v>0</v>
      </c>
      <c r="Y3780">
        <v>0</v>
      </c>
      <c r="Z3780">
        <v>0</v>
      </c>
      <c r="AA3780">
        <v>1</v>
      </c>
      <c r="AB3780">
        <v>0</v>
      </c>
      <c r="AC3780">
        <v>0</v>
      </c>
      <c r="AD3780" s="21">
        <v>0</v>
      </c>
      <c r="AE3780" s="21">
        <v>0</v>
      </c>
      <c r="AF3780">
        <v>0</v>
      </c>
      <c r="AG3780">
        <v>0</v>
      </c>
      <c r="AH3780" t="s">
        <v>165</v>
      </c>
      <c r="AJ3780" t="s">
        <v>51</v>
      </c>
      <c r="AK3780" t="s">
        <v>52</v>
      </c>
      <c r="AL3780" t="s">
        <v>1249</v>
      </c>
      <c r="AP3780" t="s">
        <v>951</v>
      </c>
    </row>
    <row r="3781" spans="1:42">
      <c r="A3781" s="16">
        <v>43836</v>
      </c>
      <c r="B3781">
        <v>1</v>
      </c>
      <c r="C3781">
        <v>539</v>
      </c>
      <c r="D3781">
        <v>10294</v>
      </c>
      <c r="E3781" t="s">
        <v>37</v>
      </c>
      <c r="F3781" t="s">
        <v>949</v>
      </c>
      <c r="G3781">
        <v>2</v>
      </c>
      <c r="H3781">
        <v>13</v>
      </c>
      <c r="I3781" s="25">
        <v>1590</v>
      </c>
      <c r="K3781" t="s">
        <v>605</v>
      </c>
      <c r="M3781" t="s">
        <v>52</v>
      </c>
      <c r="N3781" t="s">
        <v>44</v>
      </c>
      <c r="O3781">
        <v>190</v>
      </c>
      <c r="Q3781">
        <v>1</v>
      </c>
      <c r="R3781">
        <v>1</v>
      </c>
      <c r="S3781">
        <v>0</v>
      </c>
      <c r="T3781">
        <v>0</v>
      </c>
      <c r="U3781">
        <v>0</v>
      </c>
      <c r="V3781">
        <v>0</v>
      </c>
      <c r="W3781">
        <v>0</v>
      </c>
      <c r="X3781" s="21">
        <v>0</v>
      </c>
      <c r="Y3781">
        <v>0</v>
      </c>
      <c r="Z3781">
        <v>0</v>
      </c>
      <c r="AA3781">
        <v>1</v>
      </c>
      <c r="AB3781">
        <v>0</v>
      </c>
      <c r="AC3781">
        <v>0</v>
      </c>
      <c r="AD3781" s="21">
        <v>0</v>
      </c>
      <c r="AE3781" s="21">
        <v>0</v>
      </c>
      <c r="AF3781">
        <v>0</v>
      </c>
      <c r="AG3781">
        <v>0</v>
      </c>
      <c r="AJ3781" t="s">
        <v>51</v>
      </c>
      <c r="AK3781" t="s">
        <v>95</v>
      </c>
      <c r="AL3781" t="s">
        <v>1250</v>
      </c>
      <c r="AP3781" t="s">
        <v>951</v>
      </c>
    </row>
    <row r="3782" spans="1:42">
      <c r="A3782" s="16">
        <v>43836</v>
      </c>
      <c r="B3782">
        <v>1</v>
      </c>
      <c r="C3782">
        <v>539</v>
      </c>
      <c r="D3782">
        <v>10294</v>
      </c>
      <c r="E3782" t="s">
        <v>37</v>
      </c>
      <c r="F3782" t="s">
        <v>949</v>
      </c>
      <c r="G3782">
        <v>2</v>
      </c>
      <c r="H3782">
        <v>14</v>
      </c>
      <c r="I3782" s="25">
        <v>1595</v>
      </c>
      <c r="K3782" t="s">
        <v>605</v>
      </c>
      <c r="M3782" t="s">
        <v>52</v>
      </c>
      <c r="N3782" t="s">
        <v>44</v>
      </c>
      <c r="O3782">
        <v>210</v>
      </c>
      <c r="Q3782">
        <v>1</v>
      </c>
      <c r="R3782">
        <v>1</v>
      </c>
      <c r="S3782">
        <v>0</v>
      </c>
      <c r="T3782">
        <v>0</v>
      </c>
      <c r="U3782">
        <v>0</v>
      </c>
      <c r="V3782">
        <v>0</v>
      </c>
      <c r="W3782">
        <v>0</v>
      </c>
      <c r="X3782" s="21">
        <v>0</v>
      </c>
      <c r="Y3782">
        <v>0</v>
      </c>
      <c r="Z3782">
        <v>0</v>
      </c>
      <c r="AA3782">
        <v>1</v>
      </c>
      <c r="AB3782">
        <v>0</v>
      </c>
      <c r="AC3782">
        <v>0</v>
      </c>
      <c r="AD3782" s="21">
        <v>0</v>
      </c>
      <c r="AE3782" s="21">
        <v>0</v>
      </c>
      <c r="AF3782">
        <v>0</v>
      </c>
      <c r="AG3782">
        <v>0</v>
      </c>
      <c r="AJ3782" t="s">
        <v>51</v>
      </c>
      <c r="AK3782" t="s">
        <v>52</v>
      </c>
      <c r="AP3782" t="s">
        <v>951</v>
      </c>
    </row>
    <row r="3783" spans="1:42">
      <c r="A3783" s="16">
        <v>43836</v>
      </c>
      <c r="B3783">
        <v>1</v>
      </c>
      <c r="C3783">
        <v>539</v>
      </c>
      <c r="D3783">
        <v>10294</v>
      </c>
      <c r="E3783" t="s">
        <v>37</v>
      </c>
      <c r="F3783" t="s">
        <v>949</v>
      </c>
      <c r="G3783">
        <v>2</v>
      </c>
      <c r="H3783">
        <v>15</v>
      </c>
      <c r="I3783" s="25">
        <v>1450</v>
      </c>
      <c r="K3783" t="s">
        <v>631</v>
      </c>
      <c r="M3783" t="s">
        <v>52</v>
      </c>
      <c r="N3783" t="s">
        <v>44</v>
      </c>
      <c r="O3783">
        <v>455</v>
      </c>
      <c r="Q3783">
        <v>2</v>
      </c>
      <c r="R3783">
        <v>1</v>
      </c>
      <c r="S3783">
        <v>0</v>
      </c>
      <c r="T3783">
        <v>0</v>
      </c>
      <c r="U3783">
        <v>0</v>
      </c>
      <c r="V3783">
        <v>1</v>
      </c>
      <c r="W3783">
        <v>0</v>
      </c>
      <c r="X3783" s="21">
        <v>0</v>
      </c>
      <c r="Y3783">
        <v>0</v>
      </c>
      <c r="Z3783">
        <v>0</v>
      </c>
      <c r="AA3783">
        <v>2</v>
      </c>
      <c r="AB3783">
        <v>0</v>
      </c>
      <c r="AC3783">
        <v>0</v>
      </c>
      <c r="AD3783" s="21">
        <v>0</v>
      </c>
      <c r="AE3783" s="21">
        <v>0</v>
      </c>
      <c r="AF3783">
        <v>0</v>
      </c>
      <c r="AG3783">
        <v>0</v>
      </c>
      <c r="AH3783" t="s">
        <v>165</v>
      </c>
      <c r="AJ3783" t="s">
        <v>51</v>
      </c>
      <c r="AK3783" t="s">
        <v>95</v>
      </c>
      <c r="AL3783" t="s">
        <v>1251</v>
      </c>
      <c r="AP3783" t="s">
        <v>951</v>
      </c>
    </row>
    <row r="3784" spans="1:42">
      <c r="A3784" s="16">
        <v>43836</v>
      </c>
      <c r="B3784">
        <v>1</v>
      </c>
      <c r="C3784">
        <v>539</v>
      </c>
      <c r="D3784">
        <v>10294</v>
      </c>
      <c r="E3784" t="s">
        <v>37</v>
      </c>
      <c r="F3784" t="s">
        <v>949</v>
      </c>
      <c r="G3784">
        <v>2</v>
      </c>
      <c r="H3784">
        <v>16</v>
      </c>
      <c r="I3784" s="25">
        <v>1525</v>
      </c>
      <c r="K3784" t="s">
        <v>69</v>
      </c>
      <c r="M3784" t="s">
        <v>52</v>
      </c>
      <c r="N3784" t="s">
        <v>44</v>
      </c>
      <c r="O3784">
        <v>152</v>
      </c>
      <c r="Q3784">
        <v>1</v>
      </c>
      <c r="R3784">
        <v>1</v>
      </c>
      <c r="S3784">
        <v>0</v>
      </c>
      <c r="T3784">
        <v>0</v>
      </c>
      <c r="U3784">
        <v>0</v>
      </c>
      <c r="V3784">
        <v>0</v>
      </c>
      <c r="W3784">
        <v>0</v>
      </c>
      <c r="X3784" s="21">
        <v>0</v>
      </c>
      <c r="Y3784">
        <v>0</v>
      </c>
      <c r="Z3784">
        <v>0</v>
      </c>
      <c r="AA3784">
        <v>1</v>
      </c>
      <c r="AB3784">
        <v>0</v>
      </c>
      <c r="AC3784">
        <v>0</v>
      </c>
      <c r="AD3784" s="21">
        <v>0</v>
      </c>
      <c r="AE3784" s="21">
        <v>0</v>
      </c>
      <c r="AF3784">
        <v>0</v>
      </c>
      <c r="AG3784">
        <v>0</v>
      </c>
      <c r="AJ3784" t="s">
        <v>51</v>
      </c>
      <c r="AK3784" t="s">
        <v>95</v>
      </c>
      <c r="AP3784" t="s">
        <v>951</v>
      </c>
    </row>
    <row r="3785" spans="1:42">
      <c r="A3785" s="16">
        <v>43836</v>
      </c>
      <c r="B3785">
        <v>1</v>
      </c>
      <c r="C3785">
        <v>539</v>
      </c>
      <c r="D3785">
        <v>10294</v>
      </c>
      <c r="E3785" t="s">
        <v>37</v>
      </c>
      <c r="F3785" t="s">
        <v>949</v>
      </c>
      <c r="G3785">
        <v>2</v>
      </c>
      <c r="H3785">
        <v>17</v>
      </c>
      <c r="I3785" s="25">
        <v>1630</v>
      </c>
      <c r="K3785" t="s">
        <v>56</v>
      </c>
      <c r="M3785" t="s">
        <v>52</v>
      </c>
      <c r="N3785" t="s">
        <v>44</v>
      </c>
      <c r="O3785">
        <v>325</v>
      </c>
      <c r="Q3785">
        <v>1</v>
      </c>
      <c r="R3785">
        <v>1</v>
      </c>
      <c r="S3785">
        <v>0</v>
      </c>
      <c r="T3785">
        <v>0</v>
      </c>
      <c r="U3785">
        <v>0</v>
      </c>
      <c r="V3785">
        <v>0</v>
      </c>
      <c r="W3785">
        <v>0</v>
      </c>
      <c r="X3785" s="21">
        <v>0</v>
      </c>
      <c r="Y3785">
        <v>0</v>
      </c>
      <c r="Z3785">
        <v>0</v>
      </c>
      <c r="AA3785">
        <v>1</v>
      </c>
      <c r="AB3785">
        <v>0</v>
      </c>
      <c r="AC3785">
        <v>0</v>
      </c>
      <c r="AD3785" s="21">
        <v>0</v>
      </c>
      <c r="AE3785" s="21">
        <v>0</v>
      </c>
      <c r="AF3785">
        <v>0</v>
      </c>
      <c r="AG3785">
        <v>0</v>
      </c>
      <c r="AJ3785" t="s">
        <v>51</v>
      </c>
      <c r="AK3785" t="s">
        <v>52</v>
      </c>
      <c r="AL3785" t="s">
        <v>1226</v>
      </c>
      <c r="AP3785" t="s">
        <v>951</v>
      </c>
    </row>
    <row r="3786" spans="1:42">
      <c r="A3786" s="16">
        <v>43836</v>
      </c>
      <c r="B3786">
        <v>1</v>
      </c>
      <c r="C3786">
        <v>539</v>
      </c>
      <c r="D3786">
        <v>10294</v>
      </c>
      <c r="E3786" t="s">
        <v>37</v>
      </c>
      <c r="F3786" t="s">
        <v>949</v>
      </c>
      <c r="G3786">
        <v>2</v>
      </c>
      <c r="H3786">
        <v>18</v>
      </c>
      <c r="I3786" s="25">
        <v>2121</v>
      </c>
      <c r="K3786" t="s">
        <v>69</v>
      </c>
      <c r="M3786" t="s">
        <v>52</v>
      </c>
      <c r="N3786" t="s">
        <v>44</v>
      </c>
      <c r="O3786">
        <v>139</v>
      </c>
      <c r="Q3786">
        <v>1</v>
      </c>
      <c r="R3786">
        <v>1</v>
      </c>
      <c r="S3786">
        <v>0</v>
      </c>
      <c r="T3786">
        <v>0</v>
      </c>
      <c r="U3786">
        <v>0</v>
      </c>
      <c r="V3786">
        <v>0</v>
      </c>
      <c r="W3786">
        <v>1</v>
      </c>
      <c r="X3786" s="21">
        <v>0</v>
      </c>
      <c r="Y3786">
        <v>0</v>
      </c>
      <c r="Z3786">
        <v>0</v>
      </c>
      <c r="AA3786">
        <v>1</v>
      </c>
      <c r="AB3786">
        <v>0</v>
      </c>
      <c r="AC3786">
        <v>0</v>
      </c>
      <c r="AD3786" s="21">
        <v>0</v>
      </c>
      <c r="AE3786" s="21">
        <v>0</v>
      </c>
      <c r="AF3786">
        <v>0</v>
      </c>
      <c r="AG3786">
        <v>0</v>
      </c>
      <c r="AH3786" t="s">
        <v>165</v>
      </c>
      <c r="AP3786" t="s">
        <v>951</v>
      </c>
    </row>
    <row r="3787" spans="1:42">
      <c r="A3787" s="16">
        <v>43836</v>
      </c>
      <c r="B3787">
        <v>1</v>
      </c>
      <c r="C3787">
        <v>539</v>
      </c>
      <c r="D3787">
        <v>10294</v>
      </c>
      <c r="E3787" t="s">
        <v>37</v>
      </c>
      <c r="F3787" t="s">
        <v>949</v>
      </c>
      <c r="G3787">
        <v>2</v>
      </c>
      <c r="H3787">
        <v>19</v>
      </c>
      <c r="I3787" s="25">
        <v>2121</v>
      </c>
      <c r="K3787" t="s">
        <v>599</v>
      </c>
      <c r="M3787" t="s">
        <v>52</v>
      </c>
      <c r="N3787" t="s">
        <v>44</v>
      </c>
      <c r="O3787">
        <v>233</v>
      </c>
      <c r="Q3787">
        <v>1</v>
      </c>
      <c r="R3787">
        <v>1</v>
      </c>
      <c r="S3787">
        <v>0</v>
      </c>
      <c r="T3787">
        <v>0</v>
      </c>
      <c r="U3787">
        <v>0</v>
      </c>
      <c r="V3787">
        <v>0</v>
      </c>
      <c r="W3787">
        <v>0</v>
      </c>
      <c r="X3787" s="21">
        <v>0</v>
      </c>
      <c r="Y3787">
        <v>0</v>
      </c>
      <c r="Z3787">
        <v>1</v>
      </c>
      <c r="AA3787">
        <v>0</v>
      </c>
      <c r="AB3787">
        <v>0</v>
      </c>
      <c r="AC3787">
        <v>0</v>
      </c>
      <c r="AD3787" s="21">
        <v>0</v>
      </c>
      <c r="AE3787" s="21">
        <v>0</v>
      </c>
      <c r="AF3787">
        <v>0</v>
      </c>
      <c r="AG3787">
        <v>0</v>
      </c>
      <c r="AL3787" t="s">
        <v>668</v>
      </c>
      <c r="AP3787" t="s">
        <v>951</v>
      </c>
    </row>
    <row r="3788" spans="1:42">
      <c r="A3788" s="16">
        <v>43836</v>
      </c>
      <c r="B3788">
        <v>1</v>
      </c>
      <c r="C3788">
        <v>539</v>
      </c>
      <c r="D3788">
        <v>10294</v>
      </c>
      <c r="E3788" t="s">
        <v>37</v>
      </c>
      <c r="F3788" t="s">
        <v>949</v>
      </c>
      <c r="G3788">
        <v>2</v>
      </c>
      <c r="H3788">
        <v>20</v>
      </c>
      <c r="I3788" s="25">
        <v>2222</v>
      </c>
      <c r="K3788" t="s">
        <v>185</v>
      </c>
      <c r="M3788" t="s">
        <v>52</v>
      </c>
      <c r="N3788" t="s">
        <v>44</v>
      </c>
      <c r="O3788">
        <v>45</v>
      </c>
      <c r="Q3788">
        <v>2</v>
      </c>
      <c r="R3788">
        <v>1</v>
      </c>
      <c r="S3788">
        <v>0</v>
      </c>
      <c r="T3788">
        <v>0</v>
      </c>
      <c r="U3788">
        <v>0</v>
      </c>
      <c r="V3788">
        <v>0</v>
      </c>
      <c r="W3788">
        <v>0</v>
      </c>
      <c r="X3788" s="21">
        <v>0</v>
      </c>
      <c r="Y3788">
        <v>0</v>
      </c>
      <c r="Z3788">
        <v>0</v>
      </c>
      <c r="AA3788">
        <v>2</v>
      </c>
      <c r="AB3788">
        <v>0</v>
      </c>
      <c r="AC3788">
        <v>0</v>
      </c>
      <c r="AD3788" s="21">
        <v>0</v>
      </c>
      <c r="AE3788" s="21">
        <v>0</v>
      </c>
      <c r="AF3788">
        <v>0</v>
      </c>
      <c r="AG3788">
        <v>0</v>
      </c>
      <c r="AJ3788" t="s">
        <v>51</v>
      </c>
      <c r="AK3788" t="s">
        <v>52</v>
      </c>
      <c r="AL3788" t="s">
        <v>1252</v>
      </c>
      <c r="AP3788" t="s">
        <v>951</v>
      </c>
    </row>
    <row r="3789" spans="1:42">
      <c r="A3789" s="16">
        <v>43836</v>
      </c>
      <c r="B3789">
        <v>1</v>
      </c>
      <c r="C3789">
        <v>539</v>
      </c>
      <c r="D3789">
        <v>10294</v>
      </c>
      <c r="E3789" t="s">
        <v>37</v>
      </c>
      <c r="F3789" t="s">
        <v>949</v>
      </c>
      <c r="G3789">
        <v>2</v>
      </c>
      <c r="H3789">
        <v>21</v>
      </c>
      <c r="I3789" s="25">
        <v>2000</v>
      </c>
      <c r="K3789" t="s">
        <v>185</v>
      </c>
      <c r="M3789" t="s">
        <v>52</v>
      </c>
      <c r="N3789" t="s">
        <v>44</v>
      </c>
      <c r="O3789">
        <v>546</v>
      </c>
      <c r="Q3789">
        <v>6</v>
      </c>
      <c r="R3789">
        <v>1</v>
      </c>
      <c r="S3789">
        <v>0</v>
      </c>
      <c r="T3789">
        <v>0</v>
      </c>
      <c r="U3789">
        <v>0</v>
      </c>
      <c r="V3789">
        <v>0</v>
      </c>
      <c r="W3789">
        <v>6</v>
      </c>
      <c r="X3789" s="21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 s="21">
        <v>0</v>
      </c>
      <c r="AE3789" s="21">
        <v>0</v>
      </c>
      <c r="AF3789">
        <v>0</v>
      </c>
      <c r="AG3789">
        <v>0</v>
      </c>
      <c r="AH3789">
        <v>576</v>
      </c>
      <c r="AJ3789" t="s">
        <v>54</v>
      </c>
      <c r="AK3789" t="s">
        <v>52</v>
      </c>
      <c r="AP3789" t="s">
        <v>951</v>
      </c>
    </row>
    <row r="3790" spans="1:42">
      <c r="A3790" s="16">
        <v>43836</v>
      </c>
      <c r="B3790">
        <v>1</v>
      </c>
      <c r="C3790">
        <v>539</v>
      </c>
      <c r="D3790">
        <v>10294</v>
      </c>
      <c r="E3790" t="s">
        <v>37</v>
      </c>
      <c r="F3790" t="s">
        <v>949</v>
      </c>
      <c r="G3790">
        <v>2</v>
      </c>
      <c r="H3790">
        <v>22</v>
      </c>
      <c r="I3790" s="25">
        <v>2200</v>
      </c>
      <c r="K3790" t="s">
        <v>62</v>
      </c>
      <c r="M3790" t="s">
        <v>52</v>
      </c>
      <c r="N3790" t="s">
        <v>44</v>
      </c>
      <c r="O3790">
        <v>266</v>
      </c>
      <c r="Q3790">
        <v>1</v>
      </c>
      <c r="R3790">
        <v>1</v>
      </c>
      <c r="S3790">
        <v>0</v>
      </c>
      <c r="T3790">
        <v>0</v>
      </c>
      <c r="U3790">
        <v>0</v>
      </c>
      <c r="V3790">
        <v>0</v>
      </c>
      <c r="W3790">
        <v>0</v>
      </c>
      <c r="X3790" s="21">
        <v>0</v>
      </c>
      <c r="Y3790">
        <v>1</v>
      </c>
      <c r="Z3790">
        <v>0</v>
      </c>
      <c r="AA3790">
        <v>0</v>
      </c>
      <c r="AB3790">
        <v>0</v>
      </c>
      <c r="AC3790">
        <v>0</v>
      </c>
      <c r="AD3790" s="21">
        <v>0</v>
      </c>
      <c r="AE3790" s="21">
        <v>0</v>
      </c>
      <c r="AF3790">
        <v>0</v>
      </c>
      <c r="AG3790">
        <v>0</v>
      </c>
      <c r="AJ3790" t="s">
        <v>54</v>
      </c>
      <c r="AK3790" t="s">
        <v>95</v>
      </c>
      <c r="AL3790" t="s">
        <v>668</v>
      </c>
      <c r="AP3790" t="s">
        <v>951</v>
      </c>
    </row>
    <row r="3791" spans="1:42">
      <c r="A3791" s="16">
        <v>43836</v>
      </c>
      <c r="B3791">
        <v>1</v>
      </c>
      <c r="C3791">
        <v>539</v>
      </c>
      <c r="D3791">
        <v>10294</v>
      </c>
      <c r="E3791" t="s">
        <v>37</v>
      </c>
      <c r="F3791" t="s">
        <v>949</v>
      </c>
      <c r="G3791">
        <v>2</v>
      </c>
      <c r="H3791">
        <v>23</v>
      </c>
      <c r="I3791" s="25">
        <v>2055</v>
      </c>
      <c r="K3791" t="s">
        <v>62</v>
      </c>
      <c r="M3791" t="s">
        <v>52</v>
      </c>
      <c r="N3791" t="s">
        <v>44</v>
      </c>
      <c r="O3791">
        <v>203</v>
      </c>
      <c r="Q3791">
        <v>1</v>
      </c>
      <c r="R3791">
        <v>1</v>
      </c>
      <c r="S3791">
        <v>0</v>
      </c>
      <c r="T3791">
        <v>0</v>
      </c>
      <c r="U3791">
        <v>0</v>
      </c>
      <c r="V3791">
        <v>0</v>
      </c>
      <c r="W3791">
        <v>0</v>
      </c>
      <c r="X3791" s="21">
        <v>0</v>
      </c>
      <c r="Y3791">
        <v>0</v>
      </c>
      <c r="Z3791">
        <v>0</v>
      </c>
      <c r="AA3791">
        <v>1</v>
      </c>
      <c r="AB3791">
        <v>0</v>
      </c>
      <c r="AC3791">
        <v>0</v>
      </c>
      <c r="AD3791" s="21">
        <v>0</v>
      </c>
      <c r="AE3791" s="21">
        <v>0</v>
      </c>
      <c r="AF3791">
        <v>0</v>
      </c>
      <c r="AG3791">
        <v>0</v>
      </c>
      <c r="AJ3791" t="s">
        <v>51</v>
      </c>
      <c r="AK3791" t="s">
        <v>95</v>
      </c>
      <c r="AP3791" t="s">
        <v>951</v>
      </c>
    </row>
    <row r="3792" spans="1:42">
      <c r="A3792" s="16">
        <v>43836</v>
      </c>
      <c r="B3792">
        <v>1</v>
      </c>
      <c r="C3792">
        <v>539</v>
      </c>
      <c r="D3792">
        <v>10294</v>
      </c>
      <c r="E3792" t="s">
        <v>37</v>
      </c>
      <c r="F3792" t="s">
        <v>949</v>
      </c>
      <c r="G3792">
        <v>2</v>
      </c>
      <c r="H3792">
        <v>24</v>
      </c>
      <c r="I3792" s="25">
        <v>2100</v>
      </c>
      <c r="K3792" t="s">
        <v>599</v>
      </c>
      <c r="M3792" t="s">
        <v>52</v>
      </c>
      <c r="N3792" t="s">
        <v>44</v>
      </c>
      <c r="O3792">
        <v>417</v>
      </c>
      <c r="Q3792">
        <v>13</v>
      </c>
      <c r="R3792">
        <v>1</v>
      </c>
      <c r="S3792">
        <v>0</v>
      </c>
      <c r="T3792">
        <v>0</v>
      </c>
      <c r="U3792">
        <v>0</v>
      </c>
      <c r="V3792">
        <v>0</v>
      </c>
      <c r="W3792">
        <v>12</v>
      </c>
      <c r="X3792" s="21">
        <v>0</v>
      </c>
      <c r="Y3792">
        <v>0</v>
      </c>
      <c r="Z3792">
        <v>0</v>
      </c>
      <c r="AA3792">
        <v>1</v>
      </c>
      <c r="AB3792">
        <v>0</v>
      </c>
      <c r="AC3792">
        <v>0</v>
      </c>
      <c r="AD3792" s="21">
        <v>0</v>
      </c>
      <c r="AE3792" s="21">
        <v>0</v>
      </c>
      <c r="AF3792">
        <v>0</v>
      </c>
      <c r="AG3792">
        <v>0</v>
      </c>
      <c r="AH3792">
        <v>1152</v>
      </c>
      <c r="AJ3792" t="s">
        <v>51</v>
      </c>
      <c r="AK3792" t="s">
        <v>95</v>
      </c>
      <c r="AP3792" t="s">
        <v>951</v>
      </c>
    </row>
    <row r="3793" spans="1:42">
      <c r="A3793" s="16">
        <v>43836</v>
      </c>
      <c r="B3793">
        <v>1</v>
      </c>
      <c r="C3793">
        <v>539</v>
      </c>
      <c r="D3793">
        <v>10294</v>
      </c>
      <c r="E3793" t="s">
        <v>37</v>
      </c>
      <c r="F3793" t="s">
        <v>949</v>
      </c>
      <c r="G3793">
        <v>2</v>
      </c>
      <c r="H3793">
        <v>25</v>
      </c>
      <c r="I3793" s="25">
        <v>2200</v>
      </c>
      <c r="K3793" t="s">
        <v>599</v>
      </c>
      <c r="M3793" t="s">
        <v>52</v>
      </c>
      <c r="N3793" t="s">
        <v>44</v>
      </c>
      <c r="O3793">
        <v>303</v>
      </c>
      <c r="Q3793">
        <v>1</v>
      </c>
      <c r="R3793">
        <v>1</v>
      </c>
      <c r="S3793">
        <v>0</v>
      </c>
      <c r="T3793">
        <v>0</v>
      </c>
      <c r="U3793">
        <v>0</v>
      </c>
      <c r="V3793">
        <v>0</v>
      </c>
      <c r="W3793">
        <v>0</v>
      </c>
      <c r="X3793" s="21">
        <v>0</v>
      </c>
      <c r="Y3793">
        <v>0</v>
      </c>
      <c r="Z3793">
        <v>0</v>
      </c>
      <c r="AA3793">
        <v>1</v>
      </c>
      <c r="AB3793">
        <v>0</v>
      </c>
      <c r="AC3793">
        <v>0</v>
      </c>
      <c r="AD3793" s="21">
        <v>0</v>
      </c>
      <c r="AE3793" s="21">
        <v>0</v>
      </c>
      <c r="AF3793">
        <v>0</v>
      </c>
      <c r="AG3793">
        <v>0</v>
      </c>
      <c r="AJ3793" t="s">
        <v>54</v>
      </c>
      <c r="AK3793" t="s">
        <v>95</v>
      </c>
      <c r="AP3793" t="s">
        <v>951</v>
      </c>
    </row>
    <row r="3794" spans="1:42">
      <c r="A3794" s="16">
        <v>43836</v>
      </c>
      <c r="B3794">
        <v>1</v>
      </c>
      <c r="C3794">
        <v>539</v>
      </c>
      <c r="D3794">
        <v>10294</v>
      </c>
      <c r="E3794" t="s">
        <v>37</v>
      </c>
      <c r="F3794" t="s">
        <v>949</v>
      </c>
      <c r="G3794">
        <v>2</v>
      </c>
      <c r="H3794">
        <v>26</v>
      </c>
      <c r="I3794" s="25">
        <v>1998</v>
      </c>
      <c r="K3794" t="s">
        <v>185</v>
      </c>
      <c r="M3794" t="s">
        <v>52</v>
      </c>
      <c r="N3794" t="s">
        <v>44</v>
      </c>
      <c r="O3794">
        <v>627</v>
      </c>
      <c r="Q3794">
        <v>12</v>
      </c>
      <c r="R3794">
        <v>1</v>
      </c>
      <c r="S3794">
        <v>0</v>
      </c>
      <c r="T3794">
        <v>0</v>
      </c>
      <c r="U3794">
        <v>0</v>
      </c>
      <c r="V3794">
        <v>0</v>
      </c>
      <c r="W3794">
        <v>12</v>
      </c>
      <c r="X3794" s="21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 s="21">
        <v>0</v>
      </c>
      <c r="AE3794" s="21">
        <v>0</v>
      </c>
      <c r="AF3794">
        <v>0</v>
      </c>
      <c r="AG3794">
        <v>0</v>
      </c>
      <c r="AH3794">
        <v>1152</v>
      </c>
      <c r="AJ3794" t="s">
        <v>54</v>
      </c>
      <c r="AK3794" t="s">
        <v>52</v>
      </c>
      <c r="AP3794" t="s">
        <v>951</v>
      </c>
    </row>
    <row r="3795" spans="1:42">
      <c r="A3795" s="16">
        <v>43836</v>
      </c>
      <c r="B3795">
        <v>1</v>
      </c>
      <c r="C3795">
        <v>539</v>
      </c>
      <c r="D3795">
        <v>10294</v>
      </c>
      <c r="E3795" t="s">
        <v>37</v>
      </c>
      <c r="F3795" t="s">
        <v>949</v>
      </c>
      <c r="G3795">
        <v>2</v>
      </c>
      <c r="H3795">
        <v>27</v>
      </c>
      <c r="I3795" s="25" t="s">
        <v>1253</v>
      </c>
      <c r="K3795" t="s">
        <v>156</v>
      </c>
      <c r="M3795" t="s">
        <v>52</v>
      </c>
      <c r="N3795" t="s">
        <v>44</v>
      </c>
      <c r="P3795">
        <v>585</v>
      </c>
      <c r="Q3795">
        <v>6</v>
      </c>
      <c r="R3795">
        <v>1</v>
      </c>
      <c r="S3795">
        <v>0</v>
      </c>
      <c r="T3795">
        <v>0</v>
      </c>
      <c r="U3795">
        <v>0</v>
      </c>
      <c r="V3795">
        <v>0</v>
      </c>
      <c r="W3795">
        <v>4</v>
      </c>
      <c r="X3795" s="21">
        <v>0</v>
      </c>
      <c r="Y3795">
        <v>0</v>
      </c>
      <c r="Z3795">
        <v>1</v>
      </c>
      <c r="AA3795">
        <v>1</v>
      </c>
      <c r="AB3795">
        <v>0</v>
      </c>
      <c r="AC3795">
        <v>0</v>
      </c>
      <c r="AD3795" s="21">
        <v>0</v>
      </c>
      <c r="AE3795" s="21">
        <v>0</v>
      </c>
      <c r="AF3795">
        <v>0</v>
      </c>
      <c r="AG3795">
        <v>0</v>
      </c>
      <c r="AH3795">
        <v>384</v>
      </c>
      <c r="AJ3795" t="s">
        <v>54</v>
      </c>
      <c r="AK3795" t="s">
        <v>95</v>
      </c>
      <c r="AL3795" t="s">
        <v>1254</v>
      </c>
      <c r="AP3795" t="s">
        <v>951</v>
      </c>
    </row>
    <row r="3796" spans="1:42">
      <c r="A3796" s="16">
        <v>43836</v>
      </c>
      <c r="B3796">
        <v>1</v>
      </c>
      <c r="C3796">
        <v>539</v>
      </c>
      <c r="D3796">
        <v>10294</v>
      </c>
      <c r="E3796" t="s">
        <v>37</v>
      </c>
      <c r="F3796" t="s">
        <v>949</v>
      </c>
      <c r="G3796">
        <v>2</v>
      </c>
      <c r="H3796">
        <v>28</v>
      </c>
      <c r="I3796" s="25">
        <v>2055</v>
      </c>
      <c r="K3796" t="s">
        <v>156</v>
      </c>
      <c r="L3796" t="s">
        <v>141</v>
      </c>
      <c r="M3796" t="s">
        <v>52</v>
      </c>
      <c r="N3796" t="s">
        <v>40</v>
      </c>
      <c r="O3796">
        <v>116</v>
      </c>
      <c r="Q3796">
        <v>1</v>
      </c>
      <c r="R3796">
        <v>1</v>
      </c>
      <c r="S3796">
        <v>0</v>
      </c>
      <c r="T3796">
        <v>0</v>
      </c>
      <c r="U3796">
        <v>0</v>
      </c>
      <c r="V3796">
        <v>0</v>
      </c>
      <c r="W3796">
        <v>0</v>
      </c>
      <c r="X3796" s="21">
        <v>0</v>
      </c>
      <c r="Y3796">
        <v>0</v>
      </c>
      <c r="Z3796">
        <v>1</v>
      </c>
      <c r="AA3796">
        <v>0</v>
      </c>
      <c r="AB3796">
        <v>0</v>
      </c>
      <c r="AC3796">
        <v>0</v>
      </c>
      <c r="AD3796" s="21">
        <v>0</v>
      </c>
      <c r="AE3796" s="21">
        <v>0</v>
      </c>
      <c r="AF3796">
        <v>0</v>
      </c>
      <c r="AG3796">
        <v>0</v>
      </c>
      <c r="AJ3796" t="s">
        <v>54</v>
      </c>
      <c r="AK3796" t="s">
        <v>52</v>
      </c>
      <c r="AP3796" t="s">
        <v>951</v>
      </c>
    </row>
    <row r="3797" spans="1:42">
      <c r="A3797" s="16">
        <v>43836</v>
      </c>
      <c r="B3797">
        <v>1</v>
      </c>
      <c r="C3797">
        <v>539</v>
      </c>
      <c r="D3797">
        <v>10294</v>
      </c>
      <c r="E3797" t="s">
        <v>37</v>
      </c>
      <c r="F3797" t="s">
        <v>949</v>
      </c>
      <c r="G3797">
        <v>2</v>
      </c>
      <c r="H3797">
        <v>29</v>
      </c>
      <c r="I3797" s="25">
        <v>1550</v>
      </c>
      <c r="K3797" t="s">
        <v>1122</v>
      </c>
      <c r="M3797" t="s">
        <v>52</v>
      </c>
      <c r="N3797" t="s">
        <v>44</v>
      </c>
      <c r="O3797">
        <v>370</v>
      </c>
      <c r="Q3797">
        <v>3</v>
      </c>
      <c r="R3797">
        <v>1</v>
      </c>
      <c r="S3797">
        <v>0</v>
      </c>
      <c r="T3797">
        <v>0</v>
      </c>
      <c r="U3797">
        <v>0</v>
      </c>
      <c r="V3797">
        <v>0</v>
      </c>
      <c r="W3797">
        <v>0</v>
      </c>
      <c r="X3797" s="21">
        <v>0</v>
      </c>
      <c r="Y3797">
        <v>0</v>
      </c>
      <c r="Z3797">
        <v>0</v>
      </c>
      <c r="AA3797">
        <v>3</v>
      </c>
      <c r="AB3797">
        <v>0</v>
      </c>
      <c r="AC3797">
        <v>0</v>
      </c>
      <c r="AD3797" s="21">
        <v>0</v>
      </c>
      <c r="AE3797" s="21">
        <v>0</v>
      </c>
      <c r="AF3797">
        <v>0</v>
      </c>
      <c r="AG3797">
        <v>0</v>
      </c>
      <c r="AJ3797" t="s">
        <v>51</v>
      </c>
      <c r="AK3797" t="s">
        <v>52</v>
      </c>
      <c r="AP3797" t="s">
        <v>951</v>
      </c>
    </row>
    <row r="3798" spans="1:42">
      <c r="A3798" s="16">
        <v>43836</v>
      </c>
      <c r="B3798">
        <v>1</v>
      </c>
      <c r="C3798">
        <v>539</v>
      </c>
      <c r="D3798">
        <v>10294</v>
      </c>
      <c r="E3798" t="s">
        <v>37</v>
      </c>
      <c r="F3798" t="s">
        <v>949</v>
      </c>
      <c r="G3798">
        <v>2</v>
      </c>
      <c r="H3798">
        <v>30</v>
      </c>
      <c r="I3798" s="25">
        <v>2000</v>
      </c>
      <c r="K3798" t="s">
        <v>324</v>
      </c>
      <c r="M3798" t="s">
        <v>52</v>
      </c>
      <c r="N3798" t="s">
        <v>44</v>
      </c>
      <c r="O3798">
        <v>209</v>
      </c>
      <c r="Q3798">
        <v>1</v>
      </c>
      <c r="R3798">
        <v>1</v>
      </c>
      <c r="S3798">
        <v>0</v>
      </c>
      <c r="T3798">
        <v>0</v>
      </c>
      <c r="U3798">
        <v>0</v>
      </c>
      <c r="V3798">
        <v>0</v>
      </c>
      <c r="W3798">
        <v>0</v>
      </c>
      <c r="X3798" s="21">
        <v>0</v>
      </c>
      <c r="Y3798">
        <v>0</v>
      </c>
      <c r="Z3798">
        <v>0</v>
      </c>
      <c r="AA3798">
        <v>1</v>
      </c>
      <c r="AB3798">
        <v>0</v>
      </c>
      <c r="AC3798">
        <v>0</v>
      </c>
      <c r="AD3798" s="21">
        <v>0</v>
      </c>
      <c r="AE3798" s="21">
        <v>0</v>
      </c>
      <c r="AF3798">
        <v>0</v>
      </c>
      <c r="AG3798">
        <v>0</v>
      </c>
      <c r="AJ3798" t="s">
        <v>51</v>
      </c>
      <c r="AK3798" t="s">
        <v>95</v>
      </c>
      <c r="AP3798" t="s">
        <v>951</v>
      </c>
    </row>
    <row r="3799" spans="1:42">
      <c r="A3799" s="16">
        <v>43836</v>
      </c>
      <c r="B3799">
        <v>1</v>
      </c>
      <c r="C3799">
        <v>539</v>
      </c>
      <c r="D3799">
        <v>10294</v>
      </c>
      <c r="E3799" t="s">
        <v>37</v>
      </c>
      <c r="F3799" t="s">
        <v>949</v>
      </c>
      <c r="G3799">
        <v>2</v>
      </c>
      <c r="H3799">
        <v>31</v>
      </c>
      <c r="I3799" s="25">
        <v>1</v>
      </c>
      <c r="K3799" t="s">
        <v>1255</v>
      </c>
      <c r="M3799" t="s">
        <v>52</v>
      </c>
      <c r="N3799" t="s">
        <v>44</v>
      </c>
      <c r="O3799">
        <v>189</v>
      </c>
      <c r="Q3799">
        <v>2</v>
      </c>
      <c r="R3799">
        <v>1</v>
      </c>
      <c r="S3799">
        <v>0</v>
      </c>
      <c r="T3799">
        <v>0</v>
      </c>
      <c r="U3799">
        <v>0</v>
      </c>
      <c r="V3799">
        <v>0</v>
      </c>
      <c r="W3799">
        <v>0</v>
      </c>
      <c r="X3799" s="21">
        <v>0</v>
      </c>
      <c r="Y3799">
        <v>0</v>
      </c>
      <c r="Z3799">
        <v>0</v>
      </c>
      <c r="AA3799">
        <v>2</v>
      </c>
      <c r="AB3799">
        <v>0</v>
      </c>
      <c r="AC3799">
        <v>0</v>
      </c>
      <c r="AD3799" s="21">
        <v>0</v>
      </c>
      <c r="AE3799" s="21">
        <v>0</v>
      </c>
      <c r="AF3799">
        <v>0</v>
      </c>
      <c r="AG3799">
        <v>0</v>
      </c>
      <c r="AJ3799" t="s">
        <v>51</v>
      </c>
      <c r="AK3799" t="s">
        <v>95</v>
      </c>
      <c r="AL3799" t="s">
        <v>1256</v>
      </c>
      <c r="AP3799" t="s">
        <v>951</v>
      </c>
    </row>
    <row r="3800" spans="1:42">
      <c r="A3800" s="16">
        <v>43836</v>
      </c>
      <c r="B3800">
        <v>1</v>
      </c>
      <c r="C3800">
        <v>539</v>
      </c>
      <c r="D3800">
        <v>10294</v>
      </c>
      <c r="E3800" t="s">
        <v>37</v>
      </c>
      <c r="F3800" t="s">
        <v>949</v>
      </c>
      <c r="G3800">
        <v>2</v>
      </c>
      <c r="H3800">
        <v>32</v>
      </c>
      <c r="I3800" s="25">
        <v>1</v>
      </c>
      <c r="K3800" t="s">
        <v>1255</v>
      </c>
      <c r="M3800" t="s">
        <v>52</v>
      </c>
      <c r="N3800" t="s">
        <v>44</v>
      </c>
      <c r="O3800">
        <v>235</v>
      </c>
      <c r="Q3800">
        <v>4</v>
      </c>
      <c r="R3800">
        <v>1</v>
      </c>
      <c r="S3800">
        <v>0</v>
      </c>
      <c r="T3800">
        <v>0</v>
      </c>
      <c r="U3800">
        <v>0</v>
      </c>
      <c r="V3800">
        <v>0</v>
      </c>
      <c r="W3800">
        <v>4</v>
      </c>
      <c r="X3800" s="21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 s="21">
        <v>0</v>
      </c>
      <c r="AE3800" s="21">
        <v>0</v>
      </c>
      <c r="AF3800">
        <v>0</v>
      </c>
      <c r="AG3800">
        <v>0</v>
      </c>
      <c r="AH3800">
        <v>384</v>
      </c>
      <c r="AJ3800" t="s">
        <v>51</v>
      </c>
      <c r="AK3800" t="s">
        <v>95</v>
      </c>
      <c r="AL3800" t="s">
        <v>1257</v>
      </c>
      <c r="AP3800" t="s">
        <v>951</v>
      </c>
    </row>
    <row r="3801" spans="1:42">
      <c r="A3801" s="16">
        <v>43836</v>
      </c>
      <c r="B3801">
        <v>1</v>
      </c>
      <c r="C3801">
        <v>539</v>
      </c>
      <c r="D3801">
        <v>10294</v>
      </c>
      <c r="E3801" t="s">
        <v>37</v>
      </c>
      <c r="F3801" t="s">
        <v>949</v>
      </c>
      <c r="G3801">
        <v>2</v>
      </c>
      <c r="H3801">
        <v>33</v>
      </c>
      <c r="I3801" s="25">
        <v>999</v>
      </c>
      <c r="K3801" t="s">
        <v>119</v>
      </c>
      <c r="M3801" t="s">
        <v>52</v>
      </c>
      <c r="N3801" t="s">
        <v>44</v>
      </c>
      <c r="O3801">
        <v>328</v>
      </c>
      <c r="Q3801">
        <v>5</v>
      </c>
      <c r="R3801">
        <v>1</v>
      </c>
      <c r="S3801">
        <v>0</v>
      </c>
      <c r="T3801">
        <v>0</v>
      </c>
      <c r="U3801">
        <v>0</v>
      </c>
      <c r="V3801">
        <v>0</v>
      </c>
      <c r="W3801">
        <v>3</v>
      </c>
      <c r="X3801" s="21">
        <v>0</v>
      </c>
      <c r="Y3801">
        <v>0</v>
      </c>
      <c r="Z3801">
        <v>2</v>
      </c>
      <c r="AA3801">
        <v>0</v>
      </c>
      <c r="AB3801">
        <v>0</v>
      </c>
      <c r="AC3801">
        <v>0</v>
      </c>
      <c r="AD3801" s="21">
        <v>0</v>
      </c>
      <c r="AE3801" s="21">
        <v>0</v>
      </c>
      <c r="AF3801">
        <v>0</v>
      </c>
      <c r="AG3801">
        <v>0</v>
      </c>
      <c r="AH3801">
        <v>288</v>
      </c>
      <c r="AJ3801" t="s">
        <v>51</v>
      </c>
      <c r="AK3801" t="s">
        <v>52</v>
      </c>
      <c r="AP3801" t="s">
        <v>951</v>
      </c>
    </row>
    <row r="3802" spans="1:42">
      <c r="A3802" s="16">
        <v>43836</v>
      </c>
      <c r="B3802">
        <v>1</v>
      </c>
      <c r="C3802">
        <v>539</v>
      </c>
      <c r="D3802">
        <v>10294</v>
      </c>
      <c r="E3802" t="s">
        <v>37</v>
      </c>
      <c r="F3802" t="s">
        <v>949</v>
      </c>
      <c r="G3802">
        <v>2</v>
      </c>
      <c r="H3802">
        <v>34</v>
      </c>
      <c r="I3802" s="25">
        <v>1690</v>
      </c>
      <c r="K3802" t="s">
        <v>185</v>
      </c>
      <c r="M3802" t="s">
        <v>52</v>
      </c>
      <c r="N3802" t="s">
        <v>44</v>
      </c>
      <c r="O3802">
        <v>324</v>
      </c>
      <c r="Q3802">
        <v>2</v>
      </c>
      <c r="R3802">
        <v>1</v>
      </c>
      <c r="S3802">
        <v>0</v>
      </c>
      <c r="T3802">
        <v>0</v>
      </c>
      <c r="U3802">
        <v>0</v>
      </c>
      <c r="V3802">
        <v>0</v>
      </c>
      <c r="W3802">
        <v>0</v>
      </c>
      <c r="X3802" s="21">
        <v>0</v>
      </c>
      <c r="Y3802">
        <v>0</v>
      </c>
      <c r="Z3802">
        <v>0</v>
      </c>
      <c r="AA3802">
        <v>2</v>
      </c>
      <c r="AB3802">
        <v>0</v>
      </c>
      <c r="AC3802">
        <v>0</v>
      </c>
      <c r="AD3802" s="21">
        <v>0</v>
      </c>
      <c r="AE3802" s="21">
        <v>0</v>
      </c>
      <c r="AF3802">
        <v>0</v>
      </c>
      <c r="AG3802">
        <v>0</v>
      </c>
      <c r="AJ3802" t="s">
        <v>54</v>
      </c>
      <c r="AK3802" t="s">
        <v>95</v>
      </c>
      <c r="AL3802" t="s">
        <v>1258</v>
      </c>
      <c r="AP3802" t="s">
        <v>951</v>
      </c>
    </row>
    <row r="3803" spans="1:42">
      <c r="A3803" s="16">
        <v>43836</v>
      </c>
      <c r="B3803">
        <v>1</v>
      </c>
      <c r="C3803">
        <v>539</v>
      </c>
      <c r="D3803">
        <v>10294</v>
      </c>
      <c r="E3803" t="s">
        <v>37</v>
      </c>
      <c r="F3803" t="s">
        <v>949</v>
      </c>
      <c r="G3803">
        <v>2</v>
      </c>
      <c r="H3803">
        <v>35</v>
      </c>
      <c r="I3803" s="25">
        <v>1690</v>
      </c>
      <c r="K3803" t="s">
        <v>185</v>
      </c>
      <c r="M3803" t="s">
        <v>52</v>
      </c>
      <c r="N3803" t="s">
        <v>44</v>
      </c>
      <c r="O3803">
        <v>154</v>
      </c>
      <c r="Q3803">
        <v>1</v>
      </c>
      <c r="R3803">
        <v>1</v>
      </c>
      <c r="S3803">
        <v>0</v>
      </c>
      <c r="T3803">
        <v>0</v>
      </c>
      <c r="U3803">
        <v>0</v>
      </c>
      <c r="V3803">
        <v>0</v>
      </c>
      <c r="W3803">
        <v>0</v>
      </c>
      <c r="X3803" s="21">
        <v>0</v>
      </c>
      <c r="Y3803">
        <v>1</v>
      </c>
      <c r="Z3803">
        <v>0</v>
      </c>
      <c r="AA3803">
        <v>0</v>
      </c>
      <c r="AB3803">
        <v>0</v>
      </c>
      <c r="AC3803">
        <v>0</v>
      </c>
      <c r="AD3803" s="21">
        <v>0</v>
      </c>
      <c r="AE3803" s="21">
        <v>0</v>
      </c>
      <c r="AF3803">
        <v>0</v>
      </c>
      <c r="AG3803">
        <v>0</v>
      </c>
      <c r="AJ3803" t="s">
        <v>54</v>
      </c>
      <c r="AK3803" t="s">
        <v>95</v>
      </c>
      <c r="AL3803" t="s">
        <v>1259</v>
      </c>
      <c r="AP3803" t="s">
        <v>951</v>
      </c>
    </row>
    <row r="3804" spans="1:42">
      <c r="A3804" s="16">
        <v>43836</v>
      </c>
      <c r="B3804">
        <v>1</v>
      </c>
      <c r="C3804">
        <v>539</v>
      </c>
      <c r="D3804">
        <v>10294</v>
      </c>
      <c r="E3804" t="s">
        <v>37</v>
      </c>
      <c r="F3804" t="s">
        <v>949</v>
      </c>
      <c r="G3804">
        <v>2</v>
      </c>
      <c r="H3804">
        <v>36</v>
      </c>
      <c r="I3804" s="25">
        <v>1906</v>
      </c>
      <c r="K3804" t="s">
        <v>415</v>
      </c>
      <c r="M3804" t="s">
        <v>52</v>
      </c>
      <c r="N3804" t="s">
        <v>44</v>
      </c>
      <c r="O3804">
        <v>287</v>
      </c>
      <c r="Q3804">
        <v>2</v>
      </c>
      <c r="R3804">
        <v>1</v>
      </c>
      <c r="S3804">
        <v>0</v>
      </c>
      <c r="T3804">
        <v>0</v>
      </c>
      <c r="U3804">
        <v>0</v>
      </c>
      <c r="V3804">
        <v>0</v>
      </c>
      <c r="W3804">
        <v>0</v>
      </c>
      <c r="X3804" s="21">
        <v>0</v>
      </c>
      <c r="Y3804">
        <v>0</v>
      </c>
      <c r="Z3804">
        <v>0</v>
      </c>
      <c r="AA3804">
        <v>2</v>
      </c>
      <c r="AB3804">
        <v>0</v>
      </c>
      <c r="AC3804">
        <v>0</v>
      </c>
      <c r="AD3804" s="21">
        <v>0</v>
      </c>
      <c r="AE3804" s="21">
        <v>0</v>
      </c>
      <c r="AF3804">
        <v>0</v>
      </c>
      <c r="AG3804">
        <v>0</v>
      </c>
      <c r="AJ3804" t="s">
        <v>51</v>
      </c>
      <c r="AK3804" t="s">
        <v>52</v>
      </c>
      <c r="AP3804" t="s">
        <v>951</v>
      </c>
    </row>
    <row r="3805" spans="1:42">
      <c r="A3805" s="16">
        <v>43836</v>
      </c>
      <c r="B3805">
        <v>1</v>
      </c>
      <c r="C3805">
        <v>539</v>
      </c>
      <c r="D3805">
        <v>10294</v>
      </c>
      <c r="E3805" t="s">
        <v>37</v>
      </c>
      <c r="F3805" t="s">
        <v>949</v>
      </c>
      <c r="G3805">
        <v>2</v>
      </c>
      <c r="H3805">
        <v>37</v>
      </c>
      <c r="I3805" s="25">
        <v>1359</v>
      </c>
      <c r="K3805" t="s">
        <v>69</v>
      </c>
      <c r="M3805" t="s">
        <v>52</v>
      </c>
      <c r="N3805" t="s">
        <v>40</v>
      </c>
      <c r="O3805">
        <v>202</v>
      </c>
      <c r="Q3805">
        <v>1</v>
      </c>
      <c r="R3805">
        <v>1</v>
      </c>
      <c r="S3805">
        <v>0</v>
      </c>
      <c r="T3805">
        <v>0</v>
      </c>
      <c r="U3805">
        <v>0</v>
      </c>
      <c r="V3805">
        <v>0</v>
      </c>
      <c r="W3805">
        <v>0</v>
      </c>
      <c r="X3805" s="21">
        <v>0</v>
      </c>
      <c r="Y3805">
        <v>0</v>
      </c>
      <c r="Z3805">
        <v>0</v>
      </c>
      <c r="AA3805">
        <v>1</v>
      </c>
      <c r="AB3805">
        <v>0</v>
      </c>
      <c r="AC3805">
        <v>0</v>
      </c>
      <c r="AD3805" s="21">
        <v>0</v>
      </c>
      <c r="AE3805" s="21">
        <v>0</v>
      </c>
      <c r="AF3805">
        <v>0</v>
      </c>
      <c r="AG3805">
        <v>0</v>
      </c>
      <c r="AJ3805" t="s">
        <v>54</v>
      </c>
      <c r="AK3805" t="s">
        <v>95</v>
      </c>
      <c r="AP3805" t="s">
        <v>951</v>
      </c>
    </row>
    <row r="3806" spans="1:42">
      <c r="A3806" s="16">
        <v>43836</v>
      </c>
      <c r="B3806">
        <v>1</v>
      </c>
      <c r="C3806">
        <v>539</v>
      </c>
      <c r="D3806">
        <v>10294</v>
      </c>
      <c r="E3806" t="s">
        <v>37</v>
      </c>
      <c r="F3806" t="s">
        <v>949</v>
      </c>
      <c r="G3806">
        <v>2</v>
      </c>
      <c r="H3806">
        <v>38</v>
      </c>
      <c r="I3806" s="25" t="s">
        <v>1260</v>
      </c>
      <c r="K3806" t="s">
        <v>415</v>
      </c>
      <c r="M3806" t="s">
        <v>52</v>
      </c>
      <c r="N3806" t="s">
        <v>44</v>
      </c>
      <c r="O3806">
        <v>536</v>
      </c>
      <c r="Q3806">
        <v>2</v>
      </c>
      <c r="R3806">
        <v>1</v>
      </c>
      <c r="S3806">
        <v>0</v>
      </c>
      <c r="T3806">
        <v>0</v>
      </c>
      <c r="U3806">
        <v>0</v>
      </c>
      <c r="V3806">
        <v>0</v>
      </c>
      <c r="W3806">
        <v>0</v>
      </c>
      <c r="X3806" s="21">
        <v>0</v>
      </c>
      <c r="Y3806">
        <v>0</v>
      </c>
      <c r="Z3806">
        <v>0</v>
      </c>
      <c r="AA3806">
        <v>2</v>
      </c>
      <c r="AB3806">
        <v>0</v>
      </c>
      <c r="AC3806">
        <v>0</v>
      </c>
      <c r="AD3806" s="21">
        <v>0</v>
      </c>
      <c r="AE3806" s="21">
        <v>0</v>
      </c>
      <c r="AF3806">
        <v>0</v>
      </c>
      <c r="AG3806">
        <v>0</v>
      </c>
      <c r="AJ3806" t="s">
        <v>54</v>
      </c>
      <c r="AK3806" t="s">
        <v>95</v>
      </c>
      <c r="AL3806" t="s">
        <v>1261</v>
      </c>
      <c r="AP3806" t="s">
        <v>951</v>
      </c>
    </row>
    <row r="3807" spans="1:42">
      <c r="A3807" s="16">
        <v>43836</v>
      </c>
      <c r="B3807">
        <v>1</v>
      </c>
      <c r="C3807">
        <v>539</v>
      </c>
      <c r="D3807">
        <v>10294</v>
      </c>
      <c r="E3807" t="s">
        <v>37</v>
      </c>
      <c r="F3807" t="s">
        <v>949</v>
      </c>
      <c r="G3807">
        <v>2</v>
      </c>
      <c r="H3807">
        <v>39</v>
      </c>
      <c r="I3807" s="25">
        <v>1480</v>
      </c>
      <c r="K3807" t="s">
        <v>49</v>
      </c>
      <c r="M3807" t="s">
        <v>52</v>
      </c>
      <c r="N3807" t="s">
        <v>44</v>
      </c>
      <c r="O3807">
        <v>405</v>
      </c>
      <c r="Q3807">
        <v>3</v>
      </c>
      <c r="R3807">
        <v>1</v>
      </c>
      <c r="S3807">
        <v>0</v>
      </c>
      <c r="T3807">
        <v>0</v>
      </c>
      <c r="U3807">
        <v>0</v>
      </c>
      <c r="V3807">
        <v>0</v>
      </c>
      <c r="W3807">
        <v>0</v>
      </c>
      <c r="X3807" s="21">
        <v>0</v>
      </c>
      <c r="Y3807">
        <v>0</v>
      </c>
      <c r="Z3807">
        <v>0</v>
      </c>
      <c r="AA3807">
        <v>3</v>
      </c>
      <c r="AB3807">
        <v>0</v>
      </c>
      <c r="AC3807">
        <v>0</v>
      </c>
      <c r="AD3807" s="21">
        <v>0</v>
      </c>
      <c r="AE3807" s="21">
        <v>0</v>
      </c>
      <c r="AF3807">
        <v>0</v>
      </c>
      <c r="AG3807">
        <v>0</v>
      </c>
      <c r="AJ3807" t="s">
        <v>51</v>
      </c>
      <c r="AK3807" t="s">
        <v>95</v>
      </c>
      <c r="AL3807" t="s">
        <v>1262</v>
      </c>
      <c r="AP3807" t="s">
        <v>951</v>
      </c>
    </row>
    <row r="3808" spans="1:42">
      <c r="A3808" s="16">
        <v>43836</v>
      </c>
      <c r="B3808">
        <v>1</v>
      </c>
      <c r="C3808">
        <v>539</v>
      </c>
      <c r="D3808">
        <v>10294</v>
      </c>
      <c r="E3808" t="s">
        <v>37</v>
      </c>
      <c r="F3808" t="s">
        <v>949</v>
      </c>
      <c r="G3808">
        <v>2</v>
      </c>
      <c r="H3808">
        <v>40</v>
      </c>
      <c r="I3808" s="25">
        <v>1333</v>
      </c>
      <c r="K3808" t="s">
        <v>638</v>
      </c>
      <c r="M3808" t="s">
        <v>52</v>
      </c>
      <c r="N3808" t="s">
        <v>44</v>
      </c>
      <c r="O3808">
        <v>389</v>
      </c>
      <c r="Q3808">
        <v>3</v>
      </c>
      <c r="R3808">
        <v>1</v>
      </c>
      <c r="S3808">
        <v>0</v>
      </c>
      <c r="T3808">
        <v>0</v>
      </c>
      <c r="U3808">
        <v>0</v>
      </c>
      <c r="V3808">
        <v>0</v>
      </c>
      <c r="W3808">
        <v>0</v>
      </c>
      <c r="X3808" s="21">
        <v>0</v>
      </c>
      <c r="Y3808">
        <v>0</v>
      </c>
      <c r="Z3808">
        <v>0</v>
      </c>
      <c r="AA3808">
        <v>3</v>
      </c>
      <c r="AB3808">
        <v>0</v>
      </c>
      <c r="AC3808">
        <v>0</v>
      </c>
      <c r="AD3808" s="21">
        <v>0</v>
      </c>
      <c r="AE3808" s="21">
        <v>0</v>
      </c>
      <c r="AF3808">
        <v>0</v>
      </c>
      <c r="AG3808">
        <v>0</v>
      </c>
      <c r="AJ3808" t="s">
        <v>51</v>
      </c>
      <c r="AK3808" t="s">
        <v>95</v>
      </c>
      <c r="AP3808" t="s">
        <v>951</v>
      </c>
    </row>
    <row r="3809" spans="1:42">
      <c r="A3809" s="16">
        <v>43836</v>
      </c>
      <c r="B3809">
        <v>1</v>
      </c>
      <c r="C3809">
        <v>539</v>
      </c>
      <c r="D3809">
        <v>10294</v>
      </c>
      <c r="E3809" t="s">
        <v>37</v>
      </c>
      <c r="F3809" t="s">
        <v>949</v>
      </c>
      <c r="G3809">
        <v>2</v>
      </c>
      <c r="H3809">
        <v>41</v>
      </c>
      <c r="I3809" s="25">
        <v>1035</v>
      </c>
      <c r="K3809" t="s">
        <v>415</v>
      </c>
      <c r="M3809" t="s">
        <v>52</v>
      </c>
      <c r="N3809" t="s">
        <v>44</v>
      </c>
      <c r="O3809">
        <v>370</v>
      </c>
      <c r="Q3809">
        <v>1</v>
      </c>
      <c r="R3809">
        <v>1</v>
      </c>
      <c r="S3809">
        <v>0</v>
      </c>
      <c r="T3809">
        <v>0</v>
      </c>
      <c r="U3809">
        <v>0</v>
      </c>
      <c r="V3809">
        <v>0</v>
      </c>
      <c r="W3809">
        <v>0</v>
      </c>
      <c r="X3809" s="21">
        <v>0</v>
      </c>
      <c r="Y3809">
        <v>0</v>
      </c>
      <c r="Z3809">
        <v>0</v>
      </c>
      <c r="AA3809">
        <v>1</v>
      </c>
      <c r="AB3809">
        <v>0</v>
      </c>
      <c r="AC3809">
        <v>0</v>
      </c>
      <c r="AD3809" s="21">
        <v>0</v>
      </c>
      <c r="AE3809" s="21">
        <v>0</v>
      </c>
      <c r="AF3809">
        <v>0</v>
      </c>
      <c r="AG3809">
        <v>0</v>
      </c>
      <c r="AJ3809" t="s">
        <v>54</v>
      </c>
      <c r="AK3809" t="s">
        <v>95</v>
      </c>
      <c r="AP3809" t="s">
        <v>951</v>
      </c>
    </row>
    <row r="3810" spans="1:42">
      <c r="A3810" s="16">
        <v>43836</v>
      </c>
      <c r="B3810">
        <v>1</v>
      </c>
      <c r="C3810">
        <v>539</v>
      </c>
      <c r="D3810">
        <v>10294</v>
      </c>
      <c r="E3810" t="s">
        <v>37</v>
      </c>
      <c r="F3810" t="s">
        <v>949</v>
      </c>
      <c r="G3810">
        <v>2</v>
      </c>
      <c r="H3810">
        <v>42</v>
      </c>
      <c r="I3810" s="25">
        <v>901</v>
      </c>
      <c r="K3810" t="s">
        <v>415</v>
      </c>
      <c r="M3810" t="s">
        <v>52</v>
      </c>
      <c r="N3810" t="s">
        <v>44</v>
      </c>
      <c r="O3810">
        <v>137</v>
      </c>
      <c r="Q3810">
        <v>1</v>
      </c>
      <c r="R3810">
        <v>1</v>
      </c>
      <c r="S3810">
        <v>0</v>
      </c>
      <c r="T3810">
        <v>0</v>
      </c>
      <c r="U3810">
        <v>0</v>
      </c>
      <c r="V3810">
        <v>0</v>
      </c>
      <c r="W3810">
        <v>0</v>
      </c>
      <c r="X3810" s="21">
        <v>0</v>
      </c>
      <c r="Y3810">
        <v>0</v>
      </c>
      <c r="Z3810">
        <v>0</v>
      </c>
      <c r="AA3810">
        <v>1</v>
      </c>
      <c r="AB3810">
        <v>0</v>
      </c>
      <c r="AC3810">
        <v>0</v>
      </c>
      <c r="AD3810" s="21">
        <v>0</v>
      </c>
      <c r="AE3810" s="21">
        <v>0</v>
      </c>
      <c r="AF3810">
        <v>0</v>
      </c>
      <c r="AG3810">
        <v>0</v>
      </c>
      <c r="AJ3810" t="s">
        <v>54</v>
      </c>
      <c r="AK3810" t="s">
        <v>95</v>
      </c>
      <c r="AP3810" t="s">
        <v>951</v>
      </c>
    </row>
    <row r="3811" spans="1:42">
      <c r="A3811" s="16">
        <v>43837</v>
      </c>
      <c r="B3811">
        <v>2</v>
      </c>
      <c r="C3811">
        <v>539</v>
      </c>
      <c r="D3811">
        <v>10294</v>
      </c>
      <c r="E3811" t="s">
        <v>37</v>
      </c>
      <c r="F3811" t="s">
        <v>949</v>
      </c>
      <c r="G3811">
        <v>2</v>
      </c>
      <c r="H3811">
        <v>1</v>
      </c>
      <c r="I3811" s="25">
        <v>9</v>
      </c>
      <c r="K3811" t="s">
        <v>1263</v>
      </c>
      <c r="L3811" t="s">
        <v>141</v>
      </c>
      <c r="M3811" t="s">
        <v>52</v>
      </c>
      <c r="N3811" t="s">
        <v>40</v>
      </c>
      <c r="O3811">
        <v>159</v>
      </c>
      <c r="Q3811">
        <v>1</v>
      </c>
      <c r="R3811">
        <v>1</v>
      </c>
      <c r="S3811">
        <v>0</v>
      </c>
      <c r="T3811">
        <v>0</v>
      </c>
      <c r="U3811">
        <v>0</v>
      </c>
      <c r="V3811">
        <v>0</v>
      </c>
      <c r="W3811">
        <v>0</v>
      </c>
      <c r="X3811" s="21">
        <v>0</v>
      </c>
      <c r="Y3811">
        <v>0</v>
      </c>
      <c r="Z3811">
        <v>1</v>
      </c>
      <c r="AA3811">
        <v>0</v>
      </c>
      <c r="AB3811">
        <v>0</v>
      </c>
      <c r="AC3811">
        <v>0</v>
      </c>
      <c r="AD3811" s="21">
        <v>0</v>
      </c>
      <c r="AE3811" s="21">
        <v>0</v>
      </c>
      <c r="AF3811">
        <v>0</v>
      </c>
      <c r="AG3811">
        <v>0</v>
      </c>
      <c r="AJ3811" t="s">
        <v>51</v>
      </c>
      <c r="AK3811" t="s">
        <v>95</v>
      </c>
      <c r="AP3811" t="s">
        <v>951</v>
      </c>
    </row>
    <row r="3812" spans="1:42">
      <c r="A3812" s="16">
        <v>43837</v>
      </c>
      <c r="B3812">
        <v>2</v>
      </c>
      <c r="C3812">
        <v>539</v>
      </c>
      <c r="D3812">
        <v>10294</v>
      </c>
      <c r="E3812" t="s">
        <v>37</v>
      </c>
      <c r="F3812" t="s">
        <v>949</v>
      </c>
      <c r="G3812">
        <v>2</v>
      </c>
      <c r="H3812">
        <v>2</v>
      </c>
      <c r="I3812" s="25">
        <v>1881</v>
      </c>
      <c r="K3812" t="s">
        <v>53</v>
      </c>
      <c r="M3812" t="s">
        <v>52</v>
      </c>
      <c r="N3812" t="s">
        <v>44</v>
      </c>
      <c r="O3812">
        <v>263</v>
      </c>
      <c r="Q3812">
        <v>1</v>
      </c>
      <c r="R3812">
        <v>1</v>
      </c>
      <c r="S3812">
        <v>0</v>
      </c>
      <c r="T3812">
        <v>0</v>
      </c>
      <c r="U3812">
        <v>0</v>
      </c>
      <c r="V3812">
        <v>0</v>
      </c>
      <c r="W3812">
        <v>0</v>
      </c>
      <c r="X3812" s="21">
        <v>0</v>
      </c>
      <c r="Y3812">
        <v>0</v>
      </c>
      <c r="Z3812">
        <v>0</v>
      </c>
      <c r="AA3812">
        <v>1</v>
      </c>
      <c r="AB3812">
        <v>0</v>
      </c>
      <c r="AC3812">
        <v>0</v>
      </c>
      <c r="AD3812" s="21">
        <v>0</v>
      </c>
      <c r="AE3812" s="21">
        <v>0</v>
      </c>
      <c r="AF3812">
        <v>0</v>
      </c>
      <c r="AG3812">
        <v>0</v>
      </c>
      <c r="AJ3812" t="s">
        <v>51</v>
      </c>
      <c r="AK3812" t="s">
        <v>95</v>
      </c>
      <c r="AL3812" t="s">
        <v>1264</v>
      </c>
      <c r="AP3812" t="s">
        <v>951</v>
      </c>
    </row>
    <row r="3813" spans="1:42">
      <c r="A3813" s="16">
        <v>43837</v>
      </c>
      <c r="B3813">
        <v>2</v>
      </c>
      <c r="C3813">
        <v>539</v>
      </c>
      <c r="D3813">
        <v>10294</v>
      </c>
      <c r="E3813" t="s">
        <v>37</v>
      </c>
      <c r="F3813" t="s">
        <v>949</v>
      </c>
      <c r="G3813">
        <v>2</v>
      </c>
      <c r="H3813">
        <v>3</v>
      </c>
      <c r="I3813" s="25">
        <v>450</v>
      </c>
      <c r="K3813" t="s">
        <v>53</v>
      </c>
      <c r="M3813" t="s">
        <v>52</v>
      </c>
      <c r="N3813" t="s">
        <v>44</v>
      </c>
      <c r="O3813">
        <v>126</v>
      </c>
      <c r="Q3813">
        <v>1</v>
      </c>
      <c r="R3813">
        <v>1</v>
      </c>
      <c r="S3813">
        <v>0</v>
      </c>
      <c r="T3813">
        <v>0</v>
      </c>
      <c r="U3813">
        <v>0</v>
      </c>
      <c r="V3813">
        <v>0</v>
      </c>
      <c r="W3813">
        <v>0</v>
      </c>
      <c r="X3813" s="21">
        <v>0</v>
      </c>
      <c r="Y3813">
        <v>0</v>
      </c>
      <c r="Z3813">
        <v>0</v>
      </c>
      <c r="AA3813">
        <v>1</v>
      </c>
      <c r="AB3813">
        <v>0</v>
      </c>
      <c r="AC3813">
        <v>0</v>
      </c>
      <c r="AD3813" s="21">
        <v>0</v>
      </c>
      <c r="AE3813" s="21">
        <v>0</v>
      </c>
      <c r="AF3813">
        <v>0</v>
      </c>
      <c r="AG3813">
        <v>0</v>
      </c>
      <c r="AJ3813" t="s">
        <v>51</v>
      </c>
      <c r="AK3813" t="s">
        <v>95</v>
      </c>
      <c r="AP3813" t="s">
        <v>951</v>
      </c>
    </row>
    <row r="3814" spans="1:42">
      <c r="A3814" s="16">
        <v>43837</v>
      </c>
      <c r="B3814">
        <v>2</v>
      </c>
      <c r="C3814">
        <v>539</v>
      </c>
      <c r="D3814">
        <v>10294</v>
      </c>
      <c r="E3814" t="s">
        <v>37</v>
      </c>
      <c r="F3814" t="s">
        <v>949</v>
      </c>
      <c r="G3814">
        <v>2</v>
      </c>
      <c r="H3814">
        <v>4</v>
      </c>
      <c r="I3814" s="25">
        <v>1715</v>
      </c>
      <c r="K3814" t="s">
        <v>595</v>
      </c>
      <c r="M3814" t="s">
        <v>52</v>
      </c>
      <c r="N3814" t="s">
        <v>44</v>
      </c>
      <c r="O3814">
        <v>156</v>
      </c>
      <c r="Q3814">
        <v>2</v>
      </c>
      <c r="R3814">
        <v>1</v>
      </c>
      <c r="S3814">
        <v>0</v>
      </c>
      <c r="T3814">
        <v>0</v>
      </c>
      <c r="U3814">
        <v>0</v>
      </c>
      <c r="V3814">
        <v>0</v>
      </c>
      <c r="W3814">
        <v>2</v>
      </c>
      <c r="X3814" s="21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 s="21">
        <v>0</v>
      </c>
      <c r="AE3814" s="21">
        <v>0</v>
      </c>
      <c r="AF3814">
        <v>0</v>
      </c>
      <c r="AG3814">
        <v>0</v>
      </c>
      <c r="AH3814">
        <v>192</v>
      </c>
      <c r="AJ3814" t="s">
        <v>54</v>
      </c>
      <c r="AK3814" t="s">
        <v>95</v>
      </c>
      <c r="AL3814" t="s">
        <v>1265</v>
      </c>
      <c r="AP3814" t="s">
        <v>951</v>
      </c>
    </row>
    <row r="3815" spans="1:42">
      <c r="A3815" s="16">
        <v>43837</v>
      </c>
      <c r="B3815">
        <v>2</v>
      </c>
      <c r="C3815">
        <v>539</v>
      </c>
      <c r="D3815">
        <v>10294</v>
      </c>
      <c r="E3815" t="s">
        <v>37</v>
      </c>
      <c r="F3815" t="s">
        <v>949</v>
      </c>
      <c r="G3815">
        <v>2</v>
      </c>
      <c r="H3815">
        <v>5</v>
      </c>
      <c r="I3815" s="25">
        <v>1700</v>
      </c>
      <c r="K3815" t="s">
        <v>56</v>
      </c>
      <c r="M3815" t="s">
        <v>52</v>
      </c>
      <c r="N3815" t="s">
        <v>44</v>
      </c>
      <c r="O3815">
        <v>362</v>
      </c>
      <c r="Q3815">
        <v>2</v>
      </c>
      <c r="R3815">
        <v>1</v>
      </c>
      <c r="S3815">
        <v>0</v>
      </c>
      <c r="T3815">
        <v>0</v>
      </c>
      <c r="U3815">
        <v>0</v>
      </c>
      <c r="V3815">
        <v>0</v>
      </c>
      <c r="W3815">
        <v>0</v>
      </c>
      <c r="X3815" s="21">
        <v>0</v>
      </c>
      <c r="Y3815">
        <v>0</v>
      </c>
      <c r="Z3815">
        <v>2</v>
      </c>
      <c r="AA3815">
        <v>0</v>
      </c>
      <c r="AB3815">
        <v>0</v>
      </c>
      <c r="AC3815">
        <v>0</v>
      </c>
      <c r="AD3815" s="21">
        <v>0</v>
      </c>
      <c r="AE3815" s="21">
        <v>0</v>
      </c>
      <c r="AF3815">
        <v>0</v>
      </c>
      <c r="AG3815">
        <v>0</v>
      </c>
      <c r="AJ3815" t="s">
        <v>54</v>
      </c>
      <c r="AK3815" t="s">
        <v>52</v>
      </c>
      <c r="AL3815" t="s">
        <v>1266</v>
      </c>
      <c r="AP3815" t="s">
        <v>951</v>
      </c>
    </row>
    <row r="3816" spans="1:42">
      <c r="A3816" s="16">
        <v>43837</v>
      </c>
      <c r="B3816">
        <v>2</v>
      </c>
      <c r="C3816">
        <v>539</v>
      </c>
      <c r="D3816">
        <v>10294</v>
      </c>
      <c r="E3816" t="s">
        <v>37</v>
      </c>
      <c r="F3816" t="s">
        <v>949</v>
      </c>
      <c r="G3816">
        <v>2</v>
      </c>
      <c r="H3816">
        <v>6</v>
      </c>
      <c r="I3816" s="25">
        <v>909</v>
      </c>
      <c r="K3816" t="s">
        <v>828</v>
      </c>
      <c r="M3816" t="s">
        <v>52</v>
      </c>
      <c r="N3816" t="s">
        <v>44</v>
      </c>
      <c r="O3816">
        <v>202</v>
      </c>
      <c r="Q3816">
        <v>1</v>
      </c>
      <c r="R3816">
        <v>1</v>
      </c>
      <c r="S3816">
        <v>0</v>
      </c>
      <c r="T3816">
        <v>0</v>
      </c>
      <c r="U3816">
        <v>0</v>
      </c>
      <c r="V3816">
        <v>0</v>
      </c>
      <c r="W3816">
        <v>0</v>
      </c>
      <c r="X3816" s="21">
        <v>0</v>
      </c>
      <c r="Y3816">
        <v>0</v>
      </c>
      <c r="Z3816">
        <v>0</v>
      </c>
      <c r="AA3816">
        <v>1</v>
      </c>
      <c r="AB3816">
        <v>0</v>
      </c>
      <c r="AC3816">
        <v>0</v>
      </c>
      <c r="AD3816" s="21">
        <v>0</v>
      </c>
      <c r="AE3816" s="21">
        <v>0</v>
      </c>
      <c r="AF3816">
        <v>0</v>
      </c>
      <c r="AG3816">
        <v>0</v>
      </c>
      <c r="AJ3816" t="s">
        <v>54</v>
      </c>
      <c r="AK3816" t="s">
        <v>95</v>
      </c>
      <c r="AP3816" t="s">
        <v>951</v>
      </c>
    </row>
    <row r="3817" spans="1:42">
      <c r="A3817" s="16">
        <v>43837</v>
      </c>
      <c r="B3817">
        <v>2</v>
      </c>
      <c r="C3817">
        <v>539</v>
      </c>
      <c r="D3817">
        <v>10294</v>
      </c>
      <c r="E3817" t="s">
        <v>37</v>
      </c>
      <c r="F3817" t="s">
        <v>949</v>
      </c>
      <c r="G3817">
        <v>2</v>
      </c>
      <c r="H3817">
        <v>7</v>
      </c>
      <c r="I3817" s="25">
        <v>900</v>
      </c>
      <c r="K3817" t="s">
        <v>828</v>
      </c>
      <c r="M3817" t="s">
        <v>52</v>
      </c>
      <c r="N3817" t="s">
        <v>44</v>
      </c>
      <c r="O3817">
        <v>173</v>
      </c>
      <c r="Q3817">
        <v>3</v>
      </c>
      <c r="R3817">
        <v>1</v>
      </c>
      <c r="S3817">
        <v>0</v>
      </c>
      <c r="T3817">
        <v>0</v>
      </c>
      <c r="U3817">
        <v>0</v>
      </c>
      <c r="V3817">
        <v>0</v>
      </c>
      <c r="W3817">
        <v>3</v>
      </c>
      <c r="X3817" s="21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 s="21">
        <v>0</v>
      </c>
      <c r="AE3817" s="21">
        <v>0</v>
      </c>
      <c r="AF3817" t="s">
        <v>1267</v>
      </c>
      <c r="AG3817">
        <v>0</v>
      </c>
      <c r="AH3817">
        <v>288</v>
      </c>
      <c r="AJ3817" t="s">
        <v>51</v>
      </c>
      <c r="AK3817" t="s">
        <v>95</v>
      </c>
      <c r="AP3817" t="s">
        <v>951</v>
      </c>
    </row>
    <row r="3818" spans="1:42">
      <c r="A3818" s="16">
        <v>43837</v>
      </c>
      <c r="B3818">
        <v>2</v>
      </c>
      <c r="C3818">
        <v>539</v>
      </c>
      <c r="D3818">
        <v>10294</v>
      </c>
      <c r="E3818" t="s">
        <v>37</v>
      </c>
      <c r="F3818" t="s">
        <v>949</v>
      </c>
      <c r="G3818">
        <v>2</v>
      </c>
      <c r="H3818">
        <v>8</v>
      </c>
      <c r="I3818" s="25">
        <v>1572</v>
      </c>
      <c r="K3818" t="s">
        <v>56</v>
      </c>
      <c r="M3818" t="s">
        <v>52</v>
      </c>
      <c r="N3818" t="s">
        <v>44</v>
      </c>
      <c r="O3818">
        <v>276</v>
      </c>
      <c r="Q3818">
        <v>1</v>
      </c>
      <c r="R3818">
        <v>1</v>
      </c>
      <c r="S3818">
        <v>0</v>
      </c>
      <c r="T3818">
        <v>0</v>
      </c>
      <c r="U3818">
        <v>0</v>
      </c>
      <c r="V3818">
        <v>0</v>
      </c>
      <c r="W3818">
        <v>0</v>
      </c>
      <c r="X3818" s="21">
        <v>0</v>
      </c>
      <c r="Y3818">
        <v>1</v>
      </c>
      <c r="Z3818">
        <v>0</v>
      </c>
      <c r="AA3818">
        <v>0</v>
      </c>
      <c r="AB3818">
        <v>0</v>
      </c>
      <c r="AC3818">
        <v>0</v>
      </c>
      <c r="AD3818" s="21">
        <v>0</v>
      </c>
      <c r="AE3818" s="21">
        <v>0</v>
      </c>
      <c r="AF3818">
        <v>0</v>
      </c>
      <c r="AG3818">
        <v>0</v>
      </c>
      <c r="AJ3818" t="s">
        <v>51</v>
      </c>
      <c r="AK3818" t="s">
        <v>52</v>
      </c>
      <c r="AL3818" t="s">
        <v>1268</v>
      </c>
      <c r="AP3818" t="s">
        <v>951</v>
      </c>
    </row>
    <row r="3819" spans="1:42">
      <c r="A3819" s="16">
        <v>43837</v>
      </c>
      <c r="B3819">
        <v>2</v>
      </c>
      <c r="C3819">
        <v>539</v>
      </c>
      <c r="D3819">
        <v>10294</v>
      </c>
      <c r="E3819" t="s">
        <v>37</v>
      </c>
      <c r="F3819" t="s">
        <v>949</v>
      </c>
      <c r="G3819">
        <v>2</v>
      </c>
      <c r="H3819">
        <v>9</v>
      </c>
      <c r="I3819" s="25">
        <v>655</v>
      </c>
      <c r="K3819" t="s">
        <v>1113</v>
      </c>
      <c r="L3819" t="s">
        <v>141</v>
      </c>
      <c r="M3819" t="s">
        <v>52</v>
      </c>
      <c r="N3819" t="s">
        <v>40</v>
      </c>
      <c r="O3819">
        <v>75</v>
      </c>
      <c r="Q3819">
        <v>1</v>
      </c>
      <c r="R3819">
        <v>1</v>
      </c>
      <c r="S3819">
        <v>0</v>
      </c>
      <c r="T3819">
        <v>0</v>
      </c>
      <c r="U3819">
        <v>0</v>
      </c>
      <c r="V3819">
        <v>0</v>
      </c>
      <c r="W3819">
        <v>0</v>
      </c>
      <c r="X3819" s="21">
        <v>0</v>
      </c>
      <c r="Y3819">
        <v>0</v>
      </c>
      <c r="Z3819">
        <v>0</v>
      </c>
      <c r="AA3819">
        <v>1</v>
      </c>
      <c r="AB3819">
        <v>0</v>
      </c>
      <c r="AC3819">
        <v>0</v>
      </c>
      <c r="AD3819" s="21">
        <v>0</v>
      </c>
      <c r="AE3819" s="21">
        <v>0</v>
      </c>
      <c r="AF3819">
        <v>0</v>
      </c>
      <c r="AG3819">
        <v>0</v>
      </c>
      <c r="AJ3819" t="s">
        <v>51</v>
      </c>
      <c r="AK3819" t="s">
        <v>95</v>
      </c>
      <c r="AP3819" t="s">
        <v>951</v>
      </c>
    </row>
    <row r="3820" spans="1:42">
      <c r="A3820" s="16">
        <v>43837</v>
      </c>
      <c r="B3820">
        <v>2</v>
      </c>
      <c r="C3820">
        <v>539</v>
      </c>
      <c r="D3820">
        <v>10294</v>
      </c>
      <c r="E3820" t="s">
        <v>37</v>
      </c>
      <c r="F3820" t="s">
        <v>949</v>
      </c>
      <c r="G3820">
        <v>2</v>
      </c>
      <c r="H3820">
        <v>10</v>
      </c>
      <c r="I3820" s="25">
        <v>1419</v>
      </c>
      <c r="K3820" t="s">
        <v>605</v>
      </c>
      <c r="L3820" t="s">
        <v>141</v>
      </c>
      <c r="M3820" t="s">
        <v>52</v>
      </c>
      <c r="N3820" t="s">
        <v>40</v>
      </c>
      <c r="O3820">
        <v>148</v>
      </c>
      <c r="Q3820">
        <v>1</v>
      </c>
      <c r="R3820">
        <v>1</v>
      </c>
      <c r="S3820">
        <v>0</v>
      </c>
      <c r="T3820">
        <v>0</v>
      </c>
      <c r="U3820">
        <v>0</v>
      </c>
      <c r="V3820">
        <v>0</v>
      </c>
      <c r="W3820">
        <v>0</v>
      </c>
      <c r="X3820" s="21">
        <v>0</v>
      </c>
      <c r="Y3820">
        <v>0</v>
      </c>
      <c r="Z3820">
        <v>1</v>
      </c>
      <c r="AA3820">
        <v>0</v>
      </c>
      <c r="AB3820">
        <v>0</v>
      </c>
      <c r="AC3820">
        <v>0</v>
      </c>
      <c r="AD3820" s="21">
        <v>0</v>
      </c>
      <c r="AE3820" s="21">
        <v>0</v>
      </c>
      <c r="AF3820">
        <v>0</v>
      </c>
      <c r="AG3820">
        <v>0</v>
      </c>
      <c r="AJ3820" t="s">
        <v>54</v>
      </c>
      <c r="AK3820" t="s">
        <v>52</v>
      </c>
      <c r="AP3820" t="s">
        <v>951</v>
      </c>
    </row>
    <row r="3821" spans="1:42">
      <c r="A3821" s="16">
        <v>43837</v>
      </c>
      <c r="B3821">
        <v>2</v>
      </c>
      <c r="C3821">
        <v>539</v>
      </c>
      <c r="D3821">
        <v>10294</v>
      </c>
      <c r="E3821" t="s">
        <v>37</v>
      </c>
      <c r="F3821" t="s">
        <v>949</v>
      </c>
      <c r="G3821">
        <v>2</v>
      </c>
      <c r="H3821">
        <v>11</v>
      </c>
      <c r="I3821" s="25">
        <v>1591</v>
      </c>
      <c r="K3821" t="s">
        <v>647</v>
      </c>
      <c r="M3821" t="s">
        <v>52</v>
      </c>
      <c r="N3821" t="s">
        <v>44</v>
      </c>
      <c r="O3821">
        <v>172</v>
      </c>
      <c r="Q3821">
        <v>1</v>
      </c>
      <c r="R3821">
        <v>1</v>
      </c>
      <c r="S3821">
        <v>0</v>
      </c>
      <c r="T3821">
        <v>0</v>
      </c>
      <c r="U3821">
        <v>0</v>
      </c>
      <c r="V3821">
        <v>0</v>
      </c>
      <c r="W3821">
        <v>0</v>
      </c>
      <c r="X3821" s="21">
        <v>0</v>
      </c>
      <c r="Y3821">
        <v>1</v>
      </c>
      <c r="Z3821">
        <v>0</v>
      </c>
      <c r="AA3821">
        <v>0</v>
      </c>
      <c r="AB3821">
        <v>0</v>
      </c>
      <c r="AC3821">
        <v>0</v>
      </c>
      <c r="AD3821" s="21">
        <v>0</v>
      </c>
      <c r="AE3821" s="21">
        <v>0</v>
      </c>
      <c r="AF3821">
        <v>0</v>
      </c>
      <c r="AG3821">
        <v>0</v>
      </c>
      <c r="AJ3821" t="s">
        <v>54</v>
      </c>
      <c r="AK3821" t="s">
        <v>52</v>
      </c>
      <c r="AP3821" t="s">
        <v>951</v>
      </c>
    </row>
    <row r="3822" spans="1:42">
      <c r="A3822" s="16">
        <v>43837</v>
      </c>
      <c r="B3822">
        <v>2</v>
      </c>
      <c r="C3822">
        <v>539</v>
      </c>
      <c r="D3822">
        <v>10294</v>
      </c>
      <c r="E3822" t="s">
        <v>37</v>
      </c>
      <c r="F3822" t="s">
        <v>949</v>
      </c>
      <c r="G3822">
        <v>2</v>
      </c>
      <c r="H3822">
        <v>12</v>
      </c>
      <c r="I3822" s="25">
        <v>1701</v>
      </c>
      <c r="K3822" t="s">
        <v>647</v>
      </c>
      <c r="M3822" t="s">
        <v>52</v>
      </c>
      <c r="N3822" t="s">
        <v>44</v>
      </c>
      <c r="O3822">
        <v>304</v>
      </c>
      <c r="Q3822">
        <v>1</v>
      </c>
      <c r="R3822">
        <v>1</v>
      </c>
      <c r="S3822">
        <v>0</v>
      </c>
      <c r="T3822">
        <v>0</v>
      </c>
      <c r="U3822">
        <v>0</v>
      </c>
      <c r="V3822">
        <v>0</v>
      </c>
      <c r="W3822">
        <v>0</v>
      </c>
      <c r="X3822" s="21">
        <v>0</v>
      </c>
      <c r="Y3822">
        <v>0</v>
      </c>
      <c r="Z3822">
        <v>0</v>
      </c>
      <c r="AA3822">
        <v>1</v>
      </c>
      <c r="AB3822">
        <v>0</v>
      </c>
      <c r="AC3822">
        <v>0</v>
      </c>
      <c r="AD3822" s="21">
        <v>0</v>
      </c>
      <c r="AE3822" s="21">
        <v>0</v>
      </c>
      <c r="AF3822">
        <v>0</v>
      </c>
      <c r="AG3822">
        <v>0</v>
      </c>
      <c r="AJ3822" t="s">
        <v>54</v>
      </c>
      <c r="AK3822" t="s">
        <v>95</v>
      </c>
      <c r="AP3822" t="s">
        <v>951</v>
      </c>
    </row>
    <row r="3823" spans="1:42">
      <c r="A3823" s="16">
        <v>43837</v>
      </c>
      <c r="B3823">
        <v>2</v>
      </c>
      <c r="C3823">
        <v>539</v>
      </c>
      <c r="D3823">
        <v>10294</v>
      </c>
      <c r="E3823" t="s">
        <v>37</v>
      </c>
      <c r="F3823" t="s">
        <v>949</v>
      </c>
      <c r="G3823">
        <v>2</v>
      </c>
      <c r="H3823">
        <v>13</v>
      </c>
      <c r="I3823" s="25">
        <v>1601</v>
      </c>
      <c r="K3823" t="s">
        <v>420</v>
      </c>
      <c r="M3823" t="s">
        <v>52</v>
      </c>
      <c r="N3823" t="s">
        <v>44</v>
      </c>
      <c r="O3823">
        <v>294</v>
      </c>
      <c r="Q3823">
        <v>1</v>
      </c>
      <c r="R3823">
        <v>1</v>
      </c>
      <c r="S3823">
        <v>0</v>
      </c>
      <c r="T3823">
        <v>0</v>
      </c>
      <c r="U3823">
        <v>0</v>
      </c>
      <c r="V3823">
        <v>0</v>
      </c>
      <c r="W3823">
        <v>0</v>
      </c>
      <c r="X3823" s="21">
        <v>0</v>
      </c>
      <c r="Y3823">
        <v>0</v>
      </c>
      <c r="Z3823">
        <v>0</v>
      </c>
      <c r="AA3823">
        <v>1</v>
      </c>
      <c r="AB3823">
        <v>0</v>
      </c>
      <c r="AC3823">
        <v>0</v>
      </c>
      <c r="AD3823" s="21">
        <v>0</v>
      </c>
      <c r="AE3823" s="21">
        <v>0</v>
      </c>
      <c r="AF3823">
        <v>0</v>
      </c>
      <c r="AG3823">
        <v>0</v>
      </c>
      <c r="AJ3823" t="s">
        <v>54</v>
      </c>
      <c r="AK3823" t="s">
        <v>52</v>
      </c>
      <c r="AL3823" t="s">
        <v>668</v>
      </c>
      <c r="AP3823" t="s">
        <v>951</v>
      </c>
    </row>
    <row r="3824" spans="1:42">
      <c r="A3824" s="16">
        <v>43837</v>
      </c>
      <c r="B3824">
        <v>2</v>
      </c>
      <c r="C3824">
        <v>539</v>
      </c>
      <c r="D3824">
        <v>10294</v>
      </c>
      <c r="E3824" t="s">
        <v>37</v>
      </c>
      <c r="F3824" t="s">
        <v>949</v>
      </c>
      <c r="G3824">
        <v>2</v>
      </c>
      <c r="H3824">
        <v>14</v>
      </c>
      <c r="I3824" s="25">
        <v>1601</v>
      </c>
      <c r="K3824" t="s">
        <v>102</v>
      </c>
      <c r="M3824" t="s">
        <v>52</v>
      </c>
      <c r="N3824" t="s">
        <v>44</v>
      </c>
      <c r="O3824">
        <v>278</v>
      </c>
      <c r="Q3824">
        <v>2</v>
      </c>
      <c r="R3824">
        <v>1</v>
      </c>
      <c r="S3824">
        <v>0</v>
      </c>
      <c r="T3824">
        <v>0</v>
      </c>
      <c r="U3824">
        <v>0</v>
      </c>
      <c r="V3824">
        <v>0</v>
      </c>
      <c r="W3824">
        <v>0</v>
      </c>
      <c r="X3824" s="21">
        <v>0</v>
      </c>
      <c r="Y3824">
        <v>1</v>
      </c>
      <c r="Z3824">
        <v>0</v>
      </c>
      <c r="AA3824">
        <v>1</v>
      </c>
      <c r="AB3824">
        <v>0</v>
      </c>
      <c r="AC3824">
        <v>0</v>
      </c>
      <c r="AD3824" s="21">
        <v>0</v>
      </c>
      <c r="AE3824" s="21">
        <v>0</v>
      </c>
      <c r="AF3824">
        <v>0</v>
      </c>
      <c r="AG3824">
        <v>0</v>
      </c>
      <c r="AJ3824" t="s">
        <v>51</v>
      </c>
      <c r="AK3824" t="s">
        <v>52</v>
      </c>
      <c r="AL3824" t="s">
        <v>1269</v>
      </c>
      <c r="AP3824" t="s">
        <v>951</v>
      </c>
    </row>
    <row r="3825" spans="1:42">
      <c r="A3825" s="16">
        <v>43837</v>
      </c>
      <c r="B3825">
        <v>2</v>
      </c>
      <c r="C3825">
        <v>539</v>
      </c>
      <c r="D3825">
        <v>10294</v>
      </c>
      <c r="E3825" t="s">
        <v>37</v>
      </c>
      <c r="F3825" t="s">
        <v>949</v>
      </c>
      <c r="G3825">
        <v>2</v>
      </c>
      <c r="H3825">
        <v>15</v>
      </c>
      <c r="I3825" s="25">
        <v>989</v>
      </c>
      <c r="K3825" t="s">
        <v>53</v>
      </c>
      <c r="L3825" t="s">
        <v>141</v>
      </c>
      <c r="M3825" t="s">
        <v>52</v>
      </c>
      <c r="N3825" t="s">
        <v>40</v>
      </c>
      <c r="O3825">
        <v>140</v>
      </c>
      <c r="Q3825">
        <v>1</v>
      </c>
      <c r="R3825">
        <v>1</v>
      </c>
      <c r="S3825">
        <v>0</v>
      </c>
      <c r="T3825">
        <v>0</v>
      </c>
      <c r="U3825">
        <v>0</v>
      </c>
      <c r="V3825">
        <v>0</v>
      </c>
      <c r="W3825">
        <v>0</v>
      </c>
      <c r="X3825" s="21">
        <v>0</v>
      </c>
      <c r="Y3825">
        <v>0</v>
      </c>
      <c r="Z3825">
        <v>1</v>
      </c>
      <c r="AA3825">
        <v>0</v>
      </c>
      <c r="AB3825">
        <v>0</v>
      </c>
      <c r="AC3825">
        <v>0</v>
      </c>
      <c r="AD3825" s="21">
        <v>0</v>
      </c>
      <c r="AE3825" s="21">
        <v>0</v>
      </c>
      <c r="AF3825">
        <v>0</v>
      </c>
      <c r="AG3825">
        <v>0</v>
      </c>
      <c r="AJ3825" t="s">
        <v>51</v>
      </c>
      <c r="AK3825" t="s">
        <v>95</v>
      </c>
      <c r="AP3825" t="s">
        <v>951</v>
      </c>
    </row>
    <row r="3826" spans="1:42">
      <c r="A3826" s="16">
        <v>43837</v>
      </c>
      <c r="B3826">
        <v>2</v>
      </c>
      <c r="C3826">
        <v>539</v>
      </c>
      <c r="D3826">
        <v>10294</v>
      </c>
      <c r="E3826" t="s">
        <v>37</v>
      </c>
      <c r="F3826" t="s">
        <v>949</v>
      </c>
      <c r="G3826">
        <v>2</v>
      </c>
      <c r="H3826">
        <v>16</v>
      </c>
      <c r="I3826" s="25">
        <v>939</v>
      </c>
      <c r="K3826" t="s">
        <v>53</v>
      </c>
      <c r="L3826" t="s">
        <v>141</v>
      </c>
      <c r="M3826" t="s">
        <v>52</v>
      </c>
      <c r="N3826" t="s">
        <v>40</v>
      </c>
      <c r="O3826">
        <v>165</v>
      </c>
      <c r="Q3826">
        <v>1</v>
      </c>
      <c r="R3826">
        <v>1</v>
      </c>
      <c r="S3826">
        <v>0</v>
      </c>
      <c r="T3826">
        <v>0</v>
      </c>
      <c r="U3826">
        <v>0</v>
      </c>
      <c r="V3826">
        <v>0</v>
      </c>
      <c r="W3826">
        <v>0</v>
      </c>
      <c r="X3826" s="21">
        <v>0</v>
      </c>
      <c r="Y3826">
        <v>0</v>
      </c>
      <c r="Z3826">
        <v>0</v>
      </c>
      <c r="AA3826">
        <v>1</v>
      </c>
      <c r="AB3826">
        <v>0</v>
      </c>
      <c r="AC3826">
        <v>0</v>
      </c>
      <c r="AD3826" s="21">
        <v>0</v>
      </c>
      <c r="AE3826" s="21">
        <v>0</v>
      </c>
      <c r="AF3826">
        <v>0</v>
      </c>
      <c r="AG3826">
        <v>0</v>
      </c>
      <c r="AJ3826" t="s">
        <v>51</v>
      </c>
      <c r="AK3826" t="s">
        <v>52</v>
      </c>
      <c r="AP3826" t="s">
        <v>951</v>
      </c>
    </row>
    <row r="3827" spans="1:42">
      <c r="A3827" s="16">
        <v>43837</v>
      </c>
      <c r="B3827">
        <v>2</v>
      </c>
      <c r="C3827">
        <v>539</v>
      </c>
      <c r="D3827">
        <v>10294</v>
      </c>
      <c r="E3827" t="s">
        <v>37</v>
      </c>
      <c r="F3827" t="s">
        <v>949</v>
      </c>
      <c r="G3827">
        <v>2</v>
      </c>
      <c r="H3827">
        <v>17</v>
      </c>
      <c r="I3827" s="25">
        <v>840</v>
      </c>
      <c r="K3827" t="s">
        <v>53</v>
      </c>
      <c r="L3827" t="s">
        <v>114</v>
      </c>
      <c r="M3827" t="s">
        <v>52</v>
      </c>
      <c r="N3827" t="s">
        <v>40</v>
      </c>
      <c r="O3827">
        <v>364</v>
      </c>
      <c r="Q3827">
        <v>3</v>
      </c>
      <c r="R3827">
        <v>2</v>
      </c>
      <c r="S3827">
        <v>0</v>
      </c>
      <c r="T3827">
        <v>0</v>
      </c>
      <c r="U3827">
        <v>0</v>
      </c>
      <c r="V3827">
        <v>0</v>
      </c>
      <c r="W3827">
        <v>0</v>
      </c>
      <c r="X3827" s="21">
        <v>0</v>
      </c>
      <c r="Y3827">
        <v>0</v>
      </c>
      <c r="Z3827">
        <v>0</v>
      </c>
      <c r="AA3827">
        <v>3</v>
      </c>
      <c r="AB3827">
        <v>0</v>
      </c>
      <c r="AC3827">
        <v>0</v>
      </c>
      <c r="AD3827" s="21">
        <v>0</v>
      </c>
      <c r="AE3827" s="21">
        <v>0</v>
      </c>
      <c r="AF3827">
        <v>0</v>
      </c>
      <c r="AG3827">
        <v>0</v>
      </c>
      <c r="AJ3827" t="s">
        <v>51</v>
      </c>
      <c r="AK3827" t="s">
        <v>52</v>
      </c>
      <c r="AL3827" t="s">
        <v>1270</v>
      </c>
      <c r="AP3827" t="s">
        <v>951</v>
      </c>
    </row>
    <row r="3828" spans="1:42">
      <c r="A3828" s="16">
        <v>43837</v>
      </c>
      <c r="B3828">
        <v>2</v>
      </c>
      <c r="C3828">
        <v>539</v>
      </c>
      <c r="D3828">
        <v>10294</v>
      </c>
      <c r="E3828" t="s">
        <v>37</v>
      </c>
      <c r="F3828" t="s">
        <v>949</v>
      </c>
      <c r="G3828">
        <v>2</v>
      </c>
      <c r="H3828">
        <v>18</v>
      </c>
      <c r="I3828" s="25">
        <v>965</v>
      </c>
      <c r="K3828" t="s">
        <v>49</v>
      </c>
      <c r="L3828" t="s">
        <v>141</v>
      </c>
      <c r="M3828" t="s">
        <v>52</v>
      </c>
      <c r="N3828" t="s">
        <v>40</v>
      </c>
      <c r="O3828">
        <v>350</v>
      </c>
      <c r="Q3828">
        <v>3</v>
      </c>
      <c r="R3828">
        <v>1</v>
      </c>
      <c r="S3828">
        <v>0</v>
      </c>
      <c r="T3828">
        <v>0</v>
      </c>
      <c r="U3828">
        <v>0</v>
      </c>
      <c r="V3828">
        <v>0</v>
      </c>
      <c r="W3828">
        <v>0</v>
      </c>
      <c r="X3828" s="21">
        <v>0</v>
      </c>
      <c r="Y3828">
        <v>0</v>
      </c>
      <c r="Z3828">
        <v>0</v>
      </c>
      <c r="AA3828">
        <v>3</v>
      </c>
      <c r="AB3828">
        <v>0</v>
      </c>
      <c r="AC3828">
        <v>0</v>
      </c>
      <c r="AD3828" s="21">
        <v>0</v>
      </c>
      <c r="AE3828" s="21">
        <v>0</v>
      </c>
      <c r="AF3828">
        <v>0</v>
      </c>
      <c r="AG3828">
        <v>0</v>
      </c>
      <c r="AJ3828" t="s">
        <v>51</v>
      </c>
      <c r="AK3828" t="s">
        <v>52</v>
      </c>
      <c r="AL3828" t="s">
        <v>1271</v>
      </c>
      <c r="AP3828" t="s">
        <v>951</v>
      </c>
    </row>
    <row r="3829" spans="1:42">
      <c r="A3829" s="16">
        <v>43837</v>
      </c>
      <c r="B3829">
        <v>2</v>
      </c>
      <c r="C3829">
        <v>539</v>
      </c>
      <c r="D3829">
        <v>10294</v>
      </c>
      <c r="E3829" t="s">
        <v>37</v>
      </c>
      <c r="F3829" t="s">
        <v>949</v>
      </c>
      <c r="G3829">
        <v>2</v>
      </c>
      <c r="H3829">
        <v>19</v>
      </c>
      <c r="I3829" s="25">
        <v>1640</v>
      </c>
      <c r="K3829" t="s">
        <v>647</v>
      </c>
      <c r="M3829" t="s">
        <v>52</v>
      </c>
      <c r="N3829" t="s">
        <v>44</v>
      </c>
      <c r="O3829">
        <v>834</v>
      </c>
      <c r="Q3829">
        <v>10</v>
      </c>
      <c r="R3829">
        <v>1</v>
      </c>
      <c r="S3829">
        <v>0</v>
      </c>
      <c r="T3829">
        <v>0</v>
      </c>
      <c r="U3829">
        <v>0</v>
      </c>
      <c r="V3829">
        <v>0</v>
      </c>
      <c r="W3829">
        <v>10</v>
      </c>
      <c r="X3829" s="21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 s="21">
        <v>0</v>
      </c>
      <c r="AE3829" s="21">
        <v>0</v>
      </c>
      <c r="AF3829">
        <v>0</v>
      </c>
      <c r="AG3829">
        <v>0</v>
      </c>
      <c r="AH3829">
        <v>960</v>
      </c>
      <c r="AJ3829" t="s">
        <v>51</v>
      </c>
      <c r="AK3829" t="s">
        <v>52</v>
      </c>
      <c r="AP3829" t="s">
        <v>951</v>
      </c>
    </row>
    <row r="3830" spans="1:42">
      <c r="A3830" s="16">
        <v>43837</v>
      </c>
      <c r="B3830">
        <v>2</v>
      </c>
      <c r="C3830">
        <v>539</v>
      </c>
      <c r="D3830">
        <v>10294</v>
      </c>
      <c r="E3830" t="s">
        <v>37</v>
      </c>
      <c r="F3830" t="s">
        <v>949</v>
      </c>
      <c r="G3830">
        <v>2</v>
      </c>
      <c r="H3830">
        <v>20</v>
      </c>
      <c r="I3830" s="25">
        <v>1557</v>
      </c>
      <c r="K3830" t="s">
        <v>46</v>
      </c>
      <c r="M3830" t="s">
        <v>52</v>
      </c>
      <c r="N3830" t="s">
        <v>44</v>
      </c>
      <c r="O3830">
        <v>283</v>
      </c>
      <c r="Q3830">
        <v>3</v>
      </c>
      <c r="R3830">
        <v>1</v>
      </c>
      <c r="S3830">
        <v>0</v>
      </c>
      <c r="T3830">
        <v>0</v>
      </c>
      <c r="U3830">
        <v>0</v>
      </c>
      <c r="V3830">
        <v>0</v>
      </c>
      <c r="W3830">
        <v>2</v>
      </c>
      <c r="X3830" s="21">
        <v>0</v>
      </c>
      <c r="Y3830">
        <v>0</v>
      </c>
      <c r="Z3830">
        <v>0</v>
      </c>
      <c r="AA3830">
        <v>1</v>
      </c>
      <c r="AB3830">
        <v>0</v>
      </c>
      <c r="AC3830">
        <v>0</v>
      </c>
      <c r="AD3830" s="21">
        <v>0</v>
      </c>
      <c r="AE3830" s="21">
        <v>0</v>
      </c>
      <c r="AF3830">
        <v>0</v>
      </c>
      <c r="AG3830">
        <v>0</v>
      </c>
      <c r="AH3830">
        <v>192</v>
      </c>
      <c r="AJ3830" t="s">
        <v>51</v>
      </c>
      <c r="AK3830" t="s">
        <v>52</v>
      </c>
      <c r="AP3830" t="s">
        <v>951</v>
      </c>
    </row>
    <row r="3831" spans="1:42">
      <c r="A3831" s="16">
        <v>43837</v>
      </c>
      <c r="B3831">
        <v>2</v>
      </c>
      <c r="C3831">
        <v>539</v>
      </c>
      <c r="D3831">
        <v>10294</v>
      </c>
      <c r="E3831" t="s">
        <v>37</v>
      </c>
      <c r="F3831" t="s">
        <v>949</v>
      </c>
      <c r="G3831">
        <v>2</v>
      </c>
      <c r="H3831">
        <v>21</v>
      </c>
      <c r="I3831" s="25" t="s">
        <v>1272</v>
      </c>
      <c r="K3831" t="s">
        <v>46</v>
      </c>
      <c r="L3831" t="s">
        <v>141</v>
      </c>
      <c r="M3831" t="s">
        <v>52</v>
      </c>
      <c r="N3831" t="s">
        <v>40</v>
      </c>
      <c r="O3831">
        <v>123</v>
      </c>
      <c r="Q3831">
        <v>1</v>
      </c>
      <c r="R3831">
        <v>1</v>
      </c>
      <c r="S3831">
        <v>0</v>
      </c>
      <c r="T3831">
        <v>0</v>
      </c>
      <c r="U3831">
        <v>0</v>
      </c>
      <c r="V3831">
        <v>0</v>
      </c>
      <c r="W3831">
        <v>0</v>
      </c>
      <c r="X3831" s="21">
        <v>0</v>
      </c>
      <c r="Y3831">
        <v>0</v>
      </c>
      <c r="Z3831">
        <v>0</v>
      </c>
      <c r="AA3831">
        <v>1</v>
      </c>
      <c r="AB3831">
        <v>0</v>
      </c>
      <c r="AC3831">
        <v>0</v>
      </c>
      <c r="AD3831" s="21">
        <v>0</v>
      </c>
      <c r="AE3831" s="21">
        <v>0</v>
      </c>
      <c r="AF3831">
        <v>0</v>
      </c>
      <c r="AG3831">
        <v>0</v>
      </c>
      <c r="AJ3831" t="s">
        <v>51</v>
      </c>
      <c r="AK3831" t="s">
        <v>52</v>
      </c>
      <c r="AL3831" t="s">
        <v>1273</v>
      </c>
      <c r="AP3831" t="s">
        <v>951</v>
      </c>
    </row>
    <row r="3832" spans="1:42">
      <c r="A3832" s="16">
        <v>43837</v>
      </c>
      <c r="B3832">
        <v>2</v>
      </c>
      <c r="C3832">
        <v>539</v>
      </c>
      <c r="D3832">
        <v>10294</v>
      </c>
      <c r="E3832" t="s">
        <v>37</v>
      </c>
      <c r="F3832" t="s">
        <v>949</v>
      </c>
      <c r="G3832">
        <v>2</v>
      </c>
      <c r="H3832">
        <v>22</v>
      </c>
      <c r="I3832" s="25">
        <v>240</v>
      </c>
      <c r="K3832" t="s">
        <v>1274</v>
      </c>
      <c r="M3832" t="s">
        <v>52</v>
      </c>
      <c r="N3832" t="s">
        <v>44</v>
      </c>
      <c r="O3832">
        <v>142</v>
      </c>
      <c r="Q3832">
        <v>1</v>
      </c>
      <c r="R3832">
        <v>1</v>
      </c>
      <c r="S3832">
        <v>0</v>
      </c>
      <c r="T3832">
        <v>0</v>
      </c>
      <c r="U3832">
        <v>0</v>
      </c>
      <c r="V3832">
        <v>0</v>
      </c>
      <c r="W3832">
        <v>0</v>
      </c>
      <c r="X3832" s="21">
        <v>0</v>
      </c>
      <c r="Y3832">
        <v>0</v>
      </c>
      <c r="Z3832">
        <v>0</v>
      </c>
      <c r="AA3832">
        <v>1</v>
      </c>
      <c r="AB3832">
        <v>0</v>
      </c>
      <c r="AC3832">
        <v>0</v>
      </c>
      <c r="AD3832" s="21">
        <v>0</v>
      </c>
      <c r="AE3832" s="21">
        <v>0</v>
      </c>
      <c r="AF3832">
        <v>0</v>
      </c>
      <c r="AG3832">
        <v>0</v>
      </c>
      <c r="AJ3832" t="s">
        <v>51</v>
      </c>
      <c r="AK3832" t="s">
        <v>95</v>
      </c>
      <c r="AP3832" t="s">
        <v>951</v>
      </c>
    </row>
    <row r="3833" spans="1:42">
      <c r="A3833" s="16">
        <v>43837</v>
      </c>
      <c r="B3833">
        <v>2</v>
      </c>
      <c r="C3833">
        <v>539</v>
      </c>
      <c r="D3833">
        <v>10294</v>
      </c>
      <c r="E3833" t="s">
        <v>37</v>
      </c>
      <c r="F3833" t="s">
        <v>949</v>
      </c>
      <c r="G3833">
        <v>2</v>
      </c>
      <c r="H3833">
        <v>23</v>
      </c>
      <c r="I3833" s="25">
        <v>2000</v>
      </c>
      <c r="K3833" t="s">
        <v>324</v>
      </c>
      <c r="M3833" t="s">
        <v>52</v>
      </c>
      <c r="N3833" t="s">
        <v>44</v>
      </c>
      <c r="O3833">
        <v>194</v>
      </c>
      <c r="Q3833">
        <v>1</v>
      </c>
      <c r="R3833">
        <v>1</v>
      </c>
      <c r="S3833">
        <v>0</v>
      </c>
      <c r="T3833">
        <v>0</v>
      </c>
      <c r="U3833">
        <v>0</v>
      </c>
      <c r="V3833">
        <v>0</v>
      </c>
      <c r="W3833">
        <v>0</v>
      </c>
      <c r="X3833" s="21">
        <v>0</v>
      </c>
      <c r="Y3833">
        <v>0</v>
      </c>
      <c r="Z3833">
        <v>0</v>
      </c>
      <c r="AA3833">
        <v>1</v>
      </c>
      <c r="AB3833">
        <v>0</v>
      </c>
      <c r="AC3833">
        <v>0</v>
      </c>
      <c r="AD3833" s="21">
        <v>0</v>
      </c>
      <c r="AE3833" s="21">
        <v>0</v>
      </c>
      <c r="AF3833">
        <v>0</v>
      </c>
      <c r="AG3833">
        <v>0</v>
      </c>
      <c r="AJ3833" t="s">
        <v>51</v>
      </c>
      <c r="AK3833" t="s">
        <v>95</v>
      </c>
      <c r="AL3833" t="s">
        <v>668</v>
      </c>
      <c r="AP3833" t="s">
        <v>951</v>
      </c>
    </row>
    <row r="3834" spans="1:42">
      <c r="A3834" s="16">
        <v>43837</v>
      </c>
      <c r="B3834">
        <v>2</v>
      </c>
      <c r="C3834">
        <v>539</v>
      </c>
      <c r="D3834">
        <v>10294</v>
      </c>
      <c r="E3834" t="s">
        <v>37</v>
      </c>
      <c r="F3834" t="s">
        <v>949</v>
      </c>
      <c r="G3834">
        <v>2</v>
      </c>
      <c r="H3834">
        <v>24</v>
      </c>
      <c r="I3834" s="25">
        <v>3199</v>
      </c>
      <c r="K3834" t="s">
        <v>909</v>
      </c>
      <c r="M3834" t="s">
        <v>52</v>
      </c>
      <c r="N3834" t="s">
        <v>44</v>
      </c>
      <c r="O3834">
        <v>149</v>
      </c>
      <c r="Q3834">
        <v>1</v>
      </c>
      <c r="R3834">
        <v>1</v>
      </c>
      <c r="S3834">
        <v>0</v>
      </c>
      <c r="T3834">
        <v>0</v>
      </c>
      <c r="U3834">
        <v>0</v>
      </c>
      <c r="V3834">
        <v>0</v>
      </c>
      <c r="W3834">
        <v>0</v>
      </c>
      <c r="X3834" s="21">
        <v>0</v>
      </c>
      <c r="Y3834">
        <v>0</v>
      </c>
      <c r="Z3834">
        <v>1</v>
      </c>
      <c r="AA3834">
        <v>0</v>
      </c>
      <c r="AB3834">
        <v>0</v>
      </c>
      <c r="AC3834">
        <v>0</v>
      </c>
      <c r="AD3834" s="21">
        <v>0</v>
      </c>
      <c r="AE3834" s="21">
        <v>0</v>
      </c>
      <c r="AF3834">
        <v>0</v>
      </c>
      <c r="AG3834">
        <v>0</v>
      </c>
      <c r="AJ3834" t="s">
        <v>51</v>
      </c>
      <c r="AK3834" t="s">
        <v>95</v>
      </c>
      <c r="AP3834" t="s">
        <v>951</v>
      </c>
    </row>
    <row r="3835" spans="1:42">
      <c r="A3835" s="16">
        <v>43837</v>
      </c>
      <c r="B3835">
        <v>2</v>
      </c>
      <c r="C3835">
        <v>539</v>
      </c>
      <c r="D3835">
        <v>10294</v>
      </c>
      <c r="E3835" t="s">
        <v>37</v>
      </c>
      <c r="F3835" t="s">
        <v>949</v>
      </c>
      <c r="G3835">
        <v>2</v>
      </c>
      <c r="H3835">
        <v>25</v>
      </c>
      <c r="I3835" s="25">
        <v>2320</v>
      </c>
      <c r="K3835" t="s">
        <v>119</v>
      </c>
      <c r="L3835" t="s">
        <v>114</v>
      </c>
      <c r="M3835" t="s">
        <v>52</v>
      </c>
      <c r="N3835" t="s">
        <v>40</v>
      </c>
      <c r="O3835">
        <v>248</v>
      </c>
      <c r="Q3835">
        <v>1</v>
      </c>
      <c r="R3835">
        <v>1</v>
      </c>
      <c r="S3835">
        <v>0</v>
      </c>
      <c r="T3835">
        <v>0</v>
      </c>
      <c r="U3835">
        <v>0</v>
      </c>
      <c r="V3835">
        <v>0</v>
      </c>
      <c r="W3835">
        <v>0</v>
      </c>
      <c r="X3835" s="21">
        <v>0</v>
      </c>
      <c r="Y3835">
        <v>0</v>
      </c>
      <c r="Z3835">
        <v>0</v>
      </c>
      <c r="AA3835">
        <v>1</v>
      </c>
      <c r="AB3835">
        <v>0</v>
      </c>
      <c r="AC3835">
        <v>0</v>
      </c>
      <c r="AD3835" s="21">
        <v>0</v>
      </c>
      <c r="AE3835" s="21">
        <v>0</v>
      </c>
      <c r="AF3835">
        <v>0</v>
      </c>
      <c r="AG3835">
        <v>0</v>
      </c>
      <c r="AJ3835" t="s">
        <v>51</v>
      </c>
      <c r="AK3835" t="s">
        <v>95</v>
      </c>
      <c r="AP3835" t="s">
        <v>951</v>
      </c>
    </row>
    <row r="3836" spans="1:42">
      <c r="A3836" s="16">
        <v>43837</v>
      </c>
      <c r="B3836">
        <v>2</v>
      </c>
      <c r="C3836">
        <v>539</v>
      </c>
      <c r="D3836">
        <v>10294</v>
      </c>
      <c r="E3836" t="s">
        <v>37</v>
      </c>
      <c r="F3836" t="s">
        <v>949</v>
      </c>
      <c r="G3836">
        <v>2</v>
      </c>
      <c r="H3836">
        <v>26</v>
      </c>
      <c r="I3836" s="25">
        <v>2222</v>
      </c>
      <c r="K3836" t="s">
        <v>185</v>
      </c>
      <c r="M3836" t="s">
        <v>52</v>
      </c>
      <c r="N3836" t="s">
        <v>44</v>
      </c>
      <c r="O3836">
        <v>413</v>
      </c>
      <c r="Q3836">
        <v>2</v>
      </c>
      <c r="R3836">
        <v>1</v>
      </c>
      <c r="S3836">
        <v>0</v>
      </c>
      <c r="T3836">
        <v>0</v>
      </c>
      <c r="U3836">
        <v>0</v>
      </c>
      <c r="V3836">
        <v>0</v>
      </c>
      <c r="W3836">
        <v>0</v>
      </c>
      <c r="X3836" s="21">
        <v>0</v>
      </c>
      <c r="Y3836">
        <v>0</v>
      </c>
      <c r="Z3836">
        <v>0</v>
      </c>
      <c r="AA3836">
        <v>2</v>
      </c>
      <c r="AB3836">
        <v>0</v>
      </c>
      <c r="AC3836">
        <v>0</v>
      </c>
      <c r="AD3836" s="21">
        <v>0</v>
      </c>
      <c r="AE3836" s="21">
        <v>0</v>
      </c>
      <c r="AF3836">
        <v>0</v>
      </c>
      <c r="AG3836">
        <v>0</v>
      </c>
      <c r="AJ3836" t="s">
        <v>51</v>
      </c>
      <c r="AK3836" t="s">
        <v>52</v>
      </c>
      <c r="AP3836" t="s">
        <v>951</v>
      </c>
    </row>
    <row r="3837" spans="1:42">
      <c r="A3837" s="16">
        <v>43837</v>
      </c>
      <c r="B3837">
        <v>2</v>
      </c>
      <c r="C3837">
        <v>539</v>
      </c>
      <c r="D3837">
        <v>10294</v>
      </c>
      <c r="E3837" t="s">
        <v>37</v>
      </c>
      <c r="F3837" t="s">
        <v>949</v>
      </c>
      <c r="G3837">
        <v>2</v>
      </c>
      <c r="H3837">
        <v>27</v>
      </c>
      <c r="I3837" s="25">
        <v>2120</v>
      </c>
      <c r="K3837" t="s">
        <v>185</v>
      </c>
      <c r="M3837" t="s">
        <v>52</v>
      </c>
      <c r="N3837" t="s">
        <v>44</v>
      </c>
      <c r="O3837">
        <v>134</v>
      </c>
      <c r="Q3837">
        <v>1</v>
      </c>
      <c r="R3837">
        <v>1</v>
      </c>
      <c r="S3837">
        <v>0</v>
      </c>
      <c r="T3837">
        <v>0</v>
      </c>
      <c r="U3837">
        <v>0</v>
      </c>
      <c r="V3837">
        <v>0</v>
      </c>
      <c r="W3837">
        <v>0</v>
      </c>
      <c r="X3837" s="21">
        <v>0</v>
      </c>
      <c r="Y3837">
        <v>0</v>
      </c>
      <c r="Z3837">
        <v>0</v>
      </c>
      <c r="AA3837">
        <v>1</v>
      </c>
      <c r="AB3837">
        <v>0</v>
      </c>
      <c r="AC3837">
        <v>0</v>
      </c>
      <c r="AD3837" s="21">
        <v>0</v>
      </c>
      <c r="AE3837" s="21">
        <v>0</v>
      </c>
      <c r="AF3837">
        <v>0</v>
      </c>
      <c r="AG3837">
        <v>0</v>
      </c>
      <c r="AJ3837" t="s">
        <v>51</v>
      </c>
      <c r="AK3837" t="s">
        <v>52</v>
      </c>
      <c r="AP3837" t="s">
        <v>951</v>
      </c>
    </row>
    <row r="3838" spans="1:42">
      <c r="A3838" s="16">
        <v>43837</v>
      </c>
      <c r="B3838">
        <v>2</v>
      </c>
      <c r="C3838">
        <v>539</v>
      </c>
      <c r="D3838">
        <v>10294</v>
      </c>
      <c r="E3838" t="s">
        <v>37</v>
      </c>
      <c r="F3838" t="s">
        <v>949</v>
      </c>
      <c r="G3838">
        <v>2</v>
      </c>
      <c r="H3838">
        <v>28</v>
      </c>
      <c r="I3838" s="25">
        <v>2000</v>
      </c>
      <c r="K3838" t="s">
        <v>185</v>
      </c>
      <c r="M3838" t="s">
        <v>52</v>
      </c>
      <c r="N3838" t="s">
        <v>44</v>
      </c>
      <c r="O3838">
        <v>488</v>
      </c>
      <c r="Q3838">
        <v>4</v>
      </c>
      <c r="R3838">
        <v>1</v>
      </c>
      <c r="S3838">
        <v>0</v>
      </c>
      <c r="T3838">
        <v>0</v>
      </c>
      <c r="U3838">
        <v>0</v>
      </c>
      <c r="V3838">
        <v>0</v>
      </c>
      <c r="W3838">
        <v>4</v>
      </c>
      <c r="X3838" s="21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 s="21">
        <v>0</v>
      </c>
      <c r="AE3838" s="21">
        <v>0</v>
      </c>
      <c r="AF3838">
        <v>0</v>
      </c>
      <c r="AG3838">
        <v>0</v>
      </c>
      <c r="AH3838">
        <v>384</v>
      </c>
      <c r="AJ3838" t="s">
        <v>51</v>
      </c>
      <c r="AK3838" t="s">
        <v>52</v>
      </c>
      <c r="AL3838" t="s">
        <v>1275</v>
      </c>
      <c r="AP3838" t="s">
        <v>951</v>
      </c>
    </row>
    <row r="3839" spans="1:42">
      <c r="A3839" s="16">
        <v>43837</v>
      </c>
      <c r="B3839">
        <v>2</v>
      </c>
      <c r="C3839">
        <v>539</v>
      </c>
      <c r="D3839">
        <v>10294</v>
      </c>
      <c r="E3839" t="s">
        <v>37</v>
      </c>
      <c r="F3839" t="s">
        <v>949</v>
      </c>
      <c r="G3839">
        <v>2</v>
      </c>
      <c r="H3839">
        <v>29</v>
      </c>
      <c r="I3839" s="25">
        <v>2066</v>
      </c>
      <c r="K3839" t="s">
        <v>56</v>
      </c>
      <c r="L3839" t="s">
        <v>114</v>
      </c>
      <c r="M3839" t="s">
        <v>52</v>
      </c>
      <c r="N3839" t="s">
        <v>40</v>
      </c>
      <c r="O3839">
        <v>265</v>
      </c>
      <c r="Q3839">
        <v>1</v>
      </c>
      <c r="R3839">
        <v>1</v>
      </c>
      <c r="S3839">
        <v>0</v>
      </c>
      <c r="T3839">
        <v>0</v>
      </c>
      <c r="U3839">
        <v>0</v>
      </c>
      <c r="V3839">
        <v>0</v>
      </c>
      <c r="W3839">
        <v>0</v>
      </c>
      <c r="X3839" s="21">
        <v>0</v>
      </c>
      <c r="Y3839">
        <v>1</v>
      </c>
      <c r="Z3839">
        <v>0</v>
      </c>
      <c r="AA3839">
        <v>0</v>
      </c>
      <c r="AB3839">
        <v>0</v>
      </c>
      <c r="AC3839">
        <v>0</v>
      </c>
      <c r="AD3839" s="21">
        <v>0</v>
      </c>
      <c r="AE3839" s="21">
        <v>0</v>
      </c>
      <c r="AF3839">
        <v>0</v>
      </c>
      <c r="AG3839">
        <v>0</v>
      </c>
      <c r="AJ3839" t="s">
        <v>51</v>
      </c>
      <c r="AK3839" t="s">
        <v>52</v>
      </c>
      <c r="AP3839" t="s">
        <v>951</v>
      </c>
    </row>
    <row r="3840" spans="1:42">
      <c r="A3840" s="16">
        <v>43837</v>
      </c>
      <c r="B3840">
        <v>2</v>
      </c>
      <c r="C3840">
        <v>539</v>
      </c>
      <c r="D3840">
        <v>10294</v>
      </c>
      <c r="E3840" t="s">
        <v>37</v>
      </c>
      <c r="F3840" t="s">
        <v>949</v>
      </c>
      <c r="G3840">
        <v>2</v>
      </c>
      <c r="H3840">
        <v>30</v>
      </c>
      <c r="I3840" s="25">
        <v>2100</v>
      </c>
      <c r="K3840" t="s">
        <v>599</v>
      </c>
      <c r="M3840" t="s">
        <v>52</v>
      </c>
      <c r="N3840" t="s">
        <v>44</v>
      </c>
      <c r="O3840">
        <v>458</v>
      </c>
      <c r="Q3840">
        <v>9</v>
      </c>
      <c r="R3840">
        <v>1</v>
      </c>
      <c r="S3840">
        <v>0</v>
      </c>
      <c r="T3840">
        <v>0</v>
      </c>
      <c r="U3840">
        <v>0</v>
      </c>
      <c r="V3840">
        <v>0</v>
      </c>
      <c r="W3840">
        <v>8</v>
      </c>
      <c r="X3840" s="21">
        <v>0</v>
      </c>
      <c r="Y3840">
        <v>0</v>
      </c>
      <c r="Z3840">
        <v>0</v>
      </c>
      <c r="AA3840">
        <v>1</v>
      </c>
      <c r="AB3840">
        <v>0</v>
      </c>
      <c r="AC3840">
        <v>0</v>
      </c>
      <c r="AD3840" s="21">
        <v>0</v>
      </c>
      <c r="AE3840" s="21">
        <v>0</v>
      </c>
      <c r="AF3840">
        <v>0</v>
      </c>
      <c r="AG3840">
        <v>0</v>
      </c>
      <c r="AH3840">
        <v>768</v>
      </c>
      <c r="AJ3840" t="s">
        <v>51</v>
      </c>
      <c r="AK3840" t="s">
        <v>95</v>
      </c>
      <c r="AL3840" t="s">
        <v>1276</v>
      </c>
      <c r="AP3840" t="s">
        <v>951</v>
      </c>
    </row>
    <row r="3841" spans="1:42">
      <c r="A3841" s="16">
        <v>43837</v>
      </c>
      <c r="B3841">
        <v>2</v>
      </c>
      <c r="C3841">
        <v>539</v>
      </c>
      <c r="D3841">
        <v>10294</v>
      </c>
      <c r="E3841" t="s">
        <v>37</v>
      </c>
      <c r="F3841" t="s">
        <v>949</v>
      </c>
      <c r="G3841">
        <v>2</v>
      </c>
      <c r="H3841">
        <v>31</v>
      </c>
      <c r="I3841" s="25">
        <v>2055</v>
      </c>
      <c r="K3841" t="s">
        <v>156</v>
      </c>
      <c r="L3841" t="s">
        <v>141</v>
      </c>
      <c r="M3841" t="s">
        <v>52</v>
      </c>
      <c r="N3841" t="s">
        <v>40</v>
      </c>
      <c r="O3841">
        <v>157</v>
      </c>
      <c r="Q3841">
        <v>1</v>
      </c>
      <c r="R3841">
        <v>1</v>
      </c>
      <c r="S3841">
        <v>0</v>
      </c>
      <c r="T3841">
        <v>0</v>
      </c>
      <c r="U3841">
        <v>0</v>
      </c>
      <c r="V3841">
        <v>0</v>
      </c>
      <c r="W3841">
        <v>0</v>
      </c>
      <c r="X3841" s="21">
        <v>0</v>
      </c>
      <c r="Y3841">
        <v>0</v>
      </c>
      <c r="Z3841">
        <v>1</v>
      </c>
      <c r="AA3841">
        <v>0</v>
      </c>
      <c r="AB3841">
        <v>0</v>
      </c>
      <c r="AC3841">
        <v>0</v>
      </c>
      <c r="AD3841" s="21">
        <v>0</v>
      </c>
      <c r="AE3841" s="21">
        <v>0</v>
      </c>
      <c r="AF3841">
        <v>0</v>
      </c>
      <c r="AG3841">
        <v>0</v>
      </c>
      <c r="AJ3841" t="s">
        <v>51</v>
      </c>
      <c r="AK3841" t="s">
        <v>52</v>
      </c>
      <c r="AP3841" t="s">
        <v>951</v>
      </c>
    </row>
    <row r="3842" spans="1:42">
      <c r="A3842" s="16">
        <v>43837</v>
      </c>
      <c r="B3842">
        <v>2</v>
      </c>
      <c r="C3842">
        <v>539</v>
      </c>
      <c r="D3842">
        <v>10294</v>
      </c>
      <c r="E3842" t="s">
        <v>37</v>
      </c>
      <c r="F3842" t="s">
        <v>949</v>
      </c>
      <c r="G3842">
        <v>2</v>
      </c>
      <c r="H3842">
        <v>32</v>
      </c>
      <c r="I3842" s="25">
        <v>130</v>
      </c>
      <c r="K3842" t="s">
        <v>1277</v>
      </c>
      <c r="M3842" t="s">
        <v>52</v>
      </c>
      <c r="N3842" t="s">
        <v>44</v>
      </c>
      <c r="O3842">
        <v>64</v>
      </c>
      <c r="Q3842">
        <v>1</v>
      </c>
      <c r="R3842">
        <v>1</v>
      </c>
      <c r="S3842">
        <v>0</v>
      </c>
      <c r="T3842">
        <v>0</v>
      </c>
      <c r="U3842">
        <v>0</v>
      </c>
      <c r="V3842">
        <v>1</v>
      </c>
      <c r="W3842">
        <v>0</v>
      </c>
      <c r="X3842" s="21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 s="21">
        <v>0</v>
      </c>
      <c r="AE3842" s="21">
        <v>0</v>
      </c>
      <c r="AF3842">
        <v>0</v>
      </c>
      <c r="AG3842">
        <v>0</v>
      </c>
      <c r="AH3842">
        <v>64</v>
      </c>
      <c r="AJ3842" t="s">
        <v>51</v>
      </c>
      <c r="AK3842" t="s">
        <v>95</v>
      </c>
      <c r="AP3842" t="s">
        <v>951</v>
      </c>
    </row>
    <row r="3843" spans="1:42">
      <c r="A3843" s="16">
        <v>43837</v>
      </c>
      <c r="B3843">
        <v>2</v>
      </c>
      <c r="C3843">
        <v>539</v>
      </c>
      <c r="D3843">
        <v>10294</v>
      </c>
      <c r="E3843" t="s">
        <v>37</v>
      </c>
      <c r="F3843" t="s">
        <v>949</v>
      </c>
      <c r="G3843">
        <v>2</v>
      </c>
      <c r="H3843">
        <v>33</v>
      </c>
      <c r="I3843" s="25">
        <v>1351</v>
      </c>
      <c r="K3843" t="s">
        <v>60</v>
      </c>
      <c r="M3843" t="s">
        <v>52</v>
      </c>
      <c r="N3843" t="s">
        <v>44</v>
      </c>
      <c r="O3843">
        <v>86</v>
      </c>
      <c r="Q3843">
        <v>2</v>
      </c>
      <c r="R3843">
        <v>1</v>
      </c>
      <c r="S3843">
        <v>0</v>
      </c>
      <c r="T3843">
        <v>0</v>
      </c>
      <c r="U3843">
        <v>0</v>
      </c>
      <c r="V3843">
        <v>1</v>
      </c>
      <c r="W3843">
        <v>1</v>
      </c>
      <c r="X3843" s="21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 s="21">
        <v>0</v>
      </c>
      <c r="AE3843" s="21">
        <v>0</v>
      </c>
      <c r="AF3843">
        <v>0</v>
      </c>
      <c r="AG3843">
        <v>0</v>
      </c>
      <c r="AH3843">
        <v>160</v>
      </c>
      <c r="AJ3843" t="s">
        <v>51</v>
      </c>
      <c r="AK3843" t="s">
        <v>95</v>
      </c>
      <c r="AP3843" t="s">
        <v>951</v>
      </c>
    </row>
    <row r="3844" spans="1:42">
      <c r="A3844" s="16">
        <v>43837</v>
      </c>
      <c r="B3844">
        <v>2</v>
      </c>
      <c r="C3844">
        <v>539</v>
      </c>
      <c r="D3844">
        <v>10294</v>
      </c>
      <c r="E3844" t="s">
        <v>37</v>
      </c>
      <c r="F3844" t="s">
        <v>949</v>
      </c>
      <c r="G3844">
        <v>2</v>
      </c>
      <c r="H3844">
        <v>34</v>
      </c>
      <c r="I3844" s="25">
        <v>0</v>
      </c>
      <c r="K3844" t="s">
        <v>417</v>
      </c>
      <c r="M3844" t="s">
        <v>52</v>
      </c>
      <c r="N3844" t="s">
        <v>44</v>
      </c>
      <c r="O3844">
        <v>579</v>
      </c>
      <c r="Q3844">
        <v>4</v>
      </c>
      <c r="R3844">
        <v>1</v>
      </c>
      <c r="S3844">
        <v>0</v>
      </c>
      <c r="T3844">
        <v>0</v>
      </c>
      <c r="U3844">
        <v>0</v>
      </c>
      <c r="V3844">
        <v>0</v>
      </c>
      <c r="W3844">
        <v>0</v>
      </c>
      <c r="X3844" s="21">
        <v>0</v>
      </c>
      <c r="Y3844">
        <v>0</v>
      </c>
      <c r="Z3844">
        <v>0</v>
      </c>
      <c r="AA3844">
        <v>4</v>
      </c>
      <c r="AB3844">
        <v>0</v>
      </c>
      <c r="AC3844">
        <v>0</v>
      </c>
      <c r="AD3844" s="21">
        <v>0</v>
      </c>
      <c r="AE3844" s="21">
        <v>0</v>
      </c>
      <c r="AF3844">
        <v>0</v>
      </c>
      <c r="AG3844">
        <v>0</v>
      </c>
      <c r="AJ3844" t="s">
        <v>51</v>
      </c>
      <c r="AK3844" t="s">
        <v>95</v>
      </c>
      <c r="AL3844" t="s">
        <v>1278</v>
      </c>
      <c r="AP3844" t="s">
        <v>951</v>
      </c>
    </row>
    <row r="3845" spans="1:42">
      <c r="A3845" s="16">
        <v>43837</v>
      </c>
      <c r="B3845">
        <v>2</v>
      </c>
      <c r="C3845">
        <v>539</v>
      </c>
      <c r="D3845">
        <v>10294</v>
      </c>
      <c r="E3845" t="s">
        <v>37</v>
      </c>
      <c r="F3845" t="s">
        <v>949</v>
      </c>
      <c r="G3845">
        <v>2</v>
      </c>
      <c r="H3845">
        <v>35</v>
      </c>
      <c r="I3845" s="25">
        <v>0</v>
      </c>
      <c r="K3845" t="s">
        <v>417</v>
      </c>
      <c r="M3845" t="s">
        <v>52</v>
      </c>
      <c r="N3845" t="s">
        <v>44</v>
      </c>
      <c r="O3845">
        <v>321</v>
      </c>
      <c r="Q3845">
        <v>4</v>
      </c>
      <c r="R3845">
        <v>1</v>
      </c>
      <c r="S3845">
        <v>0</v>
      </c>
      <c r="T3845">
        <v>0</v>
      </c>
      <c r="U3845">
        <v>0</v>
      </c>
      <c r="V3845">
        <v>0</v>
      </c>
      <c r="W3845">
        <v>0</v>
      </c>
      <c r="X3845" s="21">
        <v>0</v>
      </c>
      <c r="Y3845">
        <v>0</v>
      </c>
      <c r="Z3845">
        <v>0</v>
      </c>
      <c r="AA3845">
        <v>4</v>
      </c>
      <c r="AB3845">
        <v>0</v>
      </c>
      <c r="AC3845">
        <v>0</v>
      </c>
      <c r="AD3845" s="21">
        <v>0</v>
      </c>
      <c r="AE3845" s="21">
        <v>0</v>
      </c>
      <c r="AF3845">
        <v>0</v>
      </c>
      <c r="AG3845">
        <v>0</v>
      </c>
      <c r="AJ3845" t="s">
        <v>51</v>
      </c>
      <c r="AK3845" t="s">
        <v>95</v>
      </c>
      <c r="AP3845" t="s">
        <v>951</v>
      </c>
    </row>
    <row r="3846" spans="1:42">
      <c r="A3846" s="16">
        <v>43837</v>
      </c>
      <c r="B3846">
        <v>2</v>
      </c>
      <c r="C3846">
        <v>539</v>
      </c>
      <c r="D3846">
        <v>10294</v>
      </c>
      <c r="E3846" t="s">
        <v>37</v>
      </c>
      <c r="F3846" t="s">
        <v>949</v>
      </c>
      <c r="G3846">
        <v>2</v>
      </c>
      <c r="H3846">
        <v>36</v>
      </c>
      <c r="I3846" s="25">
        <v>661</v>
      </c>
      <c r="K3846" t="s">
        <v>1279</v>
      </c>
      <c r="M3846" t="s">
        <v>52</v>
      </c>
      <c r="N3846" t="s">
        <v>44</v>
      </c>
      <c r="O3846">
        <v>72</v>
      </c>
      <c r="Q3846">
        <v>1</v>
      </c>
      <c r="R3846">
        <v>1</v>
      </c>
      <c r="S3846">
        <v>0</v>
      </c>
      <c r="T3846">
        <v>0</v>
      </c>
      <c r="U3846">
        <v>0</v>
      </c>
      <c r="V3846">
        <v>0</v>
      </c>
      <c r="W3846">
        <v>1</v>
      </c>
      <c r="X3846" s="21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 s="21">
        <v>0</v>
      </c>
      <c r="AE3846" s="21">
        <v>0</v>
      </c>
      <c r="AF3846">
        <v>0</v>
      </c>
      <c r="AG3846">
        <v>0</v>
      </c>
      <c r="AH3846">
        <v>96</v>
      </c>
      <c r="AJ3846" t="s">
        <v>51</v>
      </c>
      <c r="AK3846" t="s">
        <v>95</v>
      </c>
      <c r="AP3846" t="s">
        <v>951</v>
      </c>
    </row>
    <row r="3847" spans="1:42">
      <c r="A3847" s="16">
        <v>43837</v>
      </c>
      <c r="B3847">
        <v>2</v>
      </c>
      <c r="C3847">
        <v>539</v>
      </c>
      <c r="D3847">
        <v>10294</v>
      </c>
      <c r="E3847" t="s">
        <v>37</v>
      </c>
      <c r="F3847" t="s">
        <v>949</v>
      </c>
      <c r="G3847">
        <v>2</v>
      </c>
      <c r="H3847">
        <v>37</v>
      </c>
      <c r="I3847" s="25">
        <v>2750</v>
      </c>
      <c r="K3847" t="s">
        <v>415</v>
      </c>
      <c r="M3847" t="s">
        <v>52</v>
      </c>
      <c r="N3847" t="s">
        <v>44</v>
      </c>
      <c r="O3847">
        <v>167</v>
      </c>
      <c r="Q3847">
        <v>1</v>
      </c>
      <c r="R3847">
        <v>1</v>
      </c>
      <c r="S3847">
        <v>0</v>
      </c>
      <c r="T3847">
        <v>0</v>
      </c>
      <c r="U3847">
        <v>0</v>
      </c>
      <c r="V3847">
        <v>0</v>
      </c>
      <c r="W3847">
        <v>0</v>
      </c>
      <c r="X3847" s="21">
        <v>0</v>
      </c>
      <c r="Y3847">
        <v>0</v>
      </c>
      <c r="Z3847">
        <v>0</v>
      </c>
      <c r="AA3847">
        <v>1</v>
      </c>
      <c r="AB3847">
        <v>0</v>
      </c>
      <c r="AC3847">
        <v>0</v>
      </c>
      <c r="AD3847" s="21">
        <v>0</v>
      </c>
      <c r="AE3847" s="21">
        <v>0</v>
      </c>
      <c r="AF3847">
        <v>0</v>
      </c>
      <c r="AG3847">
        <v>0</v>
      </c>
      <c r="AJ3847" t="s">
        <v>51</v>
      </c>
      <c r="AK3847" t="s">
        <v>95</v>
      </c>
      <c r="AP3847" t="s">
        <v>951</v>
      </c>
    </row>
    <row r="3848" spans="1:42">
      <c r="A3848" s="16">
        <v>43837</v>
      </c>
      <c r="B3848">
        <v>2</v>
      </c>
      <c r="C3848">
        <v>539</v>
      </c>
      <c r="D3848">
        <v>10294</v>
      </c>
      <c r="E3848" t="s">
        <v>37</v>
      </c>
      <c r="F3848" t="s">
        <v>949</v>
      </c>
      <c r="G3848">
        <v>2</v>
      </c>
      <c r="H3848">
        <v>38</v>
      </c>
      <c r="I3848" s="25">
        <v>1359</v>
      </c>
      <c r="K3848" t="s">
        <v>69</v>
      </c>
      <c r="M3848" t="s">
        <v>52</v>
      </c>
      <c r="N3848" t="s">
        <v>44</v>
      </c>
      <c r="O3848">
        <v>0</v>
      </c>
      <c r="Q3848">
        <v>0</v>
      </c>
      <c r="R3848">
        <v>1</v>
      </c>
      <c r="S3848">
        <v>0</v>
      </c>
      <c r="T3848">
        <v>0</v>
      </c>
      <c r="U3848">
        <v>0</v>
      </c>
      <c r="V3848">
        <v>0</v>
      </c>
      <c r="W3848">
        <v>0</v>
      </c>
      <c r="X3848" s="21">
        <v>0</v>
      </c>
      <c r="Y3848">
        <v>0</v>
      </c>
      <c r="Z3848">
        <v>0</v>
      </c>
      <c r="AA3848">
        <v>1</v>
      </c>
      <c r="AB3848">
        <v>0</v>
      </c>
      <c r="AC3848">
        <v>0</v>
      </c>
      <c r="AD3848" s="21">
        <v>0</v>
      </c>
      <c r="AE3848" s="21">
        <v>0</v>
      </c>
      <c r="AF3848">
        <v>0</v>
      </c>
      <c r="AG3848">
        <v>0</v>
      </c>
      <c r="AJ3848" t="s">
        <v>51</v>
      </c>
      <c r="AK3848" t="s">
        <v>95</v>
      </c>
      <c r="AL3848" t="s">
        <v>1280</v>
      </c>
      <c r="AP3848" t="s">
        <v>951</v>
      </c>
    </row>
    <row r="3849" spans="1:42">
      <c r="A3849" s="16">
        <v>43837</v>
      </c>
      <c r="B3849">
        <v>2</v>
      </c>
      <c r="C3849">
        <v>539</v>
      </c>
      <c r="D3849">
        <v>10294</v>
      </c>
      <c r="E3849" t="s">
        <v>37</v>
      </c>
      <c r="F3849" t="s">
        <v>949</v>
      </c>
      <c r="G3849">
        <v>2</v>
      </c>
      <c r="H3849">
        <v>39</v>
      </c>
      <c r="I3849" s="25">
        <v>6045</v>
      </c>
      <c r="K3849" t="s">
        <v>415</v>
      </c>
      <c r="M3849" t="s">
        <v>52</v>
      </c>
      <c r="N3849" t="s">
        <v>44</v>
      </c>
      <c r="O3849">
        <v>351</v>
      </c>
      <c r="Q3849">
        <v>1</v>
      </c>
      <c r="R3849">
        <v>1</v>
      </c>
      <c r="S3849">
        <v>0</v>
      </c>
      <c r="T3849">
        <v>0</v>
      </c>
      <c r="U3849">
        <v>0</v>
      </c>
      <c r="V3849">
        <v>0</v>
      </c>
      <c r="W3849">
        <v>0</v>
      </c>
      <c r="X3849" s="21">
        <v>0</v>
      </c>
      <c r="Y3849">
        <v>0</v>
      </c>
      <c r="Z3849">
        <v>0</v>
      </c>
      <c r="AA3849">
        <v>1</v>
      </c>
      <c r="AB3849">
        <v>0</v>
      </c>
      <c r="AC3849">
        <v>0</v>
      </c>
      <c r="AD3849" s="21">
        <v>0</v>
      </c>
      <c r="AE3849" s="21">
        <v>0</v>
      </c>
      <c r="AF3849">
        <v>0</v>
      </c>
      <c r="AG3849">
        <v>0</v>
      </c>
      <c r="AJ3849" t="s">
        <v>51</v>
      </c>
      <c r="AK3849" t="s">
        <v>95</v>
      </c>
      <c r="AL3849" t="s">
        <v>1281</v>
      </c>
      <c r="AP3849" t="s">
        <v>951</v>
      </c>
    </row>
    <row r="3850" spans="1:42">
      <c r="A3850" s="16">
        <v>43837</v>
      </c>
      <c r="B3850">
        <v>2</v>
      </c>
      <c r="C3850">
        <v>539</v>
      </c>
      <c r="D3850">
        <v>10294</v>
      </c>
      <c r="E3850" t="s">
        <v>37</v>
      </c>
      <c r="F3850" t="s">
        <v>949</v>
      </c>
      <c r="G3850">
        <v>2</v>
      </c>
      <c r="H3850">
        <v>40</v>
      </c>
      <c r="I3850" s="25">
        <v>1480</v>
      </c>
      <c r="K3850" t="s">
        <v>49</v>
      </c>
      <c r="M3850" t="s">
        <v>52</v>
      </c>
      <c r="N3850" t="s">
        <v>44</v>
      </c>
      <c r="O3850">
        <v>372</v>
      </c>
      <c r="Q3850">
        <v>1</v>
      </c>
      <c r="R3850">
        <v>1</v>
      </c>
      <c r="S3850">
        <v>0</v>
      </c>
      <c r="T3850">
        <v>0</v>
      </c>
      <c r="U3850">
        <v>0</v>
      </c>
      <c r="V3850">
        <v>0</v>
      </c>
      <c r="W3850">
        <v>0</v>
      </c>
      <c r="X3850" s="21">
        <v>0</v>
      </c>
      <c r="Y3850">
        <v>0</v>
      </c>
      <c r="Z3850">
        <v>0</v>
      </c>
      <c r="AA3850">
        <v>1</v>
      </c>
      <c r="AB3850">
        <v>0</v>
      </c>
      <c r="AC3850">
        <v>0</v>
      </c>
      <c r="AD3850" s="21">
        <v>0</v>
      </c>
      <c r="AE3850" s="21">
        <v>0</v>
      </c>
      <c r="AF3850">
        <v>0</v>
      </c>
      <c r="AG3850">
        <v>0</v>
      </c>
      <c r="AJ3850" t="s">
        <v>51</v>
      </c>
      <c r="AK3850" t="s">
        <v>95</v>
      </c>
      <c r="AP3850" t="s">
        <v>951</v>
      </c>
    </row>
    <row r="3851" spans="1:42">
      <c r="A3851" s="16">
        <v>43837</v>
      </c>
      <c r="B3851">
        <v>2</v>
      </c>
      <c r="C3851">
        <v>539</v>
      </c>
      <c r="D3851">
        <v>10294</v>
      </c>
      <c r="E3851" t="s">
        <v>37</v>
      </c>
      <c r="F3851" t="s">
        <v>949</v>
      </c>
      <c r="G3851">
        <v>2</v>
      </c>
      <c r="H3851">
        <v>41</v>
      </c>
      <c r="I3851" s="25">
        <v>901</v>
      </c>
      <c r="K3851" t="s">
        <v>415</v>
      </c>
      <c r="M3851" t="s">
        <v>52</v>
      </c>
      <c r="N3851" t="s">
        <v>44</v>
      </c>
      <c r="O3851">
        <v>141</v>
      </c>
      <c r="Q3851">
        <v>1</v>
      </c>
      <c r="R3851">
        <v>1</v>
      </c>
      <c r="S3851">
        <v>0</v>
      </c>
      <c r="T3851">
        <v>0</v>
      </c>
      <c r="U3851">
        <v>0</v>
      </c>
      <c r="V3851">
        <v>0</v>
      </c>
      <c r="W3851">
        <v>0</v>
      </c>
      <c r="X3851" s="21">
        <v>0</v>
      </c>
      <c r="Y3851">
        <v>0</v>
      </c>
      <c r="Z3851">
        <v>0</v>
      </c>
      <c r="AA3851">
        <v>1</v>
      </c>
      <c r="AB3851">
        <v>0</v>
      </c>
      <c r="AC3851">
        <v>0</v>
      </c>
      <c r="AD3851" s="21">
        <v>0</v>
      </c>
      <c r="AE3851" s="21">
        <v>0</v>
      </c>
      <c r="AF3851">
        <v>0</v>
      </c>
      <c r="AG3851">
        <v>0</v>
      </c>
      <c r="AJ3851" t="s">
        <v>54</v>
      </c>
      <c r="AK3851" t="s">
        <v>95</v>
      </c>
      <c r="AL3851" t="s">
        <v>1282</v>
      </c>
      <c r="AP3851" t="s">
        <v>951</v>
      </c>
    </row>
    <row r="3852" spans="1:42">
      <c r="A3852" s="16">
        <v>43837</v>
      </c>
      <c r="B3852">
        <v>2</v>
      </c>
      <c r="C3852">
        <v>539</v>
      </c>
      <c r="D3852">
        <v>10294</v>
      </c>
      <c r="E3852" t="s">
        <v>37</v>
      </c>
      <c r="F3852" t="s">
        <v>949</v>
      </c>
      <c r="G3852">
        <v>2</v>
      </c>
      <c r="H3852">
        <v>42</v>
      </c>
      <c r="I3852" s="25">
        <v>901</v>
      </c>
      <c r="K3852" t="s">
        <v>415</v>
      </c>
      <c r="M3852" t="s">
        <v>52</v>
      </c>
      <c r="N3852" t="s">
        <v>44</v>
      </c>
      <c r="O3852">
        <v>325</v>
      </c>
      <c r="Q3852">
        <v>1</v>
      </c>
      <c r="R3852">
        <v>1</v>
      </c>
      <c r="S3852">
        <v>0</v>
      </c>
      <c r="T3852">
        <v>0</v>
      </c>
      <c r="U3852">
        <v>0</v>
      </c>
      <c r="V3852">
        <v>0</v>
      </c>
      <c r="W3852">
        <v>0</v>
      </c>
      <c r="X3852" s="21">
        <v>0</v>
      </c>
      <c r="Y3852">
        <v>0</v>
      </c>
      <c r="Z3852">
        <v>0</v>
      </c>
      <c r="AA3852">
        <v>1</v>
      </c>
      <c r="AB3852">
        <v>0</v>
      </c>
      <c r="AC3852">
        <v>0</v>
      </c>
      <c r="AD3852" s="21">
        <v>0</v>
      </c>
      <c r="AE3852" s="21">
        <v>0</v>
      </c>
      <c r="AF3852">
        <v>3</v>
      </c>
      <c r="AG3852">
        <v>0</v>
      </c>
      <c r="AJ3852" t="s">
        <v>54</v>
      </c>
      <c r="AK3852" t="s">
        <v>95</v>
      </c>
      <c r="AL3852" t="s">
        <v>1283</v>
      </c>
      <c r="AP3852" t="s">
        <v>951</v>
      </c>
    </row>
    <row r="3853" spans="1:42">
      <c r="A3853" s="16">
        <v>43837</v>
      </c>
      <c r="B3853">
        <v>2</v>
      </c>
      <c r="C3853">
        <v>539</v>
      </c>
      <c r="D3853">
        <v>10294</v>
      </c>
      <c r="E3853" t="s">
        <v>37</v>
      </c>
      <c r="F3853" t="s">
        <v>949</v>
      </c>
      <c r="G3853">
        <v>2</v>
      </c>
      <c r="H3853">
        <v>43</v>
      </c>
      <c r="I3853" s="25">
        <v>1160</v>
      </c>
      <c r="K3853" t="s">
        <v>53</v>
      </c>
      <c r="M3853" t="s">
        <v>52</v>
      </c>
      <c r="N3853" t="s">
        <v>44</v>
      </c>
      <c r="O3853">
        <v>238</v>
      </c>
      <c r="Q3853">
        <v>1</v>
      </c>
      <c r="R3853">
        <v>1</v>
      </c>
      <c r="S3853">
        <v>0</v>
      </c>
      <c r="T3853">
        <v>0</v>
      </c>
      <c r="U3853">
        <v>0</v>
      </c>
      <c r="V3853">
        <v>0</v>
      </c>
      <c r="W3853">
        <v>0</v>
      </c>
      <c r="X3853" s="21">
        <v>0</v>
      </c>
      <c r="Y3853">
        <v>0</v>
      </c>
      <c r="Z3853">
        <v>0</v>
      </c>
      <c r="AA3853">
        <v>1</v>
      </c>
      <c r="AB3853">
        <v>0</v>
      </c>
      <c r="AC3853">
        <v>0</v>
      </c>
      <c r="AD3853" s="21">
        <v>0</v>
      </c>
      <c r="AE3853" s="21">
        <v>0</v>
      </c>
      <c r="AF3853">
        <v>0</v>
      </c>
      <c r="AG3853">
        <v>0</v>
      </c>
      <c r="AJ3853" t="s">
        <v>54</v>
      </c>
      <c r="AK3853" t="s">
        <v>52</v>
      </c>
      <c r="AL3853" t="s">
        <v>1284</v>
      </c>
      <c r="AP3853" t="s">
        <v>951</v>
      </c>
    </row>
    <row r="3854" spans="1:42">
      <c r="A3854" s="16">
        <v>43838</v>
      </c>
      <c r="B3854">
        <v>3</v>
      </c>
      <c r="C3854">
        <v>982</v>
      </c>
      <c r="D3854">
        <v>10418</v>
      </c>
      <c r="E3854" t="s">
        <v>37</v>
      </c>
      <c r="F3854" t="s">
        <v>949</v>
      </c>
      <c r="G3854">
        <v>2</v>
      </c>
      <c r="H3854">
        <v>1</v>
      </c>
      <c r="I3854" s="25">
        <v>1001</v>
      </c>
      <c r="K3854" t="s">
        <v>414</v>
      </c>
      <c r="L3854" t="s">
        <v>114</v>
      </c>
      <c r="M3854" t="s">
        <v>52</v>
      </c>
      <c r="N3854" t="s">
        <v>40</v>
      </c>
      <c r="O3854">
        <v>59</v>
      </c>
      <c r="Q3854">
        <v>2</v>
      </c>
      <c r="R3854">
        <v>1</v>
      </c>
      <c r="S3854">
        <v>0</v>
      </c>
      <c r="T3854">
        <v>0</v>
      </c>
      <c r="U3854">
        <v>0</v>
      </c>
      <c r="V3854">
        <v>0</v>
      </c>
      <c r="W3854">
        <v>2</v>
      </c>
      <c r="X3854" s="21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 s="21">
        <v>0</v>
      </c>
      <c r="AE3854" s="21">
        <v>0</v>
      </c>
      <c r="AF3854">
        <v>0</v>
      </c>
      <c r="AG3854">
        <v>0</v>
      </c>
      <c r="AH3854">
        <v>192</v>
      </c>
      <c r="AJ3854" t="s">
        <v>51</v>
      </c>
      <c r="AK3854" t="s">
        <v>95</v>
      </c>
      <c r="AL3854" t="s">
        <v>1285</v>
      </c>
      <c r="AP3854" t="s">
        <v>951</v>
      </c>
    </row>
    <row r="3855" spans="1:42">
      <c r="A3855" s="16">
        <v>43838</v>
      </c>
      <c r="B3855">
        <v>3</v>
      </c>
      <c r="C3855">
        <v>982</v>
      </c>
      <c r="D3855">
        <v>10418</v>
      </c>
      <c r="E3855" t="s">
        <v>37</v>
      </c>
      <c r="F3855" t="s">
        <v>949</v>
      </c>
      <c r="G3855">
        <v>2</v>
      </c>
      <c r="H3855">
        <v>2</v>
      </c>
      <c r="I3855" s="25">
        <v>1036</v>
      </c>
      <c r="K3855" t="s">
        <v>414</v>
      </c>
      <c r="M3855" t="s">
        <v>95</v>
      </c>
      <c r="N3855" t="s">
        <v>44</v>
      </c>
      <c r="O3855">
        <v>138</v>
      </c>
      <c r="Q3855">
        <v>2</v>
      </c>
      <c r="R3855">
        <v>1</v>
      </c>
      <c r="S3855">
        <v>0</v>
      </c>
      <c r="T3855">
        <v>0</v>
      </c>
      <c r="U3855">
        <v>0</v>
      </c>
      <c r="V3855">
        <v>0</v>
      </c>
      <c r="W3855">
        <v>2</v>
      </c>
      <c r="X3855" s="21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 s="21">
        <v>0</v>
      </c>
      <c r="AE3855" s="21">
        <v>0</v>
      </c>
      <c r="AF3855">
        <v>0</v>
      </c>
      <c r="AG3855">
        <v>0</v>
      </c>
      <c r="AJ3855" t="s">
        <v>51</v>
      </c>
      <c r="AK3855" t="s">
        <v>95</v>
      </c>
      <c r="AL3855" t="s">
        <v>1285</v>
      </c>
      <c r="AP3855" t="s">
        <v>951</v>
      </c>
    </row>
    <row r="3856" spans="1:42">
      <c r="A3856" s="16">
        <v>43838</v>
      </c>
      <c r="B3856">
        <v>3</v>
      </c>
      <c r="C3856">
        <v>982</v>
      </c>
      <c r="D3856">
        <v>10418</v>
      </c>
      <c r="E3856" t="s">
        <v>37</v>
      </c>
      <c r="F3856" t="s">
        <v>949</v>
      </c>
      <c r="G3856">
        <v>2</v>
      </c>
      <c r="H3856">
        <v>3</v>
      </c>
      <c r="I3856" s="25">
        <v>990</v>
      </c>
      <c r="K3856" t="s">
        <v>74</v>
      </c>
      <c r="M3856" t="s">
        <v>95</v>
      </c>
      <c r="N3856" t="s">
        <v>44</v>
      </c>
      <c r="O3856">
        <v>218</v>
      </c>
      <c r="Q3856">
        <v>4</v>
      </c>
      <c r="R3856">
        <v>1</v>
      </c>
      <c r="S3856">
        <v>0</v>
      </c>
      <c r="T3856">
        <v>0</v>
      </c>
      <c r="U3856">
        <v>0</v>
      </c>
      <c r="V3856">
        <v>0</v>
      </c>
      <c r="W3856">
        <v>4</v>
      </c>
      <c r="X3856" s="21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 s="21">
        <v>0</v>
      </c>
      <c r="AE3856" s="21">
        <v>0</v>
      </c>
      <c r="AF3856">
        <v>0</v>
      </c>
      <c r="AG3856">
        <v>0</v>
      </c>
      <c r="AH3856">
        <v>384</v>
      </c>
      <c r="AJ3856" t="s">
        <v>51</v>
      </c>
      <c r="AK3856" t="s">
        <v>95</v>
      </c>
      <c r="AL3856" t="s">
        <v>1286</v>
      </c>
      <c r="AP3856" t="s">
        <v>951</v>
      </c>
    </row>
    <row r="3857" spans="1:42">
      <c r="A3857" s="16">
        <v>43838</v>
      </c>
      <c r="B3857">
        <v>3</v>
      </c>
      <c r="C3857">
        <v>982</v>
      </c>
      <c r="D3857">
        <v>10418</v>
      </c>
      <c r="E3857" t="s">
        <v>37</v>
      </c>
      <c r="F3857" t="s">
        <v>949</v>
      </c>
      <c r="G3857">
        <v>2</v>
      </c>
      <c r="H3857">
        <v>4</v>
      </c>
      <c r="I3857" s="25">
        <v>970</v>
      </c>
      <c r="K3857" t="s">
        <v>74</v>
      </c>
      <c r="L3857" t="s">
        <v>114</v>
      </c>
      <c r="M3857" t="s">
        <v>52</v>
      </c>
      <c r="N3857" t="s">
        <v>40</v>
      </c>
      <c r="O3857">
        <v>25</v>
      </c>
      <c r="Q3857">
        <v>1</v>
      </c>
      <c r="R3857">
        <v>1</v>
      </c>
      <c r="S3857">
        <v>0</v>
      </c>
      <c r="T3857">
        <v>0</v>
      </c>
      <c r="U3857">
        <v>0</v>
      </c>
      <c r="V3857">
        <v>0</v>
      </c>
      <c r="W3857">
        <v>1</v>
      </c>
      <c r="X3857" s="21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 s="21">
        <v>0</v>
      </c>
      <c r="AE3857" s="21">
        <v>0</v>
      </c>
      <c r="AF3857">
        <v>0</v>
      </c>
      <c r="AG3857">
        <v>0</v>
      </c>
      <c r="AH3857">
        <v>96</v>
      </c>
      <c r="AJ3857" t="s">
        <v>51</v>
      </c>
      <c r="AK3857" t="s">
        <v>95</v>
      </c>
      <c r="AL3857" t="s">
        <v>1285</v>
      </c>
      <c r="AP3857" t="s">
        <v>951</v>
      </c>
    </row>
    <row r="3858" spans="1:42">
      <c r="A3858" s="16">
        <v>43838</v>
      </c>
      <c r="B3858">
        <v>3</v>
      </c>
      <c r="C3858">
        <v>982</v>
      </c>
      <c r="D3858">
        <v>10418</v>
      </c>
      <c r="E3858" t="s">
        <v>37</v>
      </c>
      <c r="F3858" t="s">
        <v>949</v>
      </c>
      <c r="G3858">
        <v>2</v>
      </c>
      <c r="H3858">
        <v>5</v>
      </c>
      <c r="I3858" s="25">
        <v>936</v>
      </c>
      <c r="K3858" t="s">
        <v>74</v>
      </c>
      <c r="M3858" t="s">
        <v>52</v>
      </c>
      <c r="N3858" t="s">
        <v>44</v>
      </c>
      <c r="O3858">
        <v>85</v>
      </c>
      <c r="Q3858">
        <v>1</v>
      </c>
      <c r="R3858">
        <v>1</v>
      </c>
      <c r="S3858">
        <v>0</v>
      </c>
      <c r="T3858">
        <v>0</v>
      </c>
      <c r="U3858">
        <v>0</v>
      </c>
      <c r="V3858">
        <v>0</v>
      </c>
      <c r="W3858">
        <v>1</v>
      </c>
      <c r="X3858" s="21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 s="21">
        <v>0</v>
      </c>
      <c r="AE3858" s="21">
        <v>0</v>
      </c>
      <c r="AF3858">
        <v>0</v>
      </c>
      <c r="AG3858">
        <v>0</v>
      </c>
      <c r="AH3858">
        <v>96</v>
      </c>
      <c r="AJ3858" t="s">
        <v>51</v>
      </c>
      <c r="AK3858" t="s">
        <v>95</v>
      </c>
      <c r="AL3858" t="s">
        <v>1285</v>
      </c>
      <c r="AP3858" t="s">
        <v>951</v>
      </c>
    </row>
    <row r="3859" spans="1:42">
      <c r="A3859" s="16">
        <v>43838</v>
      </c>
      <c r="B3859">
        <v>3</v>
      </c>
      <c r="C3859">
        <v>982</v>
      </c>
      <c r="D3859">
        <v>10418</v>
      </c>
      <c r="E3859" t="s">
        <v>37</v>
      </c>
      <c r="F3859" t="s">
        <v>949</v>
      </c>
      <c r="G3859">
        <v>2</v>
      </c>
      <c r="H3859">
        <v>6</v>
      </c>
      <c r="I3859" s="25">
        <v>0</v>
      </c>
      <c r="K3859" t="s">
        <v>1052</v>
      </c>
      <c r="L3859" t="s">
        <v>114</v>
      </c>
      <c r="M3859" t="s">
        <v>52</v>
      </c>
      <c r="N3859" t="s">
        <v>40</v>
      </c>
      <c r="O3859">
        <v>35</v>
      </c>
      <c r="Q3859">
        <v>1</v>
      </c>
      <c r="R3859">
        <v>1</v>
      </c>
      <c r="S3859">
        <v>0</v>
      </c>
      <c r="T3859">
        <v>0</v>
      </c>
      <c r="U3859">
        <v>0</v>
      </c>
      <c r="V3859">
        <v>0</v>
      </c>
      <c r="W3859">
        <v>1</v>
      </c>
      <c r="X3859" s="21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 s="21">
        <v>0</v>
      </c>
      <c r="AE3859" s="21">
        <v>0</v>
      </c>
      <c r="AF3859">
        <v>0</v>
      </c>
      <c r="AG3859">
        <v>0</v>
      </c>
      <c r="AH3859">
        <v>96</v>
      </c>
      <c r="AJ3859" t="s">
        <v>51</v>
      </c>
      <c r="AK3859" t="s">
        <v>52</v>
      </c>
      <c r="AP3859" t="s">
        <v>951</v>
      </c>
    </row>
    <row r="3860" spans="1:42">
      <c r="A3860" s="16">
        <v>43838</v>
      </c>
      <c r="B3860">
        <v>3</v>
      </c>
      <c r="C3860">
        <v>982</v>
      </c>
      <c r="D3860">
        <v>10418</v>
      </c>
      <c r="E3860" t="s">
        <v>37</v>
      </c>
      <c r="F3860" t="s">
        <v>949</v>
      </c>
      <c r="G3860">
        <v>2</v>
      </c>
      <c r="H3860">
        <v>7</v>
      </c>
      <c r="I3860" s="25">
        <v>1000</v>
      </c>
      <c r="K3860" t="s">
        <v>420</v>
      </c>
      <c r="L3860" t="s">
        <v>114</v>
      </c>
      <c r="M3860" t="s">
        <v>52</v>
      </c>
      <c r="N3860" t="s">
        <v>40</v>
      </c>
      <c r="O3860">
        <v>74</v>
      </c>
      <c r="Q3860">
        <v>2</v>
      </c>
      <c r="R3860">
        <v>1</v>
      </c>
      <c r="S3860">
        <v>0</v>
      </c>
      <c r="T3860">
        <v>0</v>
      </c>
      <c r="U3860">
        <v>0</v>
      </c>
      <c r="V3860">
        <v>0</v>
      </c>
      <c r="W3860">
        <v>2</v>
      </c>
      <c r="X3860" s="21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 s="21">
        <v>0</v>
      </c>
      <c r="AE3860" s="21">
        <v>0</v>
      </c>
      <c r="AF3860">
        <v>0</v>
      </c>
      <c r="AG3860">
        <v>0</v>
      </c>
      <c r="AH3860">
        <v>192</v>
      </c>
      <c r="AJ3860" t="s">
        <v>51</v>
      </c>
      <c r="AK3860" t="s">
        <v>52</v>
      </c>
      <c r="AP3860" t="s">
        <v>951</v>
      </c>
    </row>
    <row r="3861" spans="1:42">
      <c r="A3861" s="16">
        <v>43838</v>
      </c>
      <c r="B3861">
        <v>3</v>
      </c>
      <c r="C3861">
        <v>982</v>
      </c>
      <c r="D3861">
        <v>10418</v>
      </c>
      <c r="E3861" t="s">
        <v>37</v>
      </c>
      <c r="F3861" t="s">
        <v>949</v>
      </c>
      <c r="G3861">
        <v>2</v>
      </c>
      <c r="H3861">
        <v>8</v>
      </c>
      <c r="I3861" s="25">
        <v>1114</v>
      </c>
      <c r="K3861" t="s">
        <v>49</v>
      </c>
      <c r="M3861" t="s">
        <v>52</v>
      </c>
      <c r="N3861" t="s">
        <v>44</v>
      </c>
      <c r="O3861">
        <v>109</v>
      </c>
      <c r="Q3861">
        <v>2</v>
      </c>
      <c r="R3861">
        <v>1</v>
      </c>
      <c r="S3861">
        <v>0</v>
      </c>
      <c r="T3861">
        <v>0</v>
      </c>
      <c r="U3861">
        <v>0</v>
      </c>
      <c r="V3861">
        <v>0</v>
      </c>
      <c r="W3861">
        <v>2</v>
      </c>
      <c r="X3861" s="2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 s="21">
        <v>0</v>
      </c>
      <c r="AE3861" s="21">
        <v>0</v>
      </c>
      <c r="AF3861">
        <v>0</v>
      </c>
      <c r="AG3861">
        <v>0</v>
      </c>
      <c r="AH3861">
        <v>192</v>
      </c>
      <c r="AJ3861" t="s">
        <v>51</v>
      </c>
      <c r="AK3861" t="s">
        <v>52</v>
      </c>
      <c r="AP3861" t="s">
        <v>951</v>
      </c>
    </row>
    <row r="3862" spans="1:42">
      <c r="A3862" s="16">
        <v>43838</v>
      </c>
      <c r="B3862">
        <v>3</v>
      </c>
      <c r="C3862">
        <v>982</v>
      </c>
      <c r="D3862">
        <v>10418</v>
      </c>
      <c r="E3862" t="s">
        <v>37</v>
      </c>
      <c r="F3862" t="s">
        <v>949</v>
      </c>
      <c r="G3862">
        <v>2</v>
      </c>
      <c r="H3862">
        <v>9</v>
      </c>
      <c r="I3862" s="25">
        <v>1100</v>
      </c>
      <c r="K3862" t="s">
        <v>49</v>
      </c>
      <c r="L3862" t="s">
        <v>114</v>
      </c>
      <c r="M3862" t="s">
        <v>52</v>
      </c>
      <c r="N3862" t="s">
        <v>40</v>
      </c>
      <c r="O3862">
        <v>124</v>
      </c>
      <c r="Q3862">
        <v>4</v>
      </c>
      <c r="R3862">
        <v>1</v>
      </c>
      <c r="S3862">
        <v>0</v>
      </c>
      <c r="T3862">
        <v>0</v>
      </c>
      <c r="U3862">
        <v>0</v>
      </c>
      <c r="V3862">
        <v>4</v>
      </c>
      <c r="W3862">
        <v>0</v>
      </c>
      <c r="X3862" s="21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 s="21">
        <v>0</v>
      </c>
      <c r="AE3862" s="21">
        <v>0</v>
      </c>
      <c r="AF3862">
        <v>0</v>
      </c>
      <c r="AG3862">
        <v>0</v>
      </c>
      <c r="AH3862">
        <v>256</v>
      </c>
      <c r="AJ3862" t="s">
        <v>51</v>
      </c>
      <c r="AK3862" t="s">
        <v>95</v>
      </c>
      <c r="AP3862" t="s">
        <v>951</v>
      </c>
    </row>
    <row r="3863" spans="1:42">
      <c r="A3863" s="16">
        <v>43838</v>
      </c>
      <c r="B3863">
        <v>3</v>
      </c>
      <c r="C3863">
        <v>982</v>
      </c>
      <c r="D3863">
        <v>10418</v>
      </c>
      <c r="E3863" t="s">
        <v>37</v>
      </c>
      <c r="F3863" t="s">
        <v>949</v>
      </c>
      <c r="G3863">
        <v>2</v>
      </c>
      <c r="H3863">
        <v>10</v>
      </c>
      <c r="I3863" s="25">
        <v>1086</v>
      </c>
      <c r="K3863" t="s">
        <v>53</v>
      </c>
      <c r="M3863" t="s">
        <v>52</v>
      </c>
      <c r="N3863" t="s">
        <v>44</v>
      </c>
      <c r="O3863">
        <v>135</v>
      </c>
      <c r="Q3863">
        <v>4</v>
      </c>
      <c r="R3863">
        <v>1</v>
      </c>
      <c r="S3863">
        <v>0</v>
      </c>
      <c r="T3863">
        <v>0</v>
      </c>
      <c r="U3863">
        <v>0</v>
      </c>
      <c r="V3863">
        <v>0</v>
      </c>
      <c r="W3863">
        <v>4</v>
      </c>
      <c r="X3863" s="21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 s="21">
        <v>0</v>
      </c>
      <c r="AE3863" s="21">
        <v>0</v>
      </c>
      <c r="AF3863">
        <v>0</v>
      </c>
      <c r="AG3863">
        <v>0</v>
      </c>
      <c r="AH3863">
        <v>384</v>
      </c>
      <c r="AJ3863" t="s">
        <v>51</v>
      </c>
      <c r="AK3863" t="s">
        <v>95</v>
      </c>
      <c r="AL3863" t="s">
        <v>1287</v>
      </c>
      <c r="AP3863" t="s">
        <v>951</v>
      </c>
    </row>
    <row r="3864" spans="1:42">
      <c r="A3864" s="16">
        <v>43838</v>
      </c>
      <c r="B3864">
        <v>3</v>
      </c>
      <c r="C3864">
        <v>982</v>
      </c>
      <c r="D3864">
        <v>10418</v>
      </c>
      <c r="E3864" t="s">
        <v>37</v>
      </c>
      <c r="F3864" t="s">
        <v>949</v>
      </c>
      <c r="G3864">
        <v>2</v>
      </c>
      <c r="H3864">
        <v>11</v>
      </c>
      <c r="I3864" s="25">
        <v>1080</v>
      </c>
      <c r="K3864" t="s">
        <v>53</v>
      </c>
      <c r="M3864" t="s">
        <v>52</v>
      </c>
      <c r="N3864" t="s">
        <v>44</v>
      </c>
      <c r="O3864">
        <v>175</v>
      </c>
      <c r="Q3864">
        <v>4</v>
      </c>
      <c r="R3864">
        <v>1</v>
      </c>
      <c r="S3864">
        <v>0</v>
      </c>
      <c r="T3864">
        <v>0</v>
      </c>
      <c r="U3864">
        <v>0</v>
      </c>
      <c r="V3864">
        <v>0</v>
      </c>
      <c r="W3864">
        <v>4</v>
      </c>
      <c r="X3864" s="21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 s="21">
        <v>0</v>
      </c>
      <c r="AE3864" s="21">
        <v>0</v>
      </c>
      <c r="AF3864">
        <v>0</v>
      </c>
      <c r="AG3864">
        <v>0</v>
      </c>
      <c r="AH3864">
        <v>384</v>
      </c>
      <c r="AJ3864" t="s">
        <v>51</v>
      </c>
      <c r="AK3864" t="s">
        <v>52</v>
      </c>
      <c r="AL3864" t="s">
        <v>1287</v>
      </c>
      <c r="AP3864" t="s">
        <v>951</v>
      </c>
    </row>
    <row r="3865" spans="1:42">
      <c r="A3865" s="16">
        <v>43838</v>
      </c>
      <c r="B3865">
        <v>3</v>
      </c>
      <c r="C3865">
        <v>982</v>
      </c>
      <c r="D3865">
        <v>10418</v>
      </c>
      <c r="E3865" t="s">
        <v>37</v>
      </c>
      <c r="F3865" t="s">
        <v>949</v>
      </c>
      <c r="G3865">
        <v>2</v>
      </c>
      <c r="H3865">
        <v>12</v>
      </c>
      <c r="I3865" s="25">
        <v>1050</v>
      </c>
      <c r="K3865" t="s">
        <v>53</v>
      </c>
      <c r="M3865" t="s">
        <v>52</v>
      </c>
      <c r="N3865" t="s">
        <v>44</v>
      </c>
      <c r="O3865">
        <v>51</v>
      </c>
      <c r="Q3865">
        <v>2</v>
      </c>
      <c r="R3865">
        <v>1</v>
      </c>
      <c r="S3865">
        <v>0</v>
      </c>
      <c r="T3865">
        <v>0</v>
      </c>
      <c r="U3865">
        <v>0</v>
      </c>
      <c r="V3865">
        <v>0</v>
      </c>
      <c r="W3865">
        <v>2</v>
      </c>
      <c r="X3865" s="21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 s="21">
        <v>0</v>
      </c>
      <c r="AE3865" s="21">
        <v>0</v>
      </c>
      <c r="AF3865">
        <v>0</v>
      </c>
      <c r="AG3865">
        <v>0</v>
      </c>
      <c r="AH3865">
        <v>192</v>
      </c>
      <c r="AJ3865" t="s">
        <v>51</v>
      </c>
      <c r="AK3865" t="s">
        <v>52</v>
      </c>
      <c r="AL3865" t="s">
        <v>1287</v>
      </c>
      <c r="AP3865" t="s">
        <v>951</v>
      </c>
    </row>
    <row r="3866" spans="1:42">
      <c r="A3866" s="16">
        <v>43838</v>
      </c>
      <c r="B3866">
        <v>3</v>
      </c>
      <c r="C3866">
        <v>982</v>
      </c>
      <c r="D3866">
        <v>10418</v>
      </c>
      <c r="E3866" t="s">
        <v>37</v>
      </c>
      <c r="F3866" t="s">
        <v>949</v>
      </c>
      <c r="G3866">
        <v>2</v>
      </c>
      <c r="H3866">
        <v>13</v>
      </c>
      <c r="I3866" s="25">
        <v>1115</v>
      </c>
      <c r="K3866" t="s">
        <v>414</v>
      </c>
      <c r="M3866" t="s">
        <v>52</v>
      </c>
      <c r="N3866" t="s">
        <v>44</v>
      </c>
      <c r="O3866">
        <v>113</v>
      </c>
      <c r="Q3866">
        <v>2</v>
      </c>
      <c r="R3866">
        <v>1</v>
      </c>
      <c r="S3866">
        <v>0</v>
      </c>
      <c r="T3866">
        <v>0</v>
      </c>
      <c r="U3866">
        <v>0</v>
      </c>
      <c r="V3866">
        <v>0</v>
      </c>
      <c r="W3866">
        <v>2</v>
      </c>
      <c r="X3866" s="21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 s="21">
        <v>0</v>
      </c>
      <c r="AE3866" s="21">
        <v>0</v>
      </c>
      <c r="AF3866">
        <v>0</v>
      </c>
      <c r="AG3866">
        <v>0</v>
      </c>
      <c r="AH3866">
        <v>192</v>
      </c>
      <c r="AJ3866" t="s">
        <v>51</v>
      </c>
      <c r="AK3866" t="s">
        <v>52</v>
      </c>
      <c r="AL3866" t="s">
        <v>1288</v>
      </c>
      <c r="AP3866" t="s">
        <v>951</v>
      </c>
    </row>
    <row r="3867" spans="1:42">
      <c r="A3867" s="16">
        <v>43838</v>
      </c>
      <c r="B3867">
        <v>3</v>
      </c>
      <c r="C3867">
        <v>982</v>
      </c>
      <c r="D3867">
        <v>10418</v>
      </c>
      <c r="E3867" t="s">
        <v>37</v>
      </c>
      <c r="F3867" t="s">
        <v>949</v>
      </c>
      <c r="G3867">
        <v>2</v>
      </c>
      <c r="H3867">
        <v>14</v>
      </c>
      <c r="I3867" s="25">
        <v>1100</v>
      </c>
      <c r="K3867" t="s">
        <v>414</v>
      </c>
      <c r="L3867" t="s">
        <v>141</v>
      </c>
      <c r="M3867" t="s">
        <v>52</v>
      </c>
      <c r="N3867" t="s">
        <v>40</v>
      </c>
      <c r="O3867">
        <v>93</v>
      </c>
      <c r="Q3867">
        <v>2</v>
      </c>
      <c r="R3867">
        <v>1</v>
      </c>
      <c r="S3867">
        <v>0</v>
      </c>
      <c r="T3867">
        <v>0</v>
      </c>
      <c r="U3867">
        <v>1</v>
      </c>
      <c r="V3867">
        <v>1</v>
      </c>
      <c r="W3867">
        <v>0</v>
      </c>
      <c r="X3867" s="21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 s="21">
        <v>0</v>
      </c>
      <c r="AE3867" s="21">
        <v>0</v>
      </c>
      <c r="AF3867">
        <v>0</v>
      </c>
      <c r="AG3867">
        <v>0</v>
      </c>
      <c r="AH3867">
        <v>96</v>
      </c>
      <c r="AJ3867" t="s">
        <v>51</v>
      </c>
      <c r="AK3867" t="s">
        <v>52</v>
      </c>
      <c r="AP3867" t="s">
        <v>951</v>
      </c>
    </row>
    <row r="3868" spans="1:42">
      <c r="A3868" s="16">
        <v>43838</v>
      </c>
      <c r="B3868">
        <v>3</v>
      </c>
      <c r="C3868">
        <v>982</v>
      </c>
      <c r="D3868">
        <v>10418</v>
      </c>
      <c r="E3868" t="s">
        <v>37</v>
      </c>
      <c r="F3868" t="s">
        <v>949</v>
      </c>
      <c r="G3868">
        <v>2</v>
      </c>
      <c r="H3868">
        <v>15</v>
      </c>
      <c r="I3868" s="25">
        <v>1030</v>
      </c>
      <c r="K3868" t="s">
        <v>53</v>
      </c>
      <c r="M3868" t="s">
        <v>52</v>
      </c>
      <c r="N3868" t="s">
        <v>44</v>
      </c>
      <c r="O3868">
        <v>155</v>
      </c>
      <c r="Q3868">
        <v>4</v>
      </c>
      <c r="R3868">
        <v>1</v>
      </c>
      <c r="S3868">
        <v>0</v>
      </c>
      <c r="T3868">
        <v>0</v>
      </c>
      <c r="U3868">
        <v>0</v>
      </c>
      <c r="V3868">
        <v>0</v>
      </c>
      <c r="W3868">
        <v>4</v>
      </c>
      <c r="X3868" s="21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 s="21">
        <v>0</v>
      </c>
      <c r="AE3868" s="21">
        <v>0</v>
      </c>
      <c r="AF3868">
        <v>0</v>
      </c>
      <c r="AG3868">
        <v>0</v>
      </c>
      <c r="AH3868">
        <v>384</v>
      </c>
      <c r="AJ3868" t="s">
        <v>51</v>
      </c>
      <c r="AK3868" t="s">
        <v>52</v>
      </c>
      <c r="AL3868" t="s">
        <v>1289</v>
      </c>
      <c r="AP3868" t="s">
        <v>951</v>
      </c>
    </row>
    <row r="3869" spans="1:42">
      <c r="A3869" s="16">
        <v>43838</v>
      </c>
      <c r="B3869">
        <v>3</v>
      </c>
      <c r="C3869">
        <v>982</v>
      </c>
      <c r="D3869">
        <v>10418</v>
      </c>
      <c r="E3869" t="s">
        <v>37</v>
      </c>
      <c r="F3869" t="s">
        <v>949</v>
      </c>
      <c r="G3869">
        <v>2</v>
      </c>
      <c r="H3869">
        <v>16</v>
      </c>
      <c r="I3869" s="25">
        <v>1003</v>
      </c>
      <c r="K3869" t="s">
        <v>53</v>
      </c>
      <c r="M3869" t="s">
        <v>52</v>
      </c>
      <c r="N3869" t="s">
        <v>44</v>
      </c>
      <c r="O3869">
        <v>65</v>
      </c>
      <c r="Q3869">
        <v>1</v>
      </c>
      <c r="R3869">
        <v>1</v>
      </c>
      <c r="S3869">
        <v>0</v>
      </c>
      <c r="T3869">
        <v>0</v>
      </c>
      <c r="U3869">
        <v>0</v>
      </c>
      <c r="V3869">
        <v>0</v>
      </c>
      <c r="W3869">
        <v>1</v>
      </c>
      <c r="X3869" s="21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 s="21">
        <v>0</v>
      </c>
      <c r="AE3869" s="21">
        <v>0</v>
      </c>
      <c r="AF3869">
        <v>0</v>
      </c>
      <c r="AG3869">
        <v>0</v>
      </c>
      <c r="AH3869">
        <v>92</v>
      </c>
      <c r="AJ3869" t="s">
        <v>51</v>
      </c>
      <c r="AK3869" t="s">
        <v>52</v>
      </c>
      <c r="AP3869" t="s">
        <v>951</v>
      </c>
    </row>
    <row r="3870" spans="1:42">
      <c r="A3870" s="16">
        <v>43838</v>
      </c>
      <c r="B3870">
        <v>3</v>
      </c>
      <c r="C3870">
        <v>982</v>
      </c>
      <c r="D3870">
        <v>10418</v>
      </c>
      <c r="E3870" t="s">
        <v>37</v>
      </c>
      <c r="F3870" t="s">
        <v>949</v>
      </c>
      <c r="G3870">
        <v>2</v>
      </c>
      <c r="H3870">
        <v>17</v>
      </c>
      <c r="I3870" s="25">
        <v>970</v>
      </c>
      <c r="K3870" t="s">
        <v>53</v>
      </c>
      <c r="M3870" t="s">
        <v>52</v>
      </c>
      <c r="N3870" t="s">
        <v>44</v>
      </c>
      <c r="O3870">
        <v>136</v>
      </c>
      <c r="Q3870">
        <v>3</v>
      </c>
      <c r="R3870">
        <v>1</v>
      </c>
      <c r="S3870">
        <v>0</v>
      </c>
      <c r="T3870">
        <v>0</v>
      </c>
      <c r="U3870">
        <v>0</v>
      </c>
      <c r="V3870">
        <v>0</v>
      </c>
      <c r="W3870">
        <v>3</v>
      </c>
      <c r="X3870" s="21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 s="21">
        <v>0</v>
      </c>
      <c r="AE3870" s="21">
        <v>0</v>
      </c>
      <c r="AF3870">
        <v>0</v>
      </c>
      <c r="AG3870">
        <v>0</v>
      </c>
      <c r="AH3870">
        <v>288</v>
      </c>
      <c r="AJ3870" t="s">
        <v>51</v>
      </c>
      <c r="AK3870" t="s">
        <v>52</v>
      </c>
      <c r="AL3870" t="s">
        <v>1290</v>
      </c>
      <c r="AP3870" t="s">
        <v>951</v>
      </c>
    </row>
    <row r="3871" spans="1:42">
      <c r="A3871" s="16">
        <v>43838</v>
      </c>
      <c r="B3871">
        <v>3</v>
      </c>
      <c r="C3871">
        <v>982</v>
      </c>
      <c r="D3871">
        <v>10418</v>
      </c>
      <c r="E3871" t="s">
        <v>37</v>
      </c>
      <c r="F3871" t="s">
        <v>949</v>
      </c>
      <c r="G3871">
        <v>2</v>
      </c>
      <c r="H3871">
        <v>18</v>
      </c>
      <c r="I3871" s="25">
        <v>956</v>
      </c>
      <c r="K3871" t="s">
        <v>53</v>
      </c>
      <c r="M3871" t="s">
        <v>52</v>
      </c>
      <c r="N3871" t="s">
        <v>44</v>
      </c>
      <c r="O3871">
        <v>97</v>
      </c>
      <c r="Q3871">
        <v>2</v>
      </c>
      <c r="R3871">
        <v>1</v>
      </c>
      <c r="S3871">
        <v>0</v>
      </c>
      <c r="T3871">
        <v>0</v>
      </c>
      <c r="U3871">
        <v>0</v>
      </c>
      <c r="V3871">
        <v>0</v>
      </c>
      <c r="W3871">
        <v>2</v>
      </c>
      <c r="X3871" s="2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 s="21">
        <v>0</v>
      </c>
      <c r="AE3871" s="21">
        <v>0</v>
      </c>
      <c r="AF3871">
        <v>0</v>
      </c>
      <c r="AG3871">
        <v>0</v>
      </c>
      <c r="AH3871">
        <v>192</v>
      </c>
      <c r="AJ3871" t="s">
        <v>51</v>
      </c>
      <c r="AK3871" t="s">
        <v>52</v>
      </c>
      <c r="AP3871" t="s">
        <v>951</v>
      </c>
    </row>
    <row r="3872" spans="1:42">
      <c r="A3872" s="16">
        <v>43838</v>
      </c>
      <c r="B3872">
        <v>3</v>
      </c>
      <c r="C3872">
        <v>982</v>
      </c>
      <c r="D3872">
        <v>10418</v>
      </c>
      <c r="E3872" t="s">
        <v>37</v>
      </c>
      <c r="F3872" t="s">
        <v>949</v>
      </c>
      <c r="G3872">
        <v>2</v>
      </c>
      <c r="H3872">
        <v>19</v>
      </c>
      <c r="I3872" s="25">
        <v>930</v>
      </c>
      <c r="K3872" t="s">
        <v>53</v>
      </c>
      <c r="M3872" t="s">
        <v>52</v>
      </c>
      <c r="N3872" t="s">
        <v>44</v>
      </c>
      <c r="O3872">
        <v>166</v>
      </c>
      <c r="Q3872">
        <v>4</v>
      </c>
      <c r="R3872">
        <v>1</v>
      </c>
      <c r="S3872">
        <v>0</v>
      </c>
      <c r="T3872">
        <v>0</v>
      </c>
      <c r="U3872">
        <v>0</v>
      </c>
      <c r="V3872">
        <v>0</v>
      </c>
      <c r="W3872">
        <v>4</v>
      </c>
      <c r="X3872" s="21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 s="21">
        <v>0</v>
      </c>
      <c r="AE3872" s="21">
        <v>0</v>
      </c>
      <c r="AF3872">
        <v>0</v>
      </c>
      <c r="AG3872">
        <v>0</v>
      </c>
      <c r="AH3872">
        <v>384</v>
      </c>
      <c r="AJ3872" t="s">
        <v>51</v>
      </c>
      <c r="AK3872" t="s">
        <v>95</v>
      </c>
      <c r="AL3872" t="s">
        <v>1291</v>
      </c>
      <c r="AP3872" t="s">
        <v>951</v>
      </c>
    </row>
    <row r="3873" spans="1:42">
      <c r="A3873" s="16">
        <v>43838</v>
      </c>
      <c r="B3873">
        <v>3</v>
      </c>
      <c r="C3873">
        <v>982</v>
      </c>
      <c r="D3873">
        <v>10418</v>
      </c>
      <c r="E3873" t="s">
        <v>37</v>
      </c>
      <c r="F3873" t="s">
        <v>949</v>
      </c>
      <c r="G3873">
        <v>2</v>
      </c>
      <c r="H3873">
        <v>20</v>
      </c>
      <c r="I3873" s="25">
        <v>922</v>
      </c>
      <c r="K3873" t="s">
        <v>53</v>
      </c>
      <c r="M3873" t="s">
        <v>52</v>
      </c>
      <c r="N3873" t="s">
        <v>44</v>
      </c>
      <c r="O3873">
        <v>61</v>
      </c>
      <c r="Q3873">
        <v>2</v>
      </c>
      <c r="R3873">
        <v>1</v>
      </c>
      <c r="S3873">
        <v>0</v>
      </c>
      <c r="T3873">
        <v>0</v>
      </c>
      <c r="U3873">
        <v>0</v>
      </c>
      <c r="V3873">
        <v>0</v>
      </c>
      <c r="W3873">
        <v>2</v>
      </c>
      <c r="X3873" s="21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 s="21">
        <v>0</v>
      </c>
      <c r="AE3873" s="21">
        <v>0</v>
      </c>
      <c r="AF3873">
        <v>0</v>
      </c>
      <c r="AG3873">
        <v>0</v>
      </c>
      <c r="AH3873">
        <v>192</v>
      </c>
      <c r="AJ3873" t="s">
        <v>51</v>
      </c>
      <c r="AK3873" t="s">
        <v>95</v>
      </c>
      <c r="AP3873" t="s">
        <v>951</v>
      </c>
    </row>
    <row r="3874" spans="1:42">
      <c r="A3874" s="16">
        <v>43838</v>
      </c>
      <c r="B3874">
        <v>3</v>
      </c>
      <c r="C3874">
        <v>982</v>
      </c>
      <c r="D3874">
        <v>10418</v>
      </c>
      <c r="E3874" t="s">
        <v>37</v>
      </c>
      <c r="F3874" t="s">
        <v>949</v>
      </c>
      <c r="G3874">
        <v>2</v>
      </c>
      <c r="H3874">
        <v>21</v>
      </c>
      <c r="I3874" s="25">
        <v>875</v>
      </c>
      <c r="K3874" t="s">
        <v>414</v>
      </c>
      <c r="L3874" t="s">
        <v>141</v>
      </c>
      <c r="M3874" t="s">
        <v>52</v>
      </c>
      <c r="N3874" t="s">
        <v>40</v>
      </c>
      <c r="O3874">
        <v>99</v>
      </c>
      <c r="Q3874">
        <v>2</v>
      </c>
      <c r="R3874">
        <v>1</v>
      </c>
      <c r="S3874">
        <v>0</v>
      </c>
      <c r="T3874">
        <v>0</v>
      </c>
      <c r="U3874">
        <v>0</v>
      </c>
      <c r="V3874">
        <v>0</v>
      </c>
      <c r="W3874">
        <v>2</v>
      </c>
      <c r="X3874" s="21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 s="21">
        <v>0</v>
      </c>
      <c r="AE3874" s="21">
        <v>0</v>
      </c>
      <c r="AF3874">
        <v>0</v>
      </c>
      <c r="AG3874">
        <v>0</v>
      </c>
      <c r="AH3874">
        <v>192</v>
      </c>
      <c r="AJ3874" t="s">
        <v>51</v>
      </c>
      <c r="AK3874" t="s">
        <v>52</v>
      </c>
      <c r="AP3874" t="s">
        <v>951</v>
      </c>
    </row>
    <row r="3875" spans="1:42">
      <c r="A3875" s="16">
        <v>43838</v>
      </c>
      <c r="B3875">
        <v>3</v>
      </c>
      <c r="C3875">
        <v>982</v>
      </c>
      <c r="D3875">
        <v>10418</v>
      </c>
      <c r="E3875" t="s">
        <v>37</v>
      </c>
      <c r="F3875" t="s">
        <v>949</v>
      </c>
      <c r="G3875">
        <v>2</v>
      </c>
      <c r="H3875">
        <v>22</v>
      </c>
      <c r="I3875" s="25">
        <v>861</v>
      </c>
      <c r="K3875" t="s">
        <v>414</v>
      </c>
      <c r="M3875" t="s">
        <v>52</v>
      </c>
      <c r="N3875" t="s">
        <v>44</v>
      </c>
      <c r="O3875">
        <v>103</v>
      </c>
      <c r="Q3875">
        <v>1</v>
      </c>
      <c r="R3875">
        <v>1</v>
      </c>
      <c r="S3875">
        <v>0</v>
      </c>
      <c r="T3875">
        <v>0</v>
      </c>
      <c r="U3875">
        <v>0</v>
      </c>
      <c r="V3875">
        <v>0</v>
      </c>
      <c r="W3875">
        <v>1</v>
      </c>
      <c r="X3875" s="21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 s="21">
        <v>0</v>
      </c>
      <c r="AE3875" s="21">
        <v>0</v>
      </c>
      <c r="AF3875">
        <v>0</v>
      </c>
      <c r="AG3875">
        <v>0</v>
      </c>
      <c r="AH3875">
        <v>96</v>
      </c>
      <c r="AJ3875" t="s">
        <v>51</v>
      </c>
      <c r="AK3875" t="s">
        <v>52</v>
      </c>
      <c r="AL3875" t="s">
        <v>1160</v>
      </c>
      <c r="AP3875" t="s">
        <v>951</v>
      </c>
    </row>
    <row r="3876" spans="1:42">
      <c r="A3876" s="16">
        <v>43838</v>
      </c>
      <c r="B3876">
        <v>3</v>
      </c>
      <c r="C3876">
        <v>982</v>
      </c>
      <c r="D3876">
        <v>10418</v>
      </c>
      <c r="E3876" t="s">
        <v>37</v>
      </c>
      <c r="F3876" t="s">
        <v>949</v>
      </c>
      <c r="G3876">
        <v>2</v>
      </c>
      <c r="H3876">
        <v>23</v>
      </c>
      <c r="I3876" s="25">
        <v>851</v>
      </c>
      <c r="K3876" t="s">
        <v>414</v>
      </c>
      <c r="M3876" t="s">
        <v>52</v>
      </c>
      <c r="N3876" t="s">
        <v>44</v>
      </c>
      <c r="O3876">
        <v>177</v>
      </c>
      <c r="Q3876">
        <v>2</v>
      </c>
      <c r="R3876">
        <v>1</v>
      </c>
      <c r="S3876">
        <v>0</v>
      </c>
      <c r="T3876">
        <v>0</v>
      </c>
      <c r="U3876">
        <v>0</v>
      </c>
      <c r="V3876">
        <v>0</v>
      </c>
      <c r="W3876">
        <v>2</v>
      </c>
      <c r="X3876" s="21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 s="21">
        <v>0</v>
      </c>
      <c r="AE3876" s="21">
        <v>0</v>
      </c>
      <c r="AF3876">
        <v>0</v>
      </c>
      <c r="AG3876">
        <v>0</v>
      </c>
      <c r="AH3876">
        <v>192</v>
      </c>
      <c r="AJ3876" t="s">
        <v>51</v>
      </c>
      <c r="AK3876" t="s">
        <v>52</v>
      </c>
      <c r="AL3876" t="s">
        <v>1292</v>
      </c>
      <c r="AP3876" t="s">
        <v>951</v>
      </c>
    </row>
    <row r="3877" spans="1:42">
      <c r="A3877" s="16">
        <v>43838</v>
      </c>
      <c r="B3877">
        <v>3</v>
      </c>
      <c r="C3877">
        <v>982</v>
      </c>
      <c r="D3877">
        <v>10418</v>
      </c>
      <c r="E3877" t="s">
        <v>37</v>
      </c>
      <c r="F3877" t="s">
        <v>949</v>
      </c>
      <c r="G3877">
        <v>2</v>
      </c>
      <c r="H3877">
        <v>24</v>
      </c>
      <c r="I3877" s="25">
        <v>839</v>
      </c>
      <c r="K3877" t="s">
        <v>414</v>
      </c>
      <c r="M3877" t="s">
        <v>52</v>
      </c>
      <c r="N3877" t="s">
        <v>44</v>
      </c>
      <c r="O3877">
        <v>149</v>
      </c>
      <c r="Q3877">
        <v>2</v>
      </c>
      <c r="R3877">
        <v>1</v>
      </c>
      <c r="S3877">
        <v>0</v>
      </c>
      <c r="T3877">
        <v>0</v>
      </c>
      <c r="U3877">
        <v>0</v>
      </c>
      <c r="V3877">
        <v>0</v>
      </c>
      <c r="W3877">
        <v>2</v>
      </c>
      <c r="X3877" s="21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 s="21">
        <v>0</v>
      </c>
      <c r="AE3877" s="21">
        <v>0</v>
      </c>
      <c r="AF3877">
        <v>0</v>
      </c>
      <c r="AG3877">
        <v>0</v>
      </c>
      <c r="AH3877">
        <v>192</v>
      </c>
      <c r="AJ3877" t="s">
        <v>51</v>
      </c>
      <c r="AK3877" t="s">
        <v>52</v>
      </c>
      <c r="AL3877" t="s">
        <v>1293</v>
      </c>
      <c r="AP3877" t="s">
        <v>951</v>
      </c>
    </row>
    <row r="3878" spans="1:42">
      <c r="A3878" s="16">
        <v>43838</v>
      </c>
      <c r="B3878">
        <v>3</v>
      </c>
      <c r="C3878">
        <v>982</v>
      </c>
      <c r="D3878">
        <v>10418</v>
      </c>
      <c r="E3878" t="s">
        <v>37</v>
      </c>
      <c r="F3878" t="s">
        <v>949</v>
      </c>
      <c r="G3878">
        <v>2</v>
      </c>
      <c r="H3878">
        <v>25</v>
      </c>
      <c r="I3878" s="25">
        <v>729</v>
      </c>
      <c r="K3878" t="s">
        <v>103</v>
      </c>
      <c r="M3878" t="s">
        <v>52</v>
      </c>
      <c r="N3878" t="s">
        <v>44</v>
      </c>
      <c r="O3878">
        <v>110</v>
      </c>
      <c r="Q3878">
        <v>3</v>
      </c>
      <c r="R3878">
        <v>1</v>
      </c>
      <c r="S3878">
        <v>0</v>
      </c>
      <c r="T3878">
        <v>0</v>
      </c>
      <c r="U3878">
        <v>0</v>
      </c>
      <c r="V3878">
        <v>0</v>
      </c>
      <c r="W3878">
        <v>3</v>
      </c>
      <c r="X3878" s="21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 s="21">
        <v>0</v>
      </c>
      <c r="AE3878" s="21">
        <v>0</v>
      </c>
      <c r="AF3878">
        <v>0</v>
      </c>
      <c r="AG3878">
        <v>0</v>
      </c>
      <c r="AH3878">
        <v>288</v>
      </c>
      <c r="AJ3878" t="s">
        <v>54</v>
      </c>
      <c r="AK3878" t="s">
        <v>95</v>
      </c>
      <c r="AL3878" t="s">
        <v>1294</v>
      </c>
      <c r="AP3878" t="s">
        <v>951</v>
      </c>
    </row>
    <row r="3879" spans="1:42">
      <c r="A3879" s="16">
        <v>43838</v>
      </c>
      <c r="B3879">
        <v>3</v>
      </c>
      <c r="C3879">
        <v>982</v>
      </c>
      <c r="D3879">
        <v>10418</v>
      </c>
      <c r="E3879" t="s">
        <v>37</v>
      </c>
      <c r="F3879" t="s">
        <v>949</v>
      </c>
      <c r="G3879">
        <v>2</v>
      </c>
      <c r="H3879">
        <v>26</v>
      </c>
      <c r="I3879" s="25">
        <v>701</v>
      </c>
      <c r="K3879" t="s">
        <v>53</v>
      </c>
      <c r="M3879" t="s">
        <v>52</v>
      </c>
      <c r="N3879" t="s">
        <v>44</v>
      </c>
      <c r="O3879">
        <v>180</v>
      </c>
      <c r="Q3879">
        <v>6</v>
      </c>
      <c r="R3879">
        <v>1</v>
      </c>
      <c r="S3879">
        <v>0</v>
      </c>
      <c r="T3879">
        <v>0</v>
      </c>
      <c r="U3879">
        <v>0</v>
      </c>
      <c r="V3879">
        <v>0</v>
      </c>
      <c r="W3879">
        <v>6</v>
      </c>
      <c r="X3879" s="21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 s="21">
        <v>0</v>
      </c>
      <c r="AE3879" s="21">
        <v>0</v>
      </c>
      <c r="AF3879">
        <v>0</v>
      </c>
      <c r="AG3879">
        <v>0</v>
      </c>
      <c r="AH3879">
        <v>579</v>
      </c>
      <c r="AJ3879" t="s">
        <v>54</v>
      </c>
      <c r="AK3879" t="s">
        <v>52</v>
      </c>
      <c r="AL3879" t="s">
        <v>1295</v>
      </c>
      <c r="AP3879" t="s">
        <v>951</v>
      </c>
    </row>
    <row r="3880" spans="1:42">
      <c r="A3880" s="16">
        <v>43838</v>
      </c>
      <c r="B3880">
        <v>3</v>
      </c>
      <c r="C3880">
        <v>982</v>
      </c>
      <c r="D3880">
        <v>10418</v>
      </c>
      <c r="E3880" t="s">
        <v>37</v>
      </c>
      <c r="F3880" t="s">
        <v>949</v>
      </c>
      <c r="G3880">
        <v>2</v>
      </c>
      <c r="H3880">
        <v>27</v>
      </c>
      <c r="I3880" s="25">
        <v>746</v>
      </c>
      <c r="K3880" t="s">
        <v>74</v>
      </c>
      <c r="M3880" t="s">
        <v>52</v>
      </c>
      <c r="N3880" t="s">
        <v>44</v>
      </c>
      <c r="O3880">
        <v>86</v>
      </c>
      <c r="Q3880">
        <v>2</v>
      </c>
      <c r="R3880">
        <v>1</v>
      </c>
      <c r="S3880">
        <v>0</v>
      </c>
      <c r="T3880">
        <v>0</v>
      </c>
      <c r="U3880">
        <v>0</v>
      </c>
      <c r="V3880">
        <v>0</v>
      </c>
      <c r="W3880">
        <v>2</v>
      </c>
      <c r="X3880" s="21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 s="21">
        <v>0</v>
      </c>
      <c r="AE3880" s="21">
        <v>0</v>
      </c>
      <c r="AF3880">
        <v>0</v>
      </c>
      <c r="AG3880">
        <v>0</v>
      </c>
      <c r="AH3880">
        <v>192</v>
      </c>
      <c r="AJ3880" t="s">
        <v>51</v>
      </c>
      <c r="AK3880" t="s">
        <v>95</v>
      </c>
      <c r="AP3880" t="s">
        <v>951</v>
      </c>
    </row>
    <row r="3881" spans="1:42">
      <c r="A3881" s="16">
        <v>43838</v>
      </c>
      <c r="B3881">
        <v>3</v>
      </c>
      <c r="C3881">
        <v>982</v>
      </c>
      <c r="D3881">
        <v>10418</v>
      </c>
      <c r="E3881" t="s">
        <v>37</v>
      </c>
      <c r="F3881" t="s">
        <v>949</v>
      </c>
      <c r="G3881">
        <v>2</v>
      </c>
      <c r="H3881">
        <v>28</v>
      </c>
      <c r="I3881" s="25">
        <v>760</v>
      </c>
      <c r="K3881" t="s">
        <v>74</v>
      </c>
      <c r="M3881" t="s">
        <v>52</v>
      </c>
      <c r="N3881" t="s">
        <v>44</v>
      </c>
      <c r="O3881">
        <v>209</v>
      </c>
      <c r="Q3881">
        <v>2</v>
      </c>
      <c r="R3881">
        <v>1</v>
      </c>
      <c r="S3881">
        <v>0</v>
      </c>
      <c r="T3881">
        <v>0</v>
      </c>
      <c r="U3881">
        <v>0</v>
      </c>
      <c r="V3881">
        <v>0</v>
      </c>
      <c r="W3881">
        <v>2</v>
      </c>
      <c r="X3881" s="2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 s="21">
        <v>0</v>
      </c>
      <c r="AE3881" s="21">
        <v>0</v>
      </c>
      <c r="AF3881">
        <v>0</v>
      </c>
      <c r="AG3881">
        <v>0</v>
      </c>
      <c r="AH3881">
        <v>192</v>
      </c>
      <c r="AJ3881" t="s">
        <v>51</v>
      </c>
      <c r="AK3881" t="s">
        <v>52</v>
      </c>
      <c r="AL3881" t="s">
        <v>1296</v>
      </c>
      <c r="AP3881" t="s">
        <v>951</v>
      </c>
    </row>
    <row r="3882" spans="1:42">
      <c r="A3882" s="16">
        <v>43838</v>
      </c>
      <c r="B3882">
        <v>3</v>
      </c>
      <c r="C3882">
        <v>982</v>
      </c>
      <c r="D3882">
        <v>10418</v>
      </c>
      <c r="E3882" t="s">
        <v>37</v>
      </c>
      <c r="F3882" t="s">
        <v>949</v>
      </c>
      <c r="G3882">
        <v>2</v>
      </c>
      <c r="H3882">
        <v>29</v>
      </c>
      <c r="I3882" s="25">
        <v>840</v>
      </c>
      <c r="K3882" t="s">
        <v>74</v>
      </c>
      <c r="M3882" t="s">
        <v>52</v>
      </c>
      <c r="N3882" t="s">
        <v>44</v>
      </c>
      <c r="O3882">
        <v>80</v>
      </c>
      <c r="Q3882">
        <v>1</v>
      </c>
      <c r="R3882">
        <v>1</v>
      </c>
      <c r="S3882">
        <v>0</v>
      </c>
      <c r="T3882">
        <v>0</v>
      </c>
      <c r="U3882">
        <v>0</v>
      </c>
      <c r="V3882">
        <v>0</v>
      </c>
      <c r="W3882">
        <v>1</v>
      </c>
      <c r="X3882" s="21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 s="21">
        <v>0</v>
      </c>
      <c r="AE3882" s="21">
        <v>0</v>
      </c>
      <c r="AF3882">
        <v>0</v>
      </c>
      <c r="AG3882">
        <v>0</v>
      </c>
      <c r="AH3882">
        <v>96</v>
      </c>
      <c r="AJ3882" t="s">
        <v>51</v>
      </c>
      <c r="AK3882" t="s">
        <v>52</v>
      </c>
      <c r="AP3882" t="s">
        <v>951</v>
      </c>
    </row>
    <row r="3883" spans="1:42">
      <c r="A3883" s="16">
        <v>43838</v>
      </c>
      <c r="B3883">
        <v>3</v>
      </c>
      <c r="C3883">
        <v>982</v>
      </c>
      <c r="D3883">
        <v>10418</v>
      </c>
      <c r="E3883" t="s">
        <v>37</v>
      </c>
      <c r="F3883" t="s">
        <v>949</v>
      </c>
      <c r="G3883">
        <v>2</v>
      </c>
      <c r="H3883">
        <v>30</v>
      </c>
      <c r="I3883" s="25">
        <v>837</v>
      </c>
      <c r="K3883" t="s">
        <v>74</v>
      </c>
      <c r="M3883" t="s">
        <v>52</v>
      </c>
      <c r="N3883" t="s">
        <v>44</v>
      </c>
      <c r="O3883">
        <v>158</v>
      </c>
      <c r="Q3883">
        <v>2</v>
      </c>
      <c r="R3883">
        <v>1</v>
      </c>
      <c r="S3883">
        <v>0</v>
      </c>
      <c r="T3883">
        <v>0</v>
      </c>
      <c r="U3883">
        <v>0</v>
      </c>
      <c r="V3883">
        <v>0</v>
      </c>
      <c r="W3883">
        <v>2</v>
      </c>
      <c r="X3883" s="21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 s="21">
        <v>0</v>
      </c>
      <c r="AE3883" s="21">
        <v>0</v>
      </c>
      <c r="AF3883">
        <v>0</v>
      </c>
      <c r="AG3883">
        <v>0</v>
      </c>
      <c r="AH3883">
        <v>192</v>
      </c>
      <c r="AJ3883" t="s">
        <v>51</v>
      </c>
      <c r="AK3883" t="s">
        <v>95</v>
      </c>
      <c r="AL3883" t="s">
        <v>1297</v>
      </c>
      <c r="AP3883" t="s">
        <v>951</v>
      </c>
    </row>
    <row r="3884" spans="1:42">
      <c r="A3884" s="16">
        <v>43838</v>
      </c>
      <c r="B3884">
        <v>3</v>
      </c>
      <c r="C3884">
        <v>982</v>
      </c>
      <c r="D3884">
        <v>10418</v>
      </c>
      <c r="E3884" t="s">
        <v>37</v>
      </c>
      <c r="F3884" t="s">
        <v>949</v>
      </c>
      <c r="G3884">
        <v>2</v>
      </c>
      <c r="H3884">
        <v>31</v>
      </c>
      <c r="I3884" s="25">
        <v>800</v>
      </c>
      <c r="K3884" t="s">
        <v>74</v>
      </c>
      <c r="L3884" t="s">
        <v>141</v>
      </c>
      <c r="M3884" t="s">
        <v>52</v>
      </c>
      <c r="N3884" t="s">
        <v>40</v>
      </c>
      <c r="O3884">
        <v>53</v>
      </c>
      <c r="Q3884">
        <v>1</v>
      </c>
      <c r="R3884">
        <v>1</v>
      </c>
      <c r="S3884">
        <v>0</v>
      </c>
      <c r="T3884">
        <v>0</v>
      </c>
      <c r="U3884">
        <v>0</v>
      </c>
      <c r="V3884">
        <v>0</v>
      </c>
      <c r="W3884">
        <v>1</v>
      </c>
      <c r="X3884" s="21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 s="21">
        <v>0</v>
      </c>
      <c r="AE3884" s="21">
        <v>0</v>
      </c>
      <c r="AF3884">
        <v>0</v>
      </c>
      <c r="AG3884">
        <v>0</v>
      </c>
      <c r="AH3884">
        <v>96</v>
      </c>
      <c r="AJ3884" t="s">
        <v>51</v>
      </c>
      <c r="AK3884" t="s">
        <v>52</v>
      </c>
      <c r="AP3884" t="s">
        <v>951</v>
      </c>
    </row>
    <row r="3885" spans="1:42">
      <c r="A3885" s="16">
        <v>43838</v>
      </c>
      <c r="B3885">
        <v>3</v>
      </c>
      <c r="C3885">
        <v>982</v>
      </c>
      <c r="D3885">
        <v>10418</v>
      </c>
      <c r="E3885" t="s">
        <v>37</v>
      </c>
      <c r="F3885" t="s">
        <v>949</v>
      </c>
      <c r="G3885">
        <v>2</v>
      </c>
      <c r="H3885">
        <v>32</v>
      </c>
      <c r="I3885" s="25">
        <v>800</v>
      </c>
      <c r="K3885" t="s">
        <v>74</v>
      </c>
      <c r="L3885" t="s">
        <v>114</v>
      </c>
      <c r="M3885" t="s">
        <v>95</v>
      </c>
      <c r="N3885" t="s">
        <v>40</v>
      </c>
      <c r="O3885">
        <v>100</v>
      </c>
      <c r="Q3885">
        <v>2</v>
      </c>
      <c r="R3885">
        <v>1</v>
      </c>
      <c r="S3885">
        <v>0</v>
      </c>
      <c r="T3885">
        <v>0</v>
      </c>
      <c r="U3885">
        <v>0</v>
      </c>
      <c r="V3885">
        <v>0</v>
      </c>
      <c r="W3885">
        <v>2</v>
      </c>
      <c r="X3885" s="21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 s="21">
        <v>0</v>
      </c>
      <c r="AE3885" s="21">
        <v>0</v>
      </c>
      <c r="AF3885">
        <v>0</v>
      </c>
      <c r="AG3885">
        <v>0</v>
      </c>
      <c r="AH3885">
        <v>192</v>
      </c>
      <c r="AJ3885" t="s">
        <v>51</v>
      </c>
      <c r="AK3885" t="s">
        <v>95</v>
      </c>
      <c r="AP3885" t="s">
        <v>951</v>
      </c>
    </row>
    <row r="3886" spans="1:42">
      <c r="A3886" s="16">
        <v>43838</v>
      </c>
      <c r="B3886">
        <v>3</v>
      </c>
      <c r="C3886">
        <v>982</v>
      </c>
      <c r="D3886">
        <v>10418</v>
      </c>
      <c r="E3886" t="s">
        <v>37</v>
      </c>
      <c r="F3886" t="s">
        <v>949</v>
      </c>
      <c r="G3886">
        <v>2</v>
      </c>
      <c r="H3886">
        <v>33</v>
      </c>
      <c r="I3886" s="25">
        <v>901</v>
      </c>
      <c r="K3886" t="s">
        <v>420</v>
      </c>
      <c r="L3886" t="s">
        <v>114</v>
      </c>
      <c r="M3886" t="s">
        <v>52</v>
      </c>
      <c r="N3886" t="s">
        <v>40</v>
      </c>
      <c r="O3886">
        <v>44</v>
      </c>
      <c r="Q3886">
        <v>1</v>
      </c>
      <c r="R3886">
        <v>1</v>
      </c>
      <c r="S3886">
        <v>0</v>
      </c>
      <c r="T3886">
        <v>0</v>
      </c>
      <c r="U3886">
        <v>0</v>
      </c>
      <c r="V3886">
        <v>1</v>
      </c>
      <c r="W3886">
        <v>0</v>
      </c>
      <c r="X3886" s="21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 s="21">
        <v>0</v>
      </c>
      <c r="AE3886" s="21">
        <v>0</v>
      </c>
      <c r="AF3886">
        <v>0</v>
      </c>
      <c r="AG3886">
        <v>0</v>
      </c>
      <c r="AH3886">
        <v>64</v>
      </c>
      <c r="AJ3886" t="s">
        <v>51</v>
      </c>
      <c r="AK3886" t="s">
        <v>52</v>
      </c>
      <c r="AP3886" t="s">
        <v>951</v>
      </c>
    </row>
    <row r="3887" spans="1:42">
      <c r="A3887" s="16">
        <v>43838</v>
      </c>
      <c r="B3887">
        <v>3</v>
      </c>
      <c r="C3887">
        <v>982</v>
      </c>
      <c r="D3887">
        <v>10418</v>
      </c>
      <c r="E3887" t="s">
        <v>37</v>
      </c>
      <c r="F3887" t="s">
        <v>949</v>
      </c>
      <c r="G3887">
        <v>2</v>
      </c>
      <c r="H3887">
        <v>34</v>
      </c>
      <c r="I3887" s="25">
        <v>755</v>
      </c>
      <c r="K3887" t="s">
        <v>98</v>
      </c>
      <c r="M3887" t="s">
        <v>52</v>
      </c>
      <c r="N3887" t="s">
        <v>44</v>
      </c>
      <c r="O3887">
        <v>114</v>
      </c>
      <c r="Q3887">
        <v>2</v>
      </c>
      <c r="R3887">
        <v>1</v>
      </c>
      <c r="S3887">
        <v>0</v>
      </c>
      <c r="T3887">
        <v>0</v>
      </c>
      <c r="U3887">
        <v>0</v>
      </c>
      <c r="V3887">
        <v>0</v>
      </c>
      <c r="W3887">
        <v>2</v>
      </c>
      <c r="X3887" s="21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 s="21">
        <v>0</v>
      </c>
      <c r="AE3887" s="21">
        <v>0</v>
      </c>
      <c r="AF3887">
        <v>0</v>
      </c>
      <c r="AG3887">
        <v>0</v>
      </c>
      <c r="AH3887">
        <v>192</v>
      </c>
      <c r="AJ3887" t="s">
        <v>51</v>
      </c>
      <c r="AK3887" t="s">
        <v>95</v>
      </c>
      <c r="AL3887" t="s">
        <v>1298</v>
      </c>
      <c r="AP3887" t="s">
        <v>951</v>
      </c>
    </row>
    <row r="3888" spans="1:42">
      <c r="A3888" s="16">
        <v>43838</v>
      </c>
      <c r="B3888">
        <v>3</v>
      </c>
      <c r="C3888">
        <v>982</v>
      </c>
      <c r="D3888">
        <v>10418</v>
      </c>
      <c r="E3888" t="s">
        <v>37</v>
      </c>
      <c r="F3888" t="s">
        <v>949</v>
      </c>
      <c r="G3888">
        <v>2</v>
      </c>
      <c r="H3888">
        <v>35</v>
      </c>
      <c r="I3888" s="25">
        <v>770</v>
      </c>
      <c r="K3888" t="s">
        <v>98</v>
      </c>
      <c r="M3888" t="s">
        <v>52</v>
      </c>
      <c r="N3888" t="s">
        <v>44</v>
      </c>
      <c r="O3888">
        <v>127</v>
      </c>
      <c r="Q3888">
        <v>2</v>
      </c>
      <c r="R3888">
        <v>1</v>
      </c>
      <c r="S3888">
        <v>0</v>
      </c>
      <c r="T3888">
        <v>0</v>
      </c>
      <c r="U3888">
        <v>0</v>
      </c>
      <c r="V3888">
        <v>0</v>
      </c>
      <c r="W3888">
        <v>2</v>
      </c>
      <c r="X3888" s="21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 s="21">
        <v>0</v>
      </c>
      <c r="AE3888" s="21">
        <v>0</v>
      </c>
      <c r="AF3888">
        <v>0</v>
      </c>
      <c r="AG3888">
        <v>0</v>
      </c>
      <c r="AH3888">
        <v>192</v>
      </c>
      <c r="AJ3888" t="s">
        <v>51</v>
      </c>
      <c r="AK3888" t="s">
        <v>95</v>
      </c>
      <c r="AL3888" t="s">
        <v>1299</v>
      </c>
      <c r="AP3888" t="s">
        <v>951</v>
      </c>
    </row>
    <row r="3889" spans="1:42">
      <c r="A3889" s="16">
        <v>43838</v>
      </c>
      <c r="B3889">
        <v>3</v>
      </c>
      <c r="C3889">
        <v>982</v>
      </c>
      <c r="D3889">
        <v>10418</v>
      </c>
      <c r="E3889" t="s">
        <v>37</v>
      </c>
      <c r="F3889" t="s">
        <v>949</v>
      </c>
      <c r="G3889">
        <v>2</v>
      </c>
      <c r="H3889">
        <v>36</v>
      </c>
      <c r="I3889" s="25">
        <v>750</v>
      </c>
      <c r="K3889" t="s">
        <v>98</v>
      </c>
      <c r="M3889" t="s">
        <v>52</v>
      </c>
      <c r="N3889" t="s">
        <v>44</v>
      </c>
      <c r="O3889">
        <v>166</v>
      </c>
      <c r="Q3889">
        <v>3</v>
      </c>
      <c r="R3889">
        <v>1</v>
      </c>
      <c r="S3889">
        <v>0</v>
      </c>
      <c r="T3889">
        <v>0</v>
      </c>
      <c r="U3889">
        <v>0</v>
      </c>
      <c r="V3889">
        <v>0</v>
      </c>
      <c r="W3889">
        <v>3</v>
      </c>
      <c r="X3889" s="21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 s="21">
        <v>0</v>
      </c>
      <c r="AE3889" s="21">
        <v>0</v>
      </c>
      <c r="AF3889">
        <v>0</v>
      </c>
      <c r="AG3889">
        <v>0</v>
      </c>
      <c r="AH3889">
        <v>288</v>
      </c>
      <c r="AJ3889" t="s">
        <v>51</v>
      </c>
      <c r="AK3889" t="s">
        <v>95</v>
      </c>
      <c r="AL3889" t="s">
        <v>1299</v>
      </c>
      <c r="AP3889" t="s">
        <v>951</v>
      </c>
    </row>
    <row r="3890" spans="1:42">
      <c r="A3890" s="16">
        <v>43838</v>
      </c>
      <c r="B3890">
        <v>3</v>
      </c>
      <c r="C3890">
        <v>982</v>
      </c>
      <c r="D3890">
        <v>10418</v>
      </c>
      <c r="E3890" t="s">
        <v>37</v>
      </c>
      <c r="F3890" t="s">
        <v>949</v>
      </c>
      <c r="G3890">
        <v>2</v>
      </c>
      <c r="H3890">
        <v>37</v>
      </c>
      <c r="I3890" s="25">
        <v>725</v>
      </c>
      <c r="K3890" t="s">
        <v>98</v>
      </c>
      <c r="M3890" t="s">
        <v>52</v>
      </c>
      <c r="N3890" t="s">
        <v>44</v>
      </c>
      <c r="O3890">
        <v>104</v>
      </c>
      <c r="Q3890">
        <v>3</v>
      </c>
      <c r="R3890">
        <v>1</v>
      </c>
      <c r="S3890">
        <v>0</v>
      </c>
      <c r="T3890">
        <v>0</v>
      </c>
      <c r="U3890">
        <v>0</v>
      </c>
      <c r="V3890">
        <v>0</v>
      </c>
      <c r="W3890">
        <v>3</v>
      </c>
      <c r="X3890" s="21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 s="21">
        <v>0</v>
      </c>
      <c r="AE3890" s="21">
        <v>0</v>
      </c>
      <c r="AF3890">
        <v>0</v>
      </c>
      <c r="AG3890">
        <v>0</v>
      </c>
      <c r="AH3890">
        <v>288</v>
      </c>
      <c r="AJ3890" t="s">
        <v>51</v>
      </c>
      <c r="AK3890" t="s">
        <v>95</v>
      </c>
      <c r="AL3890" t="s">
        <v>1300</v>
      </c>
      <c r="AP3890" t="s">
        <v>951</v>
      </c>
    </row>
    <row r="3891" spans="1:42">
      <c r="A3891" s="16">
        <v>43838</v>
      </c>
      <c r="B3891">
        <v>3</v>
      </c>
      <c r="C3891">
        <v>982</v>
      </c>
      <c r="D3891">
        <v>10418</v>
      </c>
      <c r="E3891" t="s">
        <v>37</v>
      </c>
      <c r="F3891" t="s">
        <v>949</v>
      </c>
      <c r="G3891">
        <v>2</v>
      </c>
      <c r="H3891">
        <v>38</v>
      </c>
      <c r="I3891" s="25">
        <v>709</v>
      </c>
      <c r="K3891" t="s">
        <v>98</v>
      </c>
      <c r="M3891" t="s">
        <v>52</v>
      </c>
      <c r="N3891" t="s">
        <v>44</v>
      </c>
      <c r="O3891">
        <v>89</v>
      </c>
      <c r="Q3891">
        <v>1</v>
      </c>
      <c r="R3891">
        <v>1</v>
      </c>
      <c r="S3891">
        <v>0</v>
      </c>
      <c r="T3891">
        <v>0</v>
      </c>
      <c r="U3891">
        <v>0</v>
      </c>
      <c r="V3891">
        <v>0</v>
      </c>
      <c r="W3891">
        <v>1</v>
      </c>
      <c r="X3891" s="2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 s="21">
        <v>0</v>
      </c>
      <c r="AE3891" s="21">
        <v>0</v>
      </c>
      <c r="AF3891">
        <v>0</v>
      </c>
      <c r="AG3891">
        <v>0</v>
      </c>
      <c r="AH3891">
        <v>92</v>
      </c>
      <c r="AJ3891" t="s">
        <v>51</v>
      </c>
      <c r="AK3891" t="s">
        <v>95</v>
      </c>
      <c r="AP3891" t="s">
        <v>951</v>
      </c>
    </row>
    <row r="3892" spans="1:42">
      <c r="A3892" s="16">
        <v>43838</v>
      </c>
      <c r="B3892">
        <v>3</v>
      </c>
      <c r="C3892">
        <v>982</v>
      </c>
      <c r="D3892">
        <v>10418</v>
      </c>
      <c r="E3892" t="s">
        <v>37</v>
      </c>
      <c r="F3892" t="s">
        <v>949</v>
      </c>
      <c r="G3892">
        <v>2</v>
      </c>
      <c r="H3892">
        <v>39</v>
      </c>
      <c r="I3892" s="25" t="s">
        <v>1301</v>
      </c>
      <c r="K3892" t="s">
        <v>1302</v>
      </c>
      <c r="M3892" t="s">
        <v>52</v>
      </c>
      <c r="N3892" t="s">
        <v>44</v>
      </c>
      <c r="O3892">
        <v>140</v>
      </c>
      <c r="Q3892">
        <v>2</v>
      </c>
      <c r="R3892">
        <v>1</v>
      </c>
      <c r="S3892">
        <v>0</v>
      </c>
      <c r="T3892">
        <v>0</v>
      </c>
      <c r="U3892">
        <v>0</v>
      </c>
      <c r="V3892">
        <v>1</v>
      </c>
      <c r="W3892">
        <v>1</v>
      </c>
      <c r="X3892" s="21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 s="21">
        <v>0</v>
      </c>
      <c r="AE3892" s="21">
        <v>0</v>
      </c>
      <c r="AF3892">
        <v>0</v>
      </c>
      <c r="AG3892">
        <v>0</v>
      </c>
      <c r="AH3892">
        <v>160</v>
      </c>
      <c r="AJ3892" t="s">
        <v>51</v>
      </c>
      <c r="AK3892" t="s">
        <v>52</v>
      </c>
      <c r="AL3892" t="s">
        <v>1273</v>
      </c>
      <c r="AP3892" t="s">
        <v>951</v>
      </c>
    </row>
    <row r="3893" spans="1:42">
      <c r="A3893" s="16">
        <v>43838</v>
      </c>
      <c r="B3893">
        <v>3</v>
      </c>
      <c r="C3893">
        <v>982</v>
      </c>
      <c r="D3893">
        <v>10418</v>
      </c>
      <c r="E3893" t="s">
        <v>37</v>
      </c>
      <c r="F3893" t="s">
        <v>949</v>
      </c>
      <c r="G3893">
        <v>2</v>
      </c>
      <c r="H3893">
        <v>40</v>
      </c>
      <c r="I3893" s="25">
        <v>600</v>
      </c>
      <c r="K3893" t="s">
        <v>98</v>
      </c>
      <c r="L3893" t="s">
        <v>141</v>
      </c>
      <c r="M3893" t="s">
        <v>52</v>
      </c>
      <c r="N3893" t="s">
        <v>40</v>
      </c>
      <c r="O3893">
        <v>58</v>
      </c>
      <c r="Q3893">
        <v>2</v>
      </c>
      <c r="R3893">
        <v>1</v>
      </c>
      <c r="S3893">
        <v>0</v>
      </c>
      <c r="T3893">
        <v>0</v>
      </c>
      <c r="U3893">
        <v>2</v>
      </c>
      <c r="V3893">
        <v>0</v>
      </c>
      <c r="W3893">
        <v>0</v>
      </c>
      <c r="X3893" s="21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 s="21">
        <v>0</v>
      </c>
      <c r="AE3893" s="21">
        <v>0</v>
      </c>
      <c r="AF3893">
        <v>0</v>
      </c>
      <c r="AG3893">
        <v>0</v>
      </c>
      <c r="AH3893">
        <v>64</v>
      </c>
      <c r="AJ3893" t="s">
        <v>51</v>
      </c>
      <c r="AK3893" t="s">
        <v>52</v>
      </c>
      <c r="AP3893" t="s">
        <v>951</v>
      </c>
    </row>
    <row r="3894" spans="1:42">
      <c r="A3894" s="16">
        <v>43838</v>
      </c>
      <c r="B3894">
        <v>3</v>
      </c>
      <c r="C3894">
        <v>982</v>
      </c>
      <c r="D3894">
        <v>10418</v>
      </c>
      <c r="E3894" t="s">
        <v>37</v>
      </c>
      <c r="F3894" t="s">
        <v>949</v>
      </c>
      <c r="G3894">
        <v>2</v>
      </c>
      <c r="H3894">
        <v>41</v>
      </c>
      <c r="I3894" s="25">
        <v>600</v>
      </c>
      <c r="K3894" t="s">
        <v>98</v>
      </c>
      <c r="L3894" t="s">
        <v>141</v>
      </c>
      <c r="M3894" t="s">
        <v>52</v>
      </c>
      <c r="N3894" t="s">
        <v>40</v>
      </c>
      <c r="O3894">
        <v>51</v>
      </c>
      <c r="Q3894">
        <v>1</v>
      </c>
      <c r="R3894">
        <v>1</v>
      </c>
      <c r="S3894">
        <v>0</v>
      </c>
      <c r="T3894">
        <v>0</v>
      </c>
      <c r="U3894">
        <v>0</v>
      </c>
      <c r="V3894">
        <v>1</v>
      </c>
      <c r="W3894">
        <v>0</v>
      </c>
      <c r="X3894" s="21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 s="21">
        <v>0</v>
      </c>
      <c r="AE3894" s="21">
        <v>0</v>
      </c>
      <c r="AF3894">
        <v>0</v>
      </c>
      <c r="AG3894">
        <v>0</v>
      </c>
      <c r="AH3894">
        <v>64</v>
      </c>
      <c r="AJ3894" t="s">
        <v>51</v>
      </c>
      <c r="AK3894" t="s">
        <v>52</v>
      </c>
      <c r="AP3894" t="s">
        <v>951</v>
      </c>
    </row>
    <row r="3895" spans="1:42">
      <c r="A3895" s="16">
        <v>43838</v>
      </c>
      <c r="B3895">
        <v>3</v>
      </c>
      <c r="C3895">
        <v>982</v>
      </c>
      <c r="D3895">
        <v>10418</v>
      </c>
      <c r="E3895" t="s">
        <v>37</v>
      </c>
      <c r="F3895" t="s">
        <v>949</v>
      </c>
      <c r="G3895">
        <v>2</v>
      </c>
      <c r="H3895">
        <v>42</v>
      </c>
      <c r="I3895" s="25">
        <v>627</v>
      </c>
      <c r="K3895" t="s">
        <v>101</v>
      </c>
      <c r="M3895" t="s">
        <v>52</v>
      </c>
      <c r="N3895" t="s">
        <v>44</v>
      </c>
      <c r="O3895">
        <v>141</v>
      </c>
      <c r="Q3895">
        <v>2</v>
      </c>
      <c r="R3895">
        <v>1</v>
      </c>
      <c r="S3895">
        <v>0</v>
      </c>
      <c r="T3895">
        <v>0</v>
      </c>
      <c r="U3895">
        <v>0</v>
      </c>
      <c r="V3895">
        <v>0</v>
      </c>
      <c r="W3895">
        <v>2</v>
      </c>
      <c r="X3895" s="21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 s="21">
        <v>0</v>
      </c>
      <c r="AE3895" s="21">
        <v>0</v>
      </c>
      <c r="AF3895">
        <v>0</v>
      </c>
      <c r="AG3895">
        <v>0</v>
      </c>
      <c r="AH3895">
        <v>192</v>
      </c>
      <c r="AJ3895" t="s">
        <v>51</v>
      </c>
      <c r="AK3895" t="s">
        <v>95</v>
      </c>
      <c r="AL3895" t="s">
        <v>1303</v>
      </c>
      <c r="AP3895" t="s">
        <v>951</v>
      </c>
    </row>
    <row r="3896" spans="1:42">
      <c r="A3896" s="16">
        <v>43838</v>
      </c>
      <c r="B3896">
        <v>3</v>
      </c>
      <c r="C3896">
        <v>982</v>
      </c>
      <c r="D3896">
        <v>10418</v>
      </c>
      <c r="E3896" t="s">
        <v>37</v>
      </c>
      <c r="F3896" t="s">
        <v>949</v>
      </c>
      <c r="G3896">
        <v>2</v>
      </c>
      <c r="H3896">
        <v>43</v>
      </c>
      <c r="I3896" s="25">
        <v>114</v>
      </c>
      <c r="K3896" t="s">
        <v>53</v>
      </c>
      <c r="M3896" t="s">
        <v>52</v>
      </c>
      <c r="N3896" t="s">
        <v>44</v>
      </c>
      <c r="O3896">
        <v>114</v>
      </c>
      <c r="Q3896">
        <v>2</v>
      </c>
      <c r="R3896">
        <v>1</v>
      </c>
      <c r="S3896">
        <v>0</v>
      </c>
      <c r="T3896">
        <v>0</v>
      </c>
      <c r="U3896">
        <v>0</v>
      </c>
      <c r="V3896">
        <v>0</v>
      </c>
      <c r="W3896">
        <v>2</v>
      </c>
      <c r="X3896" s="21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 s="21">
        <v>0</v>
      </c>
      <c r="AE3896" s="21">
        <v>0</v>
      </c>
      <c r="AF3896">
        <v>0</v>
      </c>
      <c r="AG3896">
        <v>0</v>
      </c>
      <c r="AH3896">
        <v>192</v>
      </c>
      <c r="AJ3896" t="s">
        <v>51</v>
      </c>
      <c r="AK3896" t="s">
        <v>95</v>
      </c>
      <c r="AL3896" t="s">
        <v>1304</v>
      </c>
      <c r="AP3896" t="s">
        <v>951</v>
      </c>
    </row>
    <row r="3897" spans="1:42">
      <c r="A3897" s="16">
        <v>43838</v>
      </c>
      <c r="B3897">
        <v>3</v>
      </c>
      <c r="C3897">
        <v>982</v>
      </c>
      <c r="D3897">
        <v>10418</v>
      </c>
      <c r="E3897" t="s">
        <v>37</v>
      </c>
      <c r="F3897" t="s">
        <v>949</v>
      </c>
      <c r="G3897">
        <v>2</v>
      </c>
      <c r="H3897">
        <v>44</v>
      </c>
      <c r="I3897" s="25">
        <v>0</v>
      </c>
      <c r="K3897" t="s">
        <v>1060</v>
      </c>
      <c r="L3897" t="s">
        <v>141</v>
      </c>
      <c r="M3897" t="s">
        <v>52</v>
      </c>
      <c r="N3897" t="s">
        <v>40</v>
      </c>
      <c r="O3897">
        <v>116</v>
      </c>
      <c r="Q3897">
        <v>6</v>
      </c>
      <c r="R3897">
        <v>1</v>
      </c>
      <c r="S3897">
        <v>0</v>
      </c>
      <c r="T3897">
        <v>0</v>
      </c>
      <c r="U3897">
        <v>0</v>
      </c>
      <c r="V3897">
        <v>0</v>
      </c>
      <c r="W3897">
        <v>6</v>
      </c>
      <c r="X3897" s="21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 s="21">
        <v>0</v>
      </c>
      <c r="AE3897" s="21">
        <v>0</v>
      </c>
      <c r="AF3897">
        <v>0</v>
      </c>
      <c r="AG3897">
        <v>0</v>
      </c>
      <c r="AH3897">
        <v>576</v>
      </c>
      <c r="AJ3897" t="s">
        <v>51</v>
      </c>
      <c r="AK3897" t="s">
        <v>95</v>
      </c>
      <c r="AP3897" t="s">
        <v>951</v>
      </c>
    </row>
    <row r="3898" spans="1:42">
      <c r="A3898" s="16">
        <v>43838</v>
      </c>
      <c r="B3898">
        <v>3</v>
      </c>
      <c r="C3898">
        <v>982</v>
      </c>
      <c r="D3898">
        <v>10418</v>
      </c>
      <c r="E3898" t="s">
        <v>37</v>
      </c>
      <c r="F3898" t="s">
        <v>949</v>
      </c>
      <c r="G3898">
        <v>2</v>
      </c>
      <c r="H3898">
        <v>45</v>
      </c>
      <c r="I3898" s="25">
        <v>0</v>
      </c>
      <c r="K3898" t="s">
        <v>1060</v>
      </c>
      <c r="L3898" t="s">
        <v>141</v>
      </c>
      <c r="M3898" t="s">
        <v>52</v>
      </c>
      <c r="N3898" t="s">
        <v>40</v>
      </c>
      <c r="O3898">
        <v>68</v>
      </c>
      <c r="Q3898">
        <v>1</v>
      </c>
      <c r="R3898">
        <v>1</v>
      </c>
      <c r="S3898">
        <v>0</v>
      </c>
      <c r="T3898">
        <v>0</v>
      </c>
      <c r="U3898">
        <v>0</v>
      </c>
      <c r="V3898">
        <v>0</v>
      </c>
      <c r="W3898">
        <v>1</v>
      </c>
      <c r="X3898" s="21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 s="21">
        <v>0</v>
      </c>
      <c r="AE3898" s="21">
        <v>0</v>
      </c>
      <c r="AF3898">
        <v>0</v>
      </c>
      <c r="AG3898">
        <v>0</v>
      </c>
      <c r="AH3898">
        <v>96</v>
      </c>
      <c r="AJ3898" t="s">
        <v>51</v>
      </c>
      <c r="AK3898" t="s">
        <v>95</v>
      </c>
      <c r="AP3898" t="s">
        <v>951</v>
      </c>
    </row>
    <row r="3899" spans="1:42">
      <c r="A3899" s="16">
        <v>43838</v>
      </c>
      <c r="B3899">
        <v>3</v>
      </c>
      <c r="C3899">
        <v>982</v>
      </c>
      <c r="D3899">
        <v>10418</v>
      </c>
      <c r="E3899" t="s">
        <v>37</v>
      </c>
      <c r="F3899" t="s">
        <v>949</v>
      </c>
      <c r="G3899">
        <v>2</v>
      </c>
      <c r="H3899">
        <v>46</v>
      </c>
      <c r="I3899" s="25">
        <v>665</v>
      </c>
      <c r="K3899" t="s">
        <v>49</v>
      </c>
      <c r="M3899" t="s">
        <v>52</v>
      </c>
      <c r="N3899" t="s">
        <v>44</v>
      </c>
      <c r="O3899">
        <v>204</v>
      </c>
      <c r="Q3899">
        <v>3</v>
      </c>
      <c r="R3899">
        <v>1</v>
      </c>
      <c r="S3899">
        <v>0</v>
      </c>
      <c r="T3899">
        <v>0</v>
      </c>
      <c r="U3899">
        <v>0</v>
      </c>
      <c r="V3899">
        <v>0</v>
      </c>
      <c r="W3899">
        <v>3</v>
      </c>
      <c r="X3899" s="21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 s="21">
        <v>0</v>
      </c>
      <c r="AE3899" s="21">
        <v>0</v>
      </c>
      <c r="AF3899">
        <v>0</v>
      </c>
      <c r="AG3899">
        <v>0</v>
      </c>
      <c r="AH3899">
        <v>288</v>
      </c>
      <c r="AJ3899" t="s">
        <v>51</v>
      </c>
      <c r="AK3899" t="s">
        <v>95</v>
      </c>
      <c r="AL3899" t="s">
        <v>1305</v>
      </c>
      <c r="AP3899" t="s">
        <v>951</v>
      </c>
    </row>
    <row r="3900" spans="1:42">
      <c r="A3900" s="16">
        <v>43838</v>
      </c>
      <c r="B3900">
        <v>3</v>
      </c>
      <c r="C3900">
        <v>982</v>
      </c>
      <c r="D3900">
        <v>10418</v>
      </c>
      <c r="E3900" t="s">
        <v>37</v>
      </c>
      <c r="F3900" t="s">
        <v>949</v>
      </c>
      <c r="G3900">
        <v>2</v>
      </c>
      <c r="H3900">
        <v>47</v>
      </c>
      <c r="I3900" s="25">
        <v>620</v>
      </c>
      <c r="K3900" t="s">
        <v>49</v>
      </c>
      <c r="M3900" t="s">
        <v>52</v>
      </c>
      <c r="N3900" t="s">
        <v>44</v>
      </c>
      <c r="O3900">
        <v>182</v>
      </c>
      <c r="Q3900">
        <v>1</v>
      </c>
      <c r="R3900">
        <v>1</v>
      </c>
      <c r="S3900">
        <v>0</v>
      </c>
      <c r="T3900">
        <v>0</v>
      </c>
      <c r="U3900">
        <v>0</v>
      </c>
      <c r="V3900">
        <v>0</v>
      </c>
      <c r="W3900">
        <v>1</v>
      </c>
      <c r="X3900" s="21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 s="21">
        <v>0</v>
      </c>
      <c r="AE3900" s="21">
        <v>0</v>
      </c>
      <c r="AF3900">
        <v>0</v>
      </c>
      <c r="AG3900">
        <v>0</v>
      </c>
      <c r="AH3900">
        <v>96</v>
      </c>
      <c r="AJ3900" t="s">
        <v>51</v>
      </c>
      <c r="AK3900" t="s">
        <v>95</v>
      </c>
      <c r="AL3900" t="s">
        <v>1306</v>
      </c>
      <c r="AP3900" t="s">
        <v>951</v>
      </c>
    </row>
    <row r="3901" spans="1:42">
      <c r="A3901" s="16">
        <v>43838</v>
      </c>
      <c r="B3901">
        <v>3</v>
      </c>
      <c r="C3901">
        <v>982</v>
      </c>
      <c r="D3901">
        <v>10418</v>
      </c>
      <c r="E3901" t="s">
        <v>37</v>
      </c>
      <c r="F3901" t="s">
        <v>949</v>
      </c>
      <c r="G3901">
        <v>2</v>
      </c>
      <c r="H3901">
        <v>48</v>
      </c>
      <c r="I3901" s="25">
        <v>600</v>
      </c>
      <c r="K3901" t="s">
        <v>49</v>
      </c>
      <c r="L3901" t="s">
        <v>114</v>
      </c>
      <c r="M3901" t="s">
        <v>52</v>
      </c>
      <c r="N3901" t="s">
        <v>40</v>
      </c>
      <c r="O3901">
        <v>50</v>
      </c>
      <c r="Q3901">
        <v>1</v>
      </c>
      <c r="R3901">
        <v>1</v>
      </c>
      <c r="S3901">
        <v>0</v>
      </c>
      <c r="T3901">
        <v>0</v>
      </c>
      <c r="U3901">
        <v>0</v>
      </c>
      <c r="V3901">
        <v>0</v>
      </c>
      <c r="W3901">
        <v>1</v>
      </c>
      <c r="X3901" s="2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 s="21">
        <v>0</v>
      </c>
      <c r="AE3901" s="21">
        <v>0</v>
      </c>
      <c r="AF3901">
        <v>0</v>
      </c>
      <c r="AG3901">
        <v>0</v>
      </c>
      <c r="AH3901">
        <v>96</v>
      </c>
      <c r="AJ3901" t="s">
        <v>51</v>
      </c>
      <c r="AK3901" t="s">
        <v>52</v>
      </c>
      <c r="AP3901" t="s">
        <v>951</v>
      </c>
    </row>
    <row r="3902" spans="1:42">
      <c r="A3902" s="16">
        <v>43838</v>
      </c>
      <c r="B3902">
        <v>3</v>
      </c>
      <c r="C3902">
        <v>982</v>
      </c>
      <c r="D3902">
        <v>10418</v>
      </c>
      <c r="E3902" t="s">
        <v>37</v>
      </c>
      <c r="F3902" t="s">
        <v>949</v>
      </c>
      <c r="G3902">
        <v>2</v>
      </c>
      <c r="H3902">
        <v>49</v>
      </c>
      <c r="I3902" s="25">
        <v>665</v>
      </c>
      <c r="K3902" t="s">
        <v>49</v>
      </c>
      <c r="M3902" t="s">
        <v>52</v>
      </c>
      <c r="N3902" t="s">
        <v>44</v>
      </c>
      <c r="O3902">
        <v>122</v>
      </c>
      <c r="Q3902">
        <v>3</v>
      </c>
      <c r="R3902">
        <v>1</v>
      </c>
      <c r="S3902">
        <v>0</v>
      </c>
      <c r="T3902">
        <v>0</v>
      </c>
      <c r="U3902">
        <v>0</v>
      </c>
      <c r="V3902">
        <v>0</v>
      </c>
      <c r="W3902">
        <v>3</v>
      </c>
      <c r="X3902" s="21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 s="21">
        <v>0</v>
      </c>
      <c r="AE3902" s="21">
        <v>0</v>
      </c>
      <c r="AF3902">
        <v>0</v>
      </c>
      <c r="AG3902">
        <v>0</v>
      </c>
      <c r="AH3902">
        <v>288</v>
      </c>
      <c r="AJ3902" t="s">
        <v>51</v>
      </c>
      <c r="AK3902" t="s">
        <v>95</v>
      </c>
      <c r="AP3902" t="s">
        <v>951</v>
      </c>
    </row>
    <row r="3903" spans="1:42">
      <c r="A3903" s="16">
        <v>43838</v>
      </c>
      <c r="B3903">
        <v>3</v>
      </c>
      <c r="C3903">
        <v>982</v>
      </c>
      <c r="D3903">
        <v>10418</v>
      </c>
      <c r="E3903" t="s">
        <v>37</v>
      </c>
      <c r="F3903" t="s">
        <v>949</v>
      </c>
      <c r="G3903">
        <v>2</v>
      </c>
      <c r="H3903">
        <v>50</v>
      </c>
      <c r="I3903" s="25">
        <v>700</v>
      </c>
      <c r="K3903" t="s">
        <v>49</v>
      </c>
      <c r="L3903" t="s">
        <v>11</v>
      </c>
      <c r="M3903" t="s">
        <v>95</v>
      </c>
      <c r="N3903" t="s">
        <v>40</v>
      </c>
      <c r="O3903">
        <v>148</v>
      </c>
      <c r="Q3903">
        <v>4</v>
      </c>
      <c r="R3903">
        <v>1</v>
      </c>
      <c r="S3903">
        <v>0</v>
      </c>
      <c r="T3903">
        <v>0</v>
      </c>
      <c r="U3903">
        <v>0</v>
      </c>
      <c r="V3903">
        <v>0</v>
      </c>
      <c r="W3903">
        <v>4</v>
      </c>
      <c r="X3903" s="21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 s="21">
        <v>0</v>
      </c>
      <c r="AE3903" s="21">
        <v>0</v>
      </c>
      <c r="AF3903">
        <v>0</v>
      </c>
      <c r="AG3903">
        <v>0</v>
      </c>
      <c r="AH3903">
        <v>384</v>
      </c>
      <c r="AJ3903" t="s">
        <v>51</v>
      </c>
      <c r="AK3903" t="s">
        <v>52</v>
      </c>
      <c r="AP3903" t="s">
        <v>951</v>
      </c>
    </row>
    <row r="3904" spans="1:42">
      <c r="A3904" s="16">
        <v>43838</v>
      </c>
      <c r="B3904">
        <v>3</v>
      </c>
      <c r="C3904">
        <v>982</v>
      </c>
      <c r="D3904">
        <v>10418</v>
      </c>
      <c r="E3904" t="s">
        <v>37</v>
      </c>
      <c r="F3904" t="s">
        <v>949</v>
      </c>
      <c r="G3904">
        <v>2</v>
      </c>
      <c r="H3904">
        <v>51</v>
      </c>
      <c r="I3904" s="25">
        <v>745</v>
      </c>
      <c r="K3904" t="s">
        <v>49</v>
      </c>
      <c r="M3904" t="s">
        <v>52</v>
      </c>
      <c r="N3904" t="s">
        <v>44</v>
      </c>
      <c r="O3904">
        <v>137</v>
      </c>
      <c r="Q3904">
        <v>2</v>
      </c>
      <c r="R3904">
        <v>1</v>
      </c>
      <c r="S3904">
        <v>0</v>
      </c>
      <c r="T3904">
        <v>0</v>
      </c>
      <c r="U3904">
        <v>0</v>
      </c>
      <c r="V3904">
        <v>0</v>
      </c>
      <c r="W3904">
        <v>2</v>
      </c>
      <c r="X3904" s="21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 s="21">
        <v>0</v>
      </c>
      <c r="AE3904" s="21">
        <v>0</v>
      </c>
      <c r="AF3904">
        <v>0</v>
      </c>
      <c r="AG3904">
        <v>0</v>
      </c>
      <c r="AH3904">
        <v>192</v>
      </c>
      <c r="AJ3904" t="s">
        <v>51</v>
      </c>
      <c r="AK3904" t="s">
        <v>52</v>
      </c>
      <c r="AP3904" t="s">
        <v>951</v>
      </c>
    </row>
    <row r="3905" spans="1:42">
      <c r="A3905" s="16">
        <v>43838</v>
      </c>
      <c r="B3905">
        <v>3</v>
      </c>
      <c r="C3905">
        <v>982</v>
      </c>
      <c r="D3905">
        <v>10418</v>
      </c>
      <c r="E3905" t="s">
        <v>37</v>
      </c>
      <c r="F3905" t="s">
        <v>949</v>
      </c>
      <c r="G3905">
        <v>2</v>
      </c>
      <c r="H3905">
        <v>52</v>
      </c>
      <c r="I3905" s="25">
        <v>757</v>
      </c>
      <c r="K3905" t="s">
        <v>49</v>
      </c>
      <c r="M3905" t="s">
        <v>52</v>
      </c>
      <c r="N3905" t="s">
        <v>44</v>
      </c>
      <c r="O3905">
        <v>148</v>
      </c>
      <c r="Q3905">
        <v>3</v>
      </c>
      <c r="R3905">
        <v>1</v>
      </c>
      <c r="S3905">
        <v>0</v>
      </c>
      <c r="T3905">
        <v>0</v>
      </c>
      <c r="U3905">
        <v>0</v>
      </c>
      <c r="V3905">
        <v>3</v>
      </c>
      <c r="W3905">
        <v>0</v>
      </c>
      <c r="X3905" s="21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 s="21">
        <v>0</v>
      </c>
      <c r="AE3905" s="21">
        <v>0</v>
      </c>
      <c r="AF3905">
        <v>0</v>
      </c>
      <c r="AG3905">
        <v>0</v>
      </c>
      <c r="AH3905">
        <v>192</v>
      </c>
      <c r="AJ3905" t="s">
        <v>51</v>
      </c>
      <c r="AK3905" t="s">
        <v>52</v>
      </c>
      <c r="AL3905" t="s">
        <v>1307</v>
      </c>
      <c r="AP3905" t="s">
        <v>951</v>
      </c>
    </row>
    <row r="3906" spans="1:42">
      <c r="A3906" s="16">
        <v>43838</v>
      </c>
      <c r="B3906">
        <v>3</v>
      </c>
      <c r="C3906">
        <v>982</v>
      </c>
      <c r="D3906">
        <v>10418</v>
      </c>
      <c r="E3906" t="s">
        <v>37</v>
      </c>
      <c r="F3906" t="s">
        <v>949</v>
      </c>
      <c r="G3906">
        <v>2</v>
      </c>
      <c r="H3906">
        <v>53</v>
      </c>
      <c r="I3906" s="25">
        <v>765</v>
      </c>
      <c r="K3906" t="s">
        <v>49</v>
      </c>
      <c r="M3906" t="s">
        <v>52</v>
      </c>
      <c r="N3906" t="s">
        <v>44</v>
      </c>
      <c r="O3906">
        <v>156</v>
      </c>
      <c r="Q3906">
        <v>2</v>
      </c>
      <c r="R3906">
        <v>1</v>
      </c>
      <c r="S3906">
        <v>0</v>
      </c>
      <c r="T3906">
        <v>0</v>
      </c>
      <c r="U3906">
        <v>0</v>
      </c>
      <c r="V3906">
        <v>0</v>
      </c>
      <c r="W3906">
        <v>2</v>
      </c>
      <c r="X3906" s="21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 s="21">
        <v>0</v>
      </c>
      <c r="AE3906" s="21">
        <v>0</v>
      </c>
      <c r="AF3906">
        <v>0</v>
      </c>
      <c r="AG3906">
        <v>0</v>
      </c>
      <c r="AH3906">
        <v>192</v>
      </c>
      <c r="AJ3906" t="s">
        <v>51</v>
      </c>
      <c r="AK3906" t="s">
        <v>52</v>
      </c>
      <c r="AL3906" t="s">
        <v>1308</v>
      </c>
      <c r="AP3906" t="s">
        <v>951</v>
      </c>
    </row>
    <row r="3907" spans="1:42">
      <c r="A3907" s="16">
        <v>43838</v>
      </c>
      <c r="B3907">
        <v>3</v>
      </c>
      <c r="C3907">
        <v>982</v>
      </c>
      <c r="D3907">
        <v>10418</v>
      </c>
      <c r="E3907" t="s">
        <v>37</v>
      </c>
      <c r="F3907" t="s">
        <v>949</v>
      </c>
      <c r="G3907">
        <v>2</v>
      </c>
      <c r="H3907">
        <v>54</v>
      </c>
      <c r="I3907" s="25">
        <v>760</v>
      </c>
      <c r="K3907" t="s">
        <v>49</v>
      </c>
      <c r="M3907" t="s">
        <v>52</v>
      </c>
      <c r="N3907" t="s">
        <v>44</v>
      </c>
      <c r="O3907">
        <v>114</v>
      </c>
      <c r="Q3907">
        <v>2</v>
      </c>
      <c r="R3907">
        <v>1</v>
      </c>
      <c r="S3907">
        <v>0</v>
      </c>
      <c r="T3907">
        <v>0</v>
      </c>
      <c r="U3907">
        <v>0</v>
      </c>
      <c r="V3907">
        <v>0</v>
      </c>
      <c r="W3907">
        <v>2</v>
      </c>
      <c r="X3907" s="21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 s="21">
        <v>0</v>
      </c>
      <c r="AE3907" s="21">
        <v>0</v>
      </c>
      <c r="AF3907">
        <v>0</v>
      </c>
      <c r="AG3907">
        <v>0</v>
      </c>
      <c r="AH3907">
        <v>192</v>
      </c>
      <c r="AJ3907" t="s">
        <v>51</v>
      </c>
      <c r="AK3907" t="s">
        <v>52</v>
      </c>
      <c r="AL3907" t="s">
        <v>1309</v>
      </c>
      <c r="AP3907" t="s">
        <v>951</v>
      </c>
    </row>
    <row r="3908" spans="1:42">
      <c r="A3908" s="16">
        <v>43838</v>
      </c>
      <c r="B3908">
        <v>3</v>
      </c>
      <c r="C3908">
        <v>982</v>
      </c>
      <c r="D3908">
        <v>10418</v>
      </c>
      <c r="E3908" t="s">
        <v>37</v>
      </c>
      <c r="F3908" t="s">
        <v>949</v>
      </c>
      <c r="G3908">
        <v>2</v>
      </c>
      <c r="H3908">
        <v>55</v>
      </c>
      <c r="I3908" s="25">
        <v>795</v>
      </c>
      <c r="K3908" t="s">
        <v>49</v>
      </c>
      <c r="L3908" t="s">
        <v>141</v>
      </c>
      <c r="M3908" t="s">
        <v>52</v>
      </c>
      <c r="N3908" t="s">
        <v>40</v>
      </c>
      <c r="O3908">
        <v>104</v>
      </c>
      <c r="Q3908">
        <v>2</v>
      </c>
      <c r="R3908">
        <v>1</v>
      </c>
      <c r="S3908">
        <v>0</v>
      </c>
      <c r="T3908">
        <v>0</v>
      </c>
      <c r="U3908">
        <v>0</v>
      </c>
      <c r="V3908">
        <v>0</v>
      </c>
      <c r="W3908">
        <v>2</v>
      </c>
      <c r="X3908" s="21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 s="21">
        <v>0</v>
      </c>
      <c r="AE3908" s="21">
        <v>0</v>
      </c>
      <c r="AF3908">
        <v>0</v>
      </c>
      <c r="AG3908">
        <v>0</v>
      </c>
      <c r="AH3908">
        <v>192</v>
      </c>
      <c r="AJ3908" t="s">
        <v>51</v>
      </c>
      <c r="AK3908" t="s">
        <v>95</v>
      </c>
      <c r="AL3908" t="s">
        <v>1295</v>
      </c>
      <c r="AP3908" t="s">
        <v>951</v>
      </c>
    </row>
    <row r="3909" spans="1:42">
      <c r="A3909" s="16">
        <v>43838</v>
      </c>
      <c r="B3909">
        <v>3</v>
      </c>
      <c r="C3909">
        <v>982</v>
      </c>
      <c r="D3909">
        <v>10418</v>
      </c>
      <c r="E3909" t="s">
        <v>37</v>
      </c>
      <c r="F3909" t="s">
        <v>949</v>
      </c>
      <c r="G3909">
        <v>2</v>
      </c>
      <c r="H3909">
        <v>56</v>
      </c>
      <c r="I3909" s="25">
        <v>800</v>
      </c>
      <c r="K3909" t="s">
        <v>49</v>
      </c>
      <c r="L3909" t="s">
        <v>141</v>
      </c>
      <c r="M3909" t="s">
        <v>52</v>
      </c>
      <c r="N3909" t="s">
        <v>40</v>
      </c>
      <c r="O3909">
        <v>138</v>
      </c>
      <c r="Q3909">
        <v>6</v>
      </c>
      <c r="R3909" t="s">
        <v>44</v>
      </c>
      <c r="S3909">
        <v>0</v>
      </c>
      <c r="T3909">
        <v>0</v>
      </c>
      <c r="U3909">
        <v>0</v>
      </c>
      <c r="V3909">
        <v>0</v>
      </c>
      <c r="W3909">
        <v>6</v>
      </c>
      <c r="X3909" s="21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 s="21">
        <v>0</v>
      </c>
      <c r="AE3909" s="21">
        <v>0</v>
      </c>
      <c r="AF3909">
        <v>0</v>
      </c>
      <c r="AG3909">
        <v>0</v>
      </c>
      <c r="AH3909">
        <v>576</v>
      </c>
      <c r="AJ3909" t="s">
        <v>51</v>
      </c>
      <c r="AK3909" t="s">
        <v>95</v>
      </c>
      <c r="AP3909" t="s">
        <v>951</v>
      </c>
    </row>
    <row r="3910" spans="1:42">
      <c r="A3910" s="16">
        <v>43838</v>
      </c>
      <c r="B3910">
        <v>3</v>
      </c>
      <c r="C3910">
        <v>982</v>
      </c>
      <c r="D3910">
        <v>10418</v>
      </c>
      <c r="E3910" t="s">
        <v>37</v>
      </c>
      <c r="F3910" t="s">
        <v>949</v>
      </c>
      <c r="G3910">
        <v>2</v>
      </c>
      <c r="H3910">
        <v>57</v>
      </c>
      <c r="I3910" s="25">
        <v>845</v>
      </c>
      <c r="K3910" t="s">
        <v>49</v>
      </c>
      <c r="M3910" t="s">
        <v>52</v>
      </c>
      <c r="N3910" t="s">
        <v>44</v>
      </c>
      <c r="O3910">
        <v>158</v>
      </c>
      <c r="Q3910">
        <v>4</v>
      </c>
      <c r="R3910">
        <v>1</v>
      </c>
      <c r="S3910">
        <v>0</v>
      </c>
      <c r="T3910">
        <v>0</v>
      </c>
      <c r="U3910">
        <v>0</v>
      </c>
      <c r="V3910">
        <v>0</v>
      </c>
      <c r="W3910">
        <v>4</v>
      </c>
      <c r="X3910" s="21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 s="21">
        <v>0</v>
      </c>
      <c r="AE3910" s="21">
        <v>0</v>
      </c>
      <c r="AF3910">
        <v>0</v>
      </c>
      <c r="AG3910">
        <v>0</v>
      </c>
      <c r="AH3910">
        <v>384</v>
      </c>
      <c r="AJ3910" t="s">
        <v>54</v>
      </c>
      <c r="AK3910" t="s">
        <v>52</v>
      </c>
      <c r="AP3910" t="s">
        <v>951</v>
      </c>
    </row>
    <row r="3911" spans="1:42">
      <c r="A3911" s="16">
        <v>43838</v>
      </c>
      <c r="B3911">
        <v>3</v>
      </c>
      <c r="C3911">
        <v>982</v>
      </c>
      <c r="D3911">
        <v>10418</v>
      </c>
      <c r="E3911" t="s">
        <v>37</v>
      </c>
      <c r="F3911" t="s">
        <v>949</v>
      </c>
      <c r="G3911">
        <v>2</v>
      </c>
      <c r="H3911">
        <v>58</v>
      </c>
      <c r="I3911" s="25">
        <v>861</v>
      </c>
      <c r="K3911" t="s">
        <v>49</v>
      </c>
      <c r="M3911" t="s">
        <v>52</v>
      </c>
      <c r="N3911" t="s">
        <v>44</v>
      </c>
      <c r="O3911">
        <v>129</v>
      </c>
      <c r="Q3911">
        <v>2</v>
      </c>
      <c r="R3911">
        <v>1</v>
      </c>
      <c r="S3911">
        <v>0</v>
      </c>
      <c r="T3911">
        <v>0</v>
      </c>
      <c r="U3911">
        <v>0</v>
      </c>
      <c r="V3911">
        <v>0</v>
      </c>
      <c r="W3911">
        <v>2</v>
      </c>
      <c r="X3911" s="2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 s="21">
        <v>0</v>
      </c>
      <c r="AE3911" s="21">
        <v>0</v>
      </c>
      <c r="AF3911">
        <v>0</v>
      </c>
      <c r="AG3911">
        <v>0</v>
      </c>
      <c r="AH3911">
        <v>192</v>
      </c>
      <c r="AJ3911" t="s">
        <v>54</v>
      </c>
      <c r="AK3911" t="s">
        <v>52</v>
      </c>
      <c r="AP3911" t="s">
        <v>951</v>
      </c>
    </row>
    <row r="3912" spans="1:42">
      <c r="A3912" s="16">
        <v>43838</v>
      </c>
      <c r="B3912">
        <v>3</v>
      </c>
      <c r="C3912">
        <v>982</v>
      </c>
      <c r="D3912">
        <v>10418</v>
      </c>
      <c r="E3912" t="s">
        <v>37</v>
      </c>
      <c r="F3912" t="s">
        <v>949</v>
      </c>
      <c r="G3912">
        <v>2</v>
      </c>
      <c r="H3912">
        <v>59</v>
      </c>
      <c r="I3912" s="25">
        <v>800</v>
      </c>
      <c r="K3912" t="s">
        <v>49</v>
      </c>
      <c r="L3912" t="s">
        <v>11</v>
      </c>
      <c r="M3912" t="s">
        <v>95</v>
      </c>
      <c r="N3912" t="s">
        <v>44</v>
      </c>
      <c r="O3912">
        <v>115</v>
      </c>
      <c r="Q3912">
        <v>2</v>
      </c>
      <c r="R3912">
        <v>1</v>
      </c>
      <c r="S3912">
        <v>0</v>
      </c>
      <c r="T3912">
        <v>0</v>
      </c>
      <c r="U3912">
        <v>0</v>
      </c>
      <c r="V3912">
        <v>1</v>
      </c>
      <c r="W3912">
        <v>1</v>
      </c>
      <c r="X3912" s="21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 s="21">
        <v>0</v>
      </c>
      <c r="AE3912" s="21">
        <v>0</v>
      </c>
      <c r="AF3912">
        <v>0</v>
      </c>
      <c r="AG3912">
        <v>0</v>
      </c>
      <c r="AH3912">
        <v>160</v>
      </c>
      <c r="AJ3912" t="s">
        <v>54</v>
      </c>
      <c r="AK3912" t="s">
        <v>52</v>
      </c>
      <c r="AP3912" t="s">
        <v>951</v>
      </c>
    </row>
    <row r="3913" spans="1:42">
      <c r="A3913" s="16">
        <v>43838</v>
      </c>
      <c r="B3913">
        <v>3</v>
      </c>
      <c r="C3913">
        <v>982</v>
      </c>
      <c r="D3913">
        <v>10418</v>
      </c>
      <c r="E3913" t="s">
        <v>37</v>
      </c>
      <c r="F3913" t="s">
        <v>949</v>
      </c>
      <c r="G3913">
        <v>2</v>
      </c>
      <c r="H3913">
        <v>60</v>
      </c>
      <c r="I3913" s="25">
        <v>895</v>
      </c>
      <c r="K3913" t="s">
        <v>49</v>
      </c>
      <c r="M3913" t="s">
        <v>52</v>
      </c>
      <c r="N3913" t="s">
        <v>44</v>
      </c>
      <c r="O3913">
        <v>145</v>
      </c>
      <c r="Q3913">
        <v>2</v>
      </c>
      <c r="R3913">
        <v>1</v>
      </c>
      <c r="S3913">
        <v>0</v>
      </c>
      <c r="T3913">
        <v>0</v>
      </c>
      <c r="U3913">
        <v>0</v>
      </c>
      <c r="V3913">
        <v>0</v>
      </c>
      <c r="W3913">
        <v>2</v>
      </c>
      <c r="X3913" s="21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 s="21">
        <v>0</v>
      </c>
      <c r="AE3913" s="21">
        <v>0</v>
      </c>
      <c r="AF3913">
        <v>0</v>
      </c>
      <c r="AG3913">
        <v>0</v>
      </c>
      <c r="AH3913">
        <v>192</v>
      </c>
      <c r="AJ3913" t="s">
        <v>54</v>
      </c>
      <c r="AK3913" t="s">
        <v>52</v>
      </c>
      <c r="AL3913" t="s">
        <v>1310</v>
      </c>
      <c r="AP3913" t="s">
        <v>951</v>
      </c>
    </row>
    <row r="3914" spans="1:42">
      <c r="A3914" s="16">
        <v>43838</v>
      </c>
      <c r="B3914">
        <v>3</v>
      </c>
      <c r="C3914">
        <v>982</v>
      </c>
      <c r="D3914">
        <v>10418</v>
      </c>
      <c r="E3914" t="s">
        <v>37</v>
      </c>
      <c r="F3914" t="s">
        <v>949</v>
      </c>
      <c r="G3914">
        <v>2</v>
      </c>
      <c r="H3914">
        <v>61</v>
      </c>
      <c r="I3914" s="25">
        <v>884</v>
      </c>
      <c r="K3914" t="s">
        <v>49</v>
      </c>
      <c r="M3914" t="s">
        <v>52</v>
      </c>
      <c r="N3914" t="s">
        <v>44</v>
      </c>
      <c r="O3914">
        <v>181</v>
      </c>
      <c r="Q3914">
        <v>3</v>
      </c>
      <c r="R3914">
        <v>1</v>
      </c>
      <c r="S3914">
        <v>0</v>
      </c>
      <c r="T3914">
        <v>0</v>
      </c>
      <c r="U3914">
        <v>0</v>
      </c>
      <c r="V3914">
        <v>0</v>
      </c>
      <c r="W3914">
        <v>3</v>
      </c>
      <c r="X3914" s="21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 s="21">
        <v>0</v>
      </c>
      <c r="AE3914" s="21">
        <v>0</v>
      </c>
      <c r="AF3914">
        <v>0</v>
      </c>
      <c r="AG3914">
        <v>0</v>
      </c>
      <c r="AH3914">
        <v>288</v>
      </c>
      <c r="AJ3914" t="s">
        <v>51</v>
      </c>
      <c r="AK3914" t="s">
        <v>52</v>
      </c>
      <c r="AL3914" t="s">
        <v>1311</v>
      </c>
      <c r="AP3914" t="s">
        <v>951</v>
      </c>
    </row>
    <row r="3915" spans="1:42">
      <c r="A3915" s="16">
        <v>43838</v>
      </c>
      <c r="B3915">
        <v>3</v>
      </c>
      <c r="C3915">
        <v>982</v>
      </c>
      <c r="D3915">
        <v>10418</v>
      </c>
      <c r="E3915" t="s">
        <v>37</v>
      </c>
      <c r="F3915" t="s">
        <v>949</v>
      </c>
      <c r="G3915">
        <v>2</v>
      </c>
      <c r="H3915">
        <v>62</v>
      </c>
      <c r="I3915" s="25">
        <v>930</v>
      </c>
      <c r="K3915" t="s">
        <v>49</v>
      </c>
      <c r="M3915" t="s">
        <v>52</v>
      </c>
      <c r="N3915" t="s">
        <v>44</v>
      </c>
      <c r="O3915">
        <v>52</v>
      </c>
      <c r="Q3915">
        <v>2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2</v>
      </c>
      <c r="X3915" s="21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 s="21">
        <v>0</v>
      </c>
      <c r="AE3915" s="21">
        <v>0</v>
      </c>
      <c r="AF3915">
        <v>0</v>
      </c>
      <c r="AG3915">
        <v>0</v>
      </c>
      <c r="AH3915">
        <v>192</v>
      </c>
      <c r="AJ3915" t="s">
        <v>51</v>
      </c>
      <c r="AK3915" t="s">
        <v>52</v>
      </c>
      <c r="AP3915" t="s">
        <v>951</v>
      </c>
    </row>
    <row r="3916" spans="1:42">
      <c r="A3916" s="16">
        <v>43838</v>
      </c>
      <c r="B3916">
        <v>3</v>
      </c>
      <c r="C3916">
        <v>982</v>
      </c>
      <c r="D3916">
        <v>10418</v>
      </c>
      <c r="E3916" t="s">
        <v>37</v>
      </c>
      <c r="F3916" t="s">
        <v>949</v>
      </c>
      <c r="G3916">
        <v>2</v>
      </c>
      <c r="H3916">
        <v>63</v>
      </c>
      <c r="I3916" s="25">
        <v>805</v>
      </c>
      <c r="K3916" t="s">
        <v>91</v>
      </c>
      <c r="M3916" t="s">
        <v>52</v>
      </c>
      <c r="N3916" t="s">
        <v>44</v>
      </c>
      <c r="O3916">
        <v>159</v>
      </c>
      <c r="Q3916">
        <v>2</v>
      </c>
      <c r="R3916">
        <v>1</v>
      </c>
      <c r="S3916">
        <v>0</v>
      </c>
      <c r="T3916">
        <v>0</v>
      </c>
      <c r="U3916">
        <v>0</v>
      </c>
      <c r="V3916">
        <v>0</v>
      </c>
      <c r="W3916">
        <v>2</v>
      </c>
      <c r="X3916" s="21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 s="21">
        <v>0</v>
      </c>
      <c r="AE3916" s="21">
        <v>0</v>
      </c>
      <c r="AF3916">
        <v>0</v>
      </c>
      <c r="AG3916">
        <v>0</v>
      </c>
      <c r="AH3916">
        <v>192</v>
      </c>
      <c r="AJ3916" t="s">
        <v>51</v>
      </c>
      <c r="AK3916" t="s">
        <v>52</v>
      </c>
      <c r="AL3916" t="s">
        <v>1312</v>
      </c>
      <c r="AP3916" t="s">
        <v>951</v>
      </c>
    </row>
    <row r="3917" spans="1:42">
      <c r="A3917" s="16">
        <v>43838</v>
      </c>
      <c r="B3917">
        <v>3</v>
      </c>
      <c r="C3917">
        <v>982</v>
      </c>
      <c r="D3917">
        <v>10418</v>
      </c>
      <c r="E3917" t="s">
        <v>37</v>
      </c>
      <c r="F3917" t="s">
        <v>949</v>
      </c>
      <c r="G3917">
        <v>2</v>
      </c>
      <c r="H3917">
        <v>64</v>
      </c>
      <c r="I3917" s="25">
        <v>900</v>
      </c>
      <c r="K3917" t="s">
        <v>49</v>
      </c>
      <c r="L3917" t="s">
        <v>114</v>
      </c>
      <c r="M3917" t="s">
        <v>52</v>
      </c>
      <c r="N3917" t="s">
        <v>40</v>
      </c>
      <c r="O3917">
        <v>95</v>
      </c>
      <c r="Q3917">
        <v>3</v>
      </c>
      <c r="R3917">
        <v>1</v>
      </c>
      <c r="S3917">
        <v>0</v>
      </c>
      <c r="T3917">
        <v>0</v>
      </c>
      <c r="U3917">
        <v>0</v>
      </c>
      <c r="V3917">
        <v>0</v>
      </c>
      <c r="W3917">
        <v>3</v>
      </c>
      <c r="X3917" s="21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 s="21">
        <v>0</v>
      </c>
      <c r="AE3917" s="21">
        <v>0</v>
      </c>
      <c r="AF3917">
        <v>0</v>
      </c>
      <c r="AG3917">
        <v>0</v>
      </c>
      <c r="AH3917">
        <v>288</v>
      </c>
      <c r="AJ3917" t="s">
        <v>51</v>
      </c>
      <c r="AK3917" t="s">
        <v>52</v>
      </c>
      <c r="AP3917" t="s">
        <v>951</v>
      </c>
    </row>
    <row r="3918" spans="1:42">
      <c r="A3918" s="16">
        <v>43838</v>
      </c>
      <c r="B3918">
        <v>3</v>
      </c>
      <c r="C3918">
        <v>982</v>
      </c>
      <c r="D3918">
        <v>10418</v>
      </c>
      <c r="E3918" t="s">
        <v>37</v>
      </c>
      <c r="F3918" t="s">
        <v>949</v>
      </c>
      <c r="G3918">
        <v>2</v>
      </c>
      <c r="H3918">
        <v>65</v>
      </c>
      <c r="I3918" s="25">
        <v>900</v>
      </c>
      <c r="K3918" t="s">
        <v>49</v>
      </c>
      <c r="L3918" t="s">
        <v>11</v>
      </c>
      <c r="M3918" t="s">
        <v>95</v>
      </c>
      <c r="N3918" t="s">
        <v>40</v>
      </c>
      <c r="O3918">
        <v>104</v>
      </c>
      <c r="Q3918">
        <v>4</v>
      </c>
      <c r="R3918">
        <v>1</v>
      </c>
      <c r="S3918">
        <v>0</v>
      </c>
      <c r="T3918">
        <v>0</v>
      </c>
      <c r="U3918">
        <v>2</v>
      </c>
      <c r="V3918">
        <v>0</v>
      </c>
      <c r="W3918">
        <v>2</v>
      </c>
      <c r="X3918" s="21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 s="21">
        <v>0</v>
      </c>
      <c r="AE3918" s="21">
        <v>0</v>
      </c>
      <c r="AF3918">
        <v>0</v>
      </c>
      <c r="AG3918">
        <v>0</v>
      </c>
      <c r="AH3918">
        <v>256</v>
      </c>
      <c r="AJ3918" t="s">
        <v>51</v>
      </c>
      <c r="AK3918" t="s">
        <v>52</v>
      </c>
      <c r="AP3918" t="s">
        <v>951</v>
      </c>
    </row>
    <row r="3919" spans="1:42">
      <c r="A3919" s="16">
        <v>43838</v>
      </c>
      <c r="B3919">
        <v>3</v>
      </c>
      <c r="C3919">
        <v>982</v>
      </c>
      <c r="D3919">
        <v>10418</v>
      </c>
      <c r="E3919" t="s">
        <v>37</v>
      </c>
      <c r="F3919" t="s">
        <v>949</v>
      </c>
      <c r="G3919">
        <v>2</v>
      </c>
      <c r="H3919">
        <v>66</v>
      </c>
      <c r="I3919" s="25">
        <v>952</v>
      </c>
      <c r="K3919" t="s">
        <v>49</v>
      </c>
      <c r="M3919" t="s">
        <v>52</v>
      </c>
      <c r="N3919" t="s">
        <v>44</v>
      </c>
      <c r="O3919">
        <v>123</v>
      </c>
      <c r="Q3919">
        <v>2</v>
      </c>
      <c r="R3919">
        <v>1</v>
      </c>
      <c r="S3919">
        <v>0</v>
      </c>
      <c r="T3919">
        <v>0</v>
      </c>
      <c r="U3919">
        <v>0</v>
      </c>
      <c r="V3919">
        <v>0</v>
      </c>
      <c r="W3919">
        <v>2</v>
      </c>
      <c r="X3919" s="21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 s="21">
        <v>0</v>
      </c>
      <c r="AE3919" s="21">
        <v>0</v>
      </c>
      <c r="AF3919">
        <v>0</v>
      </c>
      <c r="AG3919">
        <v>0</v>
      </c>
      <c r="AH3919">
        <v>192</v>
      </c>
      <c r="AJ3919" t="s">
        <v>51</v>
      </c>
      <c r="AK3919" t="s">
        <v>52</v>
      </c>
      <c r="AL3919" t="s">
        <v>1313</v>
      </c>
      <c r="AP3919" t="s">
        <v>951</v>
      </c>
    </row>
    <row r="3920" spans="1:42">
      <c r="A3920" s="16">
        <v>43838</v>
      </c>
      <c r="B3920">
        <v>3</v>
      </c>
      <c r="C3920">
        <v>982</v>
      </c>
      <c r="D3920">
        <v>10418</v>
      </c>
      <c r="E3920" t="s">
        <v>37</v>
      </c>
      <c r="F3920" t="s">
        <v>949</v>
      </c>
      <c r="G3920">
        <v>2</v>
      </c>
      <c r="H3920">
        <v>67</v>
      </c>
      <c r="I3920" s="25">
        <v>1040</v>
      </c>
      <c r="K3920" t="s">
        <v>49</v>
      </c>
      <c r="M3920" t="s">
        <v>52</v>
      </c>
      <c r="N3920" t="s">
        <v>44</v>
      </c>
      <c r="O3920">
        <v>95</v>
      </c>
      <c r="Q3920">
        <v>1</v>
      </c>
      <c r="R3920">
        <v>1</v>
      </c>
      <c r="S3920">
        <v>0</v>
      </c>
      <c r="T3920">
        <v>0</v>
      </c>
      <c r="U3920">
        <v>0</v>
      </c>
      <c r="V3920">
        <v>0</v>
      </c>
      <c r="W3920">
        <v>1</v>
      </c>
      <c r="X3920" s="21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 s="21">
        <v>0</v>
      </c>
      <c r="AE3920" s="21">
        <v>0</v>
      </c>
      <c r="AF3920">
        <v>0</v>
      </c>
      <c r="AG3920">
        <v>0</v>
      </c>
      <c r="AH3920">
        <v>96</v>
      </c>
      <c r="AJ3920" t="s">
        <v>51</v>
      </c>
      <c r="AK3920" t="s">
        <v>52</v>
      </c>
      <c r="AL3920" t="s">
        <v>1314</v>
      </c>
      <c r="AP3920" t="s">
        <v>951</v>
      </c>
    </row>
    <row r="3921" spans="1:42">
      <c r="A3921" s="16">
        <v>43838</v>
      </c>
      <c r="B3921">
        <v>3</v>
      </c>
      <c r="C3921">
        <v>982</v>
      </c>
      <c r="D3921">
        <v>10418</v>
      </c>
      <c r="E3921" t="s">
        <v>37</v>
      </c>
      <c r="F3921" t="s">
        <v>949</v>
      </c>
      <c r="G3921">
        <v>2</v>
      </c>
      <c r="H3921">
        <v>68</v>
      </c>
      <c r="I3921" s="25">
        <v>1025</v>
      </c>
      <c r="K3921" t="s">
        <v>49</v>
      </c>
      <c r="M3921" t="s">
        <v>52</v>
      </c>
      <c r="N3921" t="s">
        <v>44</v>
      </c>
      <c r="O3921">
        <v>100</v>
      </c>
      <c r="Q3921">
        <v>2</v>
      </c>
      <c r="R3921">
        <v>1</v>
      </c>
      <c r="S3921">
        <v>0</v>
      </c>
      <c r="T3921">
        <v>0</v>
      </c>
      <c r="U3921">
        <v>0</v>
      </c>
      <c r="V3921">
        <v>0</v>
      </c>
      <c r="W3921">
        <v>2</v>
      </c>
      <c r="X3921" s="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 s="21">
        <v>0</v>
      </c>
      <c r="AE3921" s="21">
        <v>0</v>
      </c>
      <c r="AF3921">
        <v>0</v>
      </c>
      <c r="AG3921">
        <v>0</v>
      </c>
      <c r="AH3921">
        <v>192</v>
      </c>
      <c r="AJ3921" t="s">
        <v>51</v>
      </c>
      <c r="AK3921" t="s">
        <v>52</v>
      </c>
      <c r="AL3921" t="s">
        <v>654</v>
      </c>
      <c r="AP3921" t="s">
        <v>951</v>
      </c>
    </row>
    <row r="3922" spans="1:42">
      <c r="A3922" s="16">
        <v>43838</v>
      </c>
      <c r="B3922">
        <v>3</v>
      </c>
      <c r="C3922">
        <v>982</v>
      </c>
      <c r="D3922">
        <v>10418</v>
      </c>
      <c r="E3922" t="s">
        <v>37</v>
      </c>
      <c r="F3922" t="s">
        <v>949</v>
      </c>
      <c r="G3922">
        <v>2</v>
      </c>
      <c r="H3922">
        <v>69</v>
      </c>
      <c r="I3922" s="25">
        <v>1035</v>
      </c>
      <c r="K3922" t="s">
        <v>49</v>
      </c>
      <c r="M3922" t="s">
        <v>52</v>
      </c>
      <c r="N3922" t="s">
        <v>44</v>
      </c>
      <c r="O3922">
        <v>103</v>
      </c>
      <c r="Q3922">
        <v>2</v>
      </c>
      <c r="R3922">
        <v>1</v>
      </c>
      <c r="S3922">
        <v>0</v>
      </c>
      <c r="T3922">
        <v>0</v>
      </c>
      <c r="U3922">
        <v>0</v>
      </c>
      <c r="V3922">
        <v>0</v>
      </c>
      <c r="W3922">
        <v>2</v>
      </c>
      <c r="X3922" s="21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 s="21">
        <v>0</v>
      </c>
      <c r="AE3922" s="21">
        <v>0</v>
      </c>
      <c r="AF3922">
        <v>0</v>
      </c>
      <c r="AG3922">
        <v>0</v>
      </c>
      <c r="AH3922">
        <v>192</v>
      </c>
      <c r="AJ3922" t="s">
        <v>51</v>
      </c>
      <c r="AK3922" t="s">
        <v>52</v>
      </c>
      <c r="AL3922" t="s">
        <v>1315</v>
      </c>
      <c r="AP3922" t="s">
        <v>951</v>
      </c>
    </row>
    <row r="3923" spans="1:42">
      <c r="A3923" s="16">
        <v>43838</v>
      </c>
      <c r="B3923">
        <v>3</v>
      </c>
      <c r="C3923">
        <v>982</v>
      </c>
      <c r="D3923">
        <v>10418</v>
      </c>
      <c r="E3923" t="s">
        <v>37</v>
      </c>
      <c r="F3923" t="s">
        <v>949</v>
      </c>
      <c r="G3923">
        <v>2</v>
      </c>
      <c r="H3923">
        <v>70</v>
      </c>
      <c r="I3923" s="25">
        <v>1080</v>
      </c>
      <c r="K3923" t="s">
        <v>49</v>
      </c>
      <c r="M3923" t="s">
        <v>52</v>
      </c>
      <c r="N3923" t="s">
        <v>44</v>
      </c>
      <c r="O3923">
        <v>154</v>
      </c>
      <c r="Q3923">
        <v>2</v>
      </c>
      <c r="R3923">
        <v>1</v>
      </c>
      <c r="S3923">
        <v>0</v>
      </c>
      <c r="T3923">
        <v>0</v>
      </c>
      <c r="U3923">
        <v>0</v>
      </c>
      <c r="V3923">
        <v>0</v>
      </c>
      <c r="W3923">
        <v>2</v>
      </c>
      <c r="X3923" s="21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 s="21">
        <v>0</v>
      </c>
      <c r="AE3923" s="21">
        <v>0</v>
      </c>
      <c r="AF3923">
        <v>0</v>
      </c>
      <c r="AG3923">
        <v>0</v>
      </c>
      <c r="AH3923">
        <v>192</v>
      </c>
      <c r="AJ3923" t="s">
        <v>51</v>
      </c>
      <c r="AK3923" t="s">
        <v>52</v>
      </c>
      <c r="AL3923" t="s">
        <v>1316</v>
      </c>
      <c r="AP3923" t="s">
        <v>951</v>
      </c>
    </row>
    <row r="3924" spans="1:42">
      <c r="A3924" s="16">
        <v>43838</v>
      </c>
      <c r="B3924">
        <v>3</v>
      </c>
      <c r="C3924">
        <v>982</v>
      </c>
      <c r="D3924">
        <v>10418</v>
      </c>
      <c r="E3924" t="s">
        <v>37</v>
      </c>
      <c r="F3924" t="s">
        <v>949</v>
      </c>
      <c r="G3924">
        <v>2</v>
      </c>
      <c r="H3924">
        <v>71</v>
      </c>
      <c r="I3924" s="25">
        <v>1000</v>
      </c>
      <c r="K3924" t="s">
        <v>49</v>
      </c>
      <c r="L3924" t="s">
        <v>141</v>
      </c>
      <c r="M3924" t="s">
        <v>52</v>
      </c>
      <c r="N3924" t="s">
        <v>40</v>
      </c>
      <c r="O3924">
        <v>206</v>
      </c>
      <c r="Q3924">
        <v>6</v>
      </c>
      <c r="R3924">
        <v>1</v>
      </c>
      <c r="S3924">
        <v>0</v>
      </c>
      <c r="T3924">
        <v>0</v>
      </c>
      <c r="U3924">
        <v>0</v>
      </c>
      <c r="V3924">
        <v>0</v>
      </c>
      <c r="W3924">
        <v>6</v>
      </c>
      <c r="X3924" s="21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 s="21">
        <v>0</v>
      </c>
      <c r="AE3924" s="21">
        <v>0</v>
      </c>
      <c r="AF3924">
        <v>0</v>
      </c>
      <c r="AG3924">
        <v>0</v>
      </c>
      <c r="AH3924">
        <v>576</v>
      </c>
      <c r="AJ3924" t="s">
        <v>51</v>
      </c>
      <c r="AK3924" t="s">
        <v>95</v>
      </c>
      <c r="AP3924" t="s">
        <v>951</v>
      </c>
    </row>
    <row r="3925" spans="1:42">
      <c r="A3925" s="16">
        <v>43838</v>
      </c>
      <c r="B3925">
        <v>3</v>
      </c>
      <c r="C3925">
        <v>982</v>
      </c>
      <c r="D3925">
        <v>10418</v>
      </c>
      <c r="E3925" t="s">
        <v>37</v>
      </c>
      <c r="F3925" t="s">
        <v>949</v>
      </c>
      <c r="G3925">
        <v>2</v>
      </c>
      <c r="H3925">
        <v>72</v>
      </c>
      <c r="I3925" s="25">
        <v>1000</v>
      </c>
      <c r="K3925" t="s">
        <v>49</v>
      </c>
      <c r="L3925" t="s">
        <v>114</v>
      </c>
      <c r="M3925" t="s">
        <v>52</v>
      </c>
      <c r="N3925" t="s">
        <v>40</v>
      </c>
      <c r="O3925">
        <v>59</v>
      </c>
      <c r="Q3925">
        <v>1</v>
      </c>
      <c r="R3925">
        <v>1</v>
      </c>
      <c r="S3925">
        <v>0</v>
      </c>
      <c r="T3925">
        <v>0</v>
      </c>
      <c r="U3925">
        <v>0</v>
      </c>
      <c r="V3925">
        <v>0</v>
      </c>
      <c r="W3925">
        <v>1</v>
      </c>
      <c r="X3925" s="21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 s="21">
        <v>0</v>
      </c>
      <c r="AE3925" s="21">
        <v>0</v>
      </c>
      <c r="AF3925">
        <v>0</v>
      </c>
      <c r="AG3925">
        <v>0</v>
      </c>
      <c r="AH3925">
        <v>96</v>
      </c>
      <c r="AJ3925" t="s">
        <v>51</v>
      </c>
      <c r="AK3925" t="s">
        <v>95</v>
      </c>
      <c r="AL3925" t="s">
        <v>1317</v>
      </c>
      <c r="AP3925" t="s">
        <v>951</v>
      </c>
    </row>
    <row r="3926" spans="1:42">
      <c r="A3926" s="16">
        <v>43838</v>
      </c>
      <c r="B3926">
        <v>3</v>
      </c>
      <c r="C3926">
        <v>982</v>
      </c>
      <c r="D3926">
        <v>10418</v>
      </c>
      <c r="E3926" t="s">
        <v>37</v>
      </c>
      <c r="F3926" t="s">
        <v>949</v>
      </c>
      <c r="G3926">
        <v>2</v>
      </c>
      <c r="H3926">
        <v>73</v>
      </c>
      <c r="I3926" s="25">
        <v>1077</v>
      </c>
      <c r="K3926" t="s">
        <v>49</v>
      </c>
      <c r="M3926" t="s">
        <v>52</v>
      </c>
      <c r="N3926" t="s">
        <v>44</v>
      </c>
      <c r="O3926">
        <v>71</v>
      </c>
      <c r="Q3926">
        <v>2</v>
      </c>
      <c r="R3926">
        <v>1</v>
      </c>
      <c r="S3926">
        <v>0</v>
      </c>
      <c r="T3926">
        <v>0</v>
      </c>
      <c r="U3926">
        <v>0</v>
      </c>
      <c r="V3926">
        <v>0</v>
      </c>
      <c r="W3926">
        <v>2</v>
      </c>
      <c r="X3926" s="21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 s="21">
        <v>0</v>
      </c>
      <c r="AE3926" s="21">
        <v>0</v>
      </c>
      <c r="AF3926">
        <v>0</v>
      </c>
      <c r="AG3926">
        <v>0</v>
      </c>
      <c r="AH3926">
        <v>192</v>
      </c>
      <c r="AJ3926" t="s">
        <v>51</v>
      </c>
      <c r="AK3926" t="s">
        <v>52</v>
      </c>
      <c r="AP3926" t="s">
        <v>951</v>
      </c>
    </row>
    <row r="3927" spans="1:42">
      <c r="A3927" s="16">
        <v>43838</v>
      </c>
      <c r="B3927">
        <v>3</v>
      </c>
      <c r="C3927">
        <v>982</v>
      </c>
      <c r="D3927">
        <v>10418</v>
      </c>
      <c r="E3927" t="s">
        <v>37</v>
      </c>
      <c r="F3927" t="s">
        <v>949</v>
      </c>
      <c r="G3927">
        <v>2</v>
      </c>
      <c r="H3927">
        <v>74</v>
      </c>
      <c r="I3927" s="25">
        <v>610</v>
      </c>
      <c r="K3927" t="s">
        <v>828</v>
      </c>
      <c r="M3927" t="s">
        <v>52</v>
      </c>
      <c r="N3927" t="s">
        <v>44</v>
      </c>
      <c r="O3927">
        <v>228</v>
      </c>
      <c r="Q3927">
        <v>2</v>
      </c>
      <c r="R3927">
        <v>1</v>
      </c>
      <c r="S3927">
        <v>0</v>
      </c>
      <c r="T3927">
        <v>0</v>
      </c>
      <c r="U3927">
        <v>0</v>
      </c>
      <c r="V3927">
        <v>0</v>
      </c>
      <c r="W3927">
        <v>2</v>
      </c>
      <c r="X3927" s="21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 s="21">
        <v>0</v>
      </c>
      <c r="AE3927" s="21">
        <v>0</v>
      </c>
      <c r="AF3927">
        <v>0</v>
      </c>
      <c r="AG3927">
        <v>0</v>
      </c>
      <c r="AH3927">
        <v>192</v>
      </c>
      <c r="AJ3927" t="s">
        <v>51</v>
      </c>
      <c r="AK3927" t="s">
        <v>52</v>
      </c>
      <c r="AL3927" t="s">
        <v>1318</v>
      </c>
      <c r="AP3927" t="s">
        <v>951</v>
      </c>
    </row>
    <row r="3928" spans="1:42">
      <c r="A3928" s="16">
        <v>43838</v>
      </c>
      <c r="B3928">
        <v>3</v>
      </c>
      <c r="C3928">
        <v>982</v>
      </c>
      <c r="D3928">
        <v>10418</v>
      </c>
      <c r="E3928" t="s">
        <v>37</v>
      </c>
      <c r="F3928" t="s">
        <v>949</v>
      </c>
      <c r="G3928">
        <v>2</v>
      </c>
      <c r="H3928">
        <v>75</v>
      </c>
      <c r="I3928" s="25">
        <v>611</v>
      </c>
      <c r="K3928" t="s">
        <v>828</v>
      </c>
      <c r="M3928" t="s">
        <v>52</v>
      </c>
      <c r="N3928" t="s">
        <v>44</v>
      </c>
      <c r="O3928">
        <v>91</v>
      </c>
      <c r="Q3928">
        <v>2</v>
      </c>
      <c r="R3928">
        <v>1</v>
      </c>
      <c r="S3928">
        <v>0</v>
      </c>
      <c r="T3928">
        <v>0</v>
      </c>
      <c r="U3928">
        <v>0</v>
      </c>
      <c r="V3928">
        <v>0</v>
      </c>
      <c r="W3928">
        <v>2</v>
      </c>
      <c r="X3928" s="21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 s="21">
        <v>0</v>
      </c>
      <c r="AE3928" s="21">
        <v>0</v>
      </c>
      <c r="AF3928">
        <v>0</v>
      </c>
      <c r="AG3928">
        <v>0</v>
      </c>
      <c r="AH3928">
        <v>192</v>
      </c>
      <c r="AJ3928" t="s">
        <v>51</v>
      </c>
      <c r="AK3928" t="s">
        <v>52</v>
      </c>
      <c r="AL3928" t="s">
        <v>1319</v>
      </c>
      <c r="AP3928" t="s">
        <v>951</v>
      </c>
    </row>
    <row r="3929" spans="1:42">
      <c r="A3929" s="16">
        <v>43838</v>
      </c>
      <c r="B3929">
        <v>3</v>
      </c>
      <c r="C3929">
        <v>982</v>
      </c>
      <c r="D3929">
        <v>10418</v>
      </c>
      <c r="E3929" t="s">
        <v>37</v>
      </c>
      <c r="F3929" t="s">
        <v>949</v>
      </c>
      <c r="G3929">
        <v>2</v>
      </c>
      <c r="H3929">
        <v>76</v>
      </c>
      <c r="I3929" s="25">
        <v>795</v>
      </c>
      <c r="K3929" t="s">
        <v>119</v>
      </c>
      <c r="M3929" t="s">
        <v>52</v>
      </c>
      <c r="N3929" t="s">
        <v>44</v>
      </c>
      <c r="O3929">
        <v>90</v>
      </c>
      <c r="Q3929">
        <v>4</v>
      </c>
      <c r="R3929">
        <v>1</v>
      </c>
      <c r="S3929">
        <v>0</v>
      </c>
      <c r="T3929">
        <v>0</v>
      </c>
      <c r="U3929">
        <v>0</v>
      </c>
      <c r="V3929">
        <v>0</v>
      </c>
      <c r="W3929">
        <v>4</v>
      </c>
      <c r="X3929" s="21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 s="21">
        <v>0</v>
      </c>
      <c r="AE3929" s="21">
        <v>0</v>
      </c>
      <c r="AF3929">
        <v>0</v>
      </c>
      <c r="AG3929">
        <v>0</v>
      </c>
      <c r="AH3929">
        <v>384</v>
      </c>
      <c r="AJ3929" t="s">
        <v>51</v>
      </c>
      <c r="AK3929" t="s">
        <v>95</v>
      </c>
      <c r="AL3929" t="s">
        <v>1320</v>
      </c>
      <c r="AP3929" t="s">
        <v>951</v>
      </c>
    </row>
    <row r="3930" spans="1:42">
      <c r="A3930" s="16">
        <v>43838</v>
      </c>
      <c r="B3930">
        <v>3</v>
      </c>
      <c r="C3930">
        <v>982</v>
      </c>
      <c r="D3930">
        <v>10418</v>
      </c>
      <c r="E3930" t="s">
        <v>37</v>
      </c>
      <c r="F3930" t="s">
        <v>949</v>
      </c>
      <c r="G3930">
        <v>2</v>
      </c>
      <c r="H3930">
        <v>77</v>
      </c>
      <c r="I3930" s="25">
        <v>700</v>
      </c>
      <c r="K3930" t="s">
        <v>98</v>
      </c>
      <c r="M3930" t="s">
        <v>52</v>
      </c>
      <c r="N3930" t="s">
        <v>44</v>
      </c>
      <c r="O3930">
        <v>175</v>
      </c>
      <c r="Q3930">
        <v>3</v>
      </c>
      <c r="R3930">
        <v>1</v>
      </c>
      <c r="S3930">
        <v>0</v>
      </c>
      <c r="T3930">
        <v>0</v>
      </c>
      <c r="U3930">
        <v>0</v>
      </c>
      <c r="V3930">
        <v>0</v>
      </c>
      <c r="W3930">
        <v>3</v>
      </c>
      <c r="X3930" s="21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 s="21">
        <v>0</v>
      </c>
      <c r="AE3930" s="21">
        <v>0</v>
      </c>
      <c r="AF3930">
        <v>0</v>
      </c>
      <c r="AG3930">
        <v>0</v>
      </c>
      <c r="AH3930">
        <v>288</v>
      </c>
      <c r="AJ3930" t="s">
        <v>51</v>
      </c>
      <c r="AK3930" t="s">
        <v>52</v>
      </c>
      <c r="AL3930" t="s">
        <v>1321</v>
      </c>
      <c r="AP3930" t="s">
        <v>951</v>
      </c>
    </row>
    <row r="3931" spans="1:42">
      <c r="A3931" s="17" t="s">
        <v>1322</v>
      </c>
      <c r="B3931">
        <v>1</v>
      </c>
      <c r="C3931">
        <v>986</v>
      </c>
      <c r="D3931">
        <v>14358</v>
      </c>
      <c r="E3931" t="s">
        <v>112</v>
      </c>
      <c r="F3931" t="s">
        <v>949</v>
      </c>
      <c r="G3931">
        <v>2</v>
      </c>
      <c r="H3931">
        <v>1</v>
      </c>
      <c r="I3931" s="25">
        <v>2351</v>
      </c>
      <c r="K3931" t="s">
        <v>516</v>
      </c>
      <c r="M3931" t="s">
        <v>52</v>
      </c>
      <c r="N3931" t="s">
        <v>44</v>
      </c>
      <c r="O3931">
        <v>48</v>
      </c>
      <c r="Q3931">
        <v>1</v>
      </c>
      <c r="R3931">
        <v>1</v>
      </c>
      <c r="S3931">
        <v>0</v>
      </c>
      <c r="T3931">
        <v>0</v>
      </c>
      <c r="U3931">
        <v>0</v>
      </c>
      <c r="V3931">
        <v>0</v>
      </c>
      <c r="W3931">
        <v>1</v>
      </c>
      <c r="X3931" s="2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 s="21">
        <v>0</v>
      </c>
      <c r="AE3931" s="21">
        <v>0</v>
      </c>
      <c r="AF3931">
        <v>0</v>
      </c>
      <c r="AG3931">
        <v>0</v>
      </c>
      <c r="AH3931">
        <v>96</v>
      </c>
      <c r="AJ3931" t="s">
        <v>54</v>
      </c>
      <c r="AK3931" t="s">
        <v>52</v>
      </c>
      <c r="AP3931" t="s">
        <v>951</v>
      </c>
    </row>
    <row r="3932" spans="1:42">
      <c r="A3932" s="17" t="s">
        <v>1322</v>
      </c>
      <c r="B3932">
        <v>1</v>
      </c>
      <c r="C3932">
        <v>986</v>
      </c>
      <c r="D3932">
        <v>14358</v>
      </c>
      <c r="E3932" t="s">
        <v>112</v>
      </c>
      <c r="F3932" t="s">
        <v>949</v>
      </c>
      <c r="G3932">
        <v>2</v>
      </c>
      <c r="H3932">
        <v>2</v>
      </c>
      <c r="I3932" s="25">
        <v>2343</v>
      </c>
      <c r="K3932" t="s">
        <v>516</v>
      </c>
      <c r="M3932" t="s">
        <v>52</v>
      </c>
      <c r="N3932" t="s">
        <v>44</v>
      </c>
      <c r="O3932">
        <v>70</v>
      </c>
      <c r="Q3932">
        <v>2</v>
      </c>
      <c r="R3932">
        <v>1</v>
      </c>
      <c r="S3932">
        <v>0</v>
      </c>
      <c r="T3932">
        <v>0</v>
      </c>
      <c r="U3932">
        <v>0</v>
      </c>
      <c r="V3932">
        <v>0</v>
      </c>
      <c r="W3932">
        <v>2</v>
      </c>
      <c r="X3932" s="21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 s="21">
        <v>0</v>
      </c>
      <c r="AE3932" s="21">
        <v>0</v>
      </c>
      <c r="AF3932">
        <v>0</v>
      </c>
      <c r="AG3932">
        <v>0</v>
      </c>
      <c r="AH3932">
        <v>192</v>
      </c>
      <c r="AJ3932" t="s">
        <v>54</v>
      </c>
      <c r="AK3932" t="s">
        <v>52</v>
      </c>
      <c r="AP3932" t="s">
        <v>951</v>
      </c>
    </row>
    <row r="3933" spans="1:42">
      <c r="A3933" s="17" t="s">
        <v>1322</v>
      </c>
      <c r="B3933">
        <v>1</v>
      </c>
      <c r="C3933">
        <v>986</v>
      </c>
      <c r="D3933">
        <v>14358</v>
      </c>
      <c r="E3933" t="s">
        <v>112</v>
      </c>
      <c r="F3933" t="s">
        <v>949</v>
      </c>
      <c r="G3933">
        <v>2</v>
      </c>
      <c r="H3933">
        <v>3</v>
      </c>
      <c r="I3933" s="25">
        <v>2325</v>
      </c>
      <c r="K3933" t="s">
        <v>516</v>
      </c>
      <c r="M3933" t="s">
        <v>52</v>
      </c>
      <c r="N3933" t="s">
        <v>44</v>
      </c>
      <c r="O3933">
        <v>44</v>
      </c>
      <c r="Q3933">
        <v>1</v>
      </c>
      <c r="R3933">
        <v>1</v>
      </c>
      <c r="S3933">
        <v>0</v>
      </c>
      <c r="T3933">
        <v>0</v>
      </c>
      <c r="U3933">
        <v>0</v>
      </c>
      <c r="V3933">
        <v>0</v>
      </c>
      <c r="W3933">
        <v>1</v>
      </c>
      <c r="X3933" s="21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 s="21">
        <v>0</v>
      </c>
      <c r="AE3933" s="21">
        <v>0</v>
      </c>
      <c r="AF3933">
        <v>0</v>
      </c>
      <c r="AG3933">
        <v>0</v>
      </c>
      <c r="AH3933">
        <v>96</v>
      </c>
      <c r="AJ3933" t="s">
        <v>54</v>
      </c>
      <c r="AK3933" t="s">
        <v>52</v>
      </c>
      <c r="AP3933" t="s">
        <v>951</v>
      </c>
    </row>
    <row r="3934" spans="1:42">
      <c r="A3934" s="17" t="s">
        <v>1322</v>
      </c>
      <c r="B3934">
        <v>1</v>
      </c>
      <c r="C3934">
        <v>986</v>
      </c>
      <c r="D3934">
        <v>14358</v>
      </c>
      <c r="E3934" t="s">
        <v>112</v>
      </c>
      <c r="F3934" t="s">
        <v>949</v>
      </c>
      <c r="G3934">
        <v>2</v>
      </c>
      <c r="H3934">
        <v>4</v>
      </c>
      <c r="I3934" s="25">
        <v>2400</v>
      </c>
      <c r="K3934" t="s">
        <v>596</v>
      </c>
      <c r="M3934" t="s">
        <v>52</v>
      </c>
      <c r="N3934" t="s">
        <v>44</v>
      </c>
      <c r="O3934">
        <v>148</v>
      </c>
      <c r="Q3934">
        <v>3</v>
      </c>
      <c r="R3934">
        <v>1</v>
      </c>
      <c r="S3934">
        <v>0</v>
      </c>
      <c r="T3934">
        <v>0</v>
      </c>
      <c r="U3934">
        <v>0</v>
      </c>
      <c r="V3934">
        <v>0</v>
      </c>
      <c r="W3934">
        <v>3</v>
      </c>
      <c r="X3934" s="21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 s="21">
        <v>0</v>
      </c>
      <c r="AE3934" s="21">
        <v>0</v>
      </c>
      <c r="AF3934">
        <v>0</v>
      </c>
      <c r="AG3934">
        <v>0</v>
      </c>
      <c r="AH3934">
        <v>288</v>
      </c>
      <c r="AJ3934" t="s">
        <v>51</v>
      </c>
      <c r="AK3934" t="s">
        <v>52</v>
      </c>
      <c r="AP3934" t="s">
        <v>951</v>
      </c>
    </row>
    <row r="3935" spans="1:42">
      <c r="A3935" s="17" t="s">
        <v>1322</v>
      </c>
      <c r="B3935">
        <v>1</v>
      </c>
      <c r="C3935">
        <v>986</v>
      </c>
      <c r="D3935">
        <v>14358</v>
      </c>
      <c r="E3935" t="s">
        <v>112</v>
      </c>
      <c r="F3935" t="s">
        <v>949</v>
      </c>
      <c r="G3935">
        <v>2</v>
      </c>
      <c r="H3935">
        <v>5</v>
      </c>
      <c r="I3935" s="25">
        <v>2198</v>
      </c>
      <c r="K3935" t="s">
        <v>647</v>
      </c>
      <c r="M3935" t="s">
        <v>52</v>
      </c>
      <c r="N3935" t="s">
        <v>44</v>
      </c>
      <c r="O3935">
        <v>72</v>
      </c>
      <c r="Q3935">
        <v>1</v>
      </c>
      <c r="R3935">
        <v>1</v>
      </c>
      <c r="S3935">
        <v>0</v>
      </c>
      <c r="T3935">
        <v>0</v>
      </c>
      <c r="U3935">
        <v>0</v>
      </c>
      <c r="V3935">
        <v>0</v>
      </c>
      <c r="W3935">
        <v>1</v>
      </c>
      <c r="X3935" s="21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 s="21">
        <v>0</v>
      </c>
      <c r="AE3935" s="21">
        <v>0</v>
      </c>
      <c r="AF3935">
        <v>0</v>
      </c>
      <c r="AG3935">
        <v>0</v>
      </c>
      <c r="AH3935">
        <v>96</v>
      </c>
      <c r="AJ3935" t="s">
        <v>51</v>
      </c>
      <c r="AK3935" t="s">
        <v>95</v>
      </c>
      <c r="AL3935" t="s">
        <v>1167</v>
      </c>
      <c r="AP3935" t="s">
        <v>951</v>
      </c>
    </row>
    <row r="3936" spans="1:42">
      <c r="A3936" s="17" t="s">
        <v>1322</v>
      </c>
      <c r="B3936">
        <v>1</v>
      </c>
      <c r="C3936">
        <v>986</v>
      </c>
      <c r="D3936">
        <v>14358</v>
      </c>
      <c r="E3936" t="s">
        <v>112</v>
      </c>
      <c r="F3936" t="s">
        <v>949</v>
      </c>
      <c r="G3936">
        <v>2</v>
      </c>
      <c r="H3936">
        <v>6</v>
      </c>
      <c r="I3936" s="25">
        <v>2199</v>
      </c>
      <c r="K3936" t="s">
        <v>605</v>
      </c>
      <c r="M3936" t="s">
        <v>52</v>
      </c>
      <c r="N3936" t="s">
        <v>44</v>
      </c>
      <c r="O3936">
        <v>61</v>
      </c>
      <c r="Q3936">
        <v>1</v>
      </c>
      <c r="R3936">
        <v>1</v>
      </c>
      <c r="S3936">
        <v>0</v>
      </c>
      <c r="T3936">
        <v>0</v>
      </c>
      <c r="U3936">
        <v>0</v>
      </c>
      <c r="V3936">
        <v>0</v>
      </c>
      <c r="W3936">
        <v>1</v>
      </c>
      <c r="X3936" s="21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 s="21">
        <v>0</v>
      </c>
      <c r="AE3936" s="21">
        <v>0</v>
      </c>
      <c r="AF3936">
        <v>0</v>
      </c>
      <c r="AG3936">
        <v>0</v>
      </c>
      <c r="AH3936">
        <v>96</v>
      </c>
      <c r="AJ3936" t="s">
        <v>51</v>
      </c>
      <c r="AK3936" t="s">
        <v>95</v>
      </c>
      <c r="AL3936" t="s">
        <v>1323</v>
      </c>
      <c r="AP3936" t="s">
        <v>951</v>
      </c>
    </row>
    <row r="3937" spans="1:42">
      <c r="A3937" s="17" t="s">
        <v>1322</v>
      </c>
      <c r="B3937">
        <v>1</v>
      </c>
      <c r="C3937">
        <v>986</v>
      </c>
      <c r="D3937">
        <v>14358</v>
      </c>
      <c r="E3937" t="s">
        <v>112</v>
      </c>
      <c r="F3937" t="s">
        <v>949</v>
      </c>
      <c r="G3937">
        <v>2</v>
      </c>
      <c r="H3937">
        <v>7</v>
      </c>
      <c r="I3937" s="25">
        <v>2200</v>
      </c>
      <c r="K3937" t="s">
        <v>647</v>
      </c>
      <c r="M3937" t="s">
        <v>52</v>
      </c>
      <c r="N3937" t="s">
        <v>44</v>
      </c>
      <c r="O3937">
        <v>45</v>
      </c>
      <c r="Q3937">
        <v>2</v>
      </c>
      <c r="R3937">
        <v>1</v>
      </c>
      <c r="S3937">
        <v>0</v>
      </c>
      <c r="T3937">
        <v>0</v>
      </c>
      <c r="U3937">
        <v>0</v>
      </c>
      <c r="V3937">
        <v>0</v>
      </c>
      <c r="W3937">
        <v>2</v>
      </c>
      <c r="X3937" s="21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 s="21">
        <v>0</v>
      </c>
      <c r="AE3937" s="21">
        <v>0</v>
      </c>
      <c r="AF3937">
        <v>0</v>
      </c>
      <c r="AG3937">
        <v>0</v>
      </c>
      <c r="AH3937">
        <v>192</v>
      </c>
      <c r="AJ3937" t="s">
        <v>51</v>
      </c>
      <c r="AK3937" t="s">
        <v>52</v>
      </c>
      <c r="AP3937" t="s">
        <v>951</v>
      </c>
    </row>
    <row r="3938" spans="1:42">
      <c r="A3938" s="17" t="s">
        <v>1322</v>
      </c>
      <c r="B3938">
        <v>1</v>
      </c>
      <c r="C3938">
        <v>986</v>
      </c>
      <c r="D3938">
        <v>14358</v>
      </c>
      <c r="E3938" t="s">
        <v>112</v>
      </c>
      <c r="F3938" t="s">
        <v>949</v>
      </c>
      <c r="G3938">
        <v>2</v>
      </c>
      <c r="H3938">
        <v>8</v>
      </c>
      <c r="I3938" s="25">
        <v>2210</v>
      </c>
      <c r="K3938" t="s">
        <v>647</v>
      </c>
      <c r="M3938" t="s">
        <v>52</v>
      </c>
      <c r="N3938" t="s">
        <v>44</v>
      </c>
      <c r="O3938">
        <v>120</v>
      </c>
      <c r="Q3938">
        <v>4</v>
      </c>
      <c r="R3938">
        <v>1</v>
      </c>
      <c r="S3938">
        <v>0</v>
      </c>
      <c r="T3938">
        <v>0</v>
      </c>
      <c r="U3938">
        <v>0</v>
      </c>
      <c r="V3938">
        <v>0</v>
      </c>
      <c r="W3938">
        <v>4</v>
      </c>
      <c r="X3938" s="21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 s="21">
        <v>0</v>
      </c>
      <c r="AE3938" s="21">
        <v>0</v>
      </c>
      <c r="AF3938">
        <v>0</v>
      </c>
      <c r="AG3938">
        <v>0</v>
      </c>
      <c r="AH3938">
        <v>384</v>
      </c>
      <c r="AJ3938" t="s">
        <v>51</v>
      </c>
      <c r="AK3938" t="s">
        <v>52</v>
      </c>
      <c r="AP3938" t="s">
        <v>951</v>
      </c>
    </row>
    <row r="3939" spans="1:42">
      <c r="A3939" s="17" t="s">
        <v>1322</v>
      </c>
      <c r="B3939">
        <v>1</v>
      </c>
      <c r="C3939">
        <v>986</v>
      </c>
      <c r="D3939">
        <v>14358</v>
      </c>
      <c r="E3939" t="s">
        <v>112</v>
      </c>
      <c r="F3939" t="s">
        <v>949</v>
      </c>
      <c r="G3939">
        <v>2</v>
      </c>
      <c r="H3939">
        <v>9</v>
      </c>
      <c r="I3939" s="25">
        <v>2285</v>
      </c>
      <c r="K3939" t="s">
        <v>647</v>
      </c>
      <c r="M3939" t="s">
        <v>52</v>
      </c>
      <c r="N3939" t="s">
        <v>44</v>
      </c>
      <c r="O3939">
        <v>55</v>
      </c>
      <c r="Q3939">
        <v>1</v>
      </c>
      <c r="R3939">
        <v>1</v>
      </c>
      <c r="S3939">
        <v>0</v>
      </c>
      <c r="T3939">
        <v>0</v>
      </c>
      <c r="U3939">
        <v>0</v>
      </c>
      <c r="V3939">
        <v>0</v>
      </c>
      <c r="W3939">
        <v>1</v>
      </c>
      <c r="X3939" s="21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 s="21">
        <v>0</v>
      </c>
      <c r="AE3939" s="21">
        <v>0</v>
      </c>
      <c r="AF3939">
        <v>0</v>
      </c>
      <c r="AG3939">
        <v>0</v>
      </c>
      <c r="AH3939">
        <v>96</v>
      </c>
      <c r="AJ3939" t="s">
        <v>51</v>
      </c>
      <c r="AK3939" t="s">
        <v>52</v>
      </c>
      <c r="AL3939" t="s">
        <v>654</v>
      </c>
      <c r="AP3939" t="s">
        <v>951</v>
      </c>
    </row>
    <row r="3940" spans="1:42">
      <c r="A3940" s="17" t="s">
        <v>1322</v>
      </c>
      <c r="B3940">
        <v>1</v>
      </c>
      <c r="C3940">
        <v>986</v>
      </c>
      <c r="D3940">
        <v>14358</v>
      </c>
      <c r="E3940" t="s">
        <v>112</v>
      </c>
      <c r="F3940" t="s">
        <v>949</v>
      </c>
      <c r="G3940">
        <v>2</v>
      </c>
      <c r="H3940">
        <v>10</v>
      </c>
      <c r="I3940" s="25">
        <v>2340</v>
      </c>
      <c r="K3940" t="s">
        <v>647</v>
      </c>
      <c r="L3940" t="s">
        <v>114</v>
      </c>
      <c r="M3940" t="s">
        <v>52</v>
      </c>
      <c r="N3940" t="s">
        <v>40</v>
      </c>
      <c r="O3940">
        <v>192</v>
      </c>
      <c r="Q3940">
        <v>5</v>
      </c>
      <c r="R3940">
        <v>1</v>
      </c>
      <c r="S3940">
        <v>0</v>
      </c>
      <c r="T3940">
        <v>0</v>
      </c>
      <c r="U3940">
        <v>1</v>
      </c>
      <c r="V3940">
        <v>1</v>
      </c>
      <c r="W3940">
        <v>3</v>
      </c>
      <c r="X3940" s="21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 s="21">
        <v>0</v>
      </c>
      <c r="AE3940" s="21">
        <v>0</v>
      </c>
      <c r="AF3940">
        <v>0</v>
      </c>
      <c r="AG3940">
        <v>0</v>
      </c>
      <c r="AH3940">
        <v>384</v>
      </c>
      <c r="AJ3940" t="s">
        <v>51</v>
      </c>
      <c r="AK3940" t="s">
        <v>95</v>
      </c>
      <c r="AP3940" t="s">
        <v>951</v>
      </c>
    </row>
    <row r="3941" spans="1:42">
      <c r="A3941" s="17" t="s">
        <v>1322</v>
      </c>
      <c r="B3941">
        <v>1</v>
      </c>
      <c r="C3941">
        <v>986</v>
      </c>
      <c r="D3941">
        <v>14358</v>
      </c>
      <c r="E3941" t="s">
        <v>112</v>
      </c>
      <c r="F3941" t="s">
        <v>949</v>
      </c>
      <c r="G3941">
        <v>2</v>
      </c>
      <c r="H3941">
        <v>11</v>
      </c>
      <c r="I3941" s="25">
        <v>2217</v>
      </c>
      <c r="K3941" t="s">
        <v>605</v>
      </c>
      <c r="M3941" t="s">
        <v>52</v>
      </c>
      <c r="N3941" t="s">
        <v>44</v>
      </c>
      <c r="O3941">
        <v>72</v>
      </c>
      <c r="Q3941">
        <v>1</v>
      </c>
      <c r="R3941">
        <v>1</v>
      </c>
      <c r="S3941">
        <v>0</v>
      </c>
      <c r="T3941">
        <v>0</v>
      </c>
      <c r="U3941">
        <v>0</v>
      </c>
      <c r="V3941">
        <v>0</v>
      </c>
      <c r="W3941">
        <v>1</v>
      </c>
      <c r="X3941" s="2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 s="21">
        <v>0</v>
      </c>
      <c r="AE3941" s="21">
        <v>0</v>
      </c>
      <c r="AF3941">
        <v>0</v>
      </c>
      <c r="AG3941">
        <v>0</v>
      </c>
      <c r="AH3941">
        <v>96</v>
      </c>
      <c r="AJ3941" t="s">
        <v>51</v>
      </c>
      <c r="AK3941" t="s">
        <v>95</v>
      </c>
      <c r="AL3941" t="s">
        <v>1324</v>
      </c>
      <c r="AP3941" t="s">
        <v>951</v>
      </c>
    </row>
    <row r="3942" spans="1:42">
      <c r="A3942" s="17" t="s">
        <v>1322</v>
      </c>
      <c r="B3942">
        <v>1</v>
      </c>
      <c r="C3942">
        <v>986</v>
      </c>
      <c r="D3942">
        <v>14358</v>
      </c>
      <c r="E3942" t="s">
        <v>112</v>
      </c>
      <c r="F3942" t="s">
        <v>949</v>
      </c>
      <c r="G3942">
        <v>2</v>
      </c>
      <c r="H3942">
        <v>12</v>
      </c>
      <c r="I3942" s="25">
        <v>2411</v>
      </c>
      <c r="K3942" t="s">
        <v>599</v>
      </c>
      <c r="M3942" t="s">
        <v>52</v>
      </c>
      <c r="N3942" t="s">
        <v>44</v>
      </c>
      <c r="O3942">
        <v>239</v>
      </c>
      <c r="Q3942">
        <v>3</v>
      </c>
      <c r="R3942">
        <v>1</v>
      </c>
      <c r="S3942">
        <v>0</v>
      </c>
      <c r="T3942">
        <v>0</v>
      </c>
      <c r="U3942">
        <v>0</v>
      </c>
      <c r="V3942">
        <v>0</v>
      </c>
      <c r="W3942">
        <v>3</v>
      </c>
      <c r="X3942" s="21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 s="21">
        <v>0</v>
      </c>
      <c r="AE3942" s="21">
        <v>0</v>
      </c>
      <c r="AF3942">
        <v>4</v>
      </c>
      <c r="AG3942">
        <v>0</v>
      </c>
      <c r="AH3942">
        <v>288</v>
      </c>
      <c r="AJ3942" t="s">
        <v>51</v>
      </c>
      <c r="AK3942" t="s">
        <v>95</v>
      </c>
      <c r="AP3942" t="s">
        <v>951</v>
      </c>
    </row>
    <row r="3943" spans="1:42">
      <c r="A3943" s="17" t="s">
        <v>1322</v>
      </c>
      <c r="B3943">
        <v>1</v>
      </c>
      <c r="C3943">
        <v>986</v>
      </c>
      <c r="D3943">
        <v>14358</v>
      </c>
      <c r="E3943" t="s">
        <v>112</v>
      </c>
      <c r="F3943" t="s">
        <v>949</v>
      </c>
      <c r="G3943">
        <v>2</v>
      </c>
      <c r="H3943">
        <v>13</v>
      </c>
      <c r="I3943" s="25">
        <v>2299</v>
      </c>
      <c r="K3943" t="s">
        <v>605</v>
      </c>
      <c r="M3943" t="s">
        <v>52</v>
      </c>
      <c r="N3943" t="s">
        <v>44</v>
      </c>
      <c r="O3943">
        <v>98</v>
      </c>
      <c r="Q3943">
        <v>1</v>
      </c>
      <c r="R3943">
        <v>1</v>
      </c>
      <c r="S3943">
        <v>0</v>
      </c>
      <c r="T3943">
        <v>0</v>
      </c>
      <c r="U3943">
        <v>0</v>
      </c>
      <c r="V3943">
        <v>0</v>
      </c>
      <c r="W3943">
        <v>1</v>
      </c>
      <c r="X3943" s="21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 s="21">
        <v>0</v>
      </c>
      <c r="AE3943" s="21">
        <v>0</v>
      </c>
      <c r="AF3943">
        <v>0</v>
      </c>
      <c r="AG3943">
        <v>0</v>
      </c>
      <c r="AH3943">
        <v>96</v>
      </c>
      <c r="AJ3943" t="s">
        <v>51</v>
      </c>
      <c r="AK3943" t="s">
        <v>95</v>
      </c>
      <c r="AP3943" t="s">
        <v>951</v>
      </c>
    </row>
    <row r="3944" spans="1:42">
      <c r="A3944" s="17" t="s">
        <v>1322</v>
      </c>
      <c r="B3944">
        <v>1</v>
      </c>
      <c r="C3944">
        <v>986</v>
      </c>
      <c r="D3944">
        <v>14358</v>
      </c>
      <c r="E3944" t="s">
        <v>112</v>
      </c>
      <c r="F3944" t="s">
        <v>949</v>
      </c>
      <c r="G3944">
        <v>2</v>
      </c>
      <c r="H3944">
        <v>14</v>
      </c>
      <c r="I3944" s="25">
        <v>2205</v>
      </c>
      <c r="K3944" t="s">
        <v>605</v>
      </c>
      <c r="L3944" t="s">
        <v>141</v>
      </c>
      <c r="M3944" t="s">
        <v>52</v>
      </c>
      <c r="N3944" t="s">
        <v>40</v>
      </c>
      <c r="O3944">
        <v>49</v>
      </c>
      <c r="Q3944">
        <v>1</v>
      </c>
      <c r="R3944">
        <v>1</v>
      </c>
      <c r="S3944">
        <v>0</v>
      </c>
      <c r="T3944">
        <v>0</v>
      </c>
      <c r="U3944">
        <v>0</v>
      </c>
      <c r="V3944">
        <v>0</v>
      </c>
      <c r="W3944">
        <v>1</v>
      </c>
      <c r="X3944" s="21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 s="21">
        <v>0</v>
      </c>
      <c r="AE3944" s="21">
        <v>0</v>
      </c>
      <c r="AF3944">
        <v>0</v>
      </c>
      <c r="AG3944">
        <v>0</v>
      </c>
      <c r="AH3944">
        <v>96</v>
      </c>
      <c r="AJ3944" t="s">
        <v>51</v>
      </c>
      <c r="AK3944" t="s">
        <v>95</v>
      </c>
      <c r="AP3944" t="s">
        <v>951</v>
      </c>
    </row>
    <row r="3945" spans="1:42">
      <c r="A3945" s="17" t="s">
        <v>1322</v>
      </c>
      <c r="B3945">
        <v>1</v>
      </c>
      <c r="C3945">
        <v>986</v>
      </c>
      <c r="D3945">
        <v>14358</v>
      </c>
      <c r="E3945" t="s">
        <v>112</v>
      </c>
      <c r="F3945" t="s">
        <v>949</v>
      </c>
      <c r="G3945">
        <v>2</v>
      </c>
      <c r="H3945">
        <v>15</v>
      </c>
      <c r="I3945" s="25">
        <v>2201</v>
      </c>
      <c r="K3945" t="s">
        <v>605</v>
      </c>
      <c r="M3945" t="s">
        <v>52</v>
      </c>
      <c r="N3945" t="s">
        <v>44</v>
      </c>
      <c r="O3945">
        <v>182</v>
      </c>
      <c r="Q3945">
        <v>3</v>
      </c>
      <c r="R3945">
        <v>1</v>
      </c>
      <c r="S3945">
        <v>0</v>
      </c>
      <c r="T3945">
        <v>0</v>
      </c>
      <c r="U3945">
        <v>0</v>
      </c>
      <c r="V3945">
        <v>0</v>
      </c>
      <c r="W3945">
        <v>3</v>
      </c>
      <c r="X3945" s="21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 s="21">
        <v>0</v>
      </c>
      <c r="AE3945" s="21">
        <v>0</v>
      </c>
      <c r="AF3945">
        <v>0</v>
      </c>
      <c r="AG3945">
        <v>0</v>
      </c>
      <c r="AH3945">
        <v>288</v>
      </c>
      <c r="AJ3945" t="s">
        <v>51</v>
      </c>
      <c r="AK3945" t="s">
        <v>95</v>
      </c>
      <c r="AP3945" t="s">
        <v>951</v>
      </c>
    </row>
    <row r="3946" spans="1:42">
      <c r="A3946" s="17" t="s">
        <v>1322</v>
      </c>
      <c r="B3946">
        <v>1</v>
      </c>
      <c r="C3946">
        <v>986</v>
      </c>
      <c r="D3946">
        <v>14358</v>
      </c>
      <c r="E3946" t="s">
        <v>112</v>
      </c>
      <c r="F3946" t="s">
        <v>949</v>
      </c>
      <c r="G3946">
        <v>2</v>
      </c>
      <c r="H3946">
        <v>16</v>
      </c>
      <c r="I3946" s="25">
        <v>2230</v>
      </c>
      <c r="K3946" t="s">
        <v>605</v>
      </c>
      <c r="M3946" t="s">
        <v>52</v>
      </c>
      <c r="N3946" t="s">
        <v>44</v>
      </c>
      <c r="O3946">
        <v>80</v>
      </c>
      <c r="Q3946">
        <v>2</v>
      </c>
      <c r="R3946">
        <v>1</v>
      </c>
      <c r="S3946">
        <v>0</v>
      </c>
      <c r="T3946">
        <v>0</v>
      </c>
      <c r="U3946">
        <v>0</v>
      </c>
      <c r="V3946">
        <v>0</v>
      </c>
      <c r="W3946">
        <v>2</v>
      </c>
      <c r="X3946" s="21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 s="21">
        <v>0</v>
      </c>
      <c r="AE3946" s="21">
        <v>0</v>
      </c>
      <c r="AF3946">
        <v>0</v>
      </c>
      <c r="AG3946">
        <v>0</v>
      </c>
      <c r="AH3946">
        <v>192</v>
      </c>
      <c r="AJ3946" t="s">
        <v>51</v>
      </c>
      <c r="AK3946" t="s">
        <v>95</v>
      </c>
      <c r="AL3946" t="s">
        <v>733</v>
      </c>
      <c r="AP3946" t="s">
        <v>951</v>
      </c>
    </row>
    <row r="3947" spans="1:42">
      <c r="A3947" s="17" t="s">
        <v>1322</v>
      </c>
      <c r="B3947">
        <v>1</v>
      </c>
      <c r="C3947">
        <v>986</v>
      </c>
      <c r="D3947">
        <v>14358</v>
      </c>
      <c r="E3947" t="s">
        <v>112</v>
      </c>
      <c r="F3947" t="s">
        <v>949</v>
      </c>
      <c r="G3947">
        <v>2</v>
      </c>
      <c r="H3947">
        <v>17</v>
      </c>
      <c r="I3947" s="25">
        <v>2240</v>
      </c>
      <c r="K3947" t="s">
        <v>605</v>
      </c>
      <c r="M3947" t="s">
        <v>52</v>
      </c>
      <c r="N3947" t="s">
        <v>44</v>
      </c>
      <c r="O3947">
        <v>78</v>
      </c>
      <c r="Q3947">
        <v>1</v>
      </c>
      <c r="R3947">
        <v>1</v>
      </c>
      <c r="S3947">
        <v>0</v>
      </c>
      <c r="T3947">
        <v>0</v>
      </c>
      <c r="U3947">
        <v>0</v>
      </c>
      <c r="V3947">
        <v>0</v>
      </c>
      <c r="W3947">
        <v>1</v>
      </c>
      <c r="X3947" s="21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 s="21">
        <v>0</v>
      </c>
      <c r="AE3947" s="21">
        <v>0</v>
      </c>
      <c r="AF3947">
        <v>0</v>
      </c>
      <c r="AG3947">
        <v>0</v>
      </c>
      <c r="AH3947">
        <v>96</v>
      </c>
      <c r="AJ3947" t="s">
        <v>51</v>
      </c>
      <c r="AK3947" t="s">
        <v>95</v>
      </c>
      <c r="AL3947" t="s">
        <v>812</v>
      </c>
      <c r="AP3947" t="s">
        <v>951</v>
      </c>
    </row>
    <row r="3948" spans="1:42">
      <c r="A3948" s="17" t="s">
        <v>1322</v>
      </c>
      <c r="B3948">
        <v>1</v>
      </c>
      <c r="C3948">
        <v>986</v>
      </c>
      <c r="D3948">
        <v>14358</v>
      </c>
      <c r="E3948" t="s">
        <v>112</v>
      </c>
      <c r="F3948" t="s">
        <v>949</v>
      </c>
      <c r="G3948">
        <v>2</v>
      </c>
      <c r="H3948">
        <v>18</v>
      </c>
      <c r="I3948" s="25">
        <v>2298</v>
      </c>
      <c r="K3948" t="s">
        <v>605</v>
      </c>
      <c r="M3948" t="s">
        <v>52</v>
      </c>
      <c r="N3948" t="s">
        <v>44</v>
      </c>
      <c r="O3948">
        <v>237</v>
      </c>
      <c r="Q3948">
        <v>1</v>
      </c>
      <c r="R3948">
        <v>1</v>
      </c>
      <c r="S3948">
        <v>0</v>
      </c>
      <c r="T3948">
        <v>0</v>
      </c>
      <c r="U3948">
        <v>0</v>
      </c>
      <c r="V3948">
        <v>0</v>
      </c>
      <c r="W3948">
        <v>1</v>
      </c>
      <c r="X3948" s="21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 s="21">
        <v>0</v>
      </c>
      <c r="AE3948" s="21">
        <v>0</v>
      </c>
      <c r="AF3948">
        <v>0</v>
      </c>
      <c r="AG3948">
        <v>0</v>
      </c>
      <c r="AH3948">
        <v>96</v>
      </c>
      <c r="AJ3948" t="s">
        <v>51</v>
      </c>
      <c r="AK3948" t="s">
        <v>95</v>
      </c>
      <c r="AL3948" t="s">
        <v>1325</v>
      </c>
      <c r="AP3948" t="s">
        <v>951</v>
      </c>
    </row>
    <row r="3949" spans="1:42">
      <c r="A3949" s="17" t="s">
        <v>1322</v>
      </c>
      <c r="B3949">
        <v>1</v>
      </c>
      <c r="C3949">
        <v>986</v>
      </c>
      <c r="D3949">
        <v>14358</v>
      </c>
      <c r="E3949" t="s">
        <v>112</v>
      </c>
      <c r="F3949" t="s">
        <v>949</v>
      </c>
      <c r="G3949">
        <v>2</v>
      </c>
      <c r="H3949">
        <v>19</v>
      </c>
      <c r="I3949" s="25">
        <v>2360</v>
      </c>
      <c r="K3949" t="s">
        <v>605</v>
      </c>
      <c r="M3949" t="s">
        <v>52</v>
      </c>
      <c r="N3949" t="s">
        <v>44</v>
      </c>
      <c r="O3949">
        <v>162</v>
      </c>
      <c r="Q3949">
        <v>4</v>
      </c>
      <c r="R3949">
        <v>1</v>
      </c>
      <c r="S3949">
        <v>0</v>
      </c>
      <c r="T3949">
        <v>0</v>
      </c>
      <c r="U3949">
        <v>0</v>
      </c>
      <c r="V3949">
        <v>0</v>
      </c>
      <c r="W3949">
        <v>4</v>
      </c>
      <c r="X3949" s="21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 s="21">
        <v>0</v>
      </c>
      <c r="AE3949" s="21">
        <v>0</v>
      </c>
      <c r="AF3949">
        <v>0</v>
      </c>
      <c r="AG3949">
        <v>0</v>
      </c>
      <c r="AH3949">
        <v>384</v>
      </c>
      <c r="AJ3949" t="s">
        <v>51</v>
      </c>
      <c r="AK3949" t="s">
        <v>52</v>
      </c>
      <c r="AL3949" t="s">
        <v>733</v>
      </c>
      <c r="AP3949" t="s">
        <v>951</v>
      </c>
    </row>
    <row r="3950" spans="1:42">
      <c r="A3950" s="17" t="s">
        <v>1322</v>
      </c>
      <c r="B3950">
        <v>1</v>
      </c>
      <c r="C3950">
        <v>986</v>
      </c>
      <c r="D3950">
        <v>14358</v>
      </c>
      <c r="E3950" t="s">
        <v>112</v>
      </c>
      <c r="F3950" t="s">
        <v>949</v>
      </c>
      <c r="G3950">
        <v>2</v>
      </c>
      <c r="H3950">
        <v>20</v>
      </c>
      <c r="I3950" s="25">
        <v>2525</v>
      </c>
      <c r="K3950" t="s">
        <v>113</v>
      </c>
      <c r="M3950" t="s">
        <v>52</v>
      </c>
      <c r="N3950" t="s">
        <v>44</v>
      </c>
      <c r="O3950">
        <v>83</v>
      </c>
      <c r="Q3950">
        <v>1</v>
      </c>
      <c r="R3950">
        <v>1</v>
      </c>
      <c r="S3950">
        <v>0</v>
      </c>
      <c r="T3950">
        <v>0</v>
      </c>
      <c r="U3950">
        <v>0</v>
      </c>
      <c r="V3950">
        <v>0</v>
      </c>
      <c r="W3950">
        <v>1</v>
      </c>
      <c r="X3950" s="21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 s="21">
        <v>0</v>
      </c>
      <c r="AE3950" s="21">
        <v>0</v>
      </c>
      <c r="AF3950">
        <v>0</v>
      </c>
      <c r="AG3950">
        <v>0</v>
      </c>
      <c r="AH3950">
        <v>96</v>
      </c>
      <c r="AJ3950" t="s">
        <v>51</v>
      </c>
      <c r="AK3950" t="s">
        <v>95</v>
      </c>
      <c r="AL3950" t="s">
        <v>1326</v>
      </c>
      <c r="AP3950" t="s">
        <v>951</v>
      </c>
    </row>
    <row r="3951" spans="1:42">
      <c r="A3951" s="17" t="s">
        <v>1322</v>
      </c>
      <c r="B3951">
        <v>1</v>
      </c>
      <c r="C3951">
        <v>986</v>
      </c>
      <c r="D3951">
        <v>14358</v>
      </c>
      <c r="E3951" t="s">
        <v>112</v>
      </c>
      <c r="F3951" t="s">
        <v>949</v>
      </c>
      <c r="G3951">
        <v>2</v>
      </c>
      <c r="H3951">
        <v>21</v>
      </c>
      <c r="I3951" s="25">
        <v>2507</v>
      </c>
      <c r="K3951" t="s">
        <v>605</v>
      </c>
      <c r="M3951" t="s">
        <v>52</v>
      </c>
      <c r="N3951" t="s">
        <v>44</v>
      </c>
      <c r="O3951">
        <v>72</v>
      </c>
      <c r="Q3951">
        <v>1</v>
      </c>
      <c r="R3951">
        <v>1</v>
      </c>
      <c r="S3951">
        <v>0</v>
      </c>
      <c r="T3951">
        <v>0</v>
      </c>
      <c r="U3951">
        <v>0</v>
      </c>
      <c r="V3951">
        <v>1</v>
      </c>
      <c r="W3951">
        <v>0</v>
      </c>
      <c r="X3951" s="2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 s="21">
        <v>0</v>
      </c>
      <c r="AE3951" s="21">
        <v>0</v>
      </c>
      <c r="AF3951">
        <v>0</v>
      </c>
      <c r="AG3951">
        <v>0</v>
      </c>
      <c r="AH3951">
        <v>64</v>
      </c>
      <c r="AJ3951" t="s">
        <v>51</v>
      </c>
      <c r="AK3951" t="s">
        <v>95</v>
      </c>
      <c r="AP3951" t="s">
        <v>951</v>
      </c>
    </row>
    <row r="3952" spans="1:42">
      <c r="A3952" s="17" t="s">
        <v>1322</v>
      </c>
      <c r="B3952">
        <v>1</v>
      </c>
      <c r="C3952">
        <v>986</v>
      </c>
      <c r="D3952">
        <v>14358</v>
      </c>
      <c r="E3952" t="s">
        <v>112</v>
      </c>
      <c r="F3952" t="s">
        <v>949</v>
      </c>
      <c r="G3952">
        <v>2</v>
      </c>
      <c r="H3952">
        <v>22</v>
      </c>
      <c r="I3952" s="25">
        <v>2523</v>
      </c>
      <c r="K3952" t="s">
        <v>605</v>
      </c>
      <c r="M3952" t="s">
        <v>52</v>
      </c>
      <c r="N3952" t="s">
        <v>44</v>
      </c>
      <c r="O3952">
        <v>117</v>
      </c>
      <c r="Q3952">
        <v>1</v>
      </c>
      <c r="R3952">
        <v>1</v>
      </c>
      <c r="S3952">
        <v>0</v>
      </c>
      <c r="T3952">
        <v>0</v>
      </c>
      <c r="U3952">
        <v>0</v>
      </c>
      <c r="V3952">
        <v>1</v>
      </c>
      <c r="W3952">
        <v>0</v>
      </c>
      <c r="X3952" s="21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 s="21">
        <v>0</v>
      </c>
      <c r="AE3952" s="21">
        <v>0</v>
      </c>
      <c r="AF3952">
        <v>0</v>
      </c>
      <c r="AG3952">
        <v>0</v>
      </c>
      <c r="AH3952">
        <v>64</v>
      </c>
      <c r="AJ3952" t="s">
        <v>51</v>
      </c>
      <c r="AK3952" t="s">
        <v>95</v>
      </c>
      <c r="AL3952" t="s">
        <v>1327</v>
      </c>
      <c r="AP3952" t="s">
        <v>951</v>
      </c>
    </row>
    <row r="3953" spans="1:42">
      <c r="A3953" s="17" t="s">
        <v>1322</v>
      </c>
      <c r="B3953">
        <v>1</v>
      </c>
      <c r="C3953">
        <v>986</v>
      </c>
      <c r="D3953">
        <v>14358</v>
      </c>
      <c r="E3953" t="s">
        <v>112</v>
      </c>
      <c r="F3953" t="s">
        <v>949</v>
      </c>
      <c r="G3953">
        <v>2</v>
      </c>
      <c r="H3953">
        <v>23</v>
      </c>
      <c r="I3953" s="25">
        <v>2663</v>
      </c>
      <c r="K3953" t="s">
        <v>185</v>
      </c>
      <c r="L3953" t="s">
        <v>141</v>
      </c>
      <c r="M3953" t="s">
        <v>52</v>
      </c>
      <c r="N3953" t="s">
        <v>40</v>
      </c>
      <c r="O3953">
        <v>41</v>
      </c>
      <c r="Q3953">
        <v>1</v>
      </c>
      <c r="R3953">
        <v>1</v>
      </c>
      <c r="S3953">
        <v>0</v>
      </c>
      <c r="T3953">
        <v>0</v>
      </c>
      <c r="U3953">
        <v>0</v>
      </c>
      <c r="V3953">
        <v>0</v>
      </c>
      <c r="W3953">
        <v>1</v>
      </c>
      <c r="X3953" s="21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 s="21">
        <v>0</v>
      </c>
      <c r="AE3953" s="21">
        <v>0</v>
      </c>
      <c r="AF3953">
        <v>0</v>
      </c>
      <c r="AG3953">
        <v>0</v>
      </c>
      <c r="AH3953">
        <v>96</v>
      </c>
      <c r="AJ3953" t="s">
        <v>51</v>
      </c>
      <c r="AK3953" t="s">
        <v>95</v>
      </c>
      <c r="AP3953" t="s">
        <v>951</v>
      </c>
    </row>
    <row r="3954" spans="1:42">
      <c r="A3954" s="17" t="s">
        <v>1322</v>
      </c>
      <c r="B3954">
        <v>1</v>
      </c>
      <c r="C3954">
        <v>986</v>
      </c>
      <c r="D3954">
        <v>14358</v>
      </c>
      <c r="E3954" t="s">
        <v>112</v>
      </c>
      <c r="F3954" t="s">
        <v>949</v>
      </c>
      <c r="G3954">
        <v>2</v>
      </c>
      <c r="H3954">
        <v>24</v>
      </c>
      <c r="I3954" s="25">
        <v>44</v>
      </c>
      <c r="K3954" s="21" t="s">
        <v>1328</v>
      </c>
      <c r="L3954" t="s">
        <v>114</v>
      </c>
      <c r="M3954" t="s">
        <v>52</v>
      </c>
      <c r="N3954" t="s">
        <v>40</v>
      </c>
      <c r="O3954">
        <v>49</v>
      </c>
      <c r="Q3954">
        <v>1</v>
      </c>
      <c r="R3954">
        <v>1</v>
      </c>
      <c r="S3954">
        <v>0</v>
      </c>
      <c r="T3954">
        <v>0</v>
      </c>
      <c r="U3954">
        <v>0</v>
      </c>
      <c r="V3954">
        <v>1</v>
      </c>
      <c r="W3954">
        <v>0</v>
      </c>
      <c r="X3954" s="21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 s="21">
        <v>0</v>
      </c>
      <c r="AE3954" s="21">
        <v>0</v>
      </c>
      <c r="AF3954">
        <v>0</v>
      </c>
      <c r="AG3954">
        <v>0</v>
      </c>
      <c r="AH3954">
        <v>64</v>
      </c>
      <c r="AJ3954" t="s">
        <v>51</v>
      </c>
      <c r="AK3954" t="s">
        <v>95</v>
      </c>
      <c r="AP3954" t="s">
        <v>951</v>
      </c>
    </row>
    <row r="3955" spans="1:42">
      <c r="A3955" s="17" t="s">
        <v>1322</v>
      </c>
      <c r="B3955">
        <v>1</v>
      </c>
      <c r="C3955">
        <v>986</v>
      </c>
      <c r="D3955">
        <v>14358</v>
      </c>
      <c r="E3955" t="s">
        <v>112</v>
      </c>
      <c r="F3955" t="s">
        <v>949</v>
      </c>
      <c r="G3955">
        <v>2</v>
      </c>
      <c r="H3955">
        <v>25</v>
      </c>
      <c r="I3955" s="25">
        <v>33</v>
      </c>
      <c r="K3955" s="21" t="s">
        <v>1328</v>
      </c>
      <c r="L3955" t="s">
        <v>141</v>
      </c>
      <c r="M3955" t="s">
        <v>52</v>
      </c>
      <c r="N3955" t="s">
        <v>40</v>
      </c>
      <c r="O3955">
        <v>36</v>
      </c>
      <c r="Q3955">
        <v>1</v>
      </c>
      <c r="R3955">
        <v>1</v>
      </c>
      <c r="S3955">
        <v>0</v>
      </c>
      <c r="T3955">
        <v>0</v>
      </c>
      <c r="U3955">
        <v>0</v>
      </c>
      <c r="V3955">
        <v>1</v>
      </c>
      <c r="W3955">
        <v>0</v>
      </c>
      <c r="X3955" s="21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 s="21">
        <v>0</v>
      </c>
      <c r="AE3955" s="21">
        <v>0</v>
      </c>
      <c r="AF3955">
        <v>0</v>
      </c>
      <c r="AG3955">
        <v>0</v>
      </c>
      <c r="AH3955">
        <v>64</v>
      </c>
      <c r="AJ3955" t="s">
        <v>51</v>
      </c>
      <c r="AK3955" t="s">
        <v>52</v>
      </c>
      <c r="AP3955" t="s">
        <v>951</v>
      </c>
    </row>
    <row r="3956" spans="1:42">
      <c r="A3956" s="17" t="s">
        <v>1322</v>
      </c>
      <c r="B3956">
        <v>1</v>
      </c>
      <c r="C3956">
        <v>986</v>
      </c>
      <c r="D3956">
        <v>14358</v>
      </c>
      <c r="E3956" t="s">
        <v>112</v>
      </c>
      <c r="F3956" t="s">
        <v>949</v>
      </c>
      <c r="G3956">
        <v>2</v>
      </c>
      <c r="H3956">
        <v>26</v>
      </c>
      <c r="I3956" s="25">
        <v>2520</v>
      </c>
      <c r="K3956" t="s">
        <v>185</v>
      </c>
      <c r="M3956" t="s">
        <v>52</v>
      </c>
      <c r="N3956" t="s">
        <v>44</v>
      </c>
      <c r="O3956">
        <v>63</v>
      </c>
      <c r="Q3956">
        <v>3</v>
      </c>
      <c r="R3956">
        <v>1</v>
      </c>
      <c r="S3956">
        <v>0</v>
      </c>
      <c r="T3956">
        <v>0</v>
      </c>
      <c r="U3956">
        <v>0</v>
      </c>
      <c r="V3956">
        <v>2</v>
      </c>
      <c r="W3956">
        <v>1</v>
      </c>
      <c r="X3956" s="21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 s="21">
        <v>0</v>
      </c>
      <c r="AE3956" s="21">
        <v>0</v>
      </c>
      <c r="AF3956">
        <v>0</v>
      </c>
      <c r="AG3956">
        <v>0</v>
      </c>
      <c r="AH3956">
        <v>224</v>
      </c>
      <c r="AJ3956" t="s">
        <v>51</v>
      </c>
      <c r="AK3956" t="s">
        <v>95</v>
      </c>
      <c r="AL3956" t="s">
        <v>733</v>
      </c>
      <c r="AP3956" t="s">
        <v>951</v>
      </c>
    </row>
    <row r="3957" spans="1:42">
      <c r="A3957" s="17" t="s">
        <v>1322</v>
      </c>
      <c r="B3957">
        <v>1</v>
      </c>
      <c r="C3957">
        <v>986</v>
      </c>
      <c r="D3957">
        <v>14358</v>
      </c>
      <c r="E3957" t="s">
        <v>112</v>
      </c>
      <c r="F3957" t="s">
        <v>949</v>
      </c>
      <c r="G3957">
        <v>2</v>
      </c>
      <c r="H3957">
        <v>27</v>
      </c>
      <c r="I3957" s="25">
        <v>2800</v>
      </c>
      <c r="K3957" t="s">
        <v>113</v>
      </c>
      <c r="M3957" t="s">
        <v>52</v>
      </c>
      <c r="N3957" t="s">
        <v>44</v>
      </c>
      <c r="O3957">
        <v>45</v>
      </c>
      <c r="Q3957">
        <v>1</v>
      </c>
      <c r="R3957">
        <v>1</v>
      </c>
      <c r="S3957">
        <v>0</v>
      </c>
      <c r="T3957">
        <v>0</v>
      </c>
      <c r="U3957">
        <v>0</v>
      </c>
      <c r="V3957">
        <v>0</v>
      </c>
      <c r="W3957">
        <v>1</v>
      </c>
      <c r="X3957" s="21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 s="21">
        <v>0</v>
      </c>
      <c r="AE3957" s="21">
        <v>0</v>
      </c>
      <c r="AF3957">
        <v>0</v>
      </c>
      <c r="AG3957">
        <v>0</v>
      </c>
      <c r="AH3957">
        <v>96</v>
      </c>
      <c r="AJ3957" t="s">
        <v>54</v>
      </c>
      <c r="AK3957" t="s">
        <v>95</v>
      </c>
      <c r="AP3957" t="s">
        <v>951</v>
      </c>
    </row>
    <row r="3958" spans="1:42">
      <c r="A3958" s="17" t="s">
        <v>1322</v>
      </c>
      <c r="B3958">
        <v>1</v>
      </c>
      <c r="C3958">
        <v>986</v>
      </c>
      <c r="D3958">
        <v>14358</v>
      </c>
      <c r="E3958" t="s">
        <v>112</v>
      </c>
      <c r="F3958" t="s">
        <v>949</v>
      </c>
      <c r="G3958">
        <v>2</v>
      </c>
      <c r="H3958">
        <v>28</v>
      </c>
      <c r="I3958" s="25">
        <v>2807</v>
      </c>
      <c r="K3958" t="s">
        <v>113</v>
      </c>
      <c r="M3958" t="s">
        <v>95</v>
      </c>
      <c r="N3958" t="s">
        <v>44</v>
      </c>
      <c r="O3958">
        <v>75</v>
      </c>
      <c r="Q3958">
        <v>1</v>
      </c>
      <c r="R3958">
        <v>1</v>
      </c>
      <c r="S3958">
        <v>0</v>
      </c>
      <c r="T3958">
        <v>0</v>
      </c>
      <c r="U3958">
        <v>0</v>
      </c>
      <c r="V3958">
        <v>0</v>
      </c>
      <c r="W3958">
        <v>1</v>
      </c>
      <c r="X3958" s="21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 s="21">
        <v>0</v>
      </c>
      <c r="AE3958" s="21">
        <v>0</v>
      </c>
      <c r="AF3958">
        <v>0</v>
      </c>
      <c r="AG3958">
        <v>0</v>
      </c>
      <c r="AH3958">
        <v>96</v>
      </c>
      <c r="AJ3958" t="s">
        <v>54</v>
      </c>
      <c r="AK3958" t="s">
        <v>95</v>
      </c>
      <c r="AL3958" t="s">
        <v>812</v>
      </c>
      <c r="AP3958" t="s">
        <v>951</v>
      </c>
    </row>
    <row r="3959" spans="1:42">
      <c r="A3959" s="17" t="s">
        <v>1322</v>
      </c>
      <c r="B3959">
        <v>1</v>
      </c>
      <c r="C3959">
        <v>986</v>
      </c>
      <c r="D3959">
        <v>14358</v>
      </c>
      <c r="E3959" t="s">
        <v>112</v>
      </c>
      <c r="F3959" t="s">
        <v>949</v>
      </c>
      <c r="G3959">
        <v>2</v>
      </c>
      <c r="H3959">
        <v>29</v>
      </c>
      <c r="I3959" s="25">
        <v>2291</v>
      </c>
      <c r="K3959" t="s">
        <v>119</v>
      </c>
      <c r="M3959" t="s">
        <v>52</v>
      </c>
      <c r="N3959" t="s">
        <v>44</v>
      </c>
      <c r="O3959">
        <v>110</v>
      </c>
      <c r="Q3959">
        <v>1</v>
      </c>
      <c r="R3959">
        <v>1</v>
      </c>
      <c r="S3959">
        <v>0</v>
      </c>
      <c r="T3959">
        <v>0</v>
      </c>
      <c r="U3959">
        <v>0</v>
      </c>
      <c r="V3959">
        <v>0</v>
      </c>
      <c r="W3959">
        <v>1</v>
      </c>
      <c r="X3959" s="21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 s="21">
        <v>0</v>
      </c>
      <c r="AE3959" s="21">
        <v>0</v>
      </c>
      <c r="AF3959">
        <v>0</v>
      </c>
      <c r="AG3959">
        <v>0</v>
      </c>
      <c r="AH3959">
        <v>96</v>
      </c>
      <c r="AJ3959" t="s">
        <v>51</v>
      </c>
      <c r="AK3959" t="s">
        <v>52</v>
      </c>
      <c r="AL3959" t="s">
        <v>1329</v>
      </c>
      <c r="AP3959" t="s">
        <v>951</v>
      </c>
    </row>
    <row r="3960" spans="1:42">
      <c r="A3960" s="17" t="s">
        <v>1322</v>
      </c>
      <c r="B3960">
        <v>1</v>
      </c>
      <c r="C3960">
        <v>986</v>
      </c>
      <c r="D3960">
        <v>14358</v>
      </c>
      <c r="E3960" t="s">
        <v>112</v>
      </c>
      <c r="F3960" t="s">
        <v>949</v>
      </c>
      <c r="G3960">
        <v>2</v>
      </c>
      <c r="H3960">
        <v>30</v>
      </c>
      <c r="I3960" s="25">
        <v>2200</v>
      </c>
      <c r="K3960" t="s">
        <v>119</v>
      </c>
      <c r="L3960" t="s">
        <v>141</v>
      </c>
      <c r="M3960" t="s">
        <v>52</v>
      </c>
      <c r="N3960" t="s">
        <v>40</v>
      </c>
      <c r="O3960">
        <v>62</v>
      </c>
      <c r="Q3960">
        <v>4</v>
      </c>
      <c r="R3960">
        <v>1</v>
      </c>
      <c r="S3960">
        <v>0</v>
      </c>
      <c r="T3960">
        <v>0</v>
      </c>
      <c r="U3960">
        <v>2</v>
      </c>
      <c r="V3960">
        <v>2</v>
      </c>
      <c r="W3960">
        <v>0</v>
      </c>
      <c r="X3960" s="21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 s="21">
        <v>0</v>
      </c>
      <c r="AE3960" s="21">
        <v>0</v>
      </c>
      <c r="AF3960">
        <v>0</v>
      </c>
      <c r="AG3960">
        <v>0</v>
      </c>
      <c r="AH3960">
        <v>192</v>
      </c>
      <c r="AJ3960" t="s">
        <v>51</v>
      </c>
      <c r="AK3960" t="s">
        <v>52</v>
      </c>
      <c r="AP3960" t="s">
        <v>951</v>
      </c>
    </row>
    <row r="3961" spans="1:42">
      <c r="A3961" s="17" t="s">
        <v>1322</v>
      </c>
      <c r="B3961">
        <v>1</v>
      </c>
      <c r="C3961">
        <v>986</v>
      </c>
      <c r="D3961">
        <v>14358</v>
      </c>
      <c r="E3961" t="s">
        <v>112</v>
      </c>
      <c r="F3961" t="s">
        <v>949</v>
      </c>
      <c r="G3961">
        <v>2</v>
      </c>
      <c r="H3961">
        <v>31</v>
      </c>
      <c r="I3961" s="25">
        <v>2200</v>
      </c>
      <c r="K3961" t="s">
        <v>119</v>
      </c>
      <c r="L3961" t="s">
        <v>141</v>
      </c>
      <c r="M3961" t="s">
        <v>52</v>
      </c>
      <c r="N3961" t="s">
        <v>40</v>
      </c>
      <c r="O3961">
        <v>26</v>
      </c>
      <c r="Q3961">
        <v>1</v>
      </c>
      <c r="R3961">
        <v>1</v>
      </c>
      <c r="S3961">
        <v>0</v>
      </c>
      <c r="T3961">
        <v>0</v>
      </c>
      <c r="U3961">
        <v>1</v>
      </c>
      <c r="V3961">
        <v>0</v>
      </c>
      <c r="W3961">
        <v>0</v>
      </c>
      <c r="X3961" s="2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 s="21">
        <v>0</v>
      </c>
      <c r="AE3961" s="21">
        <v>0</v>
      </c>
      <c r="AF3961">
        <v>0</v>
      </c>
      <c r="AG3961">
        <v>0</v>
      </c>
      <c r="AH3961">
        <v>32</v>
      </c>
      <c r="AJ3961" t="s">
        <v>51</v>
      </c>
      <c r="AK3961" t="s">
        <v>95</v>
      </c>
      <c r="AP3961" t="s">
        <v>951</v>
      </c>
    </row>
    <row r="3962" spans="1:42">
      <c r="A3962" s="17" t="s">
        <v>1322</v>
      </c>
      <c r="B3962">
        <v>1</v>
      </c>
      <c r="C3962">
        <v>986</v>
      </c>
      <c r="D3962">
        <v>14358</v>
      </c>
      <c r="E3962" t="s">
        <v>112</v>
      </c>
      <c r="F3962" t="s">
        <v>949</v>
      </c>
      <c r="G3962">
        <v>2</v>
      </c>
      <c r="H3962">
        <v>32</v>
      </c>
      <c r="I3962" s="25">
        <v>2243</v>
      </c>
      <c r="K3962" t="s">
        <v>119</v>
      </c>
      <c r="M3962" t="s">
        <v>52</v>
      </c>
      <c r="N3962" t="s">
        <v>44</v>
      </c>
      <c r="O3962">
        <v>116</v>
      </c>
      <c r="Q3962">
        <v>1</v>
      </c>
      <c r="R3962">
        <v>1</v>
      </c>
      <c r="S3962">
        <v>0</v>
      </c>
      <c r="T3962">
        <v>0</v>
      </c>
      <c r="U3962">
        <v>0</v>
      </c>
      <c r="V3962">
        <v>0</v>
      </c>
      <c r="W3962">
        <v>1</v>
      </c>
      <c r="X3962" s="21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 s="21">
        <v>0</v>
      </c>
      <c r="AE3962" s="21">
        <v>0</v>
      </c>
      <c r="AF3962">
        <v>0</v>
      </c>
      <c r="AG3962">
        <v>0</v>
      </c>
      <c r="AH3962">
        <v>96</v>
      </c>
      <c r="AJ3962" t="s">
        <v>51</v>
      </c>
      <c r="AK3962" t="s">
        <v>95</v>
      </c>
      <c r="AL3962" t="s">
        <v>1330</v>
      </c>
      <c r="AP3962" t="s">
        <v>951</v>
      </c>
    </row>
    <row r="3963" spans="1:42">
      <c r="A3963" s="17" t="s">
        <v>1322</v>
      </c>
      <c r="B3963">
        <v>1</v>
      </c>
      <c r="C3963">
        <v>986</v>
      </c>
      <c r="D3963">
        <v>14358</v>
      </c>
      <c r="E3963" t="s">
        <v>112</v>
      </c>
      <c r="F3963" t="s">
        <v>949</v>
      </c>
      <c r="G3963">
        <v>2</v>
      </c>
      <c r="H3963">
        <v>33</v>
      </c>
      <c r="I3963" s="25">
        <v>2200</v>
      </c>
      <c r="K3963" t="s">
        <v>119</v>
      </c>
      <c r="L3963" t="s">
        <v>141</v>
      </c>
      <c r="M3963" t="s">
        <v>52</v>
      </c>
      <c r="N3963" t="s">
        <v>40</v>
      </c>
      <c r="O3963">
        <v>32</v>
      </c>
      <c r="Q3963">
        <v>1</v>
      </c>
      <c r="R3963">
        <v>1</v>
      </c>
      <c r="S3963">
        <v>0</v>
      </c>
      <c r="T3963">
        <v>0</v>
      </c>
      <c r="U3963">
        <v>1</v>
      </c>
      <c r="V3963">
        <v>0</v>
      </c>
      <c r="W3963">
        <v>0</v>
      </c>
      <c r="X3963" s="21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 s="21">
        <v>0</v>
      </c>
      <c r="AE3963" s="21">
        <v>0</v>
      </c>
      <c r="AF3963">
        <v>0</v>
      </c>
      <c r="AG3963">
        <v>0</v>
      </c>
      <c r="AH3963">
        <v>32</v>
      </c>
      <c r="AJ3963" t="s">
        <v>51</v>
      </c>
      <c r="AK3963" t="s">
        <v>95</v>
      </c>
      <c r="AP3963" t="s">
        <v>951</v>
      </c>
    </row>
    <row r="3964" spans="1:42">
      <c r="A3964" s="17" t="s">
        <v>1322</v>
      </c>
      <c r="B3964">
        <v>1</v>
      </c>
      <c r="C3964">
        <v>986</v>
      </c>
      <c r="D3964">
        <v>14358</v>
      </c>
      <c r="E3964" t="s">
        <v>112</v>
      </c>
      <c r="F3964" t="s">
        <v>949</v>
      </c>
      <c r="G3964">
        <v>2</v>
      </c>
      <c r="H3964">
        <v>34</v>
      </c>
      <c r="I3964" s="25">
        <v>2851</v>
      </c>
      <c r="K3964" t="s">
        <v>909</v>
      </c>
      <c r="M3964" t="s">
        <v>52</v>
      </c>
      <c r="N3964" t="s">
        <v>44</v>
      </c>
      <c r="O3964">
        <v>47</v>
      </c>
      <c r="Q3964">
        <v>1</v>
      </c>
      <c r="R3964">
        <v>1</v>
      </c>
      <c r="S3964">
        <v>0</v>
      </c>
      <c r="T3964">
        <v>0</v>
      </c>
      <c r="U3964">
        <v>0</v>
      </c>
      <c r="V3964">
        <v>0</v>
      </c>
      <c r="W3964">
        <v>1</v>
      </c>
      <c r="X3964" s="21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 s="21">
        <v>0</v>
      </c>
      <c r="AE3964" s="21">
        <v>0</v>
      </c>
      <c r="AF3964">
        <v>0</v>
      </c>
      <c r="AG3964">
        <v>0</v>
      </c>
      <c r="AH3964">
        <v>96</v>
      </c>
      <c r="AJ3964" t="s">
        <v>51</v>
      </c>
      <c r="AK3964" t="s">
        <v>95</v>
      </c>
      <c r="AL3964" t="s">
        <v>654</v>
      </c>
      <c r="AP3964" t="s">
        <v>951</v>
      </c>
    </row>
    <row r="3965" spans="1:42">
      <c r="A3965" s="17" t="s">
        <v>1322</v>
      </c>
      <c r="B3965">
        <v>1</v>
      </c>
      <c r="C3965">
        <v>986</v>
      </c>
      <c r="D3965">
        <v>14358</v>
      </c>
      <c r="E3965" t="s">
        <v>112</v>
      </c>
      <c r="F3965" t="s">
        <v>949</v>
      </c>
      <c r="G3965">
        <v>2</v>
      </c>
      <c r="H3965">
        <v>35</v>
      </c>
      <c r="I3965" s="25">
        <v>2912</v>
      </c>
      <c r="K3965" t="s">
        <v>909</v>
      </c>
      <c r="M3965" t="s">
        <v>52</v>
      </c>
      <c r="N3965" t="s">
        <v>44</v>
      </c>
      <c r="O3965">
        <v>71</v>
      </c>
      <c r="Q3965">
        <v>2</v>
      </c>
      <c r="R3965">
        <v>1</v>
      </c>
      <c r="S3965">
        <v>0</v>
      </c>
      <c r="T3965">
        <v>0</v>
      </c>
      <c r="U3965">
        <v>0</v>
      </c>
      <c r="V3965">
        <v>0</v>
      </c>
      <c r="W3965">
        <v>2</v>
      </c>
      <c r="X3965" s="21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 s="21">
        <v>0</v>
      </c>
      <c r="AE3965" s="21">
        <v>0</v>
      </c>
      <c r="AF3965">
        <v>0</v>
      </c>
      <c r="AG3965">
        <v>0</v>
      </c>
      <c r="AH3965">
        <v>192</v>
      </c>
      <c r="AJ3965" t="s">
        <v>51</v>
      </c>
      <c r="AK3965" t="s">
        <v>52</v>
      </c>
      <c r="AL3965" t="s">
        <v>1331</v>
      </c>
      <c r="AP3965" t="s">
        <v>951</v>
      </c>
    </row>
    <row r="3966" spans="1:42">
      <c r="A3966" s="17" t="s">
        <v>1322</v>
      </c>
      <c r="B3966">
        <v>1</v>
      </c>
      <c r="C3966">
        <v>986</v>
      </c>
      <c r="D3966">
        <v>14358</v>
      </c>
      <c r="E3966" t="s">
        <v>112</v>
      </c>
      <c r="F3966" t="s">
        <v>949</v>
      </c>
      <c r="G3966">
        <v>2</v>
      </c>
      <c r="H3966">
        <v>36</v>
      </c>
      <c r="I3966" s="25">
        <v>2940</v>
      </c>
      <c r="K3966" t="s">
        <v>909</v>
      </c>
      <c r="M3966" t="s">
        <v>52</v>
      </c>
      <c r="N3966" t="s">
        <v>44</v>
      </c>
      <c r="O3966">
        <v>118</v>
      </c>
      <c r="Q3966">
        <v>1</v>
      </c>
      <c r="R3966">
        <v>1</v>
      </c>
      <c r="S3966">
        <v>0</v>
      </c>
      <c r="T3966">
        <v>0</v>
      </c>
      <c r="U3966">
        <v>0</v>
      </c>
      <c r="V3966">
        <v>0</v>
      </c>
      <c r="W3966">
        <v>1</v>
      </c>
      <c r="X3966" s="21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 s="21">
        <v>0</v>
      </c>
      <c r="AE3966" s="21">
        <v>0</v>
      </c>
      <c r="AF3966">
        <v>0</v>
      </c>
      <c r="AG3966">
        <v>0</v>
      </c>
      <c r="AH3966">
        <v>96</v>
      </c>
      <c r="AJ3966" t="s">
        <v>51</v>
      </c>
      <c r="AK3966" t="s">
        <v>95</v>
      </c>
      <c r="AL3966" t="s">
        <v>1332</v>
      </c>
      <c r="AP3966" t="s">
        <v>951</v>
      </c>
    </row>
    <row r="3967" spans="1:42">
      <c r="A3967" s="17" t="s">
        <v>1322</v>
      </c>
      <c r="B3967">
        <v>1</v>
      </c>
      <c r="C3967">
        <v>986</v>
      </c>
      <c r="D3967">
        <v>14358</v>
      </c>
      <c r="E3967" t="s">
        <v>112</v>
      </c>
      <c r="F3967" t="s">
        <v>949</v>
      </c>
      <c r="G3967">
        <v>2</v>
      </c>
      <c r="H3967">
        <v>37</v>
      </c>
      <c r="I3967" s="25">
        <v>2191</v>
      </c>
      <c r="L3967" t="s">
        <v>141</v>
      </c>
      <c r="M3967" t="s">
        <v>52</v>
      </c>
      <c r="N3967" t="s">
        <v>40</v>
      </c>
      <c r="O3967">
        <v>47</v>
      </c>
      <c r="Q3967">
        <v>1</v>
      </c>
      <c r="R3967">
        <v>1</v>
      </c>
      <c r="S3967">
        <v>0</v>
      </c>
      <c r="T3967">
        <v>0</v>
      </c>
      <c r="U3967">
        <v>0</v>
      </c>
      <c r="V3967">
        <v>1</v>
      </c>
      <c r="W3967">
        <v>0</v>
      </c>
      <c r="X3967" s="21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 s="21">
        <v>0</v>
      </c>
      <c r="AE3967" s="21">
        <v>0</v>
      </c>
      <c r="AF3967">
        <v>0</v>
      </c>
      <c r="AG3967">
        <v>0</v>
      </c>
      <c r="AH3967">
        <v>64</v>
      </c>
      <c r="AJ3967" t="s">
        <v>51</v>
      </c>
      <c r="AK3967" t="s">
        <v>95</v>
      </c>
      <c r="AL3967" t="s">
        <v>1333</v>
      </c>
      <c r="AP3967" t="s">
        <v>951</v>
      </c>
    </row>
    <row r="3968" spans="1:42">
      <c r="A3968" s="17" t="s">
        <v>1322</v>
      </c>
      <c r="B3968">
        <v>1</v>
      </c>
      <c r="C3968">
        <v>986</v>
      </c>
      <c r="D3968">
        <v>14358</v>
      </c>
      <c r="E3968" t="s">
        <v>112</v>
      </c>
      <c r="F3968" t="s">
        <v>949</v>
      </c>
      <c r="G3968">
        <v>2</v>
      </c>
      <c r="H3968">
        <v>38</v>
      </c>
      <c r="I3968" s="25" t="s">
        <v>1334</v>
      </c>
      <c r="K3968" t="s">
        <v>119</v>
      </c>
      <c r="M3968" t="s">
        <v>52</v>
      </c>
      <c r="N3968" t="s">
        <v>44</v>
      </c>
      <c r="O3968">
        <v>88</v>
      </c>
      <c r="Q3968">
        <v>3</v>
      </c>
      <c r="R3968">
        <v>1</v>
      </c>
      <c r="S3968">
        <v>0</v>
      </c>
      <c r="T3968">
        <v>0</v>
      </c>
      <c r="U3968">
        <v>1</v>
      </c>
      <c r="V3968">
        <v>1</v>
      </c>
      <c r="W3968">
        <v>1</v>
      </c>
      <c r="X3968" s="21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 s="21">
        <v>0</v>
      </c>
      <c r="AE3968" s="21">
        <v>0</v>
      </c>
      <c r="AF3968">
        <v>0</v>
      </c>
      <c r="AG3968">
        <v>0</v>
      </c>
      <c r="AH3968">
        <v>192</v>
      </c>
      <c r="AJ3968" t="s">
        <v>51</v>
      </c>
      <c r="AK3968" t="s">
        <v>95</v>
      </c>
      <c r="AL3968" t="s">
        <v>1335</v>
      </c>
      <c r="AP3968" t="s">
        <v>951</v>
      </c>
    </row>
    <row r="3969" spans="1:42">
      <c r="A3969" s="17" t="s">
        <v>1322</v>
      </c>
      <c r="B3969">
        <v>1</v>
      </c>
      <c r="C3969">
        <v>986</v>
      </c>
      <c r="D3969">
        <v>14358</v>
      </c>
      <c r="E3969" t="s">
        <v>112</v>
      </c>
      <c r="F3969" t="s">
        <v>949</v>
      </c>
      <c r="G3969">
        <v>2</v>
      </c>
      <c r="H3969">
        <v>39</v>
      </c>
      <c r="I3969" s="25">
        <v>2200</v>
      </c>
      <c r="K3969" t="s">
        <v>119</v>
      </c>
      <c r="L3969" t="s">
        <v>114</v>
      </c>
      <c r="M3969" t="s">
        <v>52</v>
      </c>
      <c r="N3969" t="s">
        <v>40</v>
      </c>
      <c r="O3969">
        <v>99</v>
      </c>
      <c r="Q3969">
        <v>4</v>
      </c>
      <c r="R3969">
        <v>1</v>
      </c>
      <c r="S3969">
        <v>0</v>
      </c>
      <c r="T3969">
        <v>0</v>
      </c>
      <c r="U3969">
        <v>2</v>
      </c>
      <c r="V3969">
        <v>1</v>
      </c>
      <c r="W3969">
        <v>1</v>
      </c>
      <c r="X3969" s="21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 s="21">
        <v>0</v>
      </c>
      <c r="AE3969" s="21">
        <v>0</v>
      </c>
      <c r="AF3969">
        <v>0</v>
      </c>
      <c r="AG3969">
        <v>0</v>
      </c>
      <c r="AH3969">
        <v>224</v>
      </c>
      <c r="AJ3969" t="s">
        <v>51</v>
      </c>
      <c r="AK3969" t="s">
        <v>95</v>
      </c>
      <c r="AP3969" t="s">
        <v>951</v>
      </c>
    </row>
    <row r="3970" spans="1:42">
      <c r="A3970" s="17" t="s">
        <v>1322</v>
      </c>
      <c r="B3970">
        <v>1</v>
      </c>
      <c r="C3970">
        <v>986</v>
      </c>
      <c r="D3970">
        <v>14358</v>
      </c>
      <c r="E3970" t="s">
        <v>112</v>
      </c>
      <c r="F3970" t="s">
        <v>949</v>
      </c>
      <c r="G3970">
        <v>2</v>
      </c>
      <c r="H3970">
        <v>40</v>
      </c>
      <c r="I3970" s="25">
        <v>2240</v>
      </c>
      <c r="K3970" t="s">
        <v>119</v>
      </c>
      <c r="M3970" t="s">
        <v>52</v>
      </c>
      <c r="N3970" t="s">
        <v>44</v>
      </c>
      <c r="O3970">
        <v>112</v>
      </c>
      <c r="Q3970">
        <v>1</v>
      </c>
      <c r="R3970">
        <v>1</v>
      </c>
      <c r="S3970">
        <v>0</v>
      </c>
      <c r="T3970">
        <v>0</v>
      </c>
      <c r="U3970">
        <v>0</v>
      </c>
      <c r="V3970">
        <v>0</v>
      </c>
      <c r="W3970">
        <v>1</v>
      </c>
      <c r="X3970" s="21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 s="21">
        <v>0</v>
      </c>
      <c r="AE3970" s="21">
        <v>0</v>
      </c>
      <c r="AF3970">
        <v>0</v>
      </c>
      <c r="AG3970">
        <v>0</v>
      </c>
      <c r="AH3970">
        <v>96</v>
      </c>
      <c r="AJ3970" t="s">
        <v>51</v>
      </c>
      <c r="AK3970" t="s">
        <v>95</v>
      </c>
      <c r="AP3970" t="s">
        <v>951</v>
      </c>
    </row>
    <row r="3971" spans="1:42">
      <c r="A3971" s="17" t="s">
        <v>1322</v>
      </c>
      <c r="B3971">
        <v>1</v>
      </c>
      <c r="C3971">
        <v>986</v>
      </c>
      <c r="D3971">
        <v>14358</v>
      </c>
      <c r="E3971" t="s">
        <v>112</v>
      </c>
      <c r="F3971" t="s">
        <v>949</v>
      </c>
      <c r="G3971">
        <v>2</v>
      </c>
      <c r="H3971">
        <v>41</v>
      </c>
      <c r="I3971" s="25">
        <v>2250</v>
      </c>
      <c r="K3971" t="s">
        <v>119</v>
      </c>
      <c r="M3971" t="s">
        <v>52</v>
      </c>
      <c r="N3971" t="s">
        <v>44</v>
      </c>
      <c r="O3971">
        <v>83</v>
      </c>
      <c r="Q3971">
        <v>1</v>
      </c>
      <c r="R3971">
        <v>1</v>
      </c>
      <c r="S3971">
        <v>0</v>
      </c>
      <c r="T3971">
        <v>0</v>
      </c>
      <c r="U3971">
        <v>0</v>
      </c>
      <c r="V3971">
        <v>0</v>
      </c>
      <c r="W3971">
        <v>1</v>
      </c>
      <c r="X3971" s="2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 s="21">
        <v>0</v>
      </c>
      <c r="AE3971" s="21">
        <v>0</v>
      </c>
      <c r="AF3971">
        <v>0</v>
      </c>
      <c r="AG3971">
        <v>0</v>
      </c>
      <c r="AH3971">
        <v>96</v>
      </c>
      <c r="AJ3971" t="s">
        <v>51</v>
      </c>
      <c r="AK3971" t="s">
        <v>95</v>
      </c>
      <c r="AL3971" t="s">
        <v>1331</v>
      </c>
      <c r="AP3971" t="s">
        <v>951</v>
      </c>
    </row>
    <row r="3972" spans="1:42">
      <c r="A3972" s="17" t="s">
        <v>1322</v>
      </c>
      <c r="B3972">
        <v>1</v>
      </c>
      <c r="C3972">
        <v>986</v>
      </c>
      <c r="D3972">
        <v>14358</v>
      </c>
      <c r="E3972" t="s">
        <v>112</v>
      </c>
      <c r="F3972" t="s">
        <v>949</v>
      </c>
      <c r="G3972">
        <v>2</v>
      </c>
      <c r="H3972">
        <v>42</v>
      </c>
      <c r="I3972" s="25">
        <v>2264</v>
      </c>
      <c r="K3972" t="s">
        <v>119</v>
      </c>
      <c r="M3972" t="s">
        <v>52</v>
      </c>
      <c r="N3972" t="s">
        <v>44</v>
      </c>
      <c r="O3972">
        <v>108</v>
      </c>
      <c r="Q3972">
        <v>1</v>
      </c>
      <c r="R3972">
        <v>1</v>
      </c>
      <c r="S3972">
        <v>0</v>
      </c>
      <c r="T3972">
        <v>0</v>
      </c>
      <c r="U3972">
        <v>0</v>
      </c>
      <c r="V3972">
        <v>0</v>
      </c>
      <c r="W3972">
        <v>1</v>
      </c>
      <c r="X3972" s="21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 s="21">
        <v>0</v>
      </c>
      <c r="AE3972" s="21">
        <v>0</v>
      </c>
      <c r="AF3972">
        <v>0</v>
      </c>
      <c r="AG3972">
        <v>0</v>
      </c>
      <c r="AH3972">
        <v>96</v>
      </c>
      <c r="AJ3972" t="s">
        <v>51</v>
      </c>
      <c r="AK3972" t="s">
        <v>95</v>
      </c>
      <c r="AP3972" t="s">
        <v>951</v>
      </c>
    </row>
    <row r="3973" spans="1:42">
      <c r="A3973" s="17" t="s">
        <v>1322</v>
      </c>
      <c r="B3973">
        <v>1</v>
      </c>
      <c r="C3973">
        <v>986</v>
      </c>
      <c r="D3973">
        <v>14358</v>
      </c>
      <c r="E3973" t="s">
        <v>112</v>
      </c>
      <c r="F3973" t="s">
        <v>949</v>
      </c>
      <c r="G3973">
        <v>2</v>
      </c>
      <c r="H3973">
        <v>43</v>
      </c>
      <c r="I3973" s="25">
        <v>2280</v>
      </c>
      <c r="K3973" t="s">
        <v>119</v>
      </c>
      <c r="M3973" t="s">
        <v>52</v>
      </c>
      <c r="N3973" t="s">
        <v>44</v>
      </c>
      <c r="O3973">
        <v>95</v>
      </c>
      <c r="Q3973">
        <v>1</v>
      </c>
      <c r="R3973">
        <v>1</v>
      </c>
      <c r="S3973">
        <v>0</v>
      </c>
      <c r="T3973">
        <v>0</v>
      </c>
      <c r="U3973">
        <v>0</v>
      </c>
      <c r="V3973">
        <v>0</v>
      </c>
      <c r="W3973">
        <v>1</v>
      </c>
      <c r="X3973" s="21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 s="21">
        <v>0</v>
      </c>
      <c r="AE3973" s="21">
        <v>0</v>
      </c>
      <c r="AF3973">
        <v>0</v>
      </c>
      <c r="AG3973">
        <v>0</v>
      </c>
      <c r="AH3973">
        <v>96</v>
      </c>
      <c r="AJ3973" t="s">
        <v>51</v>
      </c>
      <c r="AK3973" t="s">
        <v>52</v>
      </c>
      <c r="AL3973" t="s">
        <v>654</v>
      </c>
      <c r="AP3973" t="s">
        <v>951</v>
      </c>
    </row>
    <row r="3974" spans="1:42">
      <c r="A3974" s="17" t="s">
        <v>1322</v>
      </c>
      <c r="B3974">
        <v>1</v>
      </c>
      <c r="C3974">
        <v>986</v>
      </c>
      <c r="D3974">
        <v>14358</v>
      </c>
      <c r="E3974" t="s">
        <v>112</v>
      </c>
      <c r="F3974" t="s">
        <v>949</v>
      </c>
      <c r="G3974">
        <v>2</v>
      </c>
      <c r="H3974">
        <v>44</v>
      </c>
      <c r="I3974" s="25">
        <v>2200</v>
      </c>
      <c r="K3974" t="s">
        <v>119</v>
      </c>
      <c r="L3974" t="s">
        <v>114</v>
      </c>
      <c r="M3974" t="s">
        <v>52</v>
      </c>
      <c r="N3974" t="s">
        <v>40</v>
      </c>
      <c r="O3974">
        <v>49</v>
      </c>
      <c r="Q3974">
        <v>1</v>
      </c>
      <c r="R3974">
        <v>1</v>
      </c>
      <c r="S3974">
        <v>0</v>
      </c>
      <c r="T3974">
        <v>0</v>
      </c>
      <c r="U3974">
        <v>0</v>
      </c>
      <c r="V3974">
        <v>1</v>
      </c>
      <c r="W3974">
        <v>0</v>
      </c>
      <c r="X3974" s="21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 s="21">
        <v>0</v>
      </c>
      <c r="AE3974" s="21">
        <v>0</v>
      </c>
      <c r="AF3974">
        <v>0</v>
      </c>
      <c r="AG3974">
        <v>0</v>
      </c>
      <c r="AH3974">
        <v>64</v>
      </c>
      <c r="AJ3974" t="s">
        <v>51</v>
      </c>
      <c r="AK3974" t="s">
        <v>52</v>
      </c>
      <c r="AP3974" t="s">
        <v>951</v>
      </c>
    </row>
    <row r="3975" spans="1:42">
      <c r="A3975" s="17" t="s">
        <v>1322</v>
      </c>
      <c r="B3975">
        <v>1</v>
      </c>
      <c r="C3975">
        <v>986</v>
      </c>
      <c r="D3975">
        <v>14358</v>
      </c>
      <c r="E3975" t="s">
        <v>112</v>
      </c>
      <c r="F3975" t="s">
        <v>949</v>
      </c>
      <c r="G3975">
        <v>2</v>
      </c>
      <c r="H3975">
        <v>45</v>
      </c>
      <c r="I3975" s="25">
        <v>2200</v>
      </c>
      <c r="K3975" t="s">
        <v>156</v>
      </c>
      <c r="L3975" t="s">
        <v>141</v>
      </c>
      <c r="M3975" t="s">
        <v>52</v>
      </c>
      <c r="N3975" t="s">
        <v>40</v>
      </c>
      <c r="O3975">
        <v>35</v>
      </c>
      <c r="Q3975">
        <v>1</v>
      </c>
      <c r="R3975">
        <v>1</v>
      </c>
      <c r="S3975">
        <v>0</v>
      </c>
      <c r="T3975">
        <v>0</v>
      </c>
      <c r="U3975">
        <v>0</v>
      </c>
      <c r="V3975">
        <v>1</v>
      </c>
      <c r="W3975">
        <v>0</v>
      </c>
      <c r="X3975" s="21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 s="21">
        <v>0</v>
      </c>
      <c r="AE3975" s="21">
        <v>0</v>
      </c>
      <c r="AF3975">
        <v>0</v>
      </c>
      <c r="AG3975">
        <v>0</v>
      </c>
      <c r="AH3975">
        <v>64</v>
      </c>
      <c r="AJ3975" t="s">
        <v>51</v>
      </c>
      <c r="AK3975" t="s">
        <v>52</v>
      </c>
      <c r="AP3975" t="s">
        <v>951</v>
      </c>
    </row>
    <row r="3976" spans="1:42">
      <c r="A3976" s="17" t="s">
        <v>1322</v>
      </c>
      <c r="B3976">
        <v>1</v>
      </c>
      <c r="C3976">
        <v>986</v>
      </c>
      <c r="D3976">
        <v>14358</v>
      </c>
      <c r="E3976" t="s">
        <v>112</v>
      </c>
      <c r="F3976" t="s">
        <v>949</v>
      </c>
      <c r="G3976">
        <v>2</v>
      </c>
      <c r="H3976">
        <v>46</v>
      </c>
      <c r="I3976" s="25">
        <v>2200</v>
      </c>
      <c r="K3976" t="s">
        <v>156</v>
      </c>
      <c r="L3976" t="s">
        <v>141</v>
      </c>
      <c r="M3976" t="s">
        <v>52</v>
      </c>
      <c r="N3976" t="s">
        <v>40</v>
      </c>
      <c r="O3976">
        <v>36</v>
      </c>
      <c r="Q3976">
        <v>1</v>
      </c>
      <c r="R3976">
        <v>1</v>
      </c>
      <c r="S3976">
        <v>0</v>
      </c>
      <c r="T3976">
        <v>0</v>
      </c>
      <c r="U3976">
        <v>0</v>
      </c>
      <c r="V3976">
        <v>0</v>
      </c>
      <c r="W3976">
        <v>1</v>
      </c>
      <c r="X3976" s="21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 s="21">
        <v>0</v>
      </c>
      <c r="AE3976" s="21">
        <v>0</v>
      </c>
      <c r="AF3976">
        <v>0</v>
      </c>
      <c r="AG3976">
        <v>0</v>
      </c>
      <c r="AH3976">
        <v>96</v>
      </c>
      <c r="AJ3976" t="s">
        <v>51</v>
      </c>
      <c r="AK3976" t="s">
        <v>52</v>
      </c>
      <c r="AP3976" t="s">
        <v>951</v>
      </c>
    </row>
    <row r="3977" spans="1:42">
      <c r="A3977" s="17" t="s">
        <v>1322</v>
      </c>
      <c r="B3977">
        <v>1</v>
      </c>
      <c r="C3977">
        <v>986</v>
      </c>
      <c r="D3977">
        <v>14358</v>
      </c>
      <c r="E3977" t="s">
        <v>112</v>
      </c>
      <c r="F3977" t="s">
        <v>949</v>
      </c>
      <c r="G3977">
        <v>2</v>
      </c>
      <c r="H3977">
        <v>47</v>
      </c>
      <c r="I3977" s="25">
        <v>2200</v>
      </c>
      <c r="K3977" t="s">
        <v>156</v>
      </c>
      <c r="L3977" t="s">
        <v>141</v>
      </c>
      <c r="M3977" t="s">
        <v>52</v>
      </c>
      <c r="N3977" t="s">
        <v>40</v>
      </c>
      <c r="O3977">
        <v>47</v>
      </c>
      <c r="Q3977">
        <v>1</v>
      </c>
      <c r="R3977">
        <v>1</v>
      </c>
      <c r="S3977">
        <v>0</v>
      </c>
      <c r="T3977">
        <v>0</v>
      </c>
      <c r="U3977">
        <v>0</v>
      </c>
      <c r="V3977">
        <v>0</v>
      </c>
      <c r="W3977">
        <v>1</v>
      </c>
      <c r="X3977" s="21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 s="21">
        <v>0</v>
      </c>
      <c r="AE3977" s="21">
        <v>0</v>
      </c>
      <c r="AF3977">
        <v>0</v>
      </c>
      <c r="AG3977">
        <v>0</v>
      </c>
      <c r="AH3977">
        <v>96</v>
      </c>
      <c r="AJ3977" t="s">
        <v>51</v>
      </c>
      <c r="AK3977" t="s">
        <v>95</v>
      </c>
      <c r="AP3977" t="s">
        <v>951</v>
      </c>
    </row>
    <row r="3978" spans="1:42">
      <c r="A3978" s="17" t="s">
        <v>1322</v>
      </c>
      <c r="B3978">
        <v>1</v>
      </c>
      <c r="C3978">
        <v>986</v>
      </c>
      <c r="D3978">
        <v>14358</v>
      </c>
      <c r="E3978" t="s">
        <v>112</v>
      </c>
      <c r="F3978" t="s">
        <v>949</v>
      </c>
      <c r="G3978">
        <v>2</v>
      </c>
      <c r="H3978">
        <v>48</v>
      </c>
      <c r="I3978" s="25">
        <v>3000</v>
      </c>
      <c r="K3978" t="s">
        <v>909</v>
      </c>
      <c r="L3978" t="s">
        <v>114</v>
      </c>
      <c r="M3978" t="s">
        <v>52</v>
      </c>
      <c r="N3978" t="s">
        <v>40</v>
      </c>
      <c r="O3978">
        <v>102</v>
      </c>
      <c r="Q3978">
        <v>1</v>
      </c>
      <c r="R3978">
        <v>1</v>
      </c>
      <c r="S3978">
        <v>0</v>
      </c>
      <c r="T3978">
        <v>0</v>
      </c>
      <c r="U3978">
        <v>0</v>
      </c>
      <c r="V3978">
        <v>1</v>
      </c>
      <c r="W3978">
        <v>0</v>
      </c>
      <c r="X3978" s="21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 s="21">
        <v>0</v>
      </c>
      <c r="AE3978" s="21">
        <v>0</v>
      </c>
      <c r="AF3978">
        <v>0</v>
      </c>
      <c r="AG3978">
        <v>0</v>
      </c>
      <c r="AH3978">
        <v>64</v>
      </c>
      <c r="AJ3978" t="s">
        <v>51</v>
      </c>
      <c r="AK3978" t="s">
        <v>95</v>
      </c>
      <c r="AP3978" t="s">
        <v>951</v>
      </c>
    </row>
    <row r="3979" spans="1:42">
      <c r="A3979" s="17" t="s">
        <v>1322</v>
      </c>
      <c r="B3979">
        <v>1</v>
      </c>
      <c r="C3979">
        <v>986</v>
      </c>
      <c r="D3979">
        <v>14358</v>
      </c>
      <c r="E3979" t="s">
        <v>112</v>
      </c>
      <c r="F3979" t="s">
        <v>949</v>
      </c>
      <c r="G3979">
        <v>2</v>
      </c>
      <c r="H3979">
        <v>49</v>
      </c>
      <c r="I3979" s="25">
        <v>3100</v>
      </c>
      <c r="K3979" t="s">
        <v>909</v>
      </c>
      <c r="L3979" t="s">
        <v>114</v>
      </c>
      <c r="M3979" t="s">
        <v>52</v>
      </c>
      <c r="N3979" t="s">
        <v>40</v>
      </c>
      <c r="O3979">
        <v>61</v>
      </c>
      <c r="Q3979">
        <v>2</v>
      </c>
      <c r="R3979">
        <v>1</v>
      </c>
      <c r="S3979">
        <v>0</v>
      </c>
      <c r="T3979">
        <v>0</v>
      </c>
      <c r="U3979">
        <v>0</v>
      </c>
      <c r="V3979">
        <v>2</v>
      </c>
      <c r="W3979">
        <v>0</v>
      </c>
      <c r="X3979" s="21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 s="21">
        <v>0</v>
      </c>
      <c r="AE3979" s="21">
        <v>0</v>
      </c>
      <c r="AF3979">
        <v>0</v>
      </c>
      <c r="AG3979">
        <v>0</v>
      </c>
      <c r="AH3979">
        <v>128</v>
      </c>
      <c r="AJ3979" t="s">
        <v>51</v>
      </c>
      <c r="AK3979" t="s">
        <v>52</v>
      </c>
      <c r="AP3979" t="s">
        <v>951</v>
      </c>
    </row>
    <row r="3980" spans="1:42">
      <c r="A3980" s="17" t="s">
        <v>1322</v>
      </c>
      <c r="B3980">
        <v>1</v>
      </c>
      <c r="C3980">
        <v>986</v>
      </c>
      <c r="D3980">
        <v>14358</v>
      </c>
      <c r="E3980" t="s">
        <v>112</v>
      </c>
      <c r="F3980" t="s">
        <v>949</v>
      </c>
      <c r="G3980">
        <v>2</v>
      </c>
      <c r="H3980">
        <v>50</v>
      </c>
      <c r="I3980" s="25">
        <v>3100</v>
      </c>
      <c r="K3980" t="s">
        <v>909</v>
      </c>
      <c r="L3980" t="s">
        <v>114</v>
      </c>
      <c r="M3980" t="s">
        <v>52</v>
      </c>
      <c r="N3980" t="s">
        <v>40</v>
      </c>
      <c r="O3980">
        <v>44</v>
      </c>
      <c r="Q3980">
        <v>1</v>
      </c>
      <c r="R3980">
        <v>1</v>
      </c>
      <c r="S3980">
        <v>0</v>
      </c>
      <c r="T3980">
        <v>0</v>
      </c>
      <c r="U3980">
        <v>0</v>
      </c>
      <c r="V3980">
        <v>0</v>
      </c>
      <c r="W3980">
        <v>1</v>
      </c>
      <c r="X3980" s="21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 s="21">
        <v>0</v>
      </c>
      <c r="AE3980" s="21">
        <v>0</v>
      </c>
      <c r="AF3980">
        <v>0</v>
      </c>
      <c r="AG3980">
        <v>0</v>
      </c>
      <c r="AH3980">
        <v>96</v>
      </c>
      <c r="AJ3980" t="s">
        <v>51</v>
      </c>
      <c r="AK3980" t="s">
        <v>52</v>
      </c>
      <c r="AP3980" t="s">
        <v>951</v>
      </c>
    </row>
    <row r="3981" spans="1:42">
      <c r="A3981" s="17" t="s">
        <v>1322</v>
      </c>
      <c r="B3981">
        <v>1</v>
      </c>
      <c r="C3981">
        <v>986</v>
      </c>
      <c r="D3981">
        <v>14358</v>
      </c>
      <c r="E3981" t="s">
        <v>112</v>
      </c>
      <c r="F3981" t="s">
        <v>949</v>
      </c>
      <c r="G3981">
        <v>2</v>
      </c>
      <c r="H3981">
        <v>51</v>
      </c>
      <c r="I3981" s="25">
        <v>3200</v>
      </c>
      <c r="K3981" t="s">
        <v>909</v>
      </c>
      <c r="L3981" t="s">
        <v>114</v>
      </c>
      <c r="M3981" t="s">
        <v>52</v>
      </c>
      <c r="N3981" t="s">
        <v>40</v>
      </c>
      <c r="O3981">
        <v>111</v>
      </c>
      <c r="Q3981">
        <v>1</v>
      </c>
      <c r="R3981">
        <v>1</v>
      </c>
      <c r="S3981">
        <v>0</v>
      </c>
      <c r="T3981">
        <v>0</v>
      </c>
      <c r="U3981">
        <v>0</v>
      </c>
      <c r="V3981">
        <v>1</v>
      </c>
      <c r="W3981">
        <v>0</v>
      </c>
      <c r="X3981" s="2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 s="21">
        <v>0</v>
      </c>
      <c r="AE3981" s="21">
        <v>0</v>
      </c>
      <c r="AF3981">
        <v>0</v>
      </c>
      <c r="AG3981">
        <v>0</v>
      </c>
      <c r="AH3981">
        <v>64</v>
      </c>
      <c r="AJ3981" t="s">
        <v>51</v>
      </c>
      <c r="AK3981" t="s">
        <v>52</v>
      </c>
      <c r="AP3981" t="s">
        <v>951</v>
      </c>
    </row>
    <row r="3982" spans="1:42">
      <c r="A3982" s="17" t="s">
        <v>1322</v>
      </c>
      <c r="B3982">
        <v>1</v>
      </c>
      <c r="C3982">
        <v>986</v>
      </c>
      <c r="D3982">
        <v>14358</v>
      </c>
      <c r="E3982" t="s">
        <v>112</v>
      </c>
      <c r="F3982" t="s">
        <v>949</v>
      </c>
      <c r="G3982">
        <v>2</v>
      </c>
      <c r="H3982">
        <v>52</v>
      </c>
      <c r="I3982" s="25">
        <v>200</v>
      </c>
      <c r="K3982" t="s">
        <v>602</v>
      </c>
      <c r="L3982" t="s">
        <v>114</v>
      </c>
      <c r="M3982" t="s">
        <v>52</v>
      </c>
      <c r="N3982" t="s">
        <v>40</v>
      </c>
      <c r="O3982">
        <v>23</v>
      </c>
      <c r="Q3982">
        <v>1</v>
      </c>
      <c r="R3982">
        <v>1</v>
      </c>
      <c r="S3982">
        <v>0</v>
      </c>
      <c r="T3982">
        <v>0</v>
      </c>
      <c r="U3982">
        <v>0</v>
      </c>
      <c r="V3982">
        <v>0</v>
      </c>
      <c r="W3982">
        <v>1</v>
      </c>
      <c r="X3982" s="21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 s="21">
        <v>0</v>
      </c>
      <c r="AE3982" s="21">
        <v>0</v>
      </c>
      <c r="AF3982">
        <v>0</v>
      </c>
      <c r="AG3982">
        <v>0</v>
      </c>
      <c r="AH3982">
        <v>96</v>
      </c>
      <c r="AJ3982" t="s">
        <v>51</v>
      </c>
      <c r="AK3982" t="s">
        <v>95</v>
      </c>
      <c r="AP3982" t="s">
        <v>951</v>
      </c>
    </row>
    <row r="3983" spans="1:42">
      <c r="A3983" s="17" t="s">
        <v>1322</v>
      </c>
      <c r="B3983">
        <v>1</v>
      </c>
      <c r="C3983">
        <v>986</v>
      </c>
      <c r="D3983">
        <v>14358</v>
      </c>
      <c r="E3983" t="s">
        <v>112</v>
      </c>
      <c r="F3983" t="s">
        <v>949</v>
      </c>
      <c r="G3983">
        <v>2</v>
      </c>
      <c r="H3983">
        <v>53</v>
      </c>
      <c r="I3983" s="25">
        <v>200</v>
      </c>
      <c r="K3983" t="s">
        <v>602</v>
      </c>
      <c r="L3983" t="s">
        <v>141</v>
      </c>
      <c r="M3983" t="s">
        <v>52</v>
      </c>
      <c r="N3983" t="s">
        <v>40</v>
      </c>
      <c r="O3983">
        <v>77</v>
      </c>
      <c r="Q3983">
        <v>3</v>
      </c>
      <c r="R3983">
        <v>1</v>
      </c>
      <c r="S3983">
        <v>0</v>
      </c>
      <c r="T3983">
        <v>0</v>
      </c>
      <c r="U3983">
        <v>0</v>
      </c>
      <c r="V3983">
        <v>0</v>
      </c>
      <c r="W3983">
        <v>3</v>
      </c>
      <c r="X3983" s="21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 s="21">
        <v>0</v>
      </c>
      <c r="AE3983" s="21">
        <v>0</v>
      </c>
      <c r="AF3983">
        <v>0</v>
      </c>
      <c r="AG3983">
        <v>0</v>
      </c>
      <c r="AH3983">
        <v>288</v>
      </c>
      <c r="AJ3983" t="s">
        <v>51</v>
      </c>
      <c r="AK3983" t="s">
        <v>95</v>
      </c>
      <c r="AP3983" t="s">
        <v>951</v>
      </c>
    </row>
    <row r="3984" spans="1:42">
      <c r="A3984" s="17" t="s">
        <v>1322</v>
      </c>
      <c r="B3984">
        <v>1</v>
      </c>
      <c r="C3984">
        <v>986</v>
      </c>
      <c r="D3984">
        <v>14358</v>
      </c>
      <c r="E3984" t="s">
        <v>112</v>
      </c>
      <c r="F3984" t="s">
        <v>949</v>
      </c>
      <c r="G3984">
        <v>2</v>
      </c>
      <c r="H3984">
        <v>54</v>
      </c>
      <c r="I3984" s="25">
        <v>200</v>
      </c>
      <c r="K3984" t="s">
        <v>602</v>
      </c>
      <c r="L3984" t="s">
        <v>114</v>
      </c>
      <c r="M3984" t="s">
        <v>52</v>
      </c>
      <c r="N3984" t="s">
        <v>40</v>
      </c>
      <c r="O3984">
        <v>20</v>
      </c>
      <c r="Q3984">
        <v>1</v>
      </c>
      <c r="R3984">
        <v>1</v>
      </c>
      <c r="S3984">
        <v>0</v>
      </c>
      <c r="T3984">
        <v>0</v>
      </c>
      <c r="U3984">
        <v>0</v>
      </c>
      <c r="V3984">
        <v>0</v>
      </c>
      <c r="W3984">
        <v>1</v>
      </c>
      <c r="X3984" s="21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 s="21">
        <v>0</v>
      </c>
      <c r="AE3984" s="21">
        <v>0</v>
      </c>
      <c r="AF3984">
        <v>0</v>
      </c>
      <c r="AG3984">
        <v>0</v>
      </c>
      <c r="AH3984">
        <v>96</v>
      </c>
      <c r="AJ3984" t="s">
        <v>51</v>
      </c>
      <c r="AK3984" t="s">
        <v>95</v>
      </c>
      <c r="AP3984" t="s">
        <v>951</v>
      </c>
    </row>
    <row r="3985" spans="1:42">
      <c r="A3985" s="17" t="s">
        <v>1322</v>
      </c>
      <c r="B3985">
        <v>1</v>
      </c>
      <c r="C3985">
        <v>986</v>
      </c>
      <c r="D3985">
        <v>14358</v>
      </c>
      <c r="E3985" t="s">
        <v>112</v>
      </c>
      <c r="F3985" t="s">
        <v>949</v>
      </c>
      <c r="G3985">
        <v>2</v>
      </c>
      <c r="H3985">
        <v>55</v>
      </c>
      <c r="I3985" s="25">
        <v>200</v>
      </c>
      <c r="K3985" t="s">
        <v>602</v>
      </c>
      <c r="L3985" t="s">
        <v>114</v>
      </c>
      <c r="M3985" t="s">
        <v>52</v>
      </c>
      <c r="N3985" t="s">
        <v>40</v>
      </c>
      <c r="O3985">
        <v>45</v>
      </c>
      <c r="Q3985">
        <v>1</v>
      </c>
      <c r="R3985">
        <v>1</v>
      </c>
      <c r="S3985">
        <v>0</v>
      </c>
      <c r="T3985">
        <v>0</v>
      </c>
      <c r="U3985">
        <v>0</v>
      </c>
      <c r="V3985">
        <v>1</v>
      </c>
      <c r="W3985">
        <v>0</v>
      </c>
      <c r="X3985" s="21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 s="21">
        <v>0</v>
      </c>
      <c r="AE3985" s="21">
        <v>0</v>
      </c>
      <c r="AF3985">
        <v>5</v>
      </c>
      <c r="AG3985">
        <v>0</v>
      </c>
      <c r="AH3985">
        <v>64</v>
      </c>
      <c r="AJ3985" t="s">
        <v>51</v>
      </c>
      <c r="AK3985" t="s">
        <v>95</v>
      </c>
      <c r="AP3985" t="s">
        <v>951</v>
      </c>
    </row>
    <row r="3986" spans="1:42">
      <c r="A3986" s="17" t="s">
        <v>1322</v>
      </c>
      <c r="B3986">
        <v>1</v>
      </c>
      <c r="C3986">
        <v>986</v>
      </c>
      <c r="D3986">
        <v>14358</v>
      </c>
      <c r="E3986" t="s">
        <v>112</v>
      </c>
      <c r="F3986" t="s">
        <v>949</v>
      </c>
      <c r="G3986">
        <v>2</v>
      </c>
      <c r="H3986">
        <v>56</v>
      </c>
      <c r="I3986" s="25">
        <v>3218</v>
      </c>
      <c r="K3986" t="s">
        <v>113</v>
      </c>
      <c r="M3986" t="s">
        <v>52</v>
      </c>
      <c r="N3986" t="s">
        <v>44</v>
      </c>
      <c r="O3986">
        <v>75</v>
      </c>
      <c r="Q3986">
        <v>1</v>
      </c>
      <c r="R3986">
        <v>1</v>
      </c>
      <c r="S3986">
        <v>0</v>
      </c>
      <c r="T3986">
        <v>0</v>
      </c>
      <c r="U3986">
        <v>0</v>
      </c>
      <c r="V3986">
        <v>0</v>
      </c>
      <c r="W3986">
        <v>1</v>
      </c>
      <c r="X3986" s="21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 s="21">
        <v>0</v>
      </c>
      <c r="AE3986" s="21">
        <v>0</v>
      </c>
      <c r="AF3986">
        <v>0</v>
      </c>
      <c r="AG3986">
        <v>0</v>
      </c>
      <c r="AH3986">
        <v>96</v>
      </c>
      <c r="AJ3986" t="s">
        <v>51</v>
      </c>
      <c r="AK3986" t="s">
        <v>95</v>
      </c>
      <c r="AP3986" t="s">
        <v>951</v>
      </c>
    </row>
    <row r="3987" spans="1:42">
      <c r="A3987" s="17" t="s">
        <v>1322</v>
      </c>
      <c r="B3987">
        <v>1</v>
      </c>
      <c r="C3987">
        <v>986</v>
      </c>
      <c r="D3987">
        <v>14358</v>
      </c>
      <c r="E3987" t="s">
        <v>112</v>
      </c>
      <c r="F3987" t="s">
        <v>949</v>
      </c>
      <c r="G3987">
        <v>2</v>
      </c>
      <c r="H3987">
        <v>57</v>
      </c>
      <c r="I3987" s="25">
        <v>2200</v>
      </c>
      <c r="K3987" t="s">
        <v>1147</v>
      </c>
      <c r="L3987" t="s">
        <v>141</v>
      </c>
      <c r="M3987" t="s">
        <v>52</v>
      </c>
      <c r="N3987" t="s">
        <v>40</v>
      </c>
      <c r="O3987">
        <v>51</v>
      </c>
      <c r="Q3987">
        <v>2</v>
      </c>
      <c r="R3987">
        <v>1</v>
      </c>
      <c r="S3987">
        <v>0</v>
      </c>
      <c r="T3987">
        <v>0</v>
      </c>
      <c r="U3987">
        <v>0</v>
      </c>
      <c r="V3987">
        <v>0</v>
      </c>
      <c r="W3987">
        <v>2</v>
      </c>
      <c r="X3987" s="21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 s="21">
        <v>0</v>
      </c>
      <c r="AE3987" s="21">
        <v>0</v>
      </c>
      <c r="AF3987">
        <v>0</v>
      </c>
      <c r="AG3987">
        <v>0</v>
      </c>
      <c r="AH3987">
        <v>192</v>
      </c>
      <c r="AJ3987" t="s">
        <v>51</v>
      </c>
      <c r="AK3987" t="s">
        <v>52</v>
      </c>
      <c r="AP3987" t="s">
        <v>951</v>
      </c>
    </row>
    <row r="3988" spans="1:42">
      <c r="A3988" s="17" t="s">
        <v>1322</v>
      </c>
      <c r="B3988">
        <v>1</v>
      </c>
      <c r="C3988">
        <v>986</v>
      </c>
      <c r="D3988">
        <v>14358</v>
      </c>
      <c r="E3988" t="s">
        <v>112</v>
      </c>
      <c r="F3988" t="s">
        <v>949</v>
      </c>
      <c r="G3988">
        <v>2</v>
      </c>
      <c r="H3988">
        <v>58</v>
      </c>
      <c r="I3988" s="25">
        <v>3100</v>
      </c>
      <c r="K3988" t="s">
        <v>909</v>
      </c>
      <c r="L3988" t="s">
        <v>141</v>
      </c>
      <c r="M3988" t="s">
        <v>52</v>
      </c>
      <c r="N3988" t="s">
        <v>40</v>
      </c>
      <c r="O3988">
        <v>66</v>
      </c>
      <c r="Q3988">
        <v>2</v>
      </c>
      <c r="R3988">
        <v>1</v>
      </c>
      <c r="S3988">
        <v>0</v>
      </c>
      <c r="T3988">
        <v>0</v>
      </c>
      <c r="U3988">
        <v>1</v>
      </c>
      <c r="V3988">
        <v>0</v>
      </c>
      <c r="W3988">
        <v>1</v>
      </c>
      <c r="X3988" s="21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 s="21">
        <v>0</v>
      </c>
      <c r="AE3988" s="21">
        <v>0</v>
      </c>
      <c r="AF3988">
        <v>1</v>
      </c>
      <c r="AG3988">
        <v>0</v>
      </c>
      <c r="AH3988">
        <v>128</v>
      </c>
      <c r="AJ3988" t="s">
        <v>51</v>
      </c>
      <c r="AK3988" t="s">
        <v>52</v>
      </c>
      <c r="AP3988" t="s">
        <v>951</v>
      </c>
    </row>
    <row r="3989" spans="1:42">
      <c r="A3989" s="17" t="s">
        <v>1322</v>
      </c>
      <c r="B3989">
        <v>1</v>
      </c>
      <c r="C3989">
        <v>986</v>
      </c>
      <c r="D3989">
        <v>14358</v>
      </c>
      <c r="E3989" t="s">
        <v>112</v>
      </c>
      <c r="F3989" t="s">
        <v>949</v>
      </c>
      <c r="G3989">
        <v>2</v>
      </c>
      <c r="H3989">
        <v>59</v>
      </c>
      <c r="I3989" s="25">
        <v>3100</v>
      </c>
      <c r="K3989" t="s">
        <v>909</v>
      </c>
      <c r="L3989" t="s">
        <v>141</v>
      </c>
      <c r="M3989" t="s">
        <v>52</v>
      </c>
      <c r="N3989" t="s">
        <v>40</v>
      </c>
      <c r="O3989">
        <v>84</v>
      </c>
      <c r="Q3989">
        <v>1</v>
      </c>
      <c r="R3989">
        <v>1</v>
      </c>
      <c r="S3989">
        <v>0</v>
      </c>
      <c r="T3989">
        <v>0</v>
      </c>
      <c r="U3989">
        <v>0</v>
      </c>
      <c r="V3989">
        <v>0</v>
      </c>
      <c r="W3989">
        <v>1</v>
      </c>
      <c r="X3989" s="21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 s="21">
        <v>0</v>
      </c>
      <c r="AE3989" s="21">
        <v>0</v>
      </c>
      <c r="AF3989">
        <v>1</v>
      </c>
      <c r="AG3989">
        <v>0</v>
      </c>
      <c r="AH3989">
        <v>96</v>
      </c>
      <c r="AJ3989" t="s">
        <v>51</v>
      </c>
      <c r="AK3989" t="s">
        <v>52</v>
      </c>
      <c r="AP3989" t="s">
        <v>951</v>
      </c>
    </row>
    <row r="3990" spans="1:42">
      <c r="A3990" s="17" t="s">
        <v>1322</v>
      </c>
      <c r="B3990">
        <v>1</v>
      </c>
      <c r="C3990">
        <v>986</v>
      </c>
      <c r="D3990">
        <v>14358</v>
      </c>
      <c r="E3990" t="s">
        <v>112</v>
      </c>
      <c r="F3990" t="s">
        <v>949</v>
      </c>
      <c r="G3990">
        <v>2</v>
      </c>
      <c r="H3990">
        <v>60</v>
      </c>
      <c r="I3990" s="25">
        <v>3107</v>
      </c>
      <c r="K3990" t="s">
        <v>909</v>
      </c>
      <c r="M3990" t="s">
        <v>52</v>
      </c>
      <c r="N3990" t="s">
        <v>44</v>
      </c>
      <c r="O3990">
        <v>137</v>
      </c>
      <c r="Q3990">
        <v>2</v>
      </c>
      <c r="R3990">
        <v>1</v>
      </c>
      <c r="S3990">
        <v>0</v>
      </c>
      <c r="T3990">
        <v>0</v>
      </c>
      <c r="U3990">
        <v>0</v>
      </c>
      <c r="V3990">
        <v>1</v>
      </c>
      <c r="W3990">
        <v>1</v>
      </c>
      <c r="X3990" s="21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 s="21">
        <v>0</v>
      </c>
      <c r="AE3990" s="21">
        <v>0</v>
      </c>
      <c r="AF3990">
        <v>0</v>
      </c>
      <c r="AG3990">
        <v>0</v>
      </c>
      <c r="AH3990">
        <v>160</v>
      </c>
      <c r="AJ3990" t="s">
        <v>51</v>
      </c>
      <c r="AK3990" t="s">
        <v>52</v>
      </c>
      <c r="AP3990" t="s">
        <v>951</v>
      </c>
    </row>
    <row r="3991" spans="1:42">
      <c r="A3991" s="17" t="s">
        <v>1322</v>
      </c>
      <c r="B3991">
        <v>1</v>
      </c>
      <c r="C3991">
        <v>986</v>
      </c>
      <c r="D3991">
        <v>14358</v>
      </c>
      <c r="E3991" t="s">
        <v>112</v>
      </c>
      <c r="F3991" t="s">
        <v>949</v>
      </c>
      <c r="G3991">
        <v>2</v>
      </c>
      <c r="H3991">
        <v>61</v>
      </c>
      <c r="I3991" s="25">
        <v>3000</v>
      </c>
      <c r="K3991" t="s">
        <v>909</v>
      </c>
      <c r="L3991" t="s">
        <v>141</v>
      </c>
      <c r="M3991" t="s">
        <v>52</v>
      </c>
      <c r="N3991" t="s">
        <v>40</v>
      </c>
      <c r="O3991">
        <v>191</v>
      </c>
      <c r="Q3991">
        <v>4</v>
      </c>
      <c r="R3991">
        <v>1</v>
      </c>
      <c r="S3991">
        <v>0</v>
      </c>
      <c r="T3991">
        <v>0</v>
      </c>
      <c r="U3991">
        <v>0</v>
      </c>
      <c r="V3991">
        <v>0</v>
      </c>
      <c r="W3991">
        <v>4</v>
      </c>
      <c r="X3991" s="2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 s="21">
        <v>0</v>
      </c>
      <c r="AE3991" s="21">
        <v>0</v>
      </c>
      <c r="AF3991">
        <v>0</v>
      </c>
      <c r="AG3991">
        <v>0</v>
      </c>
      <c r="AH3991">
        <v>384</v>
      </c>
      <c r="AJ3991" t="s">
        <v>51</v>
      </c>
      <c r="AK3991" t="s">
        <v>52</v>
      </c>
      <c r="AL3991" t="s">
        <v>1336</v>
      </c>
      <c r="AP3991" t="s">
        <v>951</v>
      </c>
    </row>
    <row r="3992" spans="1:42">
      <c r="A3992" s="17" t="s">
        <v>1322</v>
      </c>
      <c r="B3992">
        <v>1</v>
      </c>
      <c r="C3992">
        <v>986</v>
      </c>
      <c r="D3992">
        <v>14358</v>
      </c>
      <c r="E3992" t="s">
        <v>112</v>
      </c>
      <c r="F3992" t="s">
        <v>949</v>
      </c>
      <c r="G3992">
        <v>2</v>
      </c>
      <c r="H3992">
        <v>62</v>
      </c>
      <c r="I3992" s="25">
        <v>3023</v>
      </c>
      <c r="K3992" t="s">
        <v>909</v>
      </c>
      <c r="M3992" t="s">
        <v>52</v>
      </c>
      <c r="N3992" t="s">
        <v>44</v>
      </c>
      <c r="O3992">
        <v>144</v>
      </c>
      <c r="Q3992">
        <v>1</v>
      </c>
      <c r="R3992">
        <v>1</v>
      </c>
      <c r="S3992">
        <v>0</v>
      </c>
      <c r="T3992">
        <v>0</v>
      </c>
      <c r="U3992">
        <v>0</v>
      </c>
      <c r="V3992">
        <v>1</v>
      </c>
      <c r="W3992">
        <v>0</v>
      </c>
      <c r="X3992" s="21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 s="21">
        <v>0</v>
      </c>
      <c r="AE3992" s="21">
        <v>0</v>
      </c>
      <c r="AF3992">
        <v>0</v>
      </c>
      <c r="AG3992">
        <v>0</v>
      </c>
      <c r="AH3992">
        <v>64</v>
      </c>
      <c r="AJ3992" t="s">
        <v>51</v>
      </c>
      <c r="AK3992" t="s">
        <v>52</v>
      </c>
      <c r="AL3992" t="s">
        <v>654</v>
      </c>
      <c r="AP3992" t="s">
        <v>951</v>
      </c>
    </row>
    <row r="3993" spans="1:42">
      <c r="A3993" s="17" t="s">
        <v>1322</v>
      </c>
      <c r="B3993">
        <v>1</v>
      </c>
      <c r="C3993">
        <v>986</v>
      </c>
      <c r="D3993">
        <v>14358</v>
      </c>
      <c r="E3993" t="s">
        <v>112</v>
      </c>
      <c r="F3993" t="s">
        <v>949</v>
      </c>
      <c r="G3993">
        <v>2</v>
      </c>
      <c r="H3993">
        <v>63</v>
      </c>
      <c r="I3993" s="25">
        <v>3000</v>
      </c>
      <c r="K3993" t="s">
        <v>909</v>
      </c>
      <c r="L3993" t="s">
        <v>141</v>
      </c>
      <c r="M3993" t="s">
        <v>52</v>
      </c>
      <c r="N3993" t="s">
        <v>40</v>
      </c>
      <c r="O3993">
        <v>29</v>
      </c>
      <c r="Q3993">
        <v>1</v>
      </c>
      <c r="R3993">
        <v>1</v>
      </c>
      <c r="S3993">
        <v>0</v>
      </c>
      <c r="T3993">
        <v>0</v>
      </c>
      <c r="U3993">
        <v>0</v>
      </c>
      <c r="V3993">
        <v>1</v>
      </c>
      <c r="W3993">
        <v>0</v>
      </c>
      <c r="X3993" s="21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 s="21">
        <v>0</v>
      </c>
      <c r="AE3993" s="21">
        <v>0</v>
      </c>
      <c r="AF3993">
        <v>0</v>
      </c>
      <c r="AG3993">
        <v>0</v>
      </c>
      <c r="AH3993">
        <v>64</v>
      </c>
      <c r="AJ3993" t="s">
        <v>51</v>
      </c>
      <c r="AK3993" t="s">
        <v>52</v>
      </c>
      <c r="AP3993" t="s">
        <v>951</v>
      </c>
    </row>
    <row r="3994" spans="1:42">
      <c r="A3994" s="17" t="s">
        <v>1322</v>
      </c>
      <c r="B3994">
        <v>1</v>
      </c>
      <c r="C3994">
        <v>986</v>
      </c>
      <c r="D3994">
        <v>14358</v>
      </c>
      <c r="E3994" t="s">
        <v>112</v>
      </c>
      <c r="F3994" t="s">
        <v>949</v>
      </c>
      <c r="G3994">
        <v>2</v>
      </c>
      <c r="H3994">
        <v>64</v>
      </c>
      <c r="I3994" s="25">
        <v>2200</v>
      </c>
      <c r="K3994" t="s">
        <v>156</v>
      </c>
      <c r="L3994" t="s">
        <v>114</v>
      </c>
      <c r="M3994" t="s">
        <v>52</v>
      </c>
      <c r="N3994" t="s">
        <v>40</v>
      </c>
      <c r="O3994">
        <v>19</v>
      </c>
      <c r="Q3994">
        <v>1</v>
      </c>
      <c r="R3994">
        <v>1</v>
      </c>
      <c r="S3994">
        <v>0</v>
      </c>
      <c r="T3994">
        <v>0</v>
      </c>
      <c r="U3994">
        <v>0</v>
      </c>
      <c r="V3994">
        <v>1</v>
      </c>
      <c r="W3994">
        <v>0</v>
      </c>
      <c r="X3994" s="21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 s="21">
        <v>0</v>
      </c>
      <c r="AE3994" s="21">
        <v>0</v>
      </c>
      <c r="AF3994">
        <v>0</v>
      </c>
      <c r="AG3994">
        <v>0</v>
      </c>
      <c r="AH3994">
        <v>64</v>
      </c>
      <c r="AJ3994" t="s">
        <v>51</v>
      </c>
      <c r="AK3994" t="s">
        <v>95</v>
      </c>
      <c r="AP3994" t="s">
        <v>951</v>
      </c>
    </row>
    <row r="3995" spans="1:42">
      <c r="A3995" s="17" t="s">
        <v>1322</v>
      </c>
      <c r="B3995">
        <v>1</v>
      </c>
      <c r="C3995">
        <v>986</v>
      </c>
      <c r="D3995">
        <v>14358</v>
      </c>
      <c r="E3995" t="s">
        <v>112</v>
      </c>
      <c r="F3995" t="s">
        <v>949</v>
      </c>
      <c r="G3995">
        <v>2</v>
      </c>
      <c r="H3995">
        <v>65</v>
      </c>
      <c r="I3995" s="25">
        <v>2200</v>
      </c>
      <c r="K3995" t="s">
        <v>156</v>
      </c>
      <c r="L3995" t="s">
        <v>114</v>
      </c>
      <c r="M3995" t="s">
        <v>52</v>
      </c>
      <c r="N3995" t="s">
        <v>40</v>
      </c>
      <c r="O3995">
        <v>63</v>
      </c>
      <c r="Q3995">
        <v>1</v>
      </c>
      <c r="R3995">
        <v>1</v>
      </c>
      <c r="S3995">
        <v>0</v>
      </c>
      <c r="T3995">
        <v>0</v>
      </c>
      <c r="U3995">
        <v>0</v>
      </c>
      <c r="V3995">
        <v>0</v>
      </c>
      <c r="W3995">
        <v>1</v>
      </c>
      <c r="X3995" s="21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 s="21">
        <v>0</v>
      </c>
      <c r="AE3995" s="21">
        <v>0</v>
      </c>
      <c r="AF3995">
        <v>2</v>
      </c>
      <c r="AG3995">
        <v>0</v>
      </c>
      <c r="AH3995">
        <v>96</v>
      </c>
      <c r="AJ3995" t="s">
        <v>51</v>
      </c>
      <c r="AK3995" t="s">
        <v>52</v>
      </c>
      <c r="AP3995" t="s">
        <v>951</v>
      </c>
    </row>
    <row r="3996" spans="1:42">
      <c r="A3996" s="17" t="s">
        <v>1322</v>
      </c>
      <c r="B3996">
        <v>1</v>
      </c>
      <c r="C3996">
        <v>986</v>
      </c>
      <c r="D3996">
        <v>14358</v>
      </c>
      <c r="E3996" t="s">
        <v>112</v>
      </c>
      <c r="F3996" t="s">
        <v>949</v>
      </c>
      <c r="G3996">
        <v>2</v>
      </c>
      <c r="H3996">
        <v>66</v>
      </c>
      <c r="I3996" s="25" t="s">
        <v>1337</v>
      </c>
      <c r="K3996" t="s">
        <v>156</v>
      </c>
      <c r="M3996" t="s">
        <v>52</v>
      </c>
      <c r="N3996" t="s">
        <v>44</v>
      </c>
      <c r="O3996">
        <v>351</v>
      </c>
      <c r="Q3996">
        <v>4</v>
      </c>
      <c r="R3996">
        <v>1</v>
      </c>
      <c r="S3996">
        <v>0</v>
      </c>
      <c r="T3996">
        <v>0</v>
      </c>
      <c r="U3996">
        <v>0</v>
      </c>
      <c r="V3996">
        <v>0</v>
      </c>
      <c r="W3996">
        <v>4</v>
      </c>
      <c r="X3996" s="21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 s="21">
        <v>0</v>
      </c>
      <c r="AE3996" s="21">
        <v>0</v>
      </c>
      <c r="AF3996">
        <v>0</v>
      </c>
      <c r="AG3996">
        <v>0</v>
      </c>
      <c r="AH3996">
        <v>384</v>
      </c>
      <c r="AJ3996" t="s">
        <v>51</v>
      </c>
      <c r="AK3996" t="s">
        <v>52</v>
      </c>
      <c r="AL3996" t="s">
        <v>1338</v>
      </c>
      <c r="AP3996" t="s">
        <v>951</v>
      </c>
    </row>
    <row r="3997" spans="1:42">
      <c r="A3997" s="17" t="s">
        <v>1322</v>
      </c>
      <c r="B3997">
        <v>1</v>
      </c>
      <c r="C3997">
        <v>986</v>
      </c>
      <c r="D3997">
        <v>14358</v>
      </c>
      <c r="E3997" t="s">
        <v>112</v>
      </c>
      <c r="F3997" t="s">
        <v>949</v>
      </c>
      <c r="G3997">
        <v>2</v>
      </c>
      <c r="H3997">
        <v>67</v>
      </c>
      <c r="I3997" s="25">
        <v>3000</v>
      </c>
      <c r="K3997" t="s">
        <v>113</v>
      </c>
      <c r="L3997" t="s">
        <v>114</v>
      </c>
      <c r="M3997" t="s">
        <v>52</v>
      </c>
      <c r="N3997" t="s">
        <v>40</v>
      </c>
      <c r="O3997">
        <v>54</v>
      </c>
      <c r="Q3997">
        <v>1</v>
      </c>
      <c r="R3997">
        <v>1</v>
      </c>
      <c r="S3997">
        <v>0</v>
      </c>
      <c r="T3997">
        <v>0</v>
      </c>
      <c r="U3997">
        <v>0</v>
      </c>
      <c r="V3997">
        <v>0</v>
      </c>
      <c r="W3997">
        <v>1</v>
      </c>
      <c r="X3997" s="21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 s="21">
        <v>0</v>
      </c>
      <c r="AE3997" s="21">
        <v>0</v>
      </c>
      <c r="AF3997">
        <v>0</v>
      </c>
      <c r="AG3997">
        <v>0</v>
      </c>
      <c r="AH3997">
        <v>96</v>
      </c>
      <c r="AJ3997" t="s">
        <v>51</v>
      </c>
      <c r="AK3997" t="s">
        <v>52</v>
      </c>
      <c r="AP3997" t="s">
        <v>951</v>
      </c>
    </row>
    <row r="3998" spans="1:42">
      <c r="A3998" s="17" t="s">
        <v>1322</v>
      </c>
      <c r="B3998">
        <v>1</v>
      </c>
      <c r="C3998">
        <v>986</v>
      </c>
      <c r="D3998">
        <v>14358</v>
      </c>
      <c r="E3998" t="s">
        <v>112</v>
      </c>
      <c r="F3998" t="s">
        <v>949</v>
      </c>
      <c r="G3998">
        <v>2</v>
      </c>
      <c r="H3998">
        <v>68</v>
      </c>
      <c r="I3998" s="25">
        <v>2285</v>
      </c>
      <c r="K3998" t="s">
        <v>148</v>
      </c>
      <c r="M3998" t="s">
        <v>52</v>
      </c>
      <c r="N3998" t="s">
        <v>44</v>
      </c>
      <c r="O3998">
        <v>71</v>
      </c>
      <c r="Q3998">
        <v>2</v>
      </c>
      <c r="R3998">
        <v>1</v>
      </c>
      <c r="S3998">
        <v>0</v>
      </c>
      <c r="T3998">
        <v>0</v>
      </c>
      <c r="U3998">
        <v>1</v>
      </c>
      <c r="V3998">
        <v>1</v>
      </c>
      <c r="W3998">
        <v>0</v>
      </c>
      <c r="X3998" s="21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 s="21">
        <v>0</v>
      </c>
      <c r="AE3998" s="21">
        <v>0</v>
      </c>
      <c r="AF3998">
        <v>0</v>
      </c>
      <c r="AG3998">
        <v>0</v>
      </c>
      <c r="AH3998">
        <v>96</v>
      </c>
      <c r="AJ3998" t="s">
        <v>51</v>
      </c>
      <c r="AK3998" t="s">
        <v>52</v>
      </c>
      <c r="AL3998" t="s">
        <v>1339</v>
      </c>
      <c r="AP3998" t="s">
        <v>951</v>
      </c>
    </row>
    <row r="3999" spans="1:42">
      <c r="A3999" s="17" t="s">
        <v>1322</v>
      </c>
      <c r="B3999">
        <v>1</v>
      </c>
      <c r="C3999">
        <v>986</v>
      </c>
      <c r="D3999">
        <v>14358</v>
      </c>
      <c r="E3999" t="s">
        <v>112</v>
      </c>
      <c r="F3999" t="s">
        <v>949</v>
      </c>
      <c r="G3999">
        <v>2</v>
      </c>
      <c r="H3999">
        <v>69</v>
      </c>
      <c r="I3999" s="25">
        <v>2267</v>
      </c>
      <c r="K3999" t="s">
        <v>148</v>
      </c>
      <c r="M3999" t="s">
        <v>52</v>
      </c>
      <c r="N3999" t="s">
        <v>44</v>
      </c>
      <c r="O3999">
        <v>49</v>
      </c>
      <c r="Q3999">
        <v>1</v>
      </c>
      <c r="R3999">
        <v>1</v>
      </c>
      <c r="S3999">
        <v>0</v>
      </c>
      <c r="T3999">
        <v>0</v>
      </c>
      <c r="U3999">
        <v>0</v>
      </c>
      <c r="V3999">
        <v>0</v>
      </c>
      <c r="W3999">
        <v>1</v>
      </c>
      <c r="X3999" s="21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 s="21">
        <v>0</v>
      </c>
      <c r="AE3999" s="21">
        <v>0</v>
      </c>
      <c r="AF3999">
        <v>0</v>
      </c>
      <c r="AG3999">
        <v>0</v>
      </c>
      <c r="AH3999">
        <v>96</v>
      </c>
      <c r="AJ3999" t="s">
        <v>51</v>
      </c>
      <c r="AK3999" t="s">
        <v>52</v>
      </c>
      <c r="AL3999" t="s">
        <v>654</v>
      </c>
      <c r="AP3999" t="s">
        <v>951</v>
      </c>
    </row>
    <row r="4000" spans="1:42">
      <c r="A4000" s="17" t="s">
        <v>1322</v>
      </c>
      <c r="B4000">
        <v>1</v>
      </c>
      <c r="C4000">
        <v>986</v>
      </c>
      <c r="D4000">
        <v>14358</v>
      </c>
      <c r="E4000" t="s">
        <v>112</v>
      </c>
      <c r="F4000" t="s">
        <v>949</v>
      </c>
      <c r="G4000">
        <v>2</v>
      </c>
      <c r="H4000">
        <v>70</v>
      </c>
      <c r="I4000" s="25">
        <v>2227</v>
      </c>
      <c r="K4000" t="s">
        <v>148</v>
      </c>
      <c r="L4000" t="s">
        <v>141</v>
      </c>
      <c r="M4000" t="s">
        <v>52</v>
      </c>
      <c r="N4000" t="s">
        <v>42</v>
      </c>
      <c r="O4000">
        <v>120</v>
      </c>
      <c r="Q4000">
        <v>2</v>
      </c>
      <c r="R4000">
        <v>1</v>
      </c>
      <c r="S4000">
        <v>0</v>
      </c>
      <c r="T4000">
        <v>0</v>
      </c>
      <c r="U4000">
        <v>0</v>
      </c>
      <c r="V4000">
        <v>1</v>
      </c>
      <c r="W4000">
        <v>1</v>
      </c>
      <c r="X4000" s="21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 s="21">
        <v>0</v>
      </c>
      <c r="AE4000" s="21">
        <v>0</v>
      </c>
      <c r="AF4000">
        <v>0</v>
      </c>
      <c r="AG4000">
        <v>0</v>
      </c>
      <c r="AH4000">
        <v>130</v>
      </c>
      <c r="AJ4000" t="s">
        <v>51</v>
      </c>
      <c r="AK4000" t="s">
        <v>95</v>
      </c>
      <c r="AL4000" t="s">
        <v>1340</v>
      </c>
      <c r="AP4000" t="s">
        <v>951</v>
      </c>
    </row>
    <row r="4001" spans="1:42">
      <c r="A4001" s="17" t="s">
        <v>1322</v>
      </c>
      <c r="B4001">
        <v>1</v>
      </c>
      <c r="C4001">
        <v>986</v>
      </c>
      <c r="D4001">
        <v>14358</v>
      </c>
      <c r="E4001" t="s">
        <v>112</v>
      </c>
      <c r="F4001" t="s">
        <v>949</v>
      </c>
      <c r="G4001">
        <v>2</v>
      </c>
      <c r="H4001">
        <v>71</v>
      </c>
      <c r="I4001" s="25">
        <v>3100</v>
      </c>
      <c r="K4001" t="s">
        <v>113</v>
      </c>
      <c r="L4001" t="s">
        <v>114</v>
      </c>
      <c r="M4001" t="s">
        <v>52</v>
      </c>
      <c r="N4001" t="s">
        <v>40</v>
      </c>
      <c r="O4001">
        <v>58</v>
      </c>
      <c r="Q4001">
        <v>1</v>
      </c>
      <c r="R4001">
        <v>1</v>
      </c>
      <c r="S4001">
        <v>0</v>
      </c>
      <c r="T4001">
        <v>0</v>
      </c>
      <c r="U4001">
        <v>0</v>
      </c>
      <c r="V4001">
        <v>1</v>
      </c>
      <c r="W4001">
        <v>0</v>
      </c>
      <c r="X4001" s="2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 s="21">
        <v>0</v>
      </c>
      <c r="AE4001" s="21">
        <v>0</v>
      </c>
      <c r="AF4001">
        <v>0</v>
      </c>
      <c r="AG4001">
        <v>0</v>
      </c>
      <c r="AH4001">
        <v>64</v>
      </c>
      <c r="AJ4001" t="s">
        <v>51</v>
      </c>
      <c r="AK4001" t="s">
        <v>52</v>
      </c>
      <c r="AP4001" t="s">
        <v>951</v>
      </c>
    </row>
    <row r="4002" spans="1:42">
      <c r="A4002" s="17" t="s">
        <v>1322</v>
      </c>
      <c r="B4002">
        <v>1</v>
      </c>
      <c r="C4002">
        <v>986</v>
      </c>
      <c r="D4002">
        <v>14358</v>
      </c>
      <c r="E4002" t="s">
        <v>112</v>
      </c>
      <c r="F4002" t="s">
        <v>949</v>
      </c>
      <c r="G4002">
        <v>2</v>
      </c>
      <c r="H4002">
        <v>72</v>
      </c>
      <c r="I4002" s="25">
        <v>2300</v>
      </c>
      <c r="K4002" t="s">
        <v>148</v>
      </c>
      <c r="L4002" t="s">
        <v>114</v>
      </c>
      <c r="M4002" t="s">
        <v>52</v>
      </c>
      <c r="N4002" t="s">
        <v>40</v>
      </c>
      <c r="O4002">
        <v>33</v>
      </c>
      <c r="Q4002">
        <v>1</v>
      </c>
      <c r="R4002">
        <v>1</v>
      </c>
      <c r="S4002">
        <v>0</v>
      </c>
      <c r="T4002">
        <v>0</v>
      </c>
      <c r="U4002">
        <v>0</v>
      </c>
      <c r="V4002">
        <v>1</v>
      </c>
      <c r="W4002">
        <v>0</v>
      </c>
      <c r="X4002" s="21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 s="21">
        <v>0</v>
      </c>
      <c r="AE4002" s="21">
        <v>0</v>
      </c>
      <c r="AF4002">
        <v>0</v>
      </c>
      <c r="AG4002">
        <v>0</v>
      </c>
      <c r="AH4002">
        <v>64</v>
      </c>
      <c r="AJ4002" t="s">
        <v>51</v>
      </c>
      <c r="AK4002" t="s">
        <v>95</v>
      </c>
      <c r="AP4002" t="s">
        <v>951</v>
      </c>
    </row>
    <row r="4003" spans="1:42">
      <c r="A4003" s="17" t="s">
        <v>1322</v>
      </c>
      <c r="B4003">
        <v>1</v>
      </c>
      <c r="C4003">
        <v>986</v>
      </c>
      <c r="D4003">
        <v>14358</v>
      </c>
      <c r="E4003" t="s">
        <v>112</v>
      </c>
      <c r="F4003" t="s">
        <v>949</v>
      </c>
      <c r="G4003">
        <v>2</v>
      </c>
      <c r="H4003">
        <v>73</v>
      </c>
      <c r="I4003" s="25" t="s">
        <v>1341</v>
      </c>
      <c r="K4003" t="s">
        <v>148</v>
      </c>
      <c r="M4003" t="s">
        <v>52</v>
      </c>
      <c r="N4003" t="s">
        <v>44</v>
      </c>
      <c r="O4003">
        <v>44</v>
      </c>
      <c r="Q4003">
        <v>2</v>
      </c>
      <c r="R4003">
        <v>1</v>
      </c>
      <c r="S4003">
        <v>0</v>
      </c>
      <c r="T4003">
        <v>0</v>
      </c>
      <c r="U4003">
        <v>2</v>
      </c>
      <c r="V4003">
        <v>0</v>
      </c>
      <c r="W4003">
        <v>0</v>
      </c>
      <c r="X4003" s="21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 s="21">
        <v>0</v>
      </c>
      <c r="AE4003" s="21">
        <v>0</v>
      </c>
      <c r="AF4003">
        <v>0</v>
      </c>
      <c r="AG4003">
        <v>0</v>
      </c>
      <c r="AH4003">
        <v>64</v>
      </c>
      <c r="AJ4003" t="s">
        <v>51</v>
      </c>
      <c r="AK4003" t="s">
        <v>52</v>
      </c>
      <c r="AL4003" t="s">
        <v>1342</v>
      </c>
      <c r="AP4003" t="s">
        <v>951</v>
      </c>
    </row>
    <row r="4004" spans="1:42">
      <c r="A4004" s="17" t="s">
        <v>1322</v>
      </c>
      <c r="B4004">
        <v>1</v>
      </c>
      <c r="C4004">
        <v>986</v>
      </c>
      <c r="D4004">
        <v>14358</v>
      </c>
      <c r="E4004" t="s">
        <v>112</v>
      </c>
      <c r="F4004" t="s">
        <v>949</v>
      </c>
      <c r="G4004">
        <v>2</v>
      </c>
      <c r="H4004">
        <v>74</v>
      </c>
      <c r="I4004" s="25">
        <v>2340</v>
      </c>
      <c r="K4004" t="s">
        <v>148</v>
      </c>
      <c r="M4004" t="s">
        <v>52</v>
      </c>
      <c r="N4004" t="s">
        <v>44</v>
      </c>
      <c r="O4004">
        <v>73</v>
      </c>
      <c r="Q4004">
        <v>1</v>
      </c>
      <c r="R4004">
        <v>1</v>
      </c>
      <c r="S4004">
        <v>0</v>
      </c>
      <c r="T4004">
        <v>0</v>
      </c>
      <c r="U4004">
        <v>0</v>
      </c>
      <c r="V4004">
        <v>0</v>
      </c>
      <c r="W4004">
        <v>1</v>
      </c>
      <c r="X4004" s="21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 s="21">
        <v>0</v>
      </c>
      <c r="AE4004" s="21">
        <v>0</v>
      </c>
      <c r="AF4004">
        <v>0</v>
      </c>
      <c r="AG4004">
        <v>0</v>
      </c>
      <c r="AH4004">
        <v>96</v>
      </c>
      <c r="AJ4004" t="s">
        <v>51</v>
      </c>
      <c r="AK4004" t="s">
        <v>95</v>
      </c>
      <c r="AP4004" t="s">
        <v>951</v>
      </c>
    </row>
    <row r="4005" spans="1:42">
      <c r="A4005" s="17" t="s">
        <v>1322</v>
      </c>
      <c r="B4005">
        <v>1</v>
      </c>
      <c r="C4005">
        <v>986</v>
      </c>
      <c r="D4005">
        <v>14358</v>
      </c>
      <c r="E4005" t="s">
        <v>112</v>
      </c>
      <c r="F4005" t="s">
        <v>949</v>
      </c>
      <c r="G4005">
        <v>2</v>
      </c>
      <c r="H4005">
        <v>75</v>
      </c>
      <c r="I4005" s="25">
        <v>2350</v>
      </c>
      <c r="K4005" t="s">
        <v>148</v>
      </c>
      <c r="M4005" t="s">
        <v>52</v>
      </c>
      <c r="N4005" t="s">
        <v>44</v>
      </c>
      <c r="O4005">
        <v>67</v>
      </c>
      <c r="Q4005">
        <v>1</v>
      </c>
      <c r="R4005">
        <v>1</v>
      </c>
      <c r="S4005">
        <v>0</v>
      </c>
      <c r="T4005">
        <v>0</v>
      </c>
      <c r="U4005">
        <v>0</v>
      </c>
      <c r="V4005">
        <v>0</v>
      </c>
      <c r="W4005">
        <v>1</v>
      </c>
      <c r="X4005" s="21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 s="21">
        <v>0</v>
      </c>
      <c r="AE4005" s="21">
        <v>0</v>
      </c>
      <c r="AF4005">
        <v>0</v>
      </c>
      <c r="AG4005">
        <v>0</v>
      </c>
      <c r="AH4005">
        <v>96</v>
      </c>
      <c r="AJ4005" t="s">
        <v>51</v>
      </c>
      <c r="AK4005" t="s">
        <v>95</v>
      </c>
      <c r="AL4005" t="s">
        <v>1225</v>
      </c>
      <c r="AP4005" t="s">
        <v>951</v>
      </c>
    </row>
    <row r="4006" spans="1:42">
      <c r="A4006" s="17" t="s">
        <v>1322</v>
      </c>
      <c r="B4006">
        <v>1</v>
      </c>
      <c r="C4006">
        <v>986</v>
      </c>
      <c r="D4006">
        <v>14358</v>
      </c>
      <c r="E4006" t="s">
        <v>112</v>
      </c>
      <c r="F4006" t="s">
        <v>949</v>
      </c>
      <c r="G4006">
        <v>2</v>
      </c>
      <c r="H4006">
        <v>76</v>
      </c>
      <c r="I4006" s="25">
        <v>2360</v>
      </c>
      <c r="K4006" t="s">
        <v>148</v>
      </c>
      <c r="M4006" t="s">
        <v>52</v>
      </c>
      <c r="N4006" t="s">
        <v>44</v>
      </c>
      <c r="O4006">
        <v>88</v>
      </c>
      <c r="Q4006">
        <v>1</v>
      </c>
      <c r="R4006">
        <v>1</v>
      </c>
      <c r="S4006">
        <v>0</v>
      </c>
      <c r="T4006">
        <v>0</v>
      </c>
      <c r="U4006">
        <v>0</v>
      </c>
      <c r="V4006">
        <v>1</v>
      </c>
      <c r="W4006">
        <v>0</v>
      </c>
      <c r="X4006" s="21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 s="21">
        <v>0</v>
      </c>
      <c r="AE4006" s="21">
        <v>0</v>
      </c>
      <c r="AF4006">
        <v>0</v>
      </c>
      <c r="AG4006">
        <v>0</v>
      </c>
      <c r="AH4006">
        <v>64</v>
      </c>
      <c r="AJ4006" t="s">
        <v>51</v>
      </c>
      <c r="AK4006" t="s">
        <v>95</v>
      </c>
      <c r="AL4006" t="s">
        <v>1343</v>
      </c>
      <c r="AP4006" t="s">
        <v>951</v>
      </c>
    </row>
    <row r="4007" spans="1:42">
      <c r="A4007" s="17" t="s">
        <v>1322</v>
      </c>
      <c r="B4007">
        <v>1</v>
      </c>
      <c r="C4007">
        <v>986</v>
      </c>
      <c r="D4007">
        <v>14358</v>
      </c>
      <c r="E4007" t="s">
        <v>112</v>
      </c>
      <c r="F4007" t="s">
        <v>949</v>
      </c>
      <c r="G4007">
        <v>2</v>
      </c>
      <c r="H4007">
        <v>77</v>
      </c>
      <c r="I4007" s="25">
        <v>2370</v>
      </c>
      <c r="K4007" t="s">
        <v>148</v>
      </c>
      <c r="M4007" t="s">
        <v>52</v>
      </c>
      <c r="N4007" t="s">
        <v>44</v>
      </c>
      <c r="O4007">
        <v>96</v>
      </c>
      <c r="Q4007">
        <v>1</v>
      </c>
      <c r="R4007">
        <v>1</v>
      </c>
      <c r="S4007">
        <v>0</v>
      </c>
      <c r="T4007">
        <v>0</v>
      </c>
      <c r="U4007">
        <v>0</v>
      </c>
      <c r="V4007">
        <v>0</v>
      </c>
      <c r="W4007">
        <v>1</v>
      </c>
      <c r="X4007" s="21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 s="21">
        <v>0</v>
      </c>
      <c r="AE4007" s="21">
        <v>0</v>
      </c>
      <c r="AF4007">
        <v>0</v>
      </c>
      <c r="AG4007">
        <v>0</v>
      </c>
      <c r="AH4007">
        <v>96</v>
      </c>
      <c r="AJ4007" t="s">
        <v>51</v>
      </c>
      <c r="AK4007" t="s">
        <v>52</v>
      </c>
      <c r="AL4007" t="s">
        <v>1344</v>
      </c>
      <c r="AP4007" t="s">
        <v>951</v>
      </c>
    </row>
    <row r="4008" spans="1:42">
      <c r="A4008" s="17" t="s">
        <v>1322</v>
      </c>
      <c r="B4008">
        <v>1</v>
      </c>
      <c r="C4008">
        <v>986</v>
      </c>
      <c r="D4008">
        <v>14358</v>
      </c>
      <c r="E4008" t="s">
        <v>112</v>
      </c>
      <c r="F4008" t="s">
        <v>949</v>
      </c>
      <c r="G4008">
        <v>2</v>
      </c>
      <c r="H4008">
        <v>78</v>
      </c>
      <c r="I4008" s="25">
        <v>2400</v>
      </c>
      <c r="K4008" t="s">
        <v>148</v>
      </c>
      <c r="L4008" t="s">
        <v>114</v>
      </c>
      <c r="M4008" t="s">
        <v>52</v>
      </c>
      <c r="N4008" t="s">
        <v>40</v>
      </c>
      <c r="O4008">
        <v>58</v>
      </c>
      <c r="Q4008">
        <v>4</v>
      </c>
      <c r="R4008">
        <v>1</v>
      </c>
      <c r="S4008">
        <v>0</v>
      </c>
      <c r="T4008">
        <v>0</v>
      </c>
      <c r="U4008">
        <v>1</v>
      </c>
      <c r="V4008">
        <v>3</v>
      </c>
      <c r="W4008">
        <v>0</v>
      </c>
      <c r="X4008" s="21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 s="21">
        <v>0</v>
      </c>
      <c r="AE4008" s="21">
        <v>0</v>
      </c>
      <c r="AF4008">
        <v>0</v>
      </c>
      <c r="AG4008">
        <v>0</v>
      </c>
      <c r="AH4008">
        <v>224</v>
      </c>
      <c r="AJ4008" t="s">
        <v>51</v>
      </c>
      <c r="AK4008" t="s">
        <v>52</v>
      </c>
      <c r="AP4008" t="s">
        <v>951</v>
      </c>
    </row>
    <row r="4009" spans="1:42">
      <c r="A4009" s="17" t="s">
        <v>1322</v>
      </c>
      <c r="B4009">
        <v>1</v>
      </c>
      <c r="C4009">
        <v>986</v>
      </c>
      <c r="D4009">
        <v>14358</v>
      </c>
      <c r="E4009" t="s">
        <v>112</v>
      </c>
      <c r="F4009" t="s">
        <v>949</v>
      </c>
      <c r="G4009">
        <v>2</v>
      </c>
      <c r="H4009">
        <v>79</v>
      </c>
      <c r="I4009" s="25">
        <v>2400</v>
      </c>
      <c r="K4009" t="s">
        <v>148</v>
      </c>
      <c r="L4009" t="s">
        <v>114</v>
      </c>
      <c r="M4009" t="s">
        <v>52</v>
      </c>
      <c r="N4009" t="s">
        <v>40</v>
      </c>
      <c r="O4009">
        <v>37</v>
      </c>
      <c r="Q4009">
        <v>1</v>
      </c>
      <c r="R4009">
        <v>1</v>
      </c>
      <c r="S4009">
        <v>0</v>
      </c>
      <c r="T4009">
        <v>0</v>
      </c>
      <c r="U4009">
        <v>0</v>
      </c>
      <c r="V4009">
        <v>0</v>
      </c>
      <c r="W4009">
        <v>1</v>
      </c>
      <c r="X4009" s="21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 s="21">
        <v>0</v>
      </c>
      <c r="AE4009" s="21">
        <v>0</v>
      </c>
      <c r="AF4009">
        <v>0</v>
      </c>
      <c r="AG4009">
        <v>0</v>
      </c>
      <c r="AH4009">
        <v>96</v>
      </c>
      <c r="AJ4009" t="s">
        <v>51</v>
      </c>
      <c r="AK4009" t="s">
        <v>95</v>
      </c>
      <c r="AP4009" t="s">
        <v>951</v>
      </c>
    </row>
    <row r="4010" spans="1:42">
      <c r="A4010" s="17" t="s">
        <v>1322</v>
      </c>
      <c r="B4010">
        <v>1</v>
      </c>
      <c r="C4010">
        <v>986</v>
      </c>
      <c r="D4010">
        <v>14358</v>
      </c>
      <c r="E4010" t="s">
        <v>112</v>
      </c>
      <c r="F4010" t="s">
        <v>949</v>
      </c>
      <c r="G4010">
        <v>2</v>
      </c>
      <c r="H4010">
        <v>80</v>
      </c>
      <c r="I4010" s="25">
        <v>2400</v>
      </c>
      <c r="K4010" t="s">
        <v>148</v>
      </c>
      <c r="L4010" t="s">
        <v>114</v>
      </c>
      <c r="M4010" t="s">
        <v>52</v>
      </c>
      <c r="N4010" t="s">
        <v>40</v>
      </c>
      <c r="O4010">
        <v>71</v>
      </c>
      <c r="Q4010">
        <v>3</v>
      </c>
      <c r="R4010">
        <v>1</v>
      </c>
      <c r="S4010">
        <v>0</v>
      </c>
      <c r="T4010">
        <v>0</v>
      </c>
      <c r="U4010">
        <v>1</v>
      </c>
      <c r="V4010">
        <v>1</v>
      </c>
      <c r="W4010">
        <v>1</v>
      </c>
      <c r="X4010" s="21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 s="21">
        <v>0</v>
      </c>
      <c r="AE4010" s="21">
        <v>0</v>
      </c>
      <c r="AF4010">
        <v>0</v>
      </c>
      <c r="AG4010">
        <v>0</v>
      </c>
      <c r="AH4010">
        <v>192</v>
      </c>
      <c r="AJ4010" t="s">
        <v>51</v>
      </c>
      <c r="AK4010" t="s">
        <v>95</v>
      </c>
      <c r="AP4010" t="s">
        <v>951</v>
      </c>
    </row>
    <row r="4011" spans="1:42">
      <c r="A4011" s="17" t="s">
        <v>1322</v>
      </c>
      <c r="B4011">
        <v>1</v>
      </c>
      <c r="C4011">
        <v>986</v>
      </c>
      <c r="D4011">
        <v>14358</v>
      </c>
      <c r="E4011" t="s">
        <v>112</v>
      </c>
      <c r="F4011" t="s">
        <v>949</v>
      </c>
      <c r="G4011">
        <v>2</v>
      </c>
      <c r="H4011">
        <v>81</v>
      </c>
      <c r="I4011" s="25">
        <v>2400</v>
      </c>
      <c r="K4011" t="s">
        <v>148</v>
      </c>
      <c r="L4011" t="s">
        <v>114</v>
      </c>
      <c r="M4011" t="s">
        <v>52</v>
      </c>
      <c r="N4011" t="s">
        <v>40</v>
      </c>
      <c r="O4011">
        <v>39</v>
      </c>
      <c r="Q4011">
        <v>1</v>
      </c>
      <c r="R4011">
        <v>1</v>
      </c>
      <c r="S4011">
        <v>0</v>
      </c>
      <c r="T4011">
        <v>0</v>
      </c>
      <c r="U4011">
        <v>0</v>
      </c>
      <c r="V4011">
        <v>0</v>
      </c>
      <c r="W4011">
        <v>1</v>
      </c>
      <c r="X4011" s="2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 s="21">
        <v>0</v>
      </c>
      <c r="AE4011" s="21">
        <v>0</v>
      </c>
      <c r="AF4011">
        <v>0</v>
      </c>
      <c r="AG4011">
        <v>0</v>
      </c>
      <c r="AH4011">
        <v>96</v>
      </c>
      <c r="AJ4011" t="s">
        <v>51</v>
      </c>
      <c r="AK4011" t="s">
        <v>52</v>
      </c>
      <c r="AP4011" t="s">
        <v>951</v>
      </c>
    </row>
    <row r="4012" spans="1:42">
      <c r="A4012" s="17" t="s">
        <v>1322</v>
      </c>
      <c r="B4012">
        <v>1</v>
      </c>
      <c r="C4012">
        <v>986</v>
      </c>
      <c r="D4012">
        <v>14358</v>
      </c>
      <c r="E4012" t="s">
        <v>112</v>
      </c>
      <c r="F4012" t="s">
        <v>949</v>
      </c>
      <c r="G4012">
        <v>2</v>
      </c>
      <c r="H4012">
        <v>82</v>
      </c>
      <c r="I4012" s="25">
        <v>2937</v>
      </c>
      <c r="K4012" t="s">
        <v>175</v>
      </c>
      <c r="M4012" t="s">
        <v>52</v>
      </c>
      <c r="N4012" t="s">
        <v>44</v>
      </c>
      <c r="O4012">
        <v>57</v>
      </c>
      <c r="Q4012">
        <v>1</v>
      </c>
      <c r="R4012">
        <v>1</v>
      </c>
      <c r="S4012">
        <v>0</v>
      </c>
      <c r="T4012">
        <v>0</v>
      </c>
      <c r="U4012">
        <v>0</v>
      </c>
      <c r="V4012">
        <v>1</v>
      </c>
      <c r="W4012">
        <v>0</v>
      </c>
      <c r="X4012" s="21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 s="21">
        <v>0</v>
      </c>
      <c r="AE4012" s="21">
        <v>0</v>
      </c>
      <c r="AF4012">
        <v>0</v>
      </c>
      <c r="AG4012">
        <v>0</v>
      </c>
      <c r="AH4012">
        <v>64</v>
      </c>
      <c r="AJ4012" t="s">
        <v>54</v>
      </c>
      <c r="AK4012" t="s">
        <v>95</v>
      </c>
      <c r="AL4012" t="s">
        <v>1345</v>
      </c>
      <c r="AP4012" t="s">
        <v>951</v>
      </c>
    </row>
    <row r="4013" spans="1:42">
      <c r="A4013" s="17" t="s">
        <v>1322</v>
      </c>
      <c r="B4013">
        <v>1</v>
      </c>
      <c r="C4013">
        <v>986</v>
      </c>
      <c r="D4013">
        <v>14358</v>
      </c>
      <c r="E4013" t="s">
        <v>112</v>
      </c>
      <c r="F4013" t="s">
        <v>949</v>
      </c>
      <c r="G4013">
        <v>2</v>
      </c>
      <c r="H4013">
        <v>83</v>
      </c>
      <c r="I4013" s="25">
        <v>2929</v>
      </c>
      <c r="K4013" t="s">
        <v>175</v>
      </c>
      <c r="M4013" t="s">
        <v>52</v>
      </c>
      <c r="N4013" t="s">
        <v>44</v>
      </c>
      <c r="O4013">
        <v>121</v>
      </c>
      <c r="Q4013">
        <v>3</v>
      </c>
      <c r="R4013">
        <v>1</v>
      </c>
      <c r="S4013">
        <v>0</v>
      </c>
      <c r="T4013">
        <v>0</v>
      </c>
      <c r="U4013">
        <v>3</v>
      </c>
      <c r="V4013">
        <v>0</v>
      </c>
      <c r="W4013">
        <v>0</v>
      </c>
      <c r="X4013" s="21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 s="21">
        <v>0</v>
      </c>
      <c r="AE4013" s="21">
        <v>0</v>
      </c>
      <c r="AF4013">
        <v>0</v>
      </c>
      <c r="AG4013">
        <v>0</v>
      </c>
      <c r="AH4013">
        <v>96</v>
      </c>
      <c r="AJ4013" t="s">
        <v>54</v>
      </c>
      <c r="AK4013" t="s">
        <v>95</v>
      </c>
      <c r="AL4013" t="s">
        <v>1346</v>
      </c>
      <c r="AP4013" t="s">
        <v>951</v>
      </c>
    </row>
    <row r="4014" spans="1:42">
      <c r="A4014" s="17" t="s">
        <v>1322</v>
      </c>
      <c r="B4014">
        <v>1</v>
      </c>
      <c r="C4014">
        <v>986</v>
      </c>
      <c r="D4014">
        <v>14358</v>
      </c>
      <c r="E4014" t="s">
        <v>112</v>
      </c>
      <c r="F4014" t="s">
        <v>949</v>
      </c>
      <c r="G4014">
        <v>2</v>
      </c>
      <c r="H4014">
        <v>84</v>
      </c>
      <c r="I4014" s="25">
        <v>2901</v>
      </c>
      <c r="K4014" t="s">
        <v>175</v>
      </c>
      <c r="M4014" t="s">
        <v>52</v>
      </c>
      <c r="N4014" t="s">
        <v>44</v>
      </c>
      <c r="O4014">
        <v>80</v>
      </c>
      <c r="Q4014">
        <v>2</v>
      </c>
      <c r="R4014">
        <v>1</v>
      </c>
      <c r="S4014">
        <v>0</v>
      </c>
      <c r="T4014">
        <v>0</v>
      </c>
      <c r="U4014">
        <v>0</v>
      </c>
      <c r="V4014">
        <v>2</v>
      </c>
      <c r="W4014">
        <v>0</v>
      </c>
      <c r="X4014" s="21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 s="21">
        <v>0</v>
      </c>
      <c r="AE4014" s="21">
        <v>0</v>
      </c>
      <c r="AF4014">
        <v>0</v>
      </c>
      <c r="AG4014">
        <v>0</v>
      </c>
      <c r="AH4014">
        <v>128</v>
      </c>
      <c r="AJ4014" t="s">
        <v>54</v>
      </c>
      <c r="AK4014" t="s">
        <v>95</v>
      </c>
      <c r="AP4014" t="s">
        <v>951</v>
      </c>
    </row>
    <row r="4015" spans="1:42">
      <c r="A4015" s="17" t="s">
        <v>1322</v>
      </c>
      <c r="B4015">
        <v>1</v>
      </c>
      <c r="C4015">
        <v>986</v>
      </c>
      <c r="D4015">
        <v>14358</v>
      </c>
      <c r="E4015" t="s">
        <v>112</v>
      </c>
      <c r="F4015" t="s">
        <v>949</v>
      </c>
      <c r="G4015">
        <v>2</v>
      </c>
      <c r="H4015">
        <v>85</v>
      </c>
      <c r="I4015" s="25" t="s">
        <v>1347</v>
      </c>
      <c r="K4015" t="s">
        <v>1348</v>
      </c>
      <c r="L4015" t="s">
        <v>141</v>
      </c>
      <c r="M4015" t="s">
        <v>52</v>
      </c>
      <c r="N4015" t="s">
        <v>42</v>
      </c>
      <c r="O4015">
        <v>92</v>
      </c>
      <c r="Q4015">
        <v>2</v>
      </c>
      <c r="R4015">
        <v>1</v>
      </c>
      <c r="S4015">
        <v>0</v>
      </c>
      <c r="T4015">
        <v>0</v>
      </c>
      <c r="U4015">
        <v>0</v>
      </c>
      <c r="V4015">
        <v>1</v>
      </c>
      <c r="W4015">
        <v>1</v>
      </c>
      <c r="X4015" s="21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 s="21">
        <v>0</v>
      </c>
      <c r="AE4015" s="21">
        <v>0</v>
      </c>
      <c r="AF4015">
        <v>0</v>
      </c>
      <c r="AG4015">
        <v>0</v>
      </c>
      <c r="AH4015">
        <v>160</v>
      </c>
      <c r="AJ4015" t="s">
        <v>54</v>
      </c>
      <c r="AK4015" t="s">
        <v>95</v>
      </c>
      <c r="AL4015" t="s">
        <v>1349</v>
      </c>
      <c r="AP4015" t="s">
        <v>951</v>
      </c>
    </row>
    <row r="4016" spans="1:42">
      <c r="A4016" s="17" t="s">
        <v>1322</v>
      </c>
      <c r="B4016">
        <v>1</v>
      </c>
      <c r="C4016">
        <v>986</v>
      </c>
      <c r="D4016">
        <v>14358</v>
      </c>
      <c r="E4016" t="s">
        <v>112</v>
      </c>
      <c r="F4016" t="s">
        <v>949</v>
      </c>
      <c r="G4016">
        <v>2</v>
      </c>
      <c r="H4016">
        <v>86</v>
      </c>
      <c r="I4016" s="25" t="s">
        <v>1347</v>
      </c>
      <c r="K4016" t="s">
        <v>175</v>
      </c>
      <c r="M4016" t="s">
        <v>52</v>
      </c>
      <c r="N4016" t="s">
        <v>40</v>
      </c>
      <c r="O4016">
        <v>40</v>
      </c>
      <c r="Q4016">
        <v>2</v>
      </c>
      <c r="R4016">
        <v>1</v>
      </c>
      <c r="S4016">
        <v>0</v>
      </c>
      <c r="T4016">
        <v>0</v>
      </c>
      <c r="U4016">
        <v>0</v>
      </c>
      <c r="V4016">
        <v>2</v>
      </c>
      <c r="W4016">
        <v>0</v>
      </c>
      <c r="X4016" s="21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 s="21">
        <v>0</v>
      </c>
      <c r="AE4016" s="21">
        <v>0</v>
      </c>
      <c r="AF4016">
        <v>0</v>
      </c>
      <c r="AG4016">
        <v>0</v>
      </c>
      <c r="AH4016">
        <v>128</v>
      </c>
      <c r="AJ4016" t="s">
        <v>54</v>
      </c>
      <c r="AK4016" t="s">
        <v>95</v>
      </c>
      <c r="AP4016" t="s">
        <v>951</v>
      </c>
    </row>
    <row r="4017" spans="1:42">
      <c r="A4017" s="17" t="s">
        <v>1322</v>
      </c>
      <c r="B4017">
        <v>1</v>
      </c>
      <c r="C4017">
        <v>986</v>
      </c>
      <c r="D4017">
        <v>14358</v>
      </c>
      <c r="E4017" t="s">
        <v>112</v>
      </c>
      <c r="F4017" t="s">
        <v>949</v>
      </c>
      <c r="G4017">
        <v>2</v>
      </c>
      <c r="H4017">
        <v>87</v>
      </c>
      <c r="I4017" s="25">
        <v>2772</v>
      </c>
      <c r="K4017" t="s">
        <v>175</v>
      </c>
      <c r="M4017" t="s">
        <v>52</v>
      </c>
      <c r="N4017" t="s">
        <v>44</v>
      </c>
      <c r="O4017">
        <v>127</v>
      </c>
      <c r="Q4017">
        <v>1</v>
      </c>
      <c r="R4017">
        <v>1</v>
      </c>
      <c r="S4017">
        <v>0</v>
      </c>
      <c r="T4017">
        <v>0</v>
      </c>
      <c r="U4017">
        <v>0</v>
      </c>
      <c r="V4017">
        <v>0</v>
      </c>
      <c r="W4017">
        <v>1</v>
      </c>
      <c r="X4017" s="21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 s="21">
        <v>0</v>
      </c>
      <c r="AE4017" s="21">
        <v>0</v>
      </c>
      <c r="AF4017">
        <v>0</v>
      </c>
      <c r="AG4017">
        <v>0</v>
      </c>
      <c r="AH4017">
        <v>96</v>
      </c>
      <c r="AJ4017" t="s">
        <v>54</v>
      </c>
      <c r="AK4017" t="s">
        <v>95</v>
      </c>
      <c r="AL4017" t="s">
        <v>1350</v>
      </c>
      <c r="AP4017" t="s">
        <v>951</v>
      </c>
    </row>
    <row r="4018" spans="1:42">
      <c r="A4018" s="17" t="s">
        <v>1322</v>
      </c>
      <c r="B4018">
        <v>1</v>
      </c>
      <c r="C4018">
        <v>986</v>
      </c>
      <c r="D4018">
        <v>14358</v>
      </c>
      <c r="E4018" t="s">
        <v>112</v>
      </c>
      <c r="F4018" t="s">
        <v>949</v>
      </c>
      <c r="G4018">
        <v>2</v>
      </c>
      <c r="H4018">
        <v>88</v>
      </c>
      <c r="I4018" s="25">
        <v>2800</v>
      </c>
      <c r="K4018" t="s">
        <v>175</v>
      </c>
      <c r="M4018" t="s">
        <v>52</v>
      </c>
      <c r="N4018" t="s">
        <v>40</v>
      </c>
      <c r="O4018">
        <v>35</v>
      </c>
      <c r="Q4018">
        <v>1</v>
      </c>
      <c r="R4018">
        <v>1</v>
      </c>
      <c r="S4018">
        <v>0</v>
      </c>
      <c r="T4018">
        <v>0</v>
      </c>
      <c r="U4018">
        <v>0</v>
      </c>
      <c r="V4018">
        <v>1</v>
      </c>
      <c r="W4018">
        <v>0</v>
      </c>
      <c r="X4018" s="21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 s="21">
        <v>0</v>
      </c>
      <c r="AE4018" s="21">
        <v>0</v>
      </c>
      <c r="AF4018">
        <v>0</v>
      </c>
      <c r="AG4018">
        <v>0</v>
      </c>
      <c r="AH4018">
        <v>64</v>
      </c>
      <c r="AJ4018" t="s">
        <v>54</v>
      </c>
      <c r="AK4018" t="s">
        <v>95</v>
      </c>
      <c r="AP4018" t="s">
        <v>951</v>
      </c>
    </row>
    <row r="4019" spans="1:42">
      <c r="A4019" s="17" t="s">
        <v>1322</v>
      </c>
      <c r="B4019">
        <v>1</v>
      </c>
      <c r="C4019">
        <v>986</v>
      </c>
      <c r="D4019">
        <v>14358</v>
      </c>
      <c r="E4019" t="s">
        <v>112</v>
      </c>
      <c r="F4019" t="s">
        <v>949</v>
      </c>
      <c r="G4019">
        <v>2</v>
      </c>
      <c r="H4019">
        <v>89</v>
      </c>
      <c r="I4019" s="25" t="s">
        <v>1351</v>
      </c>
      <c r="K4019" t="s">
        <v>175</v>
      </c>
      <c r="L4019" t="s">
        <v>114</v>
      </c>
      <c r="M4019" t="s">
        <v>52</v>
      </c>
      <c r="N4019" t="s">
        <v>42</v>
      </c>
      <c r="O4019">
        <v>117</v>
      </c>
      <c r="Q4019">
        <v>2</v>
      </c>
      <c r="R4019">
        <v>1</v>
      </c>
      <c r="S4019">
        <v>0</v>
      </c>
      <c r="T4019">
        <v>0</v>
      </c>
      <c r="U4019">
        <v>1</v>
      </c>
      <c r="V4019">
        <v>0</v>
      </c>
      <c r="W4019">
        <v>1</v>
      </c>
      <c r="X4019" s="21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 s="21">
        <v>0</v>
      </c>
      <c r="AE4019" s="21">
        <v>0</v>
      </c>
      <c r="AF4019">
        <v>0</v>
      </c>
      <c r="AG4019">
        <v>0</v>
      </c>
      <c r="AH4019">
        <v>128</v>
      </c>
      <c r="AJ4019" t="s">
        <v>54</v>
      </c>
      <c r="AK4019" t="s">
        <v>95</v>
      </c>
      <c r="AP4019" t="s">
        <v>951</v>
      </c>
    </row>
    <row r="4020" spans="1:42">
      <c r="A4020" s="17" t="s">
        <v>1322</v>
      </c>
      <c r="B4020">
        <v>1</v>
      </c>
      <c r="C4020">
        <v>986</v>
      </c>
      <c r="D4020">
        <v>14358</v>
      </c>
      <c r="E4020" t="s">
        <v>112</v>
      </c>
      <c r="F4020" t="s">
        <v>949</v>
      </c>
      <c r="G4020">
        <v>2</v>
      </c>
      <c r="H4020">
        <v>90</v>
      </c>
      <c r="I4020" s="25">
        <v>2900</v>
      </c>
      <c r="K4020" t="s">
        <v>175</v>
      </c>
      <c r="L4020" t="s">
        <v>114</v>
      </c>
      <c r="M4020" t="s">
        <v>52</v>
      </c>
      <c r="N4020" t="s">
        <v>40</v>
      </c>
      <c r="O4020">
        <v>18</v>
      </c>
      <c r="Q4020">
        <v>1</v>
      </c>
      <c r="R4020">
        <v>1</v>
      </c>
      <c r="S4020">
        <v>0</v>
      </c>
      <c r="T4020">
        <v>0</v>
      </c>
      <c r="U4020">
        <v>0</v>
      </c>
      <c r="V4020">
        <v>0</v>
      </c>
      <c r="W4020">
        <v>1</v>
      </c>
      <c r="X4020" s="21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 s="21">
        <v>0</v>
      </c>
      <c r="AE4020" s="21">
        <v>0</v>
      </c>
      <c r="AF4020">
        <v>0</v>
      </c>
      <c r="AG4020">
        <v>0</v>
      </c>
      <c r="AH4020">
        <v>96</v>
      </c>
      <c r="AJ4020" t="s">
        <v>54</v>
      </c>
      <c r="AK4020" t="s">
        <v>95</v>
      </c>
      <c r="AP4020" t="s">
        <v>951</v>
      </c>
    </row>
    <row r="4021" spans="1:42">
      <c r="A4021" s="17" t="s">
        <v>1322</v>
      </c>
      <c r="B4021">
        <v>1</v>
      </c>
      <c r="C4021">
        <v>986</v>
      </c>
      <c r="D4021">
        <v>14358</v>
      </c>
      <c r="E4021" t="s">
        <v>112</v>
      </c>
      <c r="F4021" t="s">
        <v>949</v>
      </c>
      <c r="G4021">
        <v>2</v>
      </c>
      <c r="H4021">
        <v>91</v>
      </c>
      <c r="I4021" s="25">
        <v>2900</v>
      </c>
      <c r="K4021" t="s">
        <v>175</v>
      </c>
      <c r="L4021" t="s">
        <v>114</v>
      </c>
      <c r="M4021" t="s">
        <v>52</v>
      </c>
      <c r="N4021" t="s">
        <v>40</v>
      </c>
      <c r="O4021">
        <v>85</v>
      </c>
      <c r="Q4021">
        <v>2</v>
      </c>
      <c r="R4021">
        <v>1</v>
      </c>
      <c r="S4021">
        <v>0</v>
      </c>
      <c r="T4021">
        <v>0</v>
      </c>
      <c r="U4021">
        <v>0</v>
      </c>
      <c r="V4021">
        <v>2</v>
      </c>
      <c r="W4021">
        <v>0</v>
      </c>
      <c r="X4021" s="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 s="21">
        <v>0</v>
      </c>
      <c r="AE4021" s="21">
        <v>0</v>
      </c>
      <c r="AF4021">
        <v>1</v>
      </c>
      <c r="AG4021">
        <v>0</v>
      </c>
      <c r="AH4021">
        <v>128</v>
      </c>
      <c r="AJ4021" t="s">
        <v>54</v>
      </c>
      <c r="AK4021" t="s">
        <v>95</v>
      </c>
      <c r="AP4021" t="s">
        <v>951</v>
      </c>
    </row>
    <row r="4022" spans="1:42">
      <c r="A4022" s="17" t="s">
        <v>1322</v>
      </c>
      <c r="B4022">
        <v>1</v>
      </c>
      <c r="C4022">
        <v>986</v>
      </c>
      <c r="D4022">
        <v>14358</v>
      </c>
      <c r="E4022" t="s">
        <v>112</v>
      </c>
      <c r="F4022" t="s">
        <v>949</v>
      </c>
      <c r="G4022">
        <v>2</v>
      </c>
      <c r="H4022">
        <v>92</v>
      </c>
      <c r="I4022" s="25">
        <v>2900</v>
      </c>
      <c r="K4022" t="s">
        <v>175</v>
      </c>
      <c r="L4022" t="s">
        <v>114</v>
      </c>
      <c r="M4022" t="s">
        <v>52</v>
      </c>
      <c r="N4022" t="s">
        <v>40</v>
      </c>
      <c r="O4022">
        <v>40</v>
      </c>
      <c r="Q4022">
        <v>1</v>
      </c>
      <c r="R4022">
        <v>1</v>
      </c>
      <c r="S4022">
        <v>0</v>
      </c>
      <c r="T4022">
        <v>0</v>
      </c>
      <c r="U4022">
        <v>1</v>
      </c>
      <c r="V4022">
        <v>0</v>
      </c>
      <c r="W4022">
        <v>0</v>
      </c>
      <c r="X4022" s="21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 s="21">
        <v>0</v>
      </c>
      <c r="AE4022" s="21">
        <v>0</v>
      </c>
      <c r="AF4022">
        <v>0</v>
      </c>
      <c r="AG4022">
        <v>0</v>
      </c>
      <c r="AH4022">
        <v>32</v>
      </c>
      <c r="AJ4022" t="s">
        <v>54</v>
      </c>
      <c r="AK4022" t="s">
        <v>52</v>
      </c>
      <c r="AP4022" t="s">
        <v>951</v>
      </c>
    </row>
    <row r="4023" spans="1:42">
      <c r="A4023" s="17" t="s">
        <v>1322</v>
      </c>
      <c r="B4023">
        <v>1</v>
      </c>
      <c r="C4023">
        <v>986</v>
      </c>
      <c r="D4023">
        <v>14358</v>
      </c>
      <c r="E4023" t="s">
        <v>112</v>
      </c>
      <c r="F4023" t="s">
        <v>949</v>
      </c>
      <c r="G4023">
        <v>2</v>
      </c>
      <c r="H4023">
        <v>93</v>
      </c>
      <c r="I4023" s="25">
        <v>2598</v>
      </c>
      <c r="K4023" t="s">
        <v>148</v>
      </c>
      <c r="M4023" t="s">
        <v>52</v>
      </c>
      <c r="N4023" t="s">
        <v>44</v>
      </c>
      <c r="O4023">
        <v>76</v>
      </c>
      <c r="Q4023">
        <v>1</v>
      </c>
      <c r="R4023">
        <v>1</v>
      </c>
      <c r="S4023">
        <v>0</v>
      </c>
      <c r="T4023">
        <v>0</v>
      </c>
      <c r="U4023">
        <v>0</v>
      </c>
      <c r="V4023">
        <v>1</v>
      </c>
      <c r="W4023">
        <v>0</v>
      </c>
      <c r="X4023" s="21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 s="21">
        <v>0</v>
      </c>
      <c r="AE4023" s="21">
        <v>0</v>
      </c>
      <c r="AF4023">
        <v>0</v>
      </c>
      <c r="AG4023">
        <v>0</v>
      </c>
      <c r="AH4023">
        <v>64</v>
      </c>
      <c r="AJ4023" t="s">
        <v>54</v>
      </c>
      <c r="AK4023" t="s">
        <v>52</v>
      </c>
      <c r="AL4023" t="s">
        <v>1352</v>
      </c>
      <c r="AP4023" t="s">
        <v>951</v>
      </c>
    </row>
    <row r="4024" spans="1:42">
      <c r="A4024" s="17" t="s">
        <v>1322</v>
      </c>
      <c r="B4024">
        <v>1</v>
      </c>
      <c r="C4024">
        <v>986</v>
      </c>
      <c r="D4024">
        <v>14358</v>
      </c>
      <c r="E4024" t="s">
        <v>112</v>
      </c>
      <c r="F4024" t="s">
        <v>949</v>
      </c>
      <c r="G4024">
        <v>2</v>
      </c>
      <c r="H4024">
        <v>94</v>
      </c>
      <c r="I4024" s="25">
        <v>2900</v>
      </c>
      <c r="K4024" t="s">
        <v>175</v>
      </c>
      <c r="L4024" t="s">
        <v>114</v>
      </c>
      <c r="M4024" t="s">
        <v>52</v>
      </c>
      <c r="N4024" t="s">
        <v>40</v>
      </c>
      <c r="O4024">
        <v>34</v>
      </c>
      <c r="Q4024">
        <v>1</v>
      </c>
      <c r="R4024">
        <v>1</v>
      </c>
      <c r="S4024">
        <v>0</v>
      </c>
      <c r="T4024">
        <v>0</v>
      </c>
      <c r="U4024">
        <v>0</v>
      </c>
      <c r="V4024">
        <v>1</v>
      </c>
      <c r="W4024">
        <v>0</v>
      </c>
      <c r="X4024" s="21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 s="21">
        <v>0</v>
      </c>
      <c r="AE4024" s="21">
        <v>0</v>
      </c>
      <c r="AF4024">
        <v>0</v>
      </c>
      <c r="AG4024">
        <v>0</v>
      </c>
      <c r="AH4024">
        <v>64</v>
      </c>
      <c r="AJ4024" t="s">
        <v>54</v>
      </c>
      <c r="AK4024" t="s">
        <v>52</v>
      </c>
      <c r="AP4024" t="s">
        <v>951</v>
      </c>
    </row>
    <row r="4025" spans="1:42">
      <c r="A4025" s="17" t="s">
        <v>1322</v>
      </c>
      <c r="B4025">
        <v>1</v>
      </c>
      <c r="C4025">
        <v>986</v>
      </c>
      <c r="D4025">
        <v>14358</v>
      </c>
      <c r="E4025" t="s">
        <v>112</v>
      </c>
      <c r="F4025" t="s">
        <v>949</v>
      </c>
      <c r="G4025">
        <v>2</v>
      </c>
      <c r="H4025">
        <v>95</v>
      </c>
      <c r="I4025" s="25">
        <v>3000</v>
      </c>
      <c r="K4025" t="s">
        <v>175</v>
      </c>
      <c r="L4025" t="s">
        <v>114</v>
      </c>
      <c r="M4025" t="s">
        <v>52</v>
      </c>
      <c r="N4025" t="s">
        <v>40</v>
      </c>
      <c r="O4025">
        <v>52</v>
      </c>
      <c r="Q4025">
        <v>1</v>
      </c>
      <c r="R4025">
        <v>1</v>
      </c>
      <c r="S4025">
        <v>0</v>
      </c>
      <c r="T4025">
        <v>0</v>
      </c>
      <c r="U4025">
        <v>1</v>
      </c>
      <c r="V4025">
        <v>0</v>
      </c>
      <c r="W4025">
        <v>0</v>
      </c>
      <c r="X4025" s="21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 s="21">
        <v>0</v>
      </c>
      <c r="AE4025" s="21">
        <v>0</v>
      </c>
      <c r="AF4025">
        <v>1</v>
      </c>
      <c r="AG4025">
        <v>0</v>
      </c>
      <c r="AH4025">
        <v>32</v>
      </c>
      <c r="AJ4025" t="s">
        <v>54</v>
      </c>
      <c r="AK4025" t="s">
        <v>52</v>
      </c>
      <c r="AP4025" t="s">
        <v>951</v>
      </c>
    </row>
    <row r="4026" spans="1:42">
      <c r="A4026" s="17" t="s">
        <v>1322</v>
      </c>
      <c r="B4026">
        <v>1</v>
      </c>
      <c r="C4026">
        <v>986</v>
      </c>
      <c r="D4026">
        <v>14358</v>
      </c>
      <c r="E4026" t="s">
        <v>112</v>
      </c>
      <c r="F4026" t="s">
        <v>949</v>
      </c>
      <c r="G4026">
        <v>2</v>
      </c>
      <c r="H4026">
        <v>96</v>
      </c>
      <c r="I4026" s="25">
        <v>3060</v>
      </c>
      <c r="K4026" t="s">
        <v>175</v>
      </c>
      <c r="L4026" t="s">
        <v>114</v>
      </c>
      <c r="M4026" t="s">
        <v>52</v>
      </c>
      <c r="N4026" t="s">
        <v>44</v>
      </c>
      <c r="O4026">
        <v>70</v>
      </c>
      <c r="Q4026">
        <v>1</v>
      </c>
      <c r="R4026">
        <v>1</v>
      </c>
      <c r="S4026">
        <v>0</v>
      </c>
      <c r="T4026">
        <v>0</v>
      </c>
      <c r="U4026">
        <v>0</v>
      </c>
      <c r="V4026">
        <v>1</v>
      </c>
      <c r="W4026">
        <v>0</v>
      </c>
      <c r="X4026" s="21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 s="21">
        <v>0</v>
      </c>
      <c r="AE4026" s="21">
        <v>0</v>
      </c>
      <c r="AF4026">
        <v>0</v>
      </c>
      <c r="AG4026">
        <v>0</v>
      </c>
      <c r="AH4026">
        <v>64</v>
      </c>
      <c r="AJ4026" t="s">
        <v>54</v>
      </c>
      <c r="AK4026" t="s">
        <v>52</v>
      </c>
      <c r="AP4026" t="s">
        <v>951</v>
      </c>
    </row>
    <row r="4027" spans="1:42">
      <c r="A4027" s="17" t="s">
        <v>1322</v>
      </c>
      <c r="B4027">
        <v>1</v>
      </c>
      <c r="C4027">
        <v>986</v>
      </c>
      <c r="D4027">
        <v>14358</v>
      </c>
      <c r="E4027" t="s">
        <v>112</v>
      </c>
      <c r="F4027" t="s">
        <v>949</v>
      </c>
      <c r="G4027">
        <v>2</v>
      </c>
      <c r="H4027">
        <v>97</v>
      </c>
      <c r="I4027" s="25">
        <v>2490</v>
      </c>
      <c r="K4027" t="s">
        <v>1147</v>
      </c>
      <c r="M4027" t="s">
        <v>52</v>
      </c>
      <c r="N4027" t="s">
        <v>44</v>
      </c>
      <c r="O4027">
        <v>48</v>
      </c>
      <c r="Q4027">
        <v>1</v>
      </c>
      <c r="R4027">
        <v>1</v>
      </c>
      <c r="S4027">
        <v>0</v>
      </c>
      <c r="T4027">
        <v>0</v>
      </c>
      <c r="U4027">
        <v>0</v>
      </c>
      <c r="V4027">
        <v>0</v>
      </c>
      <c r="W4027">
        <v>1</v>
      </c>
      <c r="X4027" s="21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 s="21">
        <v>0</v>
      </c>
      <c r="AE4027" s="21">
        <v>0</v>
      </c>
      <c r="AF4027">
        <v>0</v>
      </c>
      <c r="AG4027">
        <v>0</v>
      </c>
      <c r="AH4027">
        <v>96</v>
      </c>
      <c r="AJ4027" t="s">
        <v>51</v>
      </c>
      <c r="AK4027" t="s">
        <v>95</v>
      </c>
      <c r="AL4027" t="s">
        <v>1353</v>
      </c>
      <c r="AP4027" t="s">
        <v>951</v>
      </c>
    </row>
    <row r="4028" spans="1:42">
      <c r="A4028" s="17" t="s">
        <v>1322</v>
      </c>
      <c r="B4028">
        <v>1</v>
      </c>
      <c r="C4028">
        <v>986</v>
      </c>
      <c r="D4028">
        <v>14358</v>
      </c>
      <c r="E4028" t="s">
        <v>112</v>
      </c>
      <c r="F4028" t="s">
        <v>949</v>
      </c>
      <c r="G4028">
        <v>2</v>
      </c>
      <c r="H4028">
        <v>98</v>
      </c>
      <c r="I4028" s="25">
        <v>3126</v>
      </c>
      <c r="K4028" t="s">
        <v>175</v>
      </c>
      <c r="M4028" t="s">
        <v>52</v>
      </c>
      <c r="N4028" t="s">
        <v>44</v>
      </c>
      <c r="O4028">
        <v>73</v>
      </c>
      <c r="Q4028">
        <v>1</v>
      </c>
      <c r="R4028">
        <v>1</v>
      </c>
      <c r="S4028">
        <v>0</v>
      </c>
      <c r="T4028">
        <v>0</v>
      </c>
      <c r="U4028">
        <v>0</v>
      </c>
      <c r="V4028">
        <v>0</v>
      </c>
      <c r="W4028">
        <v>1</v>
      </c>
      <c r="X4028" s="21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 s="21">
        <v>0</v>
      </c>
      <c r="AE4028" s="21">
        <v>0</v>
      </c>
      <c r="AF4028">
        <v>0</v>
      </c>
      <c r="AG4028">
        <v>0</v>
      </c>
      <c r="AH4028">
        <v>96</v>
      </c>
      <c r="AJ4028" t="s">
        <v>51</v>
      </c>
      <c r="AK4028" t="s">
        <v>95</v>
      </c>
      <c r="AP4028" t="s">
        <v>951</v>
      </c>
    </row>
    <row r="4029" spans="1:42">
      <c r="A4029" s="17" t="s">
        <v>1322</v>
      </c>
      <c r="B4029">
        <v>1</v>
      </c>
      <c r="C4029">
        <v>986</v>
      </c>
      <c r="D4029">
        <v>14358</v>
      </c>
      <c r="E4029" t="s">
        <v>112</v>
      </c>
      <c r="F4029" t="s">
        <v>949</v>
      </c>
      <c r="G4029">
        <v>2</v>
      </c>
      <c r="H4029">
        <v>99</v>
      </c>
      <c r="I4029" s="25">
        <v>3190</v>
      </c>
      <c r="K4029" t="s">
        <v>175</v>
      </c>
      <c r="M4029" t="s">
        <v>52</v>
      </c>
      <c r="N4029" t="s">
        <v>44</v>
      </c>
      <c r="O4029">
        <v>182</v>
      </c>
      <c r="Q4029">
        <v>3</v>
      </c>
      <c r="R4029">
        <v>1</v>
      </c>
      <c r="S4029">
        <v>0</v>
      </c>
      <c r="T4029">
        <v>0</v>
      </c>
      <c r="U4029">
        <v>0</v>
      </c>
      <c r="V4029">
        <v>0</v>
      </c>
      <c r="W4029">
        <v>3</v>
      </c>
      <c r="X4029" s="21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 s="21">
        <v>0</v>
      </c>
      <c r="AE4029" s="21">
        <v>0</v>
      </c>
      <c r="AF4029">
        <v>0</v>
      </c>
      <c r="AG4029">
        <v>0</v>
      </c>
      <c r="AH4029">
        <v>288</v>
      </c>
      <c r="AJ4029" t="s">
        <v>51</v>
      </c>
      <c r="AK4029" t="s">
        <v>52</v>
      </c>
      <c r="AL4029" t="s">
        <v>1225</v>
      </c>
      <c r="AP4029" t="s">
        <v>951</v>
      </c>
    </row>
    <row r="4030" spans="1:42">
      <c r="A4030" s="17" t="s">
        <v>1322</v>
      </c>
      <c r="B4030">
        <v>1</v>
      </c>
      <c r="C4030">
        <v>986</v>
      </c>
      <c r="D4030">
        <v>14358</v>
      </c>
      <c r="E4030" t="s">
        <v>112</v>
      </c>
      <c r="F4030" t="s">
        <v>949</v>
      </c>
      <c r="G4030">
        <v>2</v>
      </c>
      <c r="H4030">
        <v>100</v>
      </c>
      <c r="I4030" s="25">
        <v>2300</v>
      </c>
      <c r="K4030" t="s">
        <v>210</v>
      </c>
      <c r="L4030" t="s">
        <v>141</v>
      </c>
      <c r="M4030" t="s">
        <v>52</v>
      </c>
      <c r="N4030" t="s">
        <v>40</v>
      </c>
      <c r="O4030">
        <v>49</v>
      </c>
      <c r="Q4030">
        <v>1</v>
      </c>
      <c r="R4030">
        <v>1</v>
      </c>
      <c r="S4030">
        <v>0</v>
      </c>
      <c r="T4030">
        <v>0</v>
      </c>
      <c r="U4030">
        <v>0</v>
      </c>
      <c r="V4030">
        <v>1</v>
      </c>
      <c r="W4030">
        <v>0</v>
      </c>
      <c r="X4030" s="21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 s="21">
        <v>0</v>
      </c>
      <c r="AE4030" s="21">
        <v>0</v>
      </c>
      <c r="AF4030">
        <v>0</v>
      </c>
      <c r="AG4030">
        <v>0</v>
      </c>
      <c r="AH4030">
        <v>64</v>
      </c>
      <c r="AJ4030" t="s">
        <v>51</v>
      </c>
      <c r="AK4030" t="s">
        <v>95</v>
      </c>
      <c r="AP4030" t="s">
        <v>951</v>
      </c>
    </row>
    <row r="4031" spans="1:42">
      <c r="A4031" s="17" t="s">
        <v>1322</v>
      </c>
      <c r="B4031">
        <v>1</v>
      </c>
      <c r="C4031">
        <v>986</v>
      </c>
      <c r="D4031">
        <v>14358</v>
      </c>
      <c r="E4031" t="s">
        <v>112</v>
      </c>
      <c r="F4031" t="s">
        <v>949</v>
      </c>
      <c r="G4031">
        <v>2</v>
      </c>
      <c r="H4031">
        <v>101</v>
      </c>
      <c r="I4031" s="25">
        <v>2300</v>
      </c>
      <c r="K4031" t="s">
        <v>210</v>
      </c>
      <c r="L4031" t="s">
        <v>141</v>
      </c>
      <c r="M4031" t="s">
        <v>52</v>
      </c>
      <c r="N4031" t="s">
        <v>40</v>
      </c>
      <c r="O4031">
        <v>40</v>
      </c>
      <c r="Q4031">
        <v>1</v>
      </c>
      <c r="R4031">
        <v>1</v>
      </c>
      <c r="S4031">
        <v>0</v>
      </c>
      <c r="T4031">
        <v>0</v>
      </c>
      <c r="U4031">
        <v>1</v>
      </c>
      <c r="V4031">
        <v>0</v>
      </c>
      <c r="W4031">
        <v>0</v>
      </c>
      <c r="X4031" s="2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 s="21">
        <v>0</v>
      </c>
      <c r="AE4031" s="21">
        <v>0</v>
      </c>
      <c r="AF4031">
        <v>0</v>
      </c>
      <c r="AG4031">
        <v>0</v>
      </c>
      <c r="AH4031">
        <v>32</v>
      </c>
      <c r="AJ4031" t="s">
        <v>51</v>
      </c>
      <c r="AK4031" t="s">
        <v>95</v>
      </c>
      <c r="AP4031" t="s">
        <v>951</v>
      </c>
    </row>
    <row r="4032" spans="1:42">
      <c r="A4032" s="17" t="s">
        <v>1322</v>
      </c>
      <c r="B4032">
        <v>1</v>
      </c>
      <c r="C4032">
        <v>986</v>
      </c>
      <c r="D4032">
        <v>14358</v>
      </c>
      <c r="E4032" t="s">
        <v>112</v>
      </c>
      <c r="F4032" t="s">
        <v>949</v>
      </c>
      <c r="G4032">
        <v>2</v>
      </c>
      <c r="H4032">
        <v>102</v>
      </c>
      <c r="I4032" s="25">
        <v>2353</v>
      </c>
      <c r="K4032" t="s">
        <v>210</v>
      </c>
      <c r="M4032" t="s">
        <v>52</v>
      </c>
      <c r="N4032" t="s">
        <v>44</v>
      </c>
      <c r="O4032">
        <v>266</v>
      </c>
      <c r="Q4032">
        <v>4</v>
      </c>
      <c r="R4032">
        <v>1</v>
      </c>
      <c r="S4032">
        <v>0</v>
      </c>
      <c r="T4032">
        <v>0</v>
      </c>
      <c r="U4032">
        <v>0</v>
      </c>
      <c r="V4032">
        <v>0</v>
      </c>
      <c r="W4032">
        <v>4</v>
      </c>
      <c r="X4032" s="21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 s="21">
        <v>0</v>
      </c>
      <c r="AE4032" s="21">
        <v>0</v>
      </c>
      <c r="AF4032">
        <v>0</v>
      </c>
      <c r="AG4032">
        <v>0</v>
      </c>
      <c r="AH4032">
        <v>384</v>
      </c>
      <c r="AJ4032" t="s">
        <v>51</v>
      </c>
      <c r="AK4032" t="s">
        <v>95</v>
      </c>
      <c r="AP4032" t="s">
        <v>951</v>
      </c>
    </row>
    <row r="4033" spans="1:42">
      <c r="A4033" s="17" t="s">
        <v>1322</v>
      </c>
      <c r="B4033">
        <v>1</v>
      </c>
      <c r="C4033">
        <v>986</v>
      </c>
      <c r="D4033">
        <v>14358</v>
      </c>
      <c r="E4033" t="s">
        <v>112</v>
      </c>
      <c r="F4033" t="s">
        <v>949</v>
      </c>
      <c r="G4033">
        <v>2</v>
      </c>
      <c r="H4033">
        <v>103</v>
      </c>
      <c r="I4033" s="25">
        <v>2200</v>
      </c>
      <c r="K4033" t="s">
        <v>210</v>
      </c>
      <c r="L4033" t="s">
        <v>141</v>
      </c>
      <c r="M4033" t="s">
        <v>52</v>
      </c>
      <c r="N4033" t="s">
        <v>40</v>
      </c>
      <c r="O4033">
        <v>55</v>
      </c>
      <c r="Q4033">
        <v>1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1</v>
      </c>
      <c r="X4033" s="21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 s="21">
        <v>0</v>
      </c>
      <c r="AE4033" s="21">
        <v>0</v>
      </c>
      <c r="AF4033">
        <v>0</v>
      </c>
      <c r="AG4033">
        <v>0</v>
      </c>
      <c r="AH4033">
        <v>96</v>
      </c>
      <c r="AJ4033" t="s">
        <v>51</v>
      </c>
      <c r="AK4033" t="s">
        <v>95</v>
      </c>
      <c r="AP4033" t="s">
        <v>951</v>
      </c>
    </row>
    <row r="4034" spans="1:42">
      <c r="A4034" s="17" t="s">
        <v>1322</v>
      </c>
      <c r="B4034">
        <v>1</v>
      </c>
      <c r="C4034">
        <v>986</v>
      </c>
      <c r="D4034">
        <v>14358</v>
      </c>
      <c r="E4034" t="s">
        <v>112</v>
      </c>
      <c r="F4034" t="s">
        <v>949</v>
      </c>
      <c r="G4034">
        <v>2</v>
      </c>
      <c r="H4034">
        <v>104</v>
      </c>
      <c r="I4034" s="25">
        <v>2451</v>
      </c>
      <c r="K4034" t="s">
        <v>1147</v>
      </c>
      <c r="M4034" t="s">
        <v>52</v>
      </c>
      <c r="N4034" t="s">
        <v>44</v>
      </c>
      <c r="O4034">
        <v>153</v>
      </c>
      <c r="Q4034">
        <v>1</v>
      </c>
      <c r="R4034">
        <v>1</v>
      </c>
      <c r="S4034">
        <v>0</v>
      </c>
      <c r="T4034">
        <v>0</v>
      </c>
      <c r="U4034">
        <v>0</v>
      </c>
      <c r="V4034">
        <v>0</v>
      </c>
      <c r="W4034">
        <v>1</v>
      </c>
      <c r="X4034" s="21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 s="21">
        <v>0</v>
      </c>
      <c r="AE4034" s="21">
        <v>0</v>
      </c>
      <c r="AF4034">
        <v>0</v>
      </c>
      <c r="AG4034">
        <v>0</v>
      </c>
      <c r="AH4034">
        <v>96</v>
      </c>
      <c r="AJ4034" t="s">
        <v>51</v>
      </c>
      <c r="AK4034" t="s">
        <v>52</v>
      </c>
      <c r="AL4034" t="s">
        <v>1354</v>
      </c>
      <c r="AP4034" t="s">
        <v>951</v>
      </c>
    </row>
    <row r="4035" spans="1:42">
      <c r="A4035" s="17" t="s">
        <v>1322</v>
      </c>
      <c r="B4035">
        <v>1</v>
      </c>
      <c r="C4035">
        <v>986</v>
      </c>
      <c r="D4035">
        <v>14358</v>
      </c>
      <c r="E4035" t="s">
        <v>112</v>
      </c>
      <c r="F4035" t="s">
        <v>949</v>
      </c>
      <c r="G4035">
        <v>2</v>
      </c>
      <c r="H4035">
        <v>105</v>
      </c>
      <c r="I4035" s="25">
        <v>3101</v>
      </c>
      <c r="K4035" t="s">
        <v>175</v>
      </c>
      <c r="M4035" t="s">
        <v>52</v>
      </c>
      <c r="N4035" t="s">
        <v>44</v>
      </c>
      <c r="O4035">
        <v>86</v>
      </c>
      <c r="Q4035">
        <v>1</v>
      </c>
      <c r="R4035">
        <v>1</v>
      </c>
      <c r="S4035">
        <v>0</v>
      </c>
      <c r="T4035">
        <v>0</v>
      </c>
      <c r="U4035">
        <v>0</v>
      </c>
      <c r="V4035">
        <v>0</v>
      </c>
      <c r="W4035">
        <v>1</v>
      </c>
      <c r="X4035" s="21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 s="21">
        <v>0</v>
      </c>
      <c r="AE4035" s="21">
        <v>0</v>
      </c>
      <c r="AF4035">
        <v>0</v>
      </c>
      <c r="AG4035">
        <v>0</v>
      </c>
      <c r="AH4035">
        <v>96</v>
      </c>
      <c r="AJ4035" t="s">
        <v>51</v>
      </c>
      <c r="AK4035" t="s">
        <v>52</v>
      </c>
      <c r="AL4035" t="s">
        <v>1355</v>
      </c>
      <c r="AP4035" t="s">
        <v>951</v>
      </c>
    </row>
    <row r="4036" spans="1:42">
      <c r="A4036" s="17" t="s">
        <v>1322</v>
      </c>
      <c r="B4036">
        <v>1</v>
      </c>
      <c r="C4036">
        <v>986</v>
      </c>
      <c r="D4036">
        <v>14358</v>
      </c>
      <c r="E4036" t="s">
        <v>112</v>
      </c>
      <c r="F4036" t="s">
        <v>949</v>
      </c>
      <c r="G4036">
        <v>2</v>
      </c>
      <c r="H4036">
        <v>106</v>
      </c>
      <c r="I4036" s="25">
        <v>3055</v>
      </c>
      <c r="K4036" t="s">
        <v>175</v>
      </c>
      <c r="M4036" t="s">
        <v>52</v>
      </c>
      <c r="N4036" t="s">
        <v>44</v>
      </c>
      <c r="O4036">
        <v>78</v>
      </c>
      <c r="Q4036">
        <v>1</v>
      </c>
      <c r="R4036">
        <v>1</v>
      </c>
      <c r="S4036">
        <v>0</v>
      </c>
      <c r="T4036">
        <v>0</v>
      </c>
      <c r="U4036">
        <v>0</v>
      </c>
      <c r="V4036">
        <v>0</v>
      </c>
      <c r="W4036">
        <v>1</v>
      </c>
      <c r="X4036" s="21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 s="21">
        <v>0</v>
      </c>
      <c r="AE4036" s="21">
        <v>0</v>
      </c>
      <c r="AF4036">
        <v>0</v>
      </c>
      <c r="AG4036">
        <v>0</v>
      </c>
      <c r="AH4036">
        <v>96</v>
      </c>
      <c r="AJ4036" t="s">
        <v>51</v>
      </c>
      <c r="AK4036" t="s">
        <v>52</v>
      </c>
      <c r="AL4036" t="s">
        <v>1355</v>
      </c>
      <c r="AP4036" t="s">
        <v>951</v>
      </c>
    </row>
    <row r="4037" spans="1:42">
      <c r="A4037" s="17" t="s">
        <v>1322</v>
      </c>
      <c r="B4037">
        <v>1</v>
      </c>
      <c r="C4037">
        <v>986</v>
      </c>
      <c r="D4037">
        <v>14358</v>
      </c>
      <c r="E4037" t="s">
        <v>112</v>
      </c>
      <c r="F4037" t="s">
        <v>949</v>
      </c>
      <c r="G4037">
        <v>2</v>
      </c>
      <c r="H4037">
        <v>107</v>
      </c>
      <c r="I4037" s="25">
        <v>2400</v>
      </c>
      <c r="K4037" t="s">
        <v>210</v>
      </c>
      <c r="L4037" t="s">
        <v>141</v>
      </c>
      <c r="M4037" t="s">
        <v>52</v>
      </c>
      <c r="N4037" t="s">
        <v>40</v>
      </c>
      <c r="O4037">
        <v>112</v>
      </c>
      <c r="Q4037">
        <v>3</v>
      </c>
      <c r="R4037">
        <v>1</v>
      </c>
      <c r="S4037">
        <v>0</v>
      </c>
      <c r="T4037">
        <v>0</v>
      </c>
      <c r="U4037">
        <v>0</v>
      </c>
      <c r="V4037">
        <v>2</v>
      </c>
      <c r="W4037">
        <v>1</v>
      </c>
      <c r="X4037" s="21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 s="21">
        <v>0</v>
      </c>
      <c r="AE4037" s="21">
        <v>0</v>
      </c>
      <c r="AF4037">
        <v>0</v>
      </c>
      <c r="AG4037">
        <v>0</v>
      </c>
      <c r="AH4037">
        <v>224</v>
      </c>
      <c r="AJ4037" t="s">
        <v>51</v>
      </c>
      <c r="AK4037" t="s">
        <v>95</v>
      </c>
      <c r="AP4037" t="s">
        <v>951</v>
      </c>
    </row>
    <row r="4038" spans="1:42">
      <c r="A4038" s="17" t="s">
        <v>1322</v>
      </c>
      <c r="B4038">
        <v>1</v>
      </c>
      <c r="C4038">
        <v>986</v>
      </c>
      <c r="D4038">
        <v>14358</v>
      </c>
      <c r="E4038" t="s">
        <v>112</v>
      </c>
      <c r="F4038" t="s">
        <v>949</v>
      </c>
      <c r="G4038">
        <v>2</v>
      </c>
      <c r="H4038">
        <v>108</v>
      </c>
      <c r="I4038" s="25">
        <v>2453</v>
      </c>
      <c r="K4038" t="s">
        <v>210</v>
      </c>
      <c r="M4038" t="s">
        <v>52</v>
      </c>
      <c r="N4038" t="s">
        <v>44</v>
      </c>
      <c r="O4038">
        <v>36</v>
      </c>
      <c r="Q4038">
        <v>1</v>
      </c>
      <c r="R4038">
        <v>1</v>
      </c>
      <c r="S4038">
        <v>0</v>
      </c>
      <c r="T4038">
        <v>0</v>
      </c>
      <c r="U4038">
        <v>0</v>
      </c>
      <c r="V4038">
        <v>0</v>
      </c>
      <c r="W4038">
        <v>1</v>
      </c>
      <c r="X4038" s="21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 s="21">
        <v>0</v>
      </c>
      <c r="AE4038" s="21">
        <v>0</v>
      </c>
      <c r="AF4038">
        <v>0</v>
      </c>
      <c r="AG4038">
        <v>0</v>
      </c>
      <c r="AH4038">
        <v>96</v>
      </c>
      <c r="AJ4038" t="s">
        <v>51</v>
      </c>
      <c r="AK4038" t="s">
        <v>52</v>
      </c>
      <c r="AL4038" t="s">
        <v>733</v>
      </c>
      <c r="AP4038" t="s">
        <v>951</v>
      </c>
    </row>
    <row r="4039" spans="1:42">
      <c r="A4039" s="17" t="s">
        <v>1322</v>
      </c>
      <c r="B4039">
        <v>1</v>
      </c>
      <c r="C4039">
        <v>986</v>
      </c>
      <c r="D4039">
        <v>14358</v>
      </c>
      <c r="E4039" t="s">
        <v>112</v>
      </c>
      <c r="F4039" t="s">
        <v>949</v>
      </c>
      <c r="G4039">
        <v>2</v>
      </c>
      <c r="H4039">
        <v>109</v>
      </c>
      <c r="I4039" s="25">
        <v>2400</v>
      </c>
      <c r="K4039" t="s">
        <v>210</v>
      </c>
      <c r="L4039" t="s">
        <v>141</v>
      </c>
      <c r="M4039" t="s">
        <v>52</v>
      </c>
      <c r="N4039" t="s">
        <v>40</v>
      </c>
      <c r="O4039">
        <v>58</v>
      </c>
      <c r="Q4039">
        <v>1</v>
      </c>
      <c r="R4039">
        <v>1</v>
      </c>
      <c r="S4039">
        <v>0</v>
      </c>
      <c r="T4039">
        <v>0</v>
      </c>
      <c r="U4039">
        <v>0</v>
      </c>
      <c r="V4039">
        <v>0</v>
      </c>
      <c r="W4039">
        <v>1</v>
      </c>
      <c r="X4039" s="21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 s="21">
        <v>0</v>
      </c>
      <c r="AE4039" s="21">
        <v>0</v>
      </c>
      <c r="AF4039">
        <v>0</v>
      </c>
      <c r="AG4039">
        <v>0</v>
      </c>
      <c r="AH4039">
        <v>96</v>
      </c>
      <c r="AJ4039" t="s">
        <v>51</v>
      </c>
      <c r="AK4039" t="s">
        <v>52</v>
      </c>
      <c r="AP4039" t="s">
        <v>951</v>
      </c>
    </row>
    <row r="4040" spans="1:42">
      <c r="A4040" s="17" t="s">
        <v>1322</v>
      </c>
      <c r="B4040">
        <v>1</v>
      </c>
      <c r="C4040">
        <v>986</v>
      </c>
      <c r="D4040">
        <v>14358</v>
      </c>
      <c r="E4040" t="s">
        <v>112</v>
      </c>
      <c r="F4040" t="s">
        <v>949</v>
      </c>
      <c r="G4040">
        <v>2</v>
      </c>
      <c r="H4040">
        <v>110</v>
      </c>
      <c r="I4040" s="25">
        <v>3000</v>
      </c>
      <c r="K4040" t="s">
        <v>175</v>
      </c>
      <c r="M4040" t="s">
        <v>52</v>
      </c>
      <c r="N4040" t="s">
        <v>40</v>
      </c>
      <c r="O4040">
        <v>103</v>
      </c>
      <c r="Q4040">
        <v>3</v>
      </c>
      <c r="R4040">
        <v>1</v>
      </c>
      <c r="S4040">
        <v>0</v>
      </c>
      <c r="T4040">
        <v>0</v>
      </c>
      <c r="U4040">
        <v>1</v>
      </c>
      <c r="V4040">
        <v>2</v>
      </c>
      <c r="W4040">
        <v>0</v>
      </c>
      <c r="X4040" s="21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 s="21">
        <v>0</v>
      </c>
      <c r="AE4040" s="21">
        <v>0</v>
      </c>
      <c r="AF4040">
        <v>0</v>
      </c>
      <c r="AG4040">
        <v>0</v>
      </c>
      <c r="AH4040">
        <v>160</v>
      </c>
      <c r="AJ4040" t="s">
        <v>54</v>
      </c>
      <c r="AK4040" t="s">
        <v>95</v>
      </c>
      <c r="AP4040" t="s">
        <v>951</v>
      </c>
    </row>
    <row r="4041" spans="1:42">
      <c r="A4041" s="17" t="s">
        <v>1322</v>
      </c>
      <c r="B4041">
        <v>1</v>
      </c>
      <c r="C4041">
        <v>986</v>
      </c>
      <c r="D4041">
        <v>14358</v>
      </c>
      <c r="E4041" t="s">
        <v>112</v>
      </c>
      <c r="F4041" t="s">
        <v>949</v>
      </c>
      <c r="G4041">
        <v>2</v>
      </c>
      <c r="H4041">
        <v>111</v>
      </c>
      <c r="I4041" s="25">
        <v>300</v>
      </c>
      <c r="K4041" t="s">
        <v>175</v>
      </c>
      <c r="L4041" t="s">
        <v>141</v>
      </c>
      <c r="M4041" t="s">
        <v>52</v>
      </c>
      <c r="N4041" t="s">
        <v>40</v>
      </c>
      <c r="O4041">
        <v>84</v>
      </c>
      <c r="Q4041">
        <v>1</v>
      </c>
      <c r="R4041">
        <v>1</v>
      </c>
      <c r="S4041">
        <v>0</v>
      </c>
      <c r="T4041">
        <v>0</v>
      </c>
      <c r="U4041">
        <v>0</v>
      </c>
      <c r="V4041">
        <v>1</v>
      </c>
      <c r="W4041">
        <v>0</v>
      </c>
      <c r="X4041" s="2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 s="21">
        <v>0</v>
      </c>
      <c r="AE4041" s="21">
        <v>0</v>
      </c>
      <c r="AF4041">
        <v>0</v>
      </c>
      <c r="AG4041">
        <v>0</v>
      </c>
      <c r="AH4041">
        <v>64</v>
      </c>
      <c r="AJ4041" t="s">
        <v>54</v>
      </c>
      <c r="AK4041" t="s">
        <v>95</v>
      </c>
      <c r="AP4041" t="s">
        <v>951</v>
      </c>
    </row>
    <row r="4042" spans="1:42">
      <c r="A4042" s="17" t="s">
        <v>1322</v>
      </c>
      <c r="B4042">
        <v>1</v>
      </c>
      <c r="C4042">
        <v>986</v>
      </c>
      <c r="D4042">
        <v>14358</v>
      </c>
      <c r="E4042" t="s">
        <v>112</v>
      </c>
      <c r="F4042" t="s">
        <v>949</v>
      </c>
      <c r="G4042">
        <v>2</v>
      </c>
      <c r="H4042">
        <v>112</v>
      </c>
      <c r="I4042" s="25">
        <v>2400</v>
      </c>
      <c r="K4042" t="s">
        <v>148</v>
      </c>
      <c r="L4042" t="s">
        <v>141</v>
      </c>
      <c r="M4042" t="s">
        <v>52</v>
      </c>
      <c r="N4042" t="s">
        <v>40</v>
      </c>
      <c r="O4042">
        <v>26</v>
      </c>
      <c r="Q4042">
        <v>1</v>
      </c>
      <c r="R4042">
        <v>1</v>
      </c>
      <c r="S4042">
        <v>0</v>
      </c>
      <c r="T4042">
        <v>0</v>
      </c>
      <c r="U4042">
        <v>0</v>
      </c>
      <c r="V4042">
        <v>0</v>
      </c>
      <c r="W4042">
        <v>1</v>
      </c>
      <c r="X4042" s="21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 s="21">
        <v>0</v>
      </c>
      <c r="AE4042" s="21">
        <v>0</v>
      </c>
      <c r="AF4042">
        <v>0</v>
      </c>
      <c r="AG4042">
        <v>0</v>
      </c>
      <c r="AH4042">
        <v>96</v>
      </c>
      <c r="AJ4042" t="s">
        <v>51</v>
      </c>
      <c r="AK4042" t="s">
        <v>52</v>
      </c>
      <c r="AP4042" t="s">
        <v>951</v>
      </c>
    </row>
    <row r="4043" spans="1:42">
      <c r="A4043" s="16">
        <v>43839</v>
      </c>
      <c r="B4043">
        <v>1</v>
      </c>
      <c r="C4043">
        <v>986</v>
      </c>
      <c r="D4043">
        <v>14358</v>
      </c>
      <c r="E4043" t="s">
        <v>112</v>
      </c>
      <c r="F4043" t="s">
        <v>949</v>
      </c>
      <c r="G4043">
        <v>2</v>
      </c>
      <c r="H4043">
        <v>113</v>
      </c>
      <c r="I4043" s="25">
        <v>2960</v>
      </c>
      <c r="K4043" t="s">
        <v>175</v>
      </c>
      <c r="M4043" t="s">
        <v>52</v>
      </c>
      <c r="N4043" t="s">
        <v>44</v>
      </c>
      <c r="O4043">
        <v>44</v>
      </c>
      <c r="Q4043">
        <v>1</v>
      </c>
      <c r="R4043">
        <v>1</v>
      </c>
      <c r="S4043">
        <v>0</v>
      </c>
      <c r="T4043">
        <v>0</v>
      </c>
      <c r="U4043">
        <v>0</v>
      </c>
      <c r="V4043">
        <v>1</v>
      </c>
      <c r="W4043">
        <v>0</v>
      </c>
      <c r="X4043" s="21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 s="21">
        <v>0</v>
      </c>
      <c r="AE4043" s="21">
        <v>0</v>
      </c>
      <c r="AF4043">
        <v>0</v>
      </c>
      <c r="AG4043">
        <v>0</v>
      </c>
      <c r="AH4043">
        <v>64</v>
      </c>
      <c r="AJ4043" t="s">
        <v>51</v>
      </c>
      <c r="AK4043" t="s">
        <v>95</v>
      </c>
      <c r="AL4043" t="s">
        <v>1356</v>
      </c>
      <c r="AP4043" t="s">
        <v>951</v>
      </c>
    </row>
    <row r="4044" spans="1:42">
      <c r="A4044" s="17" t="s">
        <v>1322</v>
      </c>
      <c r="B4044">
        <v>1</v>
      </c>
      <c r="C4044">
        <v>986</v>
      </c>
      <c r="D4044">
        <v>14358</v>
      </c>
      <c r="E4044" t="s">
        <v>112</v>
      </c>
      <c r="F4044" t="s">
        <v>949</v>
      </c>
      <c r="G4044">
        <v>2</v>
      </c>
      <c r="H4044">
        <v>114</v>
      </c>
      <c r="I4044" s="25">
        <v>2400</v>
      </c>
      <c r="K4044" t="s">
        <v>148</v>
      </c>
      <c r="L4044" t="s">
        <v>141</v>
      </c>
      <c r="M4044" t="s">
        <v>52</v>
      </c>
      <c r="N4044" t="s">
        <v>40</v>
      </c>
      <c r="O4044">
        <v>21</v>
      </c>
      <c r="Q4044">
        <v>1</v>
      </c>
      <c r="R4044">
        <v>1</v>
      </c>
      <c r="S4044">
        <v>0</v>
      </c>
      <c r="T4044">
        <v>0</v>
      </c>
      <c r="U4044">
        <v>0</v>
      </c>
      <c r="V4044">
        <v>1</v>
      </c>
      <c r="W4044">
        <v>0</v>
      </c>
      <c r="X4044" s="21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 s="21">
        <v>0</v>
      </c>
      <c r="AE4044" s="21">
        <v>0</v>
      </c>
      <c r="AF4044">
        <v>0</v>
      </c>
      <c r="AG4044">
        <v>0</v>
      </c>
      <c r="AH4044">
        <v>64</v>
      </c>
      <c r="AJ4044" t="s">
        <v>51</v>
      </c>
      <c r="AK4044" t="s">
        <v>52</v>
      </c>
      <c r="AP4044" t="s">
        <v>951</v>
      </c>
    </row>
    <row r="4045" spans="1:42">
      <c r="A4045" s="17" t="s">
        <v>1322</v>
      </c>
      <c r="B4045">
        <v>1</v>
      </c>
      <c r="C4045">
        <v>986</v>
      </c>
      <c r="D4045">
        <v>14358</v>
      </c>
      <c r="E4045" t="s">
        <v>112</v>
      </c>
      <c r="F4045" t="s">
        <v>949</v>
      </c>
      <c r="G4045">
        <v>2</v>
      </c>
      <c r="H4045">
        <v>115</v>
      </c>
      <c r="I4045" s="25">
        <v>2400</v>
      </c>
      <c r="K4045" t="s">
        <v>148</v>
      </c>
      <c r="L4045" t="s">
        <v>141</v>
      </c>
      <c r="M4045" t="s">
        <v>52</v>
      </c>
      <c r="N4045" t="s">
        <v>40</v>
      </c>
      <c r="O4045">
        <v>43</v>
      </c>
      <c r="Q4045">
        <v>2</v>
      </c>
      <c r="R4045">
        <v>1</v>
      </c>
      <c r="S4045">
        <v>0</v>
      </c>
      <c r="T4045">
        <v>0</v>
      </c>
      <c r="U4045">
        <v>0</v>
      </c>
      <c r="V4045">
        <v>2</v>
      </c>
      <c r="W4045">
        <v>0</v>
      </c>
      <c r="X4045" s="21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 s="21">
        <v>0</v>
      </c>
      <c r="AE4045" s="21">
        <v>0</v>
      </c>
      <c r="AF4045">
        <v>0</v>
      </c>
      <c r="AG4045">
        <v>0</v>
      </c>
      <c r="AH4045">
        <v>128</v>
      </c>
      <c r="AJ4045" t="s">
        <v>51</v>
      </c>
      <c r="AK4045" t="s">
        <v>95</v>
      </c>
      <c r="AP4045" t="s">
        <v>951</v>
      </c>
    </row>
    <row r="4046" spans="1:42">
      <c r="A4046" s="17" t="s">
        <v>1322</v>
      </c>
      <c r="B4046">
        <v>1</v>
      </c>
      <c r="C4046">
        <v>986</v>
      </c>
      <c r="D4046">
        <v>14358</v>
      </c>
      <c r="E4046" t="s">
        <v>112</v>
      </c>
      <c r="F4046" t="s">
        <v>949</v>
      </c>
      <c r="G4046">
        <v>2</v>
      </c>
      <c r="H4046">
        <v>116</v>
      </c>
      <c r="I4046" s="25">
        <v>2400</v>
      </c>
      <c r="K4046" t="s">
        <v>148</v>
      </c>
      <c r="L4046" t="s">
        <v>141</v>
      </c>
      <c r="M4046" t="s">
        <v>52</v>
      </c>
      <c r="N4046" t="s">
        <v>40</v>
      </c>
      <c r="O4046">
        <v>36</v>
      </c>
      <c r="Q4046">
        <v>1</v>
      </c>
      <c r="R4046">
        <v>1</v>
      </c>
      <c r="S4046">
        <v>0</v>
      </c>
      <c r="T4046">
        <v>0</v>
      </c>
      <c r="U4046">
        <v>0</v>
      </c>
      <c r="V4046">
        <v>1</v>
      </c>
      <c r="W4046">
        <v>0</v>
      </c>
      <c r="X4046" s="21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 s="21">
        <v>0</v>
      </c>
      <c r="AE4046" s="21">
        <v>0</v>
      </c>
      <c r="AF4046">
        <v>0</v>
      </c>
      <c r="AG4046">
        <v>0</v>
      </c>
      <c r="AH4046">
        <v>64</v>
      </c>
      <c r="AJ4046" t="s">
        <v>51</v>
      </c>
      <c r="AK4046" t="s">
        <v>95</v>
      </c>
      <c r="AP4046" t="s">
        <v>951</v>
      </c>
    </row>
    <row r="4047" spans="1:42">
      <c r="A4047" s="17" t="s">
        <v>1322</v>
      </c>
      <c r="B4047">
        <v>1</v>
      </c>
      <c r="C4047">
        <v>986</v>
      </c>
      <c r="D4047">
        <v>14358</v>
      </c>
      <c r="E4047" t="s">
        <v>112</v>
      </c>
      <c r="F4047" t="s">
        <v>949</v>
      </c>
      <c r="G4047">
        <v>2</v>
      </c>
      <c r="H4047">
        <v>117</v>
      </c>
      <c r="I4047" s="25">
        <v>2400</v>
      </c>
      <c r="K4047" t="s">
        <v>148</v>
      </c>
      <c r="L4047" t="s">
        <v>141</v>
      </c>
      <c r="M4047" t="s">
        <v>52</v>
      </c>
      <c r="N4047" t="s">
        <v>40</v>
      </c>
      <c r="O4047">
        <v>33</v>
      </c>
      <c r="Q4047">
        <v>1</v>
      </c>
      <c r="R4047">
        <v>1</v>
      </c>
      <c r="S4047">
        <v>0</v>
      </c>
      <c r="T4047">
        <v>0</v>
      </c>
      <c r="U4047">
        <v>0</v>
      </c>
      <c r="V4047">
        <v>1</v>
      </c>
      <c r="W4047">
        <v>0</v>
      </c>
      <c r="X4047" s="21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 s="21">
        <v>0</v>
      </c>
      <c r="AE4047" s="21">
        <v>0</v>
      </c>
      <c r="AF4047">
        <v>0</v>
      </c>
      <c r="AG4047">
        <v>0</v>
      </c>
      <c r="AH4047">
        <v>64</v>
      </c>
      <c r="AJ4047" t="s">
        <v>51</v>
      </c>
      <c r="AK4047" t="s">
        <v>52</v>
      </c>
      <c r="AP4047" t="s">
        <v>951</v>
      </c>
    </row>
    <row r="4048" spans="1:42">
      <c r="A4048" s="17" t="s">
        <v>1322</v>
      </c>
      <c r="B4048">
        <v>1</v>
      </c>
      <c r="C4048">
        <v>986</v>
      </c>
      <c r="D4048">
        <v>14358</v>
      </c>
      <c r="E4048" t="s">
        <v>112</v>
      </c>
      <c r="F4048" t="s">
        <v>949</v>
      </c>
      <c r="G4048">
        <v>2</v>
      </c>
      <c r="H4048">
        <v>118</v>
      </c>
      <c r="I4048" s="25">
        <v>2400</v>
      </c>
      <c r="K4048" t="s">
        <v>148</v>
      </c>
      <c r="L4048" t="s">
        <v>141</v>
      </c>
      <c r="M4048" t="s">
        <v>52</v>
      </c>
      <c r="N4048" t="s">
        <v>40</v>
      </c>
      <c r="O4048">
        <v>41</v>
      </c>
      <c r="Q4048">
        <v>1</v>
      </c>
      <c r="R4048">
        <v>1</v>
      </c>
      <c r="S4048">
        <v>0</v>
      </c>
      <c r="T4048">
        <v>0</v>
      </c>
      <c r="U4048">
        <v>0</v>
      </c>
      <c r="V4048">
        <v>1</v>
      </c>
      <c r="W4048">
        <v>0</v>
      </c>
      <c r="X4048" s="21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 s="21">
        <v>0</v>
      </c>
      <c r="AE4048" s="21">
        <v>0</v>
      </c>
      <c r="AF4048">
        <v>0</v>
      </c>
      <c r="AG4048">
        <v>0</v>
      </c>
      <c r="AH4048">
        <v>64</v>
      </c>
      <c r="AJ4048" t="s">
        <v>51</v>
      </c>
      <c r="AK4048" t="s">
        <v>95</v>
      </c>
      <c r="AP4048" t="s">
        <v>951</v>
      </c>
    </row>
    <row r="4049" spans="1:42">
      <c r="A4049" s="17" t="s">
        <v>1322</v>
      </c>
      <c r="B4049">
        <v>1</v>
      </c>
      <c r="C4049">
        <v>986</v>
      </c>
      <c r="D4049">
        <v>14358</v>
      </c>
      <c r="E4049" t="s">
        <v>112</v>
      </c>
      <c r="F4049" t="s">
        <v>949</v>
      </c>
      <c r="G4049">
        <v>2</v>
      </c>
      <c r="H4049">
        <v>119</v>
      </c>
      <c r="I4049" s="25">
        <v>2391</v>
      </c>
      <c r="K4049" t="s">
        <v>148</v>
      </c>
      <c r="M4049" t="s">
        <v>52</v>
      </c>
      <c r="N4049" t="s">
        <v>44</v>
      </c>
      <c r="O4049">
        <v>158</v>
      </c>
      <c r="Q4049">
        <v>2</v>
      </c>
      <c r="R4049">
        <v>1</v>
      </c>
      <c r="S4049">
        <v>0</v>
      </c>
      <c r="T4049">
        <v>0</v>
      </c>
      <c r="U4049">
        <v>0</v>
      </c>
      <c r="V4049">
        <v>0</v>
      </c>
      <c r="W4049">
        <v>2</v>
      </c>
      <c r="X4049" s="21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 s="21">
        <v>0</v>
      </c>
      <c r="AE4049" s="21">
        <v>0</v>
      </c>
      <c r="AF4049">
        <v>0</v>
      </c>
      <c r="AG4049">
        <v>0</v>
      </c>
      <c r="AH4049">
        <v>128</v>
      </c>
      <c r="AJ4049" t="s">
        <v>51</v>
      </c>
      <c r="AK4049" t="s">
        <v>95</v>
      </c>
      <c r="AP4049" t="s">
        <v>951</v>
      </c>
    </row>
    <row r="4050" spans="1:42">
      <c r="A4050" s="17" t="s">
        <v>1322</v>
      </c>
      <c r="B4050">
        <v>1</v>
      </c>
      <c r="C4050">
        <v>986</v>
      </c>
      <c r="D4050">
        <v>14358</v>
      </c>
      <c r="E4050" t="s">
        <v>112</v>
      </c>
      <c r="F4050" t="s">
        <v>949</v>
      </c>
      <c r="G4050">
        <v>2</v>
      </c>
      <c r="H4050">
        <v>120</v>
      </c>
      <c r="I4050" s="25">
        <v>2300</v>
      </c>
      <c r="K4050" t="s">
        <v>148</v>
      </c>
      <c r="L4050" t="s">
        <v>141</v>
      </c>
      <c r="M4050" t="s">
        <v>52</v>
      </c>
      <c r="N4050" t="s">
        <v>40</v>
      </c>
      <c r="O4050">
        <v>73</v>
      </c>
      <c r="Q4050">
        <v>3</v>
      </c>
      <c r="R4050">
        <v>1</v>
      </c>
      <c r="S4050">
        <v>0</v>
      </c>
      <c r="T4050">
        <v>0</v>
      </c>
      <c r="U4050">
        <v>0</v>
      </c>
      <c r="V4050">
        <v>3</v>
      </c>
      <c r="W4050">
        <v>0</v>
      </c>
      <c r="X4050" s="21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 s="21">
        <v>0</v>
      </c>
      <c r="AE4050" s="21">
        <v>0</v>
      </c>
      <c r="AF4050">
        <v>0</v>
      </c>
      <c r="AG4050">
        <v>0</v>
      </c>
      <c r="AH4050">
        <v>73</v>
      </c>
      <c r="AJ4050" t="s">
        <v>51</v>
      </c>
      <c r="AK4050" t="s">
        <v>95</v>
      </c>
      <c r="AP4050" t="s">
        <v>951</v>
      </c>
    </row>
    <row r="4051" spans="1:42">
      <c r="A4051" s="17" t="s">
        <v>1322</v>
      </c>
      <c r="B4051">
        <v>1</v>
      </c>
      <c r="C4051">
        <v>986</v>
      </c>
      <c r="D4051">
        <v>14358</v>
      </c>
      <c r="E4051" t="s">
        <v>112</v>
      </c>
      <c r="F4051" t="s">
        <v>949</v>
      </c>
      <c r="G4051">
        <v>2</v>
      </c>
      <c r="H4051">
        <v>121</v>
      </c>
      <c r="I4051" s="25" t="s">
        <v>1357</v>
      </c>
      <c r="K4051" t="s">
        <v>148</v>
      </c>
      <c r="M4051" t="s">
        <v>52</v>
      </c>
      <c r="N4051" t="s">
        <v>44</v>
      </c>
      <c r="O4051">
        <v>216</v>
      </c>
      <c r="Q4051">
        <v>5</v>
      </c>
      <c r="R4051">
        <v>1</v>
      </c>
      <c r="S4051">
        <v>0</v>
      </c>
      <c r="T4051">
        <v>0</v>
      </c>
      <c r="U4051">
        <v>0</v>
      </c>
      <c r="V4051">
        <v>0</v>
      </c>
      <c r="W4051">
        <v>5</v>
      </c>
      <c r="X4051" s="2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 s="21">
        <v>0</v>
      </c>
      <c r="AE4051" s="21">
        <v>0</v>
      </c>
      <c r="AF4051">
        <v>0</v>
      </c>
      <c r="AG4051">
        <v>0</v>
      </c>
      <c r="AH4051">
        <v>480</v>
      </c>
      <c r="AJ4051" t="s">
        <v>51</v>
      </c>
      <c r="AK4051" t="s">
        <v>95</v>
      </c>
      <c r="AP4051" t="s">
        <v>951</v>
      </c>
    </row>
    <row r="4052" spans="1:42">
      <c r="A4052" s="17" t="s">
        <v>1322</v>
      </c>
      <c r="B4052">
        <v>1</v>
      </c>
      <c r="C4052">
        <v>986</v>
      </c>
      <c r="D4052">
        <v>14358</v>
      </c>
      <c r="E4052" t="s">
        <v>112</v>
      </c>
      <c r="F4052" t="s">
        <v>949</v>
      </c>
      <c r="G4052">
        <v>2</v>
      </c>
      <c r="H4052">
        <v>122</v>
      </c>
      <c r="I4052" s="25">
        <v>2300</v>
      </c>
      <c r="K4052" t="s">
        <v>148</v>
      </c>
      <c r="L4052" t="s">
        <v>141</v>
      </c>
      <c r="M4052" t="s">
        <v>52</v>
      </c>
      <c r="N4052" t="s">
        <v>40</v>
      </c>
      <c r="O4052">
        <v>250</v>
      </c>
      <c r="Q4052">
        <v>2</v>
      </c>
      <c r="R4052">
        <v>1</v>
      </c>
      <c r="S4052">
        <v>0</v>
      </c>
      <c r="T4052">
        <v>0</v>
      </c>
      <c r="U4052">
        <v>0</v>
      </c>
      <c r="V4052">
        <v>1</v>
      </c>
      <c r="W4052">
        <v>1</v>
      </c>
      <c r="X4052" s="21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 s="21">
        <v>0</v>
      </c>
      <c r="AE4052" s="21">
        <v>0</v>
      </c>
      <c r="AF4052">
        <v>0</v>
      </c>
      <c r="AG4052">
        <v>0</v>
      </c>
      <c r="AH4052">
        <v>160</v>
      </c>
      <c r="AJ4052" t="s">
        <v>51</v>
      </c>
      <c r="AK4052" t="s">
        <v>95</v>
      </c>
      <c r="AL4052" t="s">
        <v>1358</v>
      </c>
      <c r="AP4052" t="s">
        <v>951</v>
      </c>
    </row>
    <row r="4053" spans="1:42">
      <c r="A4053" s="17" t="s">
        <v>1322</v>
      </c>
      <c r="B4053">
        <v>1</v>
      </c>
      <c r="C4053">
        <v>986</v>
      </c>
      <c r="D4053">
        <v>14358</v>
      </c>
      <c r="E4053" t="s">
        <v>112</v>
      </c>
      <c r="F4053" t="s">
        <v>949</v>
      </c>
      <c r="G4053">
        <v>2</v>
      </c>
      <c r="H4053">
        <v>123</v>
      </c>
      <c r="I4053" s="25" t="s">
        <v>1359</v>
      </c>
      <c r="K4053" t="s">
        <v>113</v>
      </c>
      <c r="M4053" t="s">
        <v>52</v>
      </c>
      <c r="N4053" t="s">
        <v>44</v>
      </c>
      <c r="O4053">
        <v>136</v>
      </c>
      <c r="Q4053">
        <v>2</v>
      </c>
      <c r="R4053">
        <v>1</v>
      </c>
      <c r="S4053">
        <v>0</v>
      </c>
      <c r="T4053">
        <v>0</v>
      </c>
      <c r="U4053">
        <v>0</v>
      </c>
      <c r="V4053">
        <v>0</v>
      </c>
      <c r="W4053">
        <v>2</v>
      </c>
      <c r="X4053" s="21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 s="21">
        <v>0</v>
      </c>
      <c r="AE4053" s="21">
        <v>0</v>
      </c>
      <c r="AF4053">
        <v>0</v>
      </c>
      <c r="AG4053">
        <v>0</v>
      </c>
      <c r="AH4053">
        <v>192</v>
      </c>
      <c r="AJ4053" t="s">
        <v>51</v>
      </c>
      <c r="AK4053" t="s">
        <v>95</v>
      </c>
      <c r="AL4053" t="s">
        <v>1360</v>
      </c>
      <c r="AP4053" t="s">
        <v>951</v>
      </c>
    </row>
    <row r="4054" spans="1:42">
      <c r="A4054" s="17" t="s">
        <v>1322</v>
      </c>
      <c r="B4054">
        <v>1</v>
      </c>
      <c r="C4054">
        <v>986</v>
      </c>
      <c r="D4054">
        <v>14358</v>
      </c>
      <c r="E4054" t="s">
        <v>112</v>
      </c>
      <c r="F4054" t="s">
        <v>949</v>
      </c>
      <c r="G4054">
        <v>2</v>
      </c>
      <c r="H4054">
        <v>124</v>
      </c>
      <c r="I4054" s="25">
        <v>2306</v>
      </c>
      <c r="K4054" t="s">
        <v>156</v>
      </c>
      <c r="L4054" t="s">
        <v>114</v>
      </c>
      <c r="M4054" t="s">
        <v>52</v>
      </c>
      <c r="N4054" t="s">
        <v>42</v>
      </c>
      <c r="O4054">
        <v>114</v>
      </c>
      <c r="Q4054">
        <v>2</v>
      </c>
      <c r="R4054">
        <v>1</v>
      </c>
      <c r="S4054">
        <v>0</v>
      </c>
      <c r="T4054">
        <v>0</v>
      </c>
      <c r="U4054">
        <v>0</v>
      </c>
      <c r="V4054">
        <v>1</v>
      </c>
      <c r="W4054">
        <v>1</v>
      </c>
      <c r="X4054" s="21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 s="21">
        <v>0</v>
      </c>
      <c r="AE4054" s="21">
        <v>0</v>
      </c>
      <c r="AF4054">
        <v>0</v>
      </c>
      <c r="AG4054">
        <v>0</v>
      </c>
      <c r="AH4054">
        <v>160</v>
      </c>
      <c r="AJ4054" t="s">
        <v>51</v>
      </c>
      <c r="AK4054" t="s">
        <v>52</v>
      </c>
      <c r="AL4054" t="s">
        <v>1361</v>
      </c>
      <c r="AP4054" t="s">
        <v>951</v>
      </c>
    </row>
    <row r="4055" spans="1:42">
      <c r="A4055" s="17" t="s">
        <v>1322</v>
      </c>
      <c r="B4055">
        <v>1</v>
      </c>
      <c r="C4055">
        <v>986</v>
      </c>
      <c r="D4055">
        <v>14358</v>
      </c>
      <c r="E4055" t="s">
        <v>112</v>
      </c>
      <c r="F4055" t="s">
        <v>949</v>
      </c>
      <c r="G4055">
        <v>2</v>
      </c>
      <c r="H4055">
        <v>125</v>
      </c>
      <c r="I4055" s="25">
        <v>2340</v>
      </c>
      <c r="K4055" t="s">
        <v>156</v>
      </c>
      <c r="L4055" t="s">
        <v>141</v>
      </c>
      <c r="M4055" t="s">
        <v>95</v>
      </c>
      <c r="N4055" t="s">
        <v>42</v>
      </c>
      <c r="O4055">
        <v>115</v>
      </c>
      <c r="Q4055">
        <v>2</v>
      </c>
      <c r="R4055">
        <v>1</v>
      </c>
      <c r="S4055">
        <v>0</v>
      </c>
      <c r="T4055">
        <v>0</v>
      </c>
      <c r="U4055">
        <v>0</v>
      </c>
      <c r="V4055">
        <v>0</v>
      </c>
      <c r="W4055">
        <v>2</v>
      </c>
      <c r="X4055" s="21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 s="21">
        <v>0</v>
      </c>
      <c r="AE4055" s="21">
        <v>0</v>
      </c>
      <c r="AF4055">
        <v>0</v>
      </c>
      <c r="AG4055">
        <v>0</v>
      </c>
      <c r="AH4055">
        <v>192</v>
      </c>
      <c r="AJ4055" t="s">
        <v>51</v>
      </c>
      <c r="AK4055" t="s">
        <v>95</v>
      </c>
      <c r="AP4055" t="s">
        <v>951</v>
      </c>
    </row>
    <row r="4056" spans="1:42">
      <c r="A4056" s="17" t="s">
        <v>1322</v>
      </c>
      <c r="B4056">
        <v>1</v>
      </c>
      <c r="C4056">
        <v>986</v>
      </c>
      <c r="D4056">
        <v>14358</v>
      </c>
      <c r="E4056" t="s">
        <v>112</v>
      </c>
      <c r="F4056" t="s">
        <v>949</v>
      </c>
      <c r="G4056">
        <v>2</v>
      </c>
      <c r="H4056">
        <v>126</v>
      </c>
      <c r="I4056" s="25">
        <v>2350</v>
      </c>
      <c r="K4056" t="s">
        <v>156</v>
      </c>
      <c r="M4056" t="s">
        <v>52</v>
      </c>
      <c r="N4056" t="s">
        <v>44</v>
      </c>
      <c r="O4056">
        <v>72</v>
      </c>
      <c r="Q4056">
        <v>2</v>
      </c>
      <c r="R4056">
        <v>1</v>
      </c>
      <c r="S4056">
        <v>0</v>
      </c>
      <c r="T4056">
        <v>0</v>
      </c>
      <c r="U4056">
        <v>0</v>
      </c>
      <c r="V4056">
        <v>0</v>
      </c>
      <c r="W4056">
        <v>2</v>
      </c>
      <c r="X4056" s="21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 s="21">
        <v>0</v>
      </c>
      <c r="AE4056" s="21">
        <v>0</v>
      </c>
      <c r="AF4056">
        <v>0</v>
      </c>
      <c r="AG4056">
        <v>0</v>
      </c>
      <c r="AH4056">
        <v>192</v>
      </c>
      <c r="AJ4056" t="s">
        <v>51</v>
      </c>
      <c r="AK4056" t="s">
        <v>95</v>
      </c>
      <c r="AL4056" t="s">
        <v>668</v>
      </c>
      <c r="AP4056" t="s">
        <v>951</v>
      </c>
    </row>
    <row r="4057" spans="1:42">
      <c r="A4057" s="17" t="s">
        <v>1322</v>
      </c>
      <c r="B4057">
        <v>1</v>
      </c>
      <c r="C4057">
        <v>986</v>
      </c>
      <c r="D4057">
        <v>14358</v>
      </c>
      <c r="E4057" t="s">
        <v>112</v>
      </c>
      <c r="F4057" t="s">
        <v>949</v>
      </c>
      <c r="G4057">
        <v>2</v>
      </c>
      <c r="H4057">
        <v>127</v>
      </c>
      <c r="I4057" s="25" t="s">
        <v>1362</v>
      </c>
      <c r="K4057" t="s">
        <v>156</v>
      </c>
      <c r="M4057" t="s">
        <v>52</v>
      </c>
      <c r="N4057" t="s">
        <v>44</v>
      </c>
      <c r="O4057">
        <v>191</v>
      </c>
      <c r="Q4057">
        <v>3</v>
      </c>
      <c r="R4057">
        <v>1</v>
      </c>
      <c r="S4057">
        <v>0</v>
      </c>
      <c r="T4057">
        <v>0</v>
      </c>
      <c r="U4057">
        <v>0</v>
      </c>
      <c r="V4057">
        <v>1</v>
      </c>
      <c r="W4057">
        <v>2</v>
      </c>
      <c r="X4057" s="21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 s="21">
        <v>0</v>
      </c>
      <c r="AE4057" s="21">
        <v>0</v>
      </c>
      <c r="AF4057">
        <v>0</v>
      </c>
      <c r="AG4057">
        <v>0</v>
      </c>
      <c r="AH4057">
        <v>256</v>
      </c>
      <c r="AJ4057" t="s">
        <v>51</v>
      </c>
      <c r="AK4057" t="s">
        <v>95</v>
      </c>
      <c r="AL4057" t="s">
        <v>1360</v>
      </c>
      <c r="AP4057" t="s">
        <v>951</v>
      </c>
    </row>
    <row r="4058" spans="1:42">
      <c r="A4058" s="17" t="s">
        <v>1322</v>
      </c>
      <c r="B4058">
        <v>1</v>
      </c>
      <c r="C4058">
        <v>986</v>
      </c>
      <c r="D4058">
        <v>14358</v>
      </c>
      <c r="E4058" t="s">
        <v>112</v>
      </c>
      <c r="F4058" t="s">
        <v>949</v>
      </c>
      <c r="G4058">
        <v>2</v>
      </c>
      <c r="H4058">
        <v>128</v>
      </c>
      <c r="I4058" s="25">
        <v>2100</v>
      </c>
      <c r="K4058" t="s">
        <v>156</v>
      </c>
      <c r="M4058" t="s">
        <v>52</v>
      </c>
      <c r="N4058" t="s">
        <v>40</v>
      </c>
      <c r="O4058">
        <v>47</v>
      </c>
      <c r="Q4058">
        <v>1</v>
      </c>
      <c r="R4058">
        <v>1</v>
      </c>
      <c r="S4058">
        <v>0</v>
      </c>
      <c r="T4058">
        <v>0</v>
      </c>
      <c r="U4058">
        <v>0</v>
      </c>
      <c r="V4058">
        <v>1</v>
      </c>
      <c r="W4058">
        <v>0</v>
      </c>
      <c r="X4058" s="21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 s="21">
        <v>0</v>
      </c>
      <c r="AE4058" s="21">
        <v>0</v>
      </c>
      <c r="AF4058">
        <v>0</v>
      </c>
      <c r="AG4058">
        <v>0</v>
      </c>
      <c r="AH4058">
        <v>64</v>
      </c>
      <c r="AJ4058" t="s">
        <v>51</v>
      </c>
      <c r="AK4058" t="s">
        <v>95</v>
      </c>
      <c r="AP4058" t="s">
        <v>951</v>
      </c>
    </row>
    <row r="4059" spans="1:42">
      <c r="A4059" s="17" t="s">
        <v>1322</v>
      </c>
      <c r="B4059">
        <v>1</v>
      </c>
      <c r="C4059">
        <v>986</v>
      </c>
      <c r="D4059">
        <v>14358</v>
      </c>
      <c r="E4059" t="s">
        <v>112</v>
      </c>
      <c r="F4059" t="s">
        <v>949</v>
      </c>
      <c r="G4059">
        <v>2</v>
      </c>
      <c r="H4059">
        <v>129</v>
      </c>
      <c r="I4059" s="25">
        <v>2450</v>
      </c>
      <c r="K4059" t="s">
        <v>156</v>
      </c>
      <c r="M4059" t="s">
        <v>52</v>
      </c>
      <c r="N4059" t="s">
        <v>44</v>
      </c>
      <c r="O4059">
        <v>80</v>
      </c>
      <c r="Q4059">
        <v>1</v>
      </c>
      <c r="R4059">
        <v>1</v>
      </c>
      <c r="S4059">
        <v>0</v>
      </c>
      <c r="T4059">
        <v>0</v>
      </c>
      <c r="U4059">
        <v>0</v>
      </c>
      <c r="V4059">
        <v>0</v>
      </c>
      <c r="W4059">
        <v>1</v>
      </c>
      <c r="X4059" s="21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 s="21">
        <v>0</v>
      </c>
      <c r="AE4059" s="21">
        <v>0</v>
      </c>
      <c r="AF4059">
        <v>0</v>
      </c>
      <c r="AG4059">
        <v>0</v>
      </c>
      <c r="AH4059">
        <v>96</v>
      </c>
      <c r="AJ4059" t="s">
        <v>54</v>
      </c>
      <c r="AK4059" t="s">
        <v>95</v>
      </c>
      <c r="AL4059" t="s">
        <v>654</v>
      </c>
      <c r="AP4059" t="s">
        <v>951</v>
      </c>
    </row>
    <row r="4060" spans="1:42">
      <c r="A4060" s="17" t="s">
        <v>1322</v>
      </c>
      <c r="B4060">
        <v>1</v>
      </c>
      <c r="C4060">
        <v>986</v>
      </c>
      <c r="D4060">
        <v>14358</v>
      </c>
      <c r="E4060" t="s">
        <v>112</v>
      </c>
      <c r="F4060" t="s">
        <v>949</v>
      </c>
      <c r="G4060">
        <v>2</v>
      </c>
      <c r="H4060">
        <v>130</v>
      </c>
      <c r="I4060" s="25">
        <v>2485</v>
      </c>
      <c r="K4060" t="s">
        <v>156</v>
      </c>
      <c r="M4060" t="s">
        <v>52</v>
      </c>
      <c r="N4060" t="s">
        <v>44</v>
      </c>
      <c r="O4060">
        <v>62</v>
      </c>
      <c r="Q4060">
        <v>1</v>
      </c>
      <c r="R4060">
        <v>1</v>
      </c>
      <c r="S4060">
        <v>0</v>
      </c>
      <c r="T4060">
        <v>0</v>
      </c>
      <c r="U4060">
        <v>0</v>
      </c>
      <c r="V4060">
        <v>0</v>
      </c>
      <c r="W4060">
        <v>1</v>
      </c>
      <c r="X4060" s="21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 s="21">
        <v>0</v>
      </c>
      <c r="AE4060" s="21">
        <v>0</v>
      </c>
      <c r="AF4060">
        <v>0</v>
      </c>
      <c r="AG4060">
        <v>0</v>
      </c>
      <c r="AH4060">
        <v>96</v>
      </c>
      <c r="AJ4060" t="s">
        <v>54</v>
      </c>
      <c r="AK4060" t="s">
        <v>95</v>
      </c>
      <c r="AP4060" t="s">
        <v>951</v>
      </c>
    </row>
    <row r="4061" spans="1:42">
      <c r="A4061" s="17" t="s">
        <v>1322</v>
      </c>
      <c r="B4061">
        <v>1</v>
      </c>
      <c r="C4061">
        <v>986</v>
      </c>
      <c r="D4061">
        <v>14358</v>
      </c>
      <c r="E4061" t="s">
        <v>112</v>
      </c>
      <c r="F4061" t="s">
        <v>949</v>
      </c>
      <c r="G4061">
        <v>2</v>
      </c>
      <c r="H4061">
        <v>131</v>
      </c>
      <c r="I4061" s="25">
        <v>2455</v>
      </c>
      <c r="K4061" t="s">
        <v>156</v>
      </c>
      <c r="M4061" t="s">
        <v>52</v>
      </c>
      <c r="N4061" t="s">
        <v>44</v>
      </c>
      <c r="O4061">
        <v>153</v>
      </c>
      <c r="Q4061">
        <v>2</v>
      </c>
      <c r="R4061">
        <v>1</v>
      </c>
      <c r="S4061">
        <v>0</v>
      </c>
      <c r="T4061">
        <v>0</v>
      </c>
      <c r="U4061">
        <v>0</v>
      </c>
      <c r="V4061">
        <v>0</v>
      </c>
      <c r="W4061">
        <v>2</v>
      </c>
      <c r="X4061" s="2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 s="21">
        <v>0</v>
      </c>
      <c r="AE4061" s="21">
        <v>0</v>
      </c>
      <c r="AF4061">
        <v>0</v>
      </c>
      <c r="AG4061">
        <v>0</v>
      </c>
      <c r="AH4061">
        <v>192</v>
      </c>
      <c r="AJ4061" t="s">
        <v>54</v>
      </c>
      <c r="AK4061" t="s">
        <v>95</v>
      </c>
      <c r="AP4061" t="s">
        <v>951</v>
      </c>
    </row>
    <row r="4062" spans="1:42">
      <c r="A4062" s="17" t="s">
        <v>1322</v>
      </c>
      <c r="B4062">
        <v>1</v>
      </c>
      <c r="C4062">
        <v>986</v>
      </c>
      <c r="D4062">
        <v>14358</v>
      </c>
      <c r="E4062" t="s">
        <v>112</v>
      </c>
      <c r="F4062" t="s">
        <v>949</v>
      </c>
      <c r="G4062">
        <v>2</v>
      </c>
      <c r="H4062">
        <v>132</v>
      </c>
      <c r="I4062" s="25">
        <v>2445</v>
      </c>
      <c r="K4062" t="s">
        <v>156</v>
      </c>
      <c r="M4062" t="s">
        <v>52</v>
      </c>
      <c r="N4062" t="s">
        <v>44</v>
      </c>
      <c r="O4062">
        <v>83</v>
      </c>
      <c r="Q4062">
        <v>1</v>
      </c>
      <c r="R4062">
        <v>1</v>
      </c>
      <c r="S4062">
        <v>0</v>
      </c>
      <c r="T4062">
        <v>0</v>
      </c>
      <c r="U4062">
        <v>0</v>
      </c>
      <c r="V4062">
        <v>0</v>
      </c>
      <c r="W4062">
        <v>1</v>
      </c>
      <c r="X4062" s="21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 s="21">
        <v>0</v>
      </c>
      <c r="AE4062" s="21">
        <v>0</v>
      </c>
      <c r="AF4062">
        <v>0</v>
      </c>
      <c r="AG4062">
        <v>0</v>
      </c>
      <c r="AH4062">
        <v>96</v>
      </c>
      <c r="AJ4062" t="s">
        <v>54</v>
      </c>
      <c r="AK4062" t="s">
        <v>95</v>
      </c>
      <c r="AP4062" t="s">
        <v>951</v>
      </c>
    </row>
    <row r="4063" spans="1:42">
      <c r="A4063" s="17" t="s">
        <v>1322</v>
      </c>
      <c r="B4063">
        <v>1</v>
      </c>
      <c r="C4063">
        <v>986</v>
      </c>
      <c r="D4063">
        <v>14358</v>
      </c>
      <c r="E4063" t="s">
        <v>112</v>
      </c>
      <c r="F4063" t="s">
        <v>949</v>
      </c>
      <c r="G4063">
        <v>2</v>
      </c>
      <c r="H4063">
        <v>133</v>
      </c>
      <c r="I4063" s="25">
        <v>2435</v>
      </c>
      <c r="K4063" t="s">
        <v>156</v>
      </c>
      <c r="M4063" t="s">
        <v>52</v>
      </c>
      <c r="N4063" t="s">
        <v>44</v>
      </c>
      <c r="O4063">
        <v>258</v>
      </c>
      <c r="Q4063">
        <v>1</v>
      </c>
      <c r="R4063">
        <v>1</v>
      </c>
      <c r="S4063">
        <v>0</v>
      </c>
      <c r="T4063">
        <v>0</v>
      </c>
      <c r="U4063">
        <v>0</v>
      </c>
      <c r="V4063">
        <v>0</v>
      </c>
      <c r="W4063">
        <v>1</v>
      </c>
      <c r="X4063" s="21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 s="21">
        <v>0</v>
      </c>
      <c r="AE4063" s="21">
        <v>0</v>
      </c>
      <c r="AF4063">
        <v>0</v>
      </c>
      <c r="AG4063">
        <v>0</v>
      </c>
      <c r="AH4063">
        <v>96</v>
      </c>
      <c r="AJ4063" t="s">
        <v>54</v>
      </c>
      <c r="AK4063" t="s">
        <v>52</v>
      </c>
      <c r="AL4063" t="s">
        <v>1363</v>
      </c>
      <c r="AP4063" t="s">
        <v>951</v>
      </c>
    </row>
    <row r="4064" spans="1:42">
      <c r="A4064" s="17" t="s">
        <v>1322</v>
      </c>
      <c r="B4064">
        <v>1</v>
      </c>
      <c r="C4064">
        <v>986</v>
      </c>
      <c r="D4064">
        <v>14358</v>
      </c>
      <c r="E4064" t="s">
        <v>112</v>
      </c>
      <c r="F4064" t="s">
        <v>949</v>
      </c>
      <c r="G4064">
        <v>2</v>
      </c>
      <c r="H4064">
        <v>134</v>
      </c>
      <c r="I4064" s="25">
        <v>2855</v>
      </c>
      <c r="K4064" t="s">
        <v>192</v>
      </c>
      <c r="M4064" t="s">
        <v>52</v>
      </c>
      <c r="N4064" t="s">
        <v>44</v>
      </c>
      <c r="O4064">
        <v>100</v>
      </c>
      <c r="Q4064">
        <v>1</v>
      </c>
      <c r="R4064">
        <v>1</v>
      </c>
      <c r="S4064">
        <v>0</v>
      </c>
      <c r="T4064">
        <v>0</v>
      </c>
      <c r="U4064">
        <v>0</v>
      </c>
      <c r="V4064">
        <v>0</v>
      </c>
      <c r="W4064">
        <v>1</v>
      </c>
      <c r="X4064" s="21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 s="21">
        <v>0</v>
      </c>
      <c r="AE4064" s="21">
        <v>0</v>
      </c>
      <c r="AF4064">
        <v>0</v>
      </c>
      <c r="AG4064">
        <v>0</v>
      </c>
      <c r="AH4064">
        <v>96</v>
      </c>
      <c r="AJ4064" t="s">
        <v>54</v>
      </c>
      <c r="AK4064" t="s">
        <v>95</v>
      </c>
      <c r="AL4064" t="s">
        <v>1364</v>
      </c>
      <c r="AP4064" t="s">
        <v>951</v>
      </c>
    </row>
    <row r="4065" spans="1:42">
      <c r="A4065" s="17" t="s">
        <v>1322</v>
      </c>
      <c r="B4065">
        <v>1</v>
      </c>
      <c r="C4065">
        <v>986</v>
      </c>
      <c r="D4065">
        <v>14358</v>
      </c>
      <c r="E4065" t="s">
        <v>112</v>
      </c>
      <c r="F4065" t="s">
        <v>949</v>
      </c>
      <c r="G4065">
        <v>2</v>
      </c>
      <c r="H4065">
        <v>135</v>
      </c>
      <c r="I4065" s="25">
        <v>2845</v>
      </c>
      <c r="K4065" t="s">
        <v>192</v>
      </c>
      <c r="M4065" t="s">
        <v>52</v>
      </c>
      <c r="N4065" t="s">
        <v>44</v>
      </c>
      <c r="O4065">
        <v>156</v>
      </c>
      <c r="Q4065">
        <v>2</v>
      </c>
      <c r="R4065">
        <v>1</v>
      </c>
      <c r="S4065">
        <v>0</v>
      </c>
      <c r="T4065">
        <v>0</v>
      </c>
      <c r="U4065">
        <v>0</v>
      </c>
      <c r="V4065">
        <v>0</v>
      </c>
      <c r="W4065">
        <v>2</v>
      </c>
      <c r="X4065" s="21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 s="21">
        <v>0</v>
      </c>
      <c r="AE4065" s="21">
        <v>0</v>
      </c>
      <c r="AF4065">
        <v>0</v>
      </c>
      <c r="AG4065">
        <v>0</v>
      </c>
      <c r="AH4065">
        <v>192</v>
      </c>
      <c r="AJ4065" t="s">
        <v>51</v>
      </c>
      <c r="AK4065" t="s">
        <v>95</v>
      </c>
      <c r="AP4065" t="s">
        <v>951</v>
      </c>
    </row>
    <row r="4066" spans="1:42">
      <c r="A4066" s="17" t="s">
        <v>1322</v>
      </c>
      <c r="B4066">
        <v>1</v>
      </c>
      <c r="C4066">
        <v>986</v>
      </c>
      <c r="D4066">
        <v>14358</v>
      </c>
      <c r="E4066" t="s">
        <v>112</v>
      </c>
      <c r="F4066" t="s">
        <v>949</v>
      </c>
      <c r="G4066">
        <v>2</v>
      </c>
      <c r="H4066">
        <v>136</v>
      </c>
      <c r="I4066" s="25">
        <v>2200</v>
      </c>
      <c r="K4066" t="s">
        <v>1147</v>
      </c>
      <c r="L4066" t="s">
        <v>114</v>
      </c>
      <c r="M4066" t="s">
        <v>52</v>
      </c>
      <c r="N4066" t="s">
        <v>40</v>
      </c>
      <c r="O4066">
        <v>188</v>
      </c>
      <c r="Q4066">
        <v>1</v>
      </c>
      <c r="R4066">
        <v>1</v>
      </c>
      <c r="S4066">
        <v>0</v>
      </c>
      <c r="T4066">
        <v>0</v>
      </c>
      <c r="U4066">
        <v>0</v>
      </c>
      <c r="V4066">
        <v>0</v>
      </c>
      <c r="W4066">
        <v>1</v>
      </c>
      <c r="X4066" s="21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 s="21">
        <v>0</v>
      </c>
      <c r="AE4066" s="21">
        <v>0</v>
      </c>
      <c r="AF4066">
        <v>0</v>
      </c>
      <c r="AG4066">
        <v>0</v>
      </c>
      <c r="AH4066">
        <v>96</v>
      </c>
      <c r="AJ4066" t="s">
        <v>51</v>
      </c>
      <c r="AK4066" t="s">
        <v>52</v>
      </c>
      <c r="AP4066" t="s">
        <v>951</v>
      </c>
    </row>
    <row r="4067" spans="1:42">
      <c r="A4067" s="16">
        <v>43843</v>
      </c>
      <c r="B4067">
        <v>1</v>
      </c>
      <c r="C4067">
        <v>986</v>
      </c>
      <c r="D4067">
        <v>14637</v>
      </c>
      <c r="E4067" t="s">
        <v>112</v>
      </c>
      <c r="F4067" t="s">
        <v>949</v>
      </c>
      <c r="G4067">
        <v>2</v>
      </c>
      <c r="H4067">
        <v>1</v>
      </c>
      <c r="I4067" s="25">
        <v>2470</v>
      </c>
      <c r="K4067" t="s">
        <v>516</v>
      </c>
      <c r="N4067" t="s">
        <v>44</v>
      </c>
      <c r="O4067">
        <v>93</v>
      </c>
      <c r="Q4067">
        <v>1</v>
      </c>
      <c r="R4067">
        <v>1</v>
      </c>
      <c r="S4067">
        <v>0</v>
      </c>
      <c r="T4067">
        <v>0</v>
      </c>
      <c r="U4067">
        <v>0</v>
      </c>
      <c r="V4067">
        <v>0</v>
      </c>
      <c r="W4067">
        <v>1</v>
      </c>
      <c r="X4067" s="21">
        <v>0</v>
      </c>
      <c r="Y4067" s="21">
        <v>0</v>
      </c>
      <c r="Z4067" s="21">
        <v>0</v>
      </c>
      <c r="AA4067" s="21">
        <v>0</v>
      </c>
      <c r="AB4067" s="21">
        <v>0</v>
      </c>
      <c r="AC4067" s="21">
        <v>0</v>
      </c>
      <c r="AD4067" s="21">
        <v>0</v>
      </c>
      <c r="AE4067" s="21">
        <v>0</v>
      </c>
      <c r="AF4067">
        <v>0</v>
      </c>
      <c r="AG4067">
        <v>0</v>
      </c>
      <c r="AH4067">
        <v>96</v>
      </c>
      <c r="AJ4067" t="s">
        <v>51</v>
      </c>
      <c r="AK4067" t="s">
        <v>95</v>
      </c>
      <c r="AL4067" t="s">
        <v>1365</v>
      </c>
      <c r="AM4067" s="18"/>
      <c r="AP4067" t="s">
        <v>951</v>
      </c>
    </row>
    <row r="4068" spans="1:42">
      <c r="A4068" s="16">
        <v>43843</v>
      </c>
      <c r="B4068">
        <v>1</v>
      </c>
      <c r="C4068">
        <v>986</v>
      </c>
      <c r="D4068">
        <v>14637</v>
      </c>
      <c r="E4068" t="s">
        <v>112</v>
      </c>
      <c r="F4068" t="s">
        <v>949</v>
      </c>
      <c r="G4068">
        <v>2</v>
      </c>
      <c r="H4068">
        <v>2</v>
      </c>
      <c r="I4068" s="25">
        <v>2474</v>
      </c>
      <c r="K4068" t="s">
        <v>516</v>
      </c>
      <c r="N4068" t="s">
        <v>44</v>
      </c>
      <c r="O4068">
        <v>79</v>
      </c>
      <c r="Q4068">
        <v>1</v>
      </c>
      <c r="R4068">
        <v>1</v>
      </c>
      <c r="S4068">
        <v>0</v>
      </c>
      <c r="T4068">
        <v>0</v>
      </c>
      <c r="U4068">
        <v>0</v>
      </c>
      <c r="V4068">
        <v>0</v>
      </c>
      <c r="W4068">
        <v>1</v>
      </c>
      <c r="X4068" s="21">
        <v>0</v>
      </c>
      <c r="Y4068" s="21">
        <v>0</v>
      </c>
      <c r="Z4068" s="21">
        <v>0</v>
      </c>
      <c r="AA4068" s="21">
        <v>0</v>
      </c>
      <c r="AB4068" s="21">
        <v>0</v>
      </c>
      <c r="AC4068" s="21">
        <v>0</v>
      </c>
      <c r="AD4068" s="21">
        <v>0</v>
      </c>
      <c r="AE4068" s="21">
        <v>0</v>
      </c>
      <c r="AF4068">
        <v>0</v>
      </c>
      <c r="AG4068">
        <v>0</v>
      </c>
      <c r="AH4068">
        <v>96</v>
      </c>
      <c r="AJ4068" t="s">
        <v>51</v>
      </c>
      <c r="AK4068" t="s">
        <v>52</v>
      </c>
      <c r="AM4068" s="18"/>
      <c r="AP4068" t="s">
        <v>951</v>
      </c>
    </row>
    <row r="4069" spans="1:42">
      <c r="A4069" s="16">
        <v>43843</v>
      </c>
      <c r="B4069">
        <v>1</v>
      </c>
      <c r="C4069">
        <v>986</v>
      </c>
      <c r="D4069">
        <v>14637</v>
      </c>
      <c r="E4069" t="s">
        <v>112</v>
      </c>
      <c r="F4069" t="s">
        <v>949</v>
      </c>
      <c r="G4069">
        <v>2</v>
      </c>
      <c r="H4069">
        <v>3</v>
      </c>
      <c r="I4069" s="25">
        <v>2480</v>
      </c>
      <c r="K4069" t="s">
        <v>516</v>
      </c>
      <c r="N4069" t="s">
        <v>44</v>
      </c>
      <c r="O4069">
        <v>134</v>
      </c>
      <c r="Q4069">
        <v>4</v>
      </c>
      <c r="R4069">
        <v>1</v>
      </c>
      <c r="S4069">
        <v>0</v>
      </c>
      <c r="T4069">
        <v>0</v>
      </c>
      <c r="U4069">
        <v>0</v>
      </c>
      <c r="V4069">
        <v>0</v>
      </c>
      <c r="W4069">
        <v>4</v>
      </c>
      <c r="X4069" s="21">
        <v>0</v>
      </c>
      <c r="Y4069" s="21">
        <v>0</v>
      </c>
      <c r="Z4069" s="21">
        <v>0</v>
      </c>
      <c r="AA4069" s="21">
        <v>0</v>
      </c>
      <c r="AB4069" s="21">
        <v>0</v>
      </c>
      <c r="AC4069" s="21">
        <v>0</v>
      </c>
      <c r="AD4069" s="21">
        <v>0</v>
      </c>
      <c r="AE4069" s="21">
        <v>0</v>
      </c>
      <c r="AF4069">
        <v>0</v>
      </c>
      <c r="AG4069">
        <v>0</v>
      </c>
      <c r="AH4069">
        <v>384</v>
      </c>
      <c r="AJ4069" t="s">
        <v>51</v>
      </c>
      <c r="AK4069" t="s">
        <v>52</v>
      </c>
      <c r="AM4069" s="18"/>
      <c r="AP4069" t="s">
        <v>951</v>
      </c>
    </row>
    <row r="4070" spans="1:42">
      <c r="A4070" s="16">
        <v>43843</v>
      </c>
      <c r="B4070">
        <v>1</v>
      </c>
      <c r="C4070">
        <v>986</v>
      </c>
      <c r="D4070">
        <v>14637</v>
      </c>
      <c r="E4070" t="s">
        <v>112</v>
      </c>
      <c r="F4070" t="s">
        <v>949</v>
      </c>
      <c r="G4070">
        <v>2</v>
      </c>
      <c r="H4070">
        <v>4</v>
      </c>
      <c r="I4070" s="25">
        <v>2318</v>
      </c>
      <c r="K4070" t="s">
        <v>909</v>
      </c>
      <c r="N4070" t="s">
        <v>44</v>
      </c>
      <c r="O4070">
        <v>195</v>
      </c>
      <c r="Q4070">
        <v>3</v>
      </c>
      <c r="R4070">
        <v>1</v>
      </c>
      <c r="S4070">
        <v>0</v>
      </c>
      <c r="T4070">
        <v>0</v>
      </c>
      <c r="U4070">
        <v>0</v>
      </c>
      <c r="V4070">
        <v>0</v>
      </c>
      <c r="W4070">
        <v>3</v>
      </c>
      <c r="X4070" s="21">
        <v>0</v>
      </c>
      <c r="Y4070" s="21">
        <v>0</v>
      </c>
      <c r="Z4070" s="21">
        <v>0</v>
      </c>
      <c r="AA4070" s="21">
        <v>0</v>
      </c>
      <c r="AB4070" s="21">
        <v>0</v>
      </c>
      <c r="AC4070" s="21">
        <v>0</v>
      </c>
      <c r="AD4070" s="21">
        <v>0</v>
      </c>
      <c r="AE4070" s="21">
        <v>0</v>
      </c>
      <c r="AF4070">
        <v>0</v>
      </c>
      <c r="AG4070">
        <v>0</v>
      </c>
      <c r="AH4070">
        <v>288</v>
      </c>
      <c r="AJ4070" t="s">
        <v>51</v>
      </c>
      <c r="AK4070" t="s">
        <v>95</v>
      </c>
      <c r="AM4070" s="18"/>
      <c r="AP4070" t="s">
        <v>951</v>
      </c>
    </row>
    <row r="4071" spans="1:42">
      <c r="A4071" s="16">
        <v>43843</v>
      </c>
      <c r="B4071">
        <v>1</v>
      </c>
      <c r="C4071">
        <v>986</v>
      </c>
      <c r="D4071">
        <v>14637</v>
      </c>
      <c r="E4071" t="s">
        <v>112</v>
      </c>
      <c r="F4071" t="s">
        <v>949</v>
      </c>
      <c r="G4071">
        <v>2</v>
      </c>
      <c r="H4071">
        <v>5</v>
      </c>
      <c r="I4071" s="25">
        <v>2300</v>
      </c>
      <c r="K4071" t="s">
        <v>909</v>
      </c>
      <c r="L4071" t="s">
        <v>141</v>
      </c>
      <c r="M4071" t="s">
        <v>95</v>
      </c>
      <c r="N4071" t="s">
        <v>40</v>
      </c>
      <c r="O4071">
        <v>33</v>
      </c>
      <c r="Q4071">
        <v>1</v>
      </c>
      <c r="R4071">
        <v>1</v>
      </c>
      <c r="S4071">
        <v>0</v>
      </c>
      <c r="T4071">
        <v>0</v>
      </c>
      <c r="U4071">
        <v>0</v>
      </c>
      <c r="V4071">
        <v>0</v>
      </c>
      <c r="W4071">
        <v>1</v>
      </c>
      <c r="X4071" s="21">
        <v>0</v>
      </c>
      <c r="Y4071" s="21">
        <v>0</v>
      </c>
      <c r="Z4071" s="21">
        <v>0</v>
      </c>
      <c r="AA4071" s="21">
        <v>0</v>
      </c>
      <c r="AB4071" s="21">
        <v>0</v>
      </c>
      <c r="AC4071" s="21">
        <v>0</v>
      </c>
      <c r="AD4071" s="21">
        <v>0</v>
      </c>
      <c r="AE4071" s="21">
        <v>0</v>
      </c>
      <c r="AF4071">
        <v>0</v>
      </c>
      <c r="AG4071">
        <v>0</v>
      </c>
      <c r="AH4071">
        <v>96</v>
      </c>
      <c r="AJ4071" t="s">
        <v>51</v>
      </c>
      <c r="AK4071" t="s">
        <v>95</v>
      </c>
      <c r="AM4071" s="18"/>
      <c r="AP4071" t="s">
        <v>951</v>
      </c>
    </row>
    <row r="4072" spans="1:42">
      <c r="A4072" s="16">
        <v>43843</v>
      </c>
      <c r="B4072">
        <v>1</v>
      </c>
      <c r="C4072">
        <v>986</v>
      </c>
      <c r="D4072">
        <v>14637</v>
      </c>
      <c r="E4072" t="s">
        <v>112</v>
      </c>
      <c r="F4072" t="s">
        <v>949</v>
      </c>
      <c r="G4072">
        <v>2</v>
      </c>
      <c r="H4072">
        <v>6</v>
      </c>
      <c r="I4072" s="25">
        <v>2300</v>
      </c>
      <c r="K4072" t="s">
        <v>909</v>
      </c>
      <c r="L4072" t="s">
        <v>141</v>
      </c>
      <c r="N4072" t="s">
        <v>40</v>
      </c>
      <c r="O4072">
        <v>41</v>
      </c>
      <c r="Q4072">
        <v>1</v>
      </c>
      <c r="R4072">
        <v>1</v>
      </c>
      <c r="S4072">
        <v>0</v>
      </c>
      <c r="T4072">
        <v>0</v>
      </c>
      <c r="U4072">
        <v>0</v>
      </c>
      <c r="V4072">
        <v>0</v>
      </c>
      <c r="W4072">
        <v>1</v>
      </c>
      <c r="X4072" s="21">
        <v>0</v>
      </c>
      <c r="Y4072" s="21">
        <v>0</v>
      </c>
      <c r="Z4072" s="21">
        <v>0</v>
      </c>
      <c r="AA4072" s="21">
        <v>0</v>
      </c>
      <c r="AB4072" s="21">
        <v>0</v>
      </c>
      <c r="AC4072" s="21">
        <v>0</v>
      </c>
      <c r="AD4072" s="21">
        <v>0</v>
      </c>
      <c r="AE4072" s="21">
        <v>0</v>
      </c>
      <c r="AF4072">
        <v>0</v>
      </c>
      <c r="AG4072">
        <v>0</v>
      </c>
      <c r="AH4072">
        <v>96</v>
      </c>
      <c r="AJ4072" t="s">
        <v>51</v>
      </c>
      <c r="AK4072" t="s">
        <v>95</v>
      </c>
      <c r="AM4072" s="18"/>
      <c r="AP4072" t="s">
        <v>951</v>
      </c>
    </row>
    <row r="4073" spans="1:42">
      <c r="A4073" s="16">
        <v>43843</v>
      </c>
      <c r="B4073">
        <v>1</v>
      </c>
      <c r="C4073">
        <v>986</v>
      </c>
      <c r="D4073">
        <v>14637</v>
      </c>
      <c r="E4073" t="s">
        <v>112</v>
      </c>
      <c r="F4073" t="s">
        <v>949</v>
      </c>
      <c r="G4073">
        <v>2</v>
      </c>
      <c r="H4073">
        <v>7</v>
      </c>
      <c r="I4073" s="25">
        <v>2430</v>
      </c>
      <c r="K4073" t="s">
        <v>909</v>
      </c>
      <c r="N4073" t="s">
        <v>44</v>
      </c>
      <c r="O4073">
        <v>124</v>
      </c>
      <c r="Q4073">
        <v>3</v>
      </c>
      <c r="R4073">
        <v>1</v>
      </c>
      <c r="S4073">
        <v>0</v>
      </c>
      <c r="T4073">
        <v>0</v>
      </c>
      <c r="U4073">
        <v>0</v>
      </c>
      <c r="V4073">
        <v>0</v>
      </c>
      <c r="W4073">
        <v>3</v>
      </c>
      <c r="X4073" s="21">
        <v>0</v>
      </c>
      <c r="Y4073" s="21">
        <v>0</v>
      </c>
      <c r="Z4073" s="21">
        <v>0</v>
      </c>
      <c r="AA4073" s="21">
        <v>0</v>
      </c>
      <c r="AB4073" s="21">
        <v>0</v>
      </c>
      <c r="AC4073" s="21">
        <v>0</v>
      </c>
      <c r="AD4073" s="21">
        <v>0</v>
      </c>
      <c r="AE4073" s="21">
        <v>0</v>
      </c>
      <c r="AF4073">
        <v>0</v>
      </c>
      <c r="AG4073">
        <v>0</v>
      </c>
      <c r="AH4073">
        <v>288</v>
      </c>
      <c r="AJ4073" t="s">
        <v>51</v>
      </c>
      <c r="AK4073" t="s">
        <v>52</v>
      </c>
      <c r="AM4073" s="18"/>
      <c r="AP4073" t="s">
        <v>951</v>
      </c>
    </row>
    <row r="4074" spans="1:42">
      <c r="A4074" s="16">
        <v>43843</v>
      </c>
      <c r="B4074">
        <v>1</v>
      </c>
      <c r="C4074">
        <v>986</v>
      </c>
      <c r="D4074">
        <v>14637</v>
      </c>
      <c r="E4074" t="s">
        <v>112</v>
      </c>
      <c r="F4074" t="s">
        <v>949</v>
      </c>
      <c r="G4074">
        <v>2</v>
      </c>
      <c r="H4074">
        <v>8</v>
      </c>
      <c r="I4074" s="25">
        <v>2400</v>
      </c>
      <c r="K4074" t="s">
        <v>909</v>
      </c>
      <c r="L4074" t="s">
        <v>114</v>
      </c>
      <c r="N4074" t="s">
        <v>40</v>
      </c>
      <c r="O4074">
        <v>52</v>
      </c>
      <c r="Q4074">
        <v>2</v>
      </c>
      <c r="R4074">
        <v>1</v>
      </c>
      <c r="S4074">
        <v>0</v>
      </c>
      <c r="T4074">
        <v>0</v>
      </c>
      <c r="U4074">
        <v>0</v>
      </c>
      <c r="V4074">
        <v>2</v>
      </c>
      <c r="W4074">
        <v>0</v>
      </c>
      <c r="X4074" s="21">
        <v>0</v>
      </c>
      <c r="Y4074" s="21">
        <v>0</v>
      </c>
      <c r="Z4074" s="21">
        <v>0</v>
      </c>
      <c r="AA4074" s="21">
        <v>0</v>
      </c>
      <c r="AB4074" s="21">
        <v>0</v>
      </c>
      <c r="AC4074" s="21">
        <v>0</v>
      </c>
      <c r="AD4074" s="21">
        <v>0</v>
      </c>
      <c r="AE4074" s="21">
        <v>0</v>
      </c>
      <c r="AF4074">
        <v>0</v>
      </c>
      <c r="AG4074">
        <v>0</v>
      </c>
      <c r="AH4074">
        <v>128</v>
      </c>
      <c r="AJ4074" t="s">
        <v>51</v>
      </c>
      <c r="AK4074" t="s">
        <v>52</v>
      </c>
      <c r="AL4074" t="s">
        <v>1366</v>
      </c>
      <c r="AM4074" s="18"/>
      <c r="AP4074" t="s">
        <v>951</v>
      </c>
    </row>
    <row r="4075" spans="1:42">
      <c r="A4075" s="16">
        <v>43843</v>
      </c>
      <c r="B4075">
        <v>1</v>
      </c>
      <c r="C4075">
        <v>986</v>
      </c>
      <c r="D4075">
        <v>14637</v>
      </c>
      <c r="E4075" t="s">
        <v>112</v>
      </c>
      <c r="F4075" t="s">
        <v>949</v>
      </c>
      <c r="G4075">
        <v>2</v>
      </c>
      <c r="H4075">
        <v>9</v>
      </c>
      <c r="I4075" s="25">
        <v>2500</v>
      </c>
      <c r="K4075" t="s">
        <v>909</v>
      </c>
      <c r="L4075" t="s">
        <v>114</v>
      </c>
      <c r="N4075" t="s">
        <v>40</v>
      </c>
      <c r="O4075">
        <v>69</v>
      </c>
      <c r="Q4075">
        <v>1</v>
      </c>
      <c r="R4075">
        <v>1</v>
      </c>
      <c r="S4075">
        <v>0</v>
      </c>
      <c r="T4075">
        <v>0</v>
      </c>
      <c r="U4075">
        <v>0</v>
      </c>
      <c r="V4075">
        <v>0</v>
      </c>
      <c r="W4075">
        <v>1</v>
      </c>
      <c r="X4075" s="21">
        <v>0</v>
      </c>
      <c r="Y4075" s="21">
        <v>0</v>
      </c>
      <c r="Z4075" s="21">
        <v>0</v>
      </c>
      <c r="AA4075" s="21">
        <v>0</v>
      </c>
      <c r="AB4075" s="21">
        <v>0</v>
      </c>
      <c r="AC4075" s="21">
        <v>0</v>
      </c>
      <c r="AD4075" s="21">
        <v>0</v>
      </c>
      <c r="AE4075" s="21">
        <v>0</v>
      </c>
      <c r="AF4075">
        <v>0</v>
      </c>
      <c r="AG4075">
        <v>0</v>
      </c>
      <c r="AH4075">
        <v>96</v>
      </c>
      <c r="AJ4075" t="s">
        <v>51</v>
      </c>
      <c r="AK4075" t="s">
        <v>95</v>
      </c>
      <c r="AM4075" s="18"/>
      <c r="AP4075" t="s">
        <v>951</v>
      </c>
    </row>
    <row r="4076" spans="1:42">
      <c r="A4076" s="16">
        <v>43843</v>
      </c>
      <c r="B4076">
        <v>1</v>
      </c>
      <c r="C4076">
        <v>986</v>
      </c>
      <c r="D4076">
        <v>14637</v>
      </c>
      <c r="E4076" t="s">
        <v>112</v>
      </c>
      <c r="F4076" t="s">
        <v>949</v>
      </c>
      <c r="G4076">
        <v>2</v>
      </c>
      <c r="H4076">
        <v>10</v>
      </c>
      <c r="I4076" s="25">
        <v>2530</v>
      </c>
      <c r="K4076" t="s">
        <v>909</v>
      </c>
      <c r="N4076" t="s">
        <v>44</v>
      </c>
      <c r="O4076">
        <v>242</v>
      </c>
      <c r="Q4076">
        <v>3</v>
      </c>
      <c r="R4076">
        <v>1</v>
      </c>
      <c r="S4076">
        <v>0</v>
      </c>
      <c r="T4076">
        <v>0</v>
      </c>
      <c r="U4076">
        <v>0</v>
      </c>
      <c r="V4076">
        <v>0</v>
      </c>
      <c r="W4076">
        <v>3</v>
      </c>
      <c r="X4076" s="21">
        <v>0</v>
      </c>
      <c r="Y4076" s="21">
        <v>0</v>
      </c>
      <c r="Z4076" s="21">
        <v>0</v>
      </c>
      <c r="AA4076" s="21">
        <v>0</v>
      </c>
      <c r="AB4076" s="21">
        <v>0</v>
      </c>
      <c r="AC4076" s="21">
        <v>0</v>
      </c>
      <c r="AD4076" s="21">
        <v>0</v>
      </c>
      <c r="AE4076" s="21">
        <v>0</v>
      </c>
      <c r="AF4076">
        <v>0</v>
      </c>
      <c r="AG4076">
        <v>0</v>
      </c>
      <c r="AH4076">
        <v>288</v>
      </c>
      <c r="AJ4076" t="s">
        <v>51</v>
      </c>
      <c r="AK4076" t="s">
        <v>95</v>
      </c>
      <c r="AL4076" t="s">
        <v>1367</v>
      </c>
      <c r="AM4076" s="18"/>
      <c r="AP4076" t="s">
        <v>951</v>
      </c>
    </row>
    <row r="4077" spans="1:42">
      <c r="A4077" s="16">
        <v>43843</v>
      </c>
      <c r="B4077">
        <v>1</v>
      </c>
      <c r="C4077">
        <v>986</v>
      </c>
      <c r="D4077">
        <v>14637</v>
      </c>
      <c r="E4077" t="s">
        <v>112</v>
      </c>
      <c r="F4077" t="s">
        <v>949</v>
      </c>
      <c r="G4077">
        <v>2</v>
      </c>
      <c r="H4077">
        <v>11</v>
      </c>
      <c r="I4077" s="25">
        <v>2395</v>
      </c>
      <c r="K4077" t="s">
        <v>605</v>
      </c>
      <c r="N4077" t="s">
        <v>44</v>
      </c>
      <c r="O4077">
        <v>137</v>
      </c>
      <c r="Q4077">
        <v>2</v>
      </c>
      <c r="R4077">
        <v>1</v>
      </c>
      <c r="S4077">
        <v>0</v>
      </c>
      <c r="T4077">
        <v>0</v>
      </c>
      <c r="U4077">
        <v>0</v>
      </c>
      <c r="V4077">
        <v>0</v>
      </c>
      <c r="W4077">
        <v>2</v>
      </c>
      <c r="X4077" s="21">
        <v>0</v>
      </c>
      <c r="Y4077" s="21">
        <v>0</v>
      </c>
      <c r="Z4077" s="21">
        <v>0</v>
      </c>
      <c r="AA4077" s="21">
        <v>0</v>
      </c>
      <c r="AB4077" s="21">
        <v>0</v>
      </c>
      <c r="AC4077" s="21">
        <v>0</v>
      </c>
      <c r="AD4077" s="21">
        <v>0</v>
      </c>
      <c r="AE4077" s="21">
        <v>0</v>
      </c>
      <c r="AF4077">
        <v>0</v>
      </c>
      <c r="AG4077">
        <v>0</v>
      </c>
      <c r="AH4077">
        <v>192</v>
      </c>
      <c r="AJ4077" t="s">
        <v>51</v>
      </c>
      <c r="AK4077" t="s">
        <v>95</v>
      </c>
      <c r="AL4077" t="s">
        <v>1368</v>
      </c>
      <c r="AM4077" s="18"/>
      <c r="AP4077" t="s">
        <v>951</v>
      </c>
    </row>
    <row r="4078" spans="1:42">
      <c r="A4078" s="16">
        <v>43843</v>
      </c>
      <c r="B4078">
        <v>1</v>
      </c>
      <c r="C4078">
        <v>986</v>
      </c>
      <c r="D4078">
        <v>14637</v>
      </c>
      <c r="E4078" t="s">
        <v>112</v>
      </c>
      <c r="F4078" t="s">
        <v>949</v>
      </c>
      <c r="G4078">
        <v>2</v>
      </c>
      <c r="H4078">
        <v>12</v>
      </c>
      <c r="I4078" s="25">
        <v>2398</v>
      </c>
      <c r="K4078" t="s">
        <v>605</v>
      </c>
      <c r="N4078" t="s">
        <v>44</v>
      </c>
      <c r="O4078">
        <v>130</v>
      </c>
      <c r="Q4078">
        <v>2</v>
      </c>
      <c r="R4078">
        <v>1</v>
      </c>
      <c r="S4078">
        <v>0</v>
      </c>
      <c r="T4078">
        <v>0</v>
      </c>
      <c r="U4078">
        <v>0</v>
      </c>
      <c r="V4078">
        <v>0</v>
      </c>
      <c r="W4078">
        <v>2</v>
      </c>
      <c r="X4078" s="21">
        <v>0</v>
      </c>
      <c r="Y4078" s="21">
        <v>0</v>
      </c>
      <c r="Z4078" s="21">
        <v>0</v>
      </c>
      <c r="AA4078" s="21">
        <v>0</v>
      </c>
      <c r="AB4078" s="21">
        <v>0</v>
      </c>
      <c r="AC4078" s="21">
        <v>0</v>
      </c>
      <c r="AD4078" s="21">
        <v>0</v>
      </c>
      <c r="AE4078" s="21">
        <v>0</v>
      </c>
      <c r="AF4078">
        <v>0</v>
      </c>
      <c r="AG4078">
        <v>0</v>
      </c>
      <c r="AH4078">
        <v>192</v>
      </c>
      <c r="AJ4078" t="s">
        <v>51</v>
      </c>
      <c r="AK4078" t="s">
        <v>95</v>
      </c>
      <c r="AL4078" t="s">
        <v>1369</v>
      </c>
      <c r="AM4078" s="18"/>
      <c r="AP4078" t="s">
        <v>951</v>
      </c>
    </row>
    <row r="4079" spans="1:42">
      <c r="A4079" s="16">
        <v>43843</v>
      </c>
      <c r="B4079">
        <v>1</v>
      </c>
      <c r="C4079">
        <v>986</v>
      </c>
      <c r="D4079">
        <v>14637</v>
      </c>
      <c r="E4079" t="s">
        <v>112</v>
      </c>
      <c r="F4079" t="s">
        <v>949</v>
      </c>
      <c r="G4079">
        <v>2</v>
      </c>
      <c r="H4079">
        <v>13</v>
      </c>
      <c r="I4079" s="25">
        <v>2632</v>
      </c>
      <c r="K4079" t="s">
        <v>909</v>
      </c>
      <c r="N4079" t="s">
        <v>44</v>
      </c>
      <c r="O4079">
        <v>79</v>
      </c>
      <c r="Q4079">
        <v>1</v>
      </c>
      <c r="R4079">
        <v>1</v>
      </c>
      <c r="S4079">
        <v>0</v>
      </c>
      <c r="T4079">
        <v>0</v>
      </c>
      <c r="U4079">
        <v>0</v>
      </c>
      <c r="V4079">
        <v>0</v>
      </c>
      <c r="W4079">
        <v>1</v>
      </c>
      <c r="X4079" s="21">
        <v>0</v>
      </c>
      <c r="Y4079" s="21">
        <v>0</v>
      </c>
      <c r="Z4079" s="21">
        <v>0</v>
      </c>
      <c r="AA4079" s="21">
        <v>0</v>
      </c>
      <c r="AB4079" s="21">
        <v>0</v>
      </c>
      <c r="AC4079" s="21">
        <v>0</v>
      </c>
      <c r="AD4079" s="21">
        <v>0</v>
      </c>
      <c r="AE4079" s="21">
        <v>0</v>
      </c>
      <c r="AF4079">
        <v>0</v>
      </c>
      <c r="AG4079">
        <v>0</v>
      </c>
      <c r="AH4079">
        <v>96</v>
      </c>
      <c r="AJ4079" t="s">
        <v>51</v>
      </c>
      <c r="AK4079" t="s">
        <v>95</v>
      </c>
      <c r="AL4079" t="s">
        <v>1370</v>
      </c>
      <c r="AM4079" s="18"/>
      <c r="AP4079" t="s">
        <v>951</v>
      </c>
    </row>
    <row r="4080" spans="1:42">
      <c r="A4080" s="16">
        <v>43843</v>
      </c>
      <c r="B4080">
        <v>1</v>
      </c>
      <c r="C4080">
        <v>986</v>
      </c>
      <c r="D4080">
        <v>14637</v>
      </c>
      <c r="E4080" t="s">
        <v>112</v>
      </c>
      <c r="F4080" t="s">
        <v>949</v>
      </c>
      <c r="G4080">
        <v>2</v>
      </c>
      <c r="H4080">
        <v>14</v>
      </c>
      <c r="I4080" s="25">
        <v>2295</v>
      </c>
      <c r="K4080" t="s">
        <v>185</v>
      </c>
      <c r="N4080" t="s">
        <v>44</v>
      </c>
      <c r="O4080">
        <v>100</v>
      </c>
      <c r="Q4080">
        <v>2</v>
      </c>
      <c r="R4080">
        <v>1</v>
      </c>
      <c r="S4080">
        <v>0</v>
      </c>
      <c r="T4080">
        <v>0</v>
      </c>
      <c r="U4080">
        <v>0</v>
      </c>
      <c r="V4080">
        <v>0</v>
      </c>
      <c r="W4080">
        <v>2</v>
      </c>
      <c r="X4080" s="21">
        <v>0</v>
      </c>
      <c r="Y4080" s="21">
        <v>0</v>
      </c>
      <c r="Z4080" s="21">
        <v>0</v>
      </c>
      <c r="AA4080" s="21">
        <v>0</v>
      </c>
      <c r="AB4080" s="21">
        <v>0</v>
      </c>
      <c r="AC4080" s="21">
        <v>0</v>
      </c>
      <c r="AD4080" s="21">
        <v>0</v>
      </c>
      <c r="AE4080" s="21">
        <v>0</v>
      </c>
      <c r="AF4080">
        <v>0</v>
      </c>
      <c r="AG4080">
        <v>0</v>
      </c>
      <c r="AH4080">
        <v>192</v>
      </c>
      <c r="AJ4080" t="s">
        <v>51</v>
      </c>
      <c r="AK4080" t="s">
        <v>95</v>
      </c>
      <c r="AL4080" t="s">
        <v>1371</v>
      </c>
      <c r="AM4080" s="18"/>
      <c r="AP4080" t="s">
        <v>951</v>
      </c>
    </row>
    <row r="4081" spans="1:42">
      <c r="A4081" s="16">
        <v>43843</v>
      </c>
      <c r="B4081">
        <v>1</v>
      </c>
      <c r="C4081">
        <v>986</v>
      </c>
      <c r="D4081">
        <v>14637</v>
      </c>
      <c r="E4081" t="s">
        <v>112</v>
      </c>
      <c r="F4081" t="s">
        <v>949</v>
      </c>
      <c r="G4081">
        <v>2</v>
      </c>
      <c r="H4081">
        <v>15</v>
      </c>
      <c r="I4081" s="25">
        <v>2635</v>
      </c>
      <c r="K4081" t="s">
        <v>909</v>
      </c>
      <c r="N4081" t="s">
        <v>44</v>
      </c>
      <c r="O4081">
        <v>73</v>
      </c>
      <c r="Q4081">
        <v>1</v>
      </c>
      <c r="R4081">
        <v>1</v>
      </c>
      <c r="S4081">
        <v>0</v>
      </c>
      <c r="T4081">
        <v>0</v>
      </c>
      <c r="U4081">
        <v>0</v>
      </c>
      <c r="V4081">
        <v>0</v>
      </c>
      <c r="W4081">
        <v>1</v>
      </c>
      <c r="X4081" s="21">
        <v>0</v>
      </c>
      <c r="Y4081" s="21">
        <v>0</v>
      </c>
      <c r="Z4081" s="21">
        <v>0</v>
      </c>
      <c r="AA4081" s="21">
        <v>0</v>
      </c>
      <c r="AB4081" s="21">
        <v>0</v>
      </c>
      <c r="AC4081" s="21">
        <v>0</v>
      </c>
      <c r="AD4081" s="21">
        <v>0</v>
      </c>
      <c r="AE4081" s="21">
        <v>0</v>
      </c>
      <c r="AF4081">
        <v>0</v>
      </c>
      <c r="AG4081">
        <v>0</v>
      </c>
      <c r="AH4081">
        <v>96</v>
      </c>
      <c r="AJ4081" t="s">
        <v>51</v>
      </c>
      <c r="AK4081" t="s">
        <v>95</v>
      </c>
      <c r="AL4081" t="s">
        <v>1372</v>
      </c>
      <c r="AM4081" s="18"/>
      <c r="AP4081" t="s">
        <v>951</v>
      </c>
    </row>
    <row r="4082" spans="1:42">
      <c r="A4082" s="16">
        <v>43843</v>
      </c>
      <c r="B4082">
        <v>1</v>
      </c>
      <c r="C4082">
        <v>986</v>
      </c>
      <c r="D4082">
        <v>14637</v>
      </c>
      <c r="E4082" t="s">
        <v>112</v>
      </c>
      <c r="F4082" t="s">
        <v>949</v>
      </c>
      <c r="G4082">
        <v>2</v>
      </c>
      <c r="H4082">
        <v>16</v>
      </c>
      <c r="I4082" s="25">
        <v>2400</v>
      </c>
      <c r="K4082" t="s">
        <v>605</v>
      </c>
      <c r="N4082" t="s">
        <v>44</v>
      </c>
      <c r="O4082">
        <v>188</v>
      </c>
      <c r="Q4082">
        <v>4</v>
      </c>
      <c r="R4082">
        <v>1</v>
      </c>
      <c r="S4082">
        <v>0</v>
      </c>
      <c r="T4082">
        <v>0</v>
      </c>
      <c r="U4082">
        <v>0</v>
      </c>
      <c r="V4082">
        <v>0</v>
      </c>
      <c r="W4082">
        <v>4</v>
      </c>
      <c r="X4082" s="21">
        <v>0</v>
      </c>
      <c r="Y4082" s="21">
        <v>0</v>
      </c>
      <c r="Z4082" s="21">
        <v>0</v>
      </c>
      <c r="AA4082" s="21">
        <v>0</v>
      </c>
      <c r="AB4082" s="21">
        <v>0</v>
      </c>
      <c r="AC4082" s="21">
        <v>0</v>
      </c>
      <c r="AD4082" s="21">
        <v>0</v>
      </c>
      <c r="AE4082" s="21">
        <v>0</v>
      </c>
      <c r="AF4082">
        <v>0</v>
      </c>
      <c r="AG4082">
        <v>0</v>
      </c>
      <c r="AH4082">
        <v>384</v>
      </c>
      <c r="AJ4082" t="s">
        <v>51</v>
      </c>
      <c r="AK4082" t="s">
        <v>52</v>
      </c>
      <c r="AL4082" t="s">
        <v>1373</v>
      </c>
      <c r="AM4082" s="18"/>
      <c r="AP4082" t="s">
        <v>951</v>
      </c>
    </row>
    <row r="4083" spans="1:42">
      <c r="A4083" s="16">
        <v>43843</v>
      </c>
      <c r="B4083">
        <v>1</v>
      </c>
      <c r="C4083">
        <v>986</v>
      </c>
      <c r="D4083">
        <v>14637</v>
      </c>
      <c r="E4083" t="s">
        <v>112</v>
      </c>
      <c r="F4083" t="s">
        <v>949</v>
      </c>
      <c r="G4083">
        <v>2</v>
      </c>
      <c r="H4083">
        <v>17</v>
      </c>
      <c r="I4083" s="25">
        <v>2525</v>
      </c>
      <c r="K4083" t="s">
        <v>909</v>
      </c>
      <c r="N4083" t="s">
        <v>44</v>
      </c>
      <c r="O4083">
        <v>78</v>
      </c>
      <c r="Q4083">
        <v>1</v>
      </c>
      <c r="R4083">
        <v>1</v>
      </c>
      <c r="S4083">
        <v>0</v>
      </c>
      <c r="T4083">
        <v>0</v>
      </c>
      <c r="U4083">
        <v>0</v>
      </c>
      <c r="V4083">
        <v>0</v>
      </c>
      <c r="W4083">
        <v>1</v>
      </c>
      <c r="X4083" s="21">
        <v>0</v>
      </c>
      <c r="Y4083" s="21">
        <v>0</v>
      </c>
      <c r="Z4083" s="21">
        <v>0</v>
      </c>
      <c r="AA4083" s="21">
        <v>0</v>
      </c>
      <c r="AB4083" s="21">
        <v>0</v>
      </c>
      <c r="AC4083" s="21">
        <v>0</v>
      </c>
      <c r="AD4083" s="21">
        <v>0</v>
      </c>
      <c r="AE4083" s="21">
        <v>0</v>
      </c>
      <c r="AF4083">
        <v>0</v>
      </c>
      <c r="AG4083">
        <v>0</v>
      </c>
      <c r="AH4083">
        <v>96</v>
      </c>
      <c r="AJ4083" t="s">
        <v>51</v>
      </c>
      <c r="AK4083" t="s">
        <v>95</v>
      </c>
      <c r="AL4083" t="s">
        <v>1374</v>
      </c>
      <c r="AM4083" s="18"/>
      <c r="AP4083" t="s">
        <v>951</v>
      </c>
    </row>
    <row r="4084" spans="1:42">
      <c r="A4084" s="16">
        <v>43843</v>
      </c>
      <c r="B4084">
        <v>1</v>
      </c>
      <c r="C4084">
        <v>986</v>
      </c>
      <c r="D4084">
        <v>14637</v>
      </c>
      <c r="E4084" t="s">
        <v>112</v>
      </c>
      <c r="F4084" t="s">
        <v>949</v>
      </c>
      <c r="G4084">
        <v>2</v>
      </c>
      <c r="H4084">
        <v>18</v>
      </c>
      <c r="I4084" s="25">
        <v>2500</v>
      </c>
      <c r="K4084" t="s">
        <v>909</v>
      </c>
      <c r="N4084" t="s">
        <v>44</v>
      </c>
      <c r="O4084">
        <v>109</v>
      </c>
      <c r="Q4084">
        <v>4</v>
      </c>
      <c r="R4084">
        <v>1</v>
      </c>
      <c r="S4084">
        <v>0</v>
      </c>
      <c r="T4084">
        <v>0</v>
      </c>
      <c r="U4084">
        <v>0</v>
      </c>
      <c r="V4084">
        <v>0</v>
      </c>
      <c r="W4084">
        <v>4</v>
      </c>
      <c r="X4084" s="21">
        <v>0</v>
      </c>
      <c r="Y4084" s="21">
        <v>0</v>
      </c>
      <c r="Z4084" s="21">
        <v>0</v>
      </c>
      <c r="AA4084" s="21">
        <v>0</v>
      </c>
      <c r="AB4084" s="21">
        <v>0</v>
      </c>
      <c r="AC4084" s="21">
        <v>0</v>
      </c>
      <c r="AD4084" s="21">
        <v>0</v>
      </c>
      <c r="AE4084" s="21">
        <v>0</v>
      </c>
      <c r="AF4084">
        <v>0</v>
      </c>
      <c r="AG4084">
        <v>0</v>
      </c>
      <c r="AH4084">
        <v>384</v>
      </c>
      <c r="AJ4084" t="s">
        <v>51</v>
      </c>
      <c r="AK4084" t="s">
        <v>95</v>
      </c>
      <c r="AM4084" s="18"/>
      <c r="AP4084" t="s">
        <v>951</v>
      </c>
    </row>
    <row r="4085" spans="1:42">
      <c r="A4085" s="16">
        <v>43843</v>
      </c>
      <c r="B4085">
        <v>1</v>
      </c>
      <c r="C4085">
        <v>986</v>
      </c>
      <c r="D4085">
        <v>14637</v>
      </c>
      <c r="E4085" t="s">
        <v>112</v>
      </c>
      <c r="F4085" t="s">
        <v>949</v>
      </c>
      <c r="G4085">
        <v>2</v>
      </c>
      <c r="H4085">
        <v>19</v>
      </c>
      <c r="I4085" s="25">
        <v>2445</v>
      </c>
      <c r="K4085" t="s">
        <v>909</v>
      </c>
      <c r="N4085" t="s">
        <v>44</v>
      </c>
      <c r="O4085">
        <v>50</v>
      </c>
      <c r="Q4085">
        <v>1</v>
      </c>
      <c r="R4085">
        <v>1</v>
      </c>
      <c r="S4085">
        <v>0</v>
      </c>
      <c r="T4085">
        <v>0</v>
      </c>
      <c r="U4085">
        <v>0</v>
      </c>
      <c r="V4085">
        <v>0</v>
      </c>
      <c r="W4085">
        <v>1</v>
      </c>
      <c r="X4085" s="21">
        <v>0</v>
      </c>
      <c r="Y4085" s="21">
        <v>0</v>
      </c>
      <c r="Z4085" s="21">
        <v>0</v>
      </c>
      <c r="AA4085" s="21">
        <v>0</v>
      </c>
      <c r="AB4085" s="21">
        <v>0</v>
      </c>
      <c r="AC4085" s="21">
        <v>0</v>
      </c>
      <c r="AD4085" s="21">
        <v>0</v>
      </c>
      <c r="AE4085" s="21">
        <v>0</v>
      </c>
      <c r="AF4085">
        <v>0</v>
      </c>
      <c r="AG4085">
        <v>0</v>
      </c>
      <c r="AH4085">
        <v>96</v>
      </c>
      <c r="AJ4085" t="s">
        <v>51</v>
      </c>
      <c r="AK4085" t="s">
        <v>52</v>
      </c>
      <c r="AM4085" s="18"/>
      <c r="AP4085" t="s">
        <v>951</v>
      </c>
    </row>
    <row r="4086" spans="1:42">
      <c r="A4086" s="16">
        <v>43843</v>
      </c>
      <c r="B4086">
        <v>1</v>
      </c>
      <c r="C4086">
        <v>986</v>
      </c>
      <c r="D4086">
        <v>14637</v>
      </c>
      <c r="E4086" t="s">
        <v>112</v>
      </c>
      <c r="F4086" t="s">
        <v>949</v>
      </c>
      <c r="G4086">
        <v>2</v>
      </c>
      <c r="H4086">
        <v>20</v>
      </c>
      <c r="I4086" s="25">
        <v>2425</v>
      </c>
      <c r="K4086" t="s">
        <v>909</v>
      </c>
      <c r="N4086" t="s">
        <v>44</v>
      </c>
      <c r="O4086">
        <v>96</v>
      </c>
      <c r="Q4086">
        <v>1</v>
      </c>
      <c r="R4086">
        <v>1</v>
      </c>
      <c r="S4086">
        <v>0</v>
      </c>
      <c r="T4086">
        <v>0</v>
      </c>
      <c r="U4086">
        <v>0</v>
      </c>
      <c r="V4086">
        <v>0</v>
      </c>
      <c r="W4086">
        <v>1</v>
      </c>
      <c r="X4086" s="21">
        <v>0</v>
      </c>
      <c r="Y4086" s="21">
        <v>0</v>
      </c>
      <c r="Z4086" s="21">
        <v>0</v>
      </c>
      <c r="AA4086" s="21">
        <v>0</v>
      </c>
      <c r="AB4086" s="21">
        <v>0</v>
      </c>
      <c r="AC4086" s="21">
        <v>0</v>
      </c>
      <c r="AD4086" s="21">
        <v>0</v>
      </c>
      <c r="AE4086" s="21">
        <v>0</v>
      </c>
      <c r="AF4086">
        <v>0</v>
      </c>
      <c r="AG4086">
        <v>0</v>
      </c>
      <c r="AH4086">
        <v>96</v>
      </c>
      <c r="AJ4086" t="s">
        <v>51</v>
      </c>
      <c r="AK4086" t="s">
        <v>95</v>
      </c>
      <c r="AL4086" t="s">
        <v>1375</v>
      </c>
      <c r="AM4086" s="18"/>
      <c r="AP4086" t="s">
        <v>951</v>
      </c>
    </row>
    <row r="4087" spans="1:42">
      <c r="A4087" s="16">
        <v>43843</v>
      </c>
      <c r="B4087">
        <v>1</v>
      </c>
      <c r="C4087">
        <v>986</v>
      </c>
      <c r="D4087">
        <v>14637</v>
      </c>
      <c r="E4087" t="s">
        <v>112</v>
      </c>
      <c r="F4087" t="s">
        <v>949</v>
      </c>
      <c r="G4087">
        <v>2</v>
      </c>
      <c r="H4087">
        <v>21</v>
      </c>
      <c r="I4087" s="25">
        <v>2300</v>
      </c>
      <c r="K4087" t="s">
        <v>647</v>
      </c>
      <c r="L4087" t="s">
        <v>141</v>
      </c>
      <c r="N4087" t="s">
        <v>40</v>
      </c>
      <c r="O4087">
        <v>35</v>
      </c>
      <c r="Q4087">
        <v>1</v>
      </c>
      <c r="R4087">
        <v>1</v>
      </c>
      <c r="S4087">
        <v>0</v>
      </c>
      <c r="T4087">
        <v>0</v>
      </c>
      <c r="U4087">
        <v>0</v>
      </c>
      <c r="V4087">
        <v>1</v>
      </c>
      <c r="W4087">
        <v>0</v>
      </c>
      <c r="X4087" s="21">
        <v>0</v>
      </c>
      <c r="Y4087" s="21">
        <v>0</v>
      </c>
      <c r="Z4087" s="21">
        <v>0</v>
      </c>
      <c r="AA4087" s="21">
        <v>0</v>
      </c>
      <c r="AB4087" s="21">
        <v>0</v>
      </c>
      <c r="AC4087" s="21">
        <v>0</v>
      </c>
      <c r="AD4087" s="21">
        <v>0</v>
      </c>
      <c r="AE4087" s="21">
        <v>0</v>
      </c>
      <c r="AF4087">
        <v>0</v>
      </c>
      <c r="AG4087">
        <v>0</v>
      </c>
      <c r="AH4087">
        <v>64</v>
      </c>
      <c r="AJ4087" t="s">
        <v>51</v>
      </c>
      <c r="AK4087" t="s">
        <v>95</v>
      </c>
      <c r="AM4087" s="18"/>
      <c r="AP4087" t="s">
        <v>951</v>
      </c>
    </row>
    <row r="4088" spans="1:42">
      <c r="A4088" s="16">
        <v>43843</v>
      </c>
      <c r="B4088">
        <v>1</v>
      </c>
      <c r="C4088">
        <v>986</v>
      </c>
      <c r="D4088">
        <v>14637</v>
      </c>
      <c r="E4088" t="s">
        <v>112</v>
      </c>
      <c r="F4088" t="s">
        <v>949</v>
      </c>
      <c r="G4088">
        <v>2</v>
      </c>
      <c r="H4088">
        <v>22</v>
      </c>
      <c r="I4088" s="25">
        <v>2361</v>
      </c>
      <c r="K4088" t="s">
        <v>647</v>
      </c>
      <c r="N4088" t="s">
        <v>44</v>
      </c>
      <c r="O4088">
        <v>139</v>
      </c>
      <c r="Q4088">
        <v>1</v>
      </c>
      <c r="R4088">
        <v>1</v>
      </c>
      <c r="S4088">
        <v>0</v>
      </c>
      <c r="T4088">
        <v>0</v>
      </c>
      <c r="U4088">
        <v>0</v>
      </c>
      <c r="V4088">
        <v>0</v>
      </c>
      <c r="W4088">
        <v>1</v>
      </c>
      <c r="X4088" s="21">
        <v>0</v>
      </c>
      <c r="Y4088" s="21">
        <v>0</v>
      </c>
      <c r="Z4088" s="21">
        <v>0</v>
      </c>
      <c r="AA4088" s="21">
        <v>0</v>
      </c>
      <c r="AB4088" s="21">
        <v>0</v>
      </c>
      <c r="AC4088" s="21">
        <v>0</v>
      </c>
      <c r="AD4088" s="21">
        <v>0</v>
      </c>
      <c r="AE4088" s="21">
        <v>0</v>
      </c>
      <c r="AF4088">
        <v>0</v>
      </c>
      <c r="AG4088">
        <v>0</v>
      </c>
      <c r="AH4088">
        <v>96</v>
      </c>
      <c r="AJ4088" t="s">
        <v>51</v>
      </c>
      <c r="AK4088" t="s">
        <v>95</v>
      </c>
      <c r="AL4088" t="s">
        <v>1376</v>
      </c>
      <c r="AM4088" s="18"/>
      <c r="AP4088" t="s">
        <v>951</v>
      </c>
    </row>
    <row r="4089" spans="1:42">
      <c r="A4089" s="16">
        <v>43843</v>
      </c>
      <c r="B4089">
        <v>1</v>
      </c>
      <c r="C4089">
        <v>986</v>
      </c>
      <c r="D4089">
        <v>14637</v>
      </c>
      <c r="E4089" t="s">
        <v>112</v>
      </c>
      <c r="F4089" t="s">
        <v>949</v>
      </c>
      <c r="G4089">
        <v>2</v>
      </c>
      <c r="H4089">
        <v>23</v>
      </c>
      <c r="I4089" s="25">
        <v>2351</v>
      </c>
      <c r="K4089" t="s">
        <v>647</v>
      </c>
      <c r="N4089" t="s">
        <v>44</v>
      </c>
      <c r="O4089">
        <v>132</v>
      </c>
      <c r="Q4089">
        <v>1</v>
      </c>
      <c r="R4089">
        <v>1</v>
      </c>
      <c r="S4089">
        <v>0</v>
      </c>
      <c r="T4089">
        <v>0</v>
      </c>
      <c r="U4089">
        <v>0</v>
      </c>
      <c r="V4089">
        <v>0</v>
      </c>
      <c r="W4089">
        <v>1</v>
      </c>
      <c r="X4089" s="21">
        <v>0</v>
      </c>
      <c r="Y4089" s="21">
        <v>0</v>
      </c>
      <c r="Z4089" s="21">
        <v>0</v>
      </c>
      <c r="AA4089" s="21">
        <v>0</v>
      </c>
      <c r="AB4089" s="21">
        <v>0</v>
      </c>
      <c r="AC4089" s="21">
        <v>0</v>
      </c>
      <c r="AD4089" s="21">
        <v>0</v>
      </c>
      <c r="AE4089" s="21">
        <v>0</v>
      </c>
      <c r="AF4089">
        <v>0</v>
      </c>
      <c r="AG4089">
        <v>0</v>
      </c>
      <c r="AH4089">
        <v>96</v>
      </c>
      <c r="AJ4089" t="s">
        <v>51</v>
      </c>
      <c r="AK4089" t="s">
        <v>95</v>
      </c>
      <c r="AM4089" s="18"/>
      <c r="AP4089" t="s">
        <v>951</v>
      </c>
    </row>
    <row r="4090" spans="1:42">
      <c r="A4090" s="16">
        <v>43843</v>
      </c>
      <c r="B4090">
        <v>1</v>
      </c>
      <c r="C4090">
        <v>986</v>
      </c>
      <c r="D4090">
        <v>14637</v>
      </c>
      <c r="E4090" t="s">
        <v>112</v>
      </c>
      <c r="F4090" t="s">
        <v>949</v>
      </c>
      <c r="G4090">
        <v>2</v>
      </c>
      <c r="H4090">
        <v>24</v>
      </c>
      <c r="I4090" s="25">
        <v>2325</v>
      </c>
      <c r="K4090" t="s">
        <v>647</v>
      </c>
      <c r="N4090" t="s">
        <v>44</v>
      </c>
      <c r="O4090">
        <v>99</v>
      </c>
      <c r="Q4090">
        <v>2</v>
      </c>
      <c r="R4090">
        <v>1</v>
      </c>
      <c r="S4090">
        <v>0</v>
      </c>
      <c r="T4090">
        <v>0</v>
      </c>
      <c r="U4090">
        <v>0</v>
      </c>
      <c r="V4090">
        <v>0</v>
      </c>
      <c r="W4090">
        <v>2</v>
      </c>
      <c r="X4090" s="21">
        <v>0</v>
      </c>
      <c r="Y4090" s="21">
        <v>0</v>
      </c>
      <c r="Z4090" s="21">
        <v>0</v>
      </c>
      <c r="AA4090" s="21">
        <v>0</v>
      </c>
      <c r="AB4090" s="21">
        <v>0</v>
      </c>
      <c r="AC4090" s="21">
        <v>0</v>
      </c>
      <c r="AD4090" s="21">
        <v>0</v>
      </c>
      <c r="AE4090" s="21">
        <v>0</v>
      </c>
      <c r="AF4090">
        <v>0</v>
      </c>
      <c r="AG4090">
        <v>0</v>
      </c>
      <c r="AH4090">
        <v>192</v>
      </c>
      <c r="AJ4090" t="s">
        <v>51</v>
      </c>
      <c r="AK4090" t="s">
        <v>52</v>
      </c>
      <c r="AL4090" t="s">
        <v>1377</v>
      </c>
      <c r="AM4090" s="18"/>
      <c r="AP4090" t="s">
        <v>951</v>
      </c>
    </row>
    <row r="4091" spans="1:42">
      <c r="A4091" s="16">
        <v>43843</v>
      </c>
      <c r="B4091">
        <v>1</v>
      </c>
      <c r="C4091">
        <v>986</v>
      </c>
      <c r="D4091">
        <v>14637</v>
      </c>
      <c r="E4091" t="s">
        <v>112</v>
      </c>
      <c r="F4091" t="s">
        <v>949</v>
      </c>
      <c r="G4091">
        <v>2</v>
      </c>
      <c r="H4091">
        <v>25</v>
      </c>
      <c r="I4091" s="25">
        <v>2313</v>
      </c>
      <c r="K4091" t="s">
        <v>599</v>
      </c>
      <c r="N4091" t="s">
        <v>44</v>
      </c>
      <c r="O4091">
        <v>64</v>
      </c>
      <c r="Q4091">
        <v>1</v>
      </c>
      <c r="R4091">
        <v>1</v>
      </c>
      <c r="S4091">
        <v>0</v>
      </c>
      <c r="T4091">
        <v>0</v>
      </c>
      <c r="U4091">
        <v>0</v>
      </c>
      <c r="V4091">
        <v>0</v>
      </c>
      <c r="W4091">
        <v>1</v>
      </c>
      <c r="X4091" s="21">
        <v>0</v>
      </c>
      <c r="Y4091" s="21">
        <v>0</v>
      </c>
      <c r="Z4091" s="21">
        <v>0</v>
      </c>
      <c r="AA4091" s="21">
        <v>0</v>
      </c>
      <c r="AB4091" s="21">
        <v>0</v>
      </c>
      <c r="AC4091" s="21">
        <v>0</v>
      </c>
      <c r="AD4091" s="21">
        <v>0</v>
      </c>
      <c r="AE4091" s="21">
        <v>0</v>
      </c>
      <c r="AF4091">
        <v>0</v>
      </c>
      <c r="AG4091">
        <v>0</v>
      </c>
      <c r="AH4091">
        <v>96</v>
      </c>
      <c r="AJ4091" t="s">
        <v>51</v>
      </c>
      <c r="AK4091" t="s">
        <v>95</v>
      </c>
      <c r="AL4091" t="s">
        <v>1378</v>
      </c>
      <c r="AM4091" s="18"/>
      <c r="AP4091" t="s">
        <v>951</v>
      </c>
    </row>
    <row r="4092" spans="1:42">
      <c r="A4092" s="16">
        <v>43843</v>
      </c>
      <c r="B4092">
        <v>1</v>
      </c>
      <c r="C4092">
        <v>986</v>
      </c>
      <c r="D4092">
        <v>14637</v>
      </c>
      <c r="E4092" t="s">
        <v>112</v>
      </c>
      <c r="F4092" t="s">
        <v>949</v>
      </c>
      <c r="G4092">
        <v>2</v>
      </c>
      <c r="H4092">
        <v>26</v>
      </c>
      <c r="I4092" s="25">
        <v>2351</v>
      </c>
      <c r="K4092" t="s">
        <v>516</v>
      </c>
      <c r="N4092" t="s">
        <v>44</v>
      </c>
      <c r="O4092">
        <v>105</v>
      </c>
      <c r="Q4092">
        <v>1</v>
      </c>
      <c r="R4092">
        <v>1</v>
      </c>
      <c r="S4092">
        <v>0</v>
      </c>
      <c r="T4092">
        <v>0</v>
      </c>
      <c r="U4092">
        <v>0</v>
      </c>
      <c r="V4092">
        <v>0</v>
      </c>
      <c r="W4092">
        <v>1</v>
      </c>
      <c r="X4092" s="21">
        <v>0</v>
      </c>
      <c r="Y4092" s="21">
        <v>0</v>
      </c>
      <c r="Z4092" s="21">
        <v>0</v>
      </c>
      <c r="AA4092" s="21">
        <v>0</v>
      </c>
      <c r="AB4092" s="21">
        <v>0</v>
      </c>
      <c r="AC4092" s="21">
        <v>0</v>
      </c>
      <c r="AD4092" s="21">
        <v>0</v>
      </c>
      <c r="AE4092" s="21">
        <v>0</v>
      </c>
      <c r="AF4092">
        <v>1</v>
      </c>
      <c r="AG4092">
        <v>0</v>
      </c>
      <c r="AH4092">
        <v>96</v>
      </c>
      <c r="AJ4092" t="s">
        <v>51</v>
      </c>
      <c r="AK4092" t="s">
        <v>52</v>
      </c>
      <c r="AL4092" t="s">
        <v>1379</v>
      </c>
      <c r="AM4092" s="18"/>
      <c r="AP4092" t="s">
        <v>951</v>
      </c>
    </row>
    <row r="4093" spans="1:42">
      <c r="A4093" s="16">
        <v>43843</v>
      </c>
      <c r="B4093">
        <v>1</v>
      </c>
      <c r="C4093">
        <v>986</v>
      </c>
      <c r="D4093">
        <v>14637</v>
      </c>
      <c r="E4093" t="s">
        <v>112</v>
      </c>
      <c r="F4093" t="s">
        <v>949</v>
      </c>
      <c r="G4093">
        <v>2</v>
      </c>
      <c r="H4093">
        <v>27</v>
      </c>
      <c r="I4093" s="25">
        <v>2345</v>
      </c>
      <c r="K4093" t="s">
        <v>516</v>
      </c>
      <c r="N4093" t="s">
        <v>44</v>
      </c>
      <c r="O4093">
        <v>34</v>
      </c>
      <c r="Q4093">
        <v>1</v>
      </c>
      <c r="R4093">
        <v>1</v>
      </c>
      <c r="S4093">
        <v>0</v>
      </c>
      <c r="T4093">
        <v>0</v>
      </c>
      <c r="U4093">
        <v>0</v>
      </c>
      <c r="V4093">
        <v>0</v>
      </c>
      <c r="W4093">
        <v>1</v>
      </c>
      <c r="X4093" s="21">
        <v>0</v>
      </c>
      <c r="Y4093" s="21">
        <v>0</v>
      </c>
      <c r="Z4093" s="21">
        <v>0</v>
      </c>
      <c r="AA4093" s="21">
        <v>0</v>
      </c>
      <c r="AB4093" s="21">
        <v>0</v>
      </c>
      <c r="AC4093" s="21">
        <v>0</v>
      </c>
      <c r="AD4093" s="21">
        <v>0</v>
      </c>
      <c r="AE4093" s="21">
        <v>0</v>
      </c>
      <c r="AF4093">
        <v>0</v>
      </c>
      <c r="AG4093">
        <v>0</v>
      </c>
      <c r="AH4093">
        <v>96</v>
      </c>
      <c r="AJ4093" t="s">
        <v>51</v>
      </c>
      <c r="AK4093" t="s">
        <v>52</v>
      </c>
      <c r="AM4093" s="18"/>
      <c r="AP4093" t="s">
        <v>951</v>
      </c>
    </row>
    <row r="4094" spans="1:42">
      <c r="A4094" s="16">
        <v>43843</v>
      </c>
      <c r="B4094">
        <v>1</v>
      </c>
      <c r="C4094">
        <v>986</v>
      </c>
      <c r="D4094">
        <v>14637</v>
      </c>
      <c r="E4094" t="s">
        <v>112</v>
      </c>
      <c r="F4094" t="s">
        <v>949</v>
      </c>
      <c r="G4094">
        <v>2</v>
      </c>
      <c r="H4094">
        <v>28</v>
      </c>
      <c r="I4094" s="25">
        <v>2335</v>
      </c>
      <c r="K4094" t="s">
        <v>516</v>
      </c>
      <c r="N4094" t="s">
        <v>44</v>
      </c>
      <c r="O4094">
        <v>60</v>
      </c>
      <c r="Q4094">
        <v>1</v>
      </c>
      <c r="R4094">
        <v>1</v>
      </c>
      <c r="S4094">
        <v>0</v>
      </c>
      <c r="T4094">
        <v>0</v>
      </c>
      <c r="U4094">
        <v>0</v>
      </c>
      <c r="V4094">
        <v>0</v>
      </c>
      <c r="W4094">
        <v>1</v>
      </c>
      <c r="X4094" s="21">
        <v>0</v>
      </c>
      <c r="Y4094" s="21">
        <v>0</v>
      </c>
      <c r="Z4094" s="21">
        <v>0</v>
      </c>
      <c r="AA4094" s="21">
        <v>0</v>
      </c>
      <c r="AB4094" s="21">
        <v>0</v>
      </c>
      <c r="AC4094" s="21">
        <v>0</v>
      </c>
      <c r="AD4094" s="21">
        <v>0</v>
      </c>
      <c r="AE4094" s="21">
        <v>0</v>
      </c>
      <c r="AF4094">
        <v>0</v>
      </c>
      <c r="AG4094">
        <v>0</v>
      </c>
      <c r="AH4094">
        <v>96</v>
      </c>
      <c r="AJ4094" t="s">
        <v>51</v>
      </c>
      <c r="AK4094" t="s">
        <v>52</v>
      </c>
      <c r="AM4094" s="18"/>
      <c r="AP4094" t="s">
        <v>951</v>
      </c>
    </row>
    <row r="4095" spans="1:42">
      <c r="A4095" s="16">
        <v>43843</v>
      </c>
      <c r="B4095">
        <v>1</v>
      </c>
      <c r="C4095">
        <v>986</v>
      </c>
      <c r="D4095">
        <v>14637</v>
      </c>
      <c r="E4095" t="s">
        <v>112</v>
      </c>
      <c r="F4095" t="s">
        <v>949</v>
      </c>
      <c r="G4095">
        <v>2</v>
      </c>
      <c r="H4095">
        <v>29</v>
      </c>
      <c r="I4095" s="25">
        <v>2325</v>
      </c>
      <c r="K4095" t="s">
        <v>516</v>
      </c>
      <c r="N4095" t="s">
        <v>44</v>
      </c>
      <c r="O4095">
        <v>64</v>
      </c>
      <c r="Q4095">
        <v>1</v>
      </c>
      <c r="R4095">
        <v>1</v>
      </c>
      <c r="S4095">
        <v>0</v>
      </c>
      <c r="T4095">
        <v>0</v>
      </c>
      <c r="U4095">
        <v>0</v>
      </c>
      <c r="V4095">
        <v>0</v>
      </c>
      <c r="W4095">
        <v>1</v>
      </c>
      <c r="X4095" s="21">
        <v>0</v>
      </c>
      <c r="Y4095" s="21">
        <v>0</v>
      </c>
      <c r="Z4095" s="21">
        <v>0</v>
      </c>
      <c r="AA4095" s="21">
        <v>0</v>
      </c>
      <c r="AB4095" s="21">
        <v>0</v>
      </c>
      <c r="AC4095" s="21">
        <v>0</v>
      </c>
      <c r="AD4095" s="21">
        <v>0</v>
      </c>
      <c r="AE4095" s="21">
        <v>0</v>
      </c>
      <c r="AF4095">
        <v>0</v>
      </c>
      <c r="AG4095">
        <v>0</v>
      </c>
      <c r="AH4095">
        <v>96</v>
      </c>
      <c r="AJ4095" t="s">
        <v>51</v>
      </c>
      <c r="AK4095" t="s">
        <v>52</v>
      </c>
      <c r="AL4095" t="s">
        <v>1380</v>
      </c>
      <c r="AM4095" s="18"/>
      <c r="AP4095" t="s">
        <v>951</v>
      </c>
    </row>
    <row r="4096" spans="1:42">
      <c r="A4096" s="16">
        <v>43843</v>
      </c>
      <c r="B4096">
        <v>1</v>
      </c>
      <c r="C4096">
        <v>986</v>
      </c>
      <c r="D4096">
        <v>14637</v>
      </c>
      <c r="E4096" t="s">
        <v>112</v>
      </c>
      <c r="F4096" t="s">
        <v>949</v>
      </c>
      <c r="G4096">
        <v>2</v>
      </c>
      <c r="H4096">
        <v>30</v>
      </c>
      <c r="I4096" s="25">
        <v>2400</v>
      </c>
      <c r="K4096" t="s">
        <v>596</v>
      </c>
      <c r="N4096" t="s">
        <v>44</v>
      </c>
      <c r="O4096">
        <v>229</v>
      </c>
      <c r="Q4096">
        <v>3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3</v>
      </c>
      <c r="X4096" s="21">
        <v>0</v>
      </c>
      <c r="Y4096" s="21">
        <v>0</v>
      </c>
      <c r="Z4096" s="21">
        <v>0</v>
      </c>
      <c r="AA4096" s="21">
        <v>0</v>
      </c>
      <c r="AB4096" s="21">
        <v>0</v>
      </c>
      <c r="AC4096" s="21">
        <v>0</v>
      </c>
      <c r="AD4096" s="21">
        <v>0</v>
      </c>
      <c r="AE4096" s="21">
        <v>0</v>
      </c>
      <c r="AF4096">
        <v>0</v>
      </c>
      <c r="AG4096">
        <v>0</v>
      </c>
      <c r="AH4096">
        <v>288</v>
      </c>
      <c r="AJ4096" t="s">
        <v>51</v>
      </c>
      <c r="AK4096" t="s">
        <v>52</v>
      </c>
      <c r="AL4096" t="s">
        <v>1381</v>
      </c>
      <c r="AM4096" s="18"/>
      <c r="AP4096" t="s">
        <v>951</v>
      </c>
    </row>
    <row r="4097" spans="1:42">
      <c r="A4097" s="16">
        <v>43843</v>
      </c>
      <c r="B4097">
        <v>1</v>
      </c>
      <c r="C4097">
        <v>986</v>
      </c>
      <c r="D4097">
        <v>14637</v>
      </c>
      <c r="E4097" t="s">
        <v>112</v>
      </c>
      <c r="F4097" t="s">
        <v>949</v>
      </c>
      <c r="G4097">
        <v>2</v>
      </c>
      <c r="H4097">
        <v>31</v>
      </c>
      <c r="I4097" s="25">
        <v>2198</v>
      </c>
      <c r="K4097" t="s">
        <v>647</v>
      </c>
      <c r="N4097" t="s">
        <v>44</v>
      </c>
      <c r="O4097">
        <v>77</v>
      </c>
      <c r="Q4097">
        <v>1</v>
      </c>
      <c r="R4097">
        <v>1</v>
      </c>
      <c r="S4097">
        <v>0</v>
      </c>
      <c r="T4097">
        <v>0</v>
      </c>
      <c r="U4097">
        <v>0</v>
      </c>
      <c r="V4097">
        <v>0</v>
      </c>
      <c r="W4097">
        <v>1</v>
      </c>
      <c r="X4097" s="21">
        <v>0</v>
      </c>
      <c r="Y4097" s="21">
        <v>0</v>
      </c>
      <c r="Z4097" s="21">
        <v>0</v>
      </c>
      <c r="AA4097" s="21">
        <v>0</v>
      </c>
      <c r="AB4097" s="21">
        <v>0</v>
      </c>
      <c r="AC4097" s="21">
        <v>0</v>
      </c>
      <c r="AD4097" s="21">
        <v>0</v>
      </c>
      <c r="AE4097" s="21">
        <v>0</v>
      </c>
      <c r="AF4097">
        <v>0</v>
      </c>
      <c r="AG4097">
        <v>0</v>
      </c>
      <c r="AH4097">
        <v>96</v>
      </c>
      <c r="AJ4097" t="s">
        <v>51</v>
      </c>
      <c r="AK4097" t="s">
        <v>52</v>
      </c>
      <c r="AL4097" t="s">
        <v>1382</v>
      </c>
      <c r="AM4097" s="18"/>
      <c r="AP4097" t="s">
        <v>951</v>
      </c>
    </row>
    <row r="4098" spans="1:42">
      <c r="A4098" s="16">
        <v>43843</v>
      </c>
      <c r="B4098">
        <v>1</v>
      </c>
      <c r="C4098">
        <v>986</v>
      </c>
      <c r="D4098">
        <v>14637</v>
      </c>
      <c r="E4098" t="s">
        <v>112</v>
      </c>
      <c r="F4098" t="s">
        <v>949</v>
      </c>
      <c r="G4098">
        <v>2</v>
      </c>
      <c r="H4098">
        <v>32</v>
      </c>
      <c r="I4098" s="25">
        <v>2199</v>
      </c>
      <c r="K4098" t="s">
        <v>605</v>
      </c>
      <c r="N4098" t="s">
        <v>44</v>
      </c>
      <c r="O4098">
        <v>59</v>
      </c>
      <c r="Q4098">
        <v>1</v>
      </c>
      <c r="R4098">
        <v>1</v>
      </c>
      <c r="S4098">
        <v>0</v>
      </c>
      <c r="T4098">
        <v>0</v>
      </c>
      <c r="U4098">
        <v>0</v>
      </c>
      <c r="V4098">
        <v>0</v>
      </c>
      <c r="W4098">
        <v>1</v>
      </c>
      <c r="X4098" s="21">
        <v>0</v>
      </c>
      <c r="Y4098" s="21">
        <v>0</v>
      </c>
      <c r="Z4098" s="21">
        <v>0</v>
      </c>
      <c r="AA4098" s="21">
        <v>0</v>
      </c>
      <c r="AB4098" s="21">
        <v>0</v>
      </c>
      <c r="AC4098" s="21">
        <v>0</v>
      </c>
      <c r="AD4098" s="21">
        <v>0</v>
      </c>
      <c r="AE4098" s="21">
        <v>0</v>
      </c>
      <c r="AF4098">
        <v>0</v>
      </c>
      <c r="AG4098">
        <v>0</v>
      </c>
      <c r="AH4098">
        <v>96</v>
      </c>
      <c r="AJ4098" t="s">
        <v>51</v>
      </c>
      <c r="AK4098" t="s">
        <v>95</v>
      </c>
      <c r="AL4098" t="s">
        <v>1382</v>
      </c>
      <c r="AM4098" s="18"/>
      <c r="AP4098" t="s">
        <v>951</v>
      </c>
    </row>
    <row r="4099" spans="1:42">
      <c r="A4099" s="16">
        <v>43843</v>
      </c>
      <c r="B4099">
        <v>1</v>
      </c>
      <c r="C4099">
        <v>986</v>
      </c>
      <c r="D4099">
        <v>14637</v>
      </c>
      <c r="E4099" t="s">
        <v>112</v>
      </c>
      <c r="F4099" t="s">
        <v>949</v>
      </c>
      <c r="G4099">
        <v>2</v>
      </c>
      <c r="H4099">
        <v>33</v>
      </c>
      <c r="I4099" s="25">
        <v>2230</v>
      </c>
      <c r="K4099" t="s">
        <v>605</v>
      </c>
      <c r="N4099" t="s">
        <v>44</v>
      </c>
      <c r="O4099">
        <v>84</v>
      </c>
      <c r="Q4099">
        <v>2</v>
      </c>
      <c r="R4099">
        <v>1</v>
      </c>
      <c r="S4099">
        <v>0</v>
      </c>
      <c r="T4099">
        <v>0</v>
      </c>
      <c r="U4099">
        <v>0</v>
      </c>
      <c r="V4099">
        <v>0</v>
      </c>
      <c r="W4099">
        <v>2</v>
      </c>
      <c r="X4099" s="21">
        <v>0</v>
      </c>
      <c r="Y4099" s="21">
        <v>0</v>
      </c>
      <c r="Z4099" s="21">
        <v>0</v>
      </c>
      <c r="AA4099" s="21">
        <v>0</v>
      </c>
      <c r="AB4099" s="21">
        <v>0</v>
      </c>
      <c r="AC4099" s="21">
        <v>0</v>
      </c>
      <c r="AD4099" s="21">
        <v>0</v>
      </c>
      <c r="AE4099" s="21">
        <v>0</v>
      </c>
      <c r="AF4099">
        <v>0</v>
      </c>
      <c r="AG4099">
        <v>0</v>
      </c>
      <c r="AH4099">
        <v>192</v>
      </c>
      <c r="AJ4099" t="s">
        <v>51</v>
      </c>
      <c r="AK4099" t="s">
        <v>52</v>
      </c>
      <c r="AL4099" t="s">
        <v>1383</v>
      </c>
      <c r="AM4099" s="18"/>
      <c r="AP4099" t="s">
        <v>951</v>
      </c>
    </row>
    <row r="4100" spans="1:42">
      <c r="A4100" s="16">
        <v>43843</v>
      </c>
      <c r="B4100">
        <v>1</v>
      </c>
      <c r="C4100">
        <v>986</v>
      </c>
      <c r="D4100">
        <v>14637</v>
      </c>
      <c r="E4100" t="s">
        <v>112</v>
      </c>
      <c r="F4100" t="s">
        <v>949</v>
      </c>
      <c r="G4100">
        <v>2</v>
      </c>
      <c r="H4100">
        <v>34</v>
      </c>
      <c r="I4100" s="25">
        <v>2240</v>
      </c>
      <c r="K4100" t="s">
        <v>605</v>
      </c>
      <c r="N4100" t="s">
        <v>44</v>
      </c>
      <c r="O4100">
        <v>115</v>
      </c>
      <c r="Q4100">
        <v>1</v>
      </c>
      <c r="R4100">
        <v>1</v>
      </c>
      <c r="S4100">
        <v>0</v>
      </c>
      <c r="T4100">
        <v>0</v>
      </c>
      <c r="U4100">
        <v>0</v>
      </c>
      <c r="V4100">
        <v>0</v>
      </c>
      <c r="W4100">
        <v>1</v>
      </c>
      <c r="X4100" s="21">
        <v>0</v>
      </c>
      <c r="Y4100" s="21">
        <v>0</v>
      </c>
      <c r="Z4100" s="21">
        <v>0</v>
      </c>
      <c r="AA4100" s="21">
        <v>0</v>
      </c>
      <c r="AB4100" s="21">
        <v>0</v>
      </c>
      <c r="AC4100" s="21">
        <v>0</v>
      </c>
      <c r="AD4100" s="21">
        <v>0</v>
      </c>
      <c r="AE4100" s="21">
        <v>0</v>
      </c>
      <c r="AF4100">
        <v>0</v>
      </c>
      <c r="AG4100">
        <v>0</v>
      </c>
      <c r="AH4100">
        <v>96</v>
      </c>
      <c r="AJ4100" t="s">
        <v>51</v>
      </c>
      <c r="AK4100" t="s">
        <v>95</v>
      </c>
      <c r="AM4100" s="18"/>
      <c r="AP4100" t="s">
        <v>951</v>
      </c>
    </row>
    <row r="4101" spans="1:42">
      <c r="A4101" s="16">
        <v>43843</v>
      </c>
      <c r="B4101">
        <v>1</v>
      </c>
      <c r="C4101">
        <v>986</v>
      </c>
      <c r="D4101">
        <v>14637</v>
      </c>
      <c r="E4101" t="s">
        <v>112</v>
      </c>
      <c r="F4101" t="s">
        <v>949</v>
      </c>
      <c r="G4101">
        <v>2</v>
      </c>
      <c r="H4101">
        <v>35</v>
      </c>
      <c r="I4101" s="25">
        <v>2380</v>
      </c>
      <c r="K4101" t="s">
        <v>605</v>
      </c>
      <c r="N4101" t="s">
        <v>44</v>
      </c>
      <c r="O4101">
        <v>190</v>
      </c>
      <c r="Q4101">
        <v>3</v>
      </c>
      <c r="R4101">
        <v>1</v>
      </c>
      <c r="S4101">
        <v>0</v>
      </c>
      <c r="T4101">
        <v>0</v>
      </c>
      <c r="U4101">
        <v>0</v>
      </c>
      <c r="V4101">
        <v>0</v>
      </c>
      <c r="W4101">
        <v>3</v>
      </c>
      <c r="X4101" s="21">
        <v>0</v>
      </c>
      <c r="Y4101" s="21">
        <v>0</v>
      </c>
      <c r="Z4101" s="21">
        <v>0</v>
      </c>
      <c r="AA4101" s="21">
        <v>0</v>
      </c>
      <c r="AB4101" s="21">
        <v>0</v>
      </c>
      <c r="AC4101" s="21">
        <v>0</v>
      </c>
      <c r="AD4101" s="21">
        <v>0</v>
      </c>
      <c r="AE4101" s="21">
        <v>0</v>
      </c>
      <c r="AF4101">
        <v>0</v>
      </c>
      <c r="AG4101">
        <v>0</v>
      </c>
      <c r="AH4101">
        <v>288</v>
      </c>
      <c r="AJ4101" t="s">
        <v>51</v>
      </c>
      <c r="AK4101" t="s">
        <v>52</v>
      </c>
      <c r="AL4101" t="s">
        <v>1384</v>
      </c>
      <c r="AM4101" s="18"/>
      <c r="AP4101" t="s">
        <v>951</v>
      </c>
    </row>
    <row r="4102" spans="1:42">
      <c r="A4102" s="16">
        <v>43843</v>
      </c>
      <c r="B4102">
        <v>1</v>
      </c>
      <c r="C4102">
        <v>986</v>
      </c>
      <c r="D4102">
        <v>14637</v>
      </c>
      <c r="E4102" t="s">
        <v>112</v>
      </c>
      <c r="F4102" t="s">
        <v>949</v>
      </c>
      <c r="G4102">
        <v>2</v>
      </c>
      <c r="H4102">
        <v>36</v>
      </c>
      <c r="I4102" s="25">
        <v>2298</v>
      </c>
      <c r="K4102" t="s">
        <v>605</v>
      </c>
      <c r="N4102" t="s">
        <v>44</v>
      </c>
      <c r="O4102">
        <v>154</v>
      </c>
      <c r="Q4102">
        <v>2</v>
      </c>
      <c r="R4102">
        <v>1</v>
      </c>
      <c r="S4102">
        <v>0</v>
      </c>
      <c r="T4102">
        <v>0</v>
      </c>
      <c r="U4102">
        <v>0</v>
      </c>
      <c r="V4102">
        <v>0</v>
      </c>
      <c r="W4102">
        <v>2</v>
      </c>
      <c r="X4102" s="21">
        <v>0</v>
      </c>
      <c r="Y4102" s="21">
        <v>0</v>
      </c>
      <c r="Z4102" s="21">
        <v>0</v>
      </c>
      <c r="AA4102" s="21">
        <v>0</v>
      </c>
      <c r="AB4102" s="21">
        <v>0</v>
      </c>
      <c r="AC4102" s="21">
        <v>0</v>
      </c>
      <c r="AD4102" s="21">
        <v>0</v>
      </c>
      <c r="AE4102" s="21">
        <v>0</v>
      </c>
      <c r="AF4102">
        <v>0</v>
      </c>
      <c r="AG4102">
        <v>0</v>
      </c>
      <c r="AH4102">
        <v>192</v>
      </c>
      <c r="AJ4102" t="s">
        <v>51</v>
      </c>
      <c r="AK4102" t="s">
        <v>52</v>
      </c>
      <c r="AL4102" t="s">
        <v>1384</v>
      </c>
      <c r="AM4102" s="18"/>
      <c r="AP4102" t="s">
        <v>951</v>
      </c>
    </row>
    <row r="4103" spans="1:42">
      <c r="A4103" s="16">
        <v>43843</v>
      </c>
      <c r="B4103">
        <v>1</v>
      </c>
      <c r="C4103">
        <v>986</v>
      </c>
      <c r="D4103">
        <v>14637</v>
      </c>
      <c r="E4103" t="s">
        <v>112</v>
      </c>
      <c r="F4103" t="s">
        <v>949</v>
      </c>
      <c r="G4103">
        <v>2</v>
      </c>
      <c r="H4103">
        <v>37</v>
      </c>
      <c r="I4103" s="25">
        <v>2411</v>
      </c>
      <c r="K4103" t="s">
        <v>599</v>
      </c>
      <c r="N4103" t="s">
        <v>44</v>
      </c>
      <c r="O4103">
        <v>214</v>
      </c>
      <c r="Q4103">
        <v>3</v>
      </c>
      <c r="R4103">
        <v>1</v>
      </c>
      <c r="S4103">
        <v>0</v>
      </c>
      <c r="T4103">
        <v>0</v>
      </c>
      <c r="U4103">
        <v>0</v>
      </c>
      <c r="V4103">
        <v>0</v>
      </c>
      <c r="W4103">
        <v>3</v>
      </c>
      <c r="X4103" s="21">
        <v>0</v>
      </c>
      <c r="Y4103" s="21">
        <v>0</v>
      </c>
      <c r="Z4103" s="21">
        <v>0</v>
      </c>
      <c r="AA4103" s="21">
        <v>0</v>
      </c>
      <c r="AB4103" s="21">
        <v>0</v>
      </c>
      <c r="AC4103" s="21">
        <v>0</v>
      </c>
      <c r="AD4103" s="21">
        <v>0</v>
      </c>
      <c r="AE4103" s="21">
        <v>0</v>
      </c>
      <c r="AF4103">
        <v>0</v>
      </c>
      <c r="AG4103">
        <v>0</v>
      </c>
      <c r="AH4103">
        <v>288</v>
      </c>
      <c r="AJ4103" t="s">
        <v>51</v>
      </c>
      <c r="AK4103" t="s">
        <v>52</v>
      </c>
      <c r="AL4103" t="s">
        <v>1385</v>
      </c>
      <c r="AM4103" s="18"/>
      <c r="AP4103" t="s">
        <v>951</v>
      </c>
    </row>
    <row r="4104" spans="1:42">
      <c r="A4104" s="16">
        <v>43843</v>
      </c>
      <c r="B4104">
        <v>1</v>
      </c>
      <c r="C4104">
        <v>986</v>
      </c>
      <c r="D4104">
        <v>14637</v>
      </c>
      <c r="E4104" t="s">
        <v>112</v>
      </c>
      <c r="F4104" t="s">
        <v>949</v>
      </c>
      <c r="G4104">
        <v>2</v>
      </c>
      <c r="H4104">
        <v>38</v>
      </c>
      <c r="I4104" s="25">
        <v>2279</v>
      </c>
      <c r="K4104" t="s">
        <v>647</v>
      </c>
      <c r="N4104" t="s">
        <v>44</v>
      </c>
      <c r="O4104">
        <v>87</v>
      </c>
      <c r="Q4104">
        <v>2</v>
      </c>
      <c r="R4104">
        <v>1</v>
      </c>
      <c r="S4104">
        <v>0</v>
      </c>
      <c r="T4104">
        <v>0</v>
      </c>
      <c r="U4104">
        <v>0</v>
      </c>
      <c r="V4104">
        <v>0</v>
      </c>
      <c r="W4104">
        <v>2</v>
      </c>
      <c r="X4104" s="21">
        <v>0</v>
      </c>
      <c r="Y4104" s="21">
        <v>0</v>
      </c>
      <c r="Z4104" s="21">
        <v>0</v>
      </c>
      <c r="AA4104" s="21">
        <v>0</v>
      </c>
      <c r="AB4104" s="21">
        <v>0</v>
      </c>
      <c r="AC4104" s="21">
        <v>0</v>
      </c>
      <c r="AD4104" s="21">
        <v>0</v>
      </c>
      <c r="AE4104" s="21">
        <v>0</v>
      </c>
      <c r="AF4104">
        <v>0</v>
      </c>
      <c r="AG4104">
        <v>0</v>
      </c>
      <c r="AH4104">
        <v>192</v>
      </c>
      <c r="AJ4104" t="s">
        <v>51</v>
      </c>
      <c r="AK4104" t="s">
        <v>95</v>
      </c>
      <c r="AM4104" s="18"/>
      <c r="AP4104" t="s">
        <v>951</v>
      </c>
    </row>
    <row r="4105" spans="1:42">
      <c r="A4105" s="16">
        <v>43843</v>
      </c>
      <c r="B4105">
        <v>1</v>
      </c>
      <c r="C4105">
        <v>986</v>
      </c>
      <c r="D4105">
        <v>14637</v>
      </c>
      <c r="E4105" t="s">
        <v>112</v>
      </c>
      <c r="F4105" t="s">
        <v>949</v>
      </c>
      <c r="G4105">
        <v>2</v>
      </c>
      <c r="H4105">
        <v>39</v>
      </c>
      <c r="I4105" s="25">
        <v>2200</v>
      </c>
      <c r="K4105" t="s">
        <v>647</v>
      </c>
      <c r="L4105" t="s">
        <v>141</v>
      </c>
      <c r="N4105" t="s">
        <v>40</v>
      </c>
      <c r="O4105">
        <v>47</v>
      </c>
      <c r="Q4105">
        <v>1</v>
      </c>
      <c r="R4105">
        <v>1</v>
      </c>
      <c r="S4105">
        <v>0</v>
      </c>
      <c r="T4105">
        <v>0</v>
      </c>
      <c r="U4105">
        <v>0</v>
      </c>
      <c r="V4105">
        <v>1</v>
      </c>
      <c r="W4105">
        <v>0</v>
      </c>
      <c r="X4105" s="21">
        <v>0</v>
      </c>
      <c r="Y4105" s="21">
        <v>0</v>
      </c>
      <c r="Z4105" s="21">
        <v>0</v>
      </c>
      <c r="AA4105" s="21">
        <v>0</v>
      </c>
      <c r="AB4105" s="21">
        <v>0</v>
      </c>
      <c r="AC4105" s="21">
        <v>0</v>
      </c>
      <c r="AD4105" s="21">
        <v>0</v>
      </c>
      <c r="AE4105" s="21">
        <v>0</v>
      </c>
      <c r="AF4105">
        <v>0</v>
      </c>
      <c r="AG4105">
        <v>0</v>
      </c>
      <c r="AH4105">
        <v>64</v>
      </c>
      <c r="AJ4105" t="s">
        <v>51</v>
      </c>
      <c r="AK4105" t="s">
        <v>95</v>
      </c>
      <c r="AM4105" s="18"/>
      <c r="AP4105" t="s">
        <v>951</v>
      </c>
    </row>
    <row r="4106" spans="1:42">
      <c r="A4106" s="16">
        <v>43843</v>
      </c>
      <c r="B4106">
        <v>1</v>
      </c>
      <c r="C4106">
        <v>986</v>
      </c>
      <c r="D4106">
        <v>14637</v>
      </c>
      <c r="E4106" t="s">
        <v>112</v>
      </c>
      <c r="F4106" t="s">
        <v>949</v>
      </c>
      <c r="G4106">
        <v>2</v>
      </c>
      <c r="H4106">
        <v>40</v>
      </c>
      <c r="I4106" s="25">
        <v>2457</v>
      </c>
      <c r="K4106" t="s">
        <v>596</v>
      </c>
      <c r="N4106" t="s">
        <v>44</v>
      </c>
      <c r="O4106">
        <v>80</v>
      </c>
      <c r="Q4106">
        <v>1</v>
      </c>
      <c r="R4106">
        <v>1</v>
      </c>
      <c r="S4106">
        <v>0</v>
      </c>
      <c r="T4106">
        <v>0</v>
      </c>
      <c r="U4106">
        <v>0</v>
      </c>
      <c r="V4106">
        <v>0</v>
      </c>
      <c r="W4106">
        <v>1</v>
      </c>
      <c r="X4106" s="21">
        <v>0</v>
      </c>
      <c r="Y4106" s="21">
        <v>0</v>
      </c>
      <c r="Z4106" s="21">
        <v>0</v>
      </c>
      <c r="AA4106" s="21">
        <v>0</v>
      </c>
      <c r="AB4106" s="21">
        <v>0</v>
      </c>
      <c r="AC4106" s="21">
        <v>0</v>
      </c>
      <c r="AD4106" s="21">
        <v>0</v>
      </c>
      <c r="AE4106" s="21">
        <v>0</v>
      </c>
      <c r="AF4106">
        <v>0</v>
      </c>
      <c r="AG4106">
        <v>0</v>
      </c>
      <c r="AH4106">
        <v>96</v>
      </c>
      <c r="AJ4106" t="s">
        <v>51</v>
      </c>
      <c r="AK4106" t="s">
        <v>95</v>
      </c>
      <c r="AL4106" t="s">
        <v>1386</v>
      </c>
      <c r="AM4106" s="18"/>
      <c r="AP4106" t="s">
        <v>951</v>
      </c>
    </row>
    <row r="4107" spans="1:42">
      <c r="A4107" s="16">
        <v>43843</v>
      </c>
      <c r="B4107">
        <v>1</v>
      </c>
      <c r="C4107">
        <v>986</v>
      </c>
      <c r="D4107">
        <v>14637</v>
      </c>
      <c r="E4107" t="s">
        <v>112</v>
      </c>
      <c r="F4107" t="s">
        <v>949</v>
      </c>
      <c r="G4107">
        <v>2</v>
      </c>
      <c r="H4107">
        <v>41</v>
      </c>
      <c r="I4107" s="25">
        <v>2425</v>
      </c>
      <c r="K4107" t="s">
        <v>596</v>
      </c>
      <c r="N4107" t="s">
        <v>44</v>
      </c>
      <c r="O4107">
        <v>73</v>
      </c>
      <c r="Q4107">
        <v>1</v>
      </c>
      <c r="R4107">
        <v>1</v>
      </c>
      <c r="S4107">
        <v>0</v>
      </c>
      <c r="T4107">
        <v>0</v>
      </c>
      <c r="U4107">
        <v>0</v>
      </c>
      <c r="V4107">
        <v>0</v>
      </c>
      <c r="W4107">
        <v>1</v>
      </c>
      <c r="X4107" s="21">
        <v>0</v>
      </c>
      <c r="Y4107" s="21">
        <v>0</v>
      </c>
      <c r="Z4107" s="21">
        <v>0</v>
      </c>
      <c r="AA4107" s="21">
        <v>0</v>
      </c>
      <c r="AB4107" s="21">
        <v>0</v>
      </c>
      <c r="AC4107" s="21">
        <v>0</v>
      </c>
      <c r="AD4107" s="21">
        <v>0</v>
      </c>
      <c r="AE4107" s="21">
        <v>0</v>
      </c>
      <c r="AF4107">
        <v>0</v>
      </c>
      <c r="AG4107">
        <v>0</v>
      </c>
      <c r="AH4107">
        <v>96</v>
      </c>
      <c r="AJ4107" t="s">
        <v>51</v>
      </c>
      <c r="AK4107" t="s">
        <v>95</v>
      </c>
      <c r="AM4107" s="18"/>
      <c r="AP4107" t="s">
        <v>951</v>
      </c>
    </row>
    <row r="4108" spans="1:42">
      <c r="A4108" s="16">
        <v>43843</v>
      </c>
      <c r="B4108">
        <v>1</v>
      </c>
      <c r="C4108">
        <v>986</v>
      </c>
      <c r="D4108">
        <v>14637</v>
      </c>
      <c r="E4108" t="s">
        <v>112</v>
      </c>
      <c r="F4108" t="s">
        <v>949</v>
      </c>
      <c r="G4108">
        <v>2</v>
      </c>
      <c r="H4108">
        <v>42</v>
      </c>
      <c r="I4108" s="25">
        <v>2421</v>
      </c>
      <c r="K4108" t="s">
        <v>596</v>
      </c>
      <c r="N4108" t="s">
        <v>44</v>
      </c>
      <c r="O4108">
        <v>146</v>
      </c>
      <c r="Q4108">
        <v>2</v>
      </c>
      <c r="R4108">
        <v>1</v>
      </c>
      <c r="S4108">
        <v>0</v>
      </c>
      <c r="T4108">
        <v>0</v>
      </c>
      <c r="U4108">
        <v>2</v>
      </c>
      <c r="V4108">
        <v>0</v>
      </c>
      <c r="W4108">
        <v>0</v>
      </c>
      <c r="X4108" s="21">
        <v>0</v>
      </c>
      <c r="Y4108" s="21">
        <v>0</v>
      </c>
      <c r="Z4108" s="21">
        <v>0</v>
      </c>
      <c r="AA4108" s="21">
        <v>0</v>
      </c>
      <c r="AB4108" s="21">
        <v>0</v>
      </c>
      <c r="AC4108" s="21">
        <v>0</v>
      </c>
      <c r="AD4108" s="21">
        <v>0</v>
      </c>
      <c r="AE4108" s="21">
        <v>0</v>
      </c>
      <c r="AF4108">
        <v>0</v>
      </c>
      <c r="AG4108">
        <v>0</v>
      </c>
      <c r="AH4108">
        <v>64</v>
      </c>
      <c r="AJ4108" t="s">
        <v>51</v>
      </c>
      <c r="AK4108" t="s">
        <v>95</v>
      </c>
      <c r="AL4108" t="s">
        <v>1387</v>
      </c>
      <c r="AM4108" s="18"/>
      <c r="AP4108" t="s">
        <v>951</v>
      </c>
    </row>
    <row r="4109" spans="1:42">
      <c r="A4109" s="16">
        <v>43843</v>
      </c>
      <c r="B4109">
        <v>1</v>
      </c>
      <c r="C4109">
        <v>986</v>
      </c>
      <c r="D4109">
        <v>14637</v>
      </c>
      <c r="E4109" t="s">
        <v>112</v>
      </c>
      <c r="F4109" t="s">
        <v>949</v>
      </c>
      <c r="G4109">
        <v>2</v>
      </c>
      <c r="H4109">
        <v>43</v>
      </c>
      <c r="I4109" s="25">
        <v>2380</v>
      </c>
      <c r="K4109" t="s">
        <v>516</v>
      </c>
      <c r="N4109" t="s">
        <v>44</v>
      </c>
      <c r="O4109">
        <v>72</v>
      </c>
      <c r="Q4109">
        <v>2</v>
      </c>
      <c r="R4109">
        <v>1</v>
      </c>
      <c r="S4109">
        <v>0</v>
      </c>
      <c r="T4109">
        <v>0</v>
      </c>
      <c r="U4109">
        <v>0</v>
      </c>
      <c r="V4109">
        <v>0</v>
      </c>
      <c r="W4109">
        <v>2</v>
      </c>
      <c r="X4109" s="21">
        <v>0</v>
      </c>
      <c r="Y4109" s="21">
        <v>0</v>
      </c>
      <c r="Z4109" s="21">
        <v>0</v>
      </c>
      <c r="AA4109" s="21">
        <v>0</v>
      </c>
      <c r="AB4109" s="21">
        <v>0</v>
      </c>
      <c r="AC4109" s="21">
        <v>0</v>
      </c>
      <c r="AD4109" s="21">
        <v>0</v>
      </c>
      <c r="AE4109" s="21">
        <v>0</v>
      </c>
      <c r="AF4109">
        <v>0</v>
      </c>
      <c r="AG4109">
        <v>0</v>
      </c>
      <c r="AH4109">
        <v>192</v>
      </c>
      <c r="AJ4109" t="s">
        <v>51</v>
      </c>
      <c r="AK4109" t="s">
        <v>95</v>
      </c>
      <c r="AL4109" t="s">
        <v>1374</v>
      </c>
      <c r="AM4109" s="18"/>
      <c r="AP4109" t="s">
        <v>951</v>
      </c>
    </row>
    <row r="4110" spans="1:42">
      <c r="A4110" s="16">
        <v>43843</v>
      </c>
      <c r="B4110">
        <v>1</v>
      </c>
      <c r="C4110">
        <v>986</v>
      </c>
      <c r="D4110">
        <v>14637</v>
      </c>
      <c r="E4110" t="s">
        <v>112</v>
      </c>
      <c r="F4110" t="s">
        <v>949</v>
      </c>
      <c r="G4110">
        <v>2</v>
      </c>
      <c r="H4110">
        <v>44</v>
      </c>
      <c r="I4110" s="25">
        <v>2300</v>
      </c>
      <c r="K4110" t="s">
        <v>599</v>
      </c>
      <c r="N4110" t="s">
        <v>44</v>
      </c>
      <c r="O4110">
        <v>196</v>
      </c>
      <c r="Q4110">
        <v>3</v>
      </c>
      <c r="R4110">
        <v>1</v>
      </c>
      <c r="S4110">
        <v>0</v>
      </c>
      <c r="T4110">
        <v>0</v>
      </c>
      <c r="U4110">
        <v>0</v>
      </c>
      <c r="V4110">
        <v>0</v>
      </c>
      <c r="W4110">
        <v>3</v>
      </c>
      <c r="X4110" s="21">
        <v>0</v>
      </c>
      <c r="Y4110" s="21">
        <v>0</v>
      </c>
      <c r="Z4110" s="21">
        <v>0</v>
      </c>
      <c r="AA4110" s="21">
        <v>0</v>
      </c>
      <c r="AB4110" s="21">
        <v>0</v>
      </c>
      <c r="AC4110" s="21">
        <v>0</v>
      </c>
      <c r="AD4110" s="21">
        <v>0</v>
      </c>
      <c r="AE4110" s="21">
        <v>0</v>
      </c>
      <c r="AF4110">
        <v>0</v>
      </c>
      <c r="AG4110">
        <v>0</v>
      </c>
      <c r="AH4110">
        <v>288</v>
      </c>
      <c r="AJ4110" t="s">
        <v>51</v>
      </c>
      <c r="AK4110" t="s">
        <v>95</v>
      </c>
      <c r="AM4110" s="18"/>
      <c r="AP4110" t="s">
        <v>951</v>
      </c>
    </row>
    <row r="4111" spans="1:42">
      <c r="A4111" s="16">
        <v>43843</v>
      </c>
      <c r="B4111">
        <v>1</v>
      </c>
      <c r="C4111">
        <v>986</v>
      </c>
      <c r="D4111">
        <v>14637</v>
      </c>
      <c r="E4111" t="s">
        <v>112</v>
      </c>
      <c r="F4111" t="s">
        <v>949</v>
      </c>
      <c r="G4111">
        <v>2</v>
      </c>
      <c r="H4111">
        <v>45</v>
      </c>
      <c r="I4111" s="25">
        <v>2217</v>
      </c>
      <c r="K4111" t="s">
        <v>605</v>
      </c>
      <c r="N4111" t="s">
        <v>44</v>
      </c>
      <c r="O4111">
        <v>96</v>
      </c>
      <c r="Q4111">
        <v>1</v>
      </c>
      <c r="R4111">
        <v>1</v>
      </c>
      <c r="S4111">
        <v>0</v>
      </c>
      <c r="T4111">
        <v>0</v>
      </c>
      <c r="U4111">
        <v>0</v>
      </c>
      <c r="V4111">
        <v>0</v>
      </c>
      <c r="W4111">
        <v>1</v>
      </c>
      <c r="X4111" s="21">
        <v>0</v>
      </c>
      <c r="Y4111" s="21">
        <v>0</v>
      </c>
      <c r="Z4111" s="21">
        <v>0</v>
      </c>
      <c r="AA4111" s="21">
        <v>0</v>
      </c>
      <c r="AB4111" s="21">
        <v>0</v>
      </c>
      <c r="AC4111" s="21">
        <v>0</v>
      </c>
      <c r="AD4111" s="21">
        <v>0</v>
      </c>
      <c r="AE4111" s="21">
        <v>0</v>
      </c>
      <c r="AF4111">
        <v>0</v>
      </c>
      <c r="AG4111">
        <v>0</v>
      </c>
      <c r="AH4111">
        <v>96</v>
      </c>
      <c r="AJ4111" t="s">
        <v>51</v>
      </c>
      <c r="AK4111" t="s">
        <v>95</v>
      </c>
      <c r="AL4111" t="s">
        <v>1388</v>
      </c>
      <c r="AM4111" s="18"/>
      <c r="AP4111" t="s">
        <v>951</v>
      </c>
    </row>
    <row r="4112" spans="1:42">
      <c r="A4112" s="16">
        <v>43843</v>
      </c>
      <c r="B4112">
        <v>1</v>
      </c>
      <c r="C4112">
        <v>986</v>
      </c>
      <c r="D4112">
        <v>14637</v>
      </c>
      <c r="E4112" t="s">
        <v>112</v>
      </c>
      <c r="F4112" t="s">
        <v>949</v>
      </c>
      <c r="G4112">
        <v>2</v>
      </c>
      <c r="H4112">
        <v>46</v>
      </c>
      <c r="I4112" s="25">
        <v>2412</v>
      </c>
      <c r="K4112" t="s">
        <v>599</v>
      </c>
      <c r="N4112" t="s">
        <v>44</v>
      </c>
      <c r="O4112">
        <v>81</v>
      </c>
      <c r="Q4112">
        <v>1</v>
      </c>
      <c r="R4112">
        <v>1</v>
      </c>
      <c r="S4112">
        <v>0</v>
      </c>
      <c r="T4112">
        <v>0</v>
      </c>
      <c r="U4112">
        <v>0</v>
      </c>
      <c r="V4112">
        <v>0</v>
      </c>
      <c r="W4112">
        <v>1</v>
      </c>
      <c r="X4112" s="21">
        <v>0</v>
      </c>
      <c r="Y4112" s="21">
        <v>0</v>
      </c>
      <c r="Z4112" s="21">
        <v>0</v>
      </c>
      <c r="AA4112" s="21">
        <v>0</v>
      </c>
      <c r="AB4112" s="21">
        <v>0</v>
      </c>
      <c r="AC4112" s="21">
        <v>0</v>
      </c>
      <c r="AD4112" s="21">
        <v>0</v>
      </c>
      <c r="AE4112" s="21">
        <v>0</v>
      </c>
      <c r="AF4112">
        <v>0</v>
      </c>
      <c r="AG4112">
        <v>0</v>
      </c>
      <c r="AH4112">
        <v>96</v>
      </c>
      <c r="AJ4112" t="s">
        <v>51</v>
      </c>
      <c r="AK4112" t="s">
        <v>95</v>
      </c>
      <c r="AM4112" s="18"/>
      <c r="AP4112" t="s">
        <v>951</v>
      </c>
    </row>
    <row r="4113" spans="1:42">
      <c r="A4113" s="16">
        <v>43843</v>
      </c>
      <c r="B4113">
        <v>1</v>
      </c>
      <c r="C4113">
        <v>986</v>
      </c>
      <c r="D4113">
        <v>14637</v>
      </c>
      <c r="E4113" t="s">
        <v>112</v>
      </c>
      <c r="F4113" t="s">
        <v>949</v>
      </c>
      <c r="G4113">
        <v>2</v>
      </c>
      <c r="H4113">
        <v>47</v>
      </c>
      <c r="I4113" s="25">
        <v>2299</v>
      </c>
      <c r="K4113" t="s">
        <v>605</v>
      </c>
      <c r="N4113" t="s">
        <v>44</v>
      </c>
      <c r="O4113">
        <v>55</v>
      </c>
      <c r="Q4113">
        <v>1</v>
      </c>
      <c r="R4113">
        <v>1</v>
      </c>
      <c r="S4113">
        <v>0</v>
      </c>
      <c r="T4113">
        <v>0</v>
      </c>
      <c r="U4113">
        <v>0</v>
      </c>
      <c r="V4113">
        <v>0</v>
      </c>
      <c r="W4113">
        <v>1</v>
      </c>
      <c r="X4113" s="21">
        <v>0</v>
      </c>
      <c r="Y4113" s="21">
        <v>0</v>
      </c>
      <c r="Z4113" s="21">
        <v>0</v>
      </c>
      <c r="AA4113" s="21">
        <v>0</v>
      </c>
      <c r="AB4113" s="21">
        <v>0</v>
      </c>
      <c r="AC4113" s="21">
        <v>0</v>
      </c>
      <c r="AD4113" s="21">
        <v>0</v>
      </c>
      <c r="AE4113" s="21">
        <v>0</v>
      </c>
      <c r="AF4113">
        <v>0</v>
      </c>
      <c r="AG4113">
        <v>0</v>
      </c>
      <c r="AH4113">
        <v>96</v>
      </c>
      <c r="AJ4113" t="s">
        <v>51</v>
      </c>
      <c r="AK4113" t="s">
        <v>52</v>
      </c>
      <c r="AM4113" s="18"/>
      <c r="AP4113" t="s">
        <v>951</v>
      </c>
    </row>
    <row r="4114" spans="1:42">
      <c r="A4114" s="16">
        <v>43843</v>
      </c>
      <c r="B4114">
        <v>1</v>
      </c>
      <c r="C4114">
        <v>986</v>
      </c>
      <c r="D4114">
        <v>14637</v>
      </c>
      <c r="E4114" t="s">
        <v>112</v>
      </c>
      <c r="F4114" t="s">
        <v>949</v>
      </c>
      <c r="G4114">
        <v>2</v>
      </c>
      <c r="H4114">
        <v>48</v>
      </c>
      <c r="I4114" s="25">
        <v>2201</v>
      </c>
      <c r="K4114" t="s">
        <v>605</v>
      </c>
      <c r="N4114" t="s">
        <v>44</v>
      </c>
      <c r="O4114">
        <v>146</v>
      </c>
      <c r="Q4114">
        <v>3</v>
      </c>
      <c r="R4114">
        <v>1</v>
      </c>
      <c r="S4114">
        <v>0</v>
      </c>
      <c r="T4114">
        <v>0</v>
      </c>
      <c r="U4114">
        <v>0</v>
      </c>
      <c r="V4114">
        <v>0</v>
      </c>
      <c r="W4114">
        <v>3</v>
      </c>
      <c r="X4114" s="21">
        <v>0</v>
      </c>
      <c r="Y4114" s="21">
        <v>0</v>
      </c>
      <c r="Z4114" s="21">
        <v>0</v>
      </c>
      <c r="AA4114" s="21">
        <v>0</v>
      </c>
      <c r="AB4114" s="21">
        <v>0</v>
      </c>
      <c r="AC4114" s="21">
        <v>0</v>
      </c>
      <c r="AD4114" s="21">
        <v>0</v>
      </c>
      <c r="AE4114" s="21">
        <v>0</v>
      </c>
      <c r="AF4114">
        <v>0</v>
      </c>
      <c r="AG4114">
        <v>0</v>
      </c>
      <c r="AH4114">
        <v>288</v>
      </c>
      <c r="AJ4114" t="s">
        <v>51</v>
      </c>
      <c r="AK4114" t="s">
        <v>95</v>
      </c>
      <c r="AL4114" t="s">
        <v>1389</v>
      </c>
      <c r="AM4114" s="18"/>
      <c r="AP4114" t="s">
        <v>951</v>
      </c>
    </row>
    <row r="4115" spans="1:42">
      <c r="A4115" s="16">
        <v>43843</v>
      </c>
      <c r="B4115">
        <v>1</v>
      </c>
      <c r="C4115">
        <v>986</v>
      </c>
      <c r="D4115">
        <v>14637</v>
      </c>
      <c r="E4115" t="s">
        <v>112</v>
      </c>
      <c r="F4115" t="s">
        <v>949</v>
      </c>
      <c r="G4115">
        <v>2</v>
      </c>
      <c r="H4115">
        <v>49</v>
      </c>
      <c r="I4115" s="25">
        <v>2200</v>
      </c>
      <c r="K4115" t="s">
        <v>647</v>
      </c>
      <c r="N4115" t="s">
        <v>44</v>
      </c>
      <c r="O4115">
        <v>136</v>
      </c>
      <c r="Q4115">
        <v>2</v>
      </c>
      <c r="R4115">
        <v>1</v>
      </c>
      <c r="S4115">
        <v>0</v>
      </c>
      <c r="T4115">
        <v>0</v>
      </c>
      <c r="U4115">
        <v>0</v>
      </c>
      <c r="V4115">
        <v>0</v>
      </c>
      <c r="W4115">
        <v>2</v>
      </c>
      <c r="X4115" s="21">
        <v>0</v>
      </c>
      <c r="Y4115" s="21">
        <v>0</v>
      </c>
      <c r="Z4115" s="21">
        <v>0</v>
      </c>
      <c r="AA4115" s="21">
        <v>0</v>
      </c>
      <c r="AB4115" s="21">
        <v>0</v>
      </c>
      <c r="AC4115" s="21">
        <v>0</v>
      </c>
      <c r="AD4115" s="21">
        <v>0</v>
      </c>
      <c r="AE4115" s="21">
        <v>0</v>
      </c>
      <c r="AF4115">
        <v>0</v>
      </c>
      <c r="AG4115">
        <v>0</v>
      </c>
      <c r="AH4115">
        <v>192</v>
      </c>
      <c r="AJ4115" t="s">
        <v>51</v>
      </c>
      <c r="AK4115" t="s">
        <v>52</v>
      </c>
      <c r="AL4115" t="s">
        <v>1390</v>
      </c>
      <c r="AM4115" s="18"/>
      <c r="AP4115" t="s">
        <v>951</v>
      </c>
    </row>
    <row r="4116" spans="1:42">
      <c r="A4116" s="16">
        <v>43843</v>
      </c>
      <c r="B4116">
        <v>1</v>
      </c>
      <c r="C4116">
        <v>986</v>
      </c>
      <c r="D4116">
        <v>14637</v>
      </c>
      <c r="E4116" t="s">
        <v>112</v>
      </c>
      <c r="F4116" t="s">
        <v>949</v>
      </c>
      <c r="G4116">
        <v>2</v>
      </c>
      <c r="H4116">
        <v>50</v>
      </c>
      <c r="I4116" s="25">
        <v>2210</v>
      </c>
      <c r="K4116" t="s">
        <v>647</v>
      </c>
      <c r="N4116" t="s">
        <v>44</v>
      </c>
      <c r="O4116">
        <v>121</v>
      </c>
      <c r="Q4116">
        <v>4</v>
      </c>
      <c r="R4116">
        <v>1</v>
      </c>
      <c r="S4116">
        <v>0</v>
      </c>
      <c r="T4116">
        <v>0</v>
      </c>
      <c r="U4116">
        <v>0</v>
      </c>
      <c r="V4116">
        <v>0</v>
      </c>
      <c r="W4116">
        <v>4</v>
      </c>
      <c r="X4116" s="21">
        <v>0</v>
      </c>
      <c r="Y4116" s="21">
        <v>0</v>
      </c>
      <c r="Z4116" s="21">
        <v>0</v>
      </c>
      <c r="AA4116" s="21">
        <v>0</v>
      </c>
      <c r="AB4116" s="21">
        <v>0</v>
      </c>
      <c r="AC4116" s="21">
        <v>0</v>
      </c>
      <c r="AD4116" s="21">
        <v>0</v>
      </c>
      <c r="AE4116" s="21">
        <v>0</v>
      </c>
      <c r="AF4116">
        <v>0</v>
      </c>
      <c r="AG4116">
        <v>0</v>
      </c>
      <c r="AH4116">
        <v>384</v>
      </c>
      <c r="AJ4116" t="s">
        <v>51</v>
      </c>
      <c r="AK4116" t="s">
        <v>95</v>
      </c>
      <c r="AM4116" s="18"/>
      <c r="AP4116" t="s">
        <v>951</v>
      </c>
    </row>
    <row r="4117" spans="1:42">
      <c r="A4117" s="16">
        <v>43843</v>
      </c>
      <c r="B4117">
        <v>1</v>
      </c>
      <c r="C4117">
        <v>986</v>
      </c>
      <c r="D4117">
        <v>14637</v>
      </c>
      <c r="E4117" t="s">
        <v>112</v>
      </c>
      <c r="F4117" t="s">
        <v>949</v>
      </c>
      <c r="G4117">
        <v>2</v>
      </c>
      <c r="H4117">
        <v>51</v>
      </c>
      <c r="I4117" s="25">
        <v>2286</v>
      </c>
      <c r="K4117" t="s">
        <v>647</v>
      </c>
      <c r="N4117" t="s">
        <v>44</v>
      </c>
      <c r="O4117">
        <v>109</v>
      </c>
      <c r="Q4117">
        <v>1</v>
      </c>
      <c r="R4117">
        <v>1</v>
      </c>
      <c r="S4117">
        <v>0</v>
      </c>
      <c r="T4117">
        <v>0</v>
      </c>
      <c r="U4117">
        <v>0</v>
      </c>
      <c r="V4117">
        <v>0</v>
      </c>
      <c r="W4117">
        <v>1</v>
      </c>
      <c r="X4117" s="21">
        <v>0</v>
      </c>
      <c r="Y4117" s="21">
        <v>0</v>
      </c>
      <c r="Z4117" s="21">
        <v>0</v>
      </c>
      <c r="AA4117" s="21">
        <v>0</v>
      </c>
      <c r="AB4117" s="21">
        <v>0</v>
      </c>
      <c r="AC4117" s="21">
        <v>0</v>
      </c>
      <c r="AD4117" s="21">
        <v>0</v>
      </c>
      <c r="AE4117" s="21">
        <v>0</v>
      </c>
      <c r="AF4117">
        <v>1</v>
      </c>
      <c r="AG4117">
        <v>0</v>
      </c>
      <c r="AH4117">
        <v>96</v>
      </c>
      <c r="AJ4117" t="s">
        <v>51</v>
      </c>
      <c r="AK4117" t="s">
        <v>95</v>
      </c>
      <c r="AL4117" t="s">
        <v>1391</v>
      </c>
      <c r="AM4117" s="18"/>
      <c r="AP4117" t="s">
        <v>951</v>
      </c>
    </row>
    <row r="4118" spans="1:42">
      <c r="A4118" s="16">
        <v>43843</v>
      </c>
      <c r="B4118">
        <v>1</v>
      </c>
      <c r="C4118">
        <v>986</v>
      </c>
      <c r="D4118">
        <v>14637</v>
      </c>
      <c r="E4118" t="s">
        <v>112</v>
      </c>
      <c r="F4118" t="s">
        <v>949</v>
      </c>
      <c r="G4118">
        <v>2</v>
      </c>
      <c r="H4118">
        <v>52</v>
      </c>
      <c r="I4118" s="25">
        <v>2300</v>
      </c>
      <c r="K4118" t="s">
        <v>185</v>
      </c>
      <c r="L4118" t="s">
        <v>141</v>
      </c>
      <c r="N4118" t="s">
        <v>40</v>
      </c>
      <c r="O4118">
        <v>35</v>
      </c>
      <c r="Q4118">
        <v>1</v>
      </c>
      <c r="R4118">
        <v>1</v>
      </c>
      <c r="S4118">
        <v>0</v>
      </c>
      <c r="T4118">
        <v>0</v>
      </c>
      <c r="U4118">
        <v>0</v>
      </c>
      <c r="V4118">
        <v>1</v>
      </c>
      <c r="W4118">
        <v>0</v>
      </c>
      <c r="X4118" s="21">
        <v>0</v>
      </c>
      <c r="Y4118" s="21">
        <v>0</v>
      </c>
      <c r="Z4118" s="21">
        <v>0</v>
      </c>
      <c r="AA4118" s="21">
        <v>0</v>
      </c>
      <c r="AB4118" s="21">
        <v>0</v>
      </c>
      <c r="AC4118" s="21">
        <v>0</v>
      </c>
      <c r="AD4118" s="21">
        <v>0</v>
      </c>
      <c r="AE4118" s="21">
        <v>0</v>
      </c>
      <c r="AF4118">
        <v>0</v>
      </c>
      <c r="AG4118">
        <v>0</v>
      </c>
      <c r="AH4118">
        <v>64</v>
      </c>
      <c r="AJ4118" t="s">
        <v>54</v>
      </c>
      <c r="AK4118" t="s">
        <v>95</v>
      </c>
      <c r="AL4118" t="s">
        <v>1392</v>
      </c>
      <c r="AM4118" s="18"/>
      <c r="AP4118" t="s">
        <v>951</v>
      </c>
    </row>
    <row r="4119" spans="1:42">
      <c r="A4119" s="16">
        <v>43843</v>
      </c>
      <c r="B4119">
        <v>1</v>
      </c>
      <c r="C4119">
        <v>986</v>
      </c>
      <c r="D4119">
        <v>14637</v>
      </c>
      <c r="E4119" t="s">
        <v>112</v>
      </c>
      <c r="F4119" t="s">
        <v>949</v>
      </c>
      <c r="G4119">
        <v>2</v>
      </c>
      <c r="H4119">
        <v>53</v>
      </c>
      <c r="I4119" s="25">
        <v>2410</v>
      </c>
      <c r="K4119" t="s">
        <v>605</v>
      </c>
      <c r="N4119" t="s">
        <v>44</v>
      </c>
      <c r="O4119">
        <v>100</v>
      </c>
      <c r="Q4119">
        <v>2</v>
      </c>
      <c r="R4119">
        <v>1</v>
      </c>
      <c r="S4119">
        <v>0</v>
      </c>
      <c r="T4119">
        <v>0</v>
      </c>
      <c r="U4119">
        <v>0</v>
      </c>
      <c r="V4119">
        <v>0</v>
      </c>
      <c r="W4119">
        <v>2</v>
      </c>
      <c r="X4119" s="21">
        <v>0</v>
      </c>
      <c r="Y4119" s="21">
        <v>0</v>
      </c>
      <c r="Z4119" s="21">
        <v>0</v>
      </c>
      <c r="AA4119" s="21">
        <v>0</v>
      </c>
      <c r="AB4119" s="21">
        <v>0</v>
      </c>
      <c r="AC4119" s="21">
        <v>0</v>
      </c>
      <c r="AD4119" s="21">
        <v>0</v>
      </c>
      <c r="AE4119" s="21">
        <v>0</v>
      </c>
      <c r="AF4119">
        <v>0</v>
      </c>
      <c r="AG4119">
        <v>0</v>
      </c>
      <c r="AH4119">
        <v>192</v>
      </c>
      <c r="AL4119" t="s">
        <v>1393</v>
      </c>
      <c r="AM4119" s="18"/>
      <c r="AP4119" t="s">
        <v>951</v>
      </c>
    </row>
    <row r="4120" spans="1:42">
      <c r="A4120" s="16">
        <v>43843</v>
      </c>
      <c r="B4120">
        <v>1</v>
      </c>
      <c r="C4120">
        <v>986</v>
      </c>
      <c r="D4120">
        <v>14637</v>
      </c>
      <c r="E4120" t="s">
        <v>112</v>
      </c>
      <c r="F4120" t="s">
        <v>949</v>
      </c>
      <c r="G4120">
        <v>2</v>
      </c>
      <c r="H4120">
        <v>54</v>
      </c>
      <c r="I4120" s="25">
        <v>2300</v>
      </c>
      <c r="K4120" t="s">
        <v>185</v>
      </c>
      <c r="L4120" t="s">
        <v>141</v>
      </c>
      <c r="N4120" t="s">
        <v>40</v>
      </c>
      <c r="O4120">
        <v>48</v>
      </c>
      <c r="Q4120">
        <v>2</v>
      </c>
      <c r="R4120">
        <v>1</v>
      </c>
      <c r="S4120">
        <v>0</v>
      </c>
      <c r="T4120">
        <v>0</v>
      </c>
      <c r="U4120">
        <v>0</v>
      </c>
      <c r="V4120">
        <v>2</v>
      </c>
      <c r="W4120">
        <v>0</v>
      </c>
      <c r="X4120" s="21">
        <v>0</v>
      </c>
      <c r="Y4120" s="21">
        <v>0</v>
      </c>
      <c r="Z4120" s="21">
        <v>0</v>
      </c>
      <c r="AA4120" s="21">
        <v>0</v>
      </c>
      <c r="AB4120" s="21">
        <v>0</v>
      </c>
      <c r="AC4120" s="21">
        <v>0</v>
      </c>
      <c r="AD4120" s="21">
        <v>0</v>
      </c>
      <c r="AE4120" s="21">
        <v>0</v>
      </c>
      <c r="AF4120">
        <v>0</v>
      </c>
      <c r="AG4120">
        <v>0</v>
      </c>
      <c r="AH4120">
        <v>128</v>
      </c>
      <c r="AJ4120" t="s">
        <v>54</v>
      </c>
      <c r="AK4120" t="s">
        <v>95</v>
      </c>
      <c r="AM4120" s="18"/>
      <c r="AP4120" t="s">
        <v>951</v>
      </c>
    </row>
    <row r="4121" spans="1:42">
      <c r="A4121" s="16">
        <v>43843</v>
      </c>
      <c r="B4121">
        <v>1</v>
      </c>
      <c r="C4121">
        <v>986</v>
      </c>
      <c r="D4121">
        <v>14637</v>
      </c>
      <c r="E4121" t="s">
        <v>112</v>
      </c>
      <c r="F4121" t="s">
        <v>949</v>
      </c>
      <c r="G4121">
        <v>2</v>
      </c>
      <c r="H4121">
        <v>55</v>
      </c>
      <c r="I4121" s="25">
        <v>2300</v>
      </c>
      <c r="K4121" t="s">
        <v>185</v>
      </c>
      <c r="L4121" t="s">
        <v>141</v>
      </c>
      <c r="N4121" t="s">
        <v>40</v>
      </c>
      <c r="O4121">
        <v>20</v>
      </c>
      <c r="Q4121">
        <v>2</v>
      </c>
      <c r="R4121">
        <v>1</v>
      </c>
      <c r="S4121">
        <v>0</v>
      </c>
      <c r="T4121">
        <v>0</v>
      </c>
      <c r="U4121">
        <v>0</v>
      </c>
      <c r="V4121">
        <v>0</v>
      </c>
      <c r="W4121">
        <v>2</v>
      </c>
      <c r="X4121" s="21">
        <v>0</v>
      </c>
      <c r="Y4121" s="21">
        <v>0</v>
      </c>
      <c r="Z4121" s="21">
        <v>0</v>
      </c>
      <c r="AA4121" s="21">
        <v>0</v>
      </c>
      <c r="AB4121" s="21">
        <v>0</v>
      </c>
      <c r="AC4121" s="21">
        <v>0</v>
      </c>
      <c r="AD4121" s="21">
        <v>0</v>
      </c>
      <c r="AE4121" s="21">
        <v>0</v>
      </c>
      <c r="AF4121">
        <v>0</v>
      </c>
      <c r="AG4121">
        <v>0</v>
      </c>
      <c r="AH4121">
        <v>192</v>
      </c>
      <c r="AJ4121" t="s">
        <v>54</v>
      </c>
      <c r="AK4121" t="s">
        <v>95</v>
      </c>
      <c r="AM4121" s="18"/>
      <c r="AP4121" t="s">
        <v>951</v>
      </c>
    </row>
    <row r="4122" spans="1:42">
      <c r="A4122" s="16">
        <v>43843</v>
      </c>
      <c r="B4122">
        <v>1</v>
      </c>
      <c r="C4122">
        <v>986</v>
      </c>
      <c r="D4122">
        <v>14637</v>
      </c>
      <c r="E4122" t="s">
        <v>112</v>
      </c>
      <c r="F4122" t="s">
        <v>949</v>
      </c>
      <c r="G4122">
        <v>2</v>
      </c>
      <c r="H4122">
        <v>56</v>
      </c>
      <c r="I4122" s="25">
        <v>2300</v>
      </c>
      <c r="K4122" t="s">
        <v>185</v>
      </c>
      <c r="L4122" t="s">
        <v>141</v>
      </c>
      <c r="N4122" t="s">
        <v>40</v>
      </c>
      <c r="O4122">
        <v>28</v>
      </c>
      <c r="Q4122">
        <v>1</v>
      </c>
      <c r="R4122">
        <v>1</v>
      </c>
      <c r="S4122">
        <v>0</v>
      </c>
      <c r="T4122">
        <v>0</v>
      </c>
      <c r="U4122">
        <v>0</v>
      </c>
      <c r="V4122">
        <v>0</v>
      </c>
      <c r="W4122">
        <v>1</v>
      </c>
      <c r="X4122" s="21">
        <v>0</v>
      </c>
      <c r="Y4122" s="21">
        <v>0</v>
      </c>
      <c r="Z4122" s="21">
        <v>0</v>
      </c>
      <c r="AA4122" s="21">
        <v>0</v>
      </c>
      <c r="AB4122" s="21">
        <v>0</v>
      </c>
      <c r="AC4122" s="21">
        <v>0</v>
      </c>
      <c r="AD4122" s="21">
        <v>0</v>
      </c>
      <c r="AE4122" s="21">
        <v>0</v>
      </c>
      <c r="AF4122">
        <v>0</v>
      </c>
      <c r="AG4122">
        <v>0</v>
      </c>
      <c r="AH4122">
        <v>96</v>
      </c>
      <c r="AJ4122" t="s">
        <v>54</v>
      </c>
      <c r="AK4122" t="s">
        <v>52</v>
      </c>
      <c r="AM4122" s="18"/>
      <c r="AP4122" t="s">
        <v>951</v>
      </c>
    </row>
    <row r="4123" spans="1:42">
      <c r="A4123" s="16">
        <v>43843</v>
      </c>
      <c r="B4123">
        <v>1</v>
      </c>
      <c r="C4123">
        <v>986</v>
      </c>
      <c r="D4123">
        <v>14637</v>
      </c>
      <c r="E4123" t="s">
        <v>112</v>
      </c>
      <c r="F4123" t="s">
        <v>949</v>
      </c>
      <c r="G4123">
        <v>2</v>
      </c>
      <c r="H4123">
        <v>57</v>
      </c>
      <c r="I4123" s="25">
        <v>2300</v>
      </c>
      <c r="K4123" t="s">
        <v>185</v>
      </c>
      <c r="L4123" t="s">
        <v>141</v>
      </c>
      <c r="N4123" t="s">
        <v>40</v>
      </c>
      <c r="O4123">
        <v>22</v>
      </c>
      <c r="Q4123">
        <v>1</v>
      </c>
      <c r="R4123">
        <v>1</v>
      </c>
      <c r="S4123">
        <v>0</v>
      </c>
      <c r="T4123">
        <v>0</v>
      </c>
      <c r="U4123">
        <v>0</v>
      </c>
      <c r="V4123">
        <v>0</v>
      </c>
      <c r="W4123">
        <v>1</v>
      </c>
      <c r="X4123" s="21">
        <v>0</v>
      </c>
      <c r="Y4123" s="21">
        <v>0</v>
      </c>
      <c r="Z4123" s="21">
        <v>0</v>
      </c>
      <c r="AA4123" s="21">
        <v>0</v>
      </c>
      <c r="AB4123" s="21">
        <v>0</v>
      </c>
      <c r="AC4123" s="21">
        <v>0</v>
      </c>
      <c r="AD4123" s="21">
        <v>0</v>
      </c>
      <c r="AE4123" s="21">
        <v>0</v>
      </c>
      <c r="AF4123">
        <v>0</v>
      </c>
      <c r="AG4123">
        <v>0</v>
      </c>
      <c r="AH4123">
        <v>96</v>
      </c>
      <c r="AJ4123" t="s">
        <v>54</v>
      </c>
      <c r="AK4123" t="s">
        <v>95</v>
      </c>
      <c r="AM4123" s="18"/>
      <c r="AP4123" t="s">
        <v>951</v>
      </c>
    </row>
    <row r="4124" spans="1:42">
      <c r="A4124" s="16">
        <v>43843</v>
      </c>
      <c r="B4124">
        <v>1</v>
      </c>
      <c r="C4124">
        <v>986</v>
      </c>
      <c r="D4124">
        <v>14637</v>
      </c>
      <c r="E4124" t="s">
        <v>112</v>
      </c>
      <c r="F4124" t="s">
        <v>949</v>
      </c>
      <c r="G4124">
        <v>2</v>
      </c>
      <c r="H4124">
        <v>58</v>
      </c>
      <c r="I4124" s="25" t="s">
        <v>1394</v>
      </c>
      <c r="K4124" t="s">
        <v>185</v>
      </c>
      <c r="N4124" t="s">
        <v>44</v>
      </c>
      <c r="O4124">
        <v>130</v>
      </c>
      <c r="Q4124">
        <v>2</v>
      </c>
      <c r="R4124">
        <v>1</v>
      </c>
      <c r="S4124">
        <v>0</v>
      </c>
      <c r="T4124">
        <v>0</v>
      </c>
      <c r="U4124">
        <v>0</v>
      </c>
      <c r="V4124">
        <v>0</v>
      </c>
      <c r="W4124">
        <v>2</v>
      </c>
      <c r="X4124" s="21">
        <v>0</v>
      </c>
      <c r="Y4124" s="21">
        <v>0</v>
      </c>
      <c r="Z4124" s="21">
        <v>0</v>
      </c>
      <c r="AA4124" s="21">
        <v>0</v>
      </c>
      <c r="AB4124" s="21">
        <v>0</v>
      </c>
      <c r="AC4124" s="21">
        <v>0</v>
      </c>
      <c r="AD4124" s="21">
        <v>0</v>
      </c>
      <c r="AE4124" s="21">
        <v>0</v>
      </c>
      <c r="AF4124">
        <v>0</v>
      </c>
      <c r="AG4124">
        <v>0</v>
      </c>
      <c r="AH4124">
        <v>192</v>
      </c>
      <c r="AJ4124" t="s">
        <v>54</v>
      </c>
      <c r="AK4124" t="s">
        <v>95</v>
      </c>
      <c r="AL4124" t="s">
        <v>1395</v>
      </c>
      <c r="AM4124" s="18"/>
      <c r="AP4124" t="s">
        <v>951</v>
      </c>
    </row>
    <row r="4125" spans="1:42">
      <c r="A4125" s="16">
        <v>43843</v>
      </c>
      <c r="B4125">
        <v>1</v>
      </c>
      <c r="C4125">
        <v>986</v>
      </c>
      <c r="D4125">
        <v>14637</v>
      </c>
      <c r="E4125" t="s">
        <v>112</v>
      </c>
      <c r="F4125" t="s">
        <v>949</v>
      </c>
      <c r="G4125">
        <v>2</v>
      </c>
      <c r="H4125">
        <v>59</v>
      </c>
      <c r="I4125" s="25">
        <v>2295</v>
      </c>
      <c r="K4125" t="s">
        <v>585</v>
      </c>
      <c r="N4125" t="s">
        <v>44</v>
      </c>
      <c r="O4125">
        <v>142</v>
      </c>
      <c r="Q4125">
        <v>2</v>
      </c>
      <c r="R4125">
        <v>1</v>
      </c>
      <c r="S4125">
        <v>0</v>
      </c>
      <c r="T4125">
        <v>0</v>
      </c>
      <c r="U4125">
        <v>0</v>
      </c>
      <c r="V4125">
        <v>0</v>
      </c>
      <c r="W4125">
        <v>2</v>
      </c>
      <c r="X4125" s="21">
        <v>0</v>
      </c>
      <c r="Y4125" s="21">
        <v>0</v>
      </c>
      <c r="Z4125" s="21">
        <v>0</v>
      </c>
      <c r="AA4125" s="21">
        <v>0</v>
      </c>
      <c r="AB4125" s="21">
        <v>0</v>
      </c>
      <c r="AC4125" s="21">
        <v>0</v>
      </c>
      <c r="AD4125" s="21">
        <v>0</v>
      </c>
      <c r="AE4125" s="21">
        <v>0</v>
      </c>
      <c r="AF4125">
        <v>0</v>
      </c>
      <c r="AG4125">
        <v>0</v>
      </c>
      <c r="AH4125">
        <v>192</v>
      </c>
      <c r="AJ4125" t="s">
        <v>54</v>
      </c>
      <c r="AK4125" t="s">
        <v>95</v>
      </c>
      <c r="AL4125" t="s">
        <v>1396</v>
      </c>
      <c r="AM4125" s="18"/>
      <c r="AP4125" t="s">
        <v>951</v>
      </c>
    </row>
    <row r="4126" spans="1:42">
      <c r="A4126" s="16">
        <v>43843</v>
      </c>
      <c r="B4126">
        <v>1</v>
      </c>
      <c r="C4126">
        <v>986</v>
      </c>
      <c r="D4126">
        <v>14637</v>
      </c>
      <c r="E4126" t="s">
        <v>112</v>
      </c>
      <c r="F4126" t="s">
        <v>949</v>
      </c>
      <c r="G4126">
        <v>2</v>
      </c>
      <c r="H4126">
        <v>60</v>
      </c>
      <c r="I4126" s="25">
        <v>2300</v>
      </c>
      <c r="K4126" t="s">
        <v>585</v>
      </c>
      <c r="L4126" t="s">
        <v>114</v>
      </c>
      <c r="N4126" t="s">
        <v>40</v>
      </c>
      <c r="O4126">
        <v>43</v>
      </c>
      <c r="Q4126">
        <v>1</v>
      </c>
      <c r="R4126">
        <v>1</v>
      </c>
      <c r="S4126">
        <v>0</v>
      </c>
      <c r="T4126">
        <v>0</v>
      </c>
      <c r="U4126">
        <v>0</v>
      </c>
      <c r="V4126">
        <v>1</v>
      </c>
      <c r="W4126">
        <v>0</v>
      </c>
      <c r="X4126" s="21">
        <v>0</v>
      </c>
      <c r="Y4126" s="21">
        <v>0</v>
      </c>
      <c r="Z4126" s="21">
        <v>0</v>
      </c>
      <c r="AA4126" s="21">
        <v>0</v>
      </c>
      <c r="AB4126" s="21">
        <v>0</v>
      </c>
      <c r="AC4126" s="21">
        <v>0</v>
      </c>
      <c r="AD4126" s="21">
        <v>0</v>
      </c>
      <c r="AE4126" s="21">
        <v>0</v>
      </c>
      <c r="AF4126">
        <v>0</v>
      </c>
      <c r="AG4126">
        <v>0</v>
      </c>
      <c r="AH4126">
        <v>64</v>
      </c>
      <c r="AJ4126" t="s">
        <v>51</v>
      </c>
      <c r="AK4126" t="s">
        <v>95</v>
      </c>
      <c r="AM4126" s="18"/>
      <c r="AP4126" t="s">
        <v>951</v>
      </c>
    </row>
    <row r="4127" spans="1:42">
      <c r="A4127" s="16">
        <v>43843</v>
      </c>
      <c r="B4127">
        <v>1</v>
      </c>
      <c r="C4127">
        <v>986</v>
      </c>
      <c r="D4127">
        <v>14637</v>
      </c>
      <c r="E4127" t="s">
        <v>112</v>
      </c>
      <c r="F4127" t="s">
        <v>949</v>
      </c>
      <c r="G4127">
        <v>2</v>
      </c>
      <c r="H4127">
        <v>61</v>
      </c>
      <c r="I4127" s="25">
        <v>2300</v>
      </c>
      <c r="K4127" t="s">
        <v>585</v>
      </c>
      <c r="L4127" t="s">
        <v>114</v>
      </c>
      <c r="N4127" t="s">
        <v>40</v>
      </c>
      <c r="O4127">
        <v>33</v>
      </c>
      <c r="Q4127">
        <v>1</v>
      </c>
      <c r="R4127">
        <v>1</v>
      </c>
      <c r="S4127">
        <v>0</v>
      </c>
      <c r="T4127">
        <v>0</v>
      </c>
      <c r="U4127">
        <v>1</v>
      </c>
      <c r="V4127">
        <v>0</v>
      </c>
      <c r="W4127">
        <v>0</v>
      </c>
      <c r="X4127" s="21">
        <v>0</v>
      </c>
      <c r="Y4127" s="21">
        <v>0</v>
      </c>
      <c r="Z4127" s="21">
        <v>0</v>
      </c>
      <c r="AA4127" s="21">
        <v>0</v>
      </c>
      <c r="AB4127" s="21">
        <v>0</v>
      </c>
      <c r="AC4127" s="21">
        <v>0</v>
      </c>
      <c r="AD4127" s="21">
        <v>0</v>
      </c>
      <c r="AE4127" s="21">
        <v>0</v>
      </c>
      <c r="AF4127">
        <v>0</v>
      </c>
      <c r="AG4127">
        <v>0</v>
      </c>
      <c r="AH4127">
        <v>32</v>
      </c>
      <c r="AJ4127" t="s">
        <v>51</v>
      </c>
      <c r="AK4127" t="s">
        <v>52</v>
      </c>
      <c r="AM4127" s="18"/>
      <c r="AP4127" t="s">
        <v>951</v>
      </c>
    </row>
    <row r="4128" spans="1:42">
      <c r="A4128" s="16">
        <v>43843</v>
      </c>
      <c r="B4128">
        <v>1</v>
      </c>
      <c r="C4128">
        <v>986</v>
      </c>
      <c r="D4128">
        <v>14637</v>
      </c>
      <c r="E4128" t="s">
        <v>112</v>
      </c>
      <c r="F4128" t="s">
        <v>949</v>
      </c>
      <c r="G4128">
        <v>2</v>
      </c>
      <c r="H4128">
        <v>62</v>
      </c>
      <c r="I4128" s="25">
        <v>2328</v>
      </c>
      <c r="K4128" t="s">
        <v>585</v>
      </c>
      <c r="N4128" t="s">
        <v>44</v>
      </c>
      <c r="O4128">
        <v>71</v>
      </c>
      <c r="Q4128">
        <v>1</v>
      </c>
      <c r="R4128">
        <v>1</v>
      </c>
      <c r="S4128">
        <v>0</v>
      </c>
      <c r="T4128">
        <v>0</v>
      </c>
      <c r="U4128">
        <v>0</v>
      </c>
      <c r="V4128">
        <v>0</v>
      </c>
      <c r="W4128">
        <v>1</v>
      </c>
      <c r="X4128" s="21">
        <v>0</v>
      </c>
      <c r="Y4128" s="21">
        <v>0</v>
      </c>
      <c r="Z4128" s="21">
        <v>0</v>
      </c>
      <c r="AA4128" s="21">
        <v>0</v>
      </c>
      <c r="AB4128" s="21">
        <v>0</v>
      </c>
      <c r="AC4128" s="21">
        <v>0</v>
      </c>
      <c r="AD4128" s="21">
        <v>0</v>
      </c>
      <c r="AE4128" s="21">
        <v>0</v>
      </c>
      <c r="AF4128">
        <v>0</v>
      </c>
      <c r="AG4128">
        <v>0</v>
      </c>
      <c r="AH4128">
        <v>96</v>
      </c>
      <c r="AJ4128" t="s">
        <v>51</v>
      </c>
      <c r="AK4128" t="s">
        <v>52</v>
      </c>
      <c r="AL4128" t="s">
        <v>1374</v>
      </c>
      <c r="AM4128" s="18"/>
      <c r="AP4128" t="s">
        <v>951</v>
      </c>
    </row>
    <row r="4129" spans="1:42">
      <c r="A4129" s="16">
        <v>43843</v>
      </c>
      <c r="B4129">
        <v>1</v>
      </c>
      <c r="C4129">
        <v>986</v>
      </c>
      <c r="D4129">
        <v>14637</v>
      </c>
      <c r="E4129" t="s">
        <v>112</v>
      </c>
      <c r="F4129" t="s">
        <v>949</v>
      </c>
      <c r="G4129">
        <v>2</v>
      </c>
      <c r="H4129">
        <v>63</v>
      </c>
      <c r="I4129" s="25">
        <v>2340</v>
      </c>
      <c r="K4129" t="s">
        <v>585</v>
      </c>
      <c r="N4129" t="s">
        <v>44</v>
      </c>
      <c r="O4129">
        <v>78</v>
      </c>
      <c r="Q4129">
        <v>1</v>
      </c>
      <c r="R4129">
        <v>1</v>
      </c>
      <c r="S4129">
        <v>0</v>
      </c>
      <c r="T4129">
        <v>0</v>
      </c>
      <c r="U4129">
        <v>0</v>
      </c>
      <c r="V4129">
        <v>0</v>
      </c>
      <c r="W4129">
        <v>1</v>
      </c>
      <c r="X4129" s="21">
        <v>0</v>
      </c>
      <c r="Y4129" s="21">
        <v>0</v>
      </c>
      <c r="Z4129" s="21">
        <v>0</v>
      </c>
      <c r="AA4129" s="21">
        <v>0</v>
      </c>
      <c r="AB4129" s="21">
        <v>0</v>
      </c>
      <c r="AC4129" s="21">
        <v>0</v>
      </c>
      <c r="AD4129" s="21">
        <v>0</v>
      </c>
      <c r="AE4129" s="21">
        <v>0</v>
      </c>
      <c r="AF4129">
        <v>0</v>
      </c>
      <c r="AG4129">
        <v>0</v>
      </c>
      <c r="AH4129">
        <v>96</v>
      </c>
      <c r="AJ4129" t="s">
        <v>51</v>
      </c>
      <c r="AK4129" t="s">
        <v>52</v>
      </c>
      <c r="AL4129" t="s">
        <v>1396</v>
      </c>
      <c r="AM4129" s="18"/>
      <c r="AP4129" t="s">
        <v>951</v>
      </c>
    </row>
    <row r="4130" spans="1:42">
      <c r="A4130" s="16">
        <v>43843</v>
      </c>
      <c r="B4130">
        <v>1</v>
      </c>
      <c r="C4130">
        <v>986</v>
      </c>
      <c r="D4130">
        <v>14637</v>
      </c>
      <c r="E4130" t="s">
        <v>112</v>
      </c>
      <c r="F4130" t="s">
        <v>949</v>
      </c>
      <c r="G4130">
        <v>2</v>
      </c>
      <c r="H4130">
        <v>64</v>
      </c>
      <c r="I4130" s="25">
        <v>2300</v>
      </c>
      <c r="K4130" t="s">
        <v>585</v>
      </c>
      <c r="L4130" t="s">
        <v>114</v>
      </c>
      <c r="N4130" t="s">
        <v>40</v>
      </c>
      <c r="O4130">
        <v>62</v>
      </c>
      <c r="Q4130">
        <v>2</v>
      </c>
      <c r="R4130">
        <v>1</v>
      </c>
      <c r="S4130">
        <v>0</v>
      </c>
      <c r="T4130">
        <v>0</v>
      </c>
      <c r="U4130">
        <v>0</v>
      </c>
      <c r="V4130">
        <v>1</v>
      </c>
      <c r="W4130">
        <v>1</v>
      </c>
      <c r="X4130" s="21">
        <v>0</v>
      </c>
      <c r="Y4130" s="21">
        <v>0</v>
      </c>
      <c r="Z4130" s="21">
        <v>0</v>
      </c>
      <c r="AA4130" s="21">
        <v>0</v>
      </c>
      <c r="AB4130" s="21">
        <v>0</v>
      </c>
      <c r="AC4130" s="21">
        <v>0</v>
      </c>
      <c r="AD4130" s="21">
        <v>0</v>
      </c>
      <c r="AE4130" s="21">
        <v>0</v>
      </c>
      <c r="AF4130">
        <v>0</v>
      </c>
      <c r="AG4130">
        <v>0</v>
      </c>
      <c r="AH4130">
        <v>160</v>
      </c>
      <c r="AJ4130" t="s">
        <v>51</v>
      </c>
      <c r="AK4130" t="s">
        <v>95</v>
      </c>
      <c r="AM4130" s="18"/>
      <c r="AP4130" t="s">
        <v>951</v>
      </c>
    </row>
    <row r="4131" spans="1:42">
      <c r="A4131" s="16">
        <v>43843</v>
      </c>
      <c r="B4131">
        <v>1</v>
      </c>
      <c r="C4131">
        <v>986</v>
      </c>
      <c r="D4131">
        <v>14637</v>
      </c>
      <c r="E4131" t="s">
        <v>112</v>
      </c>
      <c r="F4131" t="s">
        <v>949</v>
      </c>
      <c r="G4131">
        <v>2</v>
      </c>
      <c r="H4131">
        <v>65</v>
      </c>
      <c r="I4131" s="25">
        <v>2300</v>
      </c>
      <c r="K4131" t="s">
        <v>585</v>
      </c>
      <c r="L4131" t="s">
        <v>114</v>
      </c>
      <c r="N4131" t="s">
        <v>40</v>
      </c>
      <c r="O4131">
        <v>36</v>
      </c>
      <c r="Q4131">
        <v>2</v>
      </c>
      <c r="R4131">
        <v>1</v>
      </c>
      <c r="S4131">
        <v>0</v>
      </c>
      <c r="T4131">
        <v>0</v>
      </c>
      <c r="U4131">
        <v>0</v>
      </c>
      <c r="V4131">
        <v>2</v>
      </c>
      <c r="W4131">
        <v>0</v>
      </c>
      <c r="X4131" s="21">
        <v>0</v>
      </c>
      <c r="Y4131" s="21">
        <v>0</v>
      </c>
      <c r="Z4131" s="21">
        <v>0</v>
      </c>
      <c r="AA4131" s="21">
        <v>0</v>
      </c>
      <c r="AB4131" s="21">
        <v>0</v>
      </c>
      <c r="AC4131" s="21">
        <v>0</v>
      </c>
      <c r="AD4131" s="21">
        <v>0</v>
      </c>
      <c r="AE4131" s="21">
        <v>0</v>
      </c>
      <c r="AF4131">
        <v>0</v>
      </c>
      <c r="AG4131">
        <v>0</v>
      </c>
      <c r="AH4131">
        <v>128</v>
      </c>
      <c r="AJ4131" t="s">
        <v>51</v>
      </c>
      <c r="AK4131" t="s">
        <v>52</v>
      </c>
      <c r="AM4131" s="18"/>
      <c r="AP4131" t="s">
        <v>951</v>
      </c>
    </row>
    <row r="4132" spans="1:42">
      <c r="A4132" s="16">
        <v>43843</v>
      </c>
      <c r="B4132">
        <v>1</v>
      </c>
      <c r="C4132">
        <v>986</v>
      </c>
      <c r="D4132">
        <v>14637</v>
      </c>
      <c r="E4132" t="s">
        <v>112</v>
      </c>
      <c r="F4132" t="s">
        <v>949</v>
      </c>
      <c r="G4132">
        <v>2</v>
      </c>
      <c r="H4132">
        <v>66</v>
      </c>
      <c r="I4132" s="25">
        <v>2372</v>
      </c>
      <c r="K4132" t="s">
        <v>585</v>
      </c>
      <c r="L4132" t="s">
        <v>114</v>
      </c>
      <c r="N4132" t="s">
        <v>42</v>
      </c>
      <c r="O4132">
        <v>259</v>
      </c>
      <c r="Q4132">
        <v>3</v>
      </c>
      <c r="R4132">
        <v>1</v>
      </c>
      <c r="S4132">
        <v>0</v>
      </c>
      <c r="T4132">
        <v>0</v>
      </c>
      <c r="U4132">
        <v>0</v>
      </c>
      <c r="V4132">
        <v>1</v>
      </c>
      <c r="W4132">
        <v>2</v>
      </c>
      <c r="X4132" s="21">
        <v>0</v>
      </c>
      <c r="Y4132" s="21">
        <v>0</v>
      </c>
      <c r="Z4132" s="21">
        <v>0</v>
      </c>
      <c r="AA4132" s="21">
        <v>0</v>
      </c>
      <c r="AB4132" s="21">
        <v>0</v>
      </c>
      <c r="AC4132" s="21">
        <v>0</v>
      </c>
      <c r="AD4132" s="21">
        <v>0</v>
      </c>
      <c r="AE4132" s="21">
        <v>0</v>
      </c>
      <c r="AF4132">
        <v>0</v>
      </c>
      <c r="AG4132">
        <v>0</v>
      </c>
      <c r="AH4132">
        <v>256</v>
      </c>
      <c r="AJ4132" t="s">
        <v>51</v>
      </c>
      <c r="AK4132" t="s">
        <v>52</v>
      </c>
      <c r="AL4132" t="s">
        <v>1397</v>
      </c>
      <c r="AM4132" s="18"/>
      <c r="AP4132" t="s">
        <v>951</v>
      </c>
    </row>
    <row r="4133" spans="1:42">
      <c r="A4133" s="16">
        <v>43843</v>
      </c>
      <c r="B4133">
        <v>1</v>
      </c>
      <c r="C4133">
        <v>986</v>
      </c>
      <c r="D4133">
        <v>14637</v>
      </c>
      <c r="E4133" t="s">
        <v>112</v>
      </c>
      <c r="F4133" t="s">
        <v>949</v>
      </c>
      <c r="G4133">
        <v>2</v>
      </c>
      <c r="H4133">
        <v>67</v>
      </c>
      <c r="I4133" s="25">
        <v>2520</v>
      </c>
      <c r="K4133" t="s">
        <v>185</v>
      </c>
      <c r="N4133" t="s">
        <v>44</v>
      </c>
      <c r="O4133">
        <v>160</v>
      </c>
      <c r="Q4133">
        <v>2</v>
      </c>
      <c r="R4133">
        <v>1</v>
      </c>
      <c r="S4133">
        <v>0</v>
      </c>
      <c r="T4133">
        <v>0</v>
      </c>
      <c r="U4133">
        <v>0</v>
      </c>
      <c r="V4133">
        <v>2</v>
      </c>
      <c r="W4133">
        <v>0</v>
      </c>
      <c r="X4133" s="21">
        <v>0</v>
      </c>
      <c r="Y4133" s="21">
        <v>0</v>
      </c>
      <c r="Z4133" s="21">
        <v>0</v>
      </c>
      <c r="AA4133" s="21">
        <v>0</v>
      </c>
      <c r="AB4133" s="21">
        <v>0</v>
      </c>
      <c r="AC4133" s="21">
        <v>0</v>
      </c>
      <c r="AD4133" s="21">
        <v>0</v>
      </c>
      <c r="AE4133" s="21">
        <v>0</v>
      </c>
      <c r="AF4133">
        <v>0</v>
      </c>
      <c r="AG4133">
        <v>0</v>
      </c>
      <c r="AH4133">
        <v>128</v>
      </c>
      <c r="AJ4133" t="s">
        <v>54</v>
      </c>
      <c r="AK4133" t="s">
        <v>95</v>
      </c>
      <c r="AL4133" t="s">
        <v>1378</v>
      </c>
      <c r="AM4133" s="18"/>
      <c r="AP4133" t="s">
        <v>951</v>
      </c>
    </row>
    <row r="4134" spans="1:42">
      <c r="A4134" s="16">
        <v>43843</v>
      </c>
      <c r="B4134">
        <v>1</v>
      </c>
      <c r="C4134">
        <v>986</v>
      </c>
      <c r="D4134">
        <v>14637</v>
      </c>
      <c r="E4134" t="s">
        <v>112</v>
      </c>
      <c r="F4134" t="s">
        <v>949</v>
      </c>
      <c r="G4134">
        <v>2</v>
      </c>
      <c r="H4134">
        <v>68</v>
      </c>
      <c r="I4134" s="25" t="s">
        <v>1398</v>
      </c>
      <c r="K4134" t="s">
        <v>185</v>
      </c>
      <c r="N4134" t="s">
        <v>44</v>
      </c>
      <c r="O4134">
        <v>62</v>
      </c>
      <c r="Q4134">
        <v>2</v>
      </c>
      <c r="R4134">
        <v>1</v>
      </c>
      <c r="S4134">
        <v>0</v>
      </c>
      <c r="T4134">
        <v>0</v>
      </c>
      <c r="U4134">
        <v>0</v>
      </c>
      <c r="V4134">
        <v>2</v>
      </c>
      <c r="W4134">
        <v>0</v>
      </c>
      <c r="X4134" s="21">
        <v>0</v>
      </c>
      <c r="Y4134" s="21">
        <v>0</v>
      </c>
      <c r="Z4134" s="21">
        <v>0</v>
      </c>
      <c r="AA4134" s="21">
        <v>0</v>
      </c>
      <c r="AB4134" s="21">
        <v>0</v>
      </c>
      <c r="AC4134" s="21">
        <v>0</v>
      </c>
      <c r="AD4134" s="21">
        <v>0</v>
      </c>
      <c r="AE4134" s="21">
        <v>0</v>
      </c>
      <c r="AF4134">
        <v>0</v>
      </c>
      <c r="AG4134">
        <v>0</v>
      </c>
      <c r="AH4134">
        <v>128</v>
      </c>
      <c r="AJ4134" t="s">
        <v>54</v>
      </c>
      <c r="AK4134" t="s">
        <v>95</v>
      </c>
      <c r="AL4134" t="s">
        <v>1395</v>
      </c>
      <c r="AM4134" s="18"/>
      <c r="AP4134" t="s">
        <v>951</v>
      </c>
    </row>
    <row r="4135" spans="1:42">
      <c r="A4135" s="16">
        <v>43843</v>
      </c>
      <c r="B4135">
        <v>1</v>
      </c>
      <c r="C4135">
        <v>986</v>
      </c>
      <c r="D4135">
        <v>14637</v>
      </c>
      <c r="E4135" t="s">
        <v>112</v>
      </c>
      <c r="F4135" t="s">
        <v>949</v>
      </c>
      <c r="G4135">
        <v>2</v>
      </c>
      <c r="H4135">
        <v>69</v>
      </c>
      <c r="I4135" s="25">
        <v>2500</v>
      </c>
      <c r="K4135" t="s">
        <v>185</v>
      </c>
      <c r="L4135" t="s">
        <v>114</v>
      </c>
      <c r="N4135" t="s">
        <v>44</v>
      </c>
      <c r="O4135">
        <v>40</v>
      </c>
      <c r="Q4135">
        <v>1</v>
      </c>
      <c r="R4135">
        <v>1</v>
      </c>
      <c r="S4135">
        <v>0</v>
      </c>
      <c r="T4135">
        <v>0</v>
      </c>
      <c r="U4135">
        <v>0</v>
      </c>
      <c r="V4135">
        <v>1</v>
      </c>
      <c r="W4135">
        <v>0</v>
      </c>
      <c r="X4135" s="21">
        <v>0</v>
      </c>
      <c r="Y4135" s="21">
        <v>0</v>
      </c>
      <c r="Z4135" s="21">
        <v>0</v>
      </c>
      <c r="AA4135" s="21">
        <v>0</v>
      </c>
      <c r="AB4135" s="21">
        <v>0</v>
      </c>
      <c r="AC4135" s="21">
        <v>0</v>
      </c>
      <c r="AD4135" s="21">
        <v>0</v>
      </c>
      <c r="AE4135" s="21">
        <v>0</v>
      </c>
      <c r="AF4135">
        <v>0</v>
      </c>
      <c r="AG4135">
        <v>0</v>
      </c>
      <c r="AH4135">
        <v>64</v>
      </c>
      <c r="AJ4135" t="s">
        <v>54</v>
      </c>
      <c r="AM4135" s="18"/>
      <c r="AP4135" t="s">
        <v>951</v>
      </c>
    </row>
    <row r="4136" spans="1:42">
      <c r="A4136" s="16">
        <v>43843</v>
      </c>
      <c r="B4136">
        <v>1</v>
      </c>
      <c r="C4136">
        <v>986</v>
      </c>
      <c r="D4136">
        <v>14637</v>
      </c>
      <c r="E4136" t="s">
        <v>112</v>
      </c>
      <c r="F4136" t="s">
        <v>949</v>
      </c>
      <c r="G4136">
        <v>2</v>
      </c>
      <c r="H4136">
        <v>70</v>
      </c>
      <c r="I4136" s="25">
        <v>2620</v>
      </c>
      <c r="K4136" t="s">
        <v>256</v>
      </c>
      <c r="N4136" t="s">
        <v>44</v>
      </c>
      <c r="O4136">
        <v>86</v>
      </c>
      <c r="Q4136">
        <v>1</v>
      </c>
      <c r="R4136">
        <v>1</v>
      </c>
      <c r="S4136">
        <v>0</v>
      </c>
      <c r="T4136">
        <v>0</v>
      </c>
      <c r="U4136">
        <v>0</v>
      </c>
      <c r="V4136">
        <v>1</v>
      </c>
      <c r="W4136">
        <v>0</v>
      </c>
      <c r="X4136" s="21">
        <v>0</v>
      </c>
      <c r="Y4136" s="21">
        <v>0</v>
      </c>
      <c r="Z4136" s="21">
        <v>0</v>
      </c>
      <c r="AA4136" s="21">
        <v>0</v>
      </c>
      <c r="AB4136" s="21">
        <v>0</v>
      </c>
      <c r="AC4136" s="21">
        <v>0</v>
      </c>
      <c r="AD4136" s="21">
        <v>0</v>
      </c>
      <c r="AE4136" s="21">
        <v>0</v>
      </c>
      <c r="AF4136">
        <v>0</v>
      </c>
      <c r="AG4136">
        <v>0</v>
      </c>
      <c r="AH4136">
        <v>64</v>
      </c>
      <c r="AJ4136" t="s">
        <v>51</v>
      </c>
      <c r="AK4136" t="s">
        <v>95</v>
      </c>
      <c r="AL4136" t="s">
        <v>1399</v>
      </c>
      <c r="AM4136" s="18"/>
      <c r="AP4136" t="s">
        <v>951</v>
      </c>
    </row>
    <row r="4137" spans="1:42">
      <c r="A4137" s="16">
        <v>43843</v>
      </c>
      <c r="B4137">
        <v>1</v>
      </c>
      <c r="C4137">
        <v>986</v>
      </c>
      <c r="D4137">
        <v>14637</v>
      </c>
      <c r="E4137" t="s">
        <v>112</v>
      </c>
      <c r="F4137" t="s">
        <v>949</v>
      </c>
      <c r="G4137">
        <v>2</v>
      </c>
      <c r="H4137">
        <v>71</v>
      </c>
      <c r="I4137" s="25">
        <v>2509</v>
      </c>
      <c r="K4137" t="s">
        <v>175</v>
      </c>
      <c r="N4137" t="s">
        <v>44</v>
      </c>
      <c r="O4137">
        <v>142</v>
      </c>
      <c r="Q4137">
        <v>1</v>
      </c>
      <c r="R4137">
        <v>1</v>
      </c>
      <c r="S4137">
        <v>0</v>
      </c>
      <c r="T4137">
        <v>0</v>
      </c>
      <c r="U4137">
        <v>1</v>
      </c>
      <c r="V4137">
        <v>0</v>
      </c>
      <c r="W4137">
        <v>0</v>
      </c>
      <c r="X4137" s="21">
        <v>0</v>
      </c>
      <c r="Y4137" s="21">
        <v>0</v>
      </c>
      <c r="Z4137" s="21">
        <v>0</v>
      </c>
      <c r="AA4137" s="21">
        <v>0</v>
      </c>
      <c r="AB4137" s="21">
        <v>0</v>
      </c>
      <c r="AC4137" s="21">
        <v>0</v>
      </c>
      <c r="AD4137" s="21">
        <v>0</v>
      </c>
      <c r="AE4137" s="21">
        <v>0</v>
      </c>
      <c r="AF4137">
        <v>0</v>
      </c>
      <c r="AG4137">
        <v>0</v>
      </c>
      <c r="AH4137">
        <v>32</v>
      </c>
      <c r="AJ4137" t="s">
        <v>54</v>
      </c>
      <c r="AK4137" t="s">
        <v>95</v>
      </c>
      <c r="AL4137" t="s">
        <v>618</v>
      </c>
      <c r="AM4137" s="18"/>
      <c r="AP4137" t="s">
        <v>951</v>
      </c>
    </row>
    <row r="4138" spans="1:42">
      <c r="A4138" s="16">
        <v>43843</v>
      </c>
      <c r="B4138">
        <v>1</v>
      </c>
      <c r="C4138">
        <v>986</v>
      </c>
      <c r="D4138">
        <v>14637</v>
      </c>
      <c r="E4138" t="s">
        <v>112</v>
      </c>
      <c r="F4138" t="s">
        <v>949</v>
      </c>
      <c r="G4138">
        <v>2</v>
      </c>
      <c r="H4138">
        <v>72</v>
      </c>
      <c r="I4138" s="25">
        <v>2550</v>
      </c>
      <c r="K4138" t="s">
        <v>175</v>
      </c>
      <c r="N4138" t="s">
        <v>44</v>
      </c>
      <c r="O4138">
        <v>113</v>
      </c>
      <c r="Q4138">
        <v>1</v>
      </c>
      <c r="R4138">
        <v>1</v>
      </c>
      <c r="S4138">
        <v>0</v>
      </c>
      <c r="T4138">
        <v>0</v>
      </c>
      <c r="U4138">
        <v>0</v>
      </c>
      <c r="V4138">
        <v>1</v>
      </c>
      <c r="W4138">
        <v>0</v>
      </c>
      <c r="X4138" s="21">
        <v>0</v>
      </c>
      <c r="Y4138" s="21">
        <v>0</v>
      </c>
      <c r="Z4138" s="21">
        <v>0</v>
      </c>
      <c r="AA4138" s="21">
        <v>0</v>
      </c>
      <c r="AB4138" s="21">
        <v>0</v>
      </c>
      <c r="AC4138" s="21">
        <v>0</v>
      </c>
      <c r="AD4138" s="21">
        <v>0</v>
      </c>
      <c r="AE4138" s="21">
        <v>0</v>
      </c>
      <c r="AF4138">
        <v>0</v>
      </c>
      <c r="AG4138">
        <v>0</v>
      </c>
      <c r="AH4138">
        <v>64</v>
      </c>
      <c r="AJ4138" t="s">
        <v>54</v>
      </c>
      <c r="AK4138" t="s">
        <v>95</v>
      </c>
      <c r="AL4138" t="s">
        <v>1374</v>
      </c>
      <c r="AM4138" s="18"/>
      <c r="AP4138" t="s">
        <v>951</v>
      </c>
    </row>
    <row r="4139" spans="1:42">
      <c r="A4139" s="16">
        <v>43843</v>
      </c>
      <c r="B4139">
        <v>1</v>
      </c>
      <c r="C4139">
        <v>986</v>
      </c>
      <c r="D4139">
        <v>14637</v>
      </c>
      <c r="E4139" t="s">
        <v>112</v>
      </c>
      <c r="F4139" t="s">
        <v>949</v>
      </c>
      <c r="G4139">
        <v>2</v>
      </c>
      <c r="H4139">
        <v>73</v>
      </c>
      <c r="I4139" s="25">
        <v>2447</v>
      </c>
      <c r="K4139" t="s">
        <v>585</v>
      </c>
      <c r="N4139" t="s">
        <v>44</v>
      </c>
      <c r="O4139">
        <v>109</v>
      </c>
      <c r="Q4139">
        <v>2</v>
      </c>
      <c r="R4139">
        <v>1</v>
      </c>
      <c r="S4139">
        <v>0</v>
      </c>
      <c r="T4139">
        <v>0</v>
      </c>
      <c r="U4139">
        <v>0</v>
      </c>
      <c r="V4139">
        <v>0</v>
      </c>
      <c r="W4139">
        <v>2</v>
      </c>
      <c r="X4139" s="21">
        <v>0</v>
      </c>
      <c r="Y4139" s="21">
        <v>0</v>
      </c>
      <c r="Z4139" s="21">
        <v>0</v>
      </c>
      <c r="AA4139" s="21">
        <v>0</v>
      </c>
      <c r="AB4139" s="21">
        <v>0</v>
      </c>
      <c r="AC4139" s="21">
        <v>0</v>
      </c>
      <c r="AD4139" s="21">
        <v>0</v>
      </c>
      <c r="AE4139" s="21">
        <v>0</v>
      </c>
      <c r="AF4139">
        <v>0</v>
      </c>
      <c r="AG4139">
        <v>0</v>
      </c>
      <c r="AH4139">
        <v>192</v>
      </c>
      <c r="AJ4139" t="s">
        <v>51</v>
      </c>
      <c r="AK4139" t="s">
        <v>52</v>
      </c>
      <c r="AM4139" s="18"/>
      <c r="AP4139" t="s">
        <v>951</v>
      </c>
    </row>
    <row r="4140" spans="1:42">
      <c r="A4140" s="16">
        <v>43843</v>
      </c>
      <c r="B4140">
        <v>1</v>
      </c>
      <c r="C4140">
        <v>986</v>
      </c>
      <c r="D4140">
        <v>14637</v>
      </c>
      <c r="E4140" t="s">
        <v>112</v>
      </c>
      <c r="F4140" t="s">
        <v>949</v>
      </c>
      <c r="G4140">
        <v>2</v>
      </c>
      <c r="H4140">
        <v>74</v>
      </c>
      <c r="I4140" s="25">
        <v>2429</v>
      </c>
      <c r="K4140" t="s">
        <v>585</v>
      </c>
      <c r="N4140" t="s">
        <v>44</v>
      </c>
      <c r="O4140">
        <v>100</v>
      </c>
      <c r="Q4140">
        <v>2</v>
      </c>
      <c r="R4140">
        <v>1</v>
      </c>
      <c r="S4140">
        <v>0</v>
      </c>
      <c r="T4140">
        <v>0</v>
      </c>
      <c r="U4140">
        <v>0</v>
      </c>
      <c r="V4140">
        <v>0</v>
      </c>
      <c r="W4140">
        <v>2</v>
      </c>
      <c r="X4140" s="21">
        <v>0</v>
      </c>
      <c r="Y4140" s="21">
        <v>0</v>
      </c>
      <c r="Z4140" s="21">
        <v>0</v>
      </c>
      <c r="AA4140" s="21">
        <v>0</v>
      </c>
      <c r="AB4140" s="21">
        <v>0</v>
      </c>
      <c r="AC4140" s="21">
        <v>0</v>
      </c>
      <c r="AD4140" s="21">
        <v>0</v>
      </c>
      <c r="AE4140" s="21">
        <v>0</v>
      </c>
      <c r="AF4140">
        <v>0</v>
      </c>
      <c r="AG4140">
        <v>0</v>
      </c>
      <c r="AH4140">
        <v>192</v>
      </c>
      <c r="AJ4140" t="s">
        <v>51</v>
      </c>
      <c r="AK4140" t="s">
        <v>52</v>
      </c>
      <c r="AL4140" t="s">
        <v>1374</v>
      </c>
      <c r="AM4140" s="18"/>
      <c r="AP4140" t="s">
        <v>951</v>
      </c>
    </row>
    <row r="4141" spans="1:42">
      <c r="A4141" s="16">
        <v>43843</v>
      </c>
      <c r="B4141">
        <v>1</v>
      </c>
      <c r="C4141">
        <v>986</v>
      </c>
      <c r="D4141">
        <v>14637</v>
      </c>
      <c r="E4141" t="s">
        <v>112</v>
      </c>
      <c r="F4141" t="s">
        <v>949</v>
      </c>
      <c r="G4141">
        <v>2</v>
      </c>
      <c r="H4141">
        <v>75</v>
      </c>
      <c r="I4141" s="25">
        <v>2300</v>
      </c>
      <c r="K4141" t="s">
        <v>585</v>
      </c>
      <c r="L4141" t="s">
        <v>141</v>
      </c>
      <c r="N4141" t="s">
        <v>40</v>
      </c>
      <c r="O4141">
        <v>26</v>
      </c>
      <c r="Q4141">
        <v>1</v>
      </c>
      <c r="R4141">
        <v>1</v>
      </c>
      <c r="S4141">
        <v>0</v>
      </c>
      <c r="T4141">
        <v>0</v>
      </c>
      <c r="U4141">
        <v>0</v>
      </c>
      <c r="V4141">
        <v>1</v>
      </c>
      <c r="W4141">
        <v>0</v>
      </c>
      <c r="X4141" s="21">
        <v>0</v>
      </c>
      <c r="Y4141" s="21">
        <v>0</v>
      </c>
      <c r="Z4141" s="21">
        <v>0</v>
      </c>
      <c r="AA4141" s="21">
        <v>0</v>
      </c>
      <c r="AB4141" s="21">
        <v>0</v>
      </c>
      <c r="AC4141" s="21">
        <v>0</v>
      </c>
      <c r="AD4141" s="21">
        <v>0</v>
      </c>
      <c r="AE4141" s="21">
        <v>0</v>
      </c>
      <c r="AF4141">
        <v>0</v>
      </c>
      <c r="AG4141">
        <v>0</v>
      </c>
      <c r="AH4141">
        <v>64</v>
      </c>
      <c r="AJ4141" t="s">
        <v>51</v>
      </c>
      <c r="AK4141" t="s">
        <v>52</v>
      </c>
      <c r="AM4141" s="18"/>
      <c r="AP4141" t="s">
        <v>951</v>
      </c>
    </row>
    <row r="4142" spans="1:42">
      <c r="A4142" s="16">
        <v>43843</v>
      </c>
      <c r="B4142">
        <v>1</v>
      </c>
      <c r="C4142">
        <v>986</v>
      </c>
      <c r="D4142">
        <v>14637</v>
      </c>
      <c r="E4142" t="s">
        <v>112</v>
      </c>
      <c r="F4142" t="s">
        <v>949</v>
      </c>
      <c r="G4142">
        <v>2</v>
      </c>
      <c r="H4142">
        <v>76</v>
      </c>
      <c r="I4142" s="25">
        <v>2300</v>
      </c>
      <c r="K4142" t="s">
        <v>585</v>
      </c>
      <c r="L4142" t="s">
        <v>141</v>
      </c>
      <c r="N4142" t="s">
        <v>40</v>
      </c>
      <c r="O4142">
        <v>33</v>
      </c>
      <c r="Q4142">
        <v>1</v>
      </c>
      <c r="R4142">
        <v>1</v>
      </c>
      <c r="S4142">
        <v>0</v>
      </c>
      <c r="T4142">
        <v>0</v>
      </c>
      <c r="U4142">
        <v>0</v>
      </c>
      <c r="V4142">
        <v>1</v>
      </c>
      <c r="W4142">
        <v>0</v>
      </c>
      <c r="X4142" s="21">
        <v>0</v>
      </c>
      <c r="Y4142" s="21">
        <v>0</v>
      </c>
      <c r="Z4142" s="21">
        <v>0</v>
      </c>
      <c r="AA4142" s="21">
        <v>0</v>
      </c>
      <c r="AB4142" s="21">
        <v>0</v>
      </c>
      <c r="AC4142" s="21">
        <v>0</v>
      </c>
      <c r="AD4142" s="21">
        <v>0</v>
      </c>
      <c r="AE4142" s="21">
        <v>0</v>
      </c>
      <c r="AF4142">
        <v>0</v>
      </c>
      <c r="AG4142">
        <v>0</v>
      </c>
      <c r="AH4142">
        <v>64</v>
      </c>
      <c r="AJ4142" t="s">
        <v>51</v>
      </c>
      <c r="AK4142" t="s">
        <v>52</v>
      </c>
      <c r="AM4142" s="18"/>
      <c r="AP4142" t="s">
        <v>951</v>
      </c>
    </row>
    <row r="4143" spans="1:42">
      <c r="A4143" s="16">
        <v>43843</v>
      </c>
      <c r="B4143">
        <v>1</v>
      </c>
      <c r="C4143">
        <v>986</v>
      </c>
      <c r="D4143">
        <v>14637</v>
      </c>
      <c r="E4143" t="s">
        <v>112</v>
      </c>
      <c r="F4143" t="s">
        <v>949</v>
      </c>
      <c r="G4143">
        <v>2</v>
      </c>
      <c r="H4143">
        <v>77</v>
      </c>
      <c r="I4143" s="25">
        <v>2756</v>
      </c>
      <c r="K4143" t="s">
        <v>113</v>
      </c>
      <c r="N4143" t="s">
        <v>44</v>
      </c>
      <c r="O4143">
        <v>34</v>
      </c>
      <c r="Q4143">
        <v>1</v>
      </c>
      <c r="R4143">
        <v>1</v>
      </c>
      <c r="S4143">
        <v>0</v>
      </c>
      <c r="T4143">
        <v>0</v>
      </c>
      <c r="U4143">
        <v>1</v>
      </c>
      <c r="V4143">
        <v>0</v>
      </c>
      <c r="W4143">
        <v>0</v>
      </c>
      <c r="X4143" s="21">
        <v>0</v>
      </c>
      <c r="Y4143" s="21">
        <v>0</v>
      </c>
      <c r="Z4143" s="21">
        <v>0</v>
      </c>
      <c r="AA4143" s="21">
        <v>0</v>
      </c>
      <c r="AB4143" s="21">
        <v>0</v>
      </c>
      <c r="AC4143" s="21">
        <v>0</v>
      </c>
      <c r="AD4143" s="21">
        <v>0</v>
      </c>
      <c r="AE4143" s="21">
        <v>0</v>
      </c>
      <c r="AF4143">
        <v>0</v>
      </c>
      <c r="AG4143">
        <v>0</v>
      </c>
      <c r="AH4143">
        <v>32</v>
      </c>
      <c r="AJ4143" t="s">
        <v>51</v>
      </c>
      <c r="AK4143" t="s">
        <v>52</v>
      </c>
      <c r="AL4143" t="s">
        <v>1400</v>
      </c>
      <c r="AM4143" s="18"/>
      <c r="AP4143" t="s">
        <v>951</v>
      </c>
    </row>
    <row r="4144" spans="1:42">
      <c r="A4144" s="16">
        <v>43843</v>
      </c>
      <c r="B4144">
        <v>1</v>
      </c>
      <c r="C4144">
        <v>986</v>
      </c>
      <c r="D4144">
        <v>14637</v>
      </c>
      <c r="E4144" t="s">
        <v>112</v>
      </c>
      <c r="F4144" t="s">
        <v>949</v>
      </c>
      <c r="G4144">
        <v>2</v>
      </c>
      <c r="H4144">
        <v>78</v>
      </c>
      <c r="I4144" s="25">
        <v>2300</v>
      </c>
      <c r="K4144" t="s">
        <v>585</v>
      </c>
      <c r="L4144" t="s">
        <v>141</v>
      </c>
      <c r="N4144" t="s">
        <v>40</v>
      </c>
      <c r="O4144">
        <v>23</v>
      </c>
      <c r="Q4144">
        <v>1</v>
      </c>
      <c r="R4144">
        <v>1</v>
      </c>
      <c r="S4144">
        <v>0</v>
      </c>
      <c r="T4144">
        <v>0</v>
      </c>
      <c r="U4144">
        <v>0</v>
      </c>
      <c r="V4144">
        <v>1</v>
      </c>
      <c r="W4144">
        <v>0</v>
      </c>
      <c r="X4144" s="21">
        <v>0</v>
      </c>
      <c r="Y4144" s="21">
        <v>0</v>
      </c>
      <c r="Z4144" s="21">
        <v>0</v>
      </c>
      <c r="AA4144" s="21">
        <v>0</v>
      </c>
      <c r="AB4144" s="21">
        <v>0</v>
      </c>
      <c r="AC4144" s="21">
        <v>0</v>
      </c>
      <c r="AD4144" s="21">
        <v>0</v>
      </c>
      <c r="AE4144" s="21">
        <v>0</v>
      </c>
      <c r="AF4144">
        <v>0</v>
      </c>
      <c r="AG4144">
        <v>0</v>
      </c>
      <c r="AH4144">
        <v>64</v>
      </c>
      <c r="AJ4144" t="s">
        <v>54</v>
      </c>
      <c r="AK4144" t="s">
        <v>52</v>
      </c>
      <c r="AM4144" s="18"/>
      <c r="AP4144" t="s">
        <v>951</v>
      </c>
    </row>
    <row r="4145" spans="1:42">
      <c r="A4145" s="16">
        <v>43843</v>
      </c>
      <c r="B4145">
        <v>1</v>
      </c>
      <c r="C4145">
        <v>986</v>
      </c>
      <c r="D4145">
        <v>14637</v>
      </c>
      <c r="E4145" t="s">
        <v>112</v>
      </c>
      <c r="F4145" t="s">
        <v>949</v>
      </c>
      <c r="G4145">
        <v>2</v>
      </c>
      <c r="H4145">
        <v>79</v>
      </c>
      <c r="I4145" s="25">
        <v>2300</v>
      </c>
      <c r="K4145" t="s">
        <v>585</v>
      </c>
      <c r="L4145" t="s">
        <v>141</v>
      </c>
      <c r="N4145" t="s">
        <v>40</v>
      </c>
      <c r="O4145">
        <v>23</v>
      </c>
      <c r="Q4145">
        <v>1</v>
      </c>
      <c r="R4145">
        <v>1</v>
      </c>
      <c r="S4145">
        <v>0</v>
      </c>
      <c r="T4145">
        <v>0</v>
      </c>
      <c r="U4145">
        <v>0</v>
      </c>
      <c r="V4145">
        <v>1</v>
      </c>
      <c r="W4145">
        <v>0</v>
      </c>
      <c r="X4145" s="21">
        <v>0</v>
      </c>
      <c r="Y4145" s="21">
        <v>0</v>
      </c>
      <c r="Z4145" s="21">
        <v>0</v>
      </c>
      <c r="AA4145" s="21">
        <v>0</v>
      </c>
      <c r="AB4145" s="21">
        <v>0</v>
      </c>
      <c r="AC4145" s="21">
        <v>0</v>
      </c>
      <c r="AD4145" s="21">
        <v>0</v>
      </c>
      <c r="AE4145" s="21">
        <v>0</v>
      </c>
      <c r="AF4145">
        <v>0</v>
      </c>
      <c r="AG4145">
        <v>0</v>
      </c>
      <c r="AH4145">
        <v>64</v>
      </c>
      <c r="AJ4145" t="s">
        <v>54</v>
      </c>
      <c r="AK4145" t="s">
        <v>52</v>
      </c>
      <c r="AM4145" s="18"/>
      <c r="AP4145" t="s">
        <v>951</v>
      </c>
    </row>
    <row r="4146" spans="1:42">
      <c r="A4146" s="16">
        <v>43843</v>
      </c>
      <c r="B4146">
        <v>1</v>
      </c>
      <c r="C4146">
        <v>986</v>
      </c>
      <c r="D4146">
        <v>14637</v>
      </c>
      <c r="E4146" t="s">
        <v>112</v>
      </c>
      <c r="F4146" t="s">
        <v>949</v>
      </c>
      <c r="G4146">
        <v>2</v>
      </c>
      <c r="H4146">
        <v>80</v>
      </c>
      <c r="I4146" s="25">
        <v>2300</v>
      </c>
      <c r="K4146" t="s">
        <v>585</v>
      </c>
      <c r="L4146" t="s">
        <v>141</v>
      </c>
      <c r="N4146" t="s">
        <v>40</v>
      </c>
      <c r="O4146">
        <v>57</v>
      </c>
      <c r="Q4146">
        <v>3</v>
      </c>
      <c r="R4146">
        <v>1</v>
      </c>
      <c r="S4146">
        <v>0</v>
      </c>
      <c r="T4146">
        <v>0</v>
      </c>
      <c r="U4146">
        <v>0</v>
      </c>
      <c r="V4146">
        <v>3</v>
      </c>
      <c r="W4146">
        <v>0</v>
      </c>
      <c r="X4146" s="21">
        <v>0</v>
      </c>
      <c r="Y4146" s="21">
        <v>0</v>
      </c>
      <c r="Z4146" s="21">
        <v>0</v>
      </c>
      <c r="AA4146" s="21">
        <v>0</v>
      </c>
      <c r="AB4146" s="21">
        <v>0</v>
      </c>
      <c r="AC4146" s="21">
        <v>0</v>
      </c>
      <c r="AD4146" s="21">
        <v>0</v>
      </c>
      <c r="AE4146" s="21">
        <v>0</v>
      </c>
      <c r="AF4146">
        <v>0</v>
      </c>
      <c r="AG4146">
        <v>0</v>
      </c>
      <c r="AH4146">
        <v>192</v>
      </c>
      <c r="AJ4146" t="s">
        <v>54</v>
      </c>
      <c r="AK4146" t="s">
        <v>52</v>
      </c>
      <c r="AM4146" s="18"/>
      <c r="AP4146" t="s">
        <v>951</v>
      </c>
    </row>
    <row r="4147" spans="1:42">
      <c r="A4147" s="16">
        <v>43843</v>
      </c>
      <c r="B4147">
        <v>1</v>
      </c>
      <c r="C4147">
        <v>986</v>
      </c>
      <c r="D4147">
        <v>14637</v>
      </c>
      <c r="E4147" t="s">
        <v>112</v>
      </c>
      <c r="F4147" t="s">
        <v>949</v>
      </c>
      <c r="G4147">
        <v>2</v>
      </c>
      <c r="H4147">
        <v>81</v>
      </c>
      <c r="I4147" s="25">
        <v>2300</v>
      </c>
      <c r="K4147" t="s">
        <v>605</v>
      </c>
      <c r="L4147" t="s">
        <v>141</v>
      </c>
      <c r="N4147" t="s">
        <v>40</v>
      </c>
      <c r="O4147">
        <v>102</v>
      </c>
      <c r="Q4147">
        <v>5</v>
      </c>
      <c r="R4147">
        <v>1</v>
      </c>
      <c r="S4147">
        <v>0</v>
      </c>
      <c r="T4147">
        <v>0</v>
      </c>
      <c r="U4147">
        <v>0</v>
      </c>
      <c r="V4147">
        <v>0</v>
      </c>
      <c r="W4147">
        <v>5</v>
      </c>
      <c r="X4147" s="21">
        <v>0</v>
      </c>
      <c r="Y4147" s="21">
        <v>0</v>
      </c>
      <c r="Z4147" s="21">
        <v>0</v>
      </c>
      <c r="AA4147" s="21">
        <v>0</v>
      </c>
      <c r="AB4147" s="21">
        <v>0</v>
      </c>
      <c r="AC4147" s="21">
        <v>0</v>
      </c>
      <c r="AD4147" s="21">
        <v>0</v>
      </c>
      <c r="AE4147" s="21">
        <v>0</v>
      </c>
      <c r="AF4147">
        <v>0</v>
      </c>
      <c r="AG4147">
        <v>0</v>
      </c>
      <c r="AH4147">
        <v>480</v>
      </c>
      <c r="AJ4147" t="s">
        <v>51</v>
      </c>
      <c r="AK4147" t="s">
        <v>52</v>
      </c>
      <c r="AM4147" s="18"/>
      <c r="AP4147" t="s">
        <v>951</v>
      </c>
    </row>
    <row r="4148" spans="1:42">
      <c r="A4148" s="16">
        <v>43843</v>
      </c>
      <c r="B4148">
        <v>1</v>
      </c>
      <c r="C4148">
        <v>986</v>
      </c>
      <c r="D4148">
        <v>14637</v>
      </c>
      <c r="E4148" t="s">
        <v>112</v>
      </c>
      <c r="F4148" t="s">
        <v>949</v>
      </c>
      <c r="G4148">
        <v>2</v>
      </c>
      <c r="H4148">
        <v>82</v>
      </c>
      <c r="I4148" s="25">
        <v>2340</v>
      </c>
      <c r="K4148" t="s">
        <v>605</v>
      </c>
      <c r="N4148" t="s">
        <v>44</v>
      </c>
      <c r="O4148">
        <v>252</v>
      </c>
      <c r="Q4148">
        <v>5</v>
      </c>
      <c r="R4148">
        <v>1</v>
      </c>
      <c r="S4148">
        <v>0</v>
      </c>
      <c r="T4148">
        <v>0</v>
      </c>
      <c r="U4148">
        <v>0</v>
      </c>
      <c r="V4148">
        <v>0</v>
      </c>
      <c r="W4148">
        <v>5</v>
      </c>
      <c r="X4148" s="21">
        <v>0</v>
      </c>
      <c r="Y4148" s="21">
        <v>0</v>
      </c>
      <c r="Z4148" s="21">
        <v>0</v>
      </c>
      <c r="AA4148" s="21">
        <v>0</v>
      </c>
      <c r="AB4148" s="21">
        <v>0</v>
      </c>
      <c r="AC4148" s="21">
        <v>0</v>
      </c>
      <c r="AD4148" s="21">
        <v>0</v>
      </c>
      <c r="AE4148" s="21">
        <v>0</v>
      </c>
      <c r="AF4148">
        <v>0</v>
      </c>
      <c r="AG4148">
        <v>0</v>
      </c>
      <c r="AH4148">
        <v>480</v>
      </c>
      <c r="AJ4148" t="s">
        <v>51</v>
      </c>
      <c r="AK4148" t="s">
        <v>95</v>
      </c>
      <c r="AL4148" t="s">
        <v>1401</v>
      </c>
      <c r="AM4148" s="18"/>
      <c r="AP4148" t="s">
        <v>951</v>
      </c>
    </row>
    <row r="4149" spans="1:42">
      <c r="A4149" s="16">
        <v>43843</v>
      </c>
      <c r="B4149">
        <v>1</v>
      </c>
      <c r="C4149">
        <v>986</v>
      </c>
      <c r="D4149">
        <v>14637</v>
      </c>
      <c r="E4149" t="s">
        <v>112</v>
      </c>
      <c r="F4149" t="s">
        <v>949</v>
      </c>
      <c r="G4149">
        <v>2</v>
      </c>
      <c r="H4149">
        <v>83</v>
      </c>
      <c r="I4149" s="25">
        <v>2360</v>
      </c>
      <c r="K4149" t="s">
        <v>605</v>
      </c>
      <c r="N4149" t="s">
        <v>44</v>
      </c>
      <c r="O4149">
        <v>163</v>
      </c>
      <c r="Q4149">
        <v>4</v>
      </c>
      <c r="R4149">
        <v>1</v>
      </c>
      <c r="S4149">
        <v>0</v>
      </c>
      <c r="T4149">
        <v>0</v>
      </c>
      <c r="U4149">
        <v>0</v>
      </c>
      <c r="V4149">
        <v>0</v>
      </c>
      <c r="W4149">
        <v>4</v>
      </c>
      <c r="X4149" s="21">
        <v>0</v>
      </c>
      <c r="Y4149" s="21">
        <v>0</v>
      </c>
      <c r="Z4149" s="21">
        <v>0</v>
      </c>
      <c r="AA4149" s="21">
        <v>0</v>
      </c>
      <c r="AB4149" s="21">
        <v>0</v>
      </c>
      <c r="AC4149" s="21">
        <v>0</v>
      </c>
      <c r="AD4149" s="21">
        <v>0</v>
      </c>
      <c r="AE4149" s="21">
        <v>0</v>
      </c>
      <c r="AF4149">
        <v>0</v>
      </c>
      <c r="AG4149">
        <v>0</v>
      </c>
      <c r="AH4149">
        <v>384</v>
      </c>
      <c r="AJ4149" t="s">
        <v>51</v>
      </c>
      <c r="AK4149" t="s">
        <v>95</v>
      </c>
      <c r="AL4149" t="s">
        <v>1402</v>
      </c>
      <c r="AM4149" s="18"/>
      <c r="AP4149" t="s">
        <v>951</v>
      </c>
    </row>
    <row r="4150" spans="1:42">
      <c r="A4150" s="16">
        <v>43843</v>
      </c>
      <c r="B4150">
        <v>1</v>
      </c>
      <c r="C4150">
        <v>986</v>
      </c>
      <c r="D4150">
        <v>14637</v>
      </c>
      <c r="E4150" t="s">
        <v>112</v>
      </c>
      <c r="F4150" t="s">
        <v>949</v>
      </c>
      <c r="G4150">
        <v>2</v>
      </c>
      <c r="H4150">
        <v>84</v>
      </c>
      <c r="I4150" s="25">
        <v>2364</v>
      </c>
      <c r="K4150" t="s">
        <v>605</v>
      </c>
      <c r="N4150" t="s">
        <v>44</v>
      </c>
      <c r="O4150">
        <v>106</v>
      </c>
      <c r="Q4150">
        <v>1</v>
      </c>
      <c r="R4150">
        <v>1</v>
      </c>
      <c r="S4150">
        <v>0</v>
      </c>
      <c r="T4150">
        <v>0</v>
      </c>
      <c r="U4150">
        <v>0</v>
      </c>
      <c r="V4150">
        <v>1</v>
      </c>
      <c r="W4150">
        <v>0</v>
      </c>
      <c r="X4150" s="21">
        <v>0</v>
      </c>
      <c r="Y4150" s="21">
        <v>0</v>
      </c>
      <c r="Z4150" s="21">
        <v>0</v>
      </c>
      <c r="AA4150" s="21">
        <v>0</v>
      </c>
      <c r="AB4150" s="21">
        <v>0</v>
      </c>
      <c r="AC4150" s="21">
        <v>0</v>
      </c>
      <c r="AD4150" s="21">
        <v>0</v>
      </c>
      <c r="AE4150" s="21">
        <v>0</v>
      </c>
      <c r="AF4150">
        <v>0</v>
      </c>
      <c r="AG4150">
        <v>0</v>
      </c>
      <c r="AH4150">
        <v>64</v>
      </c>
      <c r="AJ4150" t="s">
        <v>51</v>
      </c>
      <c r="AK4150" t="s">
        <v>35</v>
      </c>
      <c r="AL4150" t="s">
        <v>1403</v>
      </c>
      <c r="AM4150" s="18"/>
      <c r="AP4150" t="s">
        <v>951</v>
      </c>
    </row>
    <row r="4151" spans="1:42">
      <c r="A4151" s="16">
        <v>43843</v>
      </c>
      <c r="B4151">
        <v>1</v>
      </c>
      <c r="C4151">
        <v>986</v>
      </c>
      <c r="D4151">
        <v>14637</v>
      </c>
      <c r="E4151" t="s">
        <v>112</v>
      </c>
      <c r="F4151" t="s">
        <v>949</v>
      </c>
      <c r="G4151">
        <v>2</v>
      </c>
      <c r="H4151">
        <v>85</v>
      </c>
      <c r="I4151" s="25">
        <v>2847</v>
      </c>
      <c r="K4151" t="s">
        <v>909</v>
      </c>
      <c r="N4151" t="s">
        <v>44</v>
      </c>
      <c r="O4151">
        <v>87</v>
      </c>
      <c r="Q4151">
        <v>1</v>
      </c>
      <c r="R4151">
        <v>1</v>
      </c>
      <c r="S4151">
        <v>0</v>
      </c>
      <c r="T4151">
        <v>0</v>
      </c>
      <c r="U4151">
        <v>0</v>
      </c>
      <c r="V4151">
        <v>0</v>
      </c>
      <c r="W4151">
        <v>1</v>
      </c>
      <c r="X4151" s="21">
        <v>0</v>
      </c>
      <c r="Y4151" s="21">
        <v>0</v>
      </c>
      <c r="Z4151" s="21">
        <v>0</v>
      </c>
      <c r="AA4151" s="21">
        <v>0</v>
      </c>
      <c r="AB4151" s="21">
        <v>0</v>
      </c>
      <c r="AC4151" s="21">
        <v>0</v>
      </c>
      <c r="AD4151" s="21">
        <v>0</v>
      </c>
      <c r="AE4151" s="21">
        <v>0</v>
      </c>
      <c r="AF4151">
        <v>0</v>
      </c>
      <c r="AG4151">
        <v>0</v>
      </c>
      <c r="AH4151">
        <v>96</v>
      </c>
      <c r="AJ4151" t="s">
        <v>54</v>
      </c>
      <c r="AK4151" t="s">
        <v>95</v>
      </c>
      <c r="AL4151" t="s">
        <v>1404</v>
      </c>
      <c r="AM4151" s="18"/>
      <c r="AP4151" t="s">
        <v>951</v>
      </c>
    </row>
    <row r="4152" spans="1:42">
      <c r="A4152" s="16">
        <v>43843</v>
      </c>
      <c r="B4152">
        <v>1</v>
      </c>
      <c r="C4152">
        <v>986</v>
      </c>
      <c r="D4152">
        <v>14637</v>
      </c>
      <c r="E4152" t="s">
        <v>112</v>
      </c>
      <c r="F4152" t="s">
        <v>949</v>
      </c>
      <c r="G4152">
        <v>2</v>
      </c>
      <c r="H4152">
        <v>86</v>
      </c>
      <c r="I4152" s="25">
        <v>2851</v>
      </c>
      <c r="K4152" t="s">
        <v>909</v>
      </c>
      <c r="N4152" t="s">
        <v>44</v>
      </c>
      <c r="O4152">
        <v>95</v>
      </c>
      <c r="Q4152">
        <v>1</v>
      </c>
      <c r="R4152">
        <v>1</v>
      </c>
      <c r="S4152">
        <v>0</v>
      </c>
      <c r="T4152">
        <v>0</v>
      </c>
      <c r="U4152">
        <v>0</v>
      </c>
      <c r="V4152">
        <v>0</v>
      </c>
      <c r="W4152">
        <v>1</v>
      </c>
      <c r="X4152" s="21">
        <v>0</v>
      </c>
      <c r="Y4152" s="21">
        <v>0</v>
      </c>
      <c r="Z4152" s="21">
        <v>0</v>
      </c>
      <c r="AA4152" s="21">
        <v>0</v>
      </c>
      <c r="AB4152" s="21">
        <v>0</v>
      </c>
      <c r="AC4152" s="21">
        <v>0</v>
      </c>
      <c r="AD4152" s="21">
        <v>0</v>
      </c>
      <c r="AE4152" s="21">
        <v>0</v>
      </c>
      <c r="AF4152">
        <v>0</v>
      </c>
      <c r="AG4152">
        <v>0</v>
      </c>
      <c r="AH4152">
        <v>96</v>
      </c>
      <c r="AJ4152" t="s">
        <v>54</v>
      </c>
      <c r="AK4152" t="s">
        <v>95</v>
      </c>
      <c r="AL4152" t="s">
        <v>1404</v>
      </c>
      <c r="AM4152" s="18"/>
      <c r="AP4152" t="s">
        <v>951</v>
      </c>
    </row>
    <row r="4153" spans="1:42">
      <c r="A4153" s="16">
        <v>43843</v>
      </c>
      <c r="B4153">
        <v>1</v>
      </c>
      <c r="C4153">
        <v>986</v>
      </c>
      <c r="D4153">
        <v>14637</v>
      </c>
      <c r="E4153" t="s">
        <v>112</v>
      </c>
      <c r="F4153" t="s">
        <v>949</v>
      </c>
      <c r="G4153">
        <v>2</v>
      </c>
      <c r="H4153">
        <v>87</v>
      </c>
      <c r="I4153" s="25">
        <v>2912</v>
      </c>
      <c r="K4153" t="s">
        <v>909</v>
      </c>
      <c r="N4153" t="s">
        <v>44</v>
      </c>
      <c r="O4153">
        <v>67</v>
      </c>
      <c r="Q4153">
        <v>2</v>
      </c>
      <c r="R4153">
        <v>1</v>
      </c>
      <c r="S4153">
        <v>0</v>
      </c>
      <c r="T4153">
        <v>0</v>
      </c>
      <c r="U4153">
        <v>0</v>
      </c>
      <c r="V4153">
        <v>0</v>
      </c>
      <c r="W4153">
        <v>2</v>
      </c>
      <c r="X4153" s="21">
        <v>0</v>
      </c>
      <c r="Y4153" s="21">
        <v>0</v>
      </c>
      <c r="Z4153" s="21">
        <v>0</v>
      </c>
      <c r="AA4153" s="21">
        <v>0</v>
      </c>
      <c r="AB4153" s="21">
        <v>0</v>
      </c>
      <c r="AC4153" s="21">
        <v>0</v>
      </c>
      <c r="AD4153" s="21">
        <v>0</v>
      </c>
      <c r="AE4153" s="21">
        <v>0</v>
      </c>
      <c r="AF4153">
        <v>0</v>
      </c>
      <c r="AG4153">
        <v>0</v>
      </c>
      <c r="AH4153">
        <v>192</v>
      </c>
      <c r="AJ4153" t="s">
        <v>51</v>
      </c>
      <c r="AK4153" t="s">
        <v>95</v>
      </c>
      <c r="AL4153" t="s">
        <v>1405</v>
      </c>
      <c r="AM4153" s="18"/>
      <c r="AP4153" t="s">
        <v>951</v>
      </c>
    </row>
    <row r="4154" spans="1:42">
      <c r="A4154" s="16">
        <v>43843</v>
      </c>
      <c r="B4154">
        <v>1</v>
      </c>
      <c r="C4154">
        <v>986</v>
      </c>
      <c r="D4154">
        <v>14637</v>
      </c>
      <c r="E4154" t="s">
        <v>112</v>
      </c>
      <c r="F4154" t="s">
        <v>949</v>
      </c>
      <c r="G4154">
        <v>2</v>
      </c>
      <c r="H4154">
        <v>88</v>
      </c>
      <c r="I4154" s="25">
        <v>2960</v>
      </c>
      <c r="K4154" t="s">
        <v>909</v>
      </c>
      <c r="N4154" t="s">
        <v>44</v>
      </c>
      <c r="O4154">
        <v>64</v>
      </c>
      <c r="Q4154">
        <v>1</v>
      </c>
      <c r="R4154">
        <v>1</v>
      </c>
      <c r="S4154">
        <v>0</v>
      </c>
      <c r="T4154">
        <v>0</v>
      </c>
      <c r="U4154">
        <v>0</v>
      </c>
      <c r="V4154">
        <v>0</v>
      </c>
      <c r="W4154">
        <v>1</v>
      </c>
      <c r="X4154" s="21">
        <v>0</v>
      </c>
      <c r="Y4154" s="21">
        <v>0</v>
      </c>
      <c r="Z4154" s="21">
        <v>0</v>
      </c>
      <c r="AA4154" s="21">
        <v>0</v>
      </c>
      <c r="AB4154" s="21">
        <v>0</v>
      </c>
      <c r="AC4154" s="21">
        <v>0</v>
      </c>
      <c r="AD4154" s="21">
        <v>0</v>
      </c>
      <c r="AE4154" s="21">
        <v>0</v>
      </c>
      <c r="AF4154">
        <v>0</v>
      </c>
      <c r="AG4154">
        <v>0</v>
      </c>
      <c r="AH4154">
        <v>96</v>
      </c>
      <c r="AJ4154" t="s">
        <v>51</v>
      </c>
      <c r="AK4154" t="s">
        <v>52</v>
      </c>
      <c r="AM4154" s="18"/>
      <c r="AP4154" t="s">
        <v>951</v>
      </c>
    </row>
    <row r="4155" spans="1:42">
      <c r="A4155" s="16">
        <v>43843</v>
      </c>
      <c r="B4155">
        <v>1</v>
      </c>
      <c r="C4155">
        <v>986</v>
      </c>
      <c r="D4155">
        <v>14637</v>
      </c>
      <c r="E4155" t="s">
        <v>112</v>
      </c>
      <c r="F4155" t="s">
        <v>949</v>
      </c>
      <c r="G4155">
        <v>2</v>
      </c>
      <c r="H4155">
        <v>89</v>
      </c>
      <c r="I4155" s="25">
        <v>2964</v>
      </c>
      <c r="K4155" t="s">
        <v>909</v>
      </c>
      <c r="L4155" t="s">
        <v>114</v>
      </c>
      <c r="N4155" t="s">
        <v>42</v>
      </c>
      <c r="O4155">
        <v>242</v>
      </c>
      <c r="Q4155">
        <v>5</v>
      </c>
      <c r="R4155">
        <v>1</v>
      </c>
      <c r="S4155">
        <v>0</v>
      </c>
      <c r="T4155">
        <v>0</v>
      </c>
      <c r="U4155">
        <v>0</v>
      </c>
      <c r="V4155">
        <v>0</v>
      </c>
      <c r="W4155">
        <v>5</v>
      </c>
      <c r="X4155" s="21">
        <v>0</v>
      </c>
      <c r="Y4155" s="21">
        <v>0</v>
      </c>
      <c r="Z4155" s="21">
        <v>0</v>
      </c>
      <c r="AA4155" s="21">
        <v>0</v>
      </c>
      <c r="AB4155" s="21">
        <v>0</v>
      </c>
      <c r="AC4155" s="21">
        <v>0</v>
      </c>
      <c r="AD4155" s="21">
        <v>0</v>
      </c>
      <c r="AE4155" s="21">
        <v>0</v>
      </c>
      <c r="AF4155">
        <v>0</v>
      </c>
      <c r="AG4155">
        <v>0</v>
      </c>
      <c r="AH4155">
        <v>480</v>
      </c>
      <c r="AJ4155" t="s">
        <v>51</v>
      </c>
      <c r="AK4155" t="s">
        <v>95</v>
      </c>
      <c r="AL4155" t="s">
        <v>1406</v>
      </c>
      <c r="AM4155" s="18"/>
      <c r="AP4155" t="s">
        <v>951</v>
      </c>
    </row>
    <row r="4156" spans="1:42">
      <c r="A4156" s="16">
        <v>43843</v>
      </c>
      <c r="B4156">
        <v>1</v>
      </c>
      <c r="C4156">
        <v>986</v>
      </c>
      <c r="D4156">
        <v>14637</v>
      </c>
      <c r="E4156" t="s">
        <v>112</v>
      </c>
      <c r="F4156" t="s">
        <v>949</v>
      </c>
      <c r="G4156">
        <v>2</v>
      </c>
      <c r="H4156">
        <v>90</v>
      </c>
      <c r="I4156" s="25">
        <v>3000</v>
      </c>
      <c r="K4156" t="s">
        <v>909</v>
      </c>
      <c r="L4156" t="s">
        <v>114</v>
      </c>
      <c r="N4156" t="s">
        <v>40</v>
      </c>
      <c r="O4156">
        <v>39</v>
      </c>
      <c r="Q4156">
        <v>1</v>
      </c>
      <c r="R4156">
        <v>1</v>
      </c>
      <c r="S4156">
        <v>0</v>
      </c>
      <c r="T4156">
        <v>0</v>
      </c>
      <c r="U4156">
        <v>0</v>
      </c>
      <c r="V4156">
        <v>0</v>
      </c>
      <c r="W4156">
        <v>1</v>
      </c>
      <c r="X4156" s="21">
        <v>0</v>
      </c>
      <c r="Y4156" s="21">
        <v>0</v>
      </c>
      <c r="Z4156" s="21">
        <v>0</v>
      </c>
      <c r="AA4156" s="21">
        <v>0</v>
      </c>
      <c r="AB4156" s="21">
        <v>0</v>
      </c>
      <c r="AC4156" s="21">
        <v>0</v>
      </c>
      <c r="AD4156" s="21">
        <v>0</v>
      </c>
      <c r="AE4156" s="21">
        <v>0</v>
      </c>
      <c r="AF4156">
        <v>0</v>
      </c>
      <c r="AG4156">
        <v>0</v>
      </c>
      <c r="AH4156">
        <v>96</v>
      </c>
      <c r="AJ4156" t="s">
        <v>51</v>
      </c>
      <c r="AK4156" t="s">
        <v>95</v>
      </c>
      <c r="AM4156" s="18"/>
      <c r="AP4156" t="s">
        <v>951</v>
      </c>
    </row>
    <row r="4157" spans="1:42">
      <c r="A4157" s="16">
        <v>43843</v>
      </c>
      <c r="B4157">
        <v>1</v>
      </c>
      <c r="C4157">
        <v>986</v>
      </c>
      <c r="D4157">
        <v>14637</v>
      </c>
      <c r="E4157" t="s">
        <v>112</v>
      </c>
      <c r="F4157" t="s">
        <v>949</v>
      </c>
      <c r="G4157">
        <v>2</v>
      </c>
      <c r="H4157">
        <v>91</v>
      </c>
      <c r="I4157" s="25">
        <v>2900</v>
      </c>
      <c r="K4157" t="s">
        <v>909</v>
      </c>
      <c r="L4157" t="s">
        <v>141</v>
      </c>
      <c r="N4157" t="s">
        <v>40</v>
      </c>
      <c r="O4157">
        <v>37</v>
      </c>
      <c r="Q4157">
        <v>1</v>
      </c>
      <c r="R4157">
        <v>1</v>
      </c>
      <c r="S4157">
        <v>0</v>
      </c>
      <c r="T4157">
        <v>0</v>
      </c>
      <c r="U4157">
        <v>0</v>
      </c>
      <c r="V4157">
        <v>0</v>
      </c>
      <c r="W4157">
        <v>1</v>
      </c>
      <c r="X4157" s="21">
        <v>0</v>
      </c>
      <c r="Y4157" s="21">
        <v>0</v>
      </c>
      <c r="Z4157" s="21">
        <v>0</v>
      </c>
      <c r="AA4157" s="21">
        <v>0</v>
      </c>
      <c r="AB4157" s="21">
        <v>0</v>
      </c>
      <c r="AC4157" s="21">
        <v>0</v>
      </c>
      <c r="AD4157" s="21">
        <v>0</v>
      </c>
      <c r="AE4157" s="21">
        <v>0</v>
      </c>
      <c r="AF4157">
        <v>0</v>
      </c>
      <c r="AG4157">
        <v>0</v>
      </c>
      <c r="AH4157">
        <v>96</v>
      </c>
      <c r="AJ4157" t="s">
        <v>54</v>
      </c>
      <c r="AK4157" t="s">
        <v>95</v>
      </c>
      <c r="AM4157" s="18"/>
      <c r="AP4157" t="s">
        <v>951</v>
      </c>
    </row>
    <row r="4158" spans="1:42">
      <c r="A4158" s="16">
        <v>43843</v>
      </c>
      <c r="B4158">
        <v>1</v>
      </c>
      <c r="C4158">
        <v>986</v>
      </c>
      <c r="D4158">
        <v>14637</v>
      </c>
      <c r="E4158" t="s">
        <v>112</v>
      </c>
      <c r="F4158" t="s">
        <v>949</v>
      </c>
      <c r="G4158">
        <v>2</v>
      </c>
      <c r="H4158">
        <v>92</v>
      </c>
      <c r="I4158" s="25">
        <v>2915</v>
      </c>
      <c r="K4158" t="s">
        <v>909</v>
      </c>
      <c r="L4158" t="s">
        <v>141</v>
      </c>
      <c r="N4158" t="s">
        <v>42</v>
      </c>
      <c r="O4158">
        <v>81</v>
      </c>
      <c r="Q4158">
        <v>2</v>
      </c>
      <c r="R4158">
        <v>1</v>
      </c>
      <c r="S4158">
        <v>0</v>
      </c>
      <c r="T4158">
        <v>0</v>
      </c>
      <c r="U4158">
        <v>0</v>
      </c>
      <c r="V4158">
        <v>0</v>
      </c>
      <c r="W4158">
        <v>2</v>
      </c>
      <c r="X4158" s="21">
        <v>0</v>
      </c>
      <c r="Y4158" s="21">
        <v>0</v>
      </c>
      <c r="Z4158" s="21">
        <v>0</v>
      </c>
      <c r="AA4158" s="21">
        <v>0</v>
      </c>
      <c r="AB4158" s="21">
        <v>0</v>
      </c>
      <c r="AC4158" s="21">
        <v>0</v>
      </c>
      <c r="AD4158" s="21">
        <v>0</v>
      </c>
      <c r="AE4158" s="21">
        <v>0</v>
      </c>
      <c r="AF4158">
        <v>0</v>
      </c>
      <c r="AG4158">
        <v>0</v>
      </c>
      <c r="AH4158">
        <v>192</v>
      </c>
      <c r="AJ4158" t="s">
        <v>54</v>
      </c>
      <c r="AK4158" t="s">
        <v>95</v>
      </c>
      <c r="AL4158" t="s">
        <v>1407</v>
      </c>
      <c r="AM4158" s="18"/>
      <c r="AP4158" t="s">
        <v>951</v>
      </c>
    </row>
    <row r="4159" spans="1:42">
      <c r="A4159" s="16">
        <v>43843</v>
      </c>
      <c r="B4159">
        <v>1</v>
      </c>
      <c r="C4159">
        <v>986</v>
      </c>
      <c r="D4159">
        <v>14637</v>
      </c>
      <c r="E4159" t="s">
        <v>112</v>
      </c>
      <c r="F4159" t="s">
        <v>949</v>
      </c>
      <c r="G4159">
        <v>2</v>
      </c>
      <c r="H4159">
        <v>93</v>
      </c>
      <c r="I4159" s="25">
        <v>2250</v>
      </c>
      <c r="K4159" t="s">
        <v>119</v>
      </c>
      <c r="N4159" t="s">
        <v>44</v>
      </c>
      <c r="O4159">
        <v>84</v>
      </c>
      <c r="Q4159">
        <v>1</v>
      </c>
      <c r="R4159">
        <v>1</v>
      </c>
      <c r="S4159">
        <v>0</v>
      </c>
      <c r="T4159">
        <v>0</v>
      </c>
      <c r="U4159">
        <v>0</v>
      </c>
      <c r="V4159">
        <v>0</v>
      </c>
      <c r="W4159">
        <v>1</v>
      </c>
      <c r="X4159" s="21">
        <v>0</v>
      </c>
      <c r="Y4159" s="21">
        <v>0</v>
      </c>
      <c r="Z4159" s="21">
        <v>0</v>
      </c>
      <c r="AA4159" s="21">
        <v>0</v>
      </c>
      <c r="AB4159" s="21">
        <v>0</v>
      </c>
      <c r="AC4159" s="21">
        <v>0</v>
      </c>
      <c r="AD4159" s="21">
        <v>0</v>
      </c>
      <c r="AE4159" s="21">
        <v>0</v>
      </c>
      <c r="AF4159">
        <v>0</v>
      </c>
      <c r="AG4159">
        <v>0</v>
      </c>
      <c r="AH4159">
        <v>96</v>
      </c>
      <c r="AJ4159" t="s">
        <v>51</v>
      </c>
      <c r="AK4159" t="s">
        <v>52</v>
      </c>
      <c r="AL4159" t="s">
        <v>1089</v>
      </c>
      <c r="AM4159" s="18"/>
      <c r="AP4159" t="s">
        <v>951</v>
      </c>
    </row>
    <row r="4160" spans="1:42">
      <c r="A4160" s="16">
        <v>43843</v>
      </c>
      <c r="B4160">
        <v>1</v>
      </c>
      <c r="C4160">
        <v>986</v>
      </c>
      <c r="D4160">
        <v>14637</v>
      </c>
      <c r="E4160" t="s">
        <v>112</v>
      </c>
      <c r="F4160" t="s">
        <v>949</v>
      </c>
      <c r="G4160">
        <v>2</v>
      </c>
      <c r="H4160">
        <v>94</v>
      </c>
      <c r="I4160" s="25">
        <v>2264</v>
      </c>
      <c r="K4160" t="s">
        <v>119</v>
      </c>
      <c r="N4160" t="s">
        <v>44</v>
      </c>
      <c r="O4160">
        <v>95</v>
      </c>
      <c r="Q4160">
        <v>1</v>
      </c>
      <c r="R4160">
        <v>1</v>
      </c>
      <c r="S4160">
        <v>0</v>
      </c>
      <c r="T4160">
        <v>0</v>
      </c>
      <c r="U4160">
        <v>0</v>
      </c>
      <c r="V4160">
        <v>0</v>
      </c>
      <c r="W4160">
        <v>1</v>
      </c>
      <c r="X4160" s="21">
        <v>0</v>
      </c>
      <c r="Y4160" s="21">
        <v>0</v>
      </c>
      <c r="Z4160" s="21">
        <v>0</v>
      </c>
      <c r="AA4160" s="21">
        <v>0</v>
      </c>
      <c r="AB4160" s="21">
        <v>0</v>
      </c>
      <c r="AC4160" s="21">
        <v>0</v>
      </c>
      <c r="AD4160" s="21">
        <v>0</v>
      </c>
      <c r="AE4160" s="21">
        <v>0</v>
      </c>
      <c r="AF4160">
        <v>0</v>
      </c>
      <c r="AG4160">
        <v>0</v>
      </c>
      <c r="AH4160">
        <v>96</v>
      </c>
      <c r="AJ4160" t="s">
        <v>51</v>
      </c>
      <c r="AK4160" t="s">
        <v>52</v>
      </c>
      <c r="AL4160" t="s">
        <v>1408</v>
      </c>
      <c r="AM4160" s="18"/>
      <c r="AP4160" t="s">
        <v>951</v>
      </c>
    </row>
    <row r="4161" spans="1:42">
      <c r="A4161" s="16">
        <v>43843</v>
      </c>
      <c r="B4161">
        <v>1</v>
      </c>
      <c r="C4161">
        <v>986</v>
      </c>
      <c r="D4161">
        <v>14637</v>
      </c>
      <c r="E4161" t="s">
        <v>112</v>
      </c>
      <c r="F4161" t="s">
        <v>949</v>
      </c>
      <c r="G4161">
        <v>2</v>
      </c>
      <c r="H4161">
        <v>95</v>
      </c>
      <c r="I4161" s="25">
        <v>2280</v>
      </c>
      <c r="K4161" t="s">
        <v>119</v>
      </c>
      <c r="N4161" t="s">
        <v>44</v>
      </c>
      <c r="O4161">
        <v>85</v>
      </c>
      <c r="Q4161">
        <v>1</v>
      </c>
      <c r="R4161">
        <v>1</v>
      </c>
      <c r="S4161">
        <v>0</v>
      </c>
      <c r="T4161">
        <v>0</v>
      </c>
      <c r="U4161">
        <v>0</v>
      </c>
      <c r="V4161">
        <v>0</v>
      </c>
      <c r="W4161">
        <v>1</v>
      </c>
      <c r="X4161" s="21">
        <v>0</v>
      </c>
      <c r="Y4161" s="21">
        <v>0</v>
      </c>
      <c r="Z4161" s="21">
        <v>0</v>
      </c>
      <c r="AA4161" s="21">
        <v>0</v>
      </c>
      <c r="AB4161" s="21">
        <v>0</v>
      </c>
      <c r="AC4161" s="21">
        <v>0</v>
      </c>
      <c r="AD4161" s="21">
        <v>0</v>
      </c>
      <c r="AE4161" s="21">
        <v>0</v>
      </c>
      <c r="AF4161">
        <v>0</v>
      </c>
      <c r="AG4161">
        <v>0</v>
      </c>
      <c r="AH4161">
        <v>96</v>
      </c>
      <c r="AJ4161" t="s">
        <v>51</v>
      </c>
      <c r="AK4161" t="s">
        <v>52</v>
      </c>
      <c r="AL4161" t="s">
        <v>1409</v>
      </c>
      <c r="AM4161" s="18"/>
      <c r="AP4161" t="s">
        <v>951</v>
      </c>
    </row>
    <row r="4162" spans="1:42">
      <c r="A4162" s="16">
        <v>43843</v>
      </c>
      <c r="B4162">
        <v>1</v>
      </c>
      <c r="C4162">
        <v>986</v>
      </c>
      <c r="D4162">
        <v>14637</v>
      </c>
      <c r="E4162" t="s">
        <v>112</v>
      </c>
      <c r="F4162" t="s">
        <v>949</v>
      </c>
      <c r="G4162">
        <v>2</v>
      </c>
      <c r="H4162">
        <v>96</v>
      </c>
      <c r="I4162" s="25">
        <v>2200</v>
      </c>
      <c r="K4162" t="s">
        <v>156</v>
      </c>
      <c r="L4162" t="s">
        <v>141</v>
      </c>
      <c r="N4162" t="s">
        <v>40</v>
      </c>
      <c r="O4162">
        <v>27</v>
      </c>
      <c r="Q4162">
        <v>1</v>
      </c>
      <c r="R4162">
        <v>1</v>
      </c>
      <c r="S4162">
        <v>0</v>
      </c>
      <c r="T4162">
        <v>0</v>
      </c>
      <c r="U4162">
        <v>1</v>
      </c>
      <c r="V4162">
        <v>0</v>
      </c>
      <c r="W4162">
        <v>0</v>
      </c>
      <c r="X4162" s="21">
        <v>0</v>
      </c>
      <c r="Y4162" s="21">
        <v>0</v>
      </c>
      <c r="Z4162" s="21">
        <v>0</v>
      </c>
      <c r="AA4162" s="21">
        <v>0</v>
      </c>
      <c r="AB4162" s="21">
        <v>0</v>
      </c>
      <c r="AC4162" s="21">
        <v>0</v>
      </c>
      <c r="AD4162" s="21">
        <v>0</v>
      </c>
      <c r="AE4162" s="21">
        <v>0</v>
      </c>
      <c r="AF4162">
        <v>1</v>
      </c>
      <c r="AG4162">
        <v>0</v>
      </c>
      <c r="AH4162">
        <v>32</v>
      </c>
      <c r="AJ4162" t="s">
        <v>51</v>
      </c>
      <c r="AK4162" t="s">
        <v>52</v>
      </c>
      <c r="AM4162" s="18"/>
      <c r="AP4162" t="s">
        <v>951</v>
      </c>
    </row>
    <row r="4163" spans="1:42">
      <c r="A4163" s="16">
        <v>43843</v>
      </c>
      <c r="B4163">
        <v>1</v>
      </c>
      <c r="C4163">
        <v>986</v>
      </c>
      <c r="D4163">
        <v>14637</v>
      </c>
      <c r="E4163" t="s">
        <v>112</v>
      </c>
      <c r="F4163" t="s">
        <v>949</v>
      </c>
      <c r="G4163">
        <v>2</v>
      </c>
      <c r="H4163">
        <v>97</v>
      </c>
      <c r="I4163" s="25">
        <v>2200</v>
      </c>
      <c r="K4163" t="s">
        <v>156</v>
      </c>
      <c r="L4163" t="s">
        <v>141</v>
      </c>
      <c r="N4163" t="s">
        <v>40</v>
      </c>
      <c r="O4163">
        <v>39</v>
      </c>
      <c r="Q4163">
        <v>2</v>
      </c>
      <c r="R4163">
        <v>1</v>
      </c>
      <c r="S4163">
        <v>0</v>
      </c>
      <c r="T4163">
        <v>0</v>
      </c>
      <c r="U4163">
        <v>0</v>
      </c>
      <c r="V4163">
        <v>2</v>
      </c>
      <c r="W4163">
        <v>0</v>
      </c>
      <c r="X4163" s="21">
        <v>0</v>
      </c>
      <c r="Y4163" s="21">
        <v>0</v>
      </c>
      <c r="Z4163" s="21">
        <v>0</v>
      </c>
      <c r="AA4163" s="21">
        <v>0</v>
      </c>
      <c r="AB4163" s="21">
        <v>0</v>
      </c>
      <c r="AC4163" s="21">
        <v>0</v>
      </c>
      <c r="AD4163" s="21">
        <v>0</v>
      </c>
      <c r="AE4163" s="21">
        <v>0</v>
      </c>
      <c r="AF4163">
        <v>0</v>
      </c>
      <c r="AG4163">
        <v>0</v>
      </c>
      <c r="AH4163">
        <v>128</v>
      </c>
      <c r="AJ4163" t="s">
        <v>51</v>
      </c>
      <c r="AK4163" t="s">
        <v>52</v>
      </c>
      <c r="AM4163" s="18"/>
      <c r="AP4163" t="s">
        <v>951</v>
      </c>
    </row>
    <row r="4164" spans="1:42">
      <c r="A4164" s="16">
        <v>43843</v>
      </c>
      <c r="B4164">
        <v>1</v>
      </c>
      <c r="C4164">
        <v>986</v>
      </c>
      <c r="D4164">
        <v>14637</v>
      </c>
      <c r="E4164" t="s">
        <v>112</v>
      </c>
      <c r="F4164" t="s">
        <v>949</v>
      </c>
      <c r="G4164">
        <v>2</v>
      </c>
      <c r="H4164">
        <v>98</v>
      </c>
      <c r="I4164" s="25">
        <v>2200</v>
      </c>
      <c r="K4164" t="s">
        <v>156</v>
      </c>
      <c r="L4164" t="s">
        <v>141</v>
      </c>
      <c r="N4164" t="s">
        <v>40</v>
      </c>
      <c r="O4164">
        <v>42</v>
      </c>
      <c r="Q4164">
        <v>2</v>
      </c>
      <c r="R4164">
        <v>1</v>
      </c>
      <c r="S4164">
        <v>0</v>
      </c>
      <c r="T4164">
        <v>0</v>
      </c>
      <c r="U4164">
        <v>0</v>
      </c>
      <c r="V4164">
        <v>2</v>
      </c>
      <c r="W4164">
        <v>0</v>
      </c>
      <c r="X4164" s="21">
        <v>0</v>
      </c>
      <c r="Y4164" s="21">
        <v>0</v>
      </c>
      <c r="Z4164" s="21">
        <v>0</v>
      </c>
      <c r="AA4164" s="21">
        <v>0</v>
      </c>
      <c r="AB4164" s="21">
        <v>0</v>
      </c>
      <c r="AC4164" s="21">
        <v>0</v>
      </c>
      <c r="AD4164" s="21">
        <v>0</v>
      </c>
      <c r="AE4164" s="21">
        <v>0</v>
      </c>
      <c r="AF4164">
        <v>1</v>
      </c>
      <c r="AG4164">
        <v>0</v>
      </c>
      <c r="AH4164">
        <v>128</v>
      </c>
      <c r="AJ4164" t="s">
        <v>51</v>
      </c>
      <c r="AK4164" t="s">
        <v>95</v>
      </c>
      <c r="AM4164" s="18"/>
      <c r="AP4164" t="s">
        <v>951</v>
      </c>
    </row>
    <row r="4165" spans="1:42">
      <c r="A4165" s="16">
        <v>43843</v>
      </c>
      <c r="B4165">
        <v>1</v>
      </c>
      <c r="C4165">
        <v>986</v>
      </c>
      <c r="D4165">
        <v>14637</v>
      </c>
      <c r="E4165" t="s">
        <v>112</v>
      </c>
      <c r="F4165" t="s">
        <v>949</v>
      </c>
      <c r="G4165">
        <v>2</v>
      </c>
      <c r="H4165">
        <v>99</v>
      </c>
      <c r="I4165" s="25">
        <v>2200</v>
      </c>
      <c r="K4165" t="s">
        <v>156</v>
      </c>
      <c r="L4165" t="s">
        <v>141</v>
      </c>
      <c r="N4165" t="s">
        <v>40</v>
      </c>
      <c r="O4165">
        <v>25</v>
      </c>
      <c r="Q4165">
        <v>1</v>
      </c>
      <c r="R4165">
        <v>1</v>
      </c>
      <c r="S4165">
        <v>0</v>
      </c>
      <c r="T4165">
        <v>0</v>
      </c>
      <c r="U4165">
        <v>0</v>
      </c>
      <c r="V4165">
        <v>0</v>
      </c>
      <c r="W4165">
        <v>1</v>
      </c>
      <c r="X4165" s="21">
        <v>0</v>
      </c>
      <c r="Y4165" s="21">
        <v>0</v>
      </c>
      <c r="Z4165" s="21">
        <v>0</v>
      </c>
      <c r="AA4165" s="21">
        <v>0</v>
      </c>
      <c r="AB4165" s="21">
        <v>0</v>
      </c>
      <c r="AC4165" s="21">
        <v>0</v>
      </c>
      <c r="AD4165" s="21">
        <v>0</v>
      </c>
      <c r="AE4165" s="21">
        <v>0</v>
      </c>
      <c r="AF4165">
        <v>0</v>
      </c>
      <c r="AG4165">
        <v>0</v>
      </c>
      <c r="AH4165">
        <v>96</v>
      </c>
      <c r="AJ4165" t="s">
        <v>51</v>
      </c>
      <c r="AK4165" t="s">
        <v>95</v>
      </c>
      <c r="AM4165" s="18"/>
      <c r="AP4165" t="s">
        <v>951</v>
      </c>
    </row>
    <row r="4166" spans="1:42">
      <c r="A4166" s="16">
        <v>43843</v>
      </c>
      <c r="B4166">
        <v>1</v>
      </c>
      <c r="C4166">
        <v>986</v>
      </c>
      <c r="D4166">
        <v>14637</v>
      </c>
      <c r="E4166" t="s">
        <v>112</v>
      </c>
      <c r="F4166" t="s">
        <v>949</v>
      </c>
      <c r="G4166">
        <v>2</v>
      </c>
      <c r="H4166">
        <v>100</v>
      </c>
      <c r="I4166" s="25">
        <v>3100</v>
      </c>
      <c r="K4166" t="s">
        <v>909</v>
      </c>
      <c r="L4166" t="s">
        <v>114</v>
      </c>
      <c r="N4166" t="s">
        <v>40</v>
      </c>
      <c r="O4166">
        <v>72</v>
      </c>
      <c r="Q4166">
        <v>2</v>
      </c>
      <c r="R4166">
        <v>1</v>
      </c>
      <c r="S4166">
        <v>0</v>
      </c>
      <c r="T4166">
        <v>0</v>
      </c>
      <c r="U4166">
        <v>0</v>
      </c>
      <c r="V4166">
        <v>2</v>
      </c>
      <c r="W4166">
        <v>0</v>
      </c>
      <c r="X4166" s="21">
        <v>0</v>
      </c>
      <c r="Y4166" s="21">
        <v>0</v>
      </c>
      <c r="Z4166" s="21">
        <v>0</v>
      </c>
      <c r="AA4166" s="21">
        <v>0</v>
      </c>
      <c r="AB4166" s="21">
        <v>0</v>
      </c>
      <c r="AC4166" s="21">
        <v>0</v>
      </c>
      <c r="AD4166" s="21">
        <v>0</v>
      </c>
      <c r="AE4166" s="21">
        <v>0</v>
      </c>
      <c r="AF4166">
        <v>0</v>
      </c>
      <c r="AG4166">
        <v>0</v>
      </c>
      <c r="AH4166">
        <v>128</v>
      </c>
      <c r="AJ4166" t="s">
        <v>51</v>
      </c>
      <c r="AK4166" t="s">
        <v>52</v>
      </c>
      <c r="AM4166" s="18"/>
      <c r="AP4166" t="s">
        <v>951</v>
      </c>
    </row>
    <row r="4167" spans="1:42">
      <c r="A4167" s="16">
        <v>43843</v>
      </c>
      <c r="B4167">
        <v>1</v>
      </c>
      <c r="C4167">
        <v>986</v>
      </c>
      <c r="D4167">
        <v>14637</v>
      </c>
      <c r="E4167" t="s">
        <v>112</v>
      </c>
      <c r="F4167" t="s">
        <v>949</v>
      </c>
      <c r="G4167">
        <v>2</v>
      </c>
      <c r="H4167">
        <v>101</v>
      </c>
      <c r="I4167" s="25">
        <v>3100</v>
      </c>
      <c r="K4167" t="s">
        <v>909</v>
      </c>
      <c r="L4167" t="s">
        <v>114</v>
      </c>
      <c r="N4167" t="s">
        <v>40</v>
      </c>
      <c r="O4167">
        <v>21</v>
      </c>
      <c r="Q4167">
        <v>1</v>
      </c>
      <c r="R4167">
        <v>1</v>
      </c>
      <c r="S4167">
        <v>0</v>
      </c>
      <c r="T4167">
        <v>0</v>
      </c>
      <c r="U4167">
        <v>0</v>
      </c>
      <c r="V4167">
        <v>0</v>
      </c>
      <c r="W4167">
        <v>1</v>
      </c>
      <c r="X4167" s="21">
        <v>0</v>
      </c>
      <c r="Y4167" s="21">
        <v>0</v>
      </c>
      <c r="Z4167" s="21">
        <v>0</v>
      </c>
      <c r="AA4167" s="21">
        <v>0</v>
      </c>
      <c r="AB4167" s="21">
        <v>0</v>
      </c>
      <c r="AC4167" s="21">
        <v>0</v>
      </c>
      <c r="AD4167" s="21">
        <v>0</v>
      </c>
      <c r="AE4167" s="21">
        <v>0</v>
      </c>
      <c r="AF4167">
        <v>0</v>
      </c>
      <c r="AG4167">
        <v>0</v>
      </c>
      <c r="AH4167">
        <v>96</v>
      </c>
      <c r="AJ4167" t="s">
        <v>51</v>
      </c>
      <c r="AK4167" t="s">
        <v>95</v>
      </c>
      <c r="AM4167" s="18"/>
      <c r="AP4167" t="s">
        <v>951</v>
      </c>
    </row>
    <row r="4168" spans="1:42">
      <c r="A4168" s="16">
        <v>43843</v>
      </c>
      <c r="B4168">
        <v>1</v>
      </c>
      <c r="C4168">
        <v>986</v>
      </c>
      <c r="D4168">
        <v>14637</v>
      </c>
      <c r="E4168" t="s">
        <v>112</v>
      </c>
      <c r="F4168" t="s">
        <v>949</v>
      </c>
      <c r="G4168">
        <v>2</v>
      </c>
      <c r="H4168">
        <v>102</v>
      </c>
      <c r="I4168" s="25">
        <v>200</v>
      </c>
      <c r="K4168" t="s">
        <v>602</v>
      </c>
      <c r="L4168" t="s">
        <v>114</v>
      </c>
      <c r="N4168" t="s">
        <v>40</v>
      </c>
      <c r="O4168">
        <v>40</v>
      </c>
      <c r="Q4168">
        <v>1</v>
      </c>
      <c r="R4168">
        <v>1</v>
      </c>
      <c r="S4168">
        <v>0</v>
      </c>
      <c r="T4168">
        <v>0</v>
      </c>
      <c r="U4168">
        <v>0</v>
      </c>
      <c r="V4168">
        <v>0</v>
      </c>
      <c r="W4168">
        <v>1</v>
      </c>
      <c r="X4168" s="21">
        <v>0</v>
      </c>
      <c r="Y4168" s="21">
        <v>0</v>
      </c>
      <c r="Z4168" s="21">
        <v>0</v>
      </c>
      <c r="AA4168" s="21">
        <v>0</v>
      </c>
      <c r="AB4168" s="21">
        <v>0</v>
      </c>
      <c r="AC4168" s="21">
        <v>0</v>
      </c>
      <c r="AD4168" s="21">
        <v>0</v>
      </c>
      <c r="AE4168" s="21">
        <v>0</v>
      </c>
      <c r="AF4168">
        <v>0</v>
      </c>
      <c r="AG4168">
        <v>0</v>
      </c>
      <c r="AH4168">
        <v>96</v>
      </c>
      <c r="AJ4168" t="s">
        <v>51</v>
      </c>
      <c r="AK4168" t="s">
        <v>95</v>
      </c>
      <c r="AM4168" s="18"/>
      <c r="AP4168" t="s">
        <v>951</v>
      </c>
    </row>
    <row r="4169" spans="1:42">
      <c r="A4169" s="16">
        <v>43843</v>
      </c>
      <c r="B4169">
        <v>1</v>
      </c>
      <c r="C4169">
        <v>986</v>
      </c>
      <c r="D4169">
        <v>14637</v>
      </c>
      <c r="E4169" t="s">
        <v>112</v>
      </c>
      <c r="F4169" t="s">
        <v>949</v>
      </c>
      <c r="G4169">
        <v>2</v>
      </c>
      <c r="H4169">
        <v>103</v>
      </c>
      <c r="I4169" s="25">
        <v>200</v>
      </c>
      <c r="K4169" t="s">
        <v>602</v>
      </c>
      <c r="L4169" t="s">
        <v>141</v>
      </c>
      <c r="M4169" t="s">
        <v>95</v>
      </c>
      <c r="N4169" t="s">
        <v>40</v>
      </c>
      <c r="O4169">
        <v>104</v>
      </c>
      <c r="Q4169">
        <v>3</v>
      </c>
      <c r="R4169">
        <v>1</v>
      </c>
      <c r="S4169">
        <v>0</v>
      </c>
      <c r="T4169">
        <v>0</v>
      </c>
      <c r="U4169">
        <v>0</v>
      </c>
      <c r="V4169">
        <v>0</v>
      </c>
      <c r="W4169">
        <v>3</v>
      </c>
      <c r="X4169" s="21">
        <v>0</v>
      </c>
      <c r="Y4169" s="21">
        <v>0</v>
      </c>
      <c r="Z4169" s="21">
        <v>0</v>
      </c>
      <c r="AA4169" s="21">
        <v>0</v>
      </c>
      <c r="AB4169" s="21">
        <v>0</v>
      </c>
      <c r="AC4169" s="21">
        <v>0</v>
      </c>
      <c r="AD4169" s="21">
        <v>0</v>
      </c>
      <c r="AE4169" s="21">
        <v>0</v>
      </c>
      <c r="AF4169">
        <v>0</v>
      </c>
      <c r="AG4169">
        <v>0</v>
      </c>
      <c r="AH4169">
        <v>288</v>
      </c>
      <c r="AJ4169" t="s">
        <v>51</v>
      </c>
      <c r="AK4169" t="s">
        <v>95</v>
      </c>
      <c r="AM4169" s="18"/>
      <c r="AP4169" t="s">
        <v>951</v>
      </c>
    </row>
    <row r="4170" spans="1:42">
      <c r="A4170" s="16">
        <v>43843</v>
      </c>
      <c r="B4170">
        <v>1</v>
      </c>
      <c r="C4170">
        <v>986</v>
      </c>
      <c r="D4170">
        <v>14637</v>
      </c>
      <c r="E4170" t="s">
        <v>112</v>
      </c>
      <c r="F4170" t="s">
        <v>949</v>
      </c>
      <c r="G4170">
        <v>2</v>
      </c>
      <c r="H4170">
        <v>104</v>
      </c>
      <c r="I4170" s="25">
        <v>200</v>
      </c>
      <c r="K4170" t="s">
        <v>602</v>
      </c>
      <c r="L4170" t="s">
        <v>114</v>
      </c>
      <c r="N4170" t="s">
        <v>40</v>
      </c>
      <c r="O4170">
        <v>23</v>
      </c>
      <c r="Q4170">
        <v>1</v>
      </c>
      <c r="R4170">
        <v>1</v>
      </c>
      <c r="S4170">
        <v>0</v>
      </c>
      <c r="T4170">
        <v>0</v>
      </c>
      <c r="U4170">
        <v>0</v>
      </c>
      <c r="V4170">
        <v>0</v>
      </c>
      <c r="W4170">
        <v>1</v>
      </c>
      <c r="X4170" s="21">
        <v>0</v>
      </c>
      <c r="Y4170" s="21">
        <v>0</v>
      </c>
      <c r="Z4170" s="21">
        <v>0</v>
      </c>
      <c r="AA4170" s="21">
        <v>0</v>
      </c>
      <c r="AB4170" s="21">
        <v>0</v>
      </c>
      <c r="AC4170" s="21">
        <v>0</v>
      </c>
      <c r="AD4170" s="21">
        <v>0</v>
      </c>
      <c r="AE4170" s="21">
        <v>0</v>
      </c>
      <c r="AF4170">
        <v>0</v>
      </c>
      <c r="AG4170">
        <v>0</v>
      </c>
      <c r="AH4170">
        <v>96</v>
      </c>
      <c r="AJ4170" t="s">
        <v>51</v>
      </c>
      <c r="AK4170" t="s">
        <v>95</v>
      </c>
      <c r="AM4170" s="18"/>
      <c r="AP4170" t="s">
        <v>951</v>
      </c>
    </row>
    <row r="4171" spans="1:42">
      <c r="A4171" s="16">
        <v>43843</v>
      </c>
      <c r="B4171">
        <v>1</v>
      </c>
      <c r="C4171">
        <v>986</v>
      </c>
      <c r="D4171">
        <v>14637</v>
      </c>
      <c r="E4171" t="s">
        <v>112</v>
      </c>
      <c r="F4171" t="s">
        <v>949</v>
      </c>
      <c r="G4171">
        <v>2</v>
      </c>
      <c r="H4171">
        <v>105</v>
      </c>
      <c r="I4171" s="25">
        <v>200</v>
      </c>
      <c r="K4171" t="s">
        <v>602</v>
      </c>
      <c r="L4171" t="s">
        <v>114</v>
      </c>
      <c r="N4171" t="s">
        <v>40</v>
      </c>
      <c r="O4171">
        <v>33</v>
      </c>
      <c r="Q4171">
        <v>1</v>
      </c>
      <c r="R4171">
        <v>1</v>
      </c>
      <c r="S4171">
        <v>0</v>
      </c>
      <c r="T4171">
        <v>0</v>
      </c>
      <c r="U4171">
        <v>0</v>
      </c>
      <c r="V4171">
        <v>0</v>
      </c>
      <c r="W4171">
        <v>1</v>
      </c>
      <c r="X4171" s="21">
        <v>0</v>
      </c>
      <c r="Y4171" s="21">
        <v>0</v>
      </c>
      <c r="Z4171" s="21">
        <v>0</v>
      </c>
      <c r="AA4171" s="21">
        <v>0</v>
      </c>
      <c r="AB4171" s="21">
        <v>0</v>
      </c>
      <c r="AC4171" s="21">
        <v>0</v>
      </c>
      <c r="AD4171" s="21">
        <v>0</v>
      </c>
      <c r="AE4171" s="21">
        <v>0</v>
      </c>
      <c r="AF4171">
        <v>0</v>
      </c>
      <c r="AG4171">
        <v>0</v>
      </c>
      <c r="AH4171">
        <v>96</v>
      </c>
      <c r="AJ4171" t="s">
        <v>51</v>
      </c>
      <c r="AK4171" t="s">
        <v>95</v>
      </c>
      <c r="AM4171" s="18"/>
      <c r="AP4171" t="s">
        <v>951</v>
      </c>
    </row>
    <row r="4172" spans="1:42">
      <c r="A4172" s="16">
        <v>43843</v>
      </c>
      <c r="B4172">
        <v>1</v>
      </c>
      <c r="C4172">
        <v>986</v>
      </c>
      <c r="D4172">
        <v>14637</v>
      </c>
      <c r="E4172" t="s">
        <v>112</v>
      </c>
      <c r="F4172" t="s">
        <v>949</v>
      </c>
      <c r="G4172">
        <v>2</v>
      </c>
      <c r="H4172">
        <v>106</v>
      </c>
      <c r="I4172" s="25">
        <v>200</v>
      </c>
      <c r="K4172" t="s">
        <v>602</v>
      </c>
      <c r="L4172" t="s">
        <v>114</v>
      </c>
      <c r="N4172" t="s">
        <v>40</v>
      </c>
      <c r="O4172">
        <v>29</v>
      </c>
      <c r="Q4172">
        <v>1</v>
      </c>
      <c r="R4172">
        <v>1</v>
      </c>
      <c r="S4172">
        <v>0</v>
      </c>
      <c r="T4172">
        <v>0</v>
      </c>
      <c r="U4172">
        <v>0</v>
      </c>
      <c r="V4172">
        <v>0</v>
      </c>
      <c r="W4172">
        <v>1</v>
      </c>
      <c r="X4172" s="21">
        <v>0</v>
      </c>
      <c r="Y4172" s="21">
        <v>0</v>
      </c>
      <c r="Z4172" s="21">
        <v>0</v>
      </c>
      <c r="AA4172" s="21">
        <v>0</v>
      </c>
      <c r="AB4172" s="21">
        <v>0</v>
      </c>
      <c r="AC4172" s="21">
        <v>0</v>
      </c>
      <c r="AD4172" s="21">
        <v>0</v>
      </c>
      <c r="AE4172" s="21">
        <v>0</v>
      </c>
      <c r="AF4172">
        <v>1</v>
      </c>
      <c r="AG4172">
        <v>0</v>
      </c>
      <c r="AH4172">
        <v>64</v>
      </c>
      <c r="AJ4172" t="s">
        <v>51</v>
      </c>
      <c r="AK4172" t="s">
        <v>95</v>
      </c>
      <c r="AM4172" s="18"/>
      <c r="AP4172" t="s">
        <v>951</v>
      </c>
    </row>
    <row r="4173" spans="1:42">
      <c r="A4173" s="16">
        <v>43843</v>
      </c>
      <c r="B4173">
        <v>1</v>
      </c>
      <c r="C4173">
        <v>986</v>
      </c>
      <c r="D4173">
        <v>14637</v>
      </c>
      <c r="E4173" t="s">
        <v>112</v>
      </c>
      <c r="F4173" t="s">
        <v>949</v>
      </c>
      <c r="G4173">
        <v>2</v>
      </c>
      <c r="H4173">
        <v>107</v>
      </c>
      <c r="I4173" s="25">
        <v>100</v>
      </c>
      <c r="K4173" t="s">
        <v>602</v>
      </c>
      <c r="L4173" t="s">
        <v>11</v>
      </c>
      <c r="M4173" t="s">
        <v>95</v>
      </c>
      <c r="N4173" t="s">
        <v>40</v>
      </c>
      <c r="O4173">
        <v>108</v>
      </c>
      <c r="Q4173">
        <v>6</v>
      </c>
      <c r="R4173">
        <v>1</v>
      </c>
      <c r="S4173">
        <v>0</v>
      </c>
      <c r="T4173">
        <v>0</v>
      </c>
      <c r="U4173">
        <v>2</v>
      </c>
      <c r="V4173">
        <v>1</v>
      </c>
      <c r="W4173">
        <v>3</v>
      </c>
      <c r="X4173" s="21">
        <v>0</v>
      </c>
      <c r="Y4173" s="21">
        <v>0</v>
      </c>
      <c r="Z4173" s="21">
        <v>0</v>
      </c>
      <c r="AA4173" s="21">
        <v>0</v>
      </c>
      <c r="AB4173" s="21">
        <v>0</v>
      </c>
      <c r="AC4173" s="21">
        <v>0</v>
      </c>
      <c r="AD4173" s="21">
        <v>0</v>
      </c>
      <c r="AE4173" s="21">
        <v>0</v>
      </c>
      <c r="AF4173">
        <v>0</v>
      </c>
      <c r="AG4173">
        <v>0</v>
      </c>
      <c r="AH4173">
        <v>416</v>
      </c>
      <c r="AJ4173" t="s">
        <v>51</v>
      </c>
      <c r="AK4173" t="s">
        <v>95</v>
      </c>
      <c r="AM4173" s="18"/>
      <c r="AP4173" t="s">
        <v>951</v>
      </c>
    </row>
    <row r="4174" spans="1:42">
      <c r="A4174" s="16">
        <v>43843</v>
      </c>
      <c r="B4174">
        <v>1</v>
      </c>
      <c r="C4174">
        <v>986</v>
      </c>
      <c r="D4174">
        <v>14637</v>
      </c>
      <c r="E4174" t="s">
        <v>112</v>
      </c>
      <c r="F4174" t="s">
        <v>949</v>
      </c>
      <c r="G4174">
        <v>2</v>
      </c>
      <c r="H4174">
        <v>108</v>
      </c>
      <c r="I4174" s="25">
        <v>100</v>
      </c>
      <c r="K4174" t="s">
        <v>602</v>
      </c>
      <c r="L4174" t="s">
        <v>11</v>
      </c>
      <c r="M4174" t="s">
        <v>95</v>
      </c>
      <c r="N4174" t="s">
        <v>40</v>
      </c>
      <c r="O4174">
        <v>43</v>
      </c>
      <c r="Q4174">
        <v>3</v>
      </c>
      <c r="R4174">
        <v>1</v>
      </c>
      <c r="S4174">
        <v>0</v>
      </c>
      <c r="T4174">
        <v>0</v>
      </c>
      <c r="U4174">
        <v>2</v>
      </c>
      <c r="V4174">
        <v>1</v>
      </c>
      <c r="W4174">
        <v>0</v>
      </c>
      <c r="X4174" s="21">
        <v>0</v>
      </c>
      <c r="Y4174" s="21">
        <v>0</v>
      </c>
      <c r="Z4174" s="21">
        <v>0</v>
      </c>
      <c r="AA4174" s="21">
        <v>0</v>
      </c>
      <c r="AB4174" s="21">
        <v>0</v>
      </c>
      <c r="AC4174" s="21">
        <v>0</v>
      </c>
      <c r="AD4174" s="21">
        <v>0</v>
      </c>
      <c r="AE4174" s="21">
        <v>0</v>
      </c>
      <c r="AF4174">
        <v>0</v>
      </c>
      <c r="AG4174">
        <v>0</v>
      </c>
      <c r="AH4174">
        <v>128</v>
      </c>
      <c r="AJ4174" t="s">
        <v>51</v>
      </c>
      <c r="AK4174" t="s">
        <v>95</v>
      </c>
      <c r="AM4174" s="18"/>
      <c r="AP4174" t="s">
        <v>951</v>
      </c>
    </row>
    <row r="4175" spans="1:42">
      <c r="A4175" s="16">
        <v>43843</v>
      </c>
      <c r="B4175">
        <v>1</v>
      </c>
      <c r="C4175">
        <v>986</v>
      </c>
      <c r="D4175">
        <v>14637</v>
      </c>
      <c r="E4175" t="s">
        <v>112</v>
      </c>
      <c r="F4175" t="s">
        <v>949</v>
      </c>
      <c r="G4175">
        <v>2</v>
      </c>
      <c r="H4175">
        <v>109</v>
      </c>
      <c r="I4175" s="25">
        <v>100</v>
      </c>
      <c r="K4175" t="s">
        <v>602</v>
      </c>
      <c r="L4175" t="s">
        <v>141</v>
      </c>
      <c r="N4175" t="s">
        <v>40</v>
      </c>
      <c r="O4175">
        <v>19</v>
      </c>
      <c r="Q4175">
        <v>1</v>
      </c>
      <c r="R4175">
        <v>1</v>
      </c>
      <c r="S4175">
        <v>0</v>
      </c>
      <c r="T4175">
        <v>0</v>
      </c>
      <c r="U4175">
        <v>0</v>
      </c>
      <c r="V4175">
        <v>1</v>
      </c>
      <c r="W4175">
        <v>0</v>
      </c>
      <c r="X4175" s="21">
        <v>0</v>
      </c>
      <c r="Y4175" s="21">
        <v>0</v>
      </c>
      <c r="Z4175" s="21">
        <v>0</v>
      </c>
      <c r="AA4175" s="21">
        <v>0</v>
      </c>
      <c r="AB4175" s="21">
        <v>0</v>
      </c>
      <c r="AC4175" s="21">
        <v>0</v>
      </c>
      <c r="AD4175" s="21">
        <v>0</v>
      </c>
      <c r="AE4175" s="21">
        <v>0</v>
      </c>
      <c r="AF4175">
        <v>0</v>
      </c>
      <c r="AG4175">
        <v>0</v>
      </c>
      <c r="AH4175">
        <v>64</v>
      </c>
      <c r="AJ4175" t="s">
        <v>51</v>
      </c>
      <c r="AK4175" t="s">
        <v>95</v>
      </c>
      <c r="AM4175" s="18"/>
      <c r="AP4175" t="s">
        <v>951</v>
      </c>
    </row>
    <row r="4176" spans="1:42">
      <c r="A4176" s="16">
        <v>43843</v>
      </c>
      <c r="B4176">
        <v>1</v>
      </c>
      <c r="C4176">
        <v>986</v>
      </c>
      <c r="D4176">
        <v>14637</v>
      </c>
      <c r="E4176" t="s">
        <v>112</v>
      </c>
      <c r="F4176" t="s">
        <v>949</v>
      </c>
      <c r="G4176">
        <v>2</v>
      </c>
      <c r="H4176">
        <v>110</v>
      </c>
      <c r="I4176" s="25">
        <v>100</v>
      </c>
      <c r="K4176" t="s">
        <v>602</v>
      </c>
      <c r="L4176" t="s">
        <v>114</v>
      </c>
      <c r="N4176" t="s">
        <v>40</v>
      </c>
      <c r="O4176">
        <v>51</v>
      </c>
      <c r="Q4176">
        <v>1</v>
      </c>
      <c r="R4176">
        <v>1</v>
      </c>
      <c r="S4176">
        <v>0</v>
      </c>
      <c r="T4176">
        <v>0</v>
      </c>
      <c r="U4176">
        <v>0</v>
      </c>
      <c r="V4176">
        <v>1</v>
      </c>
      <c r="W4176">
        <v>0</v>
      </c>
      <c r="X4176" s="21">
        <v>0</v>
      </c>
      <c r="Y4176" s="21">
        <v>0</v>
      </c>
      <c r="Z4176" s="21">
        <v>0</v>
      </c>
      <c r="AA4176" s="21">
        <v>0</v>
      </c>
      <c r="AB4176" s="21">
        <v>0</v>
      </c>
      <c r="AC4176" s="21">
        <v>0</v>
      </c>
      <c r="AD4176" s="21">
        <v>0</v>
      </c>
      <c r="AE4176" s="21">
        <v>0</v>
      </c>
      <c r="AF4176">
        <v>0</v>
      </c>
      <c r="AG4176">
        <v>0</v>
      </c>
      <c r="AH4176">
        <v>64</v>
      </c>
      <c r="AJ4176" t="s">
        <v>51</v>
      </c>
      <c r="AK4176" t="s">
        <v>95</v>
      </c>
      <c r="AL4176" t="s">
        <v>1410</v>
      </c>
      <c r="AM4176" s="18"/>
      <c r="AP4176" t="s">
        <v>951</v>
      </c>
    </row>
    <row r="4177" spans="1:42">
      <c r="A4177" s="16">
        <v>43843</v>
      </c>
      <c r="B4177">
        <v>1</v>
      </c>
      <c r="C4177">
        <v>986</v>
      </c>
      <c r="D4177">
        <v>14637</v>
      </c>
      <c r="E4177" t="s">
        <v>112</v>
      </c>
      <c r="F4177" t="s">
        <v>949</v>
      </c>
      <c r="G4177">
        <v>2</v>
      </c>
      <c r="H4177">
        <v>111</v>
      </c>
      <c r="I4177" s="25">
        <v>100</v>
      </c>
      <c r="K4177" t="s">
        <v>602</v>
      </c>
      <c r="L4177" t="s">
        <v>141</v>
      </c>
      <c r="N4177" t="s">
        <v>40</v>
      </c>
      <c r="O4177">
        <v>21</v>
      </c>
      <c r="Q4177">
        <v>1</v>
      </c>
      <c r="R4177">
        <v>1</v>
      </c>
      <c r="S4177">
        <v>0</v>
      </c>
      <c r="T4177">
        <v>0</v>
      </c>
      <c r="U4177">
        <v>0</v>
      </c>
      <c r="V4177">
        <v>1</v>
      </c>
      <c r="W4177">
        <v>0</v>
      </c>
      <c r="X4177" s="21">
        <v>0</v>
      </c>
      <c r="Y4177" s="21">
        <v>0</v>
      </c>
      <c r="Z4177" s="21">
        <v>0</v>
      </c>
      <c r="AA4177" s="21">
        <v>0</v>
      </c>
      <c r="AB4177" s="21">
        <v>0</v>
      </c>
      <c r="AC4177" s="21">
        <v>0</v>
      </c>
      <c r="AD4177" s="21">
        <v>0</v>
      </c>
      <c r="AE4177" s="21">
        <v>0</v>
      </c>
      <c r="AF4177">
        <v>0</v>
      </c>
      <c r="AG4177">
        <v>0</v>
      </c>
      <c r="AH4177">
        <v>64</v>
      </c>
      <c r="AJ4177" t="s">
        <v>51</v>
      </c>
      <c r="AK4177" t="s">
        <v>95</v>
      </c>
      <c r="AM4177" s="18"/>
      <c r="AP4177" t="s">
        <v>951</v>
      </c>
    </row>
    <row r="4178" spans="1:42">
      <c r="A4178" s="16">
        <v>43843</v>
      </c>
      <c r="B4178">
        <v>1</v>
      </c>
      <c r="C4178">
        <v>986</v>
      </c>
      <c r="D4178">
        <v>14637</v>
      </c>
      <c r="E4178" t="s">
        <v>112</v>
      </c>
      <c r="F4178" t="s">
        <v>949</v>
      </c>
      <c r="G4178">
        <v>2</v>
      </c>
      <c r="H4178">
        <v>112</v>
      </c>
      <c r="I4178" s="25">
        <v>2206</v>
      </c>
      <c r="K4178" t="s">
        <v>213</v>
      </c>
      <c r="N4178" t="s">
        <v>44</v>
      </c>
      <c r="O4178">
        <v>49</v>
      </c>
      <c r="Q4178">
        <v>1</v>
      </c>
      <c r="R4178">
        <v>1</v>
      </c>
      <c r="S4178">
        <v>0</v>
      </c>
      <c r="T4178">
        <v>0</v>
      </c>
      <c r="U4178">
        <v>0</v>
      </c>
      <c r="V4178">
        <v>0</v>
      </c>
      <c r="W4178">
        <v>1</v>
      </c>
      <c r="X4178" s="21">
        <v>0</v>
      </c>
      <c r="Y4178" s="21">
        <v>0</v>
      </c>
      <c r="Z4178" s="21">
        <v>0</v>
      </c>
      <c r="AA4178" s="21">
        <v>0</v>
      </c>
      <c r="AB4178" s="21">
        <v>0</v>
      </c>
      <c r="AC4178" s="21">
        <v>0</v>
      </c>
      <c r="AD4178" s="21">
        <v>0</v>
      </c>
      <c r="AE4178" s="21">
        <v>0</v>
      </c>
      <c r="AF4178">
        <v>0</v>
      </c>
      <c r="AG4178">
        <v>0</v>
      </c>
      <c r="AH4178">
        <v>96</v>
      </c>
      <c r="AJ4178" t="s">
        <v>51</v>
      </c>
      <c r="AK4178" t="s">
        <v>95</v>
      </c>
      <c r="AM4178" s="18"/>
      <c r="AP4178" t="s">
        <v>951</v>
      </c>
    </row>
    <row r="4179" spans="1:42">
      <c r="A4179" s="16">
        <v>43843</v>
      </c>
      <c r="B4179">
        <v>1</v>
      </c>
      <c r="C4179">
        <v>986</v>
      </c>
      <c r="D4179">
        <v>14637</v>
      </c>
      <c r="E4179" t="s">
        <v>112</v>
      </c>
      <c r="F4179" t="s">
        <v>949</v>
      </c>
      <c r="G4179">
        <v>2</v>
      </c>
      <c r="H4179">
        <v>113</v>
      </c>
      <c r="I4179" s="25">
        <v>2000</v>
      </c>
      <c r="K4179" t="s">
        <v>213</v>
      </c>
      <c r="L4179" t="s">
        <v>141</v>
      </c>
      <c r="M4179" t="s">
        <v>95</v>
      </c>
      <c r="N4179" t="s">
        <v>40</v>
      </c>
      <c r="O4179">
        <v>63</v>
      </c>
      <c r="Q4179">
        <v>2</v>
      </c>
      <c r="R4179">
        <v>1</v>
      </c>
      <c r="S4179">
        <v>0</v>
      </c>
      <c r="T4179">
        <v>0</v>
      </c>
      <c r="U4179">
        <v>0</v>
      </c>
      <c r="V4179">
        <v>0</v>
      </c>
      <c r="W4179">
        <v>2</v>
      </c>
      <c r="X4179" s="21">
        <v>0</v>
      </c>
      <c r="Y4179" s="21">
        <v>0</v>
      </c>
      <c r="Z4179" s="21">
        <v>0</v>
      </c>
      <c r="AA4179" s="21">
        <v>0</v>
      </c>
      <c r="AB4179" s="21">
        <v>0</v>
      </c>
      <c r="AC4179" s="21">
        <v>0</v>
      </c>
      <c r="AD4179" s="21">
        <v>0</v>
      </c>
      <c r="AE4179" s="21">
        <v>0</v>
      </c>
      <c r="AF4179">
        <v>0</v>
      </c>
      <c r="AG4179">
        <v>0</v>
      </c>
      <c r="AH4179">
        <v>192</v>
      </c>
      <c r="AJ4179" t="s">
        <v>51</v>
      </c>
      <c r="AK4179" t="s">
        <v>52</v>
      </c>
      <c r="AM4179" s="18"/>
      <c r="AP4179" t="s">
        <v>951</v>
      </c>
    </row>
    <row r="4180" spans="1:42">
      <c r="A4180" s="16">
        <v>43843</v>
      </c>
      <c r="B4180">
        <v>1</v>
      </c>
      <c r="C4180">
        <v>986</v>
      </c>
      <c r="D4180">
        <v>14637</v>
      </c>
      <c r="E4180" t="s">
        <v>112</v>
      </c>
      <c r="F4180" t="s">
        <v>949</v>
      </c>
      <c r="G4180">
        <v>2</v>
      </c>
      <c r="H4180">
        <v>114</v>
      </c>
      <c r="I4180" s="25">
        <v>3000</v>
      </c>
      <c r="K4180" t="s">
        <v>909</v>
      </c>
      <c r="L4180" t="s">
        <v>141</v>
      </c>
      <c r="N4180" t="s">
        <v>40</v>
      </c>
      <c r="O4180">
        <v>58</v>
      </c>
      <c r="Q4180">
        <v>2</v>
      </c>
      <c r="R4180">
        <v>1</v>
      </c>
      <c r="S4180">
        <v>0</v>
      </c>
      <c r="T4180">
        <v>0</v>
      </c>
      <c r="U4180">
        <v>2</v>
      </c>
      <c r="V4180">
        <v>0</v>
      </c>
      <c r="W4180">
        <v>0</v>
      </c>
      <c r="X4180" s="21">
        <v>0</v>
      </c>
      <c r="Y4180" s="21">
        <v>0</v>
      </c>
      <c r="Z4180" s="21">
        <v>0</v>
      </c>
      <c r="AA4180" s="21">
        <v>0</v>
      </c>
      <c r="AB4180" s="21">
        <v>0</v>
      </c>
      <c r="AC4180" s="21">
        <v>0</v>
      </c>
      <c r="AD4180" s="21">
        <v>0</v>
      </c>
      <c r="AE4180" s="21">
        <v>0</v>
      </c>
      <c r="AF4180">
        <v>0</v>
      </c>
      <c r="AG4180">
        <v>0</v>
      </c>
      <c r="AH4180">
        <v>64</v>
      </c>
      <c r="AJ4180" t="s">
        <v>51</v>
      </c>
      <c r="AK4180" t="s">
        <v>95</v>
      </c>
      <c r="AM4180" s="18"/>
      <c r="AP4180" t="s">
        <v>951</v>
      </c>
    </row>
    <row r="4181" spans="1:42">
      <c r="A4181" s="16">
        <v>43843</v>
      </c>
      <c r="B4181">
        <v>1</v>
      </c>
      <c r="C4181">
        <v>986</v>
      </c>
      <c r="D4181">
        <v>14637</v>
      </c>
      <c r="E4181" t="s">
        <v>112</v>
      </c>
      <c r="F4181" t="s">
        <v>949</v>
      </c>
      <c r="G4181">
        <v>2</v>
      </c>
      <c r="H4181">
        <v>115</v>
      </c>
      <c r="I4181" s="25">
        <v>3100</v>
      </c>
      <c r="K4181" t="s">
        <v>909</v>
      </c>
      <c r="L4181" t="s">
        <v>141</v>
      </c>
      <c r="N4181" t="s">
        <v>40</v>
      </c>
      <c r="O4181">
        <v>24</v>
      </c>
      <c r="Q4181">
        <v>1</v>
      </c>
      <c r="R4181">
        <v>1</v>
      </c>
      <c r="S4181">
        <v>0</v>
      </c>
      <c r="T4181">
        <v>0</v>
      </c>
      <c r="U4181">
        <v>0</v>
      </c>
      <c r="V4181">
        <v>1</v>
      </c>
      <c r="W4181">
        <v>0</v>
      </c>
      <c r="X4181" s="21">
        <v>0</v>
      </c>
      <c r="Y4181" s="21">
        <v>0</v>
      </c>
      <c r="Z4181" s="21">
        <v>0</v>
      </c>
      <c r="AA4181" s="21">
        <v>0</v>
      </c>
      <c r="AB4181" s="21">
        <v>0</v>
      </c>
      <c r="AC4181" s="21">
        <v>0</v>
      </c>
      <c r="AD4181" s="21">
        <v>0</v>
      </c>
      <c r="AE4181" s="21">
        <v>0</v>
      </c>
      <c r="AF4181">
        <v>0</v>
      </c>
      <c r="AG4181">
        <v>0</v>
      </c>
      <c r="AH4181">
        <v>64</v>
      </c>
      <c r="AJ4181" t="s">
        <v>51</v>
      </c>
      <c r="AK4181" t="s">
        <v>52</v>
      </c>
      <c r="AM4181" s="18"/>
      <c r="AP4181" t="s">
        <v>951</v>
      </c>
    </row>
    <row r="4182" spans="1:42">
      <c r="A4182" s="16">
        <v>43843</v>
      </c>
      <c r="B4182">
        <v>1</v>
      </c>
      <c r="C4182">
        <v>986</v>
      </c>
      <c r="D4182">
        <v>14637</v>
      </c>
      <c r="E4182" t="s">
        <v>112</v>
      </c>
      <c r="F4182" t="s">
        <v>949</v>
      </c>
      <c r="G4182">
        <v>2</v>
      </c>
      <c r="H4182">
        <v>116</v>
      </c>
      <c r="I4182" s="25">
        <v>3100</v>
      </c>
      <c r="K4182" t="s">
        <v>909</v>
      </c>
      <c r="L4182" t="s">
        <v>141</v>
      </c>
      <c r="N4182" t="s">
        <v>40</v>
      </c>
      <c r="O4182">
        <v>58</v>
      </c>
      <c r="Q4182">
        <v>1</v>
      </c>
      <c r="R4182">
        <v>1</v>
      </c>
      <c r="S4182">
        <v>0</v>
      </c>
      <c r="T4182">
        <v>0</v>
      </c>
      <c r="U4182">
        <v>0</v>
      </c>
      <c r="V4182">
        <v>0</v>
      </c>
      <c r="W4182">
        <v>1</v>
      </c>
      <c r="X4182" s="21">
        <v>0</v>
      </c>
      <c r="Y4182" s="21">
        <v>0</v>
      </c>
      <c r="Z4182" s="21">
        <v>0</v>
      </c>
      <c r="AA4182" s="21">
        <v>0</v>
      </c>
      <c r="AB4182" s="21">
        <v>0</v>
      </c>
      <c r="AC4182" s="21">
        <v>0</v>
      </c>
      <c r="AD4182" s="21">
        <v>0</v>
      </c>
      <c r="AE4182" s="21">
        <v>0</v>
      </c>
      <c r="AF4182">
        <v>1</v>
      </c>
      <c r="AG4182">
        <v>0</v>
      </c>
      <c r="AH4182">
        <v>96</v>
      </c>
      <c r="AJ4182" t="s">
        <v>51</v>
      </c>
      <c r="AK4182" t="s">
        <v>52</v>
      </c>
      <c r="AM4182" s="18"/>
      <c r="AP4182" t="s">
        <v>951</v>
      </c>
    </row>
    <row r="4183" spans="1:42">
      <c r="A4183" s="16">
        <v>43843</v>
      </c>
      <c r="B4183">
        <v>1</v>
      </c>
      <c r="C4183">
        <v>986</v>
      </c>
      <c r="D4183">
        <v>14637</v>
      </c>
      <c r="E4183" t="s">
        <v>112</v>
      </c>
      <c r="F4183" t="s">
        <v>949</v>
      </c>
      <c r="G4183">
        <v>2</v>
      </c>
      <c r="H4183">
        <v>117</v>
      </c>
      <c r="I4183" s="25">
        <v>3107</v>
      </c>
      <c r="K4183" t="s">
        <v>909</v>
      </c>
      <c r="N4183" t="s">
        <v>44</v>
      </c>
      <c r="O4183">
        <v>163</v>
      </c>
      <c r="Q4183">
        <v>2</v>
      </c>
      <c r="R4183">
        <v>1</v>
      </c>
      <c r="S4183">
        <v>0</v>
      </c>
      <c r="T4183">
        <v>0</v>
      </c>
      <c r="U4183">
        <v>0</v>
      </c>
      <c r="V4183">
        <v>0</v>
      </c>
      <c r="W4183">
        <v>1</v>
      </c>
      <c r="X4183" s="21">
        <v>0</v>
      </c>
      <c r="Y4183" s="21">
        <v>0</v>
      </c>
      <c r="Z4183" s="21">
        <v>0</v>
      </c>
      <c r="AA4183" s="21">
        <v>0</v>
      </c>
      <c r="AB4183" s="21">
        <v>0</v>
      </c>
      <c r="AC4183" s="21">
        <v>0</v>
      </c>
      <c r="AD4183" s="21">
        <v>0</v>
      </c>
      <c r="AE4183" s="21">
        <v>0</v>
      </c>
      <c r="AF4183">
        <v>0</v>
      </c>
      <c r="AG4183">
        <v>0</v>
      </c>
      <c r="AH4183">
        <v>160</v>
      </c>
      <c r="AJ4183" t="s">
        <v>51</v>
      </c>
      <c r="AK4183" t="s">
        <v>52</v>
      </c>
      <c r="AL4183" t="s">
        <v>1411</v>
      </c>
      <c r="AM4183" s="18"/>
      <c r="AP4183" t="s">
        <v>951</v>
      </c>
    </row>
    <row r="4184" spans="1:42">
      <c r="A4184" s="16">
        <v>43843</v>
      </c>
      <c r="B4184">
        <v>1</v>
      </c>
      <c r="C4184">
        <v>986</v>
      </c>
      <c r="D4184">
        <v>14637</v>
      </c>
      <c r="E4184" t="s">
        <v>112</v>
      </c>
      <c r="F4184" t="s">
        <v>949</v>
      </c>
      <c r="G4184">
        <v>2</v>
      </c>
      <c r="H4184">
        <v>118</v>
      </c>
      <c r="I4184" s="25">
        <v>3100</v>
      </c>
      <c r="K4184" t="s">
        <v>909</v>
      </c>
      <c r="N4184" t="s">
        <v>44</v>
      </c>
      <c r="O4184">
        <v>52</v>
      </c>
      <c r="Q4184">
        <v>1</v>
      </c>
      <c r="R4184">
        <v>1</v>
      </c>
      <c r="S4184">
        <v>0</v>
      </c>
      <c r="T4184">
        <v>0</v>
      </c>
      <c r="U4184">
        <v>0</v>
      </c>
      <c r="V4184">
        <v>0</v>
      </c>
      <c r="W4184">
        <v>1</v>
      </c>
      <c r="X4184" s="21">
        <v>0</v>
      </c>
      <c r="Y4184" s="21">
        <v>0</v>
      </c>
      <c r="Z4184" s="21">
        <v>0</v>
      </c>
      <c r="AA4184" s="21">
        <v>0</v>
      </c>
      <c r="AB4184" s="21">
        <v>0</v>
      </c>
      <c r="AC4184" s="21">
        <v>0</v>
      </c>
      <c r="AD4184" s="21">
        <v>0</v>
      </c>
      <c r="AE4184" s="21">
        <v>0</v>
      </c>
      <c r="AF4184">
        <v>0</v>
      </c>
      <c r="AG4184">
        <v>0</v>
      </c>
      <c r="AH4184">
        <v>96</v>
      </c>
      <c r="AJ4184" t="s">
        <v>51</v>
      </c>
      <c r="AK4184" t="s">
        <v>52</v>
      </c>
      <c r="AM4184" s="18"/>
      <c r="AP4184" t="s">
        <v>951</v>
      </c>
    </row>
    <row r="4185" spans="1:42">
      <c r="A4185" s="16">
        <v>43843</v>
      </c>
      <c r="B4185">
        <v>1</v>
      </c>
      <c r="C4185">
        <v>986</v>
      </c>
      <c r="D4185">
        <v>14637</v>
      </c>
      <c r="E4185" t="s">
        <v>112</v>
      </c>
      <c r="F4185" t="s">
        <v>949</v>
      </c>
      <c r="G4185">
        <v>2</v>
      </c>
      <c r="H4185">
        <v>119</v>
      </c>
      <c r="I4185" s="25">
        <v>3023</v>
      </c>
      <c r="K4185" t="s">
        <v>909</v>
      </c>
      <c r="N4185" t="s">
        <v>44</v>
      </c>
      <c r="O4185">
        <v>105</v>
      </c>
      <c r="Q4185">
        <v>1</v>
      </c>
      <c r="R4185">
        <v>1</v>
      </c>
      <c r="S4185">
        <v>0</v>
      </c>
      <c r="T4185">
        <v>0</v>
      </c>
      <c r="U4185">
        <v>0</v>
      </c>
      <c r="V4185">
        <v>1</v>
      </c>
      <c r="W4185">
        <v>0</v>
      </c>
      <c r="X4185" s="21">
        <v>0</v>
      </c>
      <c r="Y4185" s="21">
        <v>0</v>
      </c>
      <c r="Z4185" s="21">
        <v>0</v>
      </c>
      <c r="AA4185" s="21">
        <v>0</v>
      </c>
      <c r="AB4185" s="21">
        <v>0</v>
      </c>
      <c r="AC4185" s="21">
        <v>0</v>
      </c>
      <c r="AD4185" s="21">
        <v>0</v>
      </c>
      <c r="AE4185" s="21">
        <v>0</v>
      </c>
      <c r="AF4185">
        <v>0</v>
      </c>
      <c r="AG4185">
        <v>0</v>
      </c>
      <c r="AH4185">
        <v>64</v>
      </c>
      <c r="AJ4185" t="s">
        <v>51</v>
      </c>
      <c r="AK4185" t="s">
        <v>52</v>
      </c>
      <c r="AL4185" t="s">
        <v>1412</v>
      </c>
      <c r="AM4185" s="18"/>
      <c r="AP4185" t="s">
        <v>951</v>
      </c>
    </row>
    <row r="4186" spans="1:42">
      <c r="A4186" s="16">
        <v>43843</v>
      </c>
      <c r="B4186">
        <v>1</v>
      </c>
      <c r="C4186">
        <v>986</v>
      </c>
      <c r="D4186">
        <v>14637</v>
      </c>
      <c r="E4186" t="s">
        <v>112</v>
      </c>
      <c r="F4186" t="s">
        <v>949</v>
      </c>
      <c r="G4186">
        <v>2</v>
      </c>
      <c r="H4186">
        <v>120</v>
      </c>
      <c r="I4186" s="25">
        <v>3000</v>
      </c>
      <c r="K4186" t="s">
        <v>909</v>
      </c>
      <c r="L4186" t="s">
        <v>141</v>
      </c>
      <c r="N4186" t="s">
        <v>40</v>
      </c>
      <c r="O4186">
        <v>63</v>
      </c>
      <c r="Q4186">
        <v>1</v>
      </c>
      <c r="R4186">
        <v>1</v>
      </c>
      <c r="S4186">
        <v>0</v>
      </c>
      <c r="T4186">
        <v>0</v>
      </c>
      <c r="U4186">
        <v>0</v>
      </c>
      <c r="V4186">
        <v>2</v>
      </c>
      <c r="W4186">
        <v>0</v>
      </c>
      <c r="X4186" s="21">
        <v>0</v>
      </c>
      <c r="Y4186" s="21">
        <v>0</v>
      </c>
      <c r="Z4186" s="21">
        <v>0</v>
      </c>
      <c r="AA4186" s="21">
        <v>0</v>
      </c>
      <c r="AB4186" s="21">
        <v>0</v>
      </c>
      <c r="AC4186" s="21">
        <v>0</v>
      </c>
      <c r="AD4186" s="21">
        <v>0</v>
      </c>
      <c r="AE4186" s="21">
        <v>0</v>
      </c>
      <c r="AF4186">
        <v>0</v>
      </c>
      <c r="AG4186">
        <v>0</v>
      </c>
      <c r="AH4186">
        <v>128</v>
      </c>
      <c r="AJ4186" t="s">
        <v>51</v>
      </c>
      <c r="AK4186" t="s">
        <v>52</v>
      </c>
      <c r="AM4186" s="18"/>
      <c r="AP4186" t="s">
        <v>951</v>
      </c>
    </row>
    <row r="4187" spans="1:42">
      <c r="A4187" s="16">
        <v>43843</v>
      </c>
      <c r="B4187">
        <v>1</v>
      </c>
      <c r="C4187">
        <v>986</v>
      </c>
      <c r="D4187">
        <v>14637</v>
      </c>
      <c r="E4187" t="s">
        <v>112</v>
      </c>
      <c r="F4187" t="s">
        <v>949</v>
      </c>
      <c r="G4187">
        <v>2</v>
      </c>
      <c r="H4187">
        <v>121</v>
      </c>
      <c r="I4187" s="25">
        <v>2200</v>
      </c>
      <c r="K4187" t="s">
        <v>156</v>
      </c>
      <c r="N4187" t="s">
        <v>40</v>
      </c>
      <c r="O4187">
        <v>35</v>
      </c>
      <c r="Q4187">
        <v>2</v>
      </c>
      <c r="R4187">
        <v>1</v>
      </c>
      <c r="S4187">
        <v>0</v>
      </c>
      <c r="T4187">
        <v>0</v>
      </c>
      <c r="U4187">
        <v>1</v>
      </c>
      <c r="V4187">
        <v>1</v>
      </c>
      <c r="W4187">
        <v>0</v>
      </c>
      <c r="X4187" s="21">
        <v>0</v>
      </c>
      <c r="Y4187" s="21">
        <v>0</v>
      </c>
      <c r="Z4187" s="21">
        <v>0</v>
      </c>
      <c r="AA4187" s="21">
        <v>0</v>
      </c>
      <c r="AB4187" s="21">
        <v>0</v>
      </c>
      <c r="AC4187" s="21">
        <v>0</v>
      </c>
      <c r="AD4187" s="21">
        <v>0</v>
      </c>
      <c r="AE4187" s="21">
        <v>0</v>
      </c>
      <c r="AF4187">
        <v>0</v>
      </c>
      <c r="AG4187">
        <v>0</v>
      </c>
      <c r="AH4187">
        <v>96</v>
      </c>
      <c r="AJ4187" t="s">
        <v>51</v>
      </c>
      <c r="AK4187" t="s">
        <v>95</v>
      </c>
      <c r="AM4187" s="18"/>
      <c r="AP4187" t="s">
        <v>951</v>
      </c>
    </row>
    <row r="4188" spans="1:42">
      <c r="A4188" s="16">
        <v>43843</v>
      </c>
      <c r="B4188">
        <v>1</v>
      </c>
      <c r="C4188">
        <v>986</v>
      </c>
      <c r="D4188">
        <v>14637</v>
      </c>
      <c r="E4188" t="s">
        <v>112</v>
      </c>
      <c r="F4188" t="s">
        <v>949</v>
      </c>
      <c r="G4188">
        <v>2</v>
      </c>
      <c r="H4188">
        <v>122</v>
      </c>
      <c r="I4188" s="25">
        <v>2200</v>
      </c>
      <c r="K4188" t="s">
        <v>156</v>
      </c>
      <c r="L4188" t="s">
        <v>114</v>
      </c>
      <c r="N4188" t="s">
        <v>40</v>
      </c>
      <c r="O4188">
        <v>48</v>
      </c>
      <c r="Q4188">
        <v>1</v>
      </c>
      <c r="R4188">
        <v>1</v>
      </c>
      <c r="S4188">
        <v>0</v>
      </c>
      <c r="T4188">
        <v>0</v>
      </c>
      <c r="U4188">
        <v>0</v>
      </c>
      <c r="V4188">
        <v>0</v>
      </c>
      <c r="W4188">
        <v>1</v>
      </c>
      <c r="X4188" s="21">
        <v>0</v>
      </c>
      <c r="Y4188" s="21">
        <v>0</v>
      </c>
      <c r="Z4188" s="21">
        <v>0</v>
      </c>
      <c r="AA4188" s="21">
        <v>0</v>
      </c>
      <c r="AB4188" s="21">
        <v>0</v>
      </c>
      <c r="AC4188" s="21">
        <v>0</v>
      </c>
      <c r="AD4188" s="21">
        <v>0</v>
      </c>
      <c r="AE4188" s="21">
        <v>0</v>
      </c>
      <c r="AF4188">
        <v>1</v>
      </c>
      <c r="AG4188">
        <v>0</v>
      </c>
      <c r="AH4188">
        <v>96</v>
      </c>
      <c r="AJ4188" t="s">
        <v>51</v>
      </c>
      <c r="AK4188" t="s">
        <v>95</v>
      </c>
      <c r="AM4188" s="18"/>
      <c r="AP4188" t="s">
        <v>951</v>
      </c>
    </row>
    <row r="4189" spans="1:42">
      <c r="A4189" s="16">
        <v>43843</v>
      </c>
      <c r="B4189">
        <v>1</v>
      </c>
      <c r="C4189">
        <v>986</v>
      </c>
      <c r="D4189">
        <v>14637</v>
      </c>
      <c r="E4189" t="s">
        <v>112</v>
      </c>
      <c r="F4189" t="s">
        <v>949</v>
      </c>
      <c r="G4189">
        <v>2</v>
      </c>
      <c r="H4189">
        <v>123</v>
      </c>
      <c r="I4189" s="25">
        <v>2628</v>
      </c>
      <c r="K4189" t="s">
        <v>156</v>
      </c>
      <c r="N4189" t="s">
        <v>44</v>
      </c>
      <c r="O4189">
        <v>116</v>
      </c>
      <c r="Q4189">
        <v>3</v>
      </c>
      <c r="R4189">
        <v>1</v>
      </c>
      <c r="S4189">
        <v>0</v>
      </c>
      <c r="T4189">
        <v>0</v>
      </c>
      <c r="U4189">
        <v>0</v>
      </c>
      <c r="V4189">
        <v>0</v>
      </c>
      <c r="W4189">
        <v>3</v>
      </c>
      <c r="X4189" s="21">
        <v>0</v>
      </c>
      <c r="Y4189" s="21">
        <v>0</v>
      </c>
      <c r="Z4189" s="21">
        <v>0</v>
      </c>
      <c r="AA4189" s="21">
        <v>0</v>
      </c>
      <c r="AB4189" s="21">
        <v>0</v>
      </c>
      <c r="AC4189" s="21">
        <v>0</v>
      </c>
      <c r="AD4189" s="21">
        <v>0</v>
      </c>
      <c r="AE4189" s="21">
        <v>0</v>
      </c>
      <c r="AF4189">
        <v>0</v>
      </c>
      <c r="AG4189">
        <v>0</v>
      </c>
      <c r="AH4189">
        <v>288</v>
      </c>
      <c r="AJ4189" t="s">
        <v>51</v>
      </c>
      <c r="AK4189" t="s">
        <v>95</v>
      </c>
      <c r="AL4189" t="s">
        <v>1413</v>
      </c>
      <c r="AM4189" s="18"/>
      <c r="AP4189" t="s">
        <v>951</v>
      </c>
    </row>
    <row r="4190" spans="1:42">
      <c r="A4190" s="16">
        <v>43843</v>
      </c>
      <c r="B4190">
        <v>1</v>
      </c>
      <c r="C4190">
        <v>986</v>
      </c>
      <c r="D4190">
        <v>14637</v>
      </c>
      <c r="E4190" t="s">
        <v>112</v>
      </c>
      <c r="F4190" t="s">
        <v>949</v>
      </c>
      <c r="G4190">
        <v>2</v>
      </c>
      <c r="H4190">
        <v>124</v>
      </c>
      <c r="I4190" s="25">
        <v>2240</v>
      </c>
      <c r="K4190" t="s">
        <v>156</v>
      </c>
      <c r="N4190" t="s">
        <v>44</v>
      </c>
      <c r="O4190">
        <v>79</v>
      </c>
      <c r="Q4190">
        <v>1</v>
      </c>
      <c r="R4190">
        <v>1</v>
      </c>
      <c r="S4190">
        <v>0</v>
      </c>
      <c r="T4190">
        <v>0</v>
      </c>
      <c r="U4190">
        <v>0</v>
      </c>
      <c r="V4190">
        <v>0</v>
      </c>
      <c r="W4190">
        <v>1</v>
      </c>
      <c r="X4190" s="21">
        <v>0</v>
      </c>
      <c r="Y4190" s="21">
        <v>0</v>
      </c>
      <c r="Z4190" s="21">
        <v>0</v>
      </c>
      <c r="AA4190" s="21">
        <v>0</v>
      </c>
      <c r="AB4190" s="21">
        <v>0</v>
      </c>
      <c r="AC4190" s="21">
        <v>0</v>
      </c>
      <c r="AD4190" s="21">
        <v>0</v>
      </c>
      <c r="AE4190" s="21">
        <v>0</v>
      </c>
      <c r="AF4190">
        <v>0</v>
      </c>
      <c r="AG4190">
        <v>0</v>
      </c>
      <c r="AH4190">
        <v>96</v>
      </c>
      <c r="AJ4190" t="s">
        <v>51</v>
      </c>
      <c r="AK4190" t="s">
        <v>95</v>
      </c>
      <c r="AL4190" t="s">
        <v>1414</v>
      </c>
      <c r="AM4190" s="18"/>
      <c r="AP4190" t="s">
        <v>951</v>
      </c>
    </row>
    <row r="4191" spans="1:42">
      <c r="A4191" s="16">
        <v>43843</v>
      </c>
      <c r="B4191">
        <v>1</v>
      </c>
      <c r="C4191">
        <v>986</v>
      </c>
      <c r="D4191">
        <v>14637</v>
      </c>
      <c r="E4191" t="s">
        <v>112</v>
      </c>
      <c r="F4191" t="s">
        <v>949</v>
      </c>
      <c r="G4191">
        <v>2</v>
      </c>
      <c r="H4191">
        <v>125</v>
      </c>
      <c r="I4191" s="25">
        <v>2284</v>
      </c>
      <c r="K4191" t="s">
        <v>156</v>
      </c>
      <c r="N4191" t="s">
        <v>44</v>
      </c>
      <c r="O4191">
        <v>59</v>
      </c>
      <c r="Q4191">
        <v>1</v>
      </c>
      <c r="R4191">
        <v>1</v>
      </c>
      <c r="S4191">
        <v>0</v>
      </c>
      <c r="T4191">
        <v>0</v>
      </c>
      <c r="U4191">
        <v>1</v>
      </c>
      <c r="V4191">
        <v>0</v>
      </c>
      <c r="W4191">
        <v>0</v>
      </c>
      <c r="X4191" s="21">
        <v>0</v>
      </c>
      <c r="Y4191" s="21">
        <v>0</v>
      </c>
      <c r="Z4191" s="21">
        <v>0</v>
      </c>
      <c r="AA4191" s="21">
        <v>0</v>
      </c>
      <c r="AB4191" s="21">
        <v>0</v>
      </c>
      <c r="AC4191" s="21">
        <v>0</v>
      </c>
      <c r="AD4191" s="21">
        <v>0</v>
      </c>
      <c r="AE4191" s="21">
        <v>0</v>
      </c>
      <c r="AF4191">
        <v>0</v>
      </c>
      <c r="AG4191">
        <v>0</v>
      </c>
      <c r="AH4191">
        <v>32</v>
      </c>
      <c r="AJ4191" t="s">
        <v>51</v>
      </c>
      <c r="AK4191" t="s">
        <v>52</v>
      </c>
      <c r="AL4191" t="s">
        <v>618</v>
      </c>
      <c r="AM4191" s="18"/>
      <c r="AP4191" t="s">
        <v>951</v>
      </c>
    </row>
    <row r="4192" spans="1:42">
      <c r="A4192" s="16">
        <v>43843</v>
      </c>
      <c r="B4192">
        <v>1</v>
      </c>
      <c r="C4192">
        <v>986</v>
      </c>
      <c r="D4192">
        <v>14637</v>
      </c>
      <c r="E4192" t="s">
        <v>112</v>
      </c>
      <c r="F4192" t="s">
        <v>949</v>
      </c>
      <c r="G4192">
        <v>2</v>
      </c>
      <c r="H4192">
        <v>126</v>
      </c>
      <c r="I4192" s="25">
        <v>2200</v>
      </c>
      <c r="K4192" t="s">
        <v>113</v>
      </c>
      <c r="L4192" t="s">
        <v>114</v>
      </c>
      <c r="N4192" t="s">
        <v>40</v>
      </c>
      <c r="O4192">
        <v>32</v>
      </c>
      <c r="Q4192">
        <v>1</v>
      </c>
      <c r="R4192">
        <v>1</v>
      </c>
      <c r="S4192">
        <v>0</v>
      </c>
      <c r="T4192">
        <v>0</v>
      </c>
      <c r="U4192">
        <v>0</v>
      </c>
      <c r="V4192">
        <v>0</v>
      </c>
      <c r="W4192">
        <v>1</v>
      </c>
      <c r="X4192" s="21">
        <v>0</v>
      </c>
      <c r="Y4192" s="21">
        <v>0</v>
      </c>
      <c r="Z4192" s="21">
        <v>0</v>
      </c>
      <c r="AA4192" s="21">
        <v>0</v>
      </c>
      <c r="AB4192" s="21">
        <v>0</v>
      </c>
      <c r="AC4192" s="21">
        <v>0</v>
      </c>
      <c r="AD4192" s="21">
        <v>0</v>
      </c>
      <c r="AE4192" s="21">
        <v>0</v>
      </c>
      <c r="AF4192">
        <v>0</v>
      </c>
      <c r="AG4192">
        <v>0</v>
      </c>
      <c r="AH4192">
        <v>96</v>
      </c>
      <c r="AJ4192" t="s">
        <v>51</v>
      </c>
      <c r="AK4192" t="s">
        <v>52</v>
      </c>
      <c r="AM4192" s="18"/>
      <c r="AP4192" t="s">
        <v>951</v>
      </c>
    </row>
    <row r="4193" spans="1:42">
      <c r="A4193" s="16">
        <v>43843</v>
      </c>
      <c r="B4193">
        <v>1</v>
      </c>
      <c r="C4193">
        <v>986</v>
      </c>
      <c r="D4193">
        <v>14637</v>
      </c>
      <c r="E4193" t="s">
        <v>112</v>
      </c>
      <c r="F4193" t="s">
        <v>949</v>
      </c>
      <c r="G4193">
        <v>2</v>
      </c>
      <c r="H4193">
        <v>127</v>
      </c>
      <c r="I4193" s="25">
        <v>2285</v>
      </c>
      <c r="K4193" t="s">
        <v>148</v>
      </c>
      <c r="N4193" t="s">
        <v>44</v>
      </c>
      <c r="O4193">
        <v>75</v>
      </c>
      <c r="Q4193">
        <v>2</v>
      </c>
      <c r="R4193">
        <v>1</v>
      </c>
      <c r="S4193">
        <v>0</v>
      </c>
      <c r="T4193">
        <v>0</v>
      </c>
      <c r="U4193">
        <v>1</v>
      </c>
      <c r="V4193">
        <v>1</v>
      </c>
      <c r="W4193">
        <v>0</v>
      </c>
      <c r="X4193" s="21">
        <v>0</v>
      </c>
      <c r="Y4193" s="21">
        <v>0</v>
      </c>
      <c r="Z4193" s="21">
        <v>0</v>
      </c>
      <c r="AA4193" s="21">
        <v>0</v>
      </c>
      <c r="AB4193" s="21">
        <v>0</v>
      </c>
      <c r="AC4193" s="21">
        <v>0</v>
      </c>
      <c r="AD4193" s="21">
        <v>0</v>
      </c>
      <c r="AE4193" s="21">
        <v>0</v>
      </c>
      <c r="AF4193">
        <v>0</v>
      </c>
      <c r="AG4193">
        <v>0</v>
      </c>
      <c r="AH4193">
        <v>96</v>
      </c>
      <c r="AJ4193" t="s">
        <v>51</v>
      </c>
      <c r="AK4193" t="s">
        <v>52</v>
      </c>
      <c r="AL4193" t="s">
        <v>1415</v>
      </c>
      <c r="AM4193" s="18"/>
      <c r="AP4193" t="s">
        <v>951</v>
      </c>
    </row>
    <row r="4194" spans="1:42">
      <c r="A4194" s="16">
        <v>43843</v>
      </c>
      <c r="B4194">
        <v>1</v>
      </c>
      <c r="C4194">
        <v>986</v>
      </c>
      <c r="D4194">
        <v>14637</v>
      </c>
      <c r="E4194" t="s">
        <v>112</v>
      </c>
      <c r="F4194" t="s">
        <v>949</v>
      </c>
      <c r="G4194">
        <v>2</v>
      </c>
      <c r="H4194">
        <v>128</v>
      </c>
      <c r="I4194" s="25">
        <v>2267</v>
      </c>
      <c r="K4194" t="s">
        <v>148</v>
      </c>
      <c r="N4194" t="s">
        <v>44</v>
      </c>
      <c r="O4194">
        <v>53</v>
      </c>
      <c r="Q4194">
        <v>1</v>
      </c>
      <c r="R4194">
        <v>1</v>
      </c>
      <c r="S4194">
        <v>0</v>
      </c>
      <c r="T4194">
        <v>0</v>
      </c>
      <c r="U4194">
        <v>0</v>
      </c>
      <c r="V4194">
        <v>0</v>
      </c>
      <c r="W4194">
        <v>1</v>
      </c>
      <c r="X4194" s="21">
        <v>0</v>
      </c>
      <c r="Y4194" s="21">
        <v>0</v>
      </c>
      <c r="Z4194" s="21">
        <v>0</v>
      </c>
      <c r="AA4194" s="21">
        <v>0</v>
      </c>
      <c r="AB4194" s="21">
        <v>0</v>
      </c>
      <c r="AC4194" s="21">
        <v>0</v>
      </c>
      <c r="AD4194" s="21">
        <v>0</v>
      </c>
      <c r="AE4194" s="21">
        <v>0</v>
      </c>
      <c r="AF4194">
        <v>0</v>
      </c>
      <c r="AG4194">
        <v>0</v>
      </c>
      <c r="AH4194">
        <v>96</v>
      </c>
      <c r="AJ4194" t="s">
        <v>51</v>
      </c>
      <c r="AK4194" t="s">
        <v>52</v>
      </c>
      <c r="AL4194" t="s">
        <v>618</v>
      </c>
      <c r="AM4194" s="18"/>
      <c r="AP4194" t="s">
        <v>951</v>
      </c>
    </row>
    <row r="4195" spans="1:42">
      <c r="A4195" s="16">
        <v>43843</v>
      </c>
      <c r="B4195">
        <v>1</v>
      </c>
      <c r="C4195">
        <v>986</v>
      </c>
      <c r="D4195">
        <v>14637</v>
      </c>
      <c r="E4195" t="s">
        <v>112</v>
      </c>
      <c r="F4195" t="s">
        <v>949</v>
      </c>
      <c r="G4195">
        <v>2</v>
      </c>
      <c r="H4195">
        <v>129</v>
      </c>
      <c r="I4195" s="25">
        <v>2287</v>
      </c>
      <c r="K4195" t="s">
        <v>148</v>
      </c>
      <c r="N4195" t="s">
        <v>44</v>
      </c>
      <c r="O4195">
        <v>158</v>
      </c>
      <c r="Q4195">
        <v>2</v>
      </c>
      <c r="R4195">
        <v>1</v>
      </c>
      <c r="S4195">
        <v>0</v>
      </c>
      <c r="T4195">
        <v>0</v>
      </c>
      <c r="U4195">
        <v>0</v>
      </c>
      <c r="V4195">
        <v>1</v>
      </c>
      <c r="W4195">
        <v>1</v>
      </c>
      <c r="X4195" s="21">
        <v>0</v>
      </c>
      <c r="Y4195" s="21">
        <v>0</v>
      </c>
      <c r="Z4195" s="21">
        <v>0</v>
      </c>
      <c r="AA4195" s="21">
        <v>0</v>
      </c>
      <c r="AB4195" s="21">
        <v>0</v>
      </c>
      <c r="AC4195" s="21">
        <v>0</v>
      </c>
      <c r="AD4195" s="21">
        <v>0</v>
      </c>
      <c r="AE4195" s="21">
        <v>0</v>
      </c>
      <c r="AF4195">
        <v>0</v>
      </c>
      <c r="AG4195">
        <v>0</v>
      </c>
      <c r="AH4195">
        <v>160</v>
      </c>
      <c r="AJ4195" t="s">
        <v>51</v>
      </c>
      <c r="AK4195" t="s">
        <v>52</v>
      </c>
      <c r="AL4195" t="s">
        <v>1416</v>
      </c>
      <c r="AM4195" s="18"/>
      <c r="AP4195" t="s">
        <v>951</v>
      </c>
    </row>
    <row r="4196" spans="1:42">
      <c r="A4196" s="16">
        <v>43843</v>
      </c>
      <c r="B4196">
        <v>1</v>
      </c>
      <c r="C4196">
        <v>986</v>
      </c>
      <c r="D4196">
        <v>14637</v>
      </c>
      <c r="E4196" t="s">
        <v>112</v>
      </c>
      <c r="F4196" t="s">
        <v>949</v>
      </c>
      <c r="G4196">
        <v>2</v>
      </c>
      <c r="H4196">
        <v>130</v>
      </c>
      <c r="I4196" s="25">
        <v>2200</v>
      </c>
      <c r="K4196" t="s">
        <v>148</v>
      </c>
      <c r="L4196" t="s">
        <v>141</v>
      </c>
      <c r="N4196" t="s">
        <v>40</v>
      </c>
      <c r="O4196">
        <v>38</v>
      </c>
      <c r="Q4196">
        <v>1</v>
      </c>
      <c r="R4196">
        <v>1</v>
      </c>
      <c r="S4196">
        <v>0</v>
      </c>
      <c r="T4196">
        <v>0</v>
      </c>
      <c r="U4196">
        <v>0</v>
      </c>
      <c r="V4196">
        <v>0</v>
      </c>
      <c r="W4196">
        <v>1</v>
      </c>
      <c r="X4196" s="21">
        <v>0</v>
      </c>
      <c r="Y4196" s="21">
        <v>0</v>
      </c>
      <c r="Z4196" s="21">
        <v>0</v>
      </c>
      <c r="AA4196" s="21">
        <v>0</v>
      </c>
      <c r="AB4196" s="21">
        <v>0</v>
      </c>
      <c r="AC4196" s="21">
        <v>0</v>
      </c>
      <c r="AD4196" s="21">
        <v>0</v>
      </c>
      <c r="AE4196" s="21">
        <v>0</v>
      </c>
      <c r="AF4196">
        <v>0</v>
      </c>
      <c r="AG4196">
        <v>0</v>
      </c>
      <c r="AH4196">
        <v>96</v>
      </c>
      <c r="AJ4196" t="s">
        <v>51</v>
      </c>
      <c r="AK4196" t="s">
        <v>52</v>
      </c>
      <c r="AM4196" s="18"/>
      <c r="AP4196" t="s">
        <v>951</v>
      </c>
    </row>
    <row r="4197" spans="1:42">
      <c r="A4197" s="16">
        <v>43843</v>
      </c>
      <c r="B4197">
        <v>1</v>
      </c>
      <c r="C4197">
        <v>986</v>
      </c>
      <c r="D4197">
        <v>14637</v>
      </c>
      <c r="E4197" t="s">
        <v>112</v>
      </c>
      <c r="F4197" t="s">
        <v>949</v>
      </c>
      <c r="G4197">
        <v>2</v>
      </c>
      <c r="H4197">
        <v>131</v>
      </c>
      <c r="I4197" s="25" t="s">
        <v>1417</v>
      </c>
      <c r="K4197" t="s">
        <v>213</v>
      </c>
      <c r="N4197" t="s">
        <v>44</v>
      </c>
      <c r="O4197">
        <v>115</v>
      </c>
      <c r="Q4197">
        <v>3</v>
      </c>
      <c r="R4197">
        <v>1</v>
      </c>
      <c r="S4197">
        <v>0</v>
      </c>
      <c r="T4197">
        <v>0</v>
      </c>
      <c r="U4197">
        <v>3</v>
      </c>
      <c r="V4197">
        <v>0</v>
      </c>
      <c r="W4197">
        <v>0</v>
      </c>
      <c r="X4197" s="21">
        <v>0</v>
      </c>
      <c r="Y4197" s="21">
        <v>0</v>
      </c>
      <c r="Z4197" s="21">
        <v>0</v>
      </c>
      <c r="AA4197" s="21">
        <v>0</v>
      </c>
      <c r="AB4197" s="21">
        <v>0</v>
      </c>
      <c r="AC4197" s="21">
        <v>0</v>
      </c>
      <c r="AD4197" s="21">
        <v>0</v>
      </c>
      <c r="AE4197" s="21">
        <v>0</v>
      </c>
      <c r="AF4197">
        <v>0</v>
      </c>
      <c r="AG4197">
        <v>0</v>
      </c>
      <c r="AH4197">
        <v>96</v>
      </c>
      <c r="AJ4197" t="s">
        <v>51</v>
      </c>
      <c r="AK4197" t="s">
        <v>52</v>
      </c>
      <c r="AL4197" t="s">
        <v>1418</v>
      </c>
      <c r="AM4197" s="18"/>
      <c r="AP4197" t="s">
        <v>951</v>
      </c>
    </row>
    <row r="4198" spans="1:42">
      <c r="A4198" s="16">
        <v>43843</v>
      </c>
      <c r="B4198">
        <v>1</v>
      </c>
      <c r="C4198">
        <v>986</v>
      </c>
      <c r="D4198">
        <v>14637</v>
      </c>
      <c r="E4198" t="s">
        <v>112</v>
      </c>
      <c r="F4198" t="s">
        <v>949</v>
      </c>
      <c r="G4198">
        <v>2</v>
      </c>
      <c r="H4198">
        <v>132</v>
      </c>
      <c r="I4198" s="25">
        <v>2300</v>
      </c>
      <c r="K4198" t="s">
        <v>213</v>
      </c>
      <c r="L4198" t="s">
        <v>114</v>
      </c>
      <c r="N4198" t="s">
        <v>40</v>
      </c>
      <c r="O4198">
        <v>51</v>
      </c>
      <c r="Q4198">
        <v>3</v>
      </c>
      <c r="R4198">
        <v>1</v>
      </c>
      <c r="S4198">
        <v>0</v>
      </c>
      <c r="T4198">
        <v>0</v>
      </c>
      <c r="U4198">
        <v>0</v>
      </c>
      <c r="V4198">
        <v>3</v>
      </c>
      <c r="W4198">
        <v>0</v>
      </c>
      <c r="X4198" s="21">
        <v>0</v>
      </c>
      <c r="Y4198" s="21">
        <v>0</v>
      </c>
      <c r="Z4198" s="21">
        <v>0</v>
      </c>
      <c r="AA4198" s="21">
        <v>0</v>
      </c>
      <c r="AB4198" s="21">
        <v>0</v>
      </c>
      <c r="AC4198" s="21">
        <v>0</v>
      </c>
      <c r="AD4198" s="21">
        <v>0</v>
      </c>
      <c r="AE4198" s="21">
        <v>0</v>
      </c>
      <c r="AF4198">
        <v>0</v>
      </c>
      <c r="AG4198">
        <v>0</v>
      </c>
      <c r="AH4198">
        <v>192</v>
      </c>
      <c r="AJ4198" t="s">
        <v>51</v>
      </c>
      <c r="AK4198" t="s">
        <v>52</v>
      </c>
      <c r="AM4198" s="18"/>
      <c r="AP4198" t="s">
        <v>951</v>
      </c>
    </row>
    <row r="4199" spans="1:42">
      <c r="A4199" s="16">
        <v>43843</v>
      </c>
      <c r="B4199">
        <v>1</v>
      </c>
      <c r="C4199">
        <v>986</v>
      </c>
      <c r="D4199">
        <v>14637</v>
      </c>
      <c r="E4199" t="s">
        <v>112</v>
      </c>
      <c r="F4199" t="s">
        <v>949</v>
      </c>
      <c r="G4199">
        <v>2</v>
      </c>
      <c r="H4199">
        <v>133</v>
      </c>
      <c r="I4199" s="25">
        <v>2300</v>
      </c>
      <c r="K4199" t="s">
        <v>213</v>
      </c>
      <c r="L4199" t="s">
        <v>114</v>
      </c>
      <c r="N4199" t="s">
        <v>40</v>
      </c>
      <c r="O4199">
        <v>37</v>
      </c>
      <c r="Q4199">
        <v>2</v>
      </c>
      <c r="R4199">
        <v>1</v>
      </c>
      <c r="S4199">
        <v>0</v>
      </c>
      <c r="T4199">
        <v>0</v>
      </c>
      <c r="U4199">
        <v>2</v>
      </c>
      <c r="V4199">
        <v>0</v>
      </c>
      <c r="W4199">
        <v>0</v>
      </c>
      <c r="X4199" s="21">
        <v>0</v>
      </c>
      <c r="Y4199" s="21">
        <v>0</v>
      </c>
      <c r="Z4199" s="21">
        <v>0</v>
      </c>
      <c r="AA4199" s="21">
        <v>0</v>
      </c>
      <c r="AB4199" s="21">
        <v>0</v>
      </c>
      <c r="AC4199" s="21">
        <v>0</v>
      </c>
      <c r="AD4199" s="21">
        <v>0</v>
      </c>
      <c r="AE4199" s="21">
        <v>0</v>
      </c>
      <c r="AF4199">
        <v>0</v>
      </c>
      <c r="AG4199">
        <v>0</v>
      </c>
      <c r="AH4199">
        <v>128</v>
      </c>
      <c r="AJ4199" t="s">
        <v>51</v>
      </c>
      <c r="AK4199" t="s">
        <v>52</v>
      </c>
      <c r="AM4199" s="18"/>
      <c r="AP4199" t="s">
        <v>951</v>
      </c>
    </row>
    <row r="4200" spans="1:42">
      <c r="A4200" s="16">
        <v>43843</v>
      </c>
      <c r="B4200">
        <v>1</v>
      </c>
      <c r="C4200">
        <v>986</v>
      </c>
      <c r="D4200">
        <v>14637</v>
      </c>
      <c r="E4200" t="s">
        <v>112</v>
      </c>
      <c r="F4200" t="s">
        <v>949</v>
      </c>
      <c r="G4200">
        <v>2</v>
      </c>
      <c r="H4200">
        <v>134</v>
      </c>
      <c r="I4200" s="25">
        <v>2300</v>
      </c>
      <c r="K4200" t="s">
        <v>213</v>
      </c>
      <c r="L4200" t="s">
        <v>114</v>
      </c>
      <c r="N4200" t="s">
        <v>40</v>
      </c>
      <c r="O4200">
        <v>34</v>
      </c>
      <c r="Q4200">
        <v>2</v>
      </c>
      <c r="R4200">
        <v>1</v>
      </c>
      <c r="S4200">
        <v>0</v>
      </c>
      <c r="T4200">
        <v>0</v>
      </c>
      <c r="U4200">
        <v>2</v>
      </c>
      <c r="V4200">
        <v>0</v>
      </c>
      <c r="W4200">
        <v>0</v>
      </c>
      <c r="X4200" s="21">
        <v>0</v>
      </c>
      <c r="Y4200" s="21">
        <v>0</v>
      </c>
      <c r="Z4200" s="21">
        <v>0</v>
      </c>
      <c r="AA4200" s="21">
        <v>0</v>
      </c>
      <c r="AB4200" s="21">
        <v>0</v>
      </c>
      <c r="AC4200" s="21">
        <v>0</v>
      </c>
      <c r="AD4200" s="21">
        <v>0</v>
      </c>
      <c r="AE4200" s="21">
        <v>0</v>
      </c>
      <c r="AF4200">
        <v>0</v>
      </c>
      <c r="AG4200">
        <v>0</v>
      </c>
      <c r="AH4200">
        <v>128</v>
      </c>
      <c r="AJ4200" t="s">
        <v>51</v>
      </c>
      <c r="AK4200" t="s">
        <v>95</v>
      </c>
      <c r="AM4200" s="18"/>
      <c r="AP4200" t="s">
        <v>951</v>
      </c>
    </row>
    <row r="4201" spans="1:42">
      <c r="A4201" s="16">
        <v>43843</v>
      </c>
      <c r="B4201">
        <v>1</v>
      </c>
      <c r="C4201">
        <v>986</v>
      </c>
      <c r="D4201">
        <v>14637</v>
      </c>
      <c r="E4201" t="s">
        <v>112</v>
      </c>
      <c r="F4201" t="s">
        <v>949</v>
      </c>
      <c r="G4201">
        <v>2</v>
      </c>
      <c r="H4201">
        <v>135</v>
      </c>
      <c r="I4201" s="25">
        <v>2300</v>
      </c>
      <c r="K4201" t="s">
        <v>213</v>
      </c>
      <c r="L4201" t="s">
        <v>114</v>
      </c>
      <c r="N4201" t="s">
        <v>40</v>
      </c>
      <c r="O4201">
        <v>41</v>
      </c>
      <c r="Q4201">
        <v>2</v>
      </c>
      <c r="R4201">
        <v>1</v>
      </c>
      <c r="S4201">
        <v>0</v>
      </c>
      <c r="T4201">
        <v>0</v>
      </c>
      <c r="U4201">
        <v>0</v>
      </c>
      <c r="V4201">
        <v>1</v>
      </c>
      <c r="W4201">
        <v>1</v>
      </c>
      <c r="X4201" s="21">
        <v>0</v>
      </c>
      <c r="Y4201" s="21">
        <v>0</v>
      </c>
      <c r="Z4201" s="21">
        <v>0</v>
      </c>
      <c r="AA4201" s="21">
        <v>0</v>
      </c>
      <c r="AB4201" s="21">
        <v>0</v>
      </c>
      <c r="AC4201" s="21">
        <v>0</v>
      </c>
      <c r="AD4201" s="21">
        <v>0</v>
      </c>
      <c r="AE4201" s="21">
        <v>0</v>
      </c>
      <c r="AF4201">
        <v>0</v>
      </c>
      <c r="AG4201">
        <v>0</v>
      </c>
      <c r="AH4201">
        <v>160</v>
      </c>
      <c r="AJ4201" t="s">
        <v>51</v>
      </c>
      <c r="AK4201" t="s">
        <v>95</v>
      </c>
      <c r="AM4201" s="18"/>
      <c r="AP4201" t="s">
        <v>951</v>
      </c>
    </row>
    <row r="4202" spans="1:42">
      <c r="A4202" s="16">
        <v>43843</v>
      </c>
      <c r="B4202">
        <v>1</v>
      </c>
      <c r="C4202">
        <v>986</v>
      </c>
      <c r="D4202">
        <v>14637</v>
      </c>
      <c r="E4202" t="s">
        <v>112</v>
      </c>
      <c r="F4202" t="s">
        <v>949</v>
      </c>
      <c r="G4202">
        <v>2</v>
      </c>
      <c r="H4202">
        <v>136</v>
      </c>
      <c r="I4202" s="25">
        <v>2300</v>
      </c>
      <c r="K4202" t="s">
        <v>213</v>
      </c>
      <c r="L4202" t="s">
        <v>114</v>
      </c>
      <c r="N4202" t="s">
        <v>40</v>
      </c>
      <c r="O4202">
        <v>26</v>
      </c>
      <c r="Q4202">
        <v>1</v>
      </c>
      <c r="R4202">
        <v>1</v>
      </c>
      <c r="S4202">
        <v>0</v>
      </c>
      <c r="T4202">
        <v>0</v>
      </c>
      <c r="U4202">
        <v>0</v>
      </c>
      <c r="V4202">
        <v>0</v>
      </c>
      <c r="W4202">
        <v>1</v>
      </c>
      <c r="X4202" s="21">
        <v>0</v>
      </c>
      <c r="Y4202" s="21">
        <v>0</v>
      </c>
      <c r="Z4202" s="21">
        <v>0</v>
      </c>
      <c r="AA4202" s="21">
        <v>0</v>
      </c>
      <c r="AB4202" s="21">
        <v>0</v>
      </c>
      <c r="AC4202" s="21">
        <v>0</v>
      </c>
      <c r="AD4202" s="21">
        <v>0</v>
      </c>
      <c r="AE4202" s="21">
        <v>0</v>
      </c>
      <c r="AF4202">
        <v>0</v>
      </c>
      <c r="AG4202">
        <v>0</v>
      </c>
      <c r="AH4202">
        <v>96</v>
      </c>
      <c r="AJ4202" t="s">
        <v>51</v>
      </c>
      <c r="AK4202" t="s">
        <v>95</v>
      </c>
      <c r="AM4202" s="18"/>
      <c r="AP4202" t="s">
        <v>951</v>
      </c>
    </row>
    <row r="4203" spans="1:42">
      <c r="A4203" s="16">
        <v>43843</v>
      </c>
      <c r="B4203">
        <v>1</v>
      </c>
      <c r="C4203">
        <v>986</v>
      </c>
      <c r="D4203">
        <v>14637</v>
      </c>
      <c r="E4203" t="s">
        <v>112</v>
      </c>
      <c r="F4203" t="s">
        <v>949</v>
      </c>
      <c r="G4203">
        <v>2</v>
      </c>
      <c r="H4203">
        <v>137</v>
      </c>
      <c r="I4203" s="25">
        <v>2451</v>
      </c>
      <c r="K4203" t="s">
        <v>213</v>
      </c>
      <c r="N4203" t="s">
        <v>44</v>
      </c>
      <c r="O4203">
        <v>148</v>
      </c>
      <c r="Q4203">
        <v>2</v>
      </c>
      <c r="R4203">
        <v>1</v>
      </c>
      <c r="S4203">
        <v>0</v>
      </c>
      <c r="T4203">
        <v>0</v>
      </c>
      <c r="U4203">
        <v>0</v>
      </c>
      <c r="V4203">
        <v>0</v>
      </c>
      <c r="W4203">
        <v>2</v>
      </c>
      <c r="X4203" s="21">
        <v>0</v>
      </c>
      <c r="Y4203" s="21">
        <v>0</v>
      </c>
      <c r="Z4203" s="21">
        <v>0</v>
      </c>
      <c r="AA4203" s="21">
        <v>0</v>
      </c>
      <c r="AB4203" s="21">
        <v>0</v>
      </c>
      <c r="AC4203" s="21">
        <v>0</v>
      </c>
      <c r="AD4203" s="21">
        <v>0</v>
      </c>
      <c r="AE4203" s="21">
        <v>0</v>
      </c>
      <c r="AF4203">
        <v>0</v>
      </c>
      <c r="AG4203">
        <v>0</v>
      </c>
      <c r="AH4203">
        <v>192</v>
      </c>
      <c r="AJ4203" t="s">
        <v>51</v>
      </c>
      <c r="AK4203" t="s">
        <v>95</v>
      </c>
      <c r="AL4203" t="s">
        <v>1419</v>
      </c>
      <c r="AM4203" s="18"/>
      <c r="AP4203" t="s">
        <v>951</v>
      </c>
    </row>
    <row r="4204" spans="1:42">
      <c r="A4204" s="16">
        <v>43843</v>
      </c>
      <c r="B4204">
        <v>1</v>
      </c>
      <c r="C4204">
        <v>986</v>
      </c>
      <c r="D4204">
        <v>14637</v>
      </c>
      <c r="E4204" t="s">
        <v>112</v>
      </c>
      <c r="F4204" t="s">
        <v>949</v>
      </c>
      <c r="G4204">
        <v>2</v>
      </c>
      <c r="H4204">
        <v>138</v>
      </c>
      <c r="I4204" s="25">
        <v>3101</v>
      </c>
      <c r="K4204" t="s">
        <v>175</v>
      </c>
      <c r="N4204" t="s">
        <v>44</v>
      </c>
      <c r="O4204">
        <v>52</v>
      </c>
      <c r="Q4204">
        <v>1</v>
      </c>
      <c r="R4204">
        <v>1</v>
      </c>
      <c r="S4204">
        <v>0</v>
      </c>
      <c r="T4204">
        <v>0</v>
      </c>
      <c r="U4204">
        <v>0</v>
      </c>
      <c r="V4204">
        <v>0</v>
      </c>
      <c r="W4204">
        <v>1</v>
      </c>
      <c r="X4204" s="21">
        <v>0</v>
      </c>
      <c r="Y4204" s="21">
        <v>0</v>
      </c>
      <c r="Z4204" s="21">
        <v>0</v>
      </c>
      <c r="AA4204" s="21">
        <v>0</v>
      </c>
      <c r="AB4204" s="21">
        <v>0</v>
      </c>
      <c r="AC4204" s="21">
        <v>0</v>
      </c>
      <c r="AD4204" s="21">
        <v>0</v>
      </c>
      <c r="AE4204" s="21">
        <v>0</v>
      </c>
      <c r="AF4204">
        <v>0</v>
      </c>
      <c r="AG4204">
        <v>0</v>
      </c>
      <c r="AH4204">
        <v>96</v>
      </c>
      <c r="AJ4204" t="s">
        <v>51</v>
      </c>
      <c r="AK4204" t="s">
        <v>95</v>
      </c>
      <c r="AL4204" t="s">
        <v>1420</v>
      </c>
      <c r="AM4204" s="18"/>
      <c r="AP4204" t="s">
        <v>951</v>
      </c>
    </row>
    <row r="4205" spans="1:42">
      <c r="A4205" s="16">
        <v>43843</v>
      </c>
      <c r="B4205">
        <v>1</v>
      </c>
      <c r="C4205">
        <v>986</v>
      </c>
      <c r="D4205">
        <v>14637</v>
      </c>
      <c r="E4205" t="s">
        <v>112</v>
      </c>
      <c r="F4205" t="s">
        <v>949</v>
      </c>
      <c r="G4205">
        <v>2</v>
      </c>
      <c r="H4205">
        <v>139</v>
      </c>
      <c r="I4205" s="25">
        <v>3055</v>
      </c>
      <c r="K4205" t="s">
        <v>175</v>
      </c>
      <c r="N4205" t="s">
        <v>44</v>
      </c>
      <c r="O4205">
        <v>78</v>
      </c>
      <c r="Q4205">
        <v>1</v>
      </c>
      <c r="R4205">
        <v>1</v>
      </c>
      <c r="S4205">
        <v>0</v>
      </c>
      <c r="T4205">
        <v>0</v>
      </c>
      <c r="U4205">
        <v>0</v>
      </c>
      <c r="V4205">
        <v>0</v>
      </c>
      <c r="W4205">
        <v>1</v>
      </c>
      <c r="X4205" s="21">
        <v>0</v>
      </c>
      <c r="Y4205" s="21">
        <v>0</v>
      </c>
      <c r="Z4205" s="21">
        <v>0</v>
      </c>
      <c r="AA4205" s="21">
        <v>0</v>
      </c>
      <c r="AB4205" s="21">
        <v>0</v>
      </c>
      <c r="AC4205" s="21">
        <v>0</v>
      </c>
      <c r="AD4205" s="21">
        <v>0</v>
      </c>
      <c r="AE4205" s="21">
        <v>0</v>
      </c>
      <c r="AF4205">
        <v>0</v>
      </c>
      <c r="AG4205">
        <v>0</v>
      </c>
      <c r="AH4205">
        <v>96</v>
      </c>
      <c r="AJ4205" t="s">
        <v>51</v>
      </c>
      <c r="AK4205" t="s">
        <v>95</v>
      </c>
      <c r="AL4205" t="s">
        <v>1420</v>
      </c>
      <c r="AM4205" s="18"/>
      <c r="AP4205" t="s">
        <v>951</v>
      </c>
    </row>
    <row r="4206" spans="1:42">
      <c r="A4206" s="16">
        <v>43843</v>
      </c>
      <c r="B4206">
        <v>1</v>
      </c>
      <c r="C4206">
        <v>986</v>
      </c>
      <c r="D4206">
        <v>14637</v>
      </c>
      <c r="E4206" t="s">
        <v>112</v>
      </c>
      <c r="F4206" t="s">
        <v>949</v>
      </c>
      <c r="G4206">
        <v>2</v>
      </c>
      <c r="H4206">
        <v>140</v>
      </c>
      <c r="I4206" s="25">
        <v>2469</v>
      </c>
      <c r="K4206" t="s">
        <v>210</v>
      </c>
      <c r="N4206" t="s">
        <v>44</v>
      </c>
      <c r="O4206">
        <v>182</v>
      </c>
      <c r="Q4206">
        <v>1</v>
      </c>
      <c r="R4206">
        <v>1</v>
      </c>
      <c r="S4206">
        <v>0</v>
      </c>
      <c r="T4206">
        <v>0</v>
      </c>
      <c r="U4206">
        <v>0</v>
      </c>
      <c r="V4206">
        <v>1</v>
      </c>
      <c r="W4206">
        <v>0</v>
      </c>
      <c r="X4206" s="21">
        <v>0</v>
      </c>
      <c r="Y4206" s="21">
        <v>0</v>
      </c>
      <c r="Z4206" s="21">
        <v>0</v>
      </c>
      <c r="AA4206" s="21">
        <v>0</v>
      </c>
      <c r="AB4206" s="21">
        <v>0</v>
      </c>
      <c r="AC4206" s="21">
        <v>0</v>
      </c>
      <c r="AD4206" s="21">
        <v>0</v>
      </c>
      <c r="AE4206" s="21">
        <v>0</v>
      </c>
      <c r="AF4206">
        <v>0</v>
      </c>
      <c r="AG4206">
        <v>0</v>
      </c>
      <c r="AH4206">
        <v>64</v>
      </c>
      <c r="AJ4206" t="s">
        <v>51</v>
      </c>
      <c r="AK4206" t="s">
        <v>95</v>
      </c>
      <c r="AL4206" t="s">
        <v>1421</v>
      </c>
      <c r="AM4206" s="18"/>
      <c r="AP4206" t="s">
        <v>951</v>
      </c>
    </row>
    <row r="4207" spans="1:42">
      <c r="A4207" s="16">
        <v>43843</v>
      </c>
      <c r="B4207">
        <v>1</v>
      </c>
      <c r="C4207">
        <v>986</v>
      </c>
      <c r="D4207">
        <v>14637</v>
      </c>
      <c r="E4207" t="s">
        <v>112</v>
      </c>
      <c r="F4207" t="s">
        <v>949</v>
      </c>
      <c r="G4207">
        <v>2</v>
      </c>
      <c r="H4207">
        <v>141</v>
      </c>
      <c r="I4207" s="25">
        <v>2493</v>
      </c>
      <c r="K4207" t="s">
        <v>213</v>
      </c>
      <c r="N4207" t="s">
        <v>44</v>
      </c>
      <c r="O4207">
        <v>128</v>
      </c>
      <c r="Q4207">
        <v>2</v>
      </c>
      <c r="R4207">
        <v>1</v>
      </c>
      <c r="S4207">
        <v>0</v>
      </c>
      <c r="T4207">
        <v>0</v>
      </c>
      <c r="U4207">
        <v>0</v>
      </c>
      <c r="V4207">
        <v>0</v>
      </c>
      <c r="W4207">
        <v>2</v>
      </c>
      <c r="X4207" s="21">
        <v>0</v>
      </c>
      <c r="Y4207" s="21">
        <v>0</v>
      </c>
      <c r="Z4207" s="21">
        <v>0</v>
      </c>
      <c r="AA4207" s="21">
        <v>0</v>
      </c>
      <c r="AB4207" s="21">
        <v>0</v>
      </c>
      <c r="AC4207" s="21">
        <v>0</v>
      </c>
      <c r="AD4207" s="21">
        <v>0</v>
      </c>
      <c r="AE4207" s="21">
        <v>0</v>
      </c>
      <c r="AF4207">
        <v>0</v>
      </c>
      <c r="AG4207">
        <v>0</v>
      </c>
      <c r="AH4207">
        <v>192</v>
      </c>
      <c r="AJ4207" t="s">
        <v>51</v>
      </c>
      <c r="AK4207" t="s">
        <v>95</v>
      </c>
      <c r="AL4207" t="s">
        <v>1422</v>
      </c>
      <c r="AM4207" s="18"/>
      <c r="AP4207" t="s">
        <v>951</v>
      </c>
    </row>
    <row r="4208" spans="1:42">
      <c r="A4208" s="16">
        <v>43843</v>
      </c>
      <c r="B4208">
        <v>1</v>
      </c>
      <c r="C4208">
        <v>986</v>
      </c>
      <c r="D4208">
        <v>14637</v>
      </c>
      <c r="E4208" t="s">
        <v>112</v>
      </c>
      <c r="F4208" t="s">
        <v>949</v>
      </c>
      <c r="G4208">
        <v>2</v>
      </c>
      <c r="H4208">
        <v>142</v>
      </c>
      <c r="I4208" s="25">
        <v>3060</v>
      </c>
      <c r="K4208" t="s">
        <v>175</v>
      </c>
      <c r="N4208" t="s">
        <v>44</v>
      </c>
      <c r="O4208">
        <v>97</v>
      </c>
      <c r="Q4208">
        <v>1</v>
      </c>
      <c r="R4208">
        <v>1</v>
      </c>
      <c r="S4208">
        <v>0</v>
      </c>
      <c r="T4208">
        <v>0</v>
      </c>
      <c r="U4208">
        <v>0</v>
      </c>
      <c r="V4208">
        <v>1</v>
      </c>
      <c r="W4208">
        <v>0</v>
      </c>
      <c r="X4208" s="21">
        <v>0</v>
      </c>
      <c r="Y4208" s="21">
        <v>0</v>
      </c>
      <c r="Z4208" s="21">
        <v>0</v>
      </c>
      <c r="AA4208" s="21">
        <v>0</v>
      </c>
      <c r="AB4208" s="21">
        <v>0</v>
      </c>
      <c r="AC4208" s="21">
        <v>0</v>
      </c>
      <c r="AD4208" s="21">
        <v>0</v>
      </c>
      <c r="AE4208" s="21">
        <v>0</v>
      </c>
      <c r="AF4208">
        <v>0</v>
      </c>
      <c r="AG4208">
        <v>0</v>
      </c>
      <c r="AH4208">
        <v>64</v>
      </c>
      <c r="AJ4208" t="s">
        <v>51</v>
      </c>
      <c r="AK4208" t="s">
        <v>95</v>
      </c>
      <c r="AM4208" s="18"/>
      <c r="AP4208" t="s">
        <v>951</v>
      </c>
    </row>
    <row r="4209" spans="1:42">
      <c r="A4209" s="16">
        <v>43843</v>
      </c>
      <c r="B4209">
        <v>1</v>
      </c>
      <c r="C4209">
        <v>986</v>
      </c>
      <c r="D4209">
        <v>14637</v>
      </c>
      <c r="E4209" t="s">
        <v>112</v>
      </c>
      <c r="F4209" t="s">
        <v>949</v>
      </c>
      <c r="G4209">
        <v>2</v>
      </c>
      <c r="H4209">
        <v>143</v>
      </c>
      <c r="I4209" s="25">
        <v>2300</v>
      </c>
      <c r="K4209" t="s">
        <v>213</v>
      </c>
      <c r="L4209" t="s">
        <v>141</v>
      </c>
      <c r="N4209" t="s">
        <v>40</v>
      </c>
      <c r="O4209">
        <v>23</v>
      </c>
      <c r="Q4209">
        <v>1</v>
      </c>
      <c r="R4209">
        <v>1</v>
      </c>
      <c r="S4209">
        <v>0</v>
      </c>
      <c r="T4209">
        <v>0</v>
      </c>
      <c r="U4209">
        <v>0</v>
      </c>
      <c r="V4209">
        <v>1</v>
      </c>
      <c r="W4209">
        <v>0</v>
      </c>
      <c r="X4209" s="21">
        <v>0</v>
      </c>
      <c r="Y4209" s="21">
        <v>0</v>
      </c>
      <c r="Z4209" s="21">
        <v>0</v>
      </c>
      <c r="AA4209" s="21">
        <v>0</v>
      </c>
      <c r="AB4209" s="21">
        <v>0</v>
      </c>
      <c r="AC4209" s="21">
        <v>0</v>
      </c>
      <c r="AD4209" s="21">
        <v>0</v>
      </c>
      <c r="AE4209" s="21">
        <v>0</v>
      </c>
      <c r="AF4209">
        <v>0</v>
      </c>
      <c r="AG4209">
        <v>0</v>
      </c>
      <c r="AH4209">
        <v>64</v>
      </c>
      <c r="AJ4209" t="s">
        <v>51</v>
      </c>
      <c r="AK4209" t="s">
        <v>95</v>
      </c>
      <c r="AM4209" s="18"/>
      <c r="AP4209" t="s">
        <v>951</v>
      </c>
    </row>
    <row r="4210" spans="1:42">
      <c r="A4210" s="16">
        <v>43843</v>
      </c>
      <c r="B4210">
        <v>1</v>
      </c>
      <c r="C4210">
        <v>986</v>
      </c>
      <c r="D4210">
        <v>14637</v>
      </c>
      <c r="E4210" t="s">
        <v>112</v>
      </c>
      <c r="F4210" t="s">
        <v>949</v>
      </c>
      <c r="G4210">
        <v>2</v>
      </c>
      <c r="H4210">
        <v>144</v>
      </c>
      <c r="I4210" s="25">
        <v>2300</v>
      </c>
      <c r="K4210" t="s">
        <v>213</v>
      </c>
      <c r="L4210" t="s">
        <v>141</v>
      </c>
      <c r="N4210" t="s">
        <v>40</v>
      </c>
      <c r="O4210">
        <v>30</v>
      </c>
      <c r="Q4210">
        <v>1</v>
      </c>
      <c r="R4210">
        <v>1</v>
      </c>
      <c r="S4210">
        <v>0</v>
      </c>
      <c r="T4210">
        <v>0</v>
      </c>
      <c r="U4210">
        <v>1</v>
      </c>
      <c r="V4210">
        <v>0</v>
      </c>
      <c r="W4210">
        <v>0</v>
      </c>
      <c r="X4210" s="21">
        <v>0</v>
      </c>
      <c r="Y4210" s="21">
        <v>0</v>
      </c>
      <c r="Z4210" s="21">
        <v>0</v>
      </c>
      <c r="AA4210" s="21">
        <v>0</v>
      </c>
      <c r="AB4210" s="21">
        <v>0</v>
      </c>
      <c r="AC4210" s="21">
        <v>0</v>
      </c>
      <c r="AD4210" s="21">
        <v>0</v>
      </c>
      <c r="AE4210" s="21">
        <v>0</v>
      </c>
      <c r="AF4210">
        <v>0</v>
      </c>
      <c r="AG4210">
        <v>0</v>
      </c>
      <c r="AH4210">
        <v>32</v>
      </c>
      <c r="AJ4210" t="s">
        <v>51</v>
      </c>
      <c r="AK4210" t="s">
        <v>95</v>
      </c>
      <c r="AM4210" s="18"/>
      <c r="AP4210" t="s">
        <v>951</v>
      </c>
    </row>
    <row r="4211" spans="1:42">
      <c r="A4211" s="16">
        <v>43843</v>
      </c>
      <c r="B4211">
        <v>1</v>
      </c>
      <c r="C4211">
        <v>986</v>
      </c>
      <c r="D4211">
        <v>14637</v>
      </c>
      <c r="E4211" t="s">
        <v>112</v>
      </c>
      <c r="F4211" t="s">
        <v>949</v>
      </c>
      <c r="G4211">
        <v>2</v>
      </c>
      <c r="H4211">
        <v>145</v>
      </c>
      <c r="I4211" s="25">
        <v>2300</v>
      </c>
      <c r="K4211" t="s">
        <v>213</v>
      </c>
      <c r="L4211" t="s">
        <v>141</v>
      </c>
      <c r="N4211" t="s">
        <v>40</v>
      </c>
      <c r="O4211">
        <v>32</v>
      </c>
      <c r="Q4211">
        <v>1</v>
      </c>
      <c r="R4211">
        <v>1</v>
      </c>
      <c r="S4211">
        <v>0</v>
      </c>
      <c r="T4211">
        <v>0</v>
      </c>
      <c r="U4211">
        <v>0</v>
      </c>
      <c r="V4211">
        <v>0</v>
      </c>
      <c r="W4211">
        <v>1</v>
      </c>
      <c r="X4211" s="21">
        <v>0</v>
      </c>
      <c r="Y4211" s="21">
        <v>0</v>
      </c>
      <c r="Z4211" s="21">
        <v>0</v>
      </c>
      <c r="AA4211" s="21">
        <v>0</v>
      </c>
      <c r="AB4211" s="21">
        <v>0</v>
      </c>
      <c r="AC4211" s="21">
        <v>0</v>
      </c>
      <c r="AD4211" s="21">
        <v>0</v>
      </c>
      <c r="AE4211" s="21">
        <v>0</v>
      </c>
      <c r="AF4211">
        <v>0</v>
      </c>
      <c r="AG4211">
        <v>0</v>
      </c>
      <c r="AH4211">
        <v>96</v>
      </c>
      <c r="AJ4211" t="s">
        <v>51</v>
      </c>
      <c r="AK4211" t="s">
        <v>95</v>
      </c>
      <c r="AM4211" s="18"/>
      <c r="AP4211" t="s">
        <v>951</v>
      </c>
    </row>
    <row r="4212" spans="1:42">
      <c r="A4212" s="16">
        <v>43843</v>
      </c>
      <c r="B4212">
        <v>1</v>
      </c>
      <c r="C4212">
        <v>986</v>
      </c>
      <c r="D4212">
        <v>14637</v>
      </c>
      <c r="E4212" t="s">
        <v>112</v>
      </c>
      <c r="F4212" t="s">
        <v>949</v>
      </c>
      <c r="G4212">
        <v>2</v>
      </c>
      <c r="H4212">
        <v>146</v>
      </c>
      <c r="I4212" s="25">
        <v>2355</v>
      </c>
      <c r="K4212" t="s">
        <v>213</v>
      </c>
      <c r="N4212" t="s">
        <v>44</v>
      </c>
      <c r="O4212">
        <v>58</v>
      </c>
      <c r="Q4212">
        <v>1</v>
      </c>
      <c r="R4212">
        <v>1</v>
      </c>
      <c r="S4212">
        <v>0</v>
      </c>
      <c r="T4212">
        <v>0</v>
      </c>
      <c r="U4212">
        <v>1</v>
      </c>
      <c r="V4212">
        <v>0</v>
      </c>
      <c r="W4212">
        <v>0</v>
      </c>
      <c r="X4212" s="21">
        <v>0</v>
      </c>
      <c r="Y4212" s="21">
        <v>0</v>
      </c>
      <c r="Z4212" s="21">
        <v>0</v>
      </c>
      <c r="AA4212" s="21">
        <v>0</v>
      </c>
      <c r="AB4212" s="21">
        <v>0</v>
      </c>
      <c r="AC4212" s="21">
        <v>0</v>
      </c>
      <c r="AD4212" s="21">
        <v>0</v>
      </c>
      <c r="AE4212" s="21">
        <v>0</v>
      </c>
      <c r="AF4212">
        <v>0</v>
      </c>
      <c r="AG4212">
        <v>0</v>
      </c>
      <c r="AH4212">
        <v>32</v>
      </c>
      <c r="AJ4212" t="s">
        <v>51</v>
      </c>
      <c r="AK4212" t="s">
        <v>95</v>
      </c>
      <c r="AM4212" s="18"/>
      <c r="AP4212" t="s">
        <v>951</v>
      </c>
    </row>
    <row r="4213" spans="1:42">
      <c r="A4213" s="16">
        <v>43843</v>
      </c>
      <c r="B4213">
        <v>1</v>
      </c>
      <c r="C4213">
        <v>986</v>
      </c>
      <c r="D4213">
        <v>14637</v>
      </c>
      <c r="E4213" t="s">
        <v>112</v>
      </c>
      <c r="F4213" t="s">
        <v>949</v>
      </c>
      <c r="G4213">
        <v>2</v>
      </c>
      <c r="H4213">
        <v>147</v>
      </c>
      <c r="I4213" s="25">
        <v>2300</v>
      </c>
      <c r="K4213" t="s">
        <v>213</v>
      </c>
      <c r="L4213" t="s">
        <v>141</v>
      </c>
      <c r="N4213" t="s">
        <v>40</v>
      </c>
      <c r="O4213">
        <v>31</v>
      </c>
      <c r="Q4213">
        <v>2</v>
      </c>
      <c r="R4213">
        <v>1</v>
      </c>
      <c r="S4213">
        <v>0</v>
      </c>
      <c r="T4213">
        <v>0</v>
      </c>
      <c r="U4213">
        <v>1</v>
      </c>
      <c r="V4213">
        <v>1</v>
      </c>
      <c r="W4213">
        <v>0</v>
      </c>
      <c r="X4213" s="21">
        <v>0</v>
      </c>
      <c r="Y4213" s="21">
        <v>0</v>
      </c>
      <c r="Z4213" s="21">
        <v>0</v>
      </c>
      <c r="AA4213" s="21">
        <v>0</v>
      </c>
      <c r="AB4213" s="21">
        <v>0</v>
      </c>
      <c r="AC4213" s="21">
        <v>0</v>
      </c>
      <c r="AD4213" s="21">
        <v>0</v>
      </c>
      <c r="AE4213" s="21">
        <v>0</v>
      </c>
      <c r="AF4213">
        <v>0</v>
      </c>
      <c r="AG4213">
        <v>0</v>
      </c>
      <c r="AH4213">
        <v>96</v>
      </c>
      <c r="AJ4213" t="s">
        <v>51</v>
      </c>
      <c r="AK4213" t="s">
        <v>95</v>
      </c>
      <c r="AM4213" s="18"/>
      <c r="AP4213" t="s">
        <v>951</v>
      </c>
    </row>
    <row r="4214" spans="1:42">
      <c r="A4214" s="16">
        <v>43843</v>
      </c>
      <c r="B4214">
        <v>1</v>
      </c>
      <c r="C4214">
        <v>986</v>
      </c>
      <c r="D4214">
        <v>14637</v>
      </c>
      <c r="E4214" t="s">
        <v>112</v>
      </c>
      <c r="F4214" t="s">
        <v>949</v>
      </c>
      <c r="G4214">
        <v>2</v>
      </c>
      <c r="H4214">
        <v>148</v>
      </c>
      <c r="I4214" s="25">
        <v>2300</v>
      </c>
      <c r="K4214" t="s">
        <v>213</v>
      </c>
      <c r="L4214" t="s">
        <v>141</v>
      </c>
      <c r="N4214" t="s">
        <v>40</v>
      </c>
      <c r="O4214">
        <v>63</v>
      </c>
      <c r="Q4214">
        <v>3</v>
      </c>
      <c r="R4214">
        <v>1</v>
      </c>
      <c r="S4214">
        <v>0</v>
      </c>
      <c r="T4214">
        <v>0</v>
      </c>
      <c r="U4214">
        <v>1</v>
      </c>
      <c r="V4214">
        <v>2</v>
      </c>
      <c r="W4214">
        <v>0</v>
      </c>
      <c r="X4214" s="21">
        <v>0</v>
      </c>
      <c r="Y4214" s="21">
        <v>0</v>
      </c>
      <c r="Z4214" s="21">
        <v>0</v>
      </c>
      <c r="AA4214" s="21">
        <v>0</v>
      </c>
      <c r="AB4214" s="21">
        <v>0</v>
      </c>
      <c r="AC4214" s="21">
        <v>0</v>
      </c>
      <c r="AD4214" s="21">
        <v>0</v>
      </c>
      <c r="AE4214" s="21">
        <v>0</v>
      </c>
      <c r="AF4214">
        <v>0</v>
      </c>
      <c r="AG4214">
        <v>0</v>
      </c>
      <c r="AH4214">
        <v>128</v>
      </c>
      <c r="AJ4214" t="s">
        <v>51</v>
      </c>
      <c r="AK4214" t="s">
        <v>95</v>
      </c>
      <c r="AM4214" s="18"/>
      <c r="AP4214" t="s">
        <v>951</v>
      </c>
    </row>
    <row r="4215" spans="1:42">
      <c r="A4215" s="16">
        <v>43843</v>
      </c>
      <c r="B4215">
        <v>1</v>
      </c>
      <c r="C4215">
        <v>986</v>
      </c>
      <c r="D4215">
        <v>14637</v>
      </c>
      <c r="E4215" t="s">
        <v>112</v>
      </c>
      <c r="F4215" t="s">
        <v>949</v>
      </c>
      <c r="G4215">
        <v>2</v>
      </c>
      <c r="H4215">
        <v>149</v>
      </c>
      <c r="I4215" s="25">
        <v>2305</v>
      </c>
      <c r="K4215" t="s">
        <v>213</v>
      </c>
      <c r="N4215" t="s">
        <v>44</v>
      </c>
      <c r="O4215">
        <v>168</v>
      </c>
      <c r="Q4215">
        <v>2</v>
      </c>
      <c r="R4215">
        <v>1</v>
      </c>
      <c r="S4215">
        <v>0</v>
      </c>
      <c r="T4215">
        <v>0</v>
      </c>
      <c r="U4215">
        <v>1</v>
      </c>
      <c r="V4215">
        <v>0</v>
      </c>
      <c r="W4215">
        <v>1</v>
      </c>
      <c r="X4215" s="21">
        <v>0</v>
      </c>
      <c r="Y4215" s="21">
        <v>0</v>
      </c>
      <c r="Z4215" s="21">
        <v>0</v>
      </c>
      <c r="AA4215" s="21">
        <v>0</v>
      </c>
      <c r="AB4215" s="21">
        <v>0</v>
      </c>
      <c r="AC4215" s="21">
        <v>0</v>
      </c>
      <c r="AD4215" s="21">
        <v>0</v>
      </c>
      <c r="AE4215" s="21">
        <v>0</v>
      </c>
      <c r="AF4215">
        <v>0</v>
      </c>
      <c r="AG4215">
        <v>0</v>
      </c>
      <c r="AH4215">
        <v>128</v>
      </c>
      <c r="AJ4215" t="s">
        <v>51</v>
      </c>
      <c r="AK4215" t="s">
        <v>52</v>
      </c>
      <c r="AL4215" t="s">
        <v>1423</v>
      </c>
      <c r="AM4215" s="18"/>
      <c r="AP4215" t="s">
        <v>951</v>
      </c>
    </row>
    <row r="4216" spans="1:42">
      <c r="A4216" s="16">
        <v>43843</v>
      </c>
      <c r="B4216">
        <v>1</v>
      </c>
      <c r="C4216">
        <v>986</v>
      </c>
      <c r="D4216">
        <v>14637</v>
      </c>
      <c r="E4216" t="s">
        <v>112</v>
      </c>
      <c r="F4216" t="s">
        <v>949</v>
      </c>
      <c r="G4216">
        <v>2</v>
      </c>
      <c r="H4216">
        <v>150</v>
      </c>
      <c r="I4216" s="25">
        <v>2340</v>
      </c>
      <c r="K4216" t="s">
        <v>148</v>
      </c>
      <c r="N4216" t="s">
        <v>44</v>
      </c>
      <c r="O4216">
        <v>142</v>
      </c>
      <c r="Q4216">
        <v>3</v>
      </c>
      <c r="R4216">
        <v>1</v>
      </c>
      <c r="S4216">
        <v>0</v>
      </c>
      <c r="T4216">
        <v>0</v>
      </c>
      <c r="U4216">
        <v>0</v>
      </c>
      <c r="V4216">
        <v>0</v>
      </c>
      <c r="W4216">
        <v>3</v>
      </c>
      <c r="X4216" s="21">
        <v>0</v>
      </c>
      <c r="Y4216" s="21">
        <v>0</v>
      </c>
      <c r="Z4216" s="21">
        <v>0</v>
      </c>
      <c r="AA4216" s="21">
        <v>0</v>
      </c>
      <c r="AB4216" s="21">
        <v>0</v>
      </c>
      <c r="AC4216" s="21">
        <v>0</v>
      </c>
      <c r="AD4216" s="21">
        <v>0</v>
      </c>
      <c r="AE4216" s="21">
        <v>0</v>
      </c>
      <c r="AF4216">
        <v>0</v>
      </c>
      <c r="AG4216">
        <v>0</v>
      </c>
      <c r="AH4216">
        <v>288</v>
      </c>
      <c r="AJ4216" t="s">
        <v>51</v>
      </c>
      <c r="AK4216" t="s">
        <v>95</v>
      </c>
      <c r="AL4216" t="s">
        <v>1424</v>
      </c>
      <c r="AM4216" s="18"/>
      <c r="AP4216" t="s">
        <v>951</v>
      </c>
    </row>
    <row r="4217" spans="1:42">
      <c r="A4217" s="16">
        <v>43843</v>
      </c>
      <c r="B4217">
        <v>1</v>
      </c>
      <c r="C4217">
        <v>986</v>
      </c>
      <c r="D4217">
        <v>14637</v>
      </c>
      <c r="E4217" t="s">
        <v>112</v>
      </c>
      <c r="F4217" t="s">
        <v>949</v>
      </c>
      <c r="G4217">
        <v>2</v>
      </c>
      <c r="H4217">
        <v>151</v>
      </c>
      <c r="I4217" s="25">
        <v>2350</v>
      </c>
      <c r="K4217" t="s">
        <v>148</v>
      </c>
      <c r="N4217" t="s">
        <v>44</v>
      </c>
      <c r="O4217">
        <v>109</v>
      </c>
      <c r="Q4217">
        <v>1</v>
      </c>
      <c r="R4217">
        <v>1</v>
      </c>
      <c r="S4217">
        <v>0</v>
      </c>
      <c r="T4217">
        <v>0</v>
      </c>
      <c r="U4217">
        <v>0</v>
      </c>
      <c r="V4217">
        <v>0</v>
      </c>
      <c r="W4217">
        <v>1</v>
      </c>
      <c r="X4217" s="21">
        <v>0</v>
      </c>
      <c r="Y4217" s="21">
        <v>0</v>
      </c>
      <c r="Z4217" s="21">
        <v>0</v>
      </c>
      <c r="AA4217" s="21">
        <v>0</v>
      </c>
      <c r="AB4217" s="21">
        <v>0</v>
      </c>
      <c r="AC4217" s="21">
        <v>0</v>
      </c>
      <c r="AD4217" s="21">
        <v>0</v>
      </c>
      <c r="AE4217" s="21">
        <v>0</v>
      </c>
      <c r="AF4217">
        <v>0</v>
      </c>
      <c r="AG4217">
        <v>0</v>
      </c>
      <c r="AH4217">
        <v>96</v>
      </c>
      <c r="AJ4217" t="s">
        <v>51</v>
      </c>
      <c r="AK4217" t="s">
        <v>95</v>
      </c>
      <c r="AL4217" t="s">
        <v>1425</v>
      </c>
      <c r="AM4217" s="18"/>
      <c r="AP4217" t="s">
        <v>951</v>
      </c>
    </row>
    <row r="4218" spans="1:42">
      <c r="A4218" s="16">
        <v>43843</v>
      </c>
      <c r="B4218">
        <v>1</v>
      </c>
      <c r="C4218">
        <v>986</v>
      </c>
      <c r="D4218">
        <v>14637</v>
      </c>
      <c r="E4218" t="s">
        <v>112</v>
      </c>
      <c r="F4218" t="s">
        <v>949</v>
      </c>
      <c r="G4218">
        <v>2</v>
      </c>
      <c r="H4218">
        <v>152</v>
      </c>
      <c r="I4218" s="25">
        <v>2360</v>
      </c>
      <c r="K4218" t="s">
        <v>148</v>
      </c>
      <c r="N4218" t="s">
        <v>44</v>
      </c>
      <c r="O4218">
        <v>115</v>
      </c>
      <c r="Q4218">
        <v>1</v>
      </c>
      <c r="R4218">
        <v>1</v>
      </c>
      <c r="S4218">
        <v>0</v>
      </c>
      <c r="T4218">
        <v>0</v>
      </c>
      <c r="U4218">
        <v>0</v>
      </c>
      <c r="V4218">
        <v>1</v>
      </c>
      <c r="W4218">
        <v>0</v>
      </c>
      <c r="X4218" s="21">
        <v>0</v>
      </c>
      <c r="Y4218" s="21">
        <v>0</v>
      </c>
      <c r="Z4218" s="21">
        <v>0</v>
      </c>
      <c r="AA4218" s="21">
        <v>0</v>
      </c>
      <c r="AB4218" s="21">
        <v>0</v>
      </c>
      <c r="AC4218" s="21">
        <v>0</v>
      </c>
      <c r="AD4218" s="21">
        <v>0</v>
      </c>
      <c r="AE4218" s="21">
        <v>0</v>
      </c>
      <c r="AF4218">
        <v>0</v>
      </c>
      <c r="AG4218">
        <v>0</v>
      </c>
      <c r="AH4218">
        <v>64</v>
      </c>
      <c r="AJ4218" t="s">
        <v>51</v>
      </c>
      <c r="AK4218" t="s">
        <v>95</v>
      </c>
      <c r="AL4218" t="s">
        <v>1089</v>
      </c>
      <c r="AM4218" s="18"/>
      <c r="AP4218" t="s">
        <v>951</v>
      </c>
    </row>
    <row r="4219" spans="1:42">
      <c r="A4219" s="16">
        <v>43843</v>
      </c>
      <c r="B4219">
        <v>1</v>
      </c>
      <c r="C4219">
        <v>986</v>
      </c>
      <c r="D4219">
        <v>14637</v>
      </c>
      <c r="E4219" t="s">
        <v>112</v>
      </c>
      <c r="F4219" t="s">
        <v>949</v>
      </c>
      <c r="G4219">
        <v>2</v>
      </c>
      <c r="H4219">
        <v>153</v>
      </c>
      <c r="I4219" s="25">
        <v>2370</v>
      </c>
      <c r="K4219" t="s">
        <v>148</v>
      </c>
      <c r="N4219" t="s">
        <v>44</v>
      </c>
      <c r="O4219">
        <v>112</v>
      </c>
      <c r="Q4219">
        <v>2</v>
      </c>
      <c r="R4219">
        <v>1</v>
      </c>
      <c r="S4219">
        <v>0</v>
      </c>
      <c r="T4219">
        <v>0</v>
      </c>
      <c r="U4219">
        <v>1</v>
      </c>
      <c r="V4219">
        <v>0</v>
      </c>
      <c r="W4219">
        <v>1</v>
      </c>
      <c r="X4219" s="21">
        <v>0</v>
      </c>
      <c r="Y4219" s="21">
        <v>0</v>
      </c>
      <c r="Z4219" s="21">
        <v>0</v>
      </c>
      <c r="AA4219" s="21">
        <v>0</v>
      </c>
      <c r="AB4219" s="21">
        <v>0</v>
      </c>
      <c r="AC4219" s="21">
        <v>0</v>
      </c>
      <c r="AD4219" s="21">
        <v>0</v>
      </c>
      <c r="AE4219" s="21">
        <v>0</v>
      </c>
      <c r="AF4219">
        <v>0</v>
      </c>
      <c r="AG4219">
        <v>0</v>
      </c>
      <c r="AH4219">
        <v>128</v>
      </c>
      <c r="AJ4219" t="s">
        <v>51</v>
      </c>
      <c r="AK4219" t="s">
        <v>95</v>
      </c>
      <c r="AL4219" t="s">
        <v>1426</v>
      </c>
      <c r="AM4219" s="18"/>
      <c r="AP4219" t="s">
        <v>951</v>
      </c>
    </row>
    <row r="4220" spans="1:42">
      <c r="A4220" s="16">
        <v>43843</v>
      </c>
      <c r="B4220">
        <v>1</v>
      </c>
      <c r="C4220">
        <v>986</v>
      </c>
      <c r="D4220">
        <v>14637</v>
      </c>
      <c r="E4220" t="s">
        <v>112</v>
      </c>
      <c r="F4220" t="s">
        <v>949</v>
      </c>
      <c r="G4220">
        <v>2</v>
      </c>
      <c r="H4220">
        <v>154</v>
      </c>
      <c r="I4220" s="25">
        <v>2500</v>
      </c>
      <c r="K4220" t="s">
        <v>148</v>
      </c>
      <c r="L4220" t="s">
        <v>114</v>
      </c>
      <c r="N4220" t="s">
        <v>40</v>
      </c>
      <c r="O4220">
        <v>69</v>
      </c>
      <c r="Q4220">
        <v>2</v>
      </c>
      <c r="R4220">
        <v>1</v>
      </c>
      <c r="S4220">
        <v>0</v>
      </c>
      <c r="T4220">
        <v>0</v>
      </c>
      <c r="U4220">
        <v>1</v>
      </c>
      <c r="V4220">
        <v>1</v>
      </c>
      <c r="W4220">
        <v>0</v>
      </c>
      <c r="X4220" s="21">
        <v>0</v>
      </c>
      <c r="Y4220" s="21">
        <v>0</v>
      </c>
      <c r="Z4220" s="21">
        <v>0</v>
      </c>
      <c r="AA4220" s="21">
        <v>0</v>
      </c>
      <c r="AB4220" s="21">
        <v>0</v>
      </c>
      <c r="AC4220" s="21">
        <v>0</v>
      </c>
      <c r="AD4220" s="21">
        <v>0</v>
      </c>
      <c r="AE4220" s="21">
        <v>0</v>
      </c>
      <c r="AF4220">
        <v>0</v>
      </c>
      <c r="AG4220">
        <v>0</v>
      </c>
      <c r="AH4220">
        <v>96</v>
      </c>
      <c r="AJ4220" t="s">
        <v>51</v>
      </c>
      <c r="AK4220" t="s">
        <v>52</v>
      </c>
      <c r="AM4220" s="18"/>
      <c r="AP4220" t="s">
        <v>951</v>
      </c>
    </row>
    <row r="4221" spans="1:42">
      <c r="A4221" s="16">
        <v>43843</v>
      </c>
      <c r="B4221">
        <v>1</v>
      </c>
      <c r="C4221">
        <v>986</v>
      </c>
      <c r="D4221">
        <v>14637</v>
      </c>
      <c r="E4221" t="s">
        <v>112</v>
      </c>
      <c r="F4221" t="s">
        <v>949</v>
      </c>
      <c r="G4221">
        <v>2</v>
      </c>
      <c r="H4221">
        <v>155</v>
      </c>
      <c r="I4221" s="25">
        <v>2500</v>
      </c>
      <c r="K4221" t="s">
        <v>148</v>
      </c>
      <c r="L4221" t="s">
        <v>114</v>
      </c>
      <c r="N4221" t="s">
        <v>40</v>
      </c>
      <c r="O4221">
        <v>27</v>
      </c>
      <c r="Q4221">
        <v>1</v>
      </c>
      <c r="R4221">
        <v>1</v>
      </c>
      <c r="S4221">
        <v>0</v>
      </c>
      <c r="T4221">
        <v>0</v>
      </c>
      <c r="U4221">
        <v>0</v>
      </c>
      <c r="V4221">
        <v>1</v>
      </c>
      <c r="W4221">
        <v>0</v>
      </c>
      <c r="X4221" s="21">
        <v>0</v>
      </c>
      <c r="Y4221" s="21">
        <v>0</v>
      </c>
      <c r="Z4221" s="21">
        <v>0</v>
      </c>
      <c r="AA4221" s="21">
        <v>0</v>
      </c>
      <c r="AB4221" s="21">
        <v>0</v>
      </c>
      <c r="AC4221" s="21">
        <v>0</v>
      </c>
      <c r="AD4221" s="21">
        <v>0</v>
      </c>
      <c r="AE4221" s="21">
        <v>0</v>
      </c>
      <c r="AF4221">
        <v>0</v>
      </c>
      <c r="AG4221">
        <v>0</v>
      </c>
      <c r="AH4221">
        <v>64</v>
      </c>
      <c r="AJ4221" t="s">
        <v>51</v>
      </c>
      <c r="AK4221" t="s">
        <v>95</v>
      </c>
      <c r="AM4221" s="18"/>
      <c r="AP4221" t="s">
        <v>951</v>
      </c>
    </row>
    <row r="4222" spans="1:42">
      <c r="A4222" s="16">
        <v>43843</v>
      </c>
      <c r="B4222">
        <v>1</v>
      </c>
      <c r="C4222">
        <v>986</v>
      </c>
      <c r="D4222">
        <v>14637</v>
      </c>
      <c r="E4222" t="s">
        <v>112</v>
      </c>
      <c r="F4222" t="s">
        <v>949</v>
      </c>
      <c r="G4222">
        <v>2</v>
      </c>
      <c r="H4222">
        <v>156</v>
      </c>
      <c r="I4222" s="25">
        <v>2540</v>
      </c>
      <c r="K4222" t="s">
        <v>148</v>
      </c>
      <c r="N4222" t="s">
        <v>44</v>
      </c>
      <c r="O4222">
        <v>91</v>
      </c>
      <c r="Q4222">
        <v>1</v>
      </c>
      <c r="R4222">
        <v>1</v>
      </c>
      <c r="S4222">
        <v>0</v>
      </c>
      <c r="T4222">
        <v>0</v>
      </c>
      <c r="U4222">
        <v>0</v>
      </c>
      <c r="V4222">
        <v>1</v>
      </c>
      <c r="W4222">
        <v>0</v>
      </c>
      <c r="X4222" s="21">
        <v>0</v>
      </c>
      <c r="Y4222" s="21">
        <v>0</v>
      </c>
      <c r="Z4222" s="21">
        <v>0</v>
      </c>
      <c r="AA4222" s="21">
        <v>0</v>
      </c>
      <c r="AB4222" s="21">
        <v>0</v>
      </c>
      <c r="AC4222" s="21">
        <v>0</v>
      </c>
      <c r="AD4222" s="21">
        <v>0</v>
      </c>
      <c r="AE4222" s="21">
        <v>0</v>
      </c>
      <c r="AF4222">
        <v>0</v>
      </c>
      <c r="AG4222">
        <v>0</v>
      </c>
      <c r="AH4222">
        <v>64</v>
      </c>
      <c r="AJ4222" t="s">
        <v>51</v>
      </c>
      <c r="AK4222" t="s">
        <v>52</v>
      </c>
      <c r="AL4222" t="s">
        <v>618</v>
      </c>
      <c r="AM4222" s="18"/>
      <c r="AP4222" t="s">
        <v>951</v>
      </c>
    </row>
    <row r="4223" spans="1:42">
      <c r="A4223" s="16">
        <v>43843</v>
      </c>
      <c r="B4223">
        <v>1</v>
      </c>
      <c r="C4223">
        <v>986</v>
      </c>
      <c r="D4223">
        <v>14637</v>
      </c>
      <c r="E4223" t="s">
        <v>112</v>
      </c>
      <c r="F4223" t="s">
        <v>949</v>
      </c>
      <c r="G4223">
        <v>2</v>
      </c>
      <c r="H4223">
        <v>157</v>
      </c>
      <c r="I4223" s="25">
        <v>2500</v>
      </c>
      <c r="K4223" t="s">
        <v>148</v>
      </c>
      <c r="L4223" t="s">
        <v>114</v>
      </c>
      <c r="N4223" t="s">
        <v>40</v>
      </c>
      <c r="O4223">
        <v>23</v>
      </c>
      <c r="Q4223">
        <v>1</v>
      </c>
      <c r="R4223">
        <v>1</v>
      </c>
      <c r="S4223">
        <v>0</v>
      </c>
      <c r="T4223">
        <v>0</v>
      </c>
      <c r="U4223">
        <v>0</v>
      </c>
      <c r="V4223">
        <v>1</v>
      </c>
      <c r="W4223">
        <v>0</v>
      </c>
      <c r="X4223" s="21">
        <v>0</v>
      </c>
      <c r="Y4223" s="21">
        <v>0</v>
      </c>
      <c r="Z4223" s="21">
        <v>0</v>
      </c>
      <c r="AA4223" s="21">
        <v>0</v>
      </c>
      <c r="AB4223" s="21">
        <v>0</v>
      </c>
      <c r="AC4223" s="21">
        <v>0</v>
      </c>
      <c r="AD4223" s="21">
        <v>0</v>
      </c>
      <c r="AE4223" s="21">
        <v>0</v>
      </c>
      <c r="AF4223">
        <v>0</v>
      </c>
      <c r="AG4223">
        <v>0</v>
      </c>
      <c r="AH4223">
        <v>64</v>
      </c>
      <c r="AJ4223" t="s">
        <v>51</v>
      </c>
      <c r="AK4223" t="s">
        <v>95</v>
      </c>
      <c r="AM4223" s="18"/>
      <c r="AP4223" t="s">
        <v>951</v>
      </c>
    </row>
    <row r="4224" spans="1:42">
      <c r="A4224" s="16">
        <v>43843</v>
      </c>
      <c r="B4224">
        <v>1</v>
      </c>
      <c r="C4224">
        <v>986</v>
      </c>
      <c r="D4224">
        <v>14637</v>
      </c>
      <c r="E4224" t="s">
        <v>112</v>
      </c>
      <c r="F4224" t="s">
        <v>949</v>
      </c>
      <c r="G4224">
        <v>2</v>
      </c>
      <c r="H4224">
        <v>158</v>
      </c>
      <c r="I4224" s="25">
        <v>2500</v>
      </c>
      <c r="K4224" t="s">
        <v>148</v>
      </c>
      <c r="L4224" t="s">
        <v>114</v>
      </c>
      <c r="N4224" t="s">
        <v>40</v>
      </c>
      <c r="O4224">
        <v>33</v>
      </c>
      <c r="Q4224">
        <v>1</v>
      </c>
      <c r="R4224">
        <v>1</v>
      </c>
      <c r="S4224">
        <v>0</v>
      </c>
      <c r="T4224">
        <v>0</v>
      </c>
      <c r="U4224">
        <v>0</v>
      </c>
      <c r="V4224">
        <v>1</v>
      </c>
      <c r="W4224">
        <v>0</v>
      </c>
      <c r="X4224" s="21">
        <v>0</v>
      </c>
      <c r="Y4224" s="21">
        <v>0</v>
      </c>
      <c r="Z4224" s="21">
        <v>0</v>
      </c>
      <c r="AA4224" s="21">
        <v>0</v>
      </c>
      <c r="AB4224" s="21">
        <v>0</v>
      </c>
      <c r="AC4224" s="21">
        <v>0</v>
      </c>
      <c r="AD4224" s="21">
        <v>0</v>
      </c>
      <c r="AE4224" s="21">
        <v>0</v>
      </c>
      <c r="AF4224">
        <v>0</v>
      </c>
      <c r="AG4224">
        <v>0</v>
      </c>
      <c r="AH4224">
        <v>64</v>
      </c>
      <c r="AJ4224" t="s">
        <v>51</v>
      </c>
      <c r="AK4224" t="s">
        <v>52</v>
      </c>
      <c r="AM4224" s="18"/>
      <c r="AP4224" t="s">
        <v>951</v>
      </c>
    </row>
    <row r="4225" spans="1:42">
      <c r="A4225" s="16">
        <v>43843</v>
      </c>
      <c r="B4225">
        <v>1</v>
      </c>
      <c r="C4225">
        <v>986</v>
      </c>
      <c r="D4225">
        <v>14637</v>
      </c>
      <c r="E4225" t="s">
        <v>112</v>
      </c>
      <c r="F4225" t="s">
        <v>949</v>
      </c>
      <c r="G4225">
        <v>2</v>
      </c>
      <c r="H4225">
        <v>159</v>
      </c>
      <c r="I4225" s="25">
        <v>2500</v>
      </c>
      <c r="K4225" t="s">
        <v>148</v>
      </c>
      <c r="L4225" t="s">
        <v>114</v>
      </c>
      <c r="N4225" t="s">
        <v>40</v>
      </c>
      <c r="O4225">
        <v>32</v>
      </c>
      <c r="Q4225">
        <v>1</v>
      </c>
      <c r="R4225">
        <v>1</v>
      </c>
      <c r="S4225">
        <v>0</v>
      </c>
      <c r="T4225">
        <v>0</v>
      </c>
      <c r="U4225">
        <v>0</v>
      </c>
      <c r="V4225">
        <v>1</v>
      </c>
      <c r="W4225">
        <v>0</v>
      </c>
      <c r="X4225" s="21">
        <v>0</v>
      </c>
      <c r="Y4225" s="21">
        <v>0</v>
      </c>
      <c r="Z4225" s="21">
        <v>0</v>
      </c>
      <c r="AA4225" s="21">
        <v>0</v>
      </c>
      <c r="AB4225" s="21">
        <v>0</v>
      </c>
      <c r="AC4225" s="21">
        <v>0</v>
      </c>
      <c r="AD4225" s="21">
        <v>0</v>
      </c>
      <c r="AE4225" s="21">
        <v>0</v>
      </c>
      <c r="AF4225">
        <v>0</v>
      </c>
      <c r="AG4225">
        <v>0</v>
      </c>
      <c r="AH4225">
        <v>64</v>
      </c>
      <c r="AJ4225" t="s">
        <v>51</v>
      </c>
      <c r="AK4225" t="s">
        <v>95</v>
      </c>
      <c r="AM4225" s="18"/>
      <c r="AP4225" t="s">
        <v>951</v>
      </c>
    </row>
    <row r="4226" spans="1:42">
      <c r="A4226" s="16">
        <v>43843</v>
      </c>
      <c r="B4226">
        <v>1</v>
      </c>
      <c r="C4226">
        <v>986</v>
      </c>
      <c r="D4226">
        <v>14637</v>
      </c>
      <c r="E4226" t="s">
        <v>112</v>
      </c>
      <c r="F4226" t="s">
        <v>949</v>
      </c>
      <c r="G4226">
        <v>2</v>
      </c>
      <c r="H4226">
        <v>160</v>
      </c>
      <c r="I4226" s="25">
        <v>2852</v>
      </c>
      <c r="K4226" t="s">
        <v>175</v>
      </c>
      <c r="N4226" t="s">
        <v>44</v>
      </c>
      <c r="O4226">
        <v>106</v>
      </c>
      <c r="Q4226">
        <v>1</v>
      </c>
      <c r="R4226">
        <v>1</v>
      </c>
      <c r="S4226">
        <v>0</v>
      </c>
      <c r="T4226">
        <v>0</v>
      </c>
      <c r="U4226">
        <v>0</v>
      </c>
      <c r="V4226">
        <v>0</v>
      </c>
      <c r="W4226">
        <v>1</v>
      </c>
      <c r="X4226" s="21">
        <v>0</v>
      </c>
      <c r="Y4226" s="21">
        <v>0</v>
      </c>
      <c r="Z4226" s="21">
        <v>0</v>
      </c>
      <c r="AA4226" s="21">
        <v>0</v>
      </c>
      <c r="AB4226" s="21">
        <v>0</v>
      </c>
      <c r="AC4226" s="21">
        <v>0</v>
      </c>
      <c r="AD4226" s="21">
        <v>0</v>
      </c>
      <c r="AE4226" s="21">
        <v>0</v>
      </c>
      <c r="AF4226">
        <v>0</v>
      </c>
      <c r="AG4226">
        <v>0</v>
      </c>
      <c r="AH4226">
        <v>96</v>
      </c>
      <c r="AJ4226" t="s">
        <v>54</v>
      </c>
      <c r="AK4226" t="s">
        <v>95</v>
      </c>
      <c r="AL4226" t="s">
        <v>1396</v>
      </c>
      <c r="AM4226" s="18"/>
      <c r="AP4226" t="s">
        <v>951</v>
      </c>
    </row>
    <row r="4227" spans="1:42">
      <c r="A4227" s="16">
        <v>43843</v>
      </c>
      <c r="B4227">
        <v>1</v>
      </c>
      <c r="C4227">
        <v>986</v>
      </c>
      <c r="D4227">
        <v>14637</v>
      </c>
      <c r="E4227" t="s">
        <v>112</v>
      </c>
      <c r="F4227" t="s">
        <v>949</v>
      </c>
      <c r="G4227">
        <v>2</v>
      </c>
      <c r="H4227">
        <v>161</v>
      </c>
      <c r="I4227" s="25">
        <v>2500</v>
      </c>
      <c r="K4227" t="s">
        <v>156</v>
      </c>
      <c r="L4227" t="s">
        <v>114</v>
      </c>
      <c r="N4227" t="s">
        <v>40</v>
      </c>
      <c r="O4227">
        <v>26</v>
      </c>
      <c r="Q4227">
        <v>1</v>
      </c>
      <c r="R4227">
        <v>1</v>
      </c>
      <c r="S4227">
        <v>0</v>
      </c>
      <c r="T4227">
        <v>0</v>
      </c>
      <c r="U4227">
        <v>0</v>
      </c>
      <c r="V4227">
        <v>1</v>
      </c>
      <c r="W4227">
        <v>0</v>
      </c>
      <c r="X4227" s="21">
        <v>0</v>
      </c>
      <c r="Y4227" s="21">
        <v>0</v>
      </c>
      <c r="Z4227" s="21">
        <v>0</v>
      </c>
      <c r="AA4227" s="21">
        <v>0</v>
      </c>
      <c r="AB4227" s="21">
        <v>0</v>
      </c>
      <c r="AC4227" s="21">
        <v>0</v>
      </c>
      <c r="AD4227" s="21">
        <v>0</v>
      </c>
      <c r="AE4227" s="21">
        <v>0</v>
      </c>
      <c r="AF4227">
        <v>0</v>
      </c>
      <c r="AG4227">
        <v>0</v>
      </c>
      <c r="AH4227">
        <v>64</v>
      </c>
      <c r="AJ4227" t="s">
        <v>51</v>
      </c>
      <c r="AK4227" t="s">
        <v>95</v>
      </c>
      <c r="AM4227" s="18"/>
      <c r="AP4227" t="s">
        <v>951</v>
      </c>
    </row>
    <row r="4228" spans="1:42">
      <c r="A4228" s="16">
        <v>43843</v>
      </c>
      <c r="B4228">
        <v>1</v>
      </c>
      <c r="C4228">
        <v>986</v>
      </c>
      <c r="D4228">
        <v>14637</v>
      </c>
      <c r="E4228" t="s">
        <v>112</v>
      </c>
      <c r="F4228" t="s">
        <v>949</v>
      </c>
      <c r="G4228">
        <v>2</v>
      </c>
      <c r="H4228">
        <v>162</v>
      </c>
      <c r="I4228" s="25">
        <v>2500</v>
      </c>
      <c r="K4228" t="s">
        <v>156</v>
      </c>
      <c r="L4228" t="s">
        <v>114</v>
      </c>
      <c r="N4228" t="s">
        <v>40</v>
      </c>
      <c r="O4228">
        <v>36</v>
      </c>
      <c r="Q4228">
        <v>1</v>
      </c>
      <c r="R4228">
        <v>1</v>
      </c>
      <c r="S4228">
        <v>0</v>
      </c>
      <c r="T4228">
        <v>0</v>
      </c>
      <c r="U4228">
        <v>0</v>
      </c>
      <c r="V4228">
        <v>1</v>
      </c>
      <c r="W4228">
        <v>0</v>
      </c>
      <c r="X4228" s="21">
        <v>0</v>
      </c>
      <c r="Y4228" s="21">
        <v>0</v>
      </c>
      <c r="Z4228" s="21">
        <v>0</v>
      </c>
      <c r="AA4228" s="21">
        <v>0</v>
      </c>
      <c r="AB4228" s="21">
        <v>0</v>
      </c>
      <c r="AC4228" s="21">
        <v>0</v>
      </c>
      <c r="AD4228" s="21">
        <v>0</v>
      </c>
      <c r="AE4228" s="21">
        <v>0</v>
      </c>
      <c r="AF4228">
        <v>0</v>
      </c>
      <c r="AG4228">
        <v>0</v>
      </c>
      <c r="AH4228">
        <v>64</v>
      </c>
      <c r="AJ4228" t="s">
        <v>51</v>
      </c>
      <c r="AK4228" t="s">
        <v>95</v>
      </c>
      <c r="AM4228" s="18"/>
      <c r="AP4228" t="s">
        <v>951</v>
      </c>
    </row>
    <row r="4229" spans="1:42">
      <c r="A4229" s="16">
        <v>43843</v>
      </c>
      <c r="B4229">
        <v>1</v>
      </c>
      <c r="C4229">
        <v>986</v>
      </c>
      <c r="D4229">
        <v>14637</v>
      </c>
      <c r="E4229" t="s">
        <v>112</v>
      </c>
      <c r="F4229" t="s">
        <v>949</v>
      </c>
      <c r="G4229">
        <v>2</v>
      </c>
      <c r="H4229">
        <v>163</v>
      </c>
      <c r="I4229" s="25">
        <v>2500</v>
      </c>
      <c r="K4229" t="s">
        <v>156</v>
      </c>
      <c r="L4229" t="s">
        <v>114</v>
      </c>
      <c r="N4229" t="s">
        <v>40</v>
      </c>
      <c r="O4229">
        <v>29</v>
      </c>
      <c r="Q4229">
        <v>2</v>
      </c>
      <c r="R4229">
        <v>1</v>
      </c>
      <c r="S4229">
        <v>0</v>
      </c>
      <c r="T4229">
        <v>0</v>
      </c>
      <c r="U4229">
        <v>0</v>
      </c>
      <c r="V4229">
        <v>0</v>
      </c>
      <c r="W4229">
        <v>2</v>
      </c>
      <c r="X4229" s="21">
        <v>0</v>
      </c>
      <c r="Y4229" s="21">
        <v>0</v>
      </c>
      <c r="Z4229" s="21">
        <v>0</v>
      </c>
      <c r="AA4229" s="21">
        <v>0</v>
      </c>
      <c r="AB4229" s="21">
        <v>0</v>
      </c>
      <c r="AC4229" s="21">
        <v>0</v>
      </c>
      <c r="AD4229" s="21">
        <v>0</v>
      </c>
      <c r="AE4229" s="21">
        <v>0</v>
      </c>
      <c r="AF4229">
        <v>0</v>
      </c>
      <c r="AG4229">
        <v>0</v>
      </c>
      <c r="AH4229">
        <v>192</v>
      </c>
      <c r="AJ4229" t="s">
        <v>51</v>
      </c>
      <c r="AK4229" t="s">
        <v>95</v>
      </c>
      <c r="AM4229" s="18"/>
      <c r="AP4229" t="s">
        <v>951</v>
      </c>
    </row>
    <row r="4230" spans="1:42">
      <c r="A4230" s="16">
        <v>43843</v>
      </c>
      <c r="B4230">
        <v>1</v>
      </c>
      <c r="C4230">
        <v>986</v>
      </c>
      <c r="D4230">
        <v>14637</v>
      </c>
      <c r="E4230" t="s">
        <v>112</v>
      </c>
      <c r="F4230" t="s">
        <v>949</v>
      </c>
      <c r="G4230">
        <v>2</v>
      </c>
      <c r="H4230">
        <v>164</v>
      </c>
      <c r="I4230" s="25">
        <v>2520</v>
      </c>
      <c r="K4230" t="s">
        <v>156</v>
      </c>
      <c r="N4230" t="s">
        <v>44</v>
      </c>
      <c r="O4230">
        <v>50</v>
      </c>
      <c r="Q4230">
        <v>1</v>
      </c>
      <c r="R4230">
        <v>1</v>
      </c>
      <c r="S4230">
        <v>0</v>
      </c>
      <c r="T4230">
        <v>0</v>
      </c>
      <c r="U4230">
        <v>0</v>
      </c>
      <c r="V4230">
        <v>0</v>
      </c>
      <c r="W4230">
        <v>1</v>
      </c>
      <c r="X4230" s="21">
        <v>0</v>
      </c>
      <c r="Y4230" s="21">
        <v>0</v>
      </c>
      <c r="Z4230" s="21">
        <v>0</v>
      </c>
      <c r="AA4230" s="21">
        <v>0</v>
      </c>
      <c r="AB4230" s="21">
        <v>0</v>
      </c>
      <c r="AC4230" s="21">
        <v>0</v>
      </c>
      <c r="AD4230" s="21">
        <v>0</v>
      </c>
      <c r="AE4230" s="21">
        <v>0</v>
      </c>
      <c r="AF4230">
        <v>0</v>
      </c>
      <c r="AG4230">
        <v>0</v>
      </c>
      <c r="AH4230">
        <v>96</v>
      </c>
      <c r="AJ4230" t="s">
        <v>51</v>
      </c>
      <c r="AK4230" t="s">
        <v>95</v>
      </c>
      <c r="AM4230" s="18"/>
      <c r="AP4230" t="s">
        <v>951</v>
      </c>
    </row>
    <row r="4231" spans="1:42">
      <c r="A4231" s="16">
        <v>43843</v>
      </c>
      <c r="B4231">
        <v>1</v>
      </c>
      <c r="C4231">
        <v>986</v>
      </c>
      <c r="D4231">
        <v>14637</v>
      </c>
      <c r="E4231" t="s">
        <v>112</v>
      </c>
      <c r="F4231" t="s">
        <v>949</v>
      </c>
      <c r="G4231">
        <v>2</v>
      </c>
      <c r="H4231">
        <v>165</v>
      </c>
      <c r="I4231" s="25">
        <v>2500</v>
      </c>
      <c r="K4231" t="s">
        <v>156</v>
      </c>
      <c r="L4231" t="s">
        <v>114</v>
      </c>
      <c r="N4231" t="s">
        <v>40</v>
      </c>
      <c r="O4231">
        <v>39</v>
      </c>
      <c r="Q4231">
        <v>1</v>
      </c>
      <c r="R4231">
        <v>1</v>
      </c>
      <c r="S4231">
        <v>0</v>
      </c>
      <c r="T4231">
        <v>0</v>
      </c>
      <c r="U4231">
        <v>0</v>
      </c>
      <c r="V4231">
        <v>1</v>
      </c>
      <c r="W4231">
        <v>0</v>
      </c>
      <c r="X4231" s="21">
        <v>0</v>
      </c>
      <c r="Y4231" s="21">
        <v>0</v>
      </c>
      <c r="Z4231" s="21">
        <v>0</v>
      </c>
      <c r="AA4231" s="21">
        <v>0</v>
      </c>
      <c r="AB4231" s="21">
        <v>0</v>
      </c>
      <c r="AC4231" s="21">
        <v>0</v>
      </c>
      <c r="AD4231" s="21">
        <v>0</v>
      </c>
      <c r="AE4231" s="21">
        <v>0</v>
      </c>
      <c r="AF4231">
        <v>0</v>
      </c>
      <c r="AG4231">
        <v>0</v>
      </c>
      <c r="AH4231">
        <v>64</v>
      </c>
      <c r="AJ4231" t="s">
        <v>51</v>
      </c>
      <c r="AK4231" t="s">
        <v>52</v>
      </c>
      <c r="AM4231" s="18"/>
      <c r="AP4231" t="s">
        <v>951</v>
      </c>
    </row>
    <row r="4232" spans="1:42">
      <c r="A4232" s="16">
        <v>43843</v>
      </c>
      <c r="B4232">
        <v>1</v>
      </c>
      <c r="C4232">
        <v>986</v>
      </c>
      <c r="D4232">
        <v>14637</v>
      </c>
      <c r="E4232" t="s">
        <v>112</v>
      </c>
      <c r="F4232" t="s">
        <v>949</v>
      </c>
      <c r="G4232">
        <v>2</v>
      </c>
      <c r="H4232">
        <v>166</v>
      </c>
      <c r="I4232" s="25">
        <v>2580</v>
      </c>
      <c r="K4232" t="s">
        <v>156</v>
      </c>
      <c r="L4232" t="s">
        <v>114</v>
      </c>
      <c r="N4232" t="s">
        <v>42</v>
      </c>
      <c r="O4232">
        <v>79</v>
      </c>
      <c r="Q4232">
        <v>2</v>
      </c>
      <c r="R4232">
        <v>1</v>
      </c>
      <c r="S4232">
        <v>0</v>
      </c>
      <c r="T4232">
        <v>0</v>
      </c>
      <c r="U4232">
        <v>1</v>
      </c>
      <c r="V4232">
        <v>0</v>
      </c>
      <c r="W4232">
        <v>1</v>
      </c>
      <c r="X4232" s="21">
        <v>0</v>
      </c>
      <c r="Y4232" s="21">
        <v>0</v>
      </c>
      <c r="Z4232" s="21">
        <v>0</v>
      </c>
      <c r="AA4232" s="21">
        <v>0</v>
      </c>
      <c r="AB4232" s="21">
        <v>0</v>
      </c>
      <c r="AC4232" s="21">
        <v>0</v>
      </c>
      <c r="AD4232" s="21">
        <v>0</v>
      </c>
      <c r="AE4232" s="21">
        <v>0</v>
      </c>
      <c r="AF4232">
        <v>0</v>
      </c>
      <c r="AG4232">
        <v>0</v>
      </c>
      <c r="AH4232">
        <v>128</v>
      </c>
      <c r="AJ4232" t="s">
        <v>51</v>
      </c>
      <c r="AK4232" t="s">
        <v>95</v>
      </c>
      <c r="AL4232" t="s">
        <v>618</v>
      </c>
      <c r="AM4232" s="18"/>
      <c r="AP4232" t="s">
        <v>951</v>
      </c>
    </row>
    <row r="4233" spans="1:42">
      <c r="A4233" s="16">
        <v>43843</v>
      </c>
      <c r="B4233">
        <v>1</v>
      </c>
      <c r="C4233">
        <v>986</v>
      </c>
      <c r="D4233">
        <v>14637</v>
      </c>
      <c r="E4233" t="s">
        <v>112</v>
      </c>
      <c r="F4233" t="s">
        <v>949</v>
      </c>
      <c r="G4233">
        <v>2</v>
      </c>
      <c r="H4233">
        <v>167</v>
      </c>
      <c r="I4233" s="25">
        <v>2960</v>
      </c>
      <c r="K4233" t="s">
        <v>148</v>
      </c>
      <c r="N4233" t="s">
        <v>44</v>
      </c>
      <c r="O4233">
        <v>67</v>
      </c>
      <c r="Q4233">
        <v>2</v>
      </c>
      <c r="R4233">
        <v>1</v>
      </c>
      <c r="S4233">
        <v>0</v>
      </c>
      <c r="T4233">
        <v>0</v>
      </c>
      <c r="U4233">
        <v>0</v>
      </c>
      <c r="V4233">
        <v>0</v>
      </c>
      <c r="W4233">
        <v>2</v>
      </c>
      <c r="X4233" s="21">
        <v>0</v>
      </c>
      <c r="Y4233" s="21">
        <v>0</v>
      </c>
      <c r="Z4233" s="21">
        <v>0</v>
      </c>
      <c r="AA4233" s="21">
        <v>0</v>
      </c>
      <c r="AB4233" s="21">
        <v>0</v>
      </c>
      <c r="AC4233" s="21">
        <v>0</v>
      </c>
      <c r="AD4233" s="21">
        <v>0</v>
      </c>
      <c r="AE4233" s="21">
        <v>0</v>
      </c>
      <c r="AF4233">
        <v>0</v>
      </c>
      <c r="AG4233">
        <v>0</v>
      </c>
      <c r="AH4233">
        <v>192</v>
      </c>
      <c r="AJ4233" t="s">
        <v>51</v>
      </c>
      <c r="AK4233" t="s">
        <v>52</v>
      </c>
      <c r="AL4233" t="s">
        <v>1427</v>
      </c>
      <c r="AM4233" s="18"/>
      <c r="AP4233" t="s">
        <v>951</v>
      </c>
    </row>
    <row r="4234" spans="1:42">
      <c r="A4234" s="16">
        <v>43843</v>
      </c>
      <c r="B4234">
        <v>1</v>
      </c>
      <c r="C4234">
        <v>986</v>
      </c>
      <c r="D4234">
        <v>14637</v>
      </c>
      <c r="E4234" t="s">
        <v>112</v>
      </c>
      <c r="F4234" t="s">
        <v>949</v>
      </c>
      <c r="G4234">
        <v>2</v>
      </c>
      <c r="H4234">
        <v>168</v>
      </c>
      <c r="I4234" s="25">
        <v>2500</v>
      </c>
      <c r="K4234" t="s">
        <v>148</v>
      </c>
      <c r="L4234" t="s">
        <v>141</v>
      </c>
      <c r="N4234" t="s">
        <v>40</v>
      </c>
      <c r="O4234">
        <v>55</v>
      </c>
      <c r="Q4234">
        <v>2</v>
      </c>
      <c r="R4234">
        <v>1</v>
      </c>
      <c r="S4234">
        <v>0</v>
      </c>
      <c r="T4234">
        <v>0</v>
      </c>
      <c r="U4234">
        <v>0</v>
      </c>
      <c r="V4234">
        <v>0</v>
      </c>
      <c r="W4234">
        <v>2</v>
      </c>
      <c r="X4234" s="21">
        <v>0</v>
      </c>
      <c r="Y4234" s="21">
        <v>0</v>
      </c>
      <c r="Z4234" s="21">
        <v>0</v>
      </c>
      <c r="AA4234" s="21">
        <v>0</v>
      </c>
      <c r="AB4234" s="21">
        <v>0</v>
      </c>
      <c r="AC4234" s="21">
        <v>0</v>
      </c>
      <c r="AD4234" s="21">
        <v>0</v>
      </c>
      <c r="AE4234" s="21">
        <v>0</v>
      </c>
      <c r="AF4234">
        <v>0</v>
      </c>
      <c r="AG4234">
        <v>0</v>
      </c>
      <c r="AH4234">
        <v>192</v>
      </c>
      <c r="AJ4234" t="s">
        <v>51</v>
      </c>
      <c r="AK4234" t="s">
        <v>95</v>
      </c>
      <c r="AL4234" t="s">
        <v>1428</v>
      </c>
      <c r="AM4234" s="18"/>
      <c r="AP4234" t="s">
        <v>951</v>
      </c>
    </row>
    <row r="4235" spans="1:42">
      <c r="A4235" s="16">
        <v>43843</v>
      </c>
      <c r="B4235">
        <v>1</v>
      </c>
      <c r="C4235">
        <v>986</v>
      </c>
      <c r="D4235">
        <v>14637</v>
      </c>
      <c r="E4235" t="s">
        <v>112</v>
      </c>
      <c r="F4235" t="s">
        <v>949</v>
      </c>
      <c r="G4235">
        <v>2</v>
      </c>
      <c r="H4235">
        <v>169</v>
      </c>
      <c r="I4235" s="25">
        <v>2500</v>
      </c>
      <c r="K4235" t="s">
        <v>148</v>
      </c>
      <c r="L4235" t="s">
        <v>141</v>
      </c>
      <c r="N4235" t="s">
        <v>40</v>
      </c>
      <c r="O4235">
        <v>25</v>
      </c>
      <c r="Q4235">
        <v>1</v>
      </c>
      <c r="R4235">
        <v>1</v>
      </c>
      <c r="S4235">
        <v>0</v>
      </c>
      <c r="T4235">
        <v>0</v>
      </c>
      <c r="U4235">
        <v>1</v>
      </c>
      <c r="V4235">
        <v>0</v>
      </c>
      <c r="W4235">
        <v>0</v>
      </c>
      <c r="X4235" s="21">
        <v>0</v>
      </c>
      <c r="Y4235" s="21">
        <v>0</v>
      </c>
      <c r="Z4235" s="21">
        <v>0</v>
      </c>
      <c r="AA4235" s="21">
        <v>0</v>
      </c>
      <c r="AB4235" s="21">
        <v>0</v>
      </c>
      <c r="AC4235" s="21">
        <v>0</v>
      </c>
      <c r="AD4235" s="21">
        <v>0</v>
      </c>
      <c r="AE4235" s="21">
        <v>0</v>
      </c>
      <c r="AF4235">
        <v>0</v>
      </c>
      <c r="AG4235">
        <v>0</v>
      </c>
      <c r="AH4235">
        <v>32</v>
      </c>
      <c r="AJ4235" t="s">
        <v>51</v>
      </c>
      <c r="AK4235" t="s">
        <v>95</v>
      </c>
      <c r="AM4235" s="18"/>
      <c r="AP4235" t="s">
        <v>951</v>
      </c>
    </row>
    <row r="4236" spans="1:42">
      <c r="A4236" s="16">
        <v>43843</v>
      </c>
      <c r="B4236">
        <v>1</v>
      </c>
      <c r="C4236">
        <v>986</v>
      </c>
      <c r="D4236">
        <v>14637</v>
      </c>
      <c r="E4236" t="s">
        <v>112</v>
      </c>
      <c r="F4236" t="s">
        <v>949</v>
      </c>
      <c r="G4236">
        <v>2</v>
      </c>
      <c r="H4236">
        <v>170</v>
      </c>
      <c r="I4236" s="25">
        <v>2500</v>
      </c>
      <c r="K4236" t="s">
        <v>148</v>
      </c>
      <c r="L4236" t="s">
        <v>141</v>
      </c>
      <c r="N4236" t="s">
        <v>40</v>
      </c>
      <c r="O4236">
        <v>74</v>
      </c>
      <c r="Q4236">
        <v>3</v>
      </c>
      <c r="R4236">
        <v>1</v>
      </c>
      <c r="S4236">
        <v>0</v>
      </c>
      <c r="T4236">
        <v>0</v>
      </c>
      <c r="U4236">
        <v>2</v>
      </c>
      <c r="V4236">
        <v>0</v>
      </c>
      <c r="W4236">
        <v>1</v>
      </c>
      <c r="X4236" s="21">
        <v>0</v>
      </c>
      <c r="Y4236" s="21">
        <v>0</v>
      </c>
      <c r="Z4236" s="21">
        <v>0</v>
      </c>
      <c r="AA4236" s="21">
        <v>0</v>
      </c>
      <c r="AB4236" s="21">
        <v>0</v>
      </c>
      <c r="AC4236" s="21">
        <v>0</v>
      </c>
      <c r="AD4236" s="21">
        <v>0</v>
      </c>
      <c r="AE4236" s="21">
        <v>0</v>
      </c>
      <c r="AF4236">
        <v>0</v>
      </c>
      <c r="AG4236">
        <v>0</v>
      </c>
      <c r="AH4236">
        <v>160</v>
      </c>
      <c r="AJ4236" t="s">
        <v>51</v>
      </c>
      <c r="AK4236" t="s">
        <v>95</v>
      </c>
      <c r="AM4236" s="18"/>
      <c r="AP4236" t="s">
        <v>951</v>
      </c>
    </row>
    <row r="4237" spans="1:42">
      <c r="A4237" s="16">
        <v>43843</v>
      </c>
      <c r="B4237">
        <v>1</v>
      </c>
      <c r="C4237">
        <v>986</v>
      </c>
      <c r="D4237">
        <v>14637</v>
      </c>
      <c r="E4237" t="s">
        <v>112</v>
      </c>
      <c r="F4237" t="s">
        <v>949</v>
      </c>
      <c r="G4237">
        <v>2</v>
      </c>
      <c r="H4237">
        <v>171</v>
      </c>
      <c r="I4237" s="25">
        <v>2500</v>
      </c>
      <c r="K4237" t="s">
        <v>148</v>
      </c>
      <c r="L4237" t="s">
        <v>141</v>
      </c>
      <c r="N4237" t="s">
        <v>40</v>
      </c>
      <c r="O4237">
        <v>17</v>
      </c>
      <c r="Q4237">
        <v>1</v>
      </c>
      <c r="R4237">
        <v>1</v>
      </c>
      <c r="S4237">
        <v>0</v>
      </c>
      <c r="T4237">
        <v>0</v>
      </c>
      <c r="U4237">
        <v>1</v>
      </c>
      <c r="V4237">
        <v>0</v>
      </c>
      <c r="W4237">
        <v>0</v>
      </c>
      <c r="X4237" s="21">
        <v>0</v>
      </c>
      <c r="Y4237" s="21">
        <v>0</v>
      </c>
      <c r="Z4237" s="21">
        <v>0</v>
      </c>
      <c r="AA4237" s="21">
        <v>0</v>
      </c>
      <c r="AB4237" s="21">
        <v>0</v>
      </c>
      <c r="AC4237" s="21">
        <v>0</v>
      </c>
      <c r="AD4237" s="21">
        <v>0</v>
      </c>
      <c r="AE4237" s="21">
        <v>0</v>
      </c>
      <c r="AF4237">
        <v>0</v>
      </c>
      <c r="AG4237">
        <v>0</v>
      </c>
      <c r="AH4237">
        <v>32</v>
      </c>
      <c r="AJ4237" t="s">
        <v>51</v>
      </c>
      <c r="AK4237" t="s">
        <v>95</v>
      </c>
      <c r="AM4237" s="18"/>
      <c r="AP4237" t="s">
        <v>951</v>
      </c>
    </row>
    <row r="4238" spans="1:42">
      <c r="A4238" s="16">
        <v>43843</v>
      </c>
      <c r="B4238">
        <v>1</v>
      </c>
      <c r="C4238">
        <v>986</v>
      </c>
      <c r="D4238">
        <v>14637</v>
      </c>
      <c r="E4238" t="s">
        <v>112</v>
      </c>
      <c r="F4238" t="s">
        <v>949</v>
      </c>
      <c r="G4238">
        <v>2</v>
      </c>
      <c r="H4238">
        <v>172</v>
      </c>
      <c r="I4238" s="25">
        <v>2500</v>
      </c>
      <c r="K4238" t="s">
        <v>148</v>
      </c>
      <c r="L4238" t="s">
        <v>141</v>
      </c>
      <c r="N4238" t="s">
        <v>40</v>
      </c>
      <c r="O4238">
        <v>37</v>
      </c>
      <c r="Q4238">
        <v>2</v>
      </c>
      <c r="R4238">
        <v>1</v>
      </c>
      <c r="S4238">
        <v>0</v>
      </c>
      <c r="T4238">
        <v>0</v>
      </c>
      <c r="U4238">
        <v>0</v>
      </c>
      <c r="V4238">
        <v>2</v>
      </c>
      <c r="W4238">
        <v>0</v>
      </c>
      <c r="X4238" s="21">
        <v>0</v>
      </c>
      <c r="Y4238" s="21">
        <v>0</v>
      </c>
      <c r="Z4238" s="21">
        <v>0</v>
      </c>
      <c r="AA4238" s="21">
        <v>0</v>
      </c>
      <c r="AB4238" s="21">
        <v>0</v>
      </c>
      <c r="AC4238" s="21">
        <v>0</v>
      </c>
      <c r="AD4238" s="21">
        <v>0</v>
      </c>
      <c r="AE4238" s="21">
        <v>0</v>
      </c>
      <c r="AF4238">
        <v>0</v>
      </c>
      <c r="AG4238">
        <v>0</v>
      </c>
      <c r="AH4238">
        <v>128</v>
      </c>
      <c r="AJ4238" t="s">
        <v>51</v>
      </c>
      <c r="AK4238" t="s">
        <v>95</v>
      </c>
      <c r="AM4238" s="18"/>
      <c r="AP4238" t="s">
        <v>951</v>
      </c>
    </row>
    <row r="4239" spans="1:42">
      <c r="A4239" s="16">
        <v>43843</v>
      </c>
      <c r="B4239">
        <v>1</v>
      </c>
      <c r="C4239">
        <v>986</v>
      </c>
      <c r="D4239">
        <v>14637</v>
      </c>
      <c r="E4239" t="s">
        <v>112</v>
      </c>
      <c r="F4239" t="s">
        <v>949</v>
      </c>
      <c r="G4239">
        <v>2</v>
      </c>
      <c r="H4239">
        <v>173</v>
      </c>
      <c r="I4239" s="25">
        <v>2500</v>
      </c>
      <c r="K4239" t="s">
        <v>148</v>
      </c>
      <c r="L4239" t="s">
        <v>141</v>
      </c>
      <c r="N4239" t="s">
        <v>40</v>
      </c>
      <c r="O4239">
        <v>26</v>
      </c>
      <c r="Q4239">
        <v>1</v>
      </c>
      <c r="R4239">
        <v>1</v>
      </c>
      <c r="S4239">
        <v>0</v>
      </c>
      <c r="T4239">
        <v>0</v>
      </c>
      <c r="U4239">
        <v>1</v>
      </c>
      <c r="V4239">
        <v>0</v>
      </c>
      <c r="W4239">
        <v>0</v>
      </c>
      <c r="X4239" s="21">
        <v>0</v>
      </c>
      <c r="Y4239" s="21">
        <v>0</v>
      </c>
      <c r="Z4239" s="21">
        <v>0</v>
      </c>
      <c r="AA4239" s="21">
        <v>0</v>
      </c>
      <c r="AB4239" s="21">
        <v>0</v>
      </c>
      <c r="AC4239" s="21">
        <v>0</v>
      </c>
      <c r="AD4239" s="21">
        <v>0</v>
      </c>
      <c r="AE4239" s="21">
        <v>0</v>
      </c>
      <c r="AF4239">
        <v>0</v>
      </c>
      <c r="AG4239">
        <v>0</v>
      </c>
      <c r="AH4239">
        <v>32</v>
      </c>
      <c r="AJ4239" t="s">
        <v>51</v>
      </c>
      <c r="AK4239" t="s">
        <v>95</v>
      </c>
      <c r="AM4239" s="18"/>
      <c r="AP4239" t="s">
        <v>951</v>
      </c>
    </row>
    <row r="4240" spans="1:42">
      <c r="A4240" s="16">
        <v>43843</v>
      </c>
      <c r="B4240">
        <v>1</v>
      </c>
      <c r="C4240">
        <v>986</v>
      </c>
      <c r="D4240">
        <v>14637</v>
      </c>
      <c r="E4240" t="s">
        <v>112</v>
      </c>
      <c r="F4240" t="s">
        <v>949</v>
      </c>
      <c r="G4240">
        <v>2</v>
      </c>
      <c r="H4240">
        <v>174</v>
      </c>
      <c r="I4240" s="25">
        <v>2500</v>
      </c>
      <c r="K4240" t="s">
        <v>148</v>
      </c>
      <c r="L4240" t="s">
        <v>141</v>
      </c>
      <c r="N4240" t="s">
        <v>40</v>
      </c>
      <c r="O4240">
        <v>59</v>
      </c>
      <c r="Q4240">
        <v>2</v>
      </c>
      <c r="R4240">
        <v>1</v>
      </c>
      <c r="S4240">
        <v>0</v>
      </c>
      <c r="T4240">
        <v>0</v>
      </c>
      <c r="U4240">
        <v>0</v>
      </c>
      <c r="V4240">
        <v>2</v>
      </c>
      <c r="W4240">
        <v>0</v>
      </c>
      <c r="X4240" s="21">
        <v>0</v>
      </c>
      <c r="Y4240" s="21">
        <v>0</v>
      </c>
      <c r="Z4240" s="21">
        <v>0</v>
      </c>
      <c r="AA4240" s="21">
        <v>0</v>
      </c>
      <c r="AB4240" s="21">
        <v>0</v>
      </c>
      <c r="AC4240" s="21">
        <v>0</v>
      </c>
      <c r="AD4240" s="21">
        <v>0</v>
      </c>
      <c r="AE4240" s="21">
        <v>0</v>
      </c>
      <c r="AF4240">
        <v>0</v>
      </c>
      <c r="AG4240">
        <v>0</v>
      </c>
      <c r="AH4240">
        <v>128</v>
      </c>
      <c r="AJ4240" t="s">
        <v>51</v>
      </c>
      <c r="AK4240" t="s">
        <v>95</v>
      </c>
      <c r="AM4240" s="18"/>
      <c r="AP4240" t="s">
        <v>951</v>
      </c>
    </row>
    <row r="4241" spans="1:42">
      <c r="A4241" s="16">
        <v>43843</v>
      </c>
      <c r="B4241">
        <v>1</v>
      </c>
      <c r="C4241">
        <v>986</v>
      </c>
      <c r="D4241">
        <v>14637</v>
      </c>
      <c r="E4241" t="s">
        <v>112</v>
      </c>
      <c r="F4241" t="s">
        <v>949</v>
      </c>
      <c r="G4241">
        <v>2</v>
      </c>
      <c r="H4241">
        <v>175</v>
      </c>
      <c r="I4241" s="25">
        <v>2960</v>
      </c>
      <c r="K4241" t="s">
        <v>175</v>
      </c>
      <c r="N4241" t="s">
        <v>44</v>
      </c>
      <c r="O4241">
        <v>68</v>
      </c>
      <c r="Q4241">
        <v>1</v>
      </c>
      <c r="R4241">
        <v>1</v>
      </c>
      <c r="S4241">
        <v>0</v>
      </c>
      <c r="T4241">
        <v>0</v>
      </c>
      <c r="U4241">
        <v>0</v>
      </c>
      <c r="V4241">
        <v>1</v>
      </c>
      <c r="W4241">
        <v>0</v>
      </c>
      <c r="X4241" s="21">
        <v>0</v>
      </c>
      <c r="Y4241" s="21">
        <v>0</v>
      </c>
      <c r="Z4241" s="21">
        <v>0</v>
      </c>
      <c r="AA4241" s="21">
        <v>0</v>
      </c>
      <c r="AB4241" s="21">
        <v>0</v>
      </c>
      <c r="AC4241" s="21">
        <v>0</v>
      </c>
      <c r="AD4241" s="21">
        <v>0</v>
      </c>
      <c r="AE4241" s="21">
        <v>0</v>
      </c>
      <c r="AF4241">
        <v>0</v>
      </c>
      <c r="AG4241">
        <v>0</v>
      </c>
      <c r="AH4241">
        <v>64</v>
      </c>
      <c r="AJ4241" t="s">
        <v>51</v>
      </c>
      <c r="AK4241" t="s">
        <v>52</v>
      </c>
      <c r="AL4241" t="s">
        <v>1429</v>
      </c>
      <c r="AM4241" s="18"/>
      <c r="AP4241" t="s">
        <v>951</v>
      </c>
    </row>
    <row r="4242" spans="1:42">
      <c r="A4242" s="16">
        <v>43843</v>
      </c>
      <c r="B4242">
        <v>1</v>
      </c>
      <c r="C4242">
        <v>986</v>
      </c>
      <c r="D4242">
        <v>14637</v>
      </c>
      <c r="E4242" t="s">
        <v>112</v>
      </c>
      <c r="F4242" t="s">
        <v>949</v>
      </c>
      <c r="G4242">
        <v>2</v>
      </c>
      <c r="H4242">
        <v>176</v>
      </c>
      <c r="I4242" s="25">
        <v>2351</v>
      </c>
      <c r="K4242" t="s">
        <v>175</v>
      </c>
      <c r="N4242" t="s">
        <v>44</v>
      </c>
      <c r="O4242">
        <v>63</v>
      </c>
      <c r="Q4242">
        <v>1</v>
      </c>
      <c r="R4242">
        <v>1</v>
      </c>
      <c r="S4242">
        <v>0</v>
      </c>
      <c r="T4242">
        <v>0</v>
      </c>
      <c r="U4242">
        <v>0</v>
      </c>
      <c r="V4242">
        <v>0</v>
      </c>
      <c r="W4242">
        <v>1</v>
      </c>
      <c r="X4242" s="21">
        <v>0</v>
      </c>
      <c r="Y4242" s="21">
        <v>0</v>
      </c>
      <c r="Z4242" s="21">
        <v>0</v>
      </c>
      <c r="AA4242" s="21">
        <v>0</v>
      </c>
      <c r="AB4242" s="21">
        <v>0</v>
      </c>
      <c r="AC4242" s="21">
        <v>0</v>
      </c>
      <c r="AD4242" s="21">
        <v>0</v>
      </c>
      <c r="AE4242" s="21">
        <v>0</v>
      </c>
      <c r="AF4242">
        <v>0</v>
      </c>
      <c r="AG4242">
        <v>0</v>
      </c>
      <c r="AH4242">
        <v>96</v>
      </c>
      <c r="AJ4242" t="s">
        <v>51</v>
      </c>
      <c r="AK4242" t="s">
        <v>95</v>
      </c>
      <c r="AL4242" t="s">
        <v>1405</v>
      </c>
      <c r="AM4242" s="18"/>
      <c r="AP4242" t="s">
        <v>951</v>
      </c>
    </row>
    <row r="4243" spans="1:42">
      <c r="A4243" s="16">
        <v>43843</v>
      </c>
      <c r="B4243">
        <v>1</v>
      </c>
      <c r="C4243">
        <v>986</v>
      </c>
      <c r="D4243">
        <v>14637</v>
      </c>
      <c r="E4243" t="s">
        <v>112</v>
      </c>
      <c r="F4243" t="s">
        <v>949</v>
      </c>
      <c r="G4243">
        <v>2</v>
      </c>
      <c r="H4243">
        <v>177</v>
      </c>
      <c r="I4243" s="25">
        <v>2345</v>
      </c>
      <c r="K4243" t="s">
        <v>175</v>
      </c>
      <c r="N4243" t="s">
        <v>44</v>
      </c>
      <c r="O4243">
        <v>250</v>
      </c>
      <c r="Q4243">
        <v>4</v>
      </c>
      <c r="R4243">
        <v>1</v>
      </c>
      <c r="S4243">
        <v>0</v>
      </c>
      <c r="T4243">
        <v>0</v>
      </c>
      <c r="U4243">
        <v>0</v>
      </c>
      <c r="V4243">
        <v>0</v>
      </c>
      <c r="W4243">
        <v>4</v>
      </c>
      <c r="X4243" s="21">
        <v>0</v>
      </c>
      <c r="Y4243" s="21">
        <v>0</v>
      </c>
      <c r="Z4243" s="21">
        <v>0</v>
      </c>
      <c r="AA4243" s="21">
        <v>0</v>
      </c>
      <c r="AB4243" s="21">
        <v>0</v>
      </c>
      <c r="AC4243" s="21">
        <v>0</v>
      </c>
      <c r="AD4243" s="21">
        <v>0</v>
      </c>
      <c r="AE4243" s="21">
        <v>0</v>
      </c>
      <c r="AF4243">
        <v>0</v>
      </c>
      <c r="AG4243">
        <v>0</v>
      </c>
      <c r="AH4243">
        <v>384</v>
      </c>
      <c r="AJ4243" t="s">
        <v>51</v>
      </c>
      <c r="AK4243" t="s">
        <v>95</v>
      </c>
      <c r="AL4243" t="s">
        <v>1430</v>
      </c>
      <c r="AM4243" s="18"/>
      <c r="AP4243" t="s">
        <v>951</v>
      </c>
    </row>
    <row r="4244" spans="1:42">
      <c r="A4244" s="16">
        <v>43843</v>
      </c>
      <c r="B4244">
        <v>1</v>
      </c>
      <c r="C4244">
        <v>986</v>
      </c>
      <c r="D4244">
        <v>14637</v>
      </c>
      <c r="E4244" t="s">
        <v>112</v>
      </c>
      <c r="F4244" t="s">
        <v>949</v>
      </c>
      <c r="G4244">
        <v>2</v>
      </c>
      <c r="H4244">
        <v>178</v>
      </c>
      <c r="I4244" s="25">
        <v>3031</v>
      </c>
      <c r="K4244" t="s">
        <v>113</v>
      </c>
      <c r="N4244" t="s">
        <v>44</v>
      </c>
      <c r="O4244">
        <v>128</v>
      </c>
      <c r="Q4244">
        <v>1</v>
      </c>
      <c r="R4244">
        <v>1</v>
      </c>
      <c r="S4244">
        <v>0</v>
      </c>
      <c r="T4244">
        <v>0</v>
      </c>
      <c r="U4244">
        <v>0</v>
      </c>
      <c r="V4244">
        <v>0</v>
      </c>
      <c r="W4244">
        <v>1</v>
      </c>
      <c r="X4244" s="21">
        <v>0</v>
      </c>
      <c r="Y4244" s="21">
        <v>0</v>
      </c>
      <c r="Z4244" s="21">
        <v>0</v>
      </c>
      <c r="AA4244" s="21">
        <v>0</v>
      </c>
      <c r="AB4244" s="21">
        <v>0</v>
      </c>
      <c r="AC4244" s="21">
        <v>0</v>
      </c>
      <c r="AD4244" s="21">
        <v>0</v>
      </c>
      <c r="AE4244" s="21">
        <v>0</v>
      </c>
      <c r="AF4244">
        <v>0</v>
      </c>
      <c r="AG4244">
        <v>1</v>
      </c>
      <c r="AH4244">
        <v>96</v>
      </c>
      <c r="AJ4244" t="s">
        <v>51</v>
      </c>
      <c r="AK4244" t="s">
        <v>52</v>
      </c>
      <c r="AL4244" t="s">
        <v>1405</v>
      </c>
      <c r="AM4244" s="18"/>
      <c r="AP4244" t="s">
        <v>951</v>
      </c>
    </row>
    <row r="4245" spans="1:42">
      <c r="A4245" s="16">
        <v>43843</v>
      </c>
      <c r="B4245">
        <v>1</v>
      </c>
      <c r="C4245">
        <v>986</v>
      </c>
      <c r="D4245">
        <v>14637</v>
      </c>
      <c r="E4245" t="s">
        <v>112</v>
      </c>
      <c r="F4245" t="s">
        <v>949</v>
      </c>
      <c r="G4245">
        <v>2</v>
      </c>
      <c r="H4245">
        <v>179</v>
      </c>
      <c r="I4245" s="25">
        <v>3025</v>
      </c>
      <c r="K4245" t="s">
        <v>113</v>
      </c>
      <c r="N4245" t="s">
        <v>44</v>
      </c>
      <c r="O4245">
        <v>87</v>
      </c>
      <c r="Q4245">
        <v>1</v>
      </c>
      <c r="R4245">
        <v>1</v>
      </c>
      <c r="S4245">
        <v>0</v>
      </c>
      <c r="T4245">
        <v>0</v>
      </c>
      <c r="U4245">
        <v>0</v>
      </c>
      <c r="V4245">
        <v>0</v>
      </c>
      <c r="W4245">
        <v>1</v>
      </c>
      <c r="X4245" s="21">
        <v>0</v>
      </c>
      <c r="Y4245" s="21">
        <v>0</v>
      </c>
      <c r="Z4245" s="21">
        <v>0</v>
      </c>
      <c r="AA4245" s="21">
        <v>0</v>
      </c>
      <c r="AB4245" s="21">
        <v>0</v>
      </c>
      <c r="AC4245" s="21">
        <v>0</v>
      </c>
      <c r="AD4245" s="21">
        <v>0</v>
      </c>
      <c r="AE4245" s="21">
        <v>0</v>
      </c>
      <c r="AF4245">
        <v>0</v>
      </c>
      <c r="AG4245">
        <v>0</v>
      </c>
      <c r="AH4245">
        <v>96</v>
      </c>
      <c r="AJ4245" t="s">
        <v>51</v>
      </c>
      <c r="AK4245" t="s">
        <v>95</v>
      </c>
      <c r="AM4245" s="18"/>
      <c r="AP4245" t="s">
        <v>951</v>
      </c>
    </row>
    <row r="4246" spans="1:42">
      <c r="A4246" s="16">
        <v>43843</v>
      </c>
      <c r="B4246">
        <v>1</v>
      </c>
      <c r="C4246">
        <v>986</v>
      </c>
      <c r="D4246">
        <v>14637</v>
      </c>
      <c r="E4246" t="s">
        <v>112</v>
      </c>
      <c r="F4246" t="s">
        <v>949</v>
      </c>
      <c r="G4246">
        <v>2</v>
      </c>
      <c r="H4246">
        <v>180</v>
      </c>
      <c r="I4246" s="25">
        <v>3000</v>
      </c>
      <c r="K4246" t="s">
        <v>113</v>
      </c>
      <c r="N4246" t="s">
        <v>40</v>
      </c>
      <c r="O4246">
        <v>57</v>
      </c>
      <c r="Q4246">
        <v>1</v>
      </c>
      <c r="R4246">
        <v>1</v>
      </c>
      <c r="S4246">
        <v>0</v>
      </c>
      <c r="T4246">
        <v>0</v>
      </c>
      <c r="U4246">
        <v>0</v>
      </c>
      <c r="V4246">
        <v>0</v>
      </c>
      <c r="W4246">
        <v>1</v>
      </c>
      <c r="X4246" s="21">
        <v>0</v>
      </c>
      <c r="Y4246" s="21">
        <v>0</v>
      </c>
      <c r="Z4246" s="21">
        <v>0</v>
      </c>
      <c r="AA4246" s="21">
        <v>0</v>
      </c>
      <c r="AB4246" s="21">
        <v>0</v>
      </c>
      <c r="AC4246" s="21">
        <v>0</v>
      </c>
      <c r="AD4246" s="21">
        <v>0</v>
      </c>
      <c r="AE4246" s="21">
        <v>0</v>
      </c>
      <c r="AF4246">
        <v>0</v>
      </c>
      <c r="AG4246">
        <v>0</v>
      </c>
      <c r="AH4246">
        <v>96</v>
      </c>
      <c r="AJ4246" t="s">
        <v>51</v>
      </c>
      <c r="AK4246" t="s">
        <v>52</v>
      </c>
      <c r="AM4246" s="18"/>
      <c r="AP4246" t="s">
        <v>951</v>
      </c>
    </row>
    <row r="4247" spans="1:42">
      <c r="A4247" s="16">
        <v>43843</v>
      </c>
      <c r="B4247">
        <v>1</v>
      </c>
      <c r="C4247">
        <v>986</v>
      </c>
      <c r="D4247">
        <v>14637</v>
      </c>
      <c r="E4247" t="s">
        <v>112</v>
      </c>
      <c r="F4247" t="s">
        <v>949</v>
      </c>
      <c r="G4247">
        <v>2</v>
      </c>
      <c r="H4247">
        <v>181</v>
      </c>
      <c r="I4247" s="25">
        <v>2340</v>
      </c>
      <c r="K4247" t="s">
        <v>156</v>
      </c>
      <c r="N4247" t="s">
        <v>44</v>
      </c>
      <c r="O4247">
        <v>54</v>
      </c>
      <c r="Q4247">
        <v>1</v>
      </c>
      <c r="R4247">
        <v>1</v>
      </c>
      <c r="S4247">
        <v>0</v>
      </c>
      <c r="T4247">
        <v>0</v>
      </c>
      <c r="U4247">
        <v>0</v>
      </c>
      <c r="V4247">
        <v>0</v>
      </c>
      <c r="W4247">
        <v>1</v>
      </c>
      <c r="X4247" s="21">
        <v>0</v>
      </c>
      <c r="Y4247" s="21">
        <v>0</v>
      </c>
      <c r="Z4247" s="21">
        <v>0</v>
      </c>
      <c r="AA4247" s="21">
        <v>0</v>
      </c>
      <c r="AB4247" s="21">
        <v>0</v>
      </c>
      <c r="AC4247" s="21">
        <v>0</v>
      </c>
      <c r="AD4247" s="21">
        <v>0</v>
      </c>
      <c r="AE4247" s="21">
        <v>0</v>
      </c>
      <c r="AF4247">
        <v>0</v>
      </c>
      <c r="AG4247">
        <v>0</v>
      </c>
      <c r="AH4247">
        <v>96</v>
      </c>
      <c r="AJ4247" t="s">
        <v>51</v>
      </c>
      <c r="AK4247" t="s">
        <v>95</v>
      </c>
      <c r="AM4247" s="18"/>
      <c r="AP4247" t="s">
        <v>951</v>
      </c>
    </row>
    <row r="4248" spans="1:42">
      <c r="A4248" s="16">
        <v>43843</v>
      </c>
      <c r="B4248">
        <v>1</v>
      </c>
      <c r="C4248">
        <v>986</v>
      </c>
      <c r="D4248">
        <v>14637</v>
      </c>
      <c r="E4248" t="s">
        <v>112</v>
      </c>
      <c r="F4248" t="s">
        <v>949</v>
      </c>
      <c r="G4248">
        <v>2</v>
      </c>
      <c r="H4248">
        <v>182</v>
      </c>
      <c r="I4248" s="25">
        <v>2450</v>
      </c>
      <c r="K4248" t="s">
        <v>156</v>
      </c>
      <c r="N4248" t="s">
        <v>44</v>
      </c>
      <c r="O4248">
        <v>66</v>
      </c>
      <c r="Q4248">
        <v>1</v>
      </c>
      <c r="R4248">
        <v>1</v>
      </c>
      <c r="S4248">
        <v>0</v>
      </c>
      <c r="T4248">
        <v>0</v>
      </c>
      <c r="U4248">
        <v>0</v>
      </c>
      <c r="V4248">
        <v>0</v>
      </c>
      <c r="W4248">
        <v>1</v>
      </c>
      <c r="X4248" s="21">
        <v>0</v>
      </c>
      <c r="Y4248" s="21">
        <v>0</v>
      </c>
      <c r="Z4248" s="21">
        <v>0</v>
      </c>
      <c r="AA4248" s="21">
        <v>0</v>
      </c>
      <c r="AB4248" s="21">
        <v>0</v>
      </c>
      <c r="AC4248" s="21">
        <v>0</v>
      </c>
      <c r="AD4248" s="21">
        <v>0</v>
      </c>
      <c r="AE4248" s="21">
        <v>0</v>
      </c>
      <c r="AF4248">
        <v>0</v>
      </c>
      <c r="AG4248">
        <v>0</v>
      </c>
      <c r="AH4248">
        <v>96</v>
      </c>
      <c r="AJ4248" t="s">
        <v>54</v>
      </c>
      <c r="AK4248" t="s">
        <v>95</v>
      </c>
      <c r="AM4248" s="18"/>
      <c r="AP4248" t="s">
        <v>951</v>
      </c>
    </row>
    <row r="4249" spans="1:42">
      <c r="A4249" s="16">
        <v>43843</v>
      </c>
      <c r="B4249">
        <v>1</v>
      </c>
      <c r="C4249">
        <v>986</v>
      </c>
      <c r="D4249">
        <v>14637</v>
      </c>
      <c r="E4249" t="s">
        <v>112</v>
      </c>
      <c r="F4249" t="s">
        <v>949</v>
      </c>
      <c r="G4249">
        <v>2</v>
      </c>
      <c r="H4249">
        <v>183</v>
      </c>
      <c r="I4249" s="25">
        <v>2585</v>
      </c>
      <c r="K4249" t="s">
        <v>156</v>
      </c>
      <c r="N4249" t="s">
        <v>44</v>
      </c>
      <c r="O4249">
        <v>82</v>
      </c>
      <c r="Q4249">
        <v>1</v>
      </c>
      <c r="R4249">
        <v>1</v>
      </c>
      <c r="S4249">
        <v>0</v>
      </c>
      <c r="T4249">
        <v>0</v>
      </c>
      <c r="U4249">
        <v>0</v>
      </c>
      <c r="V4249">
        <v>0</v>
      </c>
      <c r="W4249">
        <v>1</v>
      </c>
      <c r="X4249" s="21">
        <v>0</v>
      </c>
      <c r="Y4249" s="21">
        <v>0</v>
      </c>
      <c r="Z4249" s="21">
        <v>0</v>
      </c>
      <c r="AA4249" s="21">
        <v>0</v>
      </c>
      <c r="AB4249" s="21">
        <v>0</v>
      </c>
      <c r="AC4249" s="21">
        <v>0</v>
      </c>
      <c r="AD4249" s="21">
        <v>0</v>
      </c>
      <c r="AE4249" s="21">
        <v>0</v>
      </c>
      <c r="AF4249">
        <v>0</v>
      </c>
      <c r="AG4249">
        <v>0</v>
      </c>
      <c r="AH4249">
        <v>96</v>
      </c>
      <c r="AJ4249" t="s">
        <v>51</v>
      </c>
      <c r="AK4249" t="s">
        <v>95</v>
      </c>
      <c r="AM4249" s="18"/>
      <c r="AP4249" t="s">
        <v>951</v>
      </c>
    </row>
    <row r="4250" spans="1:42">
      <c r="A4250" s="16">
        <v>43843</v>
      </c>
      <c r="B4250">
        <v>1</v>
      </c>
      <c r="C4250">
        <v>986</v>
      </c>
      <c r="D4250">
        <v>14637</v>
      </c>
      <c r="E4250" t="s">
        <v>112</v>
      </c>
      <c r="F4250" t="s">
        <v>949</v>
      </c>
      <c r="G4250">
        <v>2</v>
      </c>
      <c r="H4250">
        <v>184</v>
      </c>
      <c r="I4250" s="25">
        <v>2500</v>
      </c>
      <c r="K4250" t="s">
        <v>156</v>
      </c>
      <c r="L4250" t="s">
        <v>141</v>
      </c>
      <c r="N4250" t="s">
        <v>40</v>
      </c>
      <c r="O4250">
        <v>47</v>
      </c>
      <c r="Q4250">
        <v>1</v>
      </c>
      <c r="R4250">
        <v>1</v>
      </c>
      <c r="S4250">
        <v>0</v>
      </c>
      <c r="T4250">
        <v>0</v>
      </c>
      <c r="U4250">
        <v>1</v>
      </c>
      <c r="V4250">
        <v>1</v>
      </c>
      <c r="W4250">
        <v>0</v>
      </c>
      <c r="X4250" s="21">
        <v>0</v>
      </c>
      <c r="Y4250" s="21">
        <v>0</v>
      </c>
      <c r="Z4250" s="21">
        <v>0</v>
      </c>
      <c r="AA4250" s="21">
        <v>0</v>
      </c>
      <c r="AB4250" s="21">
        <v>0</v>
      </c>
      <c r="AC4250" s="21">
        <v>0</v>
      </c>
      <c r="AD4250" s="21">
        <v>0</v>
      </c>
      <c r="AE4250" s="21">
        <v>0</v>
      </c>
      <c r="AF4250">
        <v>0</v>
      </c>
      <c r="AG4250">
        <v>0</v>
      </c>
      <c r="AH4250">
        <v>96</v>
      </c>
      <c r="AJ4250" t="s">
        <v>51</v>
      </c>
      <c r="AK4250" t="s">
        <v>95</v>
      </c>
      <c r="AM4250" s="18"/>
      <c r="AP4250" t="s">
        <v>951</v>
      </c>
    </row>
    <row r="4251" spans="1:42">
      <c r="A4251" s="16">
        <v>43843</v>
      </c>
      <c r="B4251">
        <v>1</v>
      </c>
      <c r="C4251">
        <v>986</v>
      </c>
      <c r="D4251">
        <v>14637</v>
      </c>
      <c r="E4251" t="s">
        <v>112</v>
      </c>
      <c r="F4251" t="s">
        <v>949</v>
      </c>
      <c r="G4251">
        <v>2</v>
      </c>
      <c r="H4251">
        <v>185</v>
      </c>
      <c r="I4251" s="25">
        <v>2500</v>
      </c>
      <c r="K4251" t="s">
        <v>156</v>
      </c>
      <c r="L4251" t="s">
        <v>141</v>
      </c>
      <c r="N4251" t="s">
        <v>40</v>
      </c>
      <c r="O4251">
        <v>28</v>
      </c>
      <c r="Q4251">
        <v>1</v>
      </c>
      <c r="R4251">
        <v>1</v>
      </c>
      <c r="S4251">
        <v>0</v>
      </c>
      <c r="T4251">
        <v>0</v>
      </c>
      <c r="U4251">
        <v>0</v>
      </c>
      <c r="V4251">
        <v>1</v>
      </c>
      <c r="W4251">
        <v>0</v>
      </c>
      <c r="X4251" s="21">
        <v>0</v>
      </c>
      <c r="Y4251" s="21">
        <v>0</v>
      </c>
      <c r="Z4251" s="21">
        <v>0</v>
      </c>
      <c r="AA4251" s="21">
        <v>0</v>
      </c>
      <c r="AB4251" s="21">
        <v>0</v>
      </c>
      <c r="AC4251" s="21">
        <v>0</v>
      </c>
      <c r="AD4251" s="21">
        <v>0</v>
      </c>
      <c r="AE4251" s="21">
        <v>0</v>
      </c>
      <c r="AF4251">
        <v>0</v>
      </c>
      <c r="AG4251">
        <v>0</v>
      </c>
      <c r="AH4251">
        <v>64</v>
      </c>
      <c r="AJ4251" t="s">
        <v>51</v>
      </c>
      <c r="AK4251" t="s">
        <v>95</v>
      </c>
      <c r="AM4251" s="18"/>
      <c r="AP4251" t="s">
        <v>951</v>
      </c>
    </row>
    <row r="4252" spans="1:42">
      <c r="A4252" s="16">
        <v>43843</v>
      </c>
      <c r="B4252">
        <v>1</v>
      </c>
      <c r="C4252">
        <v>986</v>
      </c>
      <c r="D4252">
        <v>14637</v>
      </c>
      <c r="E4252" t="s">
        <v>112</v>
      </c>
      <c r="F4252" t="s">
        <v>949</v>
      </c>
      <c r="G4252">
        <v>2</v>
      </c>
      <c r="H4252">
        <v>186</v>
      </c>
      <c r="I4252" s="25">
        <v>2500</v>
      </c>
      <c r="K4252" t="s">
        <v>156</v>
      </c>
      <c r="L4252" t="s">
        <v>141</v>
      </c>
      <c r="N4252" t="s">
        <v>40</v>
      </c>
      <c r="O4252">
        <v>32</v>
      </c>
      <c r="Q4252">
        <v>2</v>
      </c>
      <c r="R4252">
        <v>1</v>
      </c>
      <c r="S4252">
        <v>0</v>
      </c>
      <c r="T4252">
        <v>0</v>
      </c>
      <c r="U4252">
        <v>0</v>
      </c>
      <c r="V4252">
        <v>1</v>
      </c>
      <c r="W4252">
        <v>0</v>
      </c>
      <c r="X4252" s="21">
        <v>0</v>
      </c>
      <c r="Y4252" s="21">
        <v>0</v>
      </c>
      <c r="Z4252" s="21">
        <v>0</v>
      </c>
      <c r="AA4252" s="21">
        <v>0</v>
      </c>
      <c r="AB4252" s="21">
        <v>0</v>
      </c>
      <c r="AC4252" s="21">
        <v>0</v>
      </c>
      <c r="AD4252" s="21">
        <v>0</v>
      </c>
      <c r="AE4252" s="21">
        <v>0</v>
      </c>
      <c r="AF4252">
        <v>0</v>
      </c>
      <c r="AG4252">
        <v>0</v>
      </c>
      <c r="AH4252">
        <v>64</v>
      </c>
      <c r="AJ4252" t="s">
        <v>51</v>
      </c>
      <c r="AK4252" t="s">
        <v>95</v>
      </c>
      <c r="AM4252" s="18"/>
      <c r="AP4252" t="s">
        <v>951</v>
      </c>
    </row>
    <row r="4253" spans="1:42">
      <c r="A4253" s="16">
        <v>43843</v>
      </c>
      <c r="B4253">
        <v>1</v>
      </c>
      <c r="C4253">
        <v>986</v>
      </c>
      <c r="D4253">
        <v>14637</v>
      </c>
      <c r="E4253" t="s">
        <v>112</v>
      </c>
      <c r="F4253" t="s">
        <v>949</v>
      </c>
      <c r="G4253">
        <v>2</v>
      </c>
      <c r="H4253">
        <v>187</v>
      </c>
      <c r="I4253" s="25" t="s">
        <v>1431</v>
      </c>
      <c r="K4253" t="s">
        <v>156</v>
      </c>
      <c r="N4253" t="s">
        <v>44</v>
      </c>
      <c r="O4253">
        <v>110</v>
      </c>
      <c r="Q4253">
        <v>2</v>
      </c>
      <c r="R4253">
        <v>1</v>
      </c>
      <c r="S4253">
        <v>0</v>
      </c>
      <c r="T4253">
        <v>0</v>
      </c>
      <c r="U4253">
        <v>0</v>
      </c>
      <c r="V4253">
        <v>2</v>
      </c>
      <c r="W4253">
        <v>0</v>
      </c>
      <c r="X4253" s="21">
        <v>0</v>
      </c>
      <c r="Y4253" s="21">
        <v>0</v>
      </c>
      <c r="Z4253" s="21">
        <v>0</v>
      </c>
      <c r="AA4253" s="21">
        <v>0</v>
      </c>
      <c r="AB4253" s="21">
        <v>0</v>
      </c>
      <c r="AC4253" s="21">
        <v>0</v>
      </c>
      <c r="AD4253" s="21">
        <v>0</v>
      </c>
      <c r="AE4253" s="21">
        <v>0</v>
      </c>
      <c r="AF4253">
        <v>0</v>
      </c>
      <c r="AG4253">
        <v>0</v>
      </c>
      <c r="AH4253">
        <v>128</v>
      </c>
      <c r="AJ4253" t="s">
        <v>51</v>
      </c>
      <c r="AK4253" t="s">
        <v>95</v>
      </c>
      <c r="AM4253" s="18"/>
      <c r="AP4253" t="s">
        <v>951</v>
      </c>
    </row>
    <row r="4254" spans="1:42">
      <c r="A4254" s="16">
        <v>43843</v>
      </c>
      <c r="B4254">
        <v>1</v>
      </c>
      <c r="C4254">
        <v>986</v>
      </c>
      <c r="D4254">
        <v>14637</v>
      </c>
      <c r="E4254" t="s">
        <v>112</v>
      </c>
      <c r="F4254" t="s">
        <v>949</v>
      </c>
      <c r="G4254">
        <v>2</v>
      </c>
      <c r="H4254">
        <v>188</v>
      </c>
      <c r="I4254" s="25">
        <v>2455</v>
      </c>
      <c r="K4254" t="s">
        <v>156</v>
      </c>
      <c r="N4254" t="s">
        <v>44</v>
      </c>
      <c r="O4254">
        <v>100</v>
      </c>
      <c r="Q4254">
        <v>2</v>
      </c>
      <c r="R4254">
        <v>1</v>
      </c>
      <c r="S4254">
        <v>0</v>
      </c>
      <c r="T4254">
        <v>0</v>
      </c>
      <c r="U4254">
        <v>0</v>
      </c>
      <c r="V4254">
        <v>0</v>
      </c>
      <c r="W4254">
        <v>2</v>
      </c>
      <c r="X4254" s="21">
        <v>0</v>
      </c>
      <c r="Y4254" s="21">
        <v>0</v>
      </c>
      <c r="Z4254" s="21">
        <v>0</v>
      </c>
      <c r="AA4254" s="21">
        <v>0</v>
      </c>
      <c r="AB4254" s="21">
        <v>0</v>
      </c>
      <c r="AC4254" s="21">
        <v>0</v>
      </c>
      <c r="AD4254" s="21">
        <v>0</v>
      </c>
      <c r="AE4254" s="21">
        <v>0</v>
      </c>
      <c r="AF4254">
        <v>0</v>
      </c>
      <c r="AG4254">
        <v>0</v>
      </c>
      <c r="AH4254">
        <v>192</v>
      </c>
      <c r="AJ4254" t="s">
        <v>54</v>
      </c>
      <c r="AK4254" t="s">
        <v>52</v>
      </c>
      <c r="AM4254" s="18"/>
      <c r="AP4254" t="s">
        <v>951</v>
      </c>
    </row>
    <row r="4255" spans="1:42">
      <c r="A4255" s="16">
        <v>43843</v>
      </c>
      <c r="B4255">
        <v>1</v>
      </c>
      <c r="C4255">
        <v>986</v>
      </c>
      <c r="D4255">
        <v>14637</v>
      </c>
      <c r="E4255" t="s">
        <v>112</v>
      </c>
      <c r="F4255" t="s">
        <v>949</v>
      </c>
      <c r="G4255">
        <v>2</v>
      </c>
      <c r="H4255">
        <v>189</v>
      </c>
      <c r="I4255" s="25">
        <v>2445</v>
      </c>
      <c r="K4255" t="s">
        <v>156</v>
      </c>
      <c r="N4255" t="s">
        <v>44</v>
      </c>
      <c r="O4255">
        <v>102</v>
      </c>
      <c r="Q4255">
        <v>1</v>
      </c>
      <c r="R4255">
        <v>1</v>
      </c>
      <c r="S4255">
        <v>0</v>
      </c>
      <c r="T4255">
        <v>0</v>
      </c>
      <c r="U4255">
        <v>0</v>
      </c>
      <c r="V4255">
        <v>0</v>
      </c>
      <c r="W4255">
        <v>1</v>
      </c>
      <c r="X4255" s="21">
        <v>0</v>
      </c>
      <c r="Y4255" s="21">
        <v>0</v>
      </c>
      <c r="Z4255" s="21">
        <v>0</v>
      </c>
      <c r="AA4255" s="21">
        <v>0</v>
      </c>
      <c r="AB4255" s="21">
        <v>0</v>
      </c>
      <c r="AC4255" s="21">
        <v>0</v>
      </c>
      <c r="AD4255" s="21">
        <v>0</v>
      </c>
      <c r="AE4255" s="21">
        <v>0</v>
      </c>
      <c r="AF4255">
        <v>0</v>
      </c>
      <c r="AG4255">
        <v>0</v>
      </c>
      <c r="AH4255">
        <v>96</v>
      </c>
      <c r="AJ4255" t="s">
        <v>54</v>
      </c>
      <c r="AK4255" t="s">
        <v>52</v>
      </c>
      <c r="AL4255" t="s">
        <v>1432</v>
      </c>
      <c r="AM4255" s="18"/>
      <c r="AP4255" t="s">
        <v>951</v>
      </c>
    </row>
    <row r="4256" spans="1:42">
      <c r="A4256" s="16">
        <v>43843</v>
      </c>
      <c r="B4256">
        <v>1</v>
      </c>
      <c r="C4256">
        <v>986</v>
      </c>
      <c r="D4256">
        <v>14637</v>
      </c>
      <c r="E4256" t="s">
        <v>112</v>
      </c>
      <c r="F4256" t="s">
        <v>949</v>
      </c>
      <c r="G4256">
        <v>2</v>
      </c>
      <c r="H4256">
        <v>190</v>
      </c>
      <c r="I4256" s="25">
        <v>2435</v>
      </c>
      <c r="K4256" t="s">
        <v>156</v>
      </c>
      <c r="N4256" t="s">
        <v>44</v>
      </c>
      <c r="O4256">
        <v>115</v>
      </c>
      <c r="Q4256">
        <v>1</v>
      </c>
      <c r="R4256">
        <v>1</v>
      </c>
      <c r="S4256">
        <v>0</v>
      </c>
      <c r="T4256">
        <v>0</v>
      </c>
      <c r="U4256">
        <v>0</v>
      </c>
      <c r="V4256">
        <v>0</v>
      </c>
      <c r="W4256">
        <v>1</v>
      </c>
      <c r="X4256" s="21">
        <v>0</v>
      </c>
      <c r="Y4256" s="21">
        <v>0</v>
      </c>
      <c r="Z4256" s="21">
        <v>0</v>
      </c>
      <c r="AA4256" s="21">
        <v>0</v>
      </c>
      <c r="AB4256" s="21">
        <v>0</v>
      </c>
      <c r="AC4256" s="21">
        <v>0</v>
      </c>
      <c r="AD4256" s="21">
        <v>0</v>
      </c>
      <c r="AE4256" s="21">
        <v>0</v>
      </c>
      <c r="AF4256">
        <v>0</v>
      </c>
      <c r="AG4256">
        <v>0</v>
      </c>
      <c r="AH4256">
        <v>96</v>
      </c>
      <c r="AJ4256" t="s">
        <v>54</v>
      </c>
      <c r="AK4256" t="s">
        <v>35</v>
      </c>
      <c r="AL4256" t="s">
        <v>1433</v>
      </c>
      <c r="AM4256" s="18"/>
      <c r="AP4256" t="s">
        <v>951</v>
      </c>
    </row>
    <row r="4257" spans="1:42">
      <c r="A4257" s="16">
        <v>43843</v>
      </c>
      <c r="B4257">
        <v>1</v>
      </c>
      <c r="C4257">
        <v>986</v>
      </c>
      <c r="D4257">
        <v>14637</v>
      </c>
      <c r="E4257" t="s">
        <v>112</v>
      </c>
      <c r="F4257" t="s">
        <v>949</v>
      </c>
      <c r="G4257">
        <v>2</v>
      </c>
      <c r="H4257">
        <v>191</v>
      </c>
      <c r="I4257" s="25">
        <v>2855</v>
      </c>
      <c r="K4257" t="s">
        <v>192</v>
      </c>
      <c r="N4257" t="s">
        <v>44</v>
      </c>
      <c r="O4257">
        <v>128</v>
      </c>
      <c r="Q4257">
        <v>1</v>
      </c>
      <c r="R4257">
        <v>1</v>
      </c>
      <c r="S4257">
        <v>0</v>
      </c>
      <c r="T4257">
        <v>0</v>
      </c>
      <c r="U4257">
        <v>0</v>
      </c>
      <c r="V4257">
        <v>0</v>
      </c>
      <c r="W4257">
        <v>1</v>
      </c>
      <c r="X4257" s="21">
        <v>0</v>
      </c>
      <c r="Y4257" s="21">
        <v>0</v>
      </c>
      <c r="Z4257" s="21">
        <v>0</v>
      </c>
      <c r="AA4257" s="21">
        <v>0</v>
      </c>
      <c r="AB4257" s="21">
        <v>0</v>
      </c>
      <c r="AC4257" s="21">
        <v>0</v>
      </c>
      <c r="AD4257" s="21">
        <v>0</v>
      </c>
      <c r="AE4257" s="21">
        <v>0</v>
      </c>
      <c r="AF4257">
        <v>0</v>
      </c>
      <c r="AG4257">
        <v>0</v>
      </c>
      <c r="AH4257">
        <v>96</v>
      </c>
      <c r="AJ4257" t="s">
        <v>51</v>
      </c>
      <c r="AK4257" t="s">
        <v>95</v>
      </c>
      <c r="AL4257" t="s">
        <v>1434</v>
      </c>
      <c r="AM4257" s="18"/>
      <c r="AP4257" t="s">
        <v>951</v>
      </c>
    </row>
    <row r="4258" spans="1:42">
      <c r="A4258" s="16">
        <v>43844</v>
      </c>
      <c r="B4258">
        <v>2</v>
      </c>
      <c r="C4258">
        <v>982</v>
      </c>
      <c r="D4258">
        <v>10418</v>
      </c>
      <c r="E4258" t="s">
        <v>37</v>
      </c>
      <c r="F4258" t="s">
        <v>520</v>
      </c>
      <c r="G4258">
        <v>2</v>
      </c>
      <c r="H4258">
        <v>1</v>
      </c>
      <c r="I4258" s="25">
        <v>0</v>
      </c>
      <c r="K4258" t="s">
        <v>1052</v>
      </c>
      <c r="L4258" t="s">
        <v>141</v>
      </c>
      <c r="N4258" t="s">
        <v>40</v>
      </c>
      <c r="O4258">
        <v>52</v>
      </c>
      <c r="Q4258">
        <v>1</v>
      </c>
      <c r="R4258">
        <v>1</v>
      </c>
      <c r="S4258">
        <v>0</v>
      </c>
      <c r="T4258">
        <v>0</v>
      </c>
      <c r="U4258">
        <v>0</v>
      </c>
      <c r="V4258">
        <v>0</v>
      </c>
      <c r="W4258">
        <v>1</v>
      </c>
      <c r="X4258" s="21">
        <v>0</v>
      </c>
      <c r="Y4258" s="21">
        <v>0</v>
      </c>
      <c r="Z4258" s="21">
        <v>0</v>
      </c>
      <c r="AA4258" s="21">
        <v>0</v>
      </c>
      <c r="AB4258" s="21">
        <v>0</v>
      </c>
      <c r="AC4258" s="21">
        <v>0</v>
      </c>
      <c r="AD4258" s="21">
        <v>0</v>
      </c>
      <c r="AE4258" s="21">
        <v>0</v>
      </c>
      <c r="AF4258">
        <v>0</v>
      </c>
      <c r="AG4258">
        <v>0</v>
      </c>
      <c r="AH4258">
        <v>96</v>
      </c>
      <c r="AJ4258" t="s">
        <v>51</v>
      </c>
      <c r="AK4258" t="s">
        <v>95</v>
      </c>
      <c r="AP4258" t="s">
        <v>951</v>
      </c>
    </row>
    <row r="4259" spans="1:42">
      <c r="A4259" s="16">
        <v>43844</v>
      </c>
      <c r="B4259">
        <v>2</v>
      </c>
      <c r="C4259">
        <v>982</v>
      </c>
      <c r="D4259">
        <v>10418</v>
      </c>
      <c r="E4259" t="s">
        <v>37</v>
      </c>
      <c r="F4259" t="s">
        <v>520</v>
      </c>
      <c r="G4259">
        <v>2</v>
      </c>
      <c r="H4259">
        <v>2</v>
      </c>
      <c r="I4259" s="25">
        <v>0</v>
      </c>
      <c r="K4259" t="s">
        <v>1052</v>
      </c>
      <c r="L4259" t="s">
        <v>114</v>
      </c>
      <c r="N4259" t="s">
        <v>40</v>
      </c>
      <c r="O4259">
        <v>52</v>
      </c>
      <c r="Q4259">
        <v>2</v>
      </c>
      <c r="R4259">
        <v>1</v>
      </c>
      <c r="S4259">
        <v>0</v>
      </c>
      <c r="T4259">
        <v>0</v>
      </c>
      <c r="U4259">
        <v>0</v>
      </c>
      <c r="V4259">
        <v>0</v>
      </c>
      <c r="W4259">
        <v>2</v>
      </c>
      <c r="X4259" s="21">
        <v>0</v>
      </c>
      <c r="Y4259" s="21">
        <v>0</v>
      </c>
      <c r="Z4259" s="21">
        <v>0</v>
      </c>
      <c r="AA4259" s="21">
        <v>0</v>
      </c>
      <c r="AB4259" s="21">
        <v>0</v>
      </c>
      <c r="AC4259" s="21">
        <v>0</v>
      </c>
      <c r="AD4259" s="21">
        <v>0</v>
      </c>
      <c r="AE4259" s="21">
        <v>0</v>
      </c>
      <c r="AF4259">
        <v>0</v>
      </c>
      <c r="AG4259">
        <v>0</v>
      </c>
      <c r="AH4259">
        <v>192</v>
      </c>
      <c r="AJ4259" t="s">
        <v>51</v>
      </c>
      <c r="AK4259" t="s">
        <v>95</v>
      </c>
      <c r="AP4259" t="s">
        <v>951</v>
      </c>
    </row>
    <row r="4260" spans="1:42">
      <c r="A4260" s="16">
        <v>43844</v>
      </c>
      <c r="B4260">
        <v>2</v>
      </c>
      <c r="C4260">
        <v>982</v>
      </c>
      <c r="D4260">
        <v>10418</v>
      </c>
      <c r="E4260" t="s">
        <v>37</v>
      </c>
      <c r="F4260" t="s">
        <v>520</v>
      </c>
      <c r="G4260">
        <v>2</v>
      </c>
      <c r="H4260">
        <v>3</v>
      </c>
      <c r="I4260" s="25">
        <v>970</v>
      </c>
      <c r="K4260" t="s">
        <v>74</v>
      </c>
      <c r="N4260" t="s">
        <v>44</v>
      </c>
      <c r="O4260">
        <v>96</v>
      </c>
      <c r="Q4260">
        <v>2</v>
      </c>
      <c r="R4260">
        <v>1</v>
      </c>
      <c r="S4260">
        <v>0</v>
      </c>
      <c r="T4260">
        <v>0</v>
      </c>
      <c r="U4260">
        <v>0</v>
      </c>
      <c r="V4260">
        <v>0</v>
      </c>
      <c r="W4260">
        <v>2</v>
      </c>
      <c r="X4260" s="21">
        <v>0</v>
      </c>
      <c r="Y4260" s="21">
        <v>0</v>
      </c>
      <c r="Z4260" s="21">
        <v>0</v>
      </c>
      <c r="AA4260" s="21">
        <v>0</v>
      </c>
      <c r="AB4260" s="21">
        <v>0</v>
      </c>
      <c r="AC4260" s="21">
        <v>0</v>
      </c>
      <c r="AD4260" s="21">
        <v>0</v>
      </c>
      <c r="AE4260" s="21">
        <v>0</v>
      </c>
      <c r="AF4260">
        <v>0</v>
      </c>
      <c r="AG4260">
        <v>0</v>
      </c>
      <c r="AH4260">
        <v>192</v>
      </c>
      <c r="AJ4260" t="s">
        <v>51</v>
      </c>
      <c r="AK4260" t="s">
        <v>95</v>
      </c>
      <c r="AL4260" t="s">
        <v>1435</v>
      </c>
      <c r="AP4260" t="s">
        <v>951</v>
      </c>
    </row>
    <row r="4261" spans="1:42">
      <c r="A4261" s="16">
        <v>43844</v>
      </c>
      <c r="B4261">
        <v>2</v>
      </c>
      <c r="C4261">
        <v>982</v>
      </c>
      <c r="D4261">
        <v>10418</v>
      </c>
      <c r="E4261" t="s">
        <v>37</v>
      </c>
      <c r="F4261" t="s">
        <v>520</v>
      </c>
      <c r="G4261">
        <v>2</v>
      </c>
      <c r="H4261">
        <v>4</v>
      </c>
      <c r="I4261" s="25">
        <v>1025</v>
      </c>
      <c r="K4261" t="s">
        <v>53</v>
      </c>
      <c r="N4261" t="s">
        <v>44</v>
      </c>
      <c r="O4261">
        <v>112</v>
      </c>
      <c r="Q4261">
        <v>2</v>
      </c>
      <c r="R4261">
        <v>1</v>
      </c>
      <c r="S4261">
        <v>0</v>
      </c>
      <c r="T4261">
        <v>0</v>
      </c>
      <c r="U4261">
        <v>0</v>
      </c>
      <c r="V4261">
        <v>0</v>
      </c>
      <c r="W4261">
        <v>2</v>
      </c>
      <c r="X4261" s="21">
        <v>0</v>
      </c>
      <c r="Y4261" s="21">
        <v>0</v>
      </c>
      <c r="Z4261" s="21">
        <v>0</v>
      </c>
      <c r="AA4261" s="21">
        <v>0</v>
      </c>
      <c r="AB4261" s="21">
        <v>0</v>
      </c>
      <c r="AC4261" s="21">
        <v>0</v>
      </c>
      <c r="AD4261" s="21">
        <v>0</v>
      </c>
      <c r="AE4261" s="21">
        <v>0</v>
      </c>
      <c r="AF4261">
        <v>0</v>
      </c>
      <c r="AG4261">
        <v>0</v>
      </c>
      <c r="AH4261">
        <v>192</v>
      </c>
      <c r="AJ4261" t="s">
        <v>51</v>
      </c>
      <c r="AK4261" t="s">
        <v>95</v>
      </c>
      <c r="AL4261" t="s">
        <v>1435</v>
      </c>
      <c r="AP4261" t="s">
        <v>951</v>
      </c>
    </row>
    <row r="4262" spans="1:42">
      <c r="A4262" s="16">
        <v>43844</v>
      </c>
      <c r="B4262">
        <v>2</v>
      </c>
      <c r="C4262">
        <v>982</v>
      </c>
      <c r="D4262">
        <v>10418</v>
      </c>
      <c r="E4262" t="s">
        <v>37</v>
      </c>
      <c r="F4262" t="s">
        <v>520</v>
      </c>
      <c r="G4262">
        <v>2</v>
      </c>
      <c r="H4262">
        <v>5</v>
      </c>
      <c r="I4262" s="25">
        <v>100</v>
      </c>
      <c r="K4262" t="s">
        <v>1052</v>
      </c>
      <c r="L4262" t="s">
        <v>114</v>
      </c>
      <c r="N4262" t="s">
        <v>40</v>
      </c>
      <c r="O4262">
        <v>50</v>
      </c>
      <c r="Q4262">
        <v>1</v>
      </c>
      <c r="R4262">
        <v>1</v>
      </c>
      <c r="S4262">
        <v>0</v>
      </c>
      <c r="T4262">
        <v>0</v>
      </c>
      <c r="U4262">
        <v>0</v>
      </c>
      <c r="V4262">
        <v>0</v>
      </c>
      <c r="W4262">
        <v>1</v>
      </c>
      <c r="X4262" s="21">
        <v>0</v>
      </c>
      <c r="Y4262" s="21">
        <v>0</v>
      </c>
      <c r="Z4262" s="21">
        <v>0</v>
      </c>
      <c r="AA4262" s="21">
        <v>0</v>
      </c>
      <c r="AB4262" s="21">
        <v>0</v>
      </c>
      <c r="AC4262" s="21">
        <v>0</v>
      </c>
      <c r="AD4262" s="21">
        <v>0</v>
      </c>
      <c r="AE4262" s="21">
        <v>0</v>
      </c>
      <c r="AF4262">
        <v>0</v>
      </c>
      <c r="AG4262">
        <v>0</v>
      </c>
      <c r="AH4262">
        <v>96</v>
      </c>
      <c r="AJ4262" t="s">
        <v>51</v>
      </c>
      <c r="AK4262" t="s">
        <v>52</v>
      </c>
      <c r="AP4262" t="s">
        <v>951</v>
      </c>
    </row>
    <row r="4263" spans="1:42">
      <c r="A4263" s="16">
        <v>43844</v>
      </c>
      <c r="B4263">
        <v>2</v>
      </c>
      <c r="C4263">
        <v>982</v>
      </c>
      <c r="D4263">
        <v>10418</v>
      </c>
      <c r="E4263" t="s">
        <v>37</v>
      </c>
      <c r="F4263" t="s">
        <v>520</v>
      </c>
      <c r="G4263">
        <v>2</v>
      </c>
      <c r="H4263">
        <v>6</v>
      </c>
      <c r="I4263" s="25">
        <v>900</v>
      </c>
      <c r="K4263" t="s">
        <v>420</v>
      </c>
      <c r="L4263" t="s">
        <v>114</v>
      </c>
      <c r="N4263" t="s">
        <v>40</v>
      </c>
      <c r="O4263">
        <v>88</v>
      </c>
      <c r="Q4263">
        <v>2</v>
      </c>
      <c r="R4263">
        <v>1</v>
      </c>
      <c r="S4263">
        <v>0</v>
      </c>
      <c r="T4263">
        <v>0</v>
      </c>
      <c r="U4263">
        <v>1</v>
      </c>
      <c r="V4263">
        <v>0</v>
      </c>
      <c r="W4263">
        <v>1</v>
      </c>
      <c r="X4263" s="21">
        <v>0</v>
      </c>
      <c r="Y4263" s="21">
        <v>0</v>
      </c>
      <c r="Z4263" s="21">
        <v>0</v>
      </c>
      <c r="AA4263" s="21">
        <v>0</v>
      </c>
      <c r="AB4263" s="21">
        <v>0</v>
      </c>
      <c r="AC4263" s="21">
        <v>0</v>
      </c>
      <c r="AD4263" s="21">
        <v>0</v>
      </c>
      <c r="AE4263" s="21">
        <v>0</v>
      </c>
      <c r="AF4263">
        <v>0</v>
      </c>
      <c r="AG4263">
        <v>0</v>
      </c>
      <c r="AH4263">
        <v>128</v>
      </c>
      <c r="AJ4263" t="s">
        <v>51</v>
      </c>
      <c r="AK4263" t="s">
        <v>52</v>
      </c>
      <c r="AP4263" t="s">
        <v>951</v>
      </c>
    </row>
    <row r="4264" spans="1:42">
      <c r="A4264" s="16">
        <v>43844</v>
      </c>
      <c r="B4264">
        <v>2</v>
      </c>
      <c r="C4264">
        <v>982</v>
      </c>
      <c r="D4264">
        <v>10418</v>
      </c>
      <c r="E4264" t="s">
        <v>37</v>
      </c>
      <c r="F4264" t="s">
        <v>520</v>
      </c>
      <c r="G4264">
        <v>2</v>
      </c>
      <c r="H4264">
        <v>7</v>
      </c>
      <c r="I4264" s="25">
        <v>1000</v>
      </c>
      <c r="K4264" t="s">
        <v>420</v>
      </c>
      <c r="L4264" t="s">
        <v>114</v>
      </c>
      <c r="N4264" t="s">
        <v>40</v>
      </c>
      <c r="O4264">
        <v>47</v>
      </c>
      <c r="Q4264">
        <v>1</v>
      </c>
      <c r="R4264">
        <v>1</v>
      </c>
      <c r="S4264">
        <v>0</v>
      </c>
      <c r="T4264">
        <v>0</v>
      </c>
      <c r="U4264">
        <v>0</v>
      </c>
      <c r="V4264">
        <v>0</v>
      </c>
      <c r="W4264">
        <v>1</v>
      </c>
      <c r="X4264" s="21">
        <v>0</v>
      </c>
      <c r="Y4264" s="21">
        <v>0</v>
      </c>
      <c r="Z4264" s="21">
        <v>0</v>
      </c>
      <c r="AA4264" s="21">
        <v>0</v>
      </c>
      <c r="AB4264" s="21">
        <v>0</v>
      </c>
      <c r="AC4264" s="21">
        <v>0</v>
      </c>
      <c r="AD4264" s="21">
        <v>0</v>
      </c>
      <c r="AE4264" s="21">
        <v>0</v>
      </c>
      <c r="AF4264">
        <v>0</v>
      </c>
      <c r="AG4264">
        <v>0</v>
      </c>
      <c r="AH4264">
        <v>96</v>
      </c>
      <c r="AJ4264" t="s">
        <v>51</v>
      </c>
      <c r="AK4264" t="s">
        <v>52</v>
      </c>
      <c r="AP4264" t="s">
        <v>951</v>
      </c>
    </row>
    <row r="4265" spans="1:42">
      <c r="A4265" s="16">
        <v>43844</v>
      </c>
      <c r="B4265">
        <v>2</v>
      </c>
      <c r="C4265">
        <v>982</v>
      </c>
      <c r="D4265">
        <v>10418</v>
      </c>
      <c r="E4265" t="s">
        <v>37</v>
      </c>
      <c r="F4265" t="s">
        <v>520</v>
      </c>
      <c r="G4265">
        <v>2</v>
      </c>
      <c r="H4265">
        <v>8</v>
      </c>
      <c r="I4265" s="25">
        <v>1000</v>
      </c>
      <c r="K4265" t="s">
        <v>420</v>
      </c>
      <c r="L4265" t="s">
        <v>114</v>
      </c>
      <c r="N4265" t="s">
        <v>40</v>
      </c>
      <c r="O4265">
        <v>102</v>
      </c>
      <c r="Q4265">
        <v>1</v>
      </c>
      <c r="R4265">
        <v>1</v>
      </c>
      <c r="S4265">
        <v>0</v>
      </c>
      <c r="T4265">
        <v>0</v>
      </c>
      <c r="U4265">
        <v>0</v>
      </c>
      <c r="V4265">
        <v>0</v>
      </c>
      <c r="W4265">
        <v>1</v>
      </c>
      <c r="X4265" s="21">
        <v>0</v>
      </c>
      <c r="Y4265" s="21">
        <v>0</v>
      </c>
      <c r="Z4265" s="21">
        <v>0</v>
      </c>
      <c r="AA4265" s="21">
        <v>0</v>
      </c>
      <c r="AB4265" s="21">
        <v>0</v>
      </c>
      <c r="AC4265" s="21">
        <v>0</v>
      </c>
      <c r="AD4265" s="21">
        <v>0</v>
      </c>
      <c r="AE4265" s="21">
        <v>0</v>
      </c>
      <c r="AF4265">
        <v>0</v>
      </c>
      <c r="AG4265">
        <v>0</v>
      </c>
      <c r="AH4265">
        <v>96</v>
      </c>
      <c r="AJ4265" t="s">
        <v>51</v>
      </c>
      <c r="AK4265" t="s">
        <v>52</v>
      </c>
      <c r="AP4265" t="s">
        <v>951</v>
      </c>
    </row>
    <row r="4266" spans="1:42">
      <c r="A4266" s="16">
        <v>43844</v>
      </c>
      <c r="B4266">
        <v>2</v>
      </c>
      <c r="C4266">
        <v>982</v>
      </c>
      <c r="D4266">
        <v>10418</v>
      </c>
      <c r="E4266" t="s">
        <v>37</v>
      </c>
      <c r="F4266" t="s">
        <v>520</v>
      </c>
      <c r="G4266">
        <v>2</v>
      </c>
      <c r="H4266">
        <v>9</v>
      </c>
      <c r="I4266" s="25">
        <v>1200</v>
      </c>
      <c r="K4266" t="s">
        <v>49</v>
      </c>
      <c r="L4266" t="s">
        <v>114</v>
      </c>
      <c r="N4266" t="s">
        <v>40</v>
      </c>
      <c r="O4266">
        <v>33</v>
      </c>
      <c r="Q4266">
        <v>1</v>
      </c>
      <c r="R4266">
        <v>1</v>
      </c>
      <c r="S4266">
        <v>0</v>
      </c>
      <c r="T4266">
        <v>0</v>
      </c>
      <c r="U4266">
        <v>0</v>
      </c>
      <c r="V4266">
        <v>0</v>
      </c>
      <c r="W4266">
        <v>1</v>
      </c>
      <c r="X4266" s="21">
        <v>0</v>
      </c>
      <c r="Y4266" s="21">
        <v>0</v>
      </c>
      <c r="Z4266" s="21">
        <v>0</v>
      </c>
      <c r="AA4266" s="21">
        <v>0</v>
      </c>
      <c r="AB4266" s="21">
        <v>0</v>
      </c>
      <c r="AC4266" s="21">
        <v>0</v>
      </c>
      <c r="AD4266" s="21">
        <v>0</v>
      </c>
      <c r="AE4266" s="21">
        <v>0</v>
      </c>
      <c r="AF4266">
        <v>0</v>
      </c>
      <c r="AG4266">
        <v>0</v>
      </c>
      <c r="AH4266">
        <v>96</v>
      </c>
      <c r="AJ4266" t="s">
        <v>51</v>
      </c>
      <c r="AK4266" t="s">
        <v>95</v>
      </c>
      <c r="AP4266" t="s">
        <v>951</v>
      </c>
    </row>
    <row r="4267" spans="1:42">
      <c r="A4267" s="16">
        <v>43844</v>
      </c>
      <c r="B4267">
        <v>2</v>
      </c>
      <c r="C4267">
        <v>982</v>
      </c>
      <c r="D4267">
        <v>10418</v>
      </c>
      <c r="E4267" t="s">
        <v>37</v>
      </c>
      <c r="F4267" t="s">
        <v>520</v>
      </c>
      <c r="G4267">
        <v>2</v>
      </c>
      <c r="H4267">
        <v>10</v>
      </c>
      <c r="I4267" s="25">
        <v>1115</v>
      </c>
      <c r="K4267" t="s">
        <v>414</v>
      </c>
      <c r="N4267" t="s">
        <v>44</v>
      </c>
      <c r="O4267">
        <v>182</v>
      </c>
      <c r="Q4267">
        <v>2</v>
      </c>
      <c r="R4267">
        <v>1</v>
      </c>
      <c r="S4267">
        <v>0</v>
      </c>
      <c r="T4267">
        <v>0</v>
      </c>
      <c r="U4267">
        <v>0</v>
      </c>
      <c r="V4267">
        <v>0</v>
      </c>
      <c r="W4267">
        <v>2</v>
      </c>
      <c r="X4267" s="21">
        <v>0</v>
      </c>
      <c r="Y4267" s="21">
        <v>0</v>
      </c>
      <c r="Z4267" s="21">
        <v>0</v>
      </c>
      <c r="AA4267" s="21">
        <v>0</v>
      </c>
      <c r="AB4267" s="21">
        <v>0</v>
      </c>
      <c r="AC4267" s="21">
        <v>0</v>
      </c>
      <c r="AD4267" s="21">
        <v>0</v>
      </c>
      <c r="AE4267" s="21">
        <v>0</v>
      </c>
      <c r="AF4267">
        <v>0</v>
      </c>
      <c r="AG4267">
        <v>0</v>
      </c>
      <c r="AH4267">
        <v>192</v>
      </c>
      <c r="AJ4267" t="s">
        <v>51</v>
      </c>
      <c r="AK4267" t="s">
        <v>95</v>
      </c>
      <c r="AL4267" t="s">
        <v>1436</v>
      </c>
      <c r="AP4267" t="s">
        <v>951</v>
      </c>
    </row>
    <row r="4268" spans="1:42">
      <c r="A4268" s="16">
        <v>43844</v>
      </c>
      <c r="B4268">
        <v>2</v>
      </c>
      <c r="C4268">
        <v>982</v>
      </c>
      <c r="D4268">
        <v>10418</v>
      </c>
      <c r="E4268" t="s">
        <v>37</v>
      </c>
      <c r="F4268" t="s">
        <v>520</v>
      </c>
      <c r="G4268">
        <v>2</v>
      </c>
      <c r="H4268">
        <v>11</v>
      </c>
      <c r="I4268" s="25">
        <v>1082</v>
      </c>
      <c r="K4268" t="s">
        <v>53</v>
      </c>
      <c r="N4268" t="s">
        <v>44</v>
      </c>
      <c r="O4268">
        <v>136</v>
      </c>
      <c r="Q4268">
        <v>2</v>
      </c>
      <c r="R4268">
        <v>1</v>
      </c>
      <c r="S4268">
        <v>0</v>
      </c>
      <c r="T4268">
        <v>0</v>
      </c>
      <c r="U4268">
        <v>0</v>
      </c>
      <c r="V4268">
        <v>0</v>
      </c>
      <c r="W4268">
        <v>2</v>
      </c>
      <c r="X4268" s="21">
        <v>0</v>
      </c>
      <c r="Y4268" s="21">
        <v>0</v>
      </c>
      <c r="Z4268" s="21">
        <v>0</v>
      </c>
      <c r="AA4268" s="21">
        <v>0</v>
      </c>
      <c r="AB4268" s="21">
        <v>0</v>
      </c>
      <c r="AC4268" s="21">
        <v>0</v>
      </c>
      <c r="AD4268" s="21">
        <v>0</v>
      </c>
      <c r="AE4268" s="21">
        <v>0</v>
      </c>
      <c r="AF4268">
        <v>0</v>
      </c>
      <c r="AG4268">
        <v>0</v>
      </c>
      <c r="AH4268">
        <v>192</v>
      </c>
      <c r="AJ4268" t="s">
        <v>51</v>
      </c>
      <c r="AK4268" t="s">
        <v>95</v>
      </c>
      <c r="AP4268" t="s">
        <v>951</v>
      </c>
    </row>
    <row r="4269" spans="1:42">
      <c r="A4269" s="16">
        <v>43844</v>
      </c>
      <c r="B4269">
        <v>2</v>
      </c>
      <c r="C4269">
        <v>982</v>
      </c>
      <c r="D4269">
        <v>10418</v>
      </c>
      <c r="E4269" t="s">
        <v>37</v>
      </c>
      <c r="F4269" t="s">
        <v>520</v>
      </c>
      <c r="G4269">
        <v>2</v>
      </c>
      <c r="H4269">
        <v>12</v>
      </c>
      <c r="I4269" s="25">
        <v>900</v>
      </c>
      <c r="K4269" t="s">
        <v>53</v>
      </c>
      <c r="L4269" t="s">
        <v>141</v>
      </c>
      <c r="N4269" t="s">
        <v>40</v>
      </c>
      <c r="O4269">
        <v>75</v>
      </c>
      <c r="Q4269">
        <v>1</v>
      </c>
      <c r="R4269">
        <v>1</v>
      </c>
      <c r="S4269">
        <v>0</v>
      </c>
      <c r="T4269">
        <v>0</v>
      </c>
      <c r="U4269">
        <v>0</v>
      </c>
      <c r="V4269">
        <v>1</v>
      </c>
      <c r="W4269">
        <v>0</v>
      </c>
      <c r="X4269" s="21">
        <v>0</v>
      </c>
      <c r="Y4269" s="21">
        <v>0</v>
      </c>
      <c r="Z4269" s="21">
        <v>0</v>
      </c>
      <c r="AA4269" s="21">
        <v>0</v>
      </c>
      <c r="AB4269" s="21">
        <v>0</v>
      </c>
      <c r="AC4269" s="21">
        <v>0</v>
      </c>
      <c r="AD4269" s="21">
        <v>0</v>
      </c>
      <c r="AE4269" s="21">
        <v>0</v>
      </c>
      <c r="AF4269">
        <v>0</v>
      </c>
      <c r="AG4269">
        <v>0</v>
      </c>
      <c r="AH4269">
        <v>64</v>
      </c>
      <c r="AJ4269" t="s">
        <v>51</v>
      </c>
      <c r="AK4269" t="s">
        <v>95</v>
      </c>
      <c r="AP4269" t="s">
        <v>951</v>
      </c>
    </row>
    <row r="4270" spans="1:42">
      <c r="A4270" s="16">
        <v>43844</v>
      </c>
      <c r="B4270">
        <v>2</v>
      </c>
      <c r="C4270">
        <v>982</v>
      </c>
      <c r="D4270">
        <v>10418</v>
      </c>
      <c r="E4270" t="s">
        <v>37</v>
      </c>
      <c r="F4270" t="s">
        <v>520</v>
      </c>
      <c r="G4270">
        <v>2</v>
      </c>
      <c r="H4270">
        <v>13</v>
      </c>
      <c r="I4270" s="25">
        <v>6</v>
      </c>
      <c r="J4270" t="s">
        <v>64</v>
      </c>
      <c r="K4270" t="s">
        <v>1437</v>
      </c>
      <c r="L4270" t="s">
        <v>141</v>
      </c>
      <c r="N4270" t="s">
        <v>42</v>
      </c>
      <c r="O4270">
        <v>287</v>
      </c>
      <c r="Q4270">
        <v>5</v>
      </c>
      <c r="R4270">
        <v>1</v>
      </c>
      <c r="S4270">
        <v>0</v>
      </c>
      <c r="T4270">
        <v>0</v>
      </c>
      <c r="U4270">
        <v>1</v>
      </c>
      <c r="V4270">
        <v>2</v>
      </c>
      <c r="W4270">
        <v>2</v>
      </c>
      <c r="X4270" s="21">
        <v>0</v>
      </c>
      <c r="Y4270" s="21">
        <v>0</v>
      </c>
      <c r="Z4270" s="21">
        <v>0</v>
      </c>
      <c r="AA4270" s="21">
        <v>0</v>
      </c>
      <c r="AB4270" s="21">
        <v>0</v>
      </c>
      <c r="AC4270" s="21">
        <v>0</v>
      </c>
      <c r="AD4270" s="21">
        <v>0</v>
      </c>
      <c r="AE4270" s="21">
        <v>0</v>
      </c>
      <c r="AF4270">
        <v>0</v>
      </c>
      <c r="AG4270">
        <v>0</v>
      </c>
      <c r="AH4270">
        <v>252</v>
      </c>
      <c r="AJ4270" t="s">
        <v>51</v>
      </c>
      <c r="AK4270" t="s">
        <v>95</v>
      </c>
      <c r="AL4270" t="s">
        <v>1438</v>
      </c>
      <c r="AP4270" t="s">
        <v>951</v>
      </c>
    </row>
    <row r="4271" spans="1:42">
      <c r="A4271" s="16">
        <v>43844</v>
      </c>
      <c r="B4271">
        <v>2</v>
      </c>
      <c r="C4271">
        <v>982</v>
      </c>
      <c r="D4271">
        <v>10418</v>
      </c>
      <c r="E4271" t="s">
        <v>37</v>
      </c>
      <c r="F4271" t="s">
        <v>520</v>
      </c>
      <c r="G4271">
        <v>2</v>
      </c>
      <c r="H4271">
        <v>14</v>
      </c>
      <c r="I4271" s="25">
        <v>800</v>
      </c>
      <c r="K4271" t="s">
        <v>53</v>
      </c>
      <c r="L4271" t="s">
        <v>141</v>
      </c>
      <c r="N4271" t="s">
        <v>40</v>
      </c>
      <c r="O4271">
        <v>85</v>
      </c>
      <c r="Q4271">
        <v>1</v>
      </c>
      <c r="R4271">
        <v>1</v>
      </c>
      <c r="S4271">
        <v>0</v>
      </c>
      <c r="T4271">
        <v>0</v>
      </c>
      <c r="U4271">
        <v>1</v>
      </c>
      <c r="V4271">
        <v>0</v>
      </c>
      <c r="W4271">
        <v>0</v>
      </c>
      <c r="X4271" s="21">
        <v>0</v>
      </c>
      <c r="Y4271" s="21">
        <v>0</v>
      </c>
      <c r="Z4271" s="21">
        <v>0</v>
      </c>
      <c r="AA4271" s="21">
        <v>0</v>
      </c>
      <c r="AB4271" s="21">
        <v>0</v>
      </c>
      <c r="AC4271" s="21">
        <v>0</v>
      </c>
      <c r="AD4271" s="21">
        <v>0</v>
      </c>
      <c r="AE4271" s="21">
        <v>0</v>
      </c>
      <c r="AF4271">
        <v>0</v>
      </c>
      <c r="AG4271">
        <v>0</v>
      </c>
      <c r="AH4271">
        <v>32</v>
      </c>
      <c r="AJ4271" t="s">
        <v>51</v>
      </c>
      <c r="AK4271" t="s">
        <v>95</v>
      </c>
      <c r="AL4271" t="s">
        <v>1439</v>
      </c>
      <c r="AP4271" t="s">
        <v>951</v>
      </c>
    </row>
    <row r="4272" spans="1:42">
      <c r="A4272" s="16">
        <v>43844</v>
      </c>
      <c r="B4272">
        <v>2</v>
      </c>
      <c r="C4272">
        <v>982</v>
      </c>
      <c r="D4272">
        <v>10418</v>
      </c>
      <c r="E4272" t="s">
        <v>37</v>
      </c>
      <c r="F4272" t="s">
        <v>520</v>
      </c>
      <c r="G4272">
        <v>2</v>
      </c>
      <c r="H4272">
        <v>15</v>
      </c>
      <c r="I4272" s="25">
        <v>729</v>
      </c>
      <c r="K4272" t="s">
        <v>53</v>
      </c>
      <c r="N4272" t="s">
        <v>44</v>
      </c>
      <c r="O4272">
        <v>130</v>
      </c>
      <c r="Q4272">
        <v>4</v>
      </c>
      <c r="R4272">
        <v>1</v>
      </c>
      <c r="S4272">
        <v>0</v>
      </c>
      <c r="T4272">
        <v>0</v>
      </c>
      <c r="U4272">
        <v>0</v>
      </c>
      <c r="V4272">
        <v>0</v>
      </c>
      <c r="W4272">
        <v>4</v>
      </c>
      <c r="X4272" s="21">
        <v>0</v>
      </c>
      <c r="Y4272" s="21">
        <v>0</v>
      </c>
      <c r="Z4272" s="21">
        <v>0</v>
      </c>
      <c r="AA4272" s="21">
        <v>0</v>
      </c>
      <c r="AB4272" s="21">
        <v>0</v>
      </c>
      <c r="AC4272" s="21">
        <v>0</v>
      </c>
      <c r="AD4272" s="21">
        <v>0</v>
      </c>
      <c r="AE4272" s="21">
        <v>0</v>
      </c>
      <c r="AF4272">
        <v>0</v>
      </c>
      <c r="AG4272">
        <v>0</v>
      </c>
      <c r="AH4272">
        <v>384</v>
      </c>
      <c r="AJ4272" t="s">
        <v>54</v>
      </c>
      <c r="AK4272" t="s">
        <v>95</v>
      </c>
      <c r="AL4272" t="s">
        <v>1440</v>
      </c>
      <c r="AP4272" t="s">
        <v>951</v>
      </c>
    </row>
    <row r="4273" spans="1:42">
      <c r="A4273" s="16">
        <v>43844</v>
      </c>
      <c r="B4273">
        <v>2</v>
      </c>
      <c r="C4273">
        <v>982</v>
      </c>
      <c r="D4273">
        <v>10418</v>
      </c>
      <c r="E4273" t="s">
        <v>37</v>
      </c>
      <c r="F4273" t="s">
        <v>520</v>
      </c>
      <c r="G4273">
        <v>2</v>
      </c>
      <c r="H4273">
        <v>16</v>
      </c>
      <c r="I4273" s="25">
        <v>0</v>
      </c>
      <c r="K4273" t="s">
        <v>1060</v>
      </c>
      <c r="L4273" t="s">
        <v>141</v>
      </c>
      <c r="N4273" t="s">
        <v>40</v>
      </c>
      <c r="O4273">
        <v>39</v>
      </c>
      <c r="Q4273">
        <v>1</v>
      </c>
      <c r="R4273">
        <v>1</v>
      </c>
      <c r="S4273">
        <v>0</v>
      </c>
      <c r="T4273">
        <v>0</v>
      </c>
      <c r="U4273">
        <v>0</v>
      </c>
      <c r="V4273">
        <v>0</v>
      </c>
      <c r="W4273">
        <v>1</v>
      </c>
      <c r="X4273" s="21">
        <v>0</v>
      </c>
      <c r="Y4273" s="21">
        <v>0</v>
      </c>
      <c r="Z4273" s="21">
        <v>0</v>
      </c>
      <c r="AA4273" s="21">
        <v>0</v>
      </c>
      <c r="AB4273" s="21">
        <v>0</v>
      </c>
      <c r="AC4273" s="21">
        <v>0</v>
      </c>
      <c r="AD4273" s="21">
        <v>0</v>
      </c>
      <c r="AE4273" s="21">
        <v>0</v>
      </c>
      <c r="AF4273">
        <v>0</v>
      </c>
      <c r="AG4273">
        <v>0</v>
      </c>
      <c r="AH4273">
        <v>96</v>
      </c>
      <c r="AJ4273" t="s">
        <v>51</v>
      </c>
      <c r="AK4273" t="s">
        <v>95</v>
      </c>
      <c r="AP4273" t="s">
        <v>951</v>
      </c>
    </row>
    <row r="4274" spans="1:42">
      <c r="A4274" s="16">
        <v>43844</v>
      </c>
      <c r="B4274">
        <v>2</v>
      </c>
      <c r="C4274">
        <v>982</v>
      </c>
      <c r="D4274">
        <v>10418</v>
      </c>
      <c r="E4274" t="s">
        <v>37</v>
      </c>
      <c r="F4274" t="s">
        <v>520</v>
      </c>
      <c r="G4274">
        <v>2</v>
      </c>
      <c r="H4274">
        <v>17</v>
      </c>
      <c r="I4274" s="25">
        <v>627</v>
      </c>
      <c r="K4274" t="s">
        <v>101</v>
      </c>
      <c r="N4274" t="s">
        <v>44</v>
      </c>
      <c r="O4274">
        <v>101</v>
      </c>
      <c r="Q4274">
        <v>1</v>
      </c>
      <c r="R4274">
        <v>1</v>
      </c>
      <c r="S4274">
        <v>0</v>
      </c>
      <c r="T4274">
        <v>0</v>
      </c>
      <c r="U4274">
        <v>0</v>
      </c>
      <c r="V4274">
        <v>0</v>
      </c>
      <c r="W4274">
        <v>1</v>
      </c>
      <c r="X4274" s="21">
        <v>0</v>
      </c>
      <c r="Y4274" s="21">
        <v>0</v>
      </c>
      <c r="Z4274" s="21">
        <v>0</v>
      </c>
      <c r="AA4274" s="21">
        <v>0</v>
      </c>
      <c r="AB4274" s="21">
        <v>0</v>
      </c>
      <c r="AC4274" s="21">
        <v>0</v>
      </c>
      <c r="AD4274" s="21">
        <v>0</v>
      </c>
      <c r="AE4274" s="21">
        <v>0</v>
      </c>
      <c r="AF4274">
        <v>0</v>
      </c>
      <c r="AG4274">
        <v>0</v>
      </c>
      <c r="AH4274">
        <v>96</v>
      </c>
      <c r="AJ4274" t="s">
        <v>51</v>
      </c>
      <c r="AK4274" t="s">
        <v>95</v>
      </c>
      <c r="AL4274" t="s">
        <v>1441</v>
      </c>
      <c r="AP4274" t="s">
        <v>951</v>
      </c>
    </row>
    <row r="4275" spans="1:42">
      <c r="A4275" s="16">
        <v>43844</v>
      </c>
      <c r="B4275">
        <v>2</v>
      </c>
      <c r="C4275">
        <v>982</v>
      </c>
      <c r="D4275">
        <v>10418</v>
      </c>
      <c r="E4275" t="s">
        <v>37</v>
      </c>
      <c r="F4275" t="s">
        <v>520</v>
      </c>
      <c r="G4275">
        <v>2</v>
      </c>
      <c r="H4275">
        <v>18</v>
      </c>
      <c r="I4275" s="25">
        <v>0</v>
      </c>
      <c r="K4275" t="s">
        <v>1060</v>
      </c>
      <c r="L4275" t="s">
        <v>114</v>
      </c>
      <c r="N4275" t="s">
        <v>40</v>
      </c>
      <c r="O4275">
        <v>58</v>
      </c>
      <c r="Q4275">
        <v>1</v>
      </c>
      <c r="R4275">
        <v>1</v>
      </c>
      <c r="S4275">
        <v>0</v>
      </c>
      <c r="T4275">
        <v>0</v>
      </c>
      <c r="U4275">
        <v>0</v>
      </c>
      <c r="V4275">
        <v>0</v>
      </c>
      <c r="W4275">
        <v>1</v>
      </c>
      <c r="X4275" s="21">
        <v>0</v>
      </c>
      <c r="Y4275" s="21">
        <v>0</v>
      </c>
      <c r="Z4275" s="21">
        <v>0</v>
      </c>
      <c r="AA4275" s="21">
        <v>0</v>
      </c>
      <c r="AB4275" s="21">
        <v>0</v>
      </c>
      <c r="AC4275" s="21">
        <v>0</v>
      </c>
      <c r="AD4275" s="21">
        <v>0</v>
      </c>
      <c r="AE4275" s="21">
        <v>0</v>
      </c>
      <c r="AF4275">
        <v>0</v>
      </c>
      <c r="AG4275">
        <v>0</v>
      </c>
      <c r="AH4275">
        <v>96</v>
      </c>
      <c r="AJ4275" t="s">
        <v>51</v>
      </c>
      <c r="AK4275" t="s">
        <v>95</v>
      </c>
      <c r="AP4275" t="s">
        <v>951</v>
      </c>
    </row>
    <row r="4276" spans="1:42">
      <c r="A4276" s="16">
        <v>43844</v>
      </c>
      <c r="B4276">
        <v>2</v>
      </c>
      <c r="C4276">
        <v>982</v>
      </c>
      <c r="D4276">
        <v>10418</v>
      </c>
      <c r="E4276" t="s">
        <v>37</v>
      </c>
      <c r="F4276" t="s">
        <v>520</v>
      </c>
      <c r="G4276">
        <v>2</v>
      </c>
      <c r="H4276">
        <v>19</v>
      </c>
      <c r="I4276" s="25">
        <v>625</v>
      </c>
      <c r="K4276" t="s">
        <v>101</v>
      </c>
      <c r="N4276" t="s">
        <v>44</v>
      </c>
      <c r="O4276">
        <v>167</v>
      </c>
      <c r="Q4276">
        <v>1</v>
      </c>
      <c r="R4276">
        <v>1</v>
      </c>
      <c r="S4276">
        <v>0</v>
      </c>
      <c r="T4276">
        <v>0</v>
      </c>
      <c r="U4276">
        <v>0</v>
      </c>
      <c r="V4276">
        <v>0</v>
      </c>
      <c r="W4276">
        <v>1</v>
      </c>
      <c r="X4276" s="21">
        <v>0</v>
      </c>
      <c r="Y4276" s="21">
        <v>0</v>
      </c>
      <c r="Z4276" s="21">
        <v>0</v>
      </c>
      <c r="AA4276" s="21">
        <v>0</v>
      </c>
      <c r="AB4276" s="21">
        <v>0</v>
      </c>
      <c r="AC4276" s="21">
        <v>0</v>
      </c>
      <c r="AD4276" s="21">
        <v>0</v>
      </c>
      <c r="AE4276" s="21">
        <v>0</v>
      </c>
      <c r="AF4276">
        <v>0</v>
      </c>
      <c r="AG4276">
        <v>0</v>
      </c>
      <c r="AH4276">
        <v>96</v>
      </c>
      <c r="AJ4276" t="s">
        <v>51</v>
      </c>
      <c r="AK4276" t="s">
        <v>95</v>
      </c>
      <c r="AL4276" t="s">
        <v>1442</v>
      </c>
      <c r="AP4276" t="s">
        <v>951</v>
      </c>
    </row>
    <row r="4277" spans="1:42">
      <c r="A4277" s="16">
        <v>43844</v>
      </c>
      <c r="B4277">
        <v>2</v>
      </c>
      <c r="C4277">
        <v>982</v>
      </c>
      <c r="D4277">
        <v>10418</v>
      </c>
      <c r="E4277" t="s">
        <v>37</v>
      </c>
      <c r="F4277" t="s">
        <v>520</v>
      </c>
      <c r="G4277">
        <v>2</v>
      </c>
      <c r="H4277">
        <v>20</v>
      </c>
      <c r="I4277" s="25">
        <v>700</v>
      </c>
      <c r="K4277" t="s">
        <v>49</v>
      </c>
      <c r="L4277" t="s">
        <v>141</v>
      </c>
      <c r="N4277" t="s">
        <v>40</v>
      </c>
      <c r="O4277">
        <v>104</v>
      </c>
      <c r="Q4277">
        <v>2</v>
      </c>
      <c r="R4277">
        <v>1</v>
      </c>
      <c r="S4277">
        <v>0</v>
      </c>
      <c r="T4277">
        <v>0</v>
      </c>
      <c r="U4277">
        <v>0</v>
      </c>
      <c r="V4277">
        <v>0</v>
      </c>
      <c r="W4277">
        <v>2</v>
      </c>
      <c r="X4277" s="21">
        <v>0</v>
      </c>
      <c r="Y4277" s="21">
        <v>0</v>
      </c>
      <c r="Z4277" s="21">
        <v>0</v>
      </c>
      <c r="AA4277" s="21">
        <v>0</v>
      </c>
      <c r="AB4277" s="21">
        <v>0</v>
      </c>
      <c r="AC4277" s="21">
        <v>0</v>
      </c>
      <c r="AD4277" s="21">
        <v>0</v>
      </c>
      <c r="AE4277" s="21">
        <v>0</v>
      </c>
      <c r="AF4277">
        <v>0</v>
      </c>
      <c r="AG4277">
        <v>0</v>
      </c>
      <c r="AH4277">
        <v>192</v>
      </c>
      <c r="AJ4277" t="s">
        <v>51</v>
      </c>
      <c r="AK4277" t="s">
        <v>52</v>
      </c>
      <c r="AP4277" t="s">
        <v>951</v>
      </c>
    </row>
    <row r="4278" spans="1:42">
      <c r="A4278" s="16">
        <v>43844</v>
      </c>
      <c r="B4278">
        <v>2</v>
      </c>
      <c r="C4278">
        <v>982</v>
      </c>
      <c r="D4278">
        <v>10418</v>
      </c>
      <c r="E4278" t="s">
        <v>37</v>
      </c>
      <c r="F4278" t="s">
        <v>520</v>
      </c>
      <c r="G4278">
        <v>2</v>
      </c>
      <c r="H4278">
        <v>21</v>
      </c>
      <c r="I4278" s="25">
        <v>700</v>
      </c>
      <c r="K4278" t="s">
        <v>49</v>
      </c>
      <c r="L4278" t="s">
        <v>114</v>
      </c>
      <c r="N4278" t="s">
        <v>40</v>
      </c>
      <c r="O4278">
        <v>229</v>
      </c>
      <c r="Q4278">
        <v>5</v>
      </c>
      <c r="R4278">
        <v>1</v>
      </c>
      <c r="S4278">
        <v>0</v>
      </c>
      <c r="T4278">
        <v>0</v>
      </c>
      <c r="U4278">
        <v>0</v>
      </c>
      <c r="V4278">
        <v>0</v>
      </c>
      <c r="W4278">
        <v>5</v>
      </c>
      <c r="X4278" s="21">
        <v>0</v>
      </c>
      <c r="Y4278" s="21">
        <v>0</v>
      </c>
      <c r="Z4278" s="21">
        <v>0</v>
      </c>
      <c r="AA4278" s="21">
        <v>0</v>
      </c>
      <c r="AB4278" s="21">
        <v>0</v>
      </c>
      <c r="AC4278" s="21">
        <v>0</v>
      </c>
      <c r="AD4278" s="21">
        <v>0</v>
      </c>
      <c r="AE4278" s="21">
        <v>0</v>
      </c>
      <c r="AF4278">
        <v>0</v>
      </c>
      <c r="AG4278">
        <v>0</v>
      </c>
      <c r="AH4278">
        <v>460</v>
      </c>
      <c r="AJ4278" t="s">
        <v>51</v>
      </c>
      <c r="AK4278" t="s">
        <v>95</v>
      </c>
      <c r="AL4278" t="s">
        <v>1443</v>
      </c>
      <c r="AP4278" t="s">
        <v>951</v>
      </c>
    </row>
    <row r="4279" spans="1:42">
      <c r="A4279" s="16">
        <v>43844</v>
      </c>
      <c r="B4279">
        <v>2</v>
      </c>
      <c r="C4279">
        <v>982</v>
      </c>
      <c r="D4279">
        <v>10418</v>
      </c>
      <c r="E4279" t="s">
        <v>37</v>
      </c>
      <c r="F4279" t="s">
        <v>520</v>
      </c>
      <c r="G4279">
        <v>2</v>
      </c>
      <c r="H4279">
        <v>22</v>
      </c>
      <c r="I4279" s="25">
        <v>845</v>
      </c>
      <c r="K4279" t="s">
        <v>49</v>
      </c>
      <c r="N4279" t="s">
        <v>44</v>
      </c>
      <c r="O4279">
        <v>110</v>
      </c>
      <c r="Q4279">
        <v>3</v>
      </c>
      <c r="R4279">
        <v>1</v>
      </c>
      <c r="S4279">
        <v>0</v>
      </c>
      <c r="T4279">
        <v>0</v>
      </c>
      <c r="U4279">
        <v>0</v>
      </c>
      <c r="V4279">
        <v>0</v>
      </c>
      <c r="W4279">
        <v>3</v>
      </c>
      <c r="X4279" s="21">
        <v>0</v>
      </c>
      <c r="Y4279" s="21">
        <v>0</v>
      </c>
      <c r="Z4279" s="21">
        <v>0</v>
      </c>
      <c r="AA4279" s="21">
        <v>0</v>
      </c>
      <c r="AB4279" s="21">
        <v>0</v>
      </c>
      <c r="AC4279" s="21">
        <v>0</v>
      </c>
      <c r="AD4279" s="21">
        <v>0</v>
      </c>
      <c r="AE4279" s="21">
        <v>0</v>
      </c>
      <c r="AF4279">
        <v>0</v>
      </c>
      <c r="AG4279">
        <v>0</v>
      </c>
      <c r="AH4279">
        <v>288</v>
      </c>
      <c r="AJ4279" t="s">
        <v>51</v>
      </c>
      <c r="AK4279" t="s">
        <v>52</v>
      </c>
      <c r="AP4279" t="s">
        <v>951</v>
      </c>
    </row>
    <row r="4280" spans="1:42">
      <c r="A4280" s="16">
        <v>43844</v>
      </c>
      <c r="B4280">
        <v>2</v>
      </c>
      <c r="C4280">
        <v>982</v>
      </c>
      <c r="D4280">
        <v>10418</v>
      </c>
      <c r="E4280" t="s">
        <v>37</v>
      </c>
      <c r="F4280" t="s">
        <v>520</v>
      </c>
      <c r="G4280">
        <v>2</v>
      </c>
      <c r="H4280">
        <v>23</v>
      </c>
      <c r="I4280" s="25">
        <v>832</v>
      </c>
      <c r="K4280" t="s">
        <v>49</v>
      </c>
      <c r="N4280" t="s">
        <v>44</v>
      </c>
      <c r="O4280">
        <v>191</v>
      </c>
      <c r="Q4280">
        <v>2</v>
      </c>
      <c r="R4280">
        <v>1</v>
      </c>
      <c r="S4280">
        <v>0</v>
      </c>
      <c r="T4280">
        <v>0</v>
      </c>
      <c r="U4280">
        <v>0</v>
      </c>
      <c r="V4280">
        <v>0</v>
      </c>
      <c r="W4280">
        <v>2</v>
      </c>
      <c r="X4280" s="21">
        <v>0</v>
      </c>
      <c r="Y4280" s="21">
        <v>0</v>
      </c>
      <c r="Z4280" s="21">
        <v>0</v>
      </c>
      <c r="AA4280" s="21">
        <v>0</v>
      </c>
      <c r="AB4280" s="21">
        <v>0</v>
      </c>
      <c r="AC4280" s="21">
        <v>0</v>
      </c>
      <c r="AD4280" s="21">
        <v>0</v>
      </c>
      <c r="AE4280" s="21">
        <v>0</v>
      </c>
      <c r="AF4280">
        <v>0</v>
      </c>
      <c r="AG4280">
        <v>0</v>
      </c>
      <c r="AH4280">
        <v>192</v>
      </c>
      <c r="AJ4280" t="s">
        <v>51</v>
      </c>
      <c r="AK4280" t="s">
        <v>95</v>
      </c>
      <c r="AL4280" t="s">
        <v>1444</v>
      </c>
      <c r="AP4280" t="s">
        <v>951</v>
      </c>
    </row>
    <row r="4281" spans="1:42">
      <c r="A4281" s="16">
        <v>43844</v>
      </c>
      <c r="B4281">
        <v>2</v>
      </c>
      <c r="C4281">
        <v>982</v>
      </c>
      <c r="D4281">
        <v>10418</v>
      </c>
      <c r="E4281" t="s">
        <v>37</v>
      </c>
      <c r="F4281" t="s">
        <v>520</v>
      </c>
      <c r="G4281">
        <v>2</v>
      </c>
      <c r="H4281">
        <v>24</v>
      </c>
      <c r="I4281" s="25">
        <v>800</v>
      </c>
      <c r="K4281" t="s">
        <v>49</v>
      </c>
      <c r="L4281" t="s">
        <v>141</v>
      </c>
      <c r="N4281" t="s">
        <v>40</v>
      </c>
      <c r="O4281">
        <v>65</v>
      </c>
      <c r="Q4281">
        <v>1</v>
      </c>
      <c r="R4281">
        <v>1</v>
      </c>
      <c r="S4281">
        <v>0</v>
      </c>
      <c r="T4281">
        <v>0</v>
      </c>
      <c r="U4281">
        <v>0</v>
      </c>
      <c r="V4281">
        <v>0</v>
      </c>
      <c r="W4281">
        <v>1</v>
      </c>
      <c r="X4281" s="21">
        <v>0</v>
      </c>
      <c r="Y4281" s="21">
        <v>0</v>
      </c>
      <c r="Z4281" s="21">
        <v>0</v>
      </c>
      <c r="AA4281" s="21">
        <v>0</v>
      </c>
      <c r="AB4281" s="21">
        <v>0</v>
      </c>
      <c r="AC4281" s="21">
        <v>0</v>
      </c>
      <c r="AD4281" s="21">
        <v>0</v>
      </c>
      <c r="AE4281" s="21">
        <v>0</v>
      </c>
      <c r="AF4281">
        <v>0</v>
      </c>
      <c r="AG4281">
        <v>0</v>
      </c>
      <c r="AH4281">
        <v>96</v>
      </c>
      <c r="AJ4281" t="s">
        <v>51</v>
      </c>
      <c r="AK4281" t="s">
        <v>52</v>
      </c>
      <c r="AP4281" t="s">
        <v>951</v>
      </c>
    </row>
    <row r="4282" spans="1:42">
      <c r="A4282" s="16">
        <v>43844</v>
      </c>
      <c r="B4282">
        <v>2</v>
      </c>
      <c r="C4282">
        <v>982</v>
      </c>
      <c r="D4282">
        <v>10418</v>
      </c>
      <c r="E4282" t="s">
        <v>37</v>
      </c>
      <c r="F4282" t="s">
        <v>520</v>
      </c>
      <c r="G4282">
        <v>2</v>
      </c>
      <c r="H4282">
        <v>25</v>
      </c>
      <c r="I4282" s="25">
        <v>800</v>
      </c>
      <c r="K4282" t="s">
        <v>49</v>
      </c>
      <c r="L4282" t="s">
        <v>114</v>
      </c>
      <c r="N4282" t="s">
        <v>40</v>
      </c>
      <c r="O4282">
        <v>64</v>
      </c>
      <c r="Q4282">
        <v>1</v>
      </c>
      <c r="R4282">
        <v>1</v>
      </c>
      <c r="S4282">
        <v>0</v>
      </c>
      <c r="T4282">
        <v>0</v>
      </c>
      <c r="U4282">
        <v>0</v>
      </c>
      <c r="V4282">
        <v>0</v>
      </c>
      <c r="W4282">
        <v>1</v>
      </c>
      <c r="X4282" s="21">
        <v>0</v>
      </c>
      <c r="Y4282" s="21">
        <v>0</v>
      </c>
      <c r="Z4282" s="21">
        <v>0</v>
      </c>
      <c r="AA4282" s="21">
        <v>0</v>
      </c>
      <c r="AB4282" s="21">
        <v>0</v>
      </c>
      <c r="AC4282" s="21">
        <v>0</v>
      </c>
      <c r="AD4282" s="21">
        <v>0</v>
      </c>
      <c r="AE4282" s="21">
        <v>0</v>
      </c>
      <c r="AF4282">
        <v>0</v>
      </c>
      <c r="AG4282">
        <v>0</v>
      </c>
      <c r="AH4282">
        <v>96</v>
      </c>
      <c r="AJ4282" t="s">
        <v>51</v>
      </c>
      <c r="AK4282" t="s">
        <v>95</v>
      </c>
      <c r="AL4282" t="s">
        <v>1445</v>
      </c>
      <c r="AP4282" t="s">
        <v>951</v>
      </c>
    </row>
    <row r="4283" spans="1:42">
      <c r="A4283" s="16">
        <v>43844</v>
      </c>
      <c r="B4283">
        <v>2</v>
      </c>
      <c r="C4283">
        <v>982</v>
      </c>
      <c r="D4283">
        <v>10418</v>
      </c>
      <c r="E4283" t="s">
        <v>37</v>
      </c>
      <c r="F4283" t="s">
        <v>520</v>
      </c>
      <c r="G4283">
        <v>2</v>
      </c>
      <c r="H4283">
        <v>26</v>
      </c>
      <c r="I4283" s="25">
        <v>871</v>
      </c>
      <c r="K4283" t="s">
        <v>49</v>
      </c>
      <c r="M4283" t="s">
        <v>95</v>
      </c>
      <c r="N4283" t="s">
        <v>44</v>
      </c>
      <c r="O4283">
        <v>106</v>
      </c>
      <c r="Q4283">
        <v>1</v>
      </c>
      <c r="R4283">
        <v>1</v>
      </c>
      <c r="S4283">
        <v>0</v>
      </c>
      <c r="T4283">
        <v>0</v>
      </c>
      <c r="U4283">
        <v>0</v>
      </c>
      <c r="V4283">
        <v>0</v>
      </c>
      <c r="W4283">
        <v>1</v>
      </c>
      <c r="X4283" s="21">
        <v>0</v>
      </c>
      <c r="Y4283" s="21">
        <v>0</v>
      </c>
      <c r="Z4283" s="21">
        <v>0</v>
      </c>
      <c r="AA4283" s="21">
        <v>0</v>
      </c>
      <c r="AB4283" s="21">
        <v>0</v>
      </c>
      <c r="AC4283" s="21">
        <v>0</v>
      </c>
      <c r="AD4283" s="21">
        <v>0</v>
      </c>
      <c r="AE4283" s="21">
        <v>0</v>
      </c>
      <c r="AF4283">
        <v>0</v>
      </c>
      <c r="AG4283">
        <v>0</v>
      </c>
      <c r="AH4283">
        <v>96</v>
      </c>
      <c r="AJ4283" t="s">
        <v>51</v>
      </c>
      <c r="AK4283" t="s">
        <v>52</v>
      </c>
      <c r="AP4283" t="s">
        <v>951</v>
      </c>
    </row>
    <row r="4284" spans="1:42">
      <c r="A4284" s="16">
        <v>43844</v>
      </c>
      <c r="B4284">
        <v>2</v>
      </c>
      <c r="C4284">
        <v>982</v>
      </c>
      <c r="D4284">
        <v>10418</v>
      </c>
      <c r="E4284" t="s">
        <v>37</v>
      </c>
      <c r="F4284" t="s">
        <v>520</v>
      </c>
      <c r="G4284">
        <v>2</v>
      </c>
      <c r="H4284">
        <v>27</v>
      </c>
      <c r="I4284" s="25">
        <v>805</v>
      </c>
      <c r="K4284" t="s">
        <v>1446</v>
      </c>
      <c r="N4284" t="s">
        <v>44</v>
      </c>
      <c r="O4284">
        <v>343</v>
      </c>
      <c r="Q4284">
        <v>4</v>
      </c>
      <c r="R4284">
        <v>1</v>
      </c>
      <c r="S4284">
        <v>0</v>
      </c>
      <c r="T4284">
        <v>0</v>
      </c>
      <c r="U4284">
        <v>0</v>
      </c>
      <c r="V4284">
        <v>0</v>
      </c>
      <c r="W4284">
        <v>4</v>
      </c>
      <c r="X4284" s="21">
        <v>0</v>
      </c>
      <c r="Y4284" s="21">
        <v>0</v>
      </c>
      <c r="Z4284" s="21">
        <v>0</v>
      </c>
      <c r="AA4284" s="21">
        <v>0</v>
      </c>
      <c r="AB4284" s="21">
        <v>0</v>
      </c>
      <c r="AC4284" s="21">
        <v>0</v>
      </c>
      <c r="AD4284" s="21">
        <v>0</v>
      </c>
      <c r="AE4284" s="21">
        <v>0</v>
      </c>
      <c r="AF4284">
        <v>0</v>
      </c>
      <c r="AG4284">
        <v>0</v>
      </c>
      <c r="AH4284">
        <v>384</v>
      </c>
      <c r="AL4284" t="s">
        <v>1447</v>
      </c>
      <c r="AP4284" t="s">
        <v>951</v>
      </c>
    </row>
    <row r="4285" spans="1:42">
      <c r="A4285" s="16">
        <v>43844</v>
      </c>
      <c r="B4285">
        <v>2</v>
      </c>
      <c r="C4285">
        <v>982</v>
      </c>
      <c r="D4285">
        <v>10418</v>
      </c>
      <c r="E4285" t="s">
        <v>37</v>
      </c>
      <c r="F4285" t="s">
        <v>520</v>
      </c>
      <c r="G4285">
        <v>2</v>
      </c>
      <c r="H4285">
        <v>28</v>
      </c>
      <c r="I4285" s="25">
        <v>940</v>
      </c>
      <c r="K4285" t="s">
        <v>49</v>
      </c>
      <c r="N4285" t="s">
        <v>44</v>
      </c>
      <c r="O4285">
        <v>127</v>
      </c>
      <c r="Q4285">
        <v>3</v>
      </c>
      <c r="R4285">
        <v>1</v>
      </c>
      <c r="S4285">
        <v>0</v>
      </c>
      <c r="T4285">
        <v>0</v>
      </c>
      <c r="U4285">
        <v>0</v>
      </c>
      <c r="V4285">
        <v>0</v>
      </c>
      <c r="W4285">
        <v>3</v>
      </c>
      <c r="X4285" s="21">
        <v>0</v>
      </c>
      <c r="Y4285" s="21">
        <v>0</v>
      </c>
      <c r="Z4285" s="21">
        <v>0</v>
      </c>
      <c r="AA4285" s="21">
        <v>0</v>
      </c>
      <c r="AB4285" s="21">
        <v>0</v>
      </c>
      <c r="AC4285" s="21">
        <v>0</v>
      </c>
      <c r="AD4285" s="21">
        <v>0</v>
      </c>
      <c r="AE4285" s="21">
        <v>0</v>
      </c>
      <c r="AF4285">
        <v>0</v>
      </c>
      <c r="AG4285">
        <v>0</v>
      </c>
      <c r="AH4285">
        <v>288</v>
      </c>
      <c r="AL4285" t="s">
        <v>1448</v>
      </c>
      <c r="AP4285" t="s">
        <v>951</v>
      </c>
    </row>
    <row r="4286" spans="1:42">
      <c r="A4286" s="16">
        <v>43844</v>
      </c>
      <c r="B4286">
        <v>2</v>
      </c>
      <c r="C4286">
        <v>982</v>
      </c>
      <c r="D4286">
        <v>10418</v>
      </c>
      <c r="E4286" t="s">
        <v>37</v>
      </c>
      <c r="F4286" t="s">
        <v>520</v>
      </c>
      <c r="G4286">
        <v>2</v>
      </c>
      <c r="H4286">
        <v>29</v>
      </c>
      <c r="I4286" s="25">
        <v>900</v>
      </c>
      <c r="K4286" t="s">
        <v>49</v>
      </c>
      <c r="L4286" t="s">
        <v>114</v>
      </c>
      <c r="N4286" t="s">
        <v>40</v>
      </c>
      <c r="O4286">
        <v>85</v>
      </c>
      <c r="Q4286">
        <v>2</v>
      </c>
      <c r="R4286">
        <v>1</v>
      </c>
      <c r="S4286">
        <v>0</v>
      </c>
      <c r="T4286">
        <v>0</v>
      </c>
      <c r="U4286">
        <v>0</v>
      </c>
      <c r="V4286">
        <v>0</v>
      </c>
      <c r="W4286">
        <v>2</v>
      </c>
      <c r="X4286" s="21">
        <v>0</v>
      </c>
      <c r="Y4286" s="21">
        <v>0</v>
      </c>
      <c r="Z4286" s="21">
        <v>0</v>
      </c>
      <c r="AA4286" s="21">
        <v>0</v>
      </c>
      <c r="AB4286" s="21">
        <v>0</v>
      </c>
      <c r="AC4286" s="21">
        <v>0</v>
      </c>
      <c r="AD4286" s="21">
        <v>0</v>
      </c>
      <c r="AE4286" s="21">
        <v>0</v>
      </c>
      <c r="AF4286">
        <v>0</v>
      </c>
      <c r="AG4286">
        <v>0</v>
      </c>
      <c r="AH4286">
        <v>192</v>
      </c>
      <c r="AJ4286" t="s">
        <v>51</v>
      </c>
      <c r="AK4286" t="s">
        <v>52</v>
      </c>
      <c r="AP4286" t="s">
        <v>951</v>
      </c>
    </row>
    <row r="4287" spans="1:42">
      <c r="A4287" s="16">
        <v>43844</v>
      </c>
      <c r="B4287">
        <v>2</v>
      </c>
      <c r="C4287">
        <v>982</v>
      </c>
      <c r="D4287">
        <v>10418</v>
      </c>
      <c r="E4287" t="s">
        <v>37</v>
      </c>
      <c r="F4287" t="s">
        <v>520</v>
      </c>
      <c r="G4287">
        <v>2</v>
      </c>
      <c r="H4287">
        <v>30</v>
      </c>
      <c r="I4287" s="25">
        <v>900</v>
      </c>
      <c r="K4287" t="s">
        <v>49</v>
      </c>
      <c r="L4287" t="s">
        <v>114</v>
      </c>
      <c r="N4287" t="s">
        <v>40</v>
      </c>
      <c r="O4287">
        <v>65</v>
      </c>
      <c r="Q4287">
        <v>1</v>
      </c>
      <c r="R4287">
        <v>1</v>
      </c>
      <c r="S4287">
        <v>0</v>
      </c>
      <c r="T4287">
        <v>0</v>
      </c>
      <c r="U4287">
        <v>0</v>
      </c>
      <c r="V4287">
        <v>0</v>
      </c>
      <c r="W4287">
        <v>1</v>
      </c>
      <c r="X4287" s="21">
        <v>0</v>
      </c>
      <c r="Y4287" s="21">
        <v>0</v>
      </c>
      <c r="Z4287" s="21">
        <v>0</v>
      </c>
      <c r="AA4287" s="21">
        <v>0</v>
      </c>
      <c r="AB4287" s="21">
        <v>0</v>
      </c>
      <c r="AC4287" s="21">
        <v>0</v>
      </c>
      <c r="AD4287" s="21">
        <v>0</v>
      </c>
      <c r="AE4287" s="21">
        <v>0</v>
      </c>
      <c r="AF4287">
        <v>0</v>
      </c>
      <c r="AG4287">
        <v>0</v>
      </c>
      <c r="AH4287">
        <v>96</v>
      </c>
      <c r="AJ4287" t="s">
        <v>51</v>
      </c>
      <c r="AK4287" t="s">
        <v>52</v>
      </c>
      <c r="AP4287" t="s">
        <v>951</v>
      </c>
    </row>
    <row r="4288" spans="1:42">
      <c r="A4288" s="16">
        <v>43844</v>
      </c>
      <c r="B4288">
        <v>2</v>
      </c>
      <c r="C4288">
        <v>982</v>
      </c>
      <c r="D4288">
        <v>10418</v>
      </c>
      <c r="E4288" t="s">
        <v>37</v>
      </c>
      <c r="F4288" t="s">
        <v>520</v>
      </c>
      <c r="G4288">
        <v>2</v>
      </c>
      <c r="H4288">
        <v>31</v>
      </c>
      <c r="I4288" s="25">
        <v>1054</v>
      </c>
      <c r="K4288" t="s">
        <v>49</v>
      </c>
      <c r="N4288" t="s">
        <v>44</v>
      </c>
      <c r="O4288">
        <v>106</v>
      </c>
      <c r="Q4288">
        <v>2</v>
      </c>
      <c r="R4288">
        <v>1</v>
      </c>
      <c r="S4288">
        <v>0</v>
      </c>
      <c r="T4288">
        <v>0</v>
      </c>
      <c r="U4288">
        <v>0</v>
      </c>
      <c r="V4288">
        <v>0</v>
      </c>
      <c r="W4288">
        <v>2</v>
      </c>
      <c r="X4288" s="21">
        <v>0</v>
      </c>
      <c r="Y4288" s="21">
        <v>0</v>
      </c>
      <c r="Z4288" s="21">
        <v>0</v>
      </c>
      <c r="AA4288" s="21">
        <v>0</v>
      </c>
      <c r="AB4288" s="21">
        <v>0</v>
      </c>
      <c r="AC4288" s="21">
        <v>0</v>
      </c>
      <c r="AD4288" s="21">
        <v>0</v>
      </c>
      <c r="AE4288" s="21">
        <v>0</v>
      </c>
      <c r="AF4288">
        <v>0</v>
      </c>
      <c r="AG4288">
        <v>0</v>
      </c>
      <c r="AH4288">
        <v>192</v>
      </c>
      <c r="AJ4288" t="s">
        <v>51</v>
      </c>
      <c r="AK4288" t="s">
        <v>52</v>
      </c>
      <c r="AL4288" t="s">
        <v>618</v>
      </c>
      <c r="AP4288" t="s">
        <v>951</v>
      </c>
    </row>
    <row r="4289" spans="1:42">
      <c r="A4289" s="16">
        <v>43844</v>
      </c>
      <c r="B4289">
        <v>2</v>
      </c>
      <c r="C4289">
        <v>982</v>
      </c>
      <c r="D4289">
        <v>10418</v>
      </c>
      <c r="E4289" t="s">
        <v>37</v>
      </c>
      <c r="F4289" t="s">
        <v>520</v>
      </c>
      <c r="G4289">
        <v>2</v>
      </c>
      <c r="H4289">
        <v>32</v>
      </c>
      <c r="I4289" s="25">
        <v>1062</v>
      </c>
      <c r="K4289" t="s">
        <v>49</v>
      </c>
      <c r="N4289" t="s">
        <v>44</v>
      </c>
      <c r="O4289">
        <v>121</v>
      </c>
      <c r="Q4289">
        <v>2</v>
      </c>
      <c r="R4289">
        <v>1</v>
      </c>
      <c r="S4289">
        <v>0</v>
      </c>
      <c r="T4289">
        <v>0</v>
      </c>
      <c r="U4289">
        <v>0</v>
      </c>
      <c r="V4289">
        <v>2</v>
      </c>
      <c r="W4289">
        <v>0</v>
      </c>
      <c r="X4289" s="21">
        <v>0</v>
      </c>
      <c r="Y4289" s="21">
        <v>0</v>
      </c>
      <c r="Z4289" s="21">
        <v>0</v>
      </c>
      <c r="AA4289" s="21">
        <v>0</v>
      </c>
      <c r="AB4289" s="21">
        <v>0</v>
      </c>
      <c r="AC4289" s="21">
        <v>0</v>
      </c>
      <c r="AD4289" s="21">
        <v>0</v>
      </c>
      <c r="AE4289" s="21">
        <v>0</v>
      </c>
      <c r="AF4289">
        <v>0</v>
      </c>
      <c r="AG4289">
        <v>0</v>
      </c>
      <c r="AH4289">
        <v>128</v>
      </c>
      <c r="AJ4289" t="s">
        <v>51</v>
      </c>
      <c r="AK4289" t="s">
        <v>52</v>
      </c>
      <c r="AL4289" t="s">
        <v>1405</v>
      </c>
      <c r="AP4289" t="s">
        <v>951</v>
      </c>
    </row>
    <row r="4290" spans="1:42">
      <c r="A4290" s="16">
        <v>43844</v>
      </c>
      <c r="B4290">
        <v>2</v>
      </c>
      <c r="C4290">
        <v>982</v>
      </c>
      <c r="D4290">
        <v>10418</v>
      </c>
      <c r="E4290" t="s">
        <v>37</v>
      </c>
      <c r="F4290" t="s">
        <v>520</v>
      </c>
      <c r="G4290">
        <v>2</v>
      </c>
      <c r="H4290">
        <v>33</v>
      </c>
      <c r="I4290" s="25">
        <v>620</v>
      </c>
      <c r="K4290" t="s">
        <v>49</v>
      </c>
      <c r="N4290" t="s">
        <v>44</v>
      </c>
      <c r="O4290">
        <v>161</v>
      </c>
      <c r="Q4290">
        <v>2</v>
      </c>
      <c r="R4290">
        <v>1</v>
      </c>
      <c r="S4290">
        <v>0</v>
      </c>
      <c r="T4290">
        <v>0</v>
      </c>
      <c r="U4290">
        <v>0</v>
      </c>
      <c r="V4290">
        <v>0</v>
      </c>
      <c r="W4290">
        <v>2</v>
      </c>
      <c r="X4290" s="21">
        <v>0</v>
      </c>
      <c r="Y4290" s="21">
        <v>0</v>
      </c>
      <c r="Z4290" s="21">
        <v>0</v>
      </c>
      <c r="AA4290" s="21">
        <v>0</v>
      </c>
      <c r="AB4290" s="21">
        <v>0</v>
      </c>
      <c r="AC4290" s="21">
        <v>0</v>
      </c>
      <c r="AD4290" s="21">
        <v>0</v>
      </c>
      <c r="AE4290" s="21">
        <v>0</v>
      </c>
      <c r="AF4290">
        <v>0</v>
      </c>
      <c r="AG4290">
        <v>0</v>
      </c>
      <c r="AH4290">
        <v>192</v>
      </c>
      <c r="AJ4290" t="s">
        <v>51</v>
      </c>
      <c r="AK4290" t="s">
        <v>95</v>
      </c>
      <c r="AL4290" t="s">
        <v>1449</v>
      </c>
      <c r="AP4290" t="s">
        <v>951</v>
      </c>
    </row>
    <row r="4291" spans="1:42">
      <c r="A4291" s="16">
        <v>43844</v>
      </c>
      <c r="B4291">
        <v>2</v>
      </c>
      <c r="C4291">
        <v>982</v>
      </c>
      <c r="D4291">
        <v>10418</v>
      </c>
      <c r="E4291" t="s">
        <v>37</v>
      </c>
      <c r="F4291" t="s">
        <v>520</v>
      </c>
      <c r="G4291">
        <v>2</v>
      </c>
      <c r="H4291">
        <v>34</v>
      </c>
      <c r="I4291" s="25">
        <v>600</v>
      </c>
      <c r="K4291" t="s">
        <v>49</v>
      </c>
      <c r="L4291" t="s">
        <v>114</v>
      </c>
      <c r="N4291" t="s">
        <v>40</v>
      </c>
      <c r="O4291">
        <v>62</v>
      </c>
      <c r="Q4291">
        <v>1</v>
      </c>
      <c r="R4291">
        <v>1</v>
      </c>
      <c r="S4291">
        <v>0</v>
      </c>
      <c r="T4291">
        <v>0</v>
      </c>
      <c r="U4291">
        <v>0</v>
      </c>
      <c r="V4291">
        <v>0</v>
      </c>
      <c r="W4291">
        <v>1</v>
      </c>
      <c r="X4291" s="21">
        <v>0</v>
      </c>
      <c r="Y4291" s="21">
        <v>0</v>
      </c>
      <c r="Z4291" s="21">
        <v>0</v>
      </c>
      <c r="AA4291" s="21">
        <v>0</v>
      </c>
      <c r="AB4291" s="21">
        <v>0</v>
      </c>
      <c r="AC4291" s="21">
        <v>0</v>
      </c>
      <c r="AD4291" s="21">
        <v>0</v>
      </c>
      <c r="AE4291" s="21">
        <v>0</v>
      </c>
      <c r="AF4291">
        <v>0</v>
      </c>
      <c r="AG4291">
        <v>0</v>
      </c>
      <c r="AH4291">
        <v>96</v>
      </c>
      <c r="AJ4291" t="s">
        <v>51</v>
      </c>
      <c r="AK4291" t="s">
        <v>95</v>
      </c>
      <c r="AL4291" t="s">
        <v>1444</v>
      </c>
      <c r="AP4291" t="s">
        <v>951</v>
      </c>
    </row>
    <row r="4292" spans="1:42">
      <c r="A4292" s="16">
        <v>43844</v>
      </c>
      <c r="B4292">
        <v>2</v>
      </c>
      <c r="C4292">
        <v>982</v>
      </c>
      <c r="D4292">
        <v>10418</v>
      </c>
      <c r="E4292" t="s">
        <v>37</v>
      </c>
      <c r="F4292" t="s">
        <v>520</v>
      </c>
      <c r="G4292">
        <v>2</v>
      </c>
      <c r="H4292">
        <v>35</v>
      </c>
      <c r="I4292" s="25">
        <v>665</v>
      </c>
      <c r="K4292" t="s">
        <v>49</v>
      </c>
      <c r="N4292" t="s">
        <v>44</v>
      </c>
      <c r="O4292">
        <v>327</v>
      </c>
      <c r="Q4292">
        <v>8</v>
      </c>
      <c r="R4292">
        <v>1</v>
      </c>
      <c r="S4292">
        <v>0</v>
      </c>
      <c r="T4292">
        <v>0</v>
      </c>
      <c r="U4292">
        <v>0</v>
      </c>
      <c r="V4292">
        <v>0</v>
      </c>
      <c r="W4292">
        <v>8</v>
      </c>
      <c r="X4292" s="21">
        <v>0</v>
      </c>
      <c r="Y4292" s="21">
        <v>0</v>
      </c>
      <c r="Z4292" s="21">
        <v>0</v>
      </c>
      <c r="AA4292" s="21">
        <v>0</v>
      </c>
      <c r="AB4292" s="21">
        <v>0</v>
      </c>
      <c r="AC4292" s="21">
        <v>0</v>
      </c>
      <c r="AD4292" s="21">
        <v>0</v>
      </c>
      <c r="AE4292" s="21">
        <v>0</v>
      </c>
      <c r="AF4292">
        <v>0</v>
      </c>
      <c r="AG4292">
        <v>0</v>
      </c>
      <c r="AH4292">
        <v>768</v>
      </c>
      <c r="AJ4292" t="s">
        <v>51</v>
      </c>
      <c r="AK4292" t="s">
        <v>95</v>
      </c>
      <c r="AP4292" t="s">
        <v>951</v>
      </c>
    </row>
    <row r="4293" spans="1:42">
      <c r="A4293" s="16">
        <v>43844</v>
      </c>
      <c r="B4293">
        <v>2</v>
      </c>
      <c r="C4293">
        <v>982</v>
      </c>
      <c r="D4293">
        <v>10418</v>
      </c>
      <c r="E4293" t="s">
        <v>37</v>
      </c>
      <c r="F4293" t="s">
        <v>520</v>
      </c>
      <c r="G4293">
        <v>2</v>
      </c>
      <c r="H4293">
        <v>36</v>
      </c>
      <c r="I4293" s="25">
        <v>999</v>
      </c>
      <c r="K4293" t="s">
        <v>414</v>
      </c>
      <c r="N4293" t="s">
        <v>44</v>
      </c>
      <c r="O4293">
        <v>95</v>
      </c>
      <c r="Q4293">
        <v>1</v>
      </c>
      <c r="R4293">
        <v>1</v>
      </c>
      <c r="S4293">
        <v>0</v>
      </c>
      <c r="T4293">
        <v>0</v>
      </c>
      <c r="U4293">
        <v>0</v>
      </c>
      <c r="V4293">
        <v>0</v>
      </c>
      <c r="W4293">
        <v>1</v>
      </c>
      <c r="X4293" s="21">
        <v>0</v>
      </c>
      <c r="Y4293" s="21">
        <v>0</v>
      </c>
      <c r="Z4293" s="21">
        <v>0</v>
      </c>
      <c r="AA4293" s="21">
        <v>0</v>
      </c>
      <c r="AB4293" s="21">
        <v>0</v>
      </c>
      <c r="AC4293" s="21">
        <v>0</v>
      </c>
      <c r="AD4293" s="21">
        <v>0</v>
      </c>
      <c r="AE4293" s="21">
        <v>0</v>
      </c>
      <c r="AF4293">
        <v>0</v>
      </c>
      <c r="AG4293">
        <v>0</v>
      </c>
      <c r="AH4293">
        <v>96</v>
      </c>
      <c r="AJ4293" t="s">
        <v>51</v>
      </c>
      <c r="AK4293" t="s">
        <v>95</v>
      </c>
      <c r="AP4293" t="s">
        <v>951</v>
      </c>
    </row>
    <row r="4294" spans="1:42">
      <c r="A4294" s="16">
        <v>43844</v>
      </c>
      <c r="B4294">
        <v>2</v>
      </c>
      <c r="C4294">
        <v>982</v>
      </c>
      <c r="D4294">
        <v>10418</v>
      </c>
      <c r="E4294" t="s">
        <v>37</v>
      </c>
      <c r="F4294" t="s">
        <v>520</v>
      </c>
      <c r="G4294">
        <v>2</v>
      </c>
      <c r="H4294">
        <v>37</v>
      </c>
      <c r="I4294" s="25">
        <v>800</v>
      </c>
      <c r="K4294" t="s">
        <v>98</v>
      </c>
      <c r="L4294" t="s">
        <v>141</v>
      </c>
      <c r="N4294" t="s">
        <v>40</v>
      </c>
      <c r="O4294">
        <v>69</v>
      </c>
      <c r="Q4294">
        <v>1</v>
      </c>
      <c r="R4294">
        <v>1</v>
      </c>
      <c r="S4294">
        <v>0</v>
      </c>
      <c r="T4294">
        <v>0</v>
      </c>
      <c r="U4294">
        <v>0</v>
      </c>
      <c r="V4294">
        <v>0</v>
      </c>
      <c r="W4294">
        <v>1</v>
      </c>
      <c r="X4294" s="21">
        <v>0</v>
      </c>
      <c r="Y4294" s="21">
        <v>0</v>
      </c>
      <c r="Z4294" s="21">
        <v>0</v>
      </c>
      <c r="AA4294" s="21">
        <v>0</v>
      </c>
      <c r="AB4294" s="21">
        <v>0</v>
      </c>
      <c r="AC4294" s="21">
        <v>0</v>
      </c>
      <c r="AD4294" s="21">
        <v>0</v>
      </c>
      <c r="AE4294" s="21">
        <v>0</v>
      </c>
      <c r="AF4294">
        <v>0</v>
      </c>
      <c r="AG4294">
        <v>0</v>
      </c>
      <c r="AH4294">
        <v>96</v>
      </c>
      <c r="AJ4294" t="s">
        <v>51</v>
      </c>
      <c r="AK4294" t="s">
        <v>95</v>
      </c>
      <c r="AP4294" t="s">
        <v>951</v>
      </c>
    </row>
    <row r="4295" spans="1:42">
      <c r="A4295" s="16">
        <v>43844</v>
      </c>
      <c r="B4295">
        <v>2</v>
      </c>
      <c r="C4295">
        <v>982</v>
      </c>
      <c r="D4295">
        <v>10418</v>
      </c>
      <c r="E4295" t="s">
        <v>37</v>
      </c>
      <c r="F4295" t="s">
        <v>520</v>
      </c>
      <c r="G4295">
        <v>2</v>
      </c>
      <c r="H4295">
        <v>38</v>
      </c>
      <c r="I4295" s="25">
        <v>700</v>
      </c>
      <c r="K4295" t="s">
        <v>98</v>
      </c>
      <c r="L4295" t="s">
        <v>141</v>
      </c>
      <c r="N4295" t="s">
        <v>40</v>
      </c>
      <c r="O4295">
        <v>57</v>
      </c>
      <c r="Q4295">
        <v>1</v>
      </c>
      <c r="R4295">
        <v>1</v>
      </c>
      <c r="S4295">
        <v>0</v>
      </c>
      <c r="T4295">
        <v>0</v>
      </c>
      <c r="U4295">
        <v>1</v>
      </c>
      <c r="V4295">
        <v>0</v>
      </c>
      <c r="W4295">
        <v>0</v>
      </c>
      <c r="X4295" s="21">
        <v>0</v>
      </c>
      <c r="Y4295" s="21">
        <v>0</v>
      </c>
      <c r="Z4295" s="21">
        <v>0</v>
      </c>
      <c r="AA4295" s="21">
        <v>0</v>
      </c>
      <c r="AB4295" s="21">
        <v>0</v>
      </c>
      <c r="AC4295" s="21">
        <v>0</v>
      </c>
      <c r="AD4295" s="21">
        <v>0</v>
      </c>
      <c r="AE4295" s="21">
        <v>0</v>
      </c>
      <c r="AF4295">
        <v>0</v>
      </c>
      <c r="AG4295">
        <v>0</v>
      </c>
      <c r="AH4295">
        <v>32</v>
      </c>
      <c r="AJ4295" t="s">
        <v>51</v>
      </c>
      <c r="AK4295" t="s">
        <v>95</v>
      </c>
      <c r="AP4295" t="s">
        <v>951</v>
      </c>
    </row>
    <row r="4296" spans="1:42">
      <c r="A4296" s="16">
        <v>43844</v>
      </c>
      <c r="B4296">
        <v>2</v>
      </c>
      <c r="C4296">
        <v>982</v>
      </c>
      <c r="D4296">
        <v>10418</v>
      </c>
      <c r="E4296" t="s">
        <v>37</v>
      </c>
      <c r="F4296" t="s">
        <v>520</v>
      </c>
      <c r="G4296">
        <v>2</v>
      </c>
      <c r="H4296">
        <v>39</v>
      </c>
      <c r="I4296" s="25">
        <v>730</v>
      </c>
      <c r="K4296" t="s">
        <v>98</v>
      </c>
      <c r="N4296" t="s">
        <v>44</v>
      </c>
      <c r="O4296">
        <v>142</v>
      </c>
      <c r="Q4296">
        <v>2</v>
      </c>
      <c r="R4296">
        <v>1</v>
      </c>
      <c r="S4296">
        <v>0</v>
      </c>
      <c r="T4296">
        <v>0</v>
      </c>
      <c r="U4296">
        <v>0</v>
      </c>
      <c r="V4296">
        <v>0</v>
      </c>
      <c r="W4296">
        <v>2</v>
      </c>
      <c r="X4296" s="21">
        <v>0</v>
      </c>
      <c r="Y4296" s="21">
        <v>0</v>
      </c>
      <c r="Z4296" s="21">
        <v>0</v>
      </c>
      <c r="AA4296" s="21">
        <v>0</v>
      </c>
      <c r="AB4296" s="21">
        <v>0</v>
      </c>
      <c r="AC4296" s="21">
        <v>0</v>
      </c>
      <c r="AD4296" s="21">
        <v>0</v>
      </c>
      <c r="AE4296" s="21">
        <v>0</v>
      </c>
      <c r="AF4296">
        <v>0</v>
      </c>
      <c r="AG4296">
        <v>0</v>
      </c>
      <c r="AH4296">
        <v>192</v>
      </c>
      <c r="AL4296" t="s">
        <v>1450</v>
      </c>
      <c r="AP4296" t="s">
        <v>951</v>
      </c>
    </row>
    <row r="4297" spans="1:42">
      <c r="A4297" s="16">
        <v>43844</v>
      </c>
      <c r="B4297">
        <v>2</v>
      </c>
      <c r="C4297">
        <v>982</v>
      </c>
      <c r="D4297">
        <v>10418</v>
      </c>
      <c r="E4297" t="s">
        <v>37</v>
      </c>
      <c r="F4297" t="s">
        <v>520</v>
      </c>
      <c r="G4297">
        <v>2</v>
      </c>
      <c r="H4297">
        <v>40</v>
      </c>
      <c r="I4297" s="25">
        <v>600</v>
      </c>
      <c r="K4297" t="s">
        <v>98</v>
      </c>
      <c r="L4297" t="s">
        <v>141</v>
      </c>
      <c r="N4297" t="s">
        <v>40</v>
      </c>
      <c r="O4297">
        <v>51</v>
      </c>
      <c r="Q4297">
        <v>1</v>
      </c>
      <c r="R4297">
        <v>1</v>
      </c>
      <c r="S4297">
        <v>0</v>
      </c>
      <c r="T4297">
        <v>0</v>
      </c>
      <c r="U4297">
        <v>0</v>
      </c>
      <c r="V4297">
        <v>1</v>
      </c>
      <c r="W4297">
        <v>0</v>
      </c>
      <c r="X4297" s="21">
        <v>0</v>
      </c>
      <c r="Y4297" s="21">
        <v>0</v>
      </c>
      <c r="Z4297" s="21">
        <v>0</v>
      </c>
      <c r="AA4297" s="21">
        <v>0</v>
      </c>
      <c r="AB4297" s="21">
        <v>0</v>
      </c>
      <c r="AC4297" s="21">
        <v>0</v>
      </c>
      <c r="AD4297" s="21">
        <v>0</v>
      </c>
      <c r="AE4297" s="21">
        <v>0</v>
      </c>
      <c r="AF4297">
        <v>0</v>
      </c>
      <c r="AG4297">
        <v>0</v>
      </c>
      <c r="AH4297">
        <v>64</v>
      </c>
      <c r="AJ4297" t="s">
        <v>51</v>
      </c>
      <c r="AK4297" t="s">
        <v>95</v>
      </c>
      <c r="AP4297" t="s">
        <v>951</v>
      </c>
    </row>
    <row r="4298" spans="1:42">
      <c r="A4298" s="16">
        <v>43844</v>
      </c>
      <c r="B4298">
        <v>2</v>
      </c>
      <c r="C4298">
        <v>982</v>
      </c>
      <c r="D4298">
        <v>10418</v>
      </c>
      <c r="E4298" t="s">
        <v>37</v>
      </c>
      <c r="F4298" t="s">
        <v>520</v>
      </c>
      <c r="G4298">
        <v>2</v>
      </c>
      <c r="H4298">
        <v>41</v>
      </c>
      <c r="I4298" s="25">
        <v>600</v>
      </c>
      <c r="K4298" t="s">
        <v>98</v>
      </c>
      <c r="L4298" t="s">
        <v>114</v>
      </c>
      <c r="M4298" t="s">
        <v>95</v>
      </c>
      <c r="N4298" t="s">
        <v>40</v>
      </c>
      <c r="O4298">
        <v>61</v>
      </c>
      <c r="Q4298">
        <v>2</v>
      </c>
      <c r="R4298">
        <v>1</v>
      </c>
      <c r="S4298">
        <v>0</v>
      </c>
      <c r="T4298">
        <v>0</v>
      </c>
      <c r="U4298">
        <v>0</v>
      </c>
      <c r="V4298">
        <v>0</v>
      </c>
      <c r="W4298">
        <v>2</v>
      </c>
      <c r="X4298" s="21">
        <v>0</v>
      </c>
      <c r="Y4298" s="21">
        <v>0</v>
      </c>
      <c r="Z4298" s="21">
        <v>0</v>
      </c>
      <c r="AA4298" s="21">
        <v>0</v>
      </c>
      <c r="AB4298" s="21">
        <v>0</v>
      </c>
      <c r="AC4298" s="21">
        <v>0</v>
      </c>
      <c r="AD4298" s="21">
        <v>0</v>
      </c>
      <c r="AE4298" s="21">
        <v>0</v>
      </c>
      <c r="AF4298">
        <v>0</v>
      </c>
      <c r="AG4298">
        <v>0</v>
      </c>
      <c r="AH4298">
        <v>192</v>
      </c>
      <c r="AJ4298" t="s">
        <v>51</v>
      </c>
      <c r="AK4298" t="s">
        <v>95</v>
      </c>
      <c r="AP4298" t="s">
        <v>951</v>
      </c>
    </row>
    <row r="4299" spans="1:42">
      <c r="A4299" s="16">
        <v>43844</v>
      </c>
      <c r="B4299">
        <v>2</v>
      </c>
      <c r="C4299">
        <v>982</v>
      </c>
      <c r="D4299">
        <v>10418</v>
      </c>
      <c r="E4299" t="s">
        <v>37</v>
      </c>
      <c r="F4299" t="s">
        <v>520</v>
      </c>
      <c r="G4299">
        <v>2</v>
      </c>
      <c r="H4299">
        <v>42</v>
      </c>
      <c r="I4299" s="25">
        <v>628</v>
      </c>
      <c r="K4299" t="s">
        <v>98</v>
      </c>
      <c r="N4299" t="s">
        <v>44</v>
      </c>
      <c r="O4299">
        <v>243</v>
      </c>
      <c r="Q4299">
        <v>3</v>
      </c>
      <c r="R4299">
        <v>1</v>
      </c>
      <c r="S4299">
        <v>0</v>
      </c>
      <c r="T4299">
        <v>0</v>
      </c>
      <c r="U4299">
        <v>1</v>
      </c>
      <c r="V4299">
        <v>2</v>
      </c>
      <c r="W4299">
        <v>0</v>
      </c>
      <c r="X4299" s="21">
        <v>0</v>
      </c>
      <c r="Y4299" s="21">
        <v>0</v>
      </c>
      <c r="Z4299" s="21">
        <v>0</v>
      </c>
      <c r="AA4299" s="21">
        <v>0</v>
      </c>
      <c r="AB4299" s="21">
        <v>0</v>
      </c>
      <c r="AC4299" s="21">
        <v>0</v>
      </c>
      <c r="AD4299" s="21">
        <v>0</v>
      </c>
      <c r="AE4299" s="21">
        <v>0</v>
      </c>
      <c r="AF4299">
        <v>0</v>
      </c>
      <c r="AG4299">
        <v>0</v>
      </c>
      <c r="AH4299">
        <v>160</v>
      </c>
      <c r="AJ4299" t="s">
        <v>51</v>
      </c>
      <c r="AK4299" t="s">
        <v>95</v>
      </c>
      <c r="AL4299" t="s">
        <v>1451</v>
      </c>
      <c r="AP4299" t="s">
        <v>951</v>
      </c>
    </row>
    <row r="4300" spans="1:42">
      <c r="A4300" s="16">
        <v>43844</v>
      </c>
      <c r="B4300">
        <v>2</v>
      </c>
      <c r="C4300">
        <v>982</v>
      </c>
      <c r="D4300">
        <v>10418</v>
      </c>
      <c r="E4300" t="s">
        <v>37</v>
      </c>
      <c r="F4300" t="s">
        <v>520</v>
      </c>
      <c r="G4300">
        <v>2</v>
      </c>
      <c r="H4300">
        <v>43</v>
      </c>
      <c r="I4300" s="25">
        <v>860</v>
      </c>
      <c r="K4300" t="s">
        <v>74</v>
      </c>
      <c r="N4300" t="s">
        <v>44</v>
      </c>
      <c r="O4300">
        <v>217</v>
      </c>
      <c r="Q4300">
        <v>4</v>
      </c>
      <c r="R4300">
        <v>1</v>
      </c>
      <c r="S4300">
        <v>0</v>
      </c>
      <c r="T4300">
        <v>0</v>
      </c>
      <c r="U4300">
        <v>0</v>
      </c>
      <c r="V4300">
        <v>0</v>
      </c>
      <c r="W4300">
        <v>4</v>
      </c>
      <c r="X4300" s="21">
        <v>0</v>
      </c>
      <c r="Y4300" s="21">
        <v>0</v>
      </c>
      <c r="Z4300" s="21">
        <v>0</v>
      </c>
      <c r="AA4300" s="21">
        <v>0</v>
      </c>
      <c r="AB4300" s="21">
        <v>0</v>
      </c>
      <c r="AC4300" s="21">
        <v>0</v>
      </c>
      <c r="AD4300" s="21">
        <v>0</v>
      </c>
      <c r="AE4300" s="21">
        <v>0</v>
      </c>
      <c r="AF4300">
        <v>0</v>
      </c>
      <c r="AG4300">
        <v>0</v>
      </c>
      <c r="AH4300">
        <v>384</v>
      </c>
      <c r="AJ4300" t="s">
        <v>51</v>
      </c>
      <c r="AK4300" t="s">
        <v>95</v>
      </c>
      <c r="AL4300" t="s">
        <v>1405</v>
      </c>
      <c r="AP4300" t="s">
        <v>951</v>
      </c>
    </row>
    <row r="4301" spans="1:42">
      <c r="A4301" s="16">
        <v>43844</v>
      </c>
      <c r="B4301">
        <v>2</v>
      </c>
      <c r="C4301">
        <v>982</v>
      </c>
      <c r="D4301">
        <v>10418</v>
      </c>
      <c r="E4301" t="s">
        <v>37</v>
      </c>
      <c r="F4301" t="s">
        <v>520</v>
      </c>
      <c r="G4301">
        <v>2</v>
      </c>
      <c r="H4301">
        <v>44</v>
      </c>
      <c r="I4301" s="25">
        <v>800</v>
      </c>
      <c r="K4301" t="s">
        <v>74</v>
      </c>
      <c r="L4301" t="s">
        <v>114</v>
      </c>
      <c r="N4301" t="s">
        <v>40</v>
      </c>
      <c r="O4301">
        <v>59</v>
      </c>
      <c r="Q4301">
        <v>2</v>
      </c>
      <c r="R4301">
        <v>1</v>
      </c>
      <c r="S4301">
        <v>0</v>
      </c>
      <c r="T4301">
        <v>0</v>
      </c>
      <c r="U4301">
        <v>0</v>
      </c>
      <c r="V4301">
        <v>2</v>
      </c>
      <c r="W4301">
        <v>0</v>
      </c>
      <c r="X4301" s="21">
        <v>0</v>
      </c>
      <c r="Y4301" s="21">
        <v>0</v>
      </c>
      <c r="Z4301" s="21">
        <v>0</v>
      </c>
      <c r="AA4301" s="21">
        <v>0</v>
      </c>
      <c r="AB4301" s="21">
        <v>0</v>
      </c>
      <c r="AC4301" s="21">
        <v>0</v>
      </c>
      <c r="AD4301" s="21">
        <v>0</v>
      </c>
      <c r="AE4301" s="21">
        <v>0</v>
      </c>
      <c r="AF4301">
        <v>0</v>
      </c>
      <c r="AG4301">
        <v>0</v>
      </c>
      <c r="AH4301">
        <v>128</v>
      </c>
      <c r="AJ4301" t="s">
        <v>51</v>
      </c>
      <c r="AK4301" t="s">
        <v>95</v>
      </c>
      <c r="AP4301" t="s">
        <v>951</v>
      </c>
    </row>
    <row r="4302" spans="1:42">
      <c r="A4302" s="16">
        <v>43844</v>
      </c>
      <c r="B4302">
        <v>2</v>
      </c>
      <c r="C4302">
        <v>982</v>
      </c>
      <c r="D4302">
        <v>10418</v>
      </c>
      <c r="E4302" t="s">
        <v>37</v>
      </c>
      <c r="F4302" t="s">
        <v>520</v>
      </c>
      <c r="G4302">
        <v>2</v>
      </c>
      <c r="H4302">
        <v>45</v>
      </c>
      <c r="I4302" s="25">
        <v>840</v>
      </c>
      <c r="K4302" t="s">
        <v>74</v>
      </c>
      <c r="N4302" t="s">
        <v>44</v>
      </c>
      <c r="O4302">
        <v>165</v>
      </c>
      <c r="Q4302">
        <v>2</v>
      </c>
      <c r="R4302">
        <v>1</v>
      </c>
      <c r="S4302">
        <v>0</v>
      </c>
      <c r="T4302">
        <v>0</v>
      </c>
      <c r="U4302">
        <v>0</v>
      </c>
      <c r="V4302">
        <v>0</v>
      </c>
      <c r="W4302">
        <v>2</v>
      </c>
      <c r="X4302" s="21">
        <v>0</v>
      </c>
      <c r="Y4302" s="21">
        <v>0</v>
      </c>
      <c r="Z4302" s="21">
        <v>0</v>
      </c>
      <c r="AA4302" s="21">
        <v>0</v>
      </c>
      <c r="AB4302" s="21">
        <v>0</v>
      </c>
      <c r="AC4302" s="21">
        <v>0</v>
      </c>
      <c r="AD4302" s="21">
        <v>0</v>
      </c>
      <c r="AE4302" s="21">
        <v>0</v>
      </c>
      <c r="AF4302">
        <v>0</v>
      </c>
      <c r="AG4302">
        <v>0</v>
      </c>
      <c r="AH4302">
        <v>192</v>
      </c>
      <c r="AJ4302" t="s">
        <v>51</v>
      </c>
      <c r="AK4302" t="s">
        <v>95</v>
      </c>
      <c r="AL4302" t="s">
        <v>1405</v>
      </c>
      <c r="AP4302" t="s">
        <v>951</v>
      </c>
    </row>
    <row r="4303" spans="1:42">
      <c r="A4303" s="16">
        <v>43844</v>
      </c>
      <c r="B4303">
        <v>2</v>
      </c>
      <c r="C4303">
        <v>982</v>
      </c>
      <c r="D4303">
        <v>10418</v>
      </c>
      <c r="E4303" t="s">
        <v>37</v>
      </c>
      <c r="F4303" t="s">
        <v>520</v>
      </c>
      <c r="G4303">
        <v>2</v>
      </c>
      <c r="H4303">
        <v>46</v>
      </c>
      <c r="I4303" s="25">
        <v>800</v>
      </c>
      <c r="K4303" t="s">
        <v>74</v>
      </c>
      <c r="L4303" t="s">
        <v>114</v>
      </c>
      <c r="N4303" t="s">
        <v>40</v>
      </c>
      <c r="O4303">
        <v>121</v>
      </c>
      <c r="Q4303">
        <v>3</v>
      </c>
      <c r="R4303">
        <v>1</v>
      </c>
      <c r="S4303">
        <v>0</v>
      </c>
      <c r="T4303">
        <v>0</v>
      </c>
      <c r="U4303">
        <v>0</v>
      </c>
      <c r="V4303">
        <v>0</v>
      </c>
      <c r="W4303">
        <v>3</v>
      </c>
      <c r="X4303" s="21">
        <v>0</v>
      </c>
      <c r="Y4303" s="21">
        <v>0</v>
      </c>
      <c r="Z4303" s="21">
        <v>0</v>
      </c>
      <c r="AA4303" s="21">
        <v>0</v>
      </c>
      <c r="AB4303" s="21">
        <v>0</v>
      </c>
      <c r="AC4303" s="21">
        <v>0</v>
      </c>
      <c r="AD4303" s="21">
        <v>0</v>
      </c>
      <c r="AE4303" s="21">
        <v>0</v>
      </c>
      <c r="AF4303">
        <v>0</v>
      </c>
      <c r="AG4303">
        <v>0</v>
      </c>
      <c r="AH4303">
        <v>128</v>
      </c>
      <c r="AJ4303" t="s">
        <v>51</v>
      </c>
      <c r="AK4303" t="s">
        <v>95</v>
      </c>
      <c r="AP4303" t="s">
        <v>951</v>
      </c>
    </row>
    <row r="4304" spans="1:42">
      <c r="A4304" s="16">
        <v>43845</v>
      </c>
      <c r="B4304">
        <v>3</v>
      </c>
      <c r="C4304">
        <v>986</v>
      </c>
      <c r="D4304">
        <v>14637</v>
      </c>
      <c r="E4304" t="s">
        <v>112</v>
      </c>
      <c r="F4304" t="s">
        <v>520</v>
      </c>
      <c r="G4304">
        <v>2</v>
      </c>
      <c r="H4304">
        <v>1</v>
      </c>
      <c r="I4304" s="25">
        <v>2351</v>
      </c>
      <c r="K4304" t="s">
        <v>516</v>
      </c>
      <c r="N4304" t="s">
        <v>44</v>
      </c>
      <c r="O4304">
        <v>38</v>
      </c>
      <c r="Q4304">
        <v>1</v>
      </c>
      <c r="R4304">
        <v>1</v>
      </c>
      <c r="S4304">
        <v>0</v>
      </c>
      <c r="T4304">
        <v>0</v>
      </c>
      <c r="U4304">
        <v>0</v>
      </c>
      <c r="V4304">
        <v>0</v>
      </c>
      <c r="W4304">
        <v>1</v>
      </c>
      <c r="X4304" s="21">
        <v>0</v>
      </c>
      <c r="Y4304" s="21">
        <v>0</v>
      </c>
      <c r="Z4304" s="21">
        <v>0</v>
      </c>
      <c r="AA4304" s="21">
        <v>0</v>
      </c>
      <c r="AB4304" s="21">
        <v>0</v>
      </c>
      <c r="AC4304" s="21">
        <v>0</v>
      </c>
      <c r="AD4304" s="21">
        <v>0</v>
      </c>
      <c r="AE4304" s="21">
        <v>0</v>
      </c>
      <c r="AF4304">
        <v>0</v>
      </c>
      <c r="AG4304">
        <v>0</v>
      </c>
      <c r="AH4304">
        <v>96</v>
      </c>
      <c r="AJ4304" t="s">
        <v>51</v>
      </c>
      <c r="AK4304" t="s">
        <v>95</v>
      </c>
      <c r="AP4304" t="s">
        <v>951</v>
      </c>
    </row>
    <row r="4305" spans="1:42">
      <c r="A4305" s="16">
        <v>43845</v>
      </c>
      <c r="B4305">
        <v>3</v>
      </c>
      <c r="C4305">
        <v>986</v>
      </c>
      <c r="D4305">
        <v>14637</v>
      </c>
      <c r="E4305" t="s">
        <v>112</v>
      </c>
      <c r="F4305" t="s">
        <v>520</v>
      </c>
      <c r="G4305">
        <v>2</v>
      </c>
      <c r="H4305">
        <v>2</v>
      </c>
      <c r="I4305" s="25">
        <v>2345</v>
      </c>
      <c r="K4305" t="s">
        <v>516</v>
      </c>
      <c r="N4305" t="s">
        <v>44</v>
      </c>
      <c r="O4305">
        <v>27</v>
      </c>
      <c r="Q4305">
        <v>1</v>
      </c>
      <c r="R4305">
        <v>1</v>
      </c>
      <c r="S4305">
        <v>0</v>
      </c>
      <c r="T4305">
        <v>0</v>
      </c>
      <c r="U4305">
        <v>0</v>
      </c>
      <c r="V4305">
        <v>0</v>
      </c>
      <c r="W4305">
        <v>1</v>
      </c>
      <c r="X4305" s="21">
        <v>0</v>
      </c>
      <c r="Y4305" s="21">
        <v>0</v>
      </c>
      <c r="Z4305" s="21">
        <v>0</v>
      </c>
      <c r="AA4305" s="21">
        <v>0</v>
      </c>
      <c r="AB4305" s="21">
        <v>0</v>
      </c>
      <c r="AC4305" s="21">
        <v>0</v>
      </c>
      <c r="AD4305" s="21">
        <v>0</v>
      </c>
      <c r="AE4305" s="21">
        <v>0</v>
      </c>
      <c r="AF4305">
        <v>0</v>
      </c>
      <c r="AG4305">
        <v>0</v>
      </c>
      <c r="AH4305">
        <v>96</v>
      </c>
      <c r="AJ4305" t="s">
        <v>51</v>
      </c>
      <c r="AK4305" t="s">
        <v>95</v>
      </c>
      <c r="AP4305" t="s">
        <v>951</v>
      </c>
    </row>
    <row r="4306" spans="1:42">
      <c r="A4306" s="16">
        <v>43845</v>
      </c>
      <c r="B4306">
        <v>3</v>
      </c>
      <c r="C4306">
        <v>986</v>
      </c>
      <c r="D4306">
        <v>14637</v>
      </c>
      <c r="E4306" t="s">
        <v>112</v>
      </c>
      <c r="F4306" t="s">
        <v>520</v>
      </c>
      <c r="G4306">
        <v>2</v>
      </c>
      <c r="H4306">
        <v>3</v>
      </c>
      <c r="I4306" s="25">
        <v>2335</v>
      </c>
      <c r="K4306" t="s">
        <v>516</v>
      </c>
      <c r="N4306" t="s">
        <v>44</v>
      </c>
      <c r="O4306">
        <v>33</v>
      </c>
      <c r="Q4306">
        <v>1</v>
      </c>
      <c r="R4306">
        <v>1</v>
      </c>
      <c r="S4306">
        <v>0</v>
      </c>
      <c r="T4306">
        <v>0</v>
      </c>
      <c r="U4306">
        <v>0</v>
      </c>
      <c r="V4306">
        <v>0</v>
      </c>
      <c r="W4306">
        <v>1</v>
      </c>
      <c r="X4306" s="21">
        <v>0</v>
      </c>
      <c r="Y4306" s="21">
        <v>0</v>
      </c>
      <c r="Z4306" s="21">
        <v>0</v>
      </c>
      <c r="AA4306" s="21">
        <v>0</v>
      </c>
      <c r="AB4306" s="21">
        <v>0</v>
      </c>
      <c r="AC4306" s="21">
        <v>0</v>
      </c>
      <c r="AD4306" s="21">
        <v>0</v>
      </c>
      <c r="AE4306" s="21">
        <v>0</v>
      </c>
      <c r="AF4306">
        <v>0</v>
      </c>
      <c r="AG4306">
        <v>0</v>
      </c>
      <c r="AH4306">
        <v>96</v>
      </c>
      <c r="AJ4306" t="s">
        <v>51</v>
      </c>
      <c r="AK4306" t="s">
        <v>95</v>
      </c>
      <c r="AP4306" t="s">
        <v>951</v>
      </c>
    </row>
    <row r="4307" spans="1:42">
      <c r="A4307" s="16">
        <v>43845</v>
      </c>
      <c r="B4307">
        <v>3</v>
      </c>
      <c r="C4307">
        <v>986</v>
      </c>
      <c r="D4307">
        <v>14637</v>
      </c>
      <c r="E4307" t="s">
        <v>112</v>
      </c>
      <c r="F4307" t="s">
        <v>520</v>
      </c>
      <c r="G4307">
        <v>2</v>
      </c>
      <c r="H4307">
        <v>4</v>
      </c>
      <c r="I4307" s="25">
        <v>2325</v>
      </c>
      <c r="K4307" t="s">
        <v>516</v>
      </c>
      <c r="N4307" t="s">
        <v>44</v>
      </c>
      <c r="O4307">
        <v>43</v>
      </c>
      <c r="Q4307">
        <v>1</v>
      </c>
      <c r="R4307">
        <v>1</v>
      </c>
      <c r="S4307">
        <v>0</v>
      </c>
      <c r="T4307">
        <v>0</v>
      </c>
      <c r="U4307">
        <v>0</v>
      </c>
      <c r="V4307">
        <v>0</v>
      </c>
      <c r="W4307">
        <v>1</v>
      </c>
      <c r="X4307" s="21">
        <v>0</v>
      </c>
      <c r="Y4307" s="21">
        <v>0</v>
      </c>
      <c r="Z4307" s="21">
        <v>0</v>
      </c>
      <c r="AA4307" s="21">
        <v>0</v>
      </c>
      <c r="AB4307" s="21">
        <v>0</v>
      </c>
      <c r="AC4307" s="21">
        <v>0</v>
      </c>
      <c r="AD4307" s="21">
        <v>0</v>
      </c>
      <c r="AE4307" s="21">
        <v>0</v>
      </c>
      <c r="AF4307">
        <v>0</v>
      </c>
      <c r="AG4307">
        <v>0</v>
      </c>
      <c r="AH4307">
        <v>96</v>
      </c>
      <c r="AJ4307" t="s">
        <v>51</v>
      </c>
      <c r="AK4307" t="s">
        <v>95</v>
      </c>
      <c r="AP4307" t="s">
        <v>951</v>
      </c>
    </row>
    <row r="4308" spans="1:42">
      <c r="A4308" s="16">
        <v>43845</v>
      </c>
      <c r="B4308">
        <v>3</v>
      </c>
      <c r="C4308">
        <v>986</v>
      </c>
      <c r="D4308">
        <v>14637</v>
      </c>
      <c r="E4308" t="s">
        <v>112</v>
      </c>
      <c r="F4308" t="s">
        <v>520</v>
      </c>
      <c r="G4308">
        <v>2</v>
      </c>
      <c r="H4308">
        <v>5</v>
      </c>
      <c r="I4308" s="25">
        <v>2380</v>
      </c>
      <c r="K4308" t="s">
        <v>516</v>
      </c>
      <c r="N4308" t="s">
        <v>44</v>
      </c>
      <c r="O4308">
        <v>45</v>
      </c>
      <c r="Q4308">
        <v>1</v>
      </c>
      <c r="R4308">
        <v>1</v>
      </c>
      <c r="S4308">
        <v>0</v>
      </c>
      <c r="T4308">
        <v>0</v>
      </c>
      <c r="U4308">
        <v>0</v>
      </c>
      <c r="V4308">
        <v>0</v>
      </c>
      <c r="W4308">
        <v>1</v>
      </c>
      <c r="X4308" s="21">
        <v>0</v>
      </c>
      <c r="Y4308" s="21">
        <v>0</v>
      </c>
      <c r="Z4308" s="21">
        <v>0</v>
      </c>
      <c r="AA4308" s="21">
        <v>0</v>
      </c>
      <c r="AB4308" s="21">
        <v>0</v>
      </c>
      <c r="AC4308" s="21">
        <v>0</v>
      </c>
      <c r="AD4308" s="21">
        <v>0</v>
      </c>
      <c r="AE4308" s="21">
        <v>0</v>
      </c>
      <c r="AF4308">
        <v>0</v>
      </c>
      <c r="AG4308">
        <v>0</v>
      </c>
      <c r="AH4308">
        <v>96</v>
      </c>
      <c r="AJ4308" t="s">
        <v>51</v>
      </c>
      <c r="AK4308" t="s">
        <v>95</v>
      </c>
      <c r="AL4308" t="s">
        <v>1452</v>
      </c>
      <c r="AP4308" t="s">
        <v>951</v>
      </c>
    </row>
    <row r="4309" spans="1:42">
      <c r="A4309" s="16">
        <v>43845</v>
      </c>
      <c r="B4309">
        <v>3</v>
      </c>
      <c r="C4309">
        <v>986</v>
      </c>
      <c r="D4309">
        <v>14637</v>
      </c>
      <c r="E4309" t="s">
        <v>112</v>
      </c>
      <c r="F4309" t="s">
        <v>520</v>
      </c>
      <c r="G4309">
        <v>2</v>
      </c>
      <c r="H4309">
        <v>6</v>
      </c>
      <c r="I4309" s="25">
        <v>2474</v>
      </c>
      <c r="K4309" t="s">
        <v>516</v>
      </c>
      <c r="N4309" t="s">
        <v>44</v>
      </c>
      <c r="O4309">
        <v>50</v>
      </c>
      <c r="Q4309">
        <v>1</v>
      </c>
      <c r="R4309">
        <v>1</v>
      </c>
      <c r="S4309">
        <v>0</v>
      </c>
      <c r="T4309">
        <v>0</v>
      </c>
      <c r="U4309">
        <v>0</v>
      </c>
      <c r="V4309">
        <v>0</v>
      </c>
      <c r="W4309">
        <v>1</v>
      </c>
      <c r="X4309" s="21">
        <v>0</v>
      </c>
      <c r="Y4309" s="21">
        <v>0</v>
      </c>
      <c r="Z4309" s="21">
        <v>0</v>
      </c>
      <c r="AA4309" s="21">
        <v>0</v>
      </c>
      <c r="AB4309" s="21">
        <v>0</v>
      </c>
      <c r="AC4309" s="21">
        <v>0</v>
      </c>
      <c r="AD4309" s="21">
        <v>0</v>
      </c>
      <c r="AE4309" s="21">
        <v>0</v>
      </c>
      <c r="AF4309">
        <v>0</v>
      </c>
      <c r="AG4309">
        <v>0</v>
      </c>
      <c r="AH4309">
        <v>96</v>
      </c>
      <c r="AJ4309" t="s">
        <v>51</v>
      </c>
      <c r="AK4309" t="s">
        <v>95</v>
      </c>
      <c r="AP4309" t="s">
        <v>951</v>
      </c>
    </row>
    <row r="4310" spans="1:42">
      <c r="A4310" s="16">
        <v>43845</v>
      </c>
      <c r="B4310">
        <v>3</v>
      </c>
      <c r="C4310">
        <v>986</v>
      </c>
      <c r="D4310">
        <v>14637</v>
      </c>
      <c r="E4310" t="s">
        <v>112</v>
      </c>
      <c r="F4310" t="s">
        <v>520</v>
      </c>
      <c r="G4310">
        <v>2</v>
      </c>
      <c r="H4310">
        <v>7</v>
      </c>
      <c r="I4310" s="25">
        <v>2480</v>
      </c>
      <c r="K4310" t="s">
        <v>516</v>
      </c>
      <c r="L4310" t="s">
        <v>114</v>
      </c>
      <c r="N4310" t="s">
        <v>42</v>
      </c>
      <c r="O4310">
        <v>172</v>
      </c>
      <c r="Q4310">
        <v>6</v>
      </c>
      <c r="R4310">
        <v>1</v>
      </c>
      <c r="S4310">
        <v>0</v>
      </c>
      <c r="T4310">
        <v>0</v>
      </c>
      <c r="U4310">
        <v>0</v>
      </c>
      <c r="V4310">
        <v>2</v>
      </c>
      <c r="W4310">
        <v>4</v>
      </c>
      <c r="X4310" s="21">
        <v>0</v>
      </c>
      <c r="Y4310" s="21">
        <v>0</v>
      </c>
      <c r="Z4310" s="21">
        <v>0</v>
      </c>
      <c r="AA4310" s="21">
        <v>0</v>
      </c>
      <c r="AB4310" s="21">
        <v>0</v>
      </c>
      <c r="AC4310" s="21">
        <v>0</v>
      </c>
      <c r="AD4310" s="21">
        <v>0</v>
      </c>
      <c r="AE4310" s="21">
        <v>0</v>
      </c>
      <c r="AF4310">
        <v>0</v>
      </c>
      <c r="AG4310">
        <v>0</v>
      </c>
      <c r="AH4310">
        <v>512</v>
      </c>
      <c r="AJ4310" t="s">
        <v>51</v>
      </c>
      <c r="AK4310" t="s">
        <v>95</v>
      </c>
      <c r="AP4310" t="s">
        <v>951</v>
      </c>
    </row>
    <row r="4311" spans="1:42">
      <c r="A4311" s="16">
        <v>43845</v>
      </c>
      <c r="B4311">
        <v>3</v>
      </c>
      <c r="C4311">
        <v>986</v>
      </c>
      <c r="D4311">
        <v>14637</v>
      </c>
      <c r="E4311" t="s">
        <v>112</v>
      </c>
      <c r="F4311" t="s">
        <v>520</v>
      </c>
      <c r="G4311">
        <v>2</v>
      </c>
      <c r="H4311">
        <v>7</v>
      </c>
      <c r="I4311" s="25">
        <v>2430</v>
      </c>
      <c r="K4311" t="s">
        <v>516</v>
      </c>
      <c r="N4311" t="s">
        <v>44</v>
      </c>
      <c r="O4311">
        <v>140</v>
      </c>
      <c r="Q4311">
        <v>3</v>
      </c>
      <c r="R4311">
        <v>1</v>
      </c>
      <c r="S4311">
        <v>0</v>
      </c>
      <c r="T4311">
        <v>0</v>
      </c>
      <c r="U4311">
        <v>0</v>
      </c>
      <c r="V4311">
        <v>0</v>
      </c>
      <c r="W4311">
        <v>3</v>
      </c>
      <c r="X4311" s="21">
        <v>0</v>
      </c>
      <c r="Y4311" s="21">
        <v>0</v>
      </c>
      <c r="Z4311" s="21">
        <v>0</v>
      </c>
      <c r="AA4311" s="21">
        <v>0</v>
      </c>
      <c r="AB4311" s="21">
        <v>0</v>
      </c>
      <c r="AC4311" s="21">
        <v>0</v>
      </c>
      <c r="AD4311" s="21">
        <v>0</v>
      </c>
      <c r="AE4311" s="21">
        <v>0</v>
      </c>
      <c r="AF4311">
        <v>0</v>
      </c>
      <c r="AG4311">
        <v>0</v>
      </c>
      <c r="AH4311">
        <v>288</v>
      </c>
      <c r="AJ4311" t="s">
        <v>51</v>
      </c>
      <c r="AK4311" t="s">
        <v>95</v>
      </c>
      <c r="AL4311" t="s">
        <v>1405</v>
      </c>
      <c r="AP4311" t="s">
        <v>951</v>
      </c>
    </row>
    <row r="4312" spans="1:42">
      <c r="A4312" s="16">
        <v>43845</v>
      </c>
      <c r="B4312">
        <v>3</v>
      </c>
      <c r="C4312">
        <v>986</v>
      </c>
      <c r="D4312">
        <v>14637</v>
      </c>
      <c r="E4312" t="s">
        <v>112</v>
      </c>
      <c r="F4312" t="s">
        <v>520</v>
      </c>
      <c r="G4312">
        <v>2</v>
      </c>
      <c r="H4312">
        <v>8</v>
      </c>
      <c r="I4312" s="25" t="s">
        <v>1453</v>
      </c>
      <c r="K4312" t="s">
        <v>909</v>
      </c>
      <c r="N4312" t="s">
        <v>44</v>
      </c>
      <c r="O4312">
        <v>136</v>
      </c>
      <c r="Q4312">
        <v>2</v>
      </c>
      <c r="R4312">
        <v>1</v>
      </c>
      <c r="S4312">
        <v>0</v>
      </c>
      <c r="T4312">
        <v>0</v>
      </c>
      <c r="U4312">
        <v>0</v>
      </c>
      <c r="V4312">
        <v>0</v>
      </c>
      <c r="W4312">
        <v>2</v>
      </c>
      <c r="X4312" s="21">
        <v>0</v>
      </c>
      <c r="Y4312" s="21">
        <v>0</v>
      </c>
      <c r="Z4312" s="21">
        <v>0</v>
      </c>
      <c r="AA4312" s="21">
        <v>0</v>
      </c>
      <c r="AB4312" s="21">
        <v>0</v>
      </c>
      <c r="AC4312" s="21">
        <v>0</v>
      </c>
      <c r="AD4312" s="21">
        <v>0</v>
      </c>
      <c r="AE4312" s="21">
        <v>0</v>
      </c>
      <c r="AF4312">
        <v>0</v>
      </c>
      <c r="AG4312">
        <v>0</v>
      </c>
      <c r="AH4312">
        <v>192</v>
      </c>
      <c r="AJ4312" t="s">
        <v>51</v>
      </c>
      <c r="AK4312" t="s">
        <v>95</v>
      </c>
      <c r="AL4312" t="s">
        <v>1389</v>
      </c>
      <c r="AP4312" t="s">
        <v>951</v>
      </c>
    </row>
    <row r="4313" spans="1:42">
      <c r="A4313" s="16">
        <v>43845</v>
      </c>
      <c r="B4313">
        <v>3</v>
      </c>
      <c r="C4313">
        <v>986</v>
      </c>
      <c r="D4313">
        <v>14637</v>
      </c>
      <c r="E4313" t="s">
        <v>112</v>
      </c>
      <c r="F4313" t="s">
        <v>520</v>
      </c>
      <c r="G4313">
        <v>2</v>
      </c>
      <c r="H4313">
        <v>9</v>
      </c>
      <c r="I4313" s="25">
        <v>2395</v>
      </c>
      <c r="K4313" t="s">
        <v>605</v>
      </c>
      <c r="N4313" t="s">
        <v>44</v>
      </c>
      <c r="O4313">
        <v>77</v>
      </c>
      <c r="Q4313">
        <v>2</v>
      </c>
      <c r="R4313">
        <v>1</v>
      </c>
      <c r="S4313">
        <v>0</v>
      </c>
      <c r="T4313">
        <v>0</v>
      </c>
      <c r="U4313">
        <v>0</v>
      </c>
      <c r="V4313">
        <v>0</v>
      </c>
      <c r="W4313">
        <v>2</v>
      </c>
      <c r="X4313" s="21">
        <v>0</v>
      </c>
      <c r="Y4313" s="21">
        <v>0</v>
      </c>
      <c r="Z4313" s="21">
        <v>0</v>
      </c>
      <c r="AA4313" s="21">
        <v>0</v>
      </c>
      <c r="AB4313" s="21">
        <v>0</v>
      </c>
      <c r="AC4313" s="21">
        <v>0</v>
      </c>
      <c r="AD4313" s="21">
        <v>0</v>
      </c>
      <c r="AE4313" s="21">
        <v>0</v>
      </c>
      <c r="AF4313">
        <v>0</v>
      </c>
      <c r="AG4313">
        <v>0</v>
      </c>
      <c r="AH4313">
        <v>192</v>
      </c>
      <c r="AJ4313" t="s">
        <v>51</v>
      </c>
      <c r="AK4313" t="s">
        <v>35</v>
      </c>
      <c r="AL4313" t="s">
        <v>1369</v>
      </c>
      <c r="AP4313" t="s">
        <v>951</v>
      </c>
    </row>
    <row r="4314" spans="1:42">
      <c r="A4314" s="16">
        <v>43845</v>
      </c>
      <c r="B4314">
        <v>3</v>
      </c>
      <c r="C4314">
        <v>986</v>
      </c>
      <c r="D4314">
        <v>14637</v>
      </c>
      <c r="E4314" t="s">
        <v>112</v>
      </c>
      <c r="F4314" t="s">
        <v>520</v>
      </c>
      <c r="G4314">
        <v>2</v>
      </c>
      <c r="H4314">
        <v>10</v>
      </c>
      <c r="I4314" s="25">
        <v>2398</v>
      </c>
      <c r="K4314" t="s">
        <v>605</v>
      </c>
      <c r="N4314" t="s">
        <v>44</v>
      </c>
      <c r="O4314">
        <v>113</v>
      </c>
      <c r="Q4314">
        <v>4</v>
      </c>
      <c r="R4314">
        <v>1</v>
      </c>
      <c r="S4314">
        <v>0</v>
      </c>
      <c r="T4314">
        <v>0</v>
      </c>
      <c r="U4314">
        <v>0</v>
      </c>
      <c r="V4314">
        <v>0</v>
      </c>
      <c r="W4314">
        <v>4</v>
      </c>
      <c r="X4314" s="21">
        <v>0</v>
      </c>
      <c r="Y4314" s="21">
        <v>0</v>
      </c>
      <c r="Z4314" s="21">
        <v>0</v>
      </c>
      <c r="AA4314" s="21">
        <v>0</v>
      </c>
      <c r="AB4314" s="21">
        <v>0</v>
      </c>
      <c r="AC4314" s="21">
        <v>0</v>
      </c>
      <c r="AD4314" s="21">
        <v>0</v>
      </c>
      <c r="AE4314" s="21">
        <v>0</v>
      </c>
      <c r="AF4314">
        <v>0</v>
      </c>
      <c r="AG4314">
        <v>0</v>
      </c>
      <c r="AH4314">
        <v>384</v>
      </c>
      <c r="AJ4314" t="s">
        <v>51</v>
      </c>
      <c r="AK4314" t="s">
        <v>95</v>
      </c>
      <c r="AL4314" t="s">
        <v>1369</v>
      </c>
      <c r="AP4314" t="s">
        <v>951</v>
      </c>
    </row>
    <row r="4315" spans="1:42">
      <c r="A4315" s="16">
        <v>43845</v>
      </c>
      <c r="B4315">
        <v>3</v>
      </c>
      <c r="C4315">
        <v>986</v>
      </c>
      <c r="D4315">
        <v>14637</v>
      </c>
      <c r="E4315" t="s">
        <v>112</v>
      </c>
      <c r="F4315" t="s">
        <v>520</v>
      </c>
      <c r="G4315">
        <v>2</v>
      </c>
      <c r="H4315">
        <v>11</v>
      </c>
      <c r="I4315" s="25">
        <v>2632</v>
      </c>
      <c r="K4315" t="s">
        <v>909</v>
      </c>
      <c r="N4315" t="s">
        <v>44</v>
      </c>
      <c r="O4315">
        <v>59</v>
      </c>
      <c r="Q4315">
        <v>1</v>
      </c>
      <c r="R4315">
        <v>1</v>
      </c>
      <c r="S4315">
        <v>0</v>
      </c>
      <c r="T4315">
        <v>0</v>
      </c>
      <c r="U4315">
        <v>0</v>
      </c>
      <c r="V4315">
        <v>0</v>
      </c>
      <c r="W4315">
        <v>1</v>
      </c>
      <c r="X4315" s="21">
        <v>0</v>
      </c>
      <c r="Y4315" s="21">
        <v>0</v>
      </c>
      <c r="Z4315" s="21">
        <v>0</v>
      </c>
      <c r="AA4315" s="21">
        <v>0</v>
      </c>
      <c r="AB4315" s="21">
        <v>0</v>
      </c>
      <c r="AC4315" s="21">
        <v>0</v>
      </c>
      <c r="AD4315" s="21">
        <v>0</v>
      </c>
      <c r="AE4315" s="21">
        <v>0</v>
      </c>
      <c r="AF4315">
        <v>0</v>
      </c>
      <c r="AG4315">
        <v>0</v>
      </c>
      <c r="AH4315">
        <v>96</v>
      </c>
      <c r="AJ4315" t="s">
        <v>51</v>
      </c>
      <c r="AK4315" t="s">
        <v>95</v>
      </c>
      <c r="AP4315" t="s">
        <v>951</v>
      </c>
    </row>
    <row r="4316" spans="1:42">
      <c r="A4316" s="16">
        <v>43845</v>
      </c>
      <c r="B4316">
        <v>3</v>
      </c>
      <c r="C4316">
        <v>986</v>
      </c>
      <c r="D4316">
        <v>14637</v>
      </c>
      <c r="E4316" t="s">
        <v>112</v>
      </c>
      <c r="F4316" t="s">
        <v>520</v>
      </c>
      <c r="G4316">
        <v>2</v>
      </c>
      <c r="H4316">
        <v>12</v>
      </c>
      <c r="I4316" s="25">
        <v>2295</v>
      </c>
      <c r="K4316" t="s">
        <v>585</v>
      </c>
      <c r="N4316" t="s">
        <v>44</v>
      </c>
      <c r="O4316">
        <v>88</v>
      </c>
      <c r="Q4316">
        <v>2</v>
      </c>
      <c r="R4316">
        <v>1</v>
      </c>
      <c r="S4316">
        <v>0</v>
      </c>
      <c r="T4316">
        <v>0</v>
      </c>
      <c r="U4316">
        <v>0</v>
      </c>
      <c r="V4316">
        <v>0</v>
      </c>
      <c r="W4316">
        <v>2</v>
      </c>
      <c r="X4316" s="21">
        <v>0</v>
      </c>
      <c r="Y4316" s="21">
        <v>0</v>
      </c>
      <c r="Z4316" s="21">
        <v>0</v>
      </c>
      <c r="AA4316" s="21">
        <v>0</v>
      </c>
      <c r="AB4316" s="21">
        <v>0</v>
      </c>
      <c r="AC4316" s="21">
        <v>0</v>
      </c>
      <c r="AD4316" s="21">
        <v>0</v>
      </c>
      <c r="AE4316" s="21">
        <v>0</v>
      </c>
      <c r="AF4316">
        <v>0</v>
      </c>
      <c r="AG4316">
        <v>0</v>
      </c>
      <c r="AH4316">
        <v>192</v>
      </c>
      <c r="AJ4316" t="s">
        <v>54</v>
      </c>
      <c r="AK4316" t="s">
        <v>95</v>
      </c>
      <c r="AL4316" t="s">
        <v>1396</v>
      </c>
      <c r="AP4316" t="s">
        <v>951</v>
      </c>
    </row>
    <row r="4317" spans="1:42">
      <c r="A4317" s="16">
        <v>43845</v>
      </c>
      <c r="B4317">
        <v>3</v>
      </c>
      <c r="C4317">
        <v>986</v>
      </c>
      <c r="D4317">
        <v>14637</v>
      </c>
      <c r="E4317" t="s">
        <v>112</v>
      </c>
      <c r="F4317" t="s">
        <v>520</v>
      </c>
      <c r="G4317">
        <v>2</v>
      </c>
      <c r="H4317">
        <v>13</v>
      </c>
      <c r="I4317" s="25">
        <v>2301</v>
      </c>
      <c r="K4317" t="s">
        <v>185</v>
      </c>
      <c r="N4317" t="s">
        <v>44</v>
      </c>
      <c r="O4317">
        <v>59</v>
      </c>
      <c r="Q4317">
        <v>1</v>
      </c>
      <c r="R4317">
        <v>1</v>
      </c>
      <c r="S4317">
        <v>0</v>
      </c>
      <c r="T4317">
        <v>0</v>
      </c>
      <c r="U4317">
        <v>0</v>
      </c>
      <c r="V4317">
        <v>0</v>
      </c>
      <c r="W4317">
        <v>1</v>
      </c>
      <c r="X4317" s="21">
        <v>0</v>
      </c>
      <c r="Y4317" s="21">
        <v>0</v>
      </c>
      <c r="Z4317" s="21">
        <v>0</v>
      </c>
      <c r="AA4317" s="21">
        <v>0</v>
      </c>
      <c r="AB4317" s="21">
        <v>0</v>
      </c>
      <c r="AC4317" s="21">
        <v>0</v>
      </c>
      <c r="AD4317" s="21">
        <v>0</v>
      </c>
      <c r="AE4317" s="21">
        <v>0</v>
      </c>
      <c r="AF4317">
        <v>0</v>
      </c>
      <c r="AG4317">
        <v>0</v>
      </c>
      <c r="AH4317">
        <v>96</v>
      </c>
      <c r="AJ4317" t="s">
        <v>51</v>
      </c>
      <c r="AK4317" t="s">
        <v>95</v>
      </c>
      <c r="AL4317" t="s">
        <v>1403</v>
      </c>
      <c r="AP4317" t="s">
        <v>951</v>
      </c>
    </row>
    <row r="4318" spans="1:42">
      <c r="A4318" s="16">
        <v>43845</v>
      </c>
      <c r="B4318">
        <v>3</v>
      </c>
      <c r="C4318">
        <v>986</v>
      </c>
      <c r="D4318">
        <v>14637</v>
      </c>
      <c r="E4318" t="s">
        <v>112</v>
      </c>
      <c r="F4318" t="s">
        <v>520</v>
      </c>
      <c r="G4318">
        <v>2</v>
      </c>
      <c r="H4318">
        <v>14</v>
      </c>
      <c r="I4318" s="25">
        <v>2635</v>
      </c>
      <c r="K4318" t="s">
        <v>909</v>
      </c>
      <c r="N4318" t="s">
        <v>44</v>
      </c>
      <c r="O4318">
        <v>46</v>
      </c>
      <c r="Q4318">
        <v>2</v>
      </c>
      <c r="R4318">
        <v>1</v>
      </c>
      <c r="S4318">
        <v>0</v>
      </c>
      <c r="T4318">
        <v>0</v>
      </c>
      <c r="U4318">
        <v>0</v>
      </c>
      <c r="V4318">
        <v>0</v>
      </c>
      <c r="W4318">
        <v>2</v>
      </c>
      <c r="X4318" s="21">
        <v>0</v>
      </c>
      <c r="Y4318" s="21">
        <v>0</v>
      </c>
      <c r="Z4318" s="21">
        <v>0</v>
      </c>
      <c r="AA4318" s="21">
        <v>0</v>
      </c>
      <c r="AB4318" s="21">
        <v>0</v>
      </c>
      <c r="AC4318" s="21">
        <v>0</v>
      </c>
      <c r="AD4318" s="21">
        <v>0</v>
      </c>
      <c r="AE4318" s="21">
        <v>0</v>
      </c>
      <c r="AF4318">
        <v>0</v>
      </c>
      <c r="AG4318">
        <v>0</v>
      </c>
      <c r="AH4318">
        <v>192</v>
      </c>
      <c r="AJ4318" t="s">
        <v>51</v>
      </c>
      <c r="AK4318" t="s">
        <v>95</v>
      </c>
      <c r="AP4318" t="s">
        <v>951</v>
      </c>
    </row>
    <row r="4319" spans="1:42">
      <c r="A4319" s="16">
        <v>43845</v>
      </c>
      <c r="B4319">
        <v>3</v>
      </c>
      <c r="C4319">
        <v>986</v>
      </c>
      <c r="D4319">
        <v>14637</v>
      </c>
      <c r="E4319" t="s">
        <v>112</v>
      </c>
      <c r="F4319" t="s">
        <v>520</v>
      </c>
      <c r="G4319">
        <v>2</v>
      </c>
      <c r="H4319">
        <v>15</v>
      </c>
      <c r="I4319" s="25">
        <v>2400</v>
      </c>
      <c r="K4319" t="s">
        <v>605</v>
      </c>
      <c r="N4319" t="s">
        <v>44</v>
      </c>
      <c r="O4319">
        <v>172</v>
      </c>
      <c r="Q4319">
        <v>4</v>
      </c>
      <c r="R4319">
        <v>1</v>
      </c>
      <c r="S4319">
        <v>0</v>
      </c>
      <c r="T4319">
        <v>0</v>
      </c>
      <c r="U4319">
        <v>0</v>
      </c>
      <c r="V4319">
        <v>0</v>
      </c>
      <c r="W4319">
        <v>4</v>
      </c>
      <c r="X4319" s="21">
        <v>0</v>
      </c>
      <c r="Y4319" s="21">
        <v>0</v>
      </c>
      <c r="Z4319" s="21">
        <v>0</v>
      </c>
      <c r="AA4319" s="21">
        <v>0</v>
      </c>
      <c r="AB4319" s="21">
        <v>0</v>
      </c>
      <c r="AC4319" s="21">
        <v>0</v>
      </c>
      <c r="AD4319" s="21">
        <v>0</v>
      </c>
      <c r="AE4319" s="21">
        <v>0</v>
      </c>
      <c r="AF4319">
        <v>0</v>
      </c>
      <c r="AG4319">
        <v>0</v>
      </c>
      <c r="AH4319">
        <v>384</v>
      </c>
      <c r="AJ4319" t="s">
        <v>51</v>
      </c>
      <c r="AK4319" t="s">
        <v>95</v>
      </c>
      <c r="AL4319" t="s">
        <v>1454</v>
      </c>
      <c r="AP4319" t="s">
        <v>951</v>
      </c>
    </row>
    <row r="4320" spans="1:42">
      <c r="A4320" s="16">
        <v>43845</v>
      </c>
      <c r="B4320">
        <v>3</v>
      </c>
      <c r="C4320">
        <v>986</v>
      </c>
      <c r="D4320">
        <v>14637</v>
      </c>
      <c r="E4320" t="s">
        <v>112</v>
      </c>
      <c r="F4320" t="s">
        <v>520</v>
      </c>
      <c r="G4320">
        <v>2</v>
      </c>
      <c r="H4320">
        <v>16</v>
      </c>
      <c r="I4320" s="25">
        <v>2527</v>
      </c>
      <c r="K4320" t="s">
        <v>909</v>
      </c>
      <c r="N4320" t="s">
        <v>44</v>
      </c>
      <c r="O4320">
        <v>75</v>
      </c>
      <c r="Q4320">
        <v>2</v>
      </c>
      <c r="R4320">
        <v>1</v>
      </c>
      <c r="S4320">
        <v>0</v>
      </c>
      <c r="T4320">
        <v>0</v>
      </c>
      <c r="U4320">
        <v>0</v>
      </c>
      <c r="V4320">
        <v>1</v>
      </c>
      <c r="W4320">
        <v>1</v>
      </c>
      <c r="X4320" s="21">
        <v>0</v>
      </c>
      <c r="Y4320" s="21">
        <v>0</v>
      </c>
      <c r="Z4320" s="21">
        <v>0</v>
      </c>
      <c r="AA4320" s="21">
        <v>0</v>
      </c>
      <c r="AB4320" s="21">
        <v>0</v>
      </c>
      <c r="AC4320" s="21">
        <v>0</v>
      </c>
      <c r="AD4320" s="21">
        <v>0</v>
      </c>
      <c r="AE4320" s="21">
        <v>0</v>
      </c>
      <c r="AF4320">
        <v>0</v>
      </c>
      <c r="AG4320">
        <v>0</v>
      </c>
      <c r="AH4320">
        <v>160</v>
      </c>
      <c r="AJ4320" t="s">
        <v>51</v>
      </c>
      <c r="AK4320" t="s">
        <v>95</v>
      </c>
      <c r="AP4320" t="s">
        <v>951</v>
      </c>
    </row>
    <row r="4321" spans="1:42">
      <c r="A4321" s="16">
        <v>43845</v>
      </c>
      <c r="B4321">
        <v>3</v>
      </c>
      <c r="C4321">
        <v>986</v>
      </c>
      <c r="D4321">
        <v>14637</v>
      </c>
      <c r="E4321" t="s">
        <v>112</v>
      </c>
      <c r="F4321" t="s">
        <v>520</v>
      </c>
      <c r="G4321">
        <v>2</v>
      </c>
      <c r="H4321">
        <v>17</v>
      </c>
      <c r="I4321" s="25">
        <v>2439</v>
      </c>
      <c r="K4321" t="s">
        <v>909</v>
      </c>
      <c r="L4321" t="s">
        <v>114</v>
      </c>
      <c r="N4321" t="s">
        <v>42</v>
      </c>
      <c r="O4321">
        <v>90</v>
      </c>
      <c r="Q4321">
        <v>2</v>
      </c>
      <c r="R4321">
        <v>1</v>
      </c>
      <c r="S4321">
        <v>0</v>
      </c>
      <c r="T4321">
        <v>0</v>
      </c>
      <c r="U4321">
        <v>0</v>
      </c>
      <c r="V4321">
        <v>1</v>
      </c>
      <c r="W4321">
        <v>1</v>
      </c>
      <c r="X4321" s="21">
        <v>0</v>
      </c>
      <c r="Y4321" s="21">
        <v>0</v>
      </c>
      <c r="Z4321" s="21">
        <v>0</v>
      </c>
      <c r="AA4321" s="21">
        <v>0</v>
      </c>
      <c r="AB4321" s="21">
        <v>0</v>
      </c>
      <c r="AC4321" s="21">
        <v>0</v>
      </c>
      <c r="AD4321" s="21">
        <v>0</v>
      </c>
      <c r="AE4321" s="21">
        <v>0</v>
      </c>
      <c r="AF4321">
        <v>0</v>
      </c>
      <c r="AG4321">
        <v>0</v>
      </c>
      <c r="AH4321">
        <v>160</v>
      </c>
      <c r="AJ4321" t="s">
        <v>51</v>
      </c>
      <c r="AK4321" t="s">
        <v>95</v>
      </c>
      <c r="AL4321" t="s">
        <v>1389</v>
      </c>
      <c r="AP4321" t="s">
        <v>951</v>
      </c>
    </row>
    <row r="4322" spans="1:42">
      <c r="A4322" s="16">
        <v>43845</v>
      </c>
      <c r="B4322">
        <v>3</v>
      </c>
      <c r="C4322">
        <v>986</v>
      </c>
      <c r="D4322">
        <v>14637</v>
      </c>
      <c r="E4322" t="s">
        <v>112</v>
      </c>
      <c r="F4322" t="s">
        <v>520</v>
      </c>
      <c r="G4322">
        <v>2</v>
      </c>
      <c r="H4322">
        <v>18</v>
      </c>
      <c r="I4322" s="25">
        <v>2425</v>
      </c>
      <c r="K4322" t="s">
        <v>909</v>
      </c>
      <c r="N4322" t="s">
        <v>44</v>
      </c>
      <c r="O4322">
        <v>55</v>
      </c>
      <c r="Q4322">
        <v>1</v>
      </c>
      <c r="R4322">
        <v>1</v>
      </c>
      <c r="S4322">
        <v>0</v>
      </c>
      <c r="T4322">
        <v>0</v>
      </c>
      <c r="U4322">
        <v>0</v>
      </c>
      <c r="V4322">
        <v>0</v>
      </c>
      <c r="W4322">
        <v>1</v>
      </c>
      <c r="X4322" s="21">
        <v>0</v>
      </c>
      <c r="Y4322" s="21">
        <v>0</v>
      </c>
      <c r="Z4322" s="21">
        <v>0</v>
      </c>
      <c r="AA4322" s="21">
        <v>0</v>
      </c>
      <c r="AB4322" s="21">
        <v>0</v>
      </c>
      <c r="AC4322" s="21">
        <v>0</v>
      </c>
      <c r="AD4322" s="21">
        <v>0</v>
      </c>
      <c r="AE4322" s="21">
        <v>0</v>
      </c>
      <c r="AF4322">
        <v>0</v>
      </c>
      <c r="AG4322">
        <v>0</v>
      </c>
      <c r="AH4322">
        <v>96</v>
      </c>
      <c r="AJ4322" t="s">
        <v>51</v>
      </c>
      <c r="AK4322" t="s">
        <v>95</v>
      </c>
      <c r="AP4322" t="s">
        <v>951</v>
      </c>
    </row>
    <row r="4323" spans="1:42">
      <c r="A4323" s="16">
        <v>43845</v>
      </c>
      <c r="B4323">
        <v>3</v>
      </c>
      <c r="C4323">
        <v>986</v>
      </c>
      <c r="D4323">
        <v>14637</v>
      </c>
      <c r="E4323" t="s">
        <v>112</v>
      </c>
      <c r="F4323" t="s">
        <v>520</v>
      </c>
      <c r="G4323">
        <v>2</v>
      </c>
      <c r="H4323">
        <v>19</v>
      </c>
      <c r="I4323" s="25">
        <v>2400</v>
      </c>
      <c r="K4323" t="s">
        <v>647</v>
      </c>
      <c r="N4323" t="s">
        <v>40</v>
      </c>
      <c r="O4323">
        <v>41</v>
      </c>
      <c r="Q4323">
        <v>1</v>
      </c>
      <c r="R4323">
        <v>1</v>
      </c>
      <c r="S4323">
        <v>0</v>
      </c>
      <c r="T4323">
        <v>0</v>
      </c>
      <c r="U4323">
        <v>0</v>
      </c>
      <c r="V4323">
        <v>0</v>
      </c>
      <c r="W4323">
        <v>1</v>
      </c>
      <c r="X4323" s="21">
        <v>0</v>
      </c>
      <c r="Y4323" s="21">
        <v>0</v>
      </c>
      <c r="Z4323" s="21">
        <v>0</v>
      </c>
      <c r="AA4323" s="21">
        <v>0</v>
      </c>
      <c r="AB4323" s="21">
        <v>0</v>
      </c>
      <c r="AC4323" s="21">
        <v>0</v>
      </c>
      <c r="AD4323" s="21">
        <v>0</v>
      </c>
      <c r="AE4323" s="21">
        <v>0</v>
      </c>
      <c r="AF4323">
        <v>0</v>
      </c>
      <c r="AG4323">
        <v>0</v>
      </c>
      <c r="AH4323">
        <v>96</v>
      </c>
      <c r="AJ4323" t="s">
        <v>51</v>
      </c>
      <c r="AK4323" t="s">
        <v>95</v>
      </c>
      <c r="AP4323" t="s">
        <v>951</v>
      </c>
    </row>
    <row r="4324" spans="1:42">
      <c r="A4324" s="16">
        <v>43845</v>
      </c>
      <c r="B4324">
        <v>3</v>
      </c>
      <c r="C4324">
        <v>986</v>
      </c>
      <c r="D4324">
        <v>14637</v>
      </c>
      <c r="E4324" t="s">
        <v>112</v>
      </c>
      <c r="F4324" t="s">
        <v>520</v>
      </c>
      <c r="G4324">
        <v>2</v>
      </c>
      <c r="H4324">
        <v>20</v>
      </c>
      <c r="I4324" s="25">
        <v>2498</v>
      </c>
      <c r="K4324" t="s">
        <v>647</v>
      </c>
      <c r="N4324" t="s">
        <v>44</v>
      </c>
      <c r="O4324">
        <v>92</v>
      </c>
      <c r="Q4324">
        <v>1</v>
      </c>
      <c r="R4324">
        <v>1</v>
      </c>
      <c r="S4324">
        <v>0</v>
      </c>
      <c r="T4324">
        <v>0</v>
      </c>
      <c r="U4324">
        <v>0</v>
      </c>
      <c r="V4324">
        <v>0</v>
      </c>
      <c r="W4324">
        <v>1</v>
      </c>
      <c r="X4324" s="21">
        <v>0</v>
      </c>
      <c r="Y4324" s="21">
        <v>0</v>
      </c>
      <c r="Z4324" s="21">
        <v>0</v>
      </c>
      <c r="AA4324" s="21">
        <v>0</v>
      </c>
      <c r="AB4324" s="21">
        <v>0</v>
      </c>
      <c r="AC4324" s="21">
        <v>0</v>
      </c>
      <c r="AD4324" s="21">
        <v>0</v>
      </c>
      <c r="AE4324" s="21">
        <v>0</v>
      </c>
      <c r="AF4324">
        <v>0</v>
      </c>
      <c r="AG4324">
        <v>0</v>
      </c>
      <c r="AH4324">
        <v>96</v>
      </c>
      <c r="AJ4324" t="s">
        <v>51</v>
      </c>
      <c r="AK4324" t="s">
        <v>95</v>
      </c>
      <c r="AL4324" t="s">
        <v>1389</v>
      </c>
      <c r="AP4324" t="s">
        <v>951</v>
      </c>
    </row>
    <row r="4325" spans="1:42">
      <c r="A4325" s="16">
        <v>43845</v>
      </c>
      <c r="B4325">
        <v>3</v>
      </c>
      <c r="C4325">
        <v>986</v>
      </c>
      <c r="D4325">
        <v>14637</v>
      </c>
      <c r="E4325" t="s">
        <v>112</v>
      </c>
      <c r="F4325" t="s">
        <v>520</v>
      </c>
      <c r="G4325">
        <v>2</v>
      </c>
      <c r="H4325">
        <v>21</v>
      </c>
      <c r="I4325" s="25">
        <v>2325</v>
      </c>
      <c r="K4325" t="s">
        <v>647</v>
      </c>
      <c r="N4325" t="s">
        <v>44</v>
      </c>
      <c r="O4325">
        <v>70</v>
      </c>
      <c r="Q4325">
        <v>1</v>
      </c>
      <c r="R4325">
        <v>1</v>
      </c>
      <c r="S4325">
        <v>0</v>
      </c>
      <c r="T4325">
        <v>0</v>
      </c>
      <c r="U4325">
        <v>0</v>
      </c>
      <c r="V4325">
        <v>0</v>
      </c>
      <c r="W4325">
        <v>1</v>
      </c>
      <c r="X4325" s="21">
        <v>0</v>
      </c>
      <c r="Y4325" s="21">
        <v>0</v>
      </c>
      <c r="Z4325" s="21">
        <v>0</v>
      </c>
      <c r="AA4325" s="21">
        <v>0</v>
      </c>
      <c r="AB4325" s="21">
        <v>0</v>
      </c>
      <c r="AC4325" s="21">
        <v>0</v>
      </c>
      <c r="AD4325" s="21">
        <v>0</v>
      </c>
      <c r="AE4325" s="21">
        <v>0</v>
      </c>
      <c r="AF4325">
        <v>0</v>
      </c>
      <c r="AG4325">
        <v>0</v>
      </c>
      <c r="AH4325">
        <v>96</v>
      </c>
      <c r="AJ4325" t="s">
        <v>51</v>
      </c>
      <c r="AK4325" t="s">
        <v>95</v>
      </c>
      <c r="AL4325" t="s">
        <v>1455</v>
      </c>
      <c r="AP4325" t="s">
        <v>951</v>
      </c>
    </row>
    <row r="4326" spans="1:42">
      <c r="A4326" s="16">
        <v>43845</v>
      </c>
      <c r="B4326">
        <v>3</v>
      </c>
      <c r="C4326">
        <v>986</v>
      </c>
      <c r="D4326">
        <v>14637</v>
      </c>
      <c r="E4326" t="s">
        <v>112</v>
      </c>
      <c r="F4326" t="s">
        <v>520</v>
      </c>
      <c r="G4326">
        <v>2</v>
      </c>
      <c r="H4326">
        <v>22</v>
      </c>
      <c r="I4326" s="25">
        <v>2275</v>
      </c>
      <c r="K4326" t="s">
        <v>647</v>
      </c>
      <c r="N4326" t="s">
        <v>44</v>
      </c>
      <c r="O4326">
        <v>93</v>
      </c>
      <c r="Q4326">
        <v>2</v>
      </c>
      <c r="R4326">
        <v>1</v>
      </c>
      <c r="S4326">
        <v>0</v>
      </c>
      <c r="T4326">
        <v>0</v>
      </c>
      <c r="U4326">
        <v>0</v>
      </c>
      <c r="V4326">
        <v>0</v>
      </c>
      <c r="W4326">
        <v>2</v>
      </c>
      <c r="X4326" s="21">
        <v>0</v>
      </c>
      <c r="Y4326" s="21">
        <v>0</v>
      </c>
      <c r="Z4326" s="21">
        <v>0</v>
      </c>
      <c r="AA4326" s="21">
        <v>0</v>
      </c>
      <c r="AB4326" s="21">
        <v>0</v>
      </c>
      <c r="AC4326" s="21">
        <v>0</v>
      </c>
      <c r="AD4326" s="21">
        <v>0</v>
      </c>
      <c r="AE4326" s="21">
        <v>0</v>
      </c>
      <c r="AF4326">
        <v>0</v>
      </c>
      <c r="AG4326">
        <v>0</v>
      </c>
      <c r="AH4326">
        <v>192</v>
      </c>
      <c r="AJ4326" t="s">
        <v>51</v>
      </c>
      <c r="AK4326" t="s">
        <v>95</v>
      </c>
      <c r="AP4326" t="s">
        <v>951</v>
      </c>
    </row>
    <row r="4327" spans="1:42">
      <c r="A4327" s="16">
        <v>43845</v>
      </c>
      <c r="B4327">
        <v>3</v>
      </c>
      <c r="C4327">
        <v>986</v>
      </c>
      <c r="D4327">
        <v>14637</v>
      </c>
      <c r="E4327" t="s">
        <v>112</v>
      </c>
      <c r="F4327" t="s">
        <v>520</v>
      </c>
      <c r="G4327">
        <v>2</v>
      </c>
      <c r="H4327">
        <v>23</v>
      </c>
      <c r="I4327" s="25">
        <v>2425</v>
      </c>
      <c r="K4327" t="s">
        <v>596</v>
      </c>
      <c r="N4327" t="s">
        <v>44</v>
      </c>
      <c r="O4327">
        <v>56</v>
      </c>
      <c r="Q4327">
        <v>1</v>
      </c>
      <c r="R4327">
        <v>1</v>
      </c>
      <c r="S4327">
        <v>0</v>
      </c>
      <c r="T4327">
        <v>0</v>
      </c>
      <c r="U4327">
        <v>0</v>
      </c>
      <c r="V4327">
        <v>0</v>
      </c>
      <c r="W4327">
        <v>1</v>
      </c>
      <c r="X4327" s="21">
        <v>0</v>
      </c>
      <c r="Y4327" s="21">
        <v>0</v>
      </c>
      <c r="Z4327" s="21">
        <v>0</v>
      </c>
      <c r="AA4327" s="21">
        <v>0</v>
      </c>
      <c r="AB4327" s="21">
        <v>0</v>
      </c>
      <c r="AC4327" s="21">
        <v>0</v>
      </c>
      <c r="AD4327" s="21">
        <v>0</v>
      </c>
      <c r="AE4327" s="21">
        <v>0</v>
      </c>
      <c r="AF4327">
        <v>0</v>
      </c>
      <c r="AG4327">
        <v>0</v>
      </c>
      <c r="AH4327">
        <v>96</v>
      </c>
      <c r="AJ4327" t="s">
        <v>51</v>
      </c>
      <c r="AK4327" t="s">
        <v>95</v>
      </c>
      <c r="AP4327" t="s">
        <v>951</v>
      </c>
    </row>
    <row r="4328" spans="1:42">
      <c r="A4328" s="16">
        <v>43845</v>
      </c>
      <c r="B4328">
        <v>3</v>
      </c>
      <c r="C4328">
        <v>986</v>
      </c>
      <c r="D4328">
        <v>14637</v>
      </c>
      <c r="E4328" t="s">
        <v>112</v>
      </c>
      <c r="F4328" t="s">
        <v>520</v>
      </c>
      <c r="G4328">
        <v>2</v>
      </c>
      <c r="H4328">
        <v>24</v>
      </c>
      <c r="I4328" s="25">
        <v>2415</v>
      </c>
      <c r="K4328" t="s">
        <v>596</v>
      </c>
      <c r="N4328" t="s">
        <v>44</v>
      </c>
      <c r="O4328">
        <v>97</v>
      </c>
      <c r="Q4328">
        <v>2</v>
      </c>
      <c r="R4328">
        <v>1</v>
      </c>
      <c r="S4328">
        <v>0</v>
      </c>
      <c r="T4328">
        <v>0</v>
      </c>
      <c r="U4328">
        <v>0</v>
      </c>
      <c r="V4328">
        <v>0</v>
      </c>
      <c r="W4328">
        <v>2</v>
      </c>
      <c r="X4328" s="21">
        <v>0</v>
      </c>
      <c r="Y4328" s="21">
        <v>0</v>
      </c>
      <c r="Z4328" s="21">
        <v>0</v>
      </c>
      <c r="AA4328" s="21">
        <v>0</v>
      </c>
      <c r="AB4328" s="21">
        <v>0</v>
      </c>
      <c r="AC4328" s="21">
        <v>0</v>
      </c>
      <c r="AD4328" s="21">
        <v>0</v>
      </c>
      <c r="AE4328" s="21">
        <v>0</v>
      </c>
      <c r="AF4328">
        <v>0</v>
      </c>
      <c r="AG4328">
        <v>0</v>
      </c>
      <c r="AH4328">
        <v>192</v>
      </c>
      <c r="AJ4328" t="s">
        <v>51</v>
      </c>
      <c r="AK4328" t="s">
        <v>95</v>
      </c>
      <c r="AP4328" t="s">
        <v>951</v>
      </c>
    </row>
    <row r="4329" spans="1:42">
      <c r="A4329" s="16">
        <v>43845</v>
      </c>
      <c r="B4329">
        <v>3</v>
      </c>
      <c r="C4329">
        <v>986</v>
      </c>
      <c r="D4329">
        <v>14637</v>
      </c>
      <c r="E4329" t="s">
        <v>112</v>
      </c>
      <c r="F4329" t="s">
        <v>520</v>
      </c>
      <c r="G4329">
        <v>2</v>
      </c>
      <c r="H4329">
        <v>25</v>
      </c>
      <c r="I4329" s="25">
        <v>2400</v>
      </c>
      <c r="K4329" t="s">
        <v>596</v>
      </c>
      <c r="N4329" t="s">
        <v>44</v>
      </c>
      <c r="O4329">
        <v>118</v>
      </c>
      <c r="Q4329">
        <v>3</v>
      </c>
      <c r="R4329">
        <v>1</v>
      </c>
      <c r="S4329">
        <v>0</v>
      </c>
      <c r="T4329">
        <v>0</v>
      </c>
      <c r="U4329">
        <v>0</v>
      </c>
      <c r="V4329">
        <v>0</v>
      </c>
      <c r="W4329">
        <v>3</v>
      </c>
      <c r="X4329" s="21">
        <v>0</v>
      </c>
      <c r="Y4329" s="21">
        <v>0</v>
      </c>
      <c r="Z4329" s="21">
        <v>0</v>
      </c>
      <c r="AA4329" s="21">
        <v>0</v>
      </c>
      <c r="AB4329" s="21">
        <v>0</v>
      </c>
      <c r="AC4329" s="21">
        <v>0</v>
      </c>
      <c r="AD4329" s="21">
        <v>0</v>
      </c>
      <c r="AE4329" s="21">
        <v>0</v>
      </c>
      <c r="AF4329">
        <v>0</v>
      </c>
      <c r="AG4329">
        <v>0</v>
      </c>
      <c r="AH4329">
        <v>288</v>
      </c>
      <c r="AJ4329" t="s">
        <v>51</v>
      </c>
      <c r="AK4329" t="s">
        <v>95</v>
      </c>
      <c r="AL4329" t="s">
        <v>1389</v>
      </c>
      <c r="AP4329" t="s">
        <v>951</v>
      </c>
    </row>
    <row r="4330" spans="1:42">
      <c r="A4330" s="16">
        <v>43845</v>
      </c>
      <c r="B4330">
        <v>3</v>
      </c>
      <c r="C4330">
        <v>986</v>
      </c>
      <c r="D4330">
        <v>14637</v>
      </c>
      <c r="E4330" t="s">
        <v>112</v>
      </c>
      <c r="F4330" t="s">
        <v>520</v>
      </c>
      <c r="G4330">
        <v>2</v>
      </c>
      <c r="H4330">
        <v>26</v>
      </c>
      <c r="I4330" s="25" t="s">
        <v>1456</v>
      </c>
      <c r="K4330" t="s">
        <v>647</v>
      </c>
      <c r="N4330" t="s">
        <v>44</v>
      </c>
      <c r="O4330">
        <v>153</v>
      </c>
      <c r="Q4330">
        <v>2</v>
      </c>
      <c r="R4330">
        <v>1</v>
      </c>
      <c r="S4330">
        <v>0</v>
      </c>
      <c r="T4330">
        <v>0</v>
      </c>
      <c r="U4330">
        <v>0</v>
      </c>
      <c r="V4330">
        <v>0</v>
      </c>
      <c r="W4330">
        <v>2</v>
      </c>
      <c r="X4330" s="21">
        <v>0</v>
      </c>
      <c r="Y4330" s="21">
        <v>0</v>
      </c>
      <c r="Z4330" s="21">
        <v>0</v>
      </c>
      <c r="AA4330" s="21">
        <v>0</v>
      </c>
      <c r="AB4330" s="21">
        <v>0</v>
      </c>
      <c r="AC4330" s="21">
        <v>0</v>
      </c>
      <c r="AD4330" s="21">
        <v>0</v>
      </c>
      <c r="AE4330" s="21">
        <v>0</v>
      </c>
      <c r="AF4330">
        <v>0</v>
      </c>
      <c r="AG4330">
        <v>0</v>
      </c>
      <c r="AH4330">
        <v>192</v>
      </c>
      <c r="AL4330" t="s">
        <v>1457</v>
      </c>
      <c r="AP4330" t="s">
        <v>951</v>
      </c>
    </row>
    <row r="4331" spans="1:42">
      <c r="A4331" s="16">
        <v>43845</v>
      </c>
      <c r="B4331">
        <v>3</v>
      </c>
      <c r="C4331">
        <v>986</v>
      </c>
      <c r="D4331">
        <v>14637</v>
      </c>
      <c r="E4331" t="s">
        <v>112</v>
      </c>
      <c r="F4331" t="s">
        <v>520</v>
      </c>
      <c r="G4331">
        <v>2</v>
      </c>
      <c r="H4331">
        <v>27</v>
      </c>
      <c r="I4331" s="25">
        <v>2199</v>
      </c>
      <c r="K4331" t="s">
        <v>647</v>
      </c>
      <c r="N4331" t="s">
        <v>44</v>
      </c>
      <c r="O4331">
        <v>50</v>
      </c>
      <c r="Q4331">
        <v>1</v>
      </c>
      <c r="R4331">
        <v>1</v>
      </c>
      <c r="S4331">
        <v>0</v>
      </c>
      <c r="T4331">
        <v>0</v>
      </c>
      <c r="U4331">
        <v>0</v>
      </c>
      <c r="V4331">
        <v>0</v>
      </c>
      <c r="W4331">
        <v>1</v>
      </c>
      <c r="X4331" s="21">
        <v>0</v>
      </c>
      <c r="Y4331" s="21">
        <v>0</v>
      </c>
      <c r="Z4331" s="21">
        <v>0</v>
      </c>
      <c r="AA4331" s="21">
        <v>0</v>
      </c>
      <c r="AB4331" s="21">
        <v>0</v>
      </c>
      <c r="AC4331" s="21">
        <v>0</v>
      </c>
      <c r="AD4331" s="21">
        <v>0</v>
      </c>
      <c r="AE4331" s="21">
        <v>0</v>
      </c>
      <c r="AF4331">
        <v>0</v>
      </c>
      <c r="AG4331">
        <v>0</v>
      </c>
      <c r="AH4331">
        <v>96</v>
      </c>
      <c r="AJ4331" t="s">
        <v>51</v>
      </c>
      <c r="AK4331" t="s">
        <v>95</v>
      </c>
      <c r="AP4331" t="s">
        <v>951</v>
      </c>
    </row>
    <row r="4332" spans="1:42">
      <c r="A4332" s="16">
        <v>43845</v>
      </c>
      <c r="B4332">
        <v>3</v>
      </c>
      <c r="C4332">
        <v>986</v>
      </c>
      <c r="D4332">
        <v>14637</v>
      </c>
      <c r="E4332" t="s">
        <v>112</v>
      </c>
      <c r="F4332" t="s">
        <v>520</v>
      </c>
      <c r="G4332">
        <v>2</v>
      </c>
      <c r="H4332">
        <v>28</v>
      </c>
      <c r="I4332" s="25">
        <v>2200</v>
      </c>
      <c r="K4332" t="s">
        <v>647</v>
      </c>
      <c r="N4332" t="s">
        <v>44</v>
      </c>
      <c r="O4332">
        <v>77</v>
      </c>
      <c r="Q4332">
        <v>2</v>
      </c>
      <c r="R4332">
        <v>1</v>
      </c>
      <c r="S4332">
        <v>0</v>
      </c>
      <c r="T4332">
        <v>0</v>
      </c>
      <c r="U4332">
        <v>0</v>
      </c>
      <c r="V4332">
        <v>0</v>
      </c>
      <c r="W4332">
        <v>2</v>
      </c>
      <c r="X4332" s="21">
        <v>0</v>
      </c>
      <c r="Y4332" s="21">
        <v>0</v>
      </c>
      <c r="Z4332" s="21">
        <v>0</v>
      </c>
      <c r="AA4332" s="21">
        <v>0</v>
      </c>
      <c r="AB4332" s="21">
        <v>0</v>
      </c>
      <c r="AC4332" s="21">
        <v>0</v>
      </c>
      <c r="AD4332" s="21">
        <v>0</v>
      </c>
      <c r="AE4332" s="21">
        <v>0</v>
      </c>
      <c r="AF4332">
        <v>0</v>
      </c>
      <c r="AG4332">
        <v>0</v>
      </c>
      <c r="AH4332">
        <v>192</v>
      </c>
      <c r="AJ4332" t="s">
        <v>51</v>
      </c>
      <c r="AK4332" t="s">
        <v>95</v>
      </c>
      <c r="AL4332" t="s">
        <v>1458</v>
      </c>
      <c r="AP4332" t="s">
        <v>951</v>
      </c>
    </row>
    <row r="4333" spans="1:42">
      <c r="A4333" s="16">
        <v>43845</v>
      </c>
      <c r="B4333">
        <v>3</v>
      </c>
      <c r="C4333">
        <v>986</v>
      </c>
      <c r="D4333">
        <v>14637</v>
      </c>
      <c r="E4333" t="s">
        <v>112</v>
      </c>
      <c r="F4333" t="s">
        <v>520</v>
      </c>
      <c r="G4333">
        <v>2</v>
      </c>
      <c r="H4333">
        <v>29</v>
      </c>
      <c r="I4333" s="25">
        <v>2210</v>
      </c>
      <c r="K4333" t="s">
        <v>647</v>
      </c>
      <c r="N4333" t="s">
        <v>44</v>
      </c>
      <c r="O4333">
        <v>96</v>
      </c>
      <c r="Q4333">
        <v>4</v>
      </c>
      <c r="R4333">
        <v>1</v>
      </c>
      <c r="S4333">
        <v>0</v>
      </c>
      <c r="T4333">
        <v>0</v>
      </c>
      <c r="U4333">
        <v>0</v>
      </c>
      <c r="V4333">
        <v>0</v>
      </c>
      <c r="W4333">
        <v>4</v>
      </c>
      <c r="X4333" s="21">
        <v>0</v>
      </c>
      <c r="Y4333" s="21">
        <v>0</v>
      </c>
      <c r="Z4333" s="21">
        <v>0</v>
      </c>
      <c r="AA4333" s="21">
        <v>0</v>
      </c>
      <c r="AB4333" s="21">
        <v>0</v>
      </c>
      <c r="AC4333" s="21">
        <v>0</v>
      </c>
      <c r="AD4333" s="21">
        <v>0</v>
      </c>
      <c r="AE4333" s="21">
        <v>0</v>
      </c>
      <c r="AF4333">
        <v>0</v>
      </c>
      <c r="AG4333">
        <v>0</v>
      </c>
      <c r="AH4333">
        <v>384</v>
      </c>
      <c r="AJ4333" t="s">
        <v>51</v>
      </c>
      <c r="AK4333" t="s">
        <v>95</v>
      </c>
      <c r="AP4333" t="s">
        <v>951</v>
      </c>
    </row>
    <row r="4334" spans="1:42">
      <c r="A4334" s="16">
        <v>43845</v>
      </c>
      <c r="B4334">
        <v>3</v>
      </c>
      <c r="C4334">
        <v>986</v>
      </c>
      <c r="D4334">
        <v>14637</v>
      </c>
      <c r="E4334" t="s">
        <v>112</v>
      </c>
      <c r="F4334" t="s">
        <v>520</v>
      </c>
      <c r="G4334">
        <v>2</v>
      </c>
      <c r="H4334">
        <v>30</v>
      </c>
      <c r="I4334" s="25">
        <v>2286</v>
      </c>
      <c r="K4334" t="s">
        <v>647</v>
      </c>
      <c r="N4334" t="s">
        <v>44</v>
      </c>
      <c r="O4334">
        <v>114</v>
      </c>
      <c r="Q4334">
        <v>1</v>
      </c>
      <c r="R4334">
        <v>1</v>
      </c>
      <c r="S4334">
        <v>0</v>
      </c>
      <c r="T4334">
        <v>0</v>
      </c>
      <c r="U4334">
        <v>0</v>
      </c>
      <c r="V4334">
        <v>0</v>
      </c>
      <c r="W4334">
        <v>1</v>
      </c>
      <c r="X4334" s="21">
        <v>0</v>
      </c>
      <c r="Y4334" s="21">
        <v>0</v>
      </c>
      <c r="Z4334" s="21">
        <v>0</v>
      </c>
      <c r="AA4334" s="21">
        <v>0</v>
      </c>
      <c r="AB4334" s="21">
        <v>0</v>
      </c>
      <c r="AC4334" s="21">
        <v>0</v>
      </c>
      <c r="AD4334" s="21">
        <v>0</v>
      </c>
      <c r="AE4334" s="21">
        <v>0</v>
      </c>
      <c r="AF4334">
        <v>0</v>
      </c>
      <c r="AG4334">
        <v>0</v>
      </c>
      <c r="AH4334">
        <v>96</v>
      </c>
      <c r="AJ4334" t="s">
        <v>51</v>
      </c>
      <c r="AK4334" t="s">
        <v>95</v>
      </c>
      <c r="AL4334" t="s">
        <v>618</v>
      </c>
      <c r="AP4334" t="s">
        <v>951</v>
      </c>
    </row>
    <row r="4335" spans="1:42">
      <c r="A4335" s="16">
        <v>43845</v>
      </c>
      <c r="B4335">
        <v>3</v>
      </c>
      <c r="C4335">
        <v>986</v>
      </c>
      <c r="D4335">
        <v>14637</v>
      </c>
      <c r="E4335" t="s">
        <v>112</v>
      </c>
      <c r="F4335" t="s">
        <v>520</v>
      </c>
      <c r="G4335">
        <v>2</v>
      </c>
      <c r="H4335">
        <v>31</v>
      </c>
      <c r="I4335" s="25">
        <v>2299</v>
      </c>
      <c r="K4335" t="s">
        <v>605</v>
      </c>
      <c r="N4335" t="s">
        <v>44</v>
      </c>
      <c r="O4335">
        <v>57</v>
      </c>
      <c r="Q4335">
        <v>1</v>
      </c>
      <c r="R4335">
        <v>1</v>
      </c>
      <c r="S4335">
        <v>0</v>
      </c>
      <c r="T4335">
        <v>0</v>
      </c>
      <c r="U4335">
        <v>0</v>
      </c>
      <c r="V4335">
        <v>0</v>
      </c>
      <c r="W4335">
        <v>1</v>
      </c>
      <c r="X4335" s="21">
        <v>0</v>
      </c>
      <c r="Y4335" s="21">
        <v>0</v>
      </c>
      <c r="Z4335" s="21">
        <v>0</v>
      </c>
      <c r="AA4335" s="21">
        <v>0</v>
      </c>
      <c r="AB4335" s="21">
        <v>0</v>
      </c>
      <c r="AC4335" s="21">
        <v>0</v>
      </c>
      <c r="AD4335" s="21">
        <v>0</v>
      </c>
      <c r="AE4335" s="21">
        <v>0</v>
      </c>
      <c r="AF4335">
        <v>0</v>
      </c>
      <c r="AG4335">
        <v>0</v>
      </c>
      <c r="AH4335">
        <v>96</v>
      </c>
      <c r="AJ4335" t="s">
        <v>51</v>
      </c>
      <c r="AK4335" t="s">
        <v>95</v>
      </c>
      <c r="AP4335" t="s">
        <v>951</v>
      </c>
    </row>
    <row r="4336" spans="1:42">
      <c r="A4336" s="16">
        <v>43845</v>
      </c>
      <c r="B4336">
        <v>3</v>
      </c>
      <c r="C4336">
        <v>986</v>
      </c>
      <c r="D4336">
        <v>14637</v>
      </c>
      <c r="E4336" t="s">
        <v>112</v>
      </c>
      <c r="F4336" t="s">
        <v>520</v>
      </c>
      <c r="G4336">
        <v>2</v>
      </c>
      <c r="H4336">
        <v>32</v>
      </c>
      <c r="I4336" s="25">
        <v>2201</v>
      </c>
      <c r="K4336" t="s">
        <v>605</v>
      </c>
      <c r="N4336" t="s">
        <v>44</v>
      </c>
      <c r="O4336">
        <v>82</v>
      </c>
      <c r="Q4336">
        <v>1</v>
      </c>
      <c r="R4336">
        <v>1</v>
      </c>
      <c r="S4336">
        <v>0</v>
      </c>
      <c r="T4336">
        <v>0</v>
      </c>
      <c r="U4336">
        <v>0</v>
      </c>
      <c r="V4336">
        <v>0</v>
      </c>
      <c r="W4336">
        <v>1</v>
      </c>
      <c r="X4336" s="21">
        <v>0</v>
      </c>
      <c r="Y4336" s="21">
        <v>0</v>
      </c>
      <c r="Z4336" s="21">
        <v>0</v>
      </c>
      <c r="AA4336" s="21">
        <v>0</v>
      </c>
      <c r="AB4336" s="21">
        <v>0</v>
      </c>
      <c r="AC4336" s="21">
        <v>0</v>
      </c>
      <c r="AD4336" s="21">
        <v>0</v>
      </c>
      <c r="AE4336" s="21">
        <v>0</v>
      </c>
      <c r="AF4336">
        <v>0</v>
      </c>
      <c r="AG4336">
        <v>0</v>
      </c>
      <c r="AH4336">
        <v>96</v>
      </c>
      <c r="AJ4336" t="s">
        <v>51</v>
      </c>
      <c r="AK4336" t="s">
        <v>95</v>
      </c>
      <c r="AL4336" t="s">
        <v>1459</v>
      </c>
      <c r="AP4336" t="s">
        <v>951</v>
      </c>
    </row>
    <row r="4337" spans="1:42">
      <c r="A4337" s="16">
        <v>43845</v>
      </c>
      <c r="B4337">
        <v>3</v>
      </c>
      <c r="C4337">
        <v>986</v>
      </c>
      <c r="D4337">
        <v>14637</v>
      </c>
      <c r="E4337" t="s">
        <v>112</v>
      </c>
      <c r="F4337" t="s">
        <v>520</v>
      </c>
      <c r="G4337">
        <v>2</v>
      </c>
      <c r="H4337">
        <v>33</v>
      </c>
      <c r="I4337" s="25">
        <v>2230</v>
      </c>
      <c r="K4337" t="s">
        <v>605</v>
      </c>
      <c r="N4337" t="s">
        <v>44</v>
      </c>
      <c r="O4337">
        <v>75</v>
      </c>
      <c r="Q4337">
        <v>1</v>
      </c>
      <c r="R4337">
        <v>1</v>
      </c>
      <c r="S4337">
        <v>0</v>
      </c>
      <c r="T4337">
        <v>0</v>
      </c>
      <c r="U4337">
        <v>0</v>
      </c>
      <c r="V4337">
        <v>0</v>
      </c>
      <c r="W4337">
        <v>1</v>
      </c>
      <c r="X4337" s="21">
        <v>0</v>
      </c>
      <c r="Y4337" s="21">
        <v>0</v>
      </c>
      <c r="Z4337" s="21">
        <v>0</v>
      </c>
      <c r="AA4337" s="21">
        <v>0</v>
      </c>
      <c r="AB4337" s="21">
        <v>0</v>
      </c>
      <c r="AC4337" s="21">
        <v>0</v>
      </c>
      <c r="AD4337" s="21">
        <v>0</v>
      </c>
      <c r="AE4337" s="21">
        <v>0</v>
      </c>
      <c r="AF4337">
        <v>0</v>
      </c>
      <c r="AG4337">
        <v>0</v>
      </c>
      <c r="AH4337">
        <v>96</v>
      </c>
      <c r="AJ4337" t="s">
        <v>51</v>
      </c>
      <c r="AK4337" t="s">
        <v>95</v>
      </c>
      <c r="AL4337" t="s">
        <v>1452</v>
      </c>
      <c r="AP4337" t="s">
        <v>951</v>
      </c>
    </row>
    <row r="4338" spans="1:42">
      <c r="A4338" s="16">
        <v>43845</v>
      </c>
      <c r="B4338">
        <v>3</v>
      </c>
      <c r="C4338">
        <v>986</v>
      </c>
      <c r="D4338">
        <v>14637</v>
      </c>
      <c r="E4338" t="s">
        <v>112</v>
      </c>
      <c r="F4338" t="s">
        <v>520</v>
      </c>
      <c r="G4338">
        <v>2</v>
      </c>
      <c r="H4338">
        <v>34</v>
      </c>
      <c r="I4338" s="25">
        <v>2240</v>
      </c>
      <c r="K4338" t="s">
        <v>605</v>
      </c>
      <c r="N4338" t="s">
        <v>44</v>
      </c>
      <c r="O4338">
        <v>97</v>
      </c>
      <c r="Q4338">
        <v>1</v>
      </c>
      <c r="R4338">
        <v>1</v>
      </c>
      <c r="S4338">
        <v>0</v>
      </c>
      <c r="T4338">
        <v>0</v>
      </c>
      <c r="U4338">
        <v>0</v>
      </c>
      <c r="V4338">
        <v>0</v>
      </c>
      <c r="W4338">
        <v>1</v>
      </c>
      <c r="X4338" s="21">
        <v>0</v>
      </c>
      <c r="Y4338" s="21">
        <v>0</v>
      </c>
      <c r="Z4338" s="21">
        <v>0</v>
      </c>
      <c r="AA4338" s="21">
        <v>0</v>
      </c>
      <c r="AB4338" s="21">
        <v>0</v>
      </c>
      <c r="AC4338" s="21">
        <v>0</v>
      </c>
      <c r="AD4338" s="21">
        <v>0</v>
      </c>
      <c r="AE4338" s="21">
        <v>0</v>
      </c>
      <c r="AF4338">
        <v>0</v>
      </c>
      <c r="AG4338">
        <v>0</v>
      </c>
      <c r="AH4338">
        <v>96</v>
      </c>
      <c r="AJ4338" t="s">
        <v>51</v>
      </c>
      <c r="AK4338" t="s">
        <v>52</v>
      </c>
      <c r="AP4338" t="s">
        <v>951</v>
      </c>
    </row>
    <row r="4339" spans="1:42">
      <c r="A4339" s="16">
        <v>43845</v>
      </c>
      <c r="B4339">
        <v>3</v>
      </c>
      <c r="C4339">
        <v>986</v>
      </c>
      <c r="D4339">
        <v>14637</v>
      </c>
      <c r="E4339" t="s">
        <v>112</v>
      </c>
      <c r="F4339" t="s">
        <v>520</v>
      </c>
      <c r="G4339">
        <v>2</v>
      </c>
      <c r="H4339">
        <v>35</v>
      </c>
      <c r="I4339" s="25">
        <v>2298</v>
      </c>
      <c r="K4339" t="s">
        <v>605</v>
      </c>
      <c r="N4339" t="s">
        <v>44</v>
      </c>
      <c r="O4339">
        <v>150</v>
      </c>
      <c r="Q4339">
        <v>2</v>
      </c>
      <c r="R4339">
        <v>1</v>
      </c>
      <c r="S4339">
        <v>0</v>
      </c>
      <c r="T4339">
        <v>0</v>
      </c>
      <c r="U4339">
        <v>0</v>
      </c>
      <c r="V4339">
        <v>0</v>
      </c>
      <c r="W4339">
        <v>2</v>
      </c>
      <c r="X4339" s="21">
        <v>0</v>
      </c>
      <c r="Y4339" s="21">
        <v>0</v>
      </c>
      <c r="Z4339" s="21">
        <v>0</v>
      </c>
      <c r="AA4339" s="21">
        <v>0</v>
      </c>
      <c r="AB4339" s="21">
        <v>0</v>
      </c>
      <c r="AC4339" s="21">
        <v>0</v>
      </c>
      <c r="AD4339" s="21">
        <v>0</v>
      </c>
      <c r="AE4339" s="21">
        <v>0</v>
      </c>
      <c r="AF4339">
        <v>0</v>
      </c>
      <c r="AG4339">
        <v>0</v>
      </c>
      <c r="AH4339">
        <v>192</v>
      </c>
      <c r="AJ4339" t="s">
        <v>51</v>
      </c>
      <c r="AK4339" t="s">
        <v>95</v>
      </c>
      <c r="AL4339" t="s">
        <v>618</v>
      </c>
      <c r="AP4339" t="s">
        <v>951</v>
      </c>
    </row>
    <row r="4340" spans="1:42">
      <c r="A4340" s="16">
        <v>43845</v>
      </c>
      <c r="B4340">
        <v>3</v>
      </c>
      <c r="C4340">
        <v>986</v>
      </c>
      <c r="D4340">
        <v>14637</v>
      </c>
      <c r="E4340" t="s">
        <v>112</v>
      </c>
      <c r="F4340" t="s">
        <v>520</v>
      </c>
      <c r="G4340">
        <v>2</v>
      </c>
      <c r="H4340">
        <v>36</v>
      </c>
      <c r="I4340" s="25">
        <v>2411</v>
      </c>
      <c r="K4340" t="s">
        <v>599</v>
      </c>
      <c r="N4340" t="s">
        <v>44</v>
      </c>
      <c r="O4340">
        <v>175</v>
      </c>
      <c r="Q4340">
        <v>3</v>
      </c>
      <c r="R4340">
        <v>1</v>
      </c>
      <c r="S4340">
        <v>0</v>
      </c>
      <c r="T4340">
        <v>0</v>
      </c>
      <c r="U4340">
        <v>0</v>
      </c>
      <c r="V4340">
        <v>0</v>
      </c>
      <c r="W4340">
        <v>3</v>
      </c>
      <c r="X4340" s="21">
        <v>0</v>
      </c>
      <c r="Y4340" s="21">
        <v>0</v>
      </c>
      <c r="Z4340" s="21">
        <v>0</v>
      </c>
      <c r="AA4340" s="21">
        <v>0</v>
      </c>
      <c r="AB4340" s="21">
        <v>0</v>
      </c>
      <c r="AC4340" s="21">
        <v>0</v>
      </c>
      <c r="AD4340" s="21">
        <v>0</v>
      </c>
      <c r="AE4340" s="21">
        <v>0</v>
      </c>
      <c r="AF4340">
        <v>0</v>
      </c>
      <c r="AG4340">
        <v>0</v>
      </c>
      <c r="AH4340">
        <v>288</v>
      </c>
      <c r="AJ4340" t="s">
        <v>51</v>
      </c>
      <c r="AK4340" t="s">
        <v>95</v>
      </c>
      <c r="AL4340" t="s">
        <v>1460</v>
      </c>
      <c r="AP4340" t="s">
        <v>951</v>
      </c>
    </row>
    <row r="4341" spans="1:42">
      <c r="A4341" s="16">
        <v>43845</v>
      </c>
      <c r="B4341">
        <v>3</v>
      </c>
      <c r="C4341">
        <v>986</v>
      </c>
      <c r="D4341">
        <v>14637</v>
      </c>
      <c r="E4341" t="s">
        <v>112</v>
      </c>
      <c r="F4341" t="s">
        <v>520</v>
      </c>
      <c r="G4341">
        <v>2</v>
      </c>
      <c r="H4341">
        <v>37</v>
      </c>
      <c r="I4341" s="25">
        <v>2849</v>
      </c>
      <c r="K4341" t="s">
        <v>909</v>
      </c>
      <c r="L4341" t="s">
        <v>141</v>
      </c>
      <c r="N4341" t="s">
        <v>42</v>
      </c>
      <c r="O4341">
        <v>115</v>
      </c>
      <c r="Q4341">
        <v>2</v>
      </c>
      <c r="R4341">
        <v>1</v>
      </c>
      <c r="S4341">
        <v>0</v>
      </c>
      <c r="T4341">
        <v>0</v>
      </c>
      <c r="U4341">
        <v>0</v>
      </c>
      <c r="V4341">
        <v>1</v>
      </c>
      <c r="W4341">
        <v>1</v>
      </c>
      <c r="X4341" s="21">
        <v>0</v>
      </c>
      <c r="Y4341" s="21">
        <v>0</v>
      </c>
      <c r="Z4341" s="21">
        <v>0</v>
      </c>
      <c r="AA4341" s="21">
        <v>0</v>
      </c>
      <c r="AB4341" s="21">
        <v>0</v>
      </c>
      <c r="AC4341" s="21">
        <v>0</v>
      </c>
      <c r="AD4341" s="21">
        <v>0</v>
      </c>
      <c r="AE4341" s="21">
        <v>0</v>
      </c>
      <c r="AF4341">
        <v>0</v>
      </c>
      <c r="AG4341">
        <v>0</v>
      </c>
      <c r="AH4341">
        <v>160</v>
      </c>
      <c r="AJ4341" t="s">
        <v>51</v>
      </c>
      <c r="AK4341" t="s">
        <v>52</v>
      </c>
      <c r="AP4341" t="s">
        <v>951</v>
      </c>
    </row>
    <row r="4342" spans="1:42">
      <c r="A4342" s="16">
        <v>43845</v>
      </c>
      <c r="B4342">
        <v>3</v>
      </c>
      <c r="C4342">
        <v>986</v>
      </c>
      <c r="D4342">
        <v>14637</v>
      </c>
      <c r="E4342" t="s">
        <v>112</v>
      </c>
      <c r="F4342" t="s">
        <v>520</v>
      </c>
      <c r="G4342">
        <v>2</v>
      </c>
      <c r="H4342">
        <v>38</v>
      </c>
      <c r="I4342" s="25" t="s">
        <v>1461</v>
      </c>
      <c r="K4342" t="s">
        <v>585</v>
      </c>
      <c r="N4342" t="s">
        <v>44</v>
      </c>
      <c r="O4342">
        <v>160</v>
      </c>
      <c r="Q4342">
        <v>3</v>
      </c>
      <c r="R4342">
        <v>1</v>
      </c>
      <c r="S4342">
        <v>0</v>
      </c>
      <c r="T4342">
        <v>0</v>
      </c>
      <c r="U4342">
        <v>1</v>
      </c>
      <c r="V4342">
        <v>1</v>
      </c>
      <c r="W4342">
        <v>1</v>
      </c>
      <c r="X4342" s="21">
        <v>0</v>
      </c>
      <c r="Y4342" s="21">
        <v>0</v>
      </c>
      <c r="Z4342" s="21">
        <v>0</v>
      </c>
      <c r="AA4342" s="21">
        <v>0</v>
      </c>
      <c r="AB4342" s="21">
        <v>0</v>
      </c>
      <c r="AC4342" s="21">
        <v>0</v>
      </c>
      <c r="AD4342" s="21">
        <v>0</v>
      </c>
      <c r="AE4342" s="21">
        <v>0</v>
      </c>
      <c r="AF4342">
        <v>0</v>
      </c>
      <c r="AG4342">
        <v>0</v>
      </c>
      <c r="AH4342">
        <v>192</v>
      </c>
      <c r="AJ4342" t="s">
        <v>51</v>
      </c>
      <c r="AK4342" t="s">
        <v>52</v>
      </c>
      <c r="AP4342" t="s">
        <v>951</v>
      </c>
    </row>
    <row r="4343" spans="1:42">
      <c r="A4343" s="16">
        <v>43845</v>
      </c>
      <c r="B4343">
        <v>3</v>
      </c>
      <c r="C4343">
        <v>986</v>
      </c>
      <c r="D4343">
        <v>14637</v>
      </c>
      <c r="E4343" t="s">
        <v>112</v>
      </c>
      <c r="F4343" t="s">
        <v>520</v>
      </c>
      <c r="G4343">
        <v>2</v>
      </c>
      <c r="H4343">
        <v>39</v>
      </c>
      <c r="I4343" s="25" t="s">
        <v>1462</v>
      </c>
      <c r="K4343" t="s">
        <v>185</v>
      </c>
      <c r="N4343" t="s">
        <v>44</v>
      </c>
      <c r="O4343">
        <v>129</v>
      </c>
      <c r="Q4343">
        <v>2</v>
      </c>
      <c r="R4343">
        <v>1</v>
      </c>
      <c r="S4343">
        <v>0</v>
      </c>
      <c r="T4343">
        <v>0</v>
      </c>
      <c r="U4343">
        <v>0</v>
      </c>
      <c r="V4343">
        <v>2</v>
      </c>
      <c r="W4343">
        <v>0</v>
      </c>
      <c r="X4343" s="21">
        <v>0</v>
      </c>
      <c r="Y4343" s="21">
        <v>0</v>
      </c>
      <c r="Z4343" s="21">
        <v>0</v>
      </c>
      <c r="AA4343" s="21">
        <v>0</v>
      </c>
      <c r="AB4343" s="21">
        <v>0</v>
      </c>
      <c r="AC4343" s="21">
        <v>0</v>
      </c>
      <c r="AD4343" s="21">
        <v>0</v>
      </c>
      <c r="AE4343" s="21">
        <v>0</v>
      </c>
      <c r="AF4343">
        <v>0</v>
      </c>
      <c r="AG4343">
        <v>0</v>
      </c>
      <c r="AH4343">
        <v>128</v>
      </c>
      <c r="AP4343" t="s">
        <v>951</v>
      </c>
    </row>
    <row r="4344" spans="1:42">
      <c r="A4344" s="16">
        <v>43845</v>
      </c>
      <c r="B4344">
        <v>3</v>
      </c>
      <c r="C4344">
        <v>986</v>
      </c>
      <c r="D4344">
        <v>14637</v>
      </c>
      <c r="E4344" t="s">
        <v>112</v>
      </c>
      <c r="F4344" t="s">
        <v>520</v>
      </c>
      <c r="G4344">
        <v>2</v>
      </c>
      <c r="H4344">
        <v>40</v>
      </c>
      <c r="I4344" s="25">
        <v>2846</v>
      </c>
      <c r="K4344" t="s">
        <v>909</v>
      </c>
      <c r="L4344" t="s">
        <v>114</v>
      </c>
      <c r="N4344" t="s">
        <v>40</v>
      </c>
      <c r="O4344">
        <v>28</v>
      </c>
      <c r="Q4344">
        <v>1</v>
      </c>
      <c r="R4344">
        <v>1</v>
      </c>
      <c r="S4344">
        <v>0</v>
      </c>
      <c r="T4344">
        <v>0</v>
      </c>
      <c r="U4344">
        <v>0</v>
      </c>
      <c r="V4344">
        <v>1</v>
      </c>
      <c r="W4344">
        <v>0</v>
      </c>
      <c r="X4344" s="21">
        <v>0</v>
      </c>
      <c r="Y4344" s="21">
        <v>0</v>
      </c>
      <c r="Z4344" s="21">
        <v>0</v>
      </c>
      <c r="AA4344" s="21">
        <v>0</v>
      </c>
      <c r="AB4344" s="21">
        <v>0</v>
      </c>
      <c r="AC4344" s="21">
        <v>0</v>
      </c>
      <c r="AD4344" s="21">
        <v>0</v>
      </c>
      <c r="AE4344" s="21">
        <v>0</v>
      </c>
      <c r="AF4344">
        <v>0</v>
      </c>
      <c r="AG4344">
        <v>0</v>
      </c>
      <c r="AH4344">
        <v>64</v>
      </c>
      <c r="AJ4344" t="s">
        <v>51</v>
      </c>
      <c r="AK4344" t="s">
        <v>52</v>
      </c>
      <c r="AP4344" t="s">
        <v>951</v>
      </c>
    </row>
    <row r="4345" spans="1:42">
      <c r="A4345" s="16">
        <v>43845</v>
      </c>
      <c r="B4345">
        <v>3</v>
      </c>
      <c r="C4345">
        <v>986</v>
      </c>
      <c r="D4345">
        <v>14637</v>
      </c>
      <c r="E4345" t="s">
        <v>112</v>
      </c>
      <c r="F4345" t="s">
        <v>520</v>
      </c>
      <c r="G4345">
        <v>2</v>
      </c>
      <c r="H4345">
        <v>41</v>
      </c>
      <c r="I4345" s="25">
        <v>2254</v>
      </c>
      <c r="K4345" t="s">
        <v>119</v>
      </c>
      <c r="N4345" t="s">
        <v>44</v>
      </c>
      <c r="O4345">
        <v>196</v>
      </c>
      <c r="Q4345">
        <v>2</v>
      </c>
      <c r="R4345">
        <v>1</v>
      </c>
      <c r="S4345">
        <v>0</v>
      </c>
      <c r="T4345">
        <v>0</v>
      </c>
      <c r="U4345">
        <v>0</v>
      </c>
      <c r="V4345">
        <v>1</v>
      </c>
      <c r="W4345">
        <v>1</v>
      </c>
      <c r="X4345" s="21">
        <v>0</v>
      </c>
      <c r="Y4345" s="21">
        <v>0</v>
      </c>
      <c r="Z4345" s="21">
        <v>0</v>
      </c>
      <c r="AA4345" s="21">
        <v>0</v>
      </c>
      <c r="AB4345" s="21">
        <v>0</v>
      </c>
      <c r="AC4345" s="21">
        <v>0</v>
      </c>
      <c r="AD4345" s="21">
        <v>0</v>
      </c>
      <c r="AE4345" s="21">
        <v>0</v>
      </c>
      <c r="AF4345">
        <v>0</v>
      </c>
      <c r="AG4345">
        <v>0</v>
      </c>
      <c r="AH4345">
        <v>160</v>
      </c>
      <c r="AJ4345" t="s">
        <v>51</v>
      </c>
      <c r="AK4345" t="s">
        <v>52</v>
      </c>
      <c r="AP4345" t="s">
        <v>951</v>
      </c>
    </row>
    <row r="4346" spans="1:42">
      <c r="A4346" s="16">
        <v>43845</v>
      </c>
      <c r="B4346">
        <v>3</v>
      </c>
      <c r="C4346">
        <v>986</v>
      </c>
      <c r="D4346">
        <v>14637</v>
      </c>
      <c r="E4346" t="s">
        <v>112</v>
      </c>
      <c r="F4346" t="s">
        <v>520</v>
      </c>
      <c r="G4346">
        <v>2</v>
      </c>
      <c r="H4346">
        <v>42</v>
      </c>
      <c r="I4346" s="25">
        <v>2280</v>
      </c>
      <c r="K4346" t="s">
        <v>119</v>
      </c>
      <c r="N4346" t="s">
        <v>44</v>
      </c>
      <c r="O4346">
        <v>88</v>
      </c>
      <c r="Q4346">
        <v>1</v>
      </c>
      <c r="R4346">
        <v>1</v>
      </c>
      <c r="S4346">
        <v>0</v>
      </c>
      <c r="T4346">
        <v>0</v>
      </c>
      <c r="U4346">
        <v>0</v>
      </c>
      <c r="V4346">
        <v>0</v>
      </c>
      <c r="W4346">
        <v>1</v>
      </c>
      <c r="X4346" s="21">
        <v>0</v>
      </c>
      <c r="Y4346" s="21">
        <v>0</v>
      </c>
      <c r="Z4346" s="21">
        <v>0</v>
      </c>
      <c r="AA4346" s="21">
        <v>0</v>
      </c>
      <c r="AB4346" s="21">
        <v>0</v>
      </c>
      <c r="AC4346" s="21">
        <v>0</v>
      </c>
      <c r="AD4346" s="21">
        <v>0</v>
      </c>
      <c r="AE4346" s="21">
        <v>0</v>
      </c>
      <c r="AF4346">
        <v>0</v>
      </c>
      <c r="AG4346">
        <v>0</v>
      </c>
      <c r="AH4346">
        <v>96</v>
      </c>
      <c r="AJ4346" t="s">
        <v>51</v>
      </c>
      <c r="AK4346" t="s">
        <v>95</v>
      </c>
      <c r="AP4346" t="s">
        <v>951</v>
      </c>
    </row>
    <row r="4347" spans="1:42">
      <c r="A4347" s="16">
        <v>43845</v>
      </c>
      <c r="B4347">
        <v>3</v>
      </c>
      <c r="C4347">
        <v>986</v>
      </c>
      <c r="D4347">
        <v>14637</v>
      </c>
      <c r="E4347" t="s">
        <v>112</v>
      </c>
      <c r="F4347" t="s">
        <v>520</v>
      </c>
      <c r="G4347">
        <v>2</v>
      </c>
      <c r="H4347">
        <v>43</v>
      </c>
      <c r="I4347" s="25">
        <v>2200</v>
      </c>
      <c r="K4347" t="s">
        <v>156</v>
      </c>
      <c r="L4347" t="s">
        <v>141</v>
      </c>
      <c r="N4347" t="s">
        <v>40</v>
      </c>
      <c r="O4347">
        <v>88</v>
      </c>
      <c r="Q4347">
        <v>1</v>
      </c>
      <c r="R4347">
        <v>1</v>
      </c>
      <c r="S4347">
        <v>0</v>
      </c>
      <c r="T4347">
        <v>0</v>
      </c>
      <c r="U4347">
        <v>0</v>
      </c>
      <c r="V4347">
        <v>1</v>
      </c>
      <c r="W4347">
        <v>0</v>
      </c>
      <c r="X4347" s="21">
        <v>0</v>
      </c>
      <c r="Y4347" s="21">
        <v>0</v>
      </c>
      <c r="Z4347" s="21">
        <v>0</v>
      </c>
      <c r="AA4347" s="21">
        <v>0</v>
      </c>
      <c r="AB4347" s="21">
        <v>0</v>
      </c>
      <c r="AC4347" s="21">
        <v>0</v>
      </c>
      <c r="AD4347" s="21">
        <v>0</v>
      </c>
      <c r="AE4347" s="21">
        <v>0</v>
      </c>
      <c r="AF4347">
        <v>0</v>
      </c>
      <c r="AG4347">
        <v>0</v>
      </c>
      <c r="AH4347">
        <v>64</v>
      </c>
      <c r="AJ4347" t="s">
        <v>51</v>
      </c>
      <c r="AK4347" t="s">
        <v>95</v>
      </c>
      <c r="AP4347" t="s">
        <v>951</v>
      </c>
    </row>
    <row r="4348" spans="1:42">
      <c r="A4348" s="16">
        <v>43845</v>
      </c>
      <c r="B4348">
        <v>3</v>
      </c>
      <c r="C4348">
        <v>986</v>
      </c>
      <c r="D4348">
        <v>14637</v>
      </c>
      <c r="E4348" t="s">
        <v>112</v>
      </c>
      <c r="F4348" t="s">
        <v>520</v>
      </c>
      <c r="G4348">
        <v>2</v>
      </c>
      <c r="H4348">
        <v>44</v>
      </c>
      <c r="I4348" s="25">
        <v>2200</v>
      </c>
      <c r="K4348" t="s">
        <v>156</v>
      </c>
      <c r="L4348" t="s">
        <v>141</v>
      </c>
      <c r="N4348" t="s">
        <v>40</v>
      </c>
      <c r="O4348">
        <v>20</v>
      </c>
      <c r="Q4348">
        <v>1</v>
      </c>
      <c r="R4348">
        <v>1</v>
      </c>
      <c r="S4348">
        <v>0</v>
      </c>
      <c r="T4348">
        <v>0</v>
      </c>
      <c r="U4348">
        <v>0</v>
      </c>
      <c r="V4348">
        <v>1</v>
      </c>
      <c r="W4348">
        <v>0</v>
      </c>
      <c r="X4348" s="21">
        <v>0</v>
      </c>
      <c r="Y4348" s="21">
        <v>0</v>
      </c>
      <c r="Z4348" s="21">
        <v>0</v>
      </c>
      <c r="AA4348" s="21">
        <v>0</v>
      </c>
      <c r="AB4348" s="21">
        <v>0</v>
      </c>
      <c r="AC4348" s="21">
        <v>0</v>
      </c>
      <c r="AD4348" s="21">
        <v>0</v>
      </c>
      <c r="AE4348" s="21">
        <v>0</v>
      </c>
      <c r="AF4348">
        <v>0</v>
      </c>
      <c r="AG4348">
        <v>0</v>
      </c>
      <c r="AH4348">
        <v>64</v>
      </c>
      <c r="AJ4348" t="s">
        <v>51</v>
      </c>
      <c r="AK4348" t="s">
        <v>95</v>
      </c>
      <c r="AP4348" t="s">
        <v>951</v>
      </c>
    </row>
    <row r="4349" spans="1:42">
      <c r="A4349" s="16">
        <v>43845</v>
      </c>
      <c r="B4349">
        <v>3</v>
      </c>
      <c r="C4349">
        <v>986</v>
      </c>
      <c r="D4349">
        <v>14637</v>
      </c>
      <c r="E4349" t="s">
        <v>112</v>
      </c>
      <c r="F4349" t="s">
        <v>520</v>
      </c>
      <c r="G4349">
        <v>2</v>
      </c>
      <c r="H4349">
        <v>45</v>
      </c>
      <c r="I4349" s="25">
        <v>2200</v>
      </c>
      <c r="K4349" t="s">
        <v>156</v>
      </c>
      <c r="L4349" t="s">
        <v>141</v>
      </c>
      <c r="N4349" t="s">
        <v>40</v>
      </c>
      <c r="O4349">
        <v>21</v>
      </c>
      <c r="Q4349">
        <v>1</v>
      </c>
      <c r="R4349">
        <v>1</v>
      </c>
      <c r="S4349">
        <v>0</v>
      </c>
      <c r="T4349">
        <v>0</v>
      </c>
      <c r="U4349">
        <v>1</v>
      </c>
      <c r="V4349">
        <v>0</v>
      </c>
      <c r="W4349">
        <v>0</v>
      </c>
      <c r="X4349" s="21">
        <v>0</v>
      </c>
      <c r="Y4349" s="21">
        <v>0</v>
      </c>
      <c r="Z4349" s="21">
        <v>0</v>
      </c>
      <c r="AA4349" s="21">
        <v>0</v>
      </c>
      <c r="AB4349" s="21">
        <v>0</v>
      </c>
      <c r="AC4349" s="21">
        <v>0</v>
      </c>
      <c r="AD4349" s="21">
        <v>0</v>
      </c>
      <c r="AE4349" s="21">
        <v>0</v>
      </c>
      <c r="AF4349">
        <v>0</v>
      </c>
      <c r="AG4349">
        <v>0</v>
      </c>
      <c r="AH4349">
        <v>32</v>
      </c>
      <c r="AJ4349" t="s">
        <v>51</v>
      </c>
      <c r="AK4349" t="s">
        <v>95</v>
      </c>
      <c r="AP4349" t="s">
        <v>951</v>
      </c>
    </row>
    <row r="4350" spans="1:42">
      <c r="A4350" s="16">
        <v>43845</v>
      </c>
      <c r="B4350">
        <v>3</v>
      </c>
      <c r="C4350">
        <v>986</v>
      </c>
      <c r="D4350">
        <v>14637</v>
      </c>
      <c r="E4350" t="s">
        <v>112</v>
      </c>
      <c r="F4350" t="s">
        <v>520</v>
      </c>
      <c r="G4350">
        <v>2</v>
      </c>
      <c r="H4350">
        <v>46</v>
      </c>
      <c r="I4350" s="25" t="s">
        <v>1463</v>
      </c>
      <c r="K4350" t="s">
        <v>156</v>
      </c>
      <c r="N4350" t="s">
        <v>44</v>
      </c>
      <c r="O4350">
        <v>160</v>
      </c>
      <c r="Q4350">
        <v>5</v>
      </c>
      <c r="R4350">
        <v>1</v>
      </c>
      <c r="S4350">
        <v>0</v>
      </c>
      <c r="T4350">
        <v>0</v>
      </c>
      <c r="U4350">
        <v>0</v>
      </c>
      <c r="V4350">
        <v>0</v>
      </c>
      <c r="W4350">
        <v>5</v>
      </c>
      <c r="X4350" s="21">
        <v>0</v>
      </c>
      <c r="Y4350" s="21">
        <v>0</v>
      </c>
      <c r="Z4350" s="21">
        <v>0</v>
      </c>
      <c r="AA4350" s="21">
        <v>0</v>
      </c>
      <c r="AB4350" s="21">
        <v>0</v>
      </c>
      <c r="AC4350" s="21">
        <v>0</v>
      </c>
      <c r="AD4350" s="21">
        <v>0</v>
      </c>
      <c r="AE4350" s="21">
        <v>0</v>
      </c>
      <c r="AF4350">
        <v>0</v>
      </c>
      <c r="AG4350">
        <v>0</v>
      </c>
      <c r="AH4350">
        <v>480</v>
      </c>
      <c r="AJ4350" t="s">
        <v>51</v>
      </c>
      <c r="AK4350" t="s">
        <v>95</v>
      </c>
      <c r="AP4350" t="s">
        <v>951</v>
      </c>
    </row>
    <row r="4351" spans="1:42">
      <c r="A4351" s="16">
        <v>43845</v>
      </c>
      <c r="B4351">
        <v>3</v>
      </c>
      <c r="C4351">
        <v>986</v>
      </c>
      <c r="D4351">
        <v>14637</v>
      </c>
      <c r="E4351" t="s">
        <v>112</v>
      </c>
      <c r="F4351" t="s">
        <v>520</v>
      </c>
      <c r="G4351">
        <v>2</v>
      </c>
      <c r="H4351">
        <v>47</v>
      </c>
      <c r="I4351" s="25">
        <v>2250</v>
      </c>
      <c r="K4351" t="s">
        <v>156</v>
      </c>
      <c r="N4351" t="s">
        <v>44</v>
      </c>
      <c r="O4351">
        <v>98</v>
      </c>
      <c r="Q4351">
        <v>2</v>
      </c>
      <c r="R4351">
        <v>1</v>
      </c>
      <c r="S4351">
        <v>0</v>
      </c>
      <c r="T4351">
        <v>0</v>
      </c>
      <c r="U4351">
        <v>0</v>
      </c>
      <c r="V4351">
        <v>0</v>
      </c>
      <c r="W4351">
        <v>2</v>
      </c>
      <c r="X4351" s="21">
        <v>0</v>
      </c>
      <c r="Y4351" s="21">
        <v>0</v>
      </c>
      <c r="Z4351" s="21">
        <v>0</v>
      </c>
      <c r="AA4351" s="21">
        <v>0</v>
      </c>
      <c r="AB4351" s="21">
        <v>0</v>
      </c>
      <c r="AC4351" s="21">
        <v>0</v>
      </c>
      <c r="AD4351" s="21">
        <v>0</v>
      </c>
      <c r="AE4351" s="21">
        <v>0</v>
      </c>
      <c r="AF4351">
        <v>0</v>
      </c>
      <c r="AG4351">
        <v>0</v>
      </c>
      <c r="AH4351">
        <v>192</v>
      </c>
      <c r="AJ4351" t="s">
        <v>51</v>
      </c>
      <c r="AK4351" t="s">
        <v>95</v>
      </c>
      <c r="AL4351" t="s">
        <v>1464</v>
      </c>
      <c r="AP4351" t="s">
        <v>951</v>
      </c>
    </row>
    <row r="4352" spans="1:42">
      <c r="A4352" s="16">
        <v>43845</v>
      </c>
      <c r="B4352">
        <v>3</v>
      </c>
      <c r="C4352">
        <v>986</v>
      </c>
      <c r="D4352">
        <v>14637</v>
      </c>
      <c r="E4352" t="s">
        <v>112</v>
      </c>
      <c r="F4352" t="s">
        <v>520</v>
      </c>
      <c r="G4352">
        <v>2</v>
      </c>
      <c r="H4352">
        <v>48</v>
      </c>
      <c r="I4352" s="25">
        <v>2254</v>
      </c>
      <c r="K4352" t="s">
        <v>156</v>
      </c>
      <c r="N4352" t="s">
        <v>44</v>
      </c>
      <c r="O4352">
        <v>77</v>
      </c>
      <c r="Q4352">
        <v>1</v>
      </c>
      <c r="R4352">
        <v>1</v>
      </c>
      <c r="S4352">
        <v>0</v>
      </c>
      <c r="T4352">
        <v>0</v>
      </c>
      <c r="U4352">
        <v>0</v>
      </c>
      <c r="V4352">
        <v>0</v>
      </c>
      <c r="W4352">
        <v>1</v>
      </c>
      <c r="X4352" s="21">
        <v>0</v>
      </c>
      <c r="Y4352" s="21">
        <v>0</v>
      </c>
      <c r="Z4352" s="21">
        <v>0</v>
      </c>
      <c r="AA4352" s="21">
        <v>0</v>
      </c>
      <c r="AB4352" s="21">
        <v>0</v>
      </c>
      <c r="AC4352" s="21">
        <v>0</v>
      </c>
      <c r="AD4352" s="21">
        <v>0</v>
      </c>
      <c r="AE4352" s="21">
        <v>0</v>
      </c>
      <c r="AF4352">
        <v>0</v>
      </c>
      <c r="AG4352">
        <v>0</v>
      </c>
      <c r="AH4352">
        <v>96</v>
      </c>
      <c r="AJ4352" t="s">
        <v>51</v>
      </c>
      <c r="AK4352" t="s">
        <v>95</v>
      </c>
      <c r="AP4352" t="s">
        <v>951</v>
      </c>
    </row>
    <row r="4353" spans="1:42">
      <c r="A4353" s="16">
        <v>43845</v>
      </c>
      <c r="B4353">
        <v>3</v>
      </c>
      <c r="C4353">
        <v>986</v>
      </c>
      <c r="D4353">
        <v>14637</v>
      </c>
      <c r="E4353" t="s">
        <v>112</v>
      </c>
      <c r="F4353" t="s">
        <v>520</v>
      </c>
      <c r="G4353">
        <v>2</v>
      </c>
      <c r="H4353">
        <v>49</v>
      </c>
      <c r="I4353" s="25">
        <v>2200</v>
      </c>
      <c r="K4353" t="s">
        <v>156</v>
      </c>
      <c r="L4353" t="s">
        <v>114</v>
      </c>
      <c r="N4353" t="s">
        <v>40</v>
      </c>
      <c r="O4353">
        <v>26</v>
      </c>
      <c r="Q4353">
        <v>2</v>
      </c>
      <c r="R4353">
        <v>1</v>
      </c>
      <c r="S4353">
        <v>0</v>
      </c>
      <c r="T4353">
        <v>0</v>
      </c>
      <c r="U4353">
        <v>1</v>
      </c>
      <c r="V4353">
        <v>1</v>
      </c>
      <c r="W4353">
        <v>0</v>
      </c>
      <c r="X4353" s="21">
        <v>0</v>
      </c>
      <c r="Y4353" s="21">
        <v>0</v>
      </c>
      <c r="Z4353" s="21">
        <v>0</v>
      </c>
      <c r="AA4353" s="21">
        <v>0</v>
      </c>
      <c r="AB4353" s="21">
        <v>0</v>
      </c>
      <c r="AC4353" s="21">
        <v>0</v>
      </c>
      <c r="AD4353" s="21">
        <v>0</v>
      </c>
      <c r="AE4353" s="21">
        <v>0</v>
      </c>
      <c r="AF4353">
        <v>0</v>
      </c>
      <c r="AG4353">
        <v>0</v>
      </c>
      <c r="AH4353">
        <v>96</v>
      </c>
      <c r="AJ4353" t="s">
        <v>51</v>
      </c>
      <c r="AK4353" t="s">
        <v>95</v>
      </c>
      <c r="AP4353" t="s">
        <v>951</v>
      </c>
    </row>
    <row r="4354" spans="1:42">
      <c r="A4354" s="16">
        <v>43845</v>
      </c>
      <c r="B4354">
        <v>3</v>
      </c>
      <c r="C4354">
        <v>986</v>
      </c>
      <c r="D4354">
        <v>14637</v>
      </c>
      <c r="E4354" t="s">
        <v>112</v>
      </c>
      <c r="F4354" t="s">
        <v>520</v>
      </c>
      <c r="G4354">
        <v>2</v>
      </c>
      <c r="H4354">
        <v>50</v>
      </c>
      <c r="I4354" s="25">
        <v>2200</v>
      </c>
      <c r="K4354" t="s">
        <v>156</v>
      </c>
      <c r="L4354" t="s">
        <v>114</v>
      </c>
      <c r="N4354" t="s">
        <v>40</v>
      </c>
      <c r="O4354">
        <v>45</v>
      </c>
      <c r="Q4354">
        <v>3</v>
      </c>
      <c r="R4354">
        <v>1</v>
      </c>
      <c r="S4354">
        <v>0</v>
      </c>
      <c r="T4354">
        <v>0</v>
      </c>
      <c r="U4354">
        <v>1</v>
      </c>
      <c r="V4354">
        <v>2</v>
      </c>
      <c r="W4354">
        <v>0</v>
      </c>
      <c r="X4354" s="21">
        <v>0</v>
      </c>
      <c r="Y4354" s="21">
        <v>0</v>
      </c>
      <c r="Z4354" s="21">
        <v>0</v>
      </c>
      <c r="AA4354" s="21">
        <v>0</v>
      </c>
      <c r="AB4354" s="21">
        <v>0</v>
      </c>
      <c r="AC4354" s="21">
        <v>0</v>
      </c>
      <c r="AD4354" s="21">
        <v>0</v>
      </c>
      <c r="AE4354" s="21">
        <v>0</v>
      </c>
      <c r="AF4354">
        <v>0</v>
      </c>
      <c r="AG4354">
        <v>0</v>
      </c>
      <c r="AH4354">
        <v>160</v>
      </c>
      <c r="AJ4354" t="s">
        <v>51</v>
      </c>
      <c r="AK4354" t="s">
        <v>95</v>
      </c>
      <c r="AP4354" t="s">
        <v>951</v>
      </c>
    </row>
    <row r="4355" spans="1:42">
      <c r="A4355" s="16">
        <v>43845</v>
      </c>
      <c r="B4355">
        <v>3</v>
      </c>
      <c r="C4355">
        <v>986</v>
      </c>
      <c r="D4355">
        <v>14637</v>
      </c>
      <c r="E4355" t="s">
        <v>112</v>
      </c>
      <c r="F4355" t="s">
        <v>520</v>
      </c>
      <c r="G4355">
        <v>2</v>
      </c>
      <c r="H4355">
        <v>51</v>
      </c>
      <c r="I4355" s="25">
        <v>2200</v>
      </c>
      <c r="K4355" t="s">
        <v>156</v>
      </c>
      <c r="L4355" t="s">
        <v>114</v>
      </c>
      <c r="N4355" t="s">
        <v>40</v>
      </c>
      <c r="O4355">
        <v>55</v>
      </c>
      <c r="Q4355">
        <v>2</v>
      </c>
      <c r="R4355">
        <v>1</v>
      </c>
      <c r="S4355">
        <v>0</v>
      </c>
      <c r="T4355">
        <v>0</v>
      </c>
      <c r="U4355">
        <v>1</v>
      </c>
      <c r="V4355">
        <v>1</v>
      </c>
      <c r="W4355">
        <v>0</v>
      </c>
      <c r="X4355" s="21">
        <v>0</v>
      </c>
      <c r="Y4355" s="21">
        <v>0</v>
      </c>
      <c r="Z4355" s="21">
        <v>0</v>
      </c>
      <c r="AA4355" s="21">
        <v>0</v>
      </c>
      <c r="AB4355" s="21">
        <v>0</v>
      </c>
      <c r="AC4355" s="21">
        <v>0</v>
      </c>
      <c r="AD4355" s="21">
        <v>0</v>
      </c>
      <c r="AE4355" s="21">
        <v>0</v>
      </c>
      <c r="AF4355">
        <v>0</v>
      </c>
      <c r="AG4355">
        <v>0</v>
      </c>
      <c r="AH4355">
        <v>96</v>
      </c>
      <c r="AJ4355" t="s">
        <v>51</v>
      </c>
      <c r="AK4355" t="s">
        <v>95</v>
      </c>
      <c r="AP4355" t="s">
        <v>951</v>
      </c>
    </row>
    <row r="4356" spans="1:42">
      <c r="A4356" s="16">
        <v>43845</v>
      </c>
      <c r="B4356">
        <v>3</v>
      </c>
      <c r="C4356">
        <v>986</v>
      </c>
      <c r="D4356">
        <v>14637</v>
      </c>
      <c r="E4356" t="s">
        <v>112</v>
      </c>
      <c r="F4356" t="s">
        <v>520</v>
      </c>
      <c r="G4356">
        <v>2</v>
      </c>
      <c r="H4356">
        <v>52</v>
      </c>
      <c r="I4356" s="25">
        <v>2298</v>
      </c>
      <c r="K4356" t="s">
        <v>156</v>
      </c>
      <c r="L4356" t="s">
        <v>114</v>
      </c>
      <c r="N4356" t="s">
        <v>40</v>
      </c>
      <c r="O4356">
        <v>37</v>
      </c>
      <c r="Q4356">
        <v>1</v>
      </c>
      <c r="R4356">
        <v>1</v>
      </c>
      <c r="S4356">
        <v>0</v>
      </c>
      <c r="T4356">
        <v>0</v>
      </c>
      <c r="U4356">
        <v>0</v>
      </c>
      <c r="V4356">
        <v>0</v>
      </c>
      <c r="W4356">
        <v>1</v>
      </c>
      <c r="X4356" s="21">
        <v>0</v>
      </c>
      <c r="Y4356" s="21">
        <v>0</v>
      </c>
      <c r="Z4356" s="21">
        <v>0</v>
      </c>
      <c r="AA4356" s="21">
        <v>0</v>
      </c>
      <c r="AB4356" s="21">
        <v>0</v>
      </c>
      <c r="AC4356" s="21">
        <v>0</v>
      </c>
      <c r="AD4356" s="21">
        <v>0</v>
      </c>
      <c r="AE4356" s="21">
        <v>0</v>
      </c>
      <c r="AF4356">
        <v>0</v>
      </c>
      <c r="AG4356">
        <v>0</v>
      </c>
      <c r="AH4356">
        <v>96</v>
      </c>
      <c r="AJ4356" t="s">
        <v>51</v>
      </c>
      <c r="AK4356" t="s">
        <v>95</v>
      </c>
      <c r="AP4356" t="s">
        <v>951</v>
      </c>
    </row>
    <row r="4357" spans="1:42">
      <c r="A4357" s="16">
        <v>43845</v>
      </c>
      <c r="B4357">
        <v>3</v>
      </c>
      <c r="C4357">
        <v>986</v>
      </c>
      <c r="D4357">
        <v>14637</v>
      </c>
      <c r="E4357" t="s">
        <v>112</v>
      </c>
      <c r="F4357" t="s">
        <v>520</v>
      </c>
      <c r="G4357">
        <v>2</v>
      </c>
      <c r="H4357">
        <v>53</v>
      </c>
      <c r="I4357" s="25">
        <v>2285</v>
      </c>
      <c r="K4357" t="s">
        <v>148</v>
      </c>
      <c r="N4357" t="s">
        <v>44</v>
      </c>
      <c r="O4357">
        <v>50</v>
      </c>
      <c r="Q4357">
        <v>2</v>
      </c>
      <c r="R4357">
        <v>1</v>
      </c>
      <c r="S4357">
        <v>0</v>
      </c>
      <c r="T4357">
        <v>0</v>
      </c>
      <c r="U4357">
        <v>1</v>
      </c>
      <c r="V4357">
        <v>1</v>
      </c>
      <c r="W4357">
        <v>0</v>
      </c>
      <c r="X4357" s="21">
        <v>0</v>
      </c>
      <c r="Y4357" s="21">
        <v>0</v>
      </c>
      <c r="Z4357" s="21">
        <v>0</v>
      </c>
      <c r="AA4357" s="21">
        <v>0</v>
      </c>
      <c r="AB4357" s="21">
        <v>0</v>
      </c>
      <c r="AC4357" s="21">
        <v>0</v>
      </c>
      <c r="AD4357" s="21">
        <v>0</v>
      </c>
      <c r="AE4357" s="21">
        <v>0</v>
      </c>
      <c r="AF4357">
        <v>0</v>
      </c>
      <c r="AG4357">
        <v>0</v>
      </c>
      <c r="AH4357">
        <v>96</v>
      </c>
      <c r="AJ4357" t="s">
        <v>51</v>
      </c>
      <c r="AK4357" t="s">
        <v>52</v>
      </c>
      <c r="AP4357" t="s">
        <v>951</v>
      </c>
    </row>
    <row r="4358" spans="1:42">
      <c r="A4358" s="16">
        <v>43845</v>
      </c>
      <c r="B4358">
        <v>3</v>
      </c>
      <c r="C4358">
        <v>986</v>
      </c>
      <c r="D4358">
        <v>14637</v>
      </c>
      <c r="E4358" t="s">
        <v>112</v>
      </c>
      <c r="F4358" t="s">
        <v>520</v>
      </c>
      <c r="G4358">
        <v>2</v>
      </c>
      <c r="H4358">
        <v>54</v>
      </c>
      <c r="I4358" s="25">
        <v>2267</v>
      </c>
      <c r="K4358" t="s">
        <v>148</v>
      </c>
      <c r="N4358" t="s">
        <v>44</v>
      </c>
      <c r="O4358">
        <v>48</v>
      </c>
      <c r="Q4358">
        <v>1</v>
      </c>
      <c r="R4358">
        <v>1</v>
      </c>
      <c r="S4358">
        <v>0</v>
      </c>
      <c r="T4358">
        <v>0</v>
      </c>
      <c r="U4358">
        <v>0</v>
      </c>
      <c r="V4358">
        <v>0</v>
      </c>
      <c r="W4358">
        <v>1</v>
      </c>
      <c r="X4358" s="21">
        <v>0</v>
      </c>
      <c r="Y4358" s="21">
        <v>0</v>
      </c>
      <c r="Z4358" s="21">
        <v>0</v>
      </c>
      <c r="AA4358" s="21">
        <v>0</v>
      </c>
      <c r="AB4358" s="21">
        <v>0</v>
      </c>
      <c r="AC4358" s="21">
        <v>0</v>
      </c>
      <c r="AD4358" s="21">
        <v>0</v>
      </c>
      <c r="AE4358" s="21">
        <v>0</v>
      </c>
      <c r="AF4358">
        <v>0</v>
      </c>
      <c r="AG4358">
        <v>0</v>
      </c>
      <c r="AH4358">
        <v>96</v>
      </c>
      <c r="AJ4358" t="s">
        <v>51</v>
      </c>
      <c r="AK4358" t="s">
        <v>95</v>
      </c>
      <c r="AL4358" t="s">
        <v>618</v>
      </c>
      <c r="AP4358" t="s">
        <v>951</v>
      </c>
    </row>
    <row r="4359" spans="1:42">
      <c r="A4359" s="16">
        <v>43845</v>
      </c>
      <c r="B4359">
        <v>3</v>
      </c>
      <c r="C4359">
        <v>986</v>
      </c>
      <c r="D4359">
        <v>14637</v>
      </c>
      <c r="E4359" t="s">
        <v>112</v>
      </c>
      <c r="F4359" t="s">
        <v>520</v>
      </c>
      <c r="G4359">
        <v>2</v>
      </c>
      <c r="H4359">
        <v>55</v>
      </c>
      <c r="I4359" s="25">
        <v>2277</v>
      </c>
      <c r="K4359" t="s">
        <v>148</v>
      </c>
      <c r="N4359" t="s">
        <v>44</v>
      </c>
      <c r="O4359">
        <v>66</v>
      </c>
      <c r="Q4359">
        <v>2</v>
      </c>
      <c r="R4359">
        <v>1</v>
      </c>
      <c r="S4359">
        <v>0</v>
      </c>
      <c r="T4359">
        <v>0</v>
      </c>
      <c r="U4359">
        <v>0</v>
      </c>
      <c r="V4359">
        <v>1</v>
      </c>
      <c r="W4359">
        <v>1</v>
      </c>
      <c r="X4359" s="21">
        <v>0</v>
      </c>
      <c r="Y4359" s="21">
        <v>0</v>
      </c>
      <c r="Z4359" s="21">
        <v>0</v>
      </c>
      <c r="AA4359" s="21">
        <v>0</v>
      </c>
      <c r="AB4359" s="21">
        <v>0</v>
      </c>
      <c r="AC4359" s="21">
        <v>0</v>
      </c>
      <c r="AD4359" s="21">
        <v>0</v>
      </c>
      <c r="AE4359" s="21">
        <v>0</v>
      </c>
      <c r="AF4359">
        <v>0</v>
      </c>
      <c r="AG4359">
        <v>0</v>
      </c>
      <c r="AH4359">
        <v>160</v>
      </c>
      <c r="AJ4359" t="s">
        <v>51</v>
      </c>
      <c r="AK4359" t="s">
        <v>52</v>
      </c>
      <c r="AL4359" t="s">
        <v>1465</v>
      </c>
      <c r="AP4359" t="s">
        <v>951</v>
      </c>
    </row>
    <row r="4360" spans="1:42">
      <c r="A4360" s="16">
        <v>43845</v>
      </c>
      <c r="B4360">
        <v>3</v>
      </c>
      <c r="C4360">
        <v>986</v>
      </c>
      <c r="D4360">
        <v>14637</v>
      </c>
      <c r="E4360" t="s">
        <v>112</v>
      </c>
      <c r="F4360" t="s">
        <v>520</v>
      </c>
      <c r="G4360">
        <v>2</v>
      </c>
      <c r="H4360">
        <v>56</v>
      </c>
      <c r="I4360" s="25">
        <v>2200</v>
      </c>
      <c r="K4360" t="s">
        <v>148</v>
      </c>
      <c r="L4360" t="s">
        <v>141</v>
      </c>
      <c r="N4360" t="s">
        <v>40</v>
      </c>
      <c r="O4360">
        <v>41</v>
      </c>
      <c r="Q4360">
        <v>1</v>
      </c>
      <c r="R4360">
        <v>1</v>
      </c>
      <c r="S4360">
        <v>0</v>
      </c>
      <c r="T4360">
        <v>0</v>
      </c>
      <c r="U4360">
        <v>0</v>
      </c>
      <c r="V4360">
        <v>0</v>
      </c>
      <c r="W4360">
        <v>0</v>
      </c>
      <c r="X4360" s="21">
        <v>0</v>
      </c>
      <c r="Y4360" s="21">
        <v>0</v>
      </c>
      <c r="Z4360" s="21">
        <v>0</v>
      </c>
      <c r="AA4360" s="21">
        <v>0</v>
      </c>
      <c r="AB4360" s="21">
        <v>0</v>
      </c>
      <c r="AC4360" s="21">
        <v>0</v>
      </c>
      <c r="AD4360" s="21">
        <v>0</v>
      </c>
      <c r="AE4360" s="21">
        <v>0</v>
      </c>
      <c r="AF4360">
        <v>0</v>
      </c>
      <c r="AG4360">
        <v>0</v>
      </c>
      <c r="AH4360">
        <v>96</v>
      </c>
      <c r="AP4360" t="s">
        <v>951</v>
      </c>
    </row>
    <row r="4361" spans="1:42">
      <c r="A4361" s="16">
        <v>43845</v>
      </c>
      <c r="B4361">
        <v>3</v>
      </c>
      <c r="C4361">
        <v>986</v>
      </c>
      <c r="D4361">
        <v>14637</v>
      </c>
      <c r="E4361" t="s">
        <v>112</v>
      </c>
      <c r="F4361" t="s">
        <v>520</v>
      </c>
      <c r="G4361">
        <v>2</v>
      </c>
      <c r="H4361">
        <v>57</v>
      </c>
      <c r="I4361" s="25" t="s">
        <v>1466</v>
      </c>
      <c r="K4361" t="s">
        <v>148</v>
      </c>
      <c r="N4361" t="s">
        <v>44</v>
      </c>
      <c r="O4361">
        <v>233</v>
      </c>
      <c r="Q4361">
        <v>2</v>
      </c>
      <c r="R4361">
        <v>1</v>
      </c>
      <c r="S4361">
        <v>0</v>
      </c>
      <c r="T4361">
        <v>0</v>
      </c>
      <c r="U4361">
        <v>0</v>
      </c>
      <c r="V4361">
        <v>1</v>
      </c>
      <c r="W4361">
        <v>1</v>
      </c>
      <c r="X4361" s="21">
        <v>0</v>
      </c>
      <c r="Y4361" s="21">
        <v>0</v>
      </c>
      <c r="Z4361" s="21">
        <v>0</v>
      </c>
      <c r="AA4361" s="21">
        <v>0</v>
      </c>
      <c r="AB4361" s="21">
        <v>0</v>
      </c>
      <c r="AC4361" s="21">
        <v>0</v>
      </c>
      <c r="AD4361" s="21">
        <v>0</v>
      </c>
      <c r="AE4361" s="21">
        <v>0</v>
      </c>
      <c r="AF4361">
        <v>0</v>
      </c>
      <c r="AG4361">
        <v>0</v>
      </c>
      <c r="AH4361">
        <v>160</v>
      </c>
      <c r="AJ4361" t="s">
        <v>51</v>
      </c>
      <c r="AK4361" t="s">
        <v>95</v>
      </c>
      <c r="AL4361" t="s">
        <v>1467</v>
      </c>
      <c r="AP4361" t="s">
        <v>951</v>
      </c>
    </row>
    <row r="4362" spans="1:42">
      <c r="A4362" s="16">
        <v>43845</v>
      </c>
      <c r="B4362">
        <v>3</v>
      </c>
      <c r="C4362">
        <v>986</v>
      </c>
      <c r="D4362">
        <v>14637</v>
      </c>
      <c r="E4362" t="s">
        <v>112</v>
      </c>
      <c r="F4362" t="s">
        <v>520</v>
      </c>
      <c r="G4362">
        <v>2</v>
      </c>
      <c r="H4362">
        <v>58</v>
      </c>
      <c r="I4362" s="25">
        <v>2370</v>
      </c>
      <c r="K4362" t="s">
        <v>148</v>
      </c>
      <c r="N4362" t="s">
        <v>44</v>
      </c>
      <c r="O4362">
        <v>61</v>
      </c>
      <c r="Q4362">
        <v>1</v>
      </c>
      <c r="R4362">
        <v>1</v>
      </c>
      <c r="S4362">
        <v>0</v>
      </c>
      <c r="T4362">
        <v>0</v>
      </c>
      <c r="U4362">
        <v>0</v>
      </c>
      <c r="V4362">
        <v>0</v>
      </c>
      <c r="W4362">
        <v>1</v>
      </c>
      <c r="X4362" s="21">
        <v>0</v>
      </c>
      <c r="Y4362" s="21">
        <v>0</v>
      </c>
      <c r="Z4362" s="21">
        <v>0</v>
      </c>
      <c r="AA4362" s="21">
        <v>0</v>
      </c>
      <c r="AB4362" s="21">
        <v>0</v>
      </c>
      <c r="AC4362" s="21">
        <v>0</v>
      </c>
      <c r="AD4362" s="21">
        <v>0</v>
      </c>
      <c r="AE4362" s="21">
        <v>0</v>
      </c>
      <c r="AF4362">
        <v>0</v>
      </c>
      <c r="AG4362">
        <v>0</v>
      </c>
      <c r="AH4362">
        <v>96</v>
      </c>
      <c r="AJ4362" t="s">
        <v>51</v>
      </c>
      <c r="AK4362" t="s">
        <v>95</v>
      </c>
      <c r="AP4362" t="s">
        <v>951</v>
      </c>
    </row>
    <row r="4363" spans="1:42">
      <c r="A4363" s="16">
        <v>43845</v>
      </c>
      <c r="B4363">
        <v>3</v>
      </c>
      <c r="C4363">
        <v>986</v>
      </c>
      <c r="D4363">
        <v>14637</v>
      </c>
      <c r="E4363" t="s">
        <v>112</v>
      </c>
      <c r="F4363" t="s">
        <v>520</v>
      </c>
      <c r="G4363">
        <v>2</v>
      </c>
      <c r="H4363">
        <v>59</v>
      </c>
      <c r="I4363" s="25">
        <v>2960</v>
      </c>
      <c r="K4363" t="s">
        <v>175</v>
      </c>
      <c r="N4363" t="s">
        <v>44</v>
      </c>
      <c r="O4363">
        <v>61</v>
      </c>
      <c r="Q4363">
        <v>1</v>
      </c>
      <c r="R4363">
        <v>1</v>
      </c>
      <c r="S4363">
        <v>0</v>
      </c>
      <c r="T4363">
        <v>0</v>
      </c>
      <c r="U4363">
        <v>0</v>
      </c>
      <c r="V4363">
        <v>1</v>
      </c>
      <c r="W4363">
        <v>0</v>
      </c>
      <c r="X4363" s="21">
        <v>0</v>
      </c>
      <c r="Y4363" s="21">
        <v>0</v>
      </c>
      <c r="Z4363" s="21">
        <v>0</v>
      </c>
      <c r="AA4363" s="21">
        <v>0</v>
      </c>
      <c r="AB4363" s="21">
        <v>0</v>
      </c>
      <c r="AC4363" s="21">
        <v>0</v>
      </c>
      <c r="AD4363" s="21">
        <v>0</v>
      </c>
      <c r="AE4363" s="21">
        <v>0</v>
      </c>
      <c r="AF4363">
        <v>0</v>
      </c>
      <c r="AG4363">
        <v>0</v>
      </c>
      <c r="AH4363">
        <v>64</v>
      </c>
      <c r="AP4363" t="s">
        <v>951</v>
      </c>
    </row>
    <row r="4364" spans="1:42">
      <c r="A4364" s="16">
        <v>43845</v>
      </c>
      <c r="B4364">
        <v>3</v>
      </c>
      <c r="C4364">
        <v>986</v>
      </c>
      <c r="D4364">
        <v>14637</v>
      </c>
      <c r="E4364" t="s">
        <v>112</v>
      </c>
      <c r="F4364" t="s">
        <v>520</v>
      </c>
      <c r="G4364">
        <v>2</v>
      </c>
      <c r="H4364">
        <v>60</v>
      </c>
      <c r="I4364" s="25">
        <v>3000</v>
      </c>
      <c r="K4364" t="s">
        <v>192</v>
      </c>
      <c r="N4364" t="s">
        <v>44</v>
      </c>
      <c r="O4364">
        <v>69</v>
      </c>
      <c r="Q4364">
        <v>1</v>
      </c>
      <c r="R4364">
        <v>1</v>
      </c>
      <c r="S4364">
        <v>0</v>
      </c>
      <c r="T4364">
        <v>0</v>
      </c>
      <c r="U4364">
        <v>1</v>
      </c>
      <c r="V4364">
        <v>0</v>
      </c>
      <c r="W4364">
        <v>0</v>
      </c>
      <c r="X4364" s="21">
        <v>0</v>
      </c>
      <c r="Y4364" s="21">
        <v>0</v>
      </c>
      <c r="Z4364" s="21">
        <v>0</v>
      </c>
      <c r="AA4364" s="21">
        <v>0</v>
      </c>
      <c r="AB4364" s="21">
        <v>0</v>
      </c>
      <c r="AC4364" s="21">
        <v>0</v>
      </c>
      <c r="AD4364" s="21">
        <v>0</v>
      </c>
      <c r="AE4364" s="21">
        <v>0</v>
      </c>
      <c r="AF4364">
        <v>0</v>
      </c>
      <c r="AG4364">
        <v>0</v>
      </c>
      <c r="AH4364">
        <v>32</v>
      </c>
      <c r="AL4364" t="s">
        <v>1468</v>
      </c>
      <c r="AP4364" t="s">
        <v>951</v>
      </c>
    </row>
    <row r="4365" spans="1:42">
      <c r="A4365" s="16">
        <v>43845</v>
      </c>
      <c r="B4365">
        <v>3</v>
      </c>
      <c r="C4365">
        <v>986</v>
      </c>
      <c r="D4365">
        <v>14637</v>
      </c>
      <c r="E4365" t="s">
        <v>112</v>
      </c>
      <c r="F4365" t="s">
        <v>520</v>
      </c>
      <c r="G4365">
        <v>2</v>
      </c>
      <c r="H4365">
        <v>61</v>
      </c>
      <c r="I4365" s="25">
        <v>2300</v>
      </c>
      <c r="K4365" t="s">
        <v>148</v>
      </c>
      <c r="L4365" t="s">
        <v>141</v>
      </c>
      <c r="N4365" t="s">
        <v>40</v>
      </c>
      <c r="O4365">
        <v>31</v>
      </c>
      <c r="Q4365">
        <v>1</v>
      </c>
      <c r="R4365">
        <v>1</v>
      </c>
      <c r="S4365">
        <v>0</v>
      </c>
      <c r="T4365">
        <v>0</v>
      </c>
      <c r="U4365">
        <v>1</v>
      </c>
      <c r="V4365">
        <v>0</v>
      </c>
      <c r="W4365">
        <v>0</v>
      </c>
      <c r="X4365" s="21">
        <v>0</v>
      </c>
      <c r="Y4365" s="21">
        <v>0</v>
      </c>
      <c r="Z4365" s="21">
        <v>0</v>
      </c>
      <c r="AA4365" s="21">
        <v>0</v>
      </c>
      <c r="AB4365" s="21">
        <v>0</v>
      </c>
      <c r="AC4365" s="21">
        <v>0</v>
      </c>
      <c r="AD4365" s="21">
        <v>0</v>
      </c>
      <c r="AE4365" s="21">
        <v>0</v>
      </c>
      <c r="AF4365">
        <v>0</v>
      </c>
      <c r="AG4365">
        <v>0</v>
      </c>
      <c r="AH4365">
        <v>32</v>
      </c>
      <c r="AJ4365" t="s">
        <v>51</v>
      </c>
      <c r="AK4365" t="s">
        <v>95</v>
      </c>
      <c r="AP4365" t="s">
        <v>951</v>
      </c>
    </row>
    <row r="4366" spans="1:42">
      <c r="A4366" s="16">
        <v>43845</v>
      </c>
      <c r="B4366">
        <v>3</v>
      </c>
      <c r="C4366">
        <v>986</v>
      </c>
      <c r="D4366">
        <v>14637</v>
      </c>
      <c r="E4366" t="s">
        <v>112</v>
      </c>
      <c r="F4366" t="s">
        <v>520</v>
      </c>
      <c r="G4366">
        <v>2</v>
      </c>
      <c r="H4366">
        <v>62</v>
      </c>
      <c r="I4366" s="25">
        <v>2351</v>
      </c>
      <c r="K4366" t="s">
        <v>148</v>
      </c>
      <c r="N4366" t="s">
        <v>44</v>
      </c>
      <c r="O4366">
        <v>46</v>
      </c>
      <c r="Q4366">
        <v>1</v>
      </c>
      <c r="R4366">
        <v>1</v>
      </c>
      <c r="S4366">
        <v>0</v>
      </c>
      <c r="T4366">
        <v>0</v>
      </c>
      <c r="U4366">
        <v>0</v>
      </c>
      <c r="V4366">
        <v>0</v>
      </c>
      <c r="W4366">
        <v>1</v>
      </c>
      <c r="X4366" s="21">
        <v>0</v>
      </c>
      <c r="Y4366" s="21">
        <v>0</v>
      </c>
      <c r="Z4366" s="21">
        <v>0</v>
      </c>
      <c r="AA4366" s="21">
        <v>0</v>
      </c>
      <c r="AB4366" s="21">
        <v>0</v>
      </c>
      <c r="AC4366" s="21">
        <v>0</v>
      </c>
      <c r="AD4366" s="21">
        <v>0</v>
      </c>
      <c r="AE4366" s="21">
        <v>0</v>
      </c>
      <c r="AF4366">
        <v>0</v>
      </c>
      <c r="AG4366">
        <v>0</v>
      </c>
      <c r="AH4366">
        <v>96</v>
      </c>
      <c r="AJ4366" t="s">
        <v>51</v>
      </c>
      <c r="AK4366" t="s">
        <v>95</v>
      </c>
      <c r="AP4366" t="s">
        <v>951</v>
      </c>
    </row>
    <row r="4367" spans="1:42">
      <c r="A4367" s="16">
        <v>43845</v>
      </c>
      <c r="B4367">
        <v>3</v>
      </c>
      <c r="C4367">
        <v>986</v>
      </c>
      <c r="D4367">
        <v>14637</v>
      </c>
      <c r="E4367" t="s">
        <v>112</v>
      </c>
      <c r="F4367" t="s">
        <v>520</v>
      </c>
      <c r="G4367">
        <v>2</v>
      </c>
      <c r="H4367">
        <v>63</v>
      </c>
      <c r="I4367" s="25">
        <v>2345</v>
      </c>
      <c r="K4367" t="s">
        <v>148</v>
      </c>
      <c r="N4367" t="s">
        <v>44</v>
      </c>
      <c r="O4367">
        <v>143</v>
      </c>
      <c r="Q4367">
        <v>4</v>
      </c>
      <c r="R4367">
        <v>1</v>
      </c>
      <c r="S4367">
        <v>0</v>
      </c>
      <c r="T4367">
        <v>0</v>
      </c>
      <c r="U4367">
        <v>0</v>
      </c>
      <c r="V4367">
        <v>0</v>
      </c>
      <c r="W4367">
        <v>4</v>
      </c>
      <c r="X4367" s="21">
        <v>0</v>
      </c>
      <c r="Y4367" s="21">
        <v>0</v>
      </c>
      <c r="Z4367" s="21">
        <v>0</v>
      </c>
      <c r="AA4367" s="21">
        <v>0</v>
      </c>
      <c r="AB4367" s="21">
        <v>0</v>
      </c>
      <c r="AC4367" s="21">
        <v>0</v>
      </c>
      <c r="AD4367" s="21">
        <v>0</v>
      </c>
      <c r="AE4367" s="21">
        <v>0</v>
      </c>
      <c r="AF4367">
        <v>0</v>
      </c>
      <c r="AG4367">
        <v>0</v>
      </c>
      <c r="AH4367">
        <v>384</v>
      </c>
      <c r="AP4367" t="s">
        <v>951</v>
      </c>
    </row>
    <row r="4368" spans="1:42">
      <c r="A4368" s="16">
        <v>43845</v>
      </c>
      <c r="B4368">
        <v>3</v>
      </c>
      <c r="C4368">
        <v>986</v>
      </c>
      <c r="D4368">
        <v>14637</v>
      </c>
      <c r="E4368" t="s">
        <v>112</v>
      </c>
      <c r="F4368" t="s">
        <v>520</v>
      </c>
      <c r="G4368">
        <v>2</v>
      </c>
      <c r="H4368">
        <v>64</v>
      </c>
      <c r="I4368" s="25">
        <v>3035</v>
      </c>
      <c r="K4368" t="s">
        <v>113</v>
      </c>
      <c r="N4368" t="s">
        <v>44</v>
      </c>
      <c r="O4368">
        <v>90</v>
      </c>
      <c r="Q4368">
        <v>1</v>
      </c>
      <c r="R4368">
        <v>1</v>
      </c>
      <c r="S4368">
        <v>0</v>
      </c>
      <c r="T4368">
        <v>0</v>
      </c>
      <c r="U4368">
        <v>0</v>
      </c>
      <c r="V4368">
        <v>0</v>
      </c>
      <c r="W4368">
        <v>1</v>
      </c>
      <c r="X4368" s="21">
        <v>0</v>
      </c>
      <c r="Y4368" s="21">
        <v>0</v>
      </c>
      <c r="Z4368" s="21">
        <v>0</v>
      </c>
      <c r="AA4368" s="21">
        <v>0</v>
      </c>
      <c r="AB4368" s="21">
        <v>0</v>
      </c>
      <c r="AC4368" s="21">
        <v>0</v>
      </c>
      <c r="AD4368" s="21">
        <v>0</v>
      </c>
      <c r="AE4368" s="21">
        <v>0</v>
      </c>
      <c r="AF4368">
        <v>0</v>
      </c>
      <c r="AG4368">
        <v>0</v>
      </c>
      <c r="AH4368">
        <v>96</v>
      </c>
      <c r="AJ4368" t="s">
        <v>51</v>
      </c>
      <c r="AK4368" t="s">
        <v>52</v>
      </c>
      <c r="AP4368" t="s">
        <v>951</v>
      </c>
    </row>
    <row r="4369" spans="1:42">
      <c r="A4369" s="16">
        <v>43845</v>
      </c>
      <c r="B4369">
        <v>3</v>
      </c>
      <c r="C4369">
        <v>986</v>
      </c>
      <c r="D4369">
        <v>14637</v>
      </c>
      <c r="E4369" t="s">
        <v>112</v>
      </c>
      <c r="F4369" t="s">
        <v>520</v>
      </c>
      <c r="G4369">
        <v>2</v>
      </c>
      <c r="H4369">
        <v>65</v>
      </c>
      <c r="I4369" s="25">
        <v>3025</v>
      </c>
      <c r="K4369" t="s">
        <v>113</v>
      </c>
      <c r="N4369" t="s">
        <v>44</v>
      </c>
      <c r="O4369">
        <v>66</v>
      </c>
      <c r="Q4369">
        <v>1</v>
      </c>
      <c r="R4369">
        <v>1</v>
      </c>
      <c r="S4369">
        <v>0</v>
      </c>
      <c r="T4369">
        <v>0</v>
      </c>
      <c r="U4369">
        <v>0</v>
      </c>
      <c r="V4369">
        <v>0</v>
      </c>
      <c r="W4369">
        <v>1</v>
      </c>
      <c r="X4369" s="21">
        <v>0</v>
      </c>
      <c r="Y4369" s="21">
        <v>0</v>
      </c>
      <c r="Z4369" s="21">
        <v>0</v>
      </c>
      <c r="AA4369" s="21">
        <v>0</v>
      </c>
      <c r="AB4369" s="21">
        <v>0</v>
      </c>
      <c r="AC4369" s="21">
        <v>0</v>
      </c>
      <c r="AD4369" s="21">
        <v>0</v>
      </c>
      <c r="AE4369" s="21">
        <v>0</v>
      </c>
      <c r="AF4369">
        <v>0</v>
      </c>
      <c r="AG4369">
        <v>0</v>
      </c>
      <c r="AH4369">
        <v>96</v>
      </c>
      <c r="AJ4369" t="s">
        <v>51</v>
      </c>
      <c r="AK4369" t="s">
        <v>52</v>
      </c>
      <c r="AP4369" t="s">
        <v>951</v>
      </c>
    </row>
    <row r="4370" spans="1:42">
      <c r="A4370" s="16">
        <v>43845</v>
      </c>
      <c r="B4370">
        <v>3</v>
      </c>
      <c r="C4370">
        <v>986</v>
      </c>
      <c r="D4370">
        <v>14637</v>
      </c>
      <c r="E4370" t="s">
        <v>112</v>
      </c>
      <c r="F4370" t="s">
        <v>520</v>
      </c>
      <c r="G4370">
        <v>2</v>
      </c>
      <c r="H4370">
        <v>66</v>
      </c>
      <c r="I4370" s="25">
        <v>2288</v>
      </c>
      <c r="K4370" t="s">
        <v>156</v>
      </c>
      <c r="L4370" t="s">
        <v>114</v>
      </c>
      <c r="M4370" t="s">
        <v>95</v>
      </c>
      <c r="N4370" t="s">
        <v>42</v>
      </c>
      <c r="O4370">
        <v>120</v>
      </c>
      <c r="Q4370">
        <v>4</v>
      </c>
      <c r="R4370">
        <v>1</v>
      </c>
      <c r="S4370">
        <v>0</v>
      </c>
      <c r="T4370">
        <v>0</v>
      </c>
      <c r="U4370">
        <v>0</v>
      </c>
      <c r="V4370">
        <v>3</v>
      </c>
      <c r="W4370">
        <v>1</v>
      </c>
      <c r="X4370" s="21">
        <v>0</v>
      </c>
      <c r="Y4370" s="21">
        <v>0</v>
      </c>
      <c r="Z4370" s="21">
        <v>0</v>
      </c>
      <c r="AA4370" s="21">
        <v>0</v>
      </c>
      <c r="AB4370" s="21">
        <v>0</v>
      </c>
      <c r="AC4370" s="21">
        <v>0</v>
      </c>
      <c r="AD4370" s="21">
        <v>0</v>
      </c>
      <c r="AE4370" s="21">
        <v>0</v>
      </c>
      <c r="AF4370">
        <v>0</v>
      </c>
      <c r="AG4370">
        <v>0</v>
      </c>
      <c r="AH4370">
        <v>288</v>
      </c>
      <c r="AJ4370" t="s">
        <v>51</v>
      </c>
      <c r="AK4370" t="s">
        <v>52</v>
      </c>
      <c r="AP4370" t="s">
        <v>951</v>
      </c>
    </row>
    <row r="4371" spans="1:42">
      <c r="A4371" s="16">
        <v>43845</v>
      </c>
      <c r="B4371">
        <v>3</v>
      </c>
      <c r="C4371">
        <v>986</v>
      </c>
      <c r="D4371">
        <v>14637</v>
      </c>
      <c r="E4371" t="s">
        <v>112</v>
      </c>
      <c r="F4371" t="s">
        <v>520</v>
      </c>
      <c r="G4371">
        <v>2</v>
      </c>
      <c r="H4371">
        <v>67</v>
      </c>
      <c r="I4371" s="25">
        <v>2340</v>
      </c>
      <c r="K4371" t="s">
        <v>156</v>
      </c>
      <c r="N4371" t="s">
        <v>44</v>
      </c>
      <c r="O4371">
        <v>43</v>
      </c>
      <c r="Q4371">
        <v>1</v>
      </c>
      <c r="R4371">
        <v>1</v>
      </c>
      <c r="S4371">
        <v>0</v>
      </c>
      <c r="T4371">
        <v>0</v>
      </c>
      <c r="U4371">
        <v>0</v>
      </c>
      <c r="V4371">
        <v>0</v>
      </c>
      <c r="W4371">
        <v>1</v>
      </c>
      <c r="X4371" s="21">
        <v>0</v>
      </c>
      <c r="Y4371" s="21">
        <v>0</v>
      </c>
      <c r="Z4371" s="21">
        <v>0</v>
      </c>
      <c r="AA4371" s="21">
        <v>0</v>
      </c>
      <c r="AB4371" s="21">
        <v>0</v>
      </c>
      <c r="AC4371" s="21">
        <v>0</v>
      </c>
      <c r="AD4371" s="21">
        <v>0</v>
      </c>
      <c r="AE4371" s="21">
        <v>0</v>
      </c>
      <c r="AF4371">
        <v>0</v>
      </c>
      <c r="AG4371">
        <v>0</v>
      </c>
      <c r="AH4371">
        <v>96</v>
      </c>
      <c r="AJ4371" t="s">
        <v>51</v>
      </c>
      <c r="AK4371" t="s">
        <v>95</v>
      </c>
      <c r="AP4371" t="s">
        <v>951</v>
      </c>
    </row>
    <row r="4372" spans="1:42">
      <c r="A4372" s="16">
        <v>43845</v>
      </c>
      <c r="B4372">
        <v>3</v>
      </c>
      <c r="C4372">
        <v>986</v>
      </c>
      <c r="D4372">
        <v>14637</v>
      </c>
      <c r="E4372" t="s">
        <v>112</v>
      </c>
      <c r="F4372" t="s">
        <v>520</v>
      </c>
      <c r="G4372">
        <v>2</v>
      </c>
      <c r="H4372">
        <v>68</v>
      </c>
      <c r="I4372" s="25">
        <v>3060</v>
      </c>
      <c r="K4372" t="s">
        <v>175</v>
      </c>
      <c r="N4372" t="s">
        <v>44</v>
      </c>
      <c r="O4372">
        <v>65</v>
      </c>
      <c r="Q4372">
        <v>1</v>
      </c>
      <c r="R4372">
        <v>1</v>
      </c>
      <c r="S4372">
        <v>0</v>
      </c>
      <c r="T4372">
        <v>0</v>
      </c>
      <c r="U4372">
        <v>0</v>
      </c>
      <c r="V4372">
        <v>1</v>
      </c>
      <c r="W4372">
        <v>0</v>
      </c>
      <c r="X4372" s="21">
        <v>0</v>
      </c>
      <c r="Y4372" s="21">
        <v>0</v>
      </c>
      <c r="Z4372" s="21">
        <v>0</v>
      </c>
      <c r="AA4372" s="21">
        <v>0</v>
      </c>
      <c r="AB4372" s="21">
        <v>0</v>
      </c>
      <c r="AC4372" s="21">
        <v>0</v>
      </c>
      <c r="AD4372" s="21">
        <v>0</v>
      </c>
      <c r="AE4372" s="21">
        <v>0</v>
      </c>
      <c r="AF4372">
        <v>0</v>
      </c>
      <c r="AG4372">
        <v>0</v>
      </c>
      <c r="AH4372">
        <v>64</v>
      </c>
      <c r="AP4372" t="s">
        <v>951</v>
      </c>
    </row>
    <row r="4373" spans="1:42">
      <c r="A4373" s="16">
        <v>43845</v>
      </c>
      <c r="B4373">
        <v>3</v>
      </c>
      <c r="C4373">
        <v>986</v>
      </c>
      <c r="D4373">
        <v>14637</v>
      </c>
      <c r="E4373" t="s">
        <v>112</v>
      </c>
      <c r="F4373" t="s">
        <v>520</v>
      </c>
      <c r="G4373">
        <v>2</v>
      </c>
      <c r="H4373">
        <v>69</v>
      </c>
      <c r="I4373" s="25">
        <v>2490</v>
      </c>
      <c r="K4373" t="s">
        <v>213</v>
      </c>
      <c r="N4373" t="s">
        <v>44</v>
      </c>
      <c r="O4373">
        <v>64</v>
      </c>
      <c r="Q4373">
        <v>1</v>
      </c>
      <c r="R4373">
        <v>1</v>
      </c>
      <c r="S4373">
        <v>0</v>
      </c>
      <c r="T4373">
        <v>0</v>
      </c>
      <c r="U4373">
        <v>0</v>
      </c>
      <c r="V4373">
        <v>0</v>
      </c>
      <c r="W4373">
        <v>1</v>
      </c>
      <c r="X4373" s="21">
        <v>0</v>
      </c>
      <c r="Y4373" s="21">
        <v>0</v>
      </c>
      <c r="Z4373" s="21">
        <v>0</v>
      </c>
      <c r="AA4373" s="21">
        <v>0</v>
      </c>
      <c r="AB4373" s="21">
        <v>0</v>
      </c>
      <c r="AC4373" s="21">
        <v>0</v>
      </c>
      <c r="AD4373" s="21">
        <v>0</v>
      </c>
      <c r="AE4373" s="21">
        <v>0</v>
      </c>
      <c r="AF4373">
        <v>0</v>
      </c>
      <c r="AG4373">
        <v>0</v>
      </c>
      <c r="AH4373">
        <v>96</v>
      </c>
      <c r="AJ4373" t="s">
        <v>51</v>
      </c>
      <c r="AK4373" t="s">
        <v>95</v>
      </c>
      <c r="AL4373" t="s">
        <v>1469</v>
      </c>
      <c r="AP4373" t="s">
        <v>951</v>
      </c>
    </row>
    <row r="4374" spans="1:42">
      <c r="A4374" s="16">
        <v>43845</v>
      </c>
      <c r="B4374">
        <v>3</v>
      </c>
      <c r="C4374">
        <v>986</v>
      </c>
      <c r="D4374">
        <v>14637</v>
      </c>
      <c r="E4374" t="s">
        <v>112</v>
      </c>
      <c r="F4374" t="s">
        <v>520</v>
      </c>
      <c r="G4374">
        <v>2</v>
      </c>
      <c r="H4374">
        <v>70</v>
      </c>
      <c r="I4374" s="25">
        <v>2374</v>
      </c>
      <c r="K4374" t="s">
        <v>156</v>
      </c>
      <c r="N4374" t="s">
        <v>44</v>
      </c>
      <c r="O4374">
        <v>55</v>
      </c>
      <c r="Q4374">
        <v>1</v>
      </c>
      <c r="R4374">
        <v>1</v>
      </c>
      <c r="S4374">
        <v>0</v>
      </c>
      <c r="T4374">
        <v>0</v>
      </c>
      <c r="U4374">
        <v>0</v>
      </c>
      <c r="V4374">
        <v>0</v>
      </c>
      <c r="W4374">
        <v>1</v>
      </c>
      <c r="X4374" s="21">
        <v>0</v>
      </c>
      <c r="Y4374" s="21">
        <v>0</v>
      </c>
      <c r="Z4374" s="21">
        <v>0</v>
      </c>
      <c r="AA4374" s="21">
        <v>0</v>
      </c>
      <c r="AB4374" s="21">
        <v>0</v>
      </c>
      <c r="AC4374" s="21">
        <v>0</v>
      </c>
      <c r="AD4374" s="21">
        <v>0</v>
      </c>
      <c r="AE4374" s="21">
        <v>0</v>
      </c>
      <c r="AF4374">
        <v>0</v>
      </c>
      <c r="AG4374">
        <v>0</v>
      </c>
      <c r="AH4374">
        <v>96</v>
      </c>
      <c r="AJ4374" t="s">
        <v>51</v>
      </c>
      <c r="AK4374" t="s">
        <v>95</v>
      </c>
      <c r="AP4374" t="s">
        <v>951</v>
      </c>
    </row>
    <row r="4375" spans="1:42">
      <c r="A4375" s="16">
        <v>43845</v>
      </c>
      <c r="B4375">
        <v>3</v>
      </c>
      <c r="C4375">
        <v>986</v>
      </c>
      <c r="D4375">
        <v>14637</v>
      </c>
      <c r="E4375" t="s">
        <v>112</v>
      </c>
      <c r="F4375" t="s">
        <v>520</v>
      </c>
      <c r="G4375">
        <v>2</v>
      </c>
      <c r="H4375">
        <v>71</v>
      </c>
      <c r="I4375" s="25">
        <v>2380</v>
      </c>
      <c r="K4375" t="s">
        <v>156</v>
      </c>
      <c r="N4375" t="s">
        <v>44</v>
      </c>
      <c r="O4375">
        <v>98</v>
      </c>
      <c r="Q4375">
        <v>1</v>
      </c>
      <c r="R4375">
        <v>1</v>
      </c>
      <c r="S4375">
        <v>0</v>
      </c>
      <c r="T4375">
        <v>0</v>
      </c>
      <c r="U4375">
        <v>0</v>
      </c>
      <c r="V4375">
        <v>0</v>
      </c>
      <c r="W4375">
        <v>1</v>
      </c>
      <c r="X4375" s="21">
        <v>0</v>
      </c>
      <c r="Y4375" s="21">
        <v>0</v>
      </c>
      <c r="Z4375" s="21">
        <v>0</v>
      </c>
      <c r="AA4375" s="21">
        <v>0</v>
      </c>
      <c r="AB4375" s="21">
        <v>0</v>
      </c>
      <c r="AC4375" s="21">
        <v>0</v>
      </c>
      <c r="AD4375" s="21">
        <v>0</v>
      </c>
      <c r="AE4375" s="21">
        <v>0</v>
      </c>
      <c r="AF4375">
        <v>0</v>
      </c>
      <c r="AG4375">
        <v>0</v>
      </c>
      <c r="AH4375">
        <v>96</v>
      </c>
      <c r="AJ4375" t="s">
        <v>51</v>
      </c>
      <c r="AK4375" t="s">
        <v>95</v>
      </c>
      <c r="AL4375" t="s">
        <v>1470</v>
      </c>
      <c r="AP4375" t="s">
        <v>951</v>
      </c>
    </row>
    <row r="4376" spans="1:42">
      <c r="A4376" s="16">
        <v>43845</v>
      </c>
      <c r="B4376">
        <v>3</v>
      </c>
      <c r="C4376">
        <v>986</v>
      </c>
      <c r="D4376">
        <v>14637</v>
      </c>
      <c r="E4376" t="s">
        <v>112</v>
      </c>
      <c r="F4376" t="s">
        <v>520</v>
      </c>
      <c r="G4376">
        <v>2</v>
      </c>
      <c r="H4376">
        <v>72</v>
      </c>
      <c r="I4376" s="25">
        <v>2388</v>
      </c>
      <c r="K4376" t="s">
        <v>156</v>
      </c>
      <c r="N4376" t="s">
        <v>44</v>
      </c>
      <c r="O4376">
        <v>144</v>
      </c>
      <c r="Q4376">
        <v>2</v>
      </c>
      <c r="R4376">
        <v>1</v>
      </c>
      <c r="S4376">
        <v>0</v>
      </c>
      <c r="T4376">
        <v>0</v>
      </c>
      <c r="U4376">
        <v>0</v>
      </c>
      <c r="V4376">
        <v>0</v>
      </c>
      <c r="W4376">
        <v>2</v>
      </c>
      <c r="X4376" s="21">
        <v>0</v>
      </c>
      <c r="Y4376" s="21">
        <v>0</v>
      </c>
      <c r="Z4376" s="21">
        <v>0</v>
      </c>
      <c r="AA4376" s="21">
        <v>0</v>
      </c>
      <c r="AB4376" s="21">
        <v>0</v>
      </c>
      <c r="AC4376" s="21">
        <v>0</v>
      </c>
      <c r="AD4376" s="21">
        <v>0</v>
      </c>
      <c r="AE4376" s="21">
        <v>0</v>
      </c>
      <c r="AF4376">
        <v>0</v>
      </c>
      <c r="AG4376">
        <v>0</v>
      </c>
      <c r="AH4376">
        <v>192</v>
      </c>
      <c r="AJ4376" t="s">
        <v>51</v>
      </c>
      <c r="AK4376" t="s">
        <v>52</v>
      </c>
      <c r="AL4376" t="s">
        <v>1471</v>
      </c>
      <c r="AP4376" t="s">
        <v>951</v>
      </c>
    </row>
    <row r="4377" spans="1:42">
      <c r="A4377" s="16">
        <v>43845</v>
      </c>
      <c r="B4377">
        <v>3</v>
      </c>
      <c r="C4377">
        <v>986</v>
      </c>
      <c r="D4377">
        <v>14637</v>
      </c>
      <c r="E4377" t="s">
        <v>112</v>
      </c>
      <c r="F4377" t="s">
        <v>520</v>
      </c>
      <c r="G4377">
        <v>2</v>
      </c>
      <c r="H4377">
        <v>73</v>
      </c>
      <c r="I4377" s="25">
        <v>2410</v>
      </c>
      <c r="K4377" t="s">
        <v>156</v>
      </c>
      <c r="L4377" t="s">
        <v>114</v>
      </c>
      <c r="N4377" t="s">
        <v>42</v>
      </c>
      <c r="O4377">
        <v>108</v>
      </c>
      <c r="Q4377">
        <v>5</v>
      </c>
      <c r="R4377">
        <v>1</v>
      </c>
      <c r="S4377">
        <v>0</v>
      </c>
      <c r="T4377">
        <v>0</v>
      </c>
      <c r="U4377">
        <v>0</v>
      </c>
      <c r="V4377">
        <v>3</v>
      </c>
      <c r="W4377">
        <v>2</v>
      </c>
      <c r="X4377" s="21">
        <v>0</v>
      </c>
      <c r="Y4377" s="21">
        <v>0</v>
      </c>
      <c r="Z4377" s="21">
        <v>0</v>
      </c>
      <c r="AA4377" s="21">
        <v>0</v>
      </c>
      <c r="AB4377" s="21">
        <v>0</v>
      </c>
      <c r="AC4377" s="21">
        <v>0</v>
      </c>
      <c r="AD4377" s="21">
        <v>0</v>
      </c>
      <c r="AE4377" s="21">
        <v>0</v>
      </c>
      <c r="AF4377">
        <v>0</v>
      </c>
      <c r="AG4377">
        <v>0</v>
      </c>
      <c r="AH4377">
        <v>384</v>
      </c>
      <c r="AJ4377" t="s">
        <v>54</v>
      </c>
      <c r="AK4377" t="s">
        <v>95</v>
      </c>
      <c r="AP4377" t="s">
        <v>951</v>
      </c>
    </row>
    <row r="4378" spans="1:42">
      <c r="A4378" s="16">
        <v>43845</v>
      </c>
      <c r="B4378">
        <v>3</v>
      </c>
      <c r="C4378">
        <v>986</v>
      </c>
      <c r="D4378">
        <v>14637</v>
      </c>
      <c r="E4378" t="s">
        <v>112</v>
      </c>
      <c r="F4378" t="s">
        <v>520</v>
      </c>
      <c r="G4378">
        <v>2</v>
      </c>
      <c r="H4378">
        <v>74</v>
      </c>
      <c r="I4378" s="25">
        <v>2428</v>
      </c>
      <c r="K4378" t="s">
        <v>156</v>
      </c>
      <c r="N4378" t="s">
        <v>44</v>
      </c>
      <c r="O4378">
        <v>68</v>
      </c>
      <c r="Q4378">
        <v>2</v>
      </c>
      <c r="R4378">
        <v>1</v>
      </c>
      <c r="S4378">
        <v>0</v>
      </c>
      <c r="T4378">
        <v>0</v>
      </c>
      <c r="U4378">
        <v>2</v>
      </c>
      <c r="V4378">
        <v>0</v>
      </c>
      <c r="W4378">
        <v>0</v>
      </c>
      <c r="X4378" s="21">
        <v>0</v>
      </c>
      <c r="Y4378" s="21">
        <v>0</v>
      </c>
      <c r="Z4378" s="21">
        <v>0</v>
      </c>
      <c r="AA4378" s="21">
        <v>0</v>
      </c>
      <c r="AB4378" s="21">
        <v>0</v>
      </c>
      <c r="AC4378" s="21">
        <v>0</v>
      </c>
      <c r="AD4378" s="21">
        <v>0</v>
      </c>
      <c r="AE4378" s="21">
        <v>0</v>
      </c>
      <c r="AF4378">
        <v>0</v>
      </c>
      <c r="AG4378">
        <v>0</v>
      </c>
      <c r="AH4378">
        <v>64</v>
      </c>
      <c r="AJ4378" t="s">
        <v>54</v>
      </c>
      <c r="AK4378" t="s">
        <v>95</v>
      </c>
      <c r="AP4378" t="s">
        <v>951</v>
      </c>
    </row>
    <row r="4379" spans="1:42">
      <c r="A4379" s="16">
        <v>43845</v>
      </c>
      <c r="B4379">
        <v>3</v>
      </c>
      <c r="C4379">
        <v>986</v>
      </c>
      <c r="D4379">
        <v>14637</v>
      </c>
      <c r="E4379" t="s">
        <v>112</v>
      </c>
      <c r="F4379" t="s">
        <v>520</v>
      </c>
      <c r="G4379">
        <v>2</v>
      </c>
      <c r="H4379">
        <v>75</v>
      </c>
      <c r="I4379" s="25">
        <v>2400</v>
      </c>
      <c r="K4379" t="s">
        <v>156</v>
      </c>
      <c r="L4379" t="s">
        <v>114</v>
      </c>
      <c r="N4379" t="s">
        <v>40</v>
      </c>
      <c r="O4379">
        <v>29</v>
      </c>
      <c r="Q4379">
        <v>1</v>
      </c>
      <c r="R4379">
        <v>1</v>
      </c>
      <c r="S4379">
        <v>0</v>
      </c>
      <c r="T4379">
        <v>0</v>
      </c>
      <c r="U4379">
        <v>0</v>
      </c>
      <c r="V4379">
        <v>1</v>
      </c>
      <c r="W4379">
        <v>0</v>
      </c>
      <c r="X4379" s="21">
        <v>0</v>
      </c>
      <c r="Y4379" s="21">
        <v>0</v>
      </c>
      <c r="Z4379" s="21">
        <v>0</v>
      </c>
      <c r="AA4379" s="21">
        <v>0</v>
      </c>
      <c r="AB4379" s="21">
        <v>0</v>
      </c>
      <c r="AC4379" s="21">
        <v>0</v>
      </c>
      <c r="AD4379" s="21">
        <v>0</v>
      </c>
      <c r="AE4379" s="21">
        <v>0</v>
      </c>
      <c r="AF4379">
        <v>0</v>
      </c>
      <c r="AG4379">
        <v>0</v>
      </c>
      <c r="AH4379">
        <v>32</v>
      </c>
      <c r="AP4379" t="s">
        <v>951</v>
      </c>
    </row>
    <row r="4380" spans="1:42">
      <c r="A4380" s="16">
        <v>43845</v>
      </c>
      <c r="B4380">
        <v>3</v>
      </c>
      <c r="C4380">
        <v>986</v>
      </c>
      <c r="D4380">
        <v>14637</v>
      </c>
      <c r="E4380" t="s">
        <v>112</v>
      </c>
      <c r="F4380" t="s">
        <v>520</v>
      </c>
      <c r="G4380">
        <v>2</v>
      </c>
      <c r="H4380">
        <v>76</v>
      </c>
      <c r="I4380" s="25">
        <v>2450</v>
      </c>
      <c r="K4380" t="s">
        <v>156</v>
      </c>
      <c r="L4380" t="s">
        <v>114</v>
      </c>
      <c r="N4380" t="s">
        <v>42</v>
      </c>
      <c r="O4380">
        <v>88</v>
      </c>
      <c r="Q4380">
        <v>3</v>
      </c>
      <c r="R4380">
        <v>1</v>
      </c>
      <c r="S4380">
        <v>0</v>
      </c>
      <c r="T4380">
        <v>0</v>
      </c>
      <c r="U4380">
        <v>2</v>
      </c>
      <c r="V4380">
        <v>0</v>
      </c>
      <c r="W4380">
        <v>1</v>
      </c>
      <c r="X4380" s="21">
        <v>0</v>
      </c>
      <c r="Y4380" s="21">
        <v>0</v>
      </c>
      <c r="Z4380" s="21">
        <v>0</v>
      </c>
      <c r="AA4380" s="21">
        <v>0</v>
      </c>
      <c r="AB4380" s="21">
        <v>0</v>
      </c>
      <c r="AC4380" s="21">
        <v>0</v>
      </c>
      <c r="AD4380" s="21">
        <v>0</v>
      </c>
      <c r="AE4380" s="21">
        <v>0</v>
      </c>
      <c r="AF4380">
        <v>0</v>
      </c>
      <c r="AG4380">
        <v>0</v>
      </c>
      <c r="AH4380">
        <v>160</v>
      </c>
      <c r="AJ4380" t="s">
        <v>54</v>
      </c>
      <c r="AK4380" t="s">
        <v>52</v>
      </c>
      <c r="AP4380" t="s">
        <v>951</v>
      </c>
    </row>
    <row r="4381" spans="1:42">
      <c r="A4381" s="16">
        <v>43845</v>
      </c>
      <c r="B4381">
        <v>3</v>
      </c>
      <c r="C4381">
        <v>986</v>
      </c>
      <c r="D4381">
        <v>14637</v>
      </c>
      <c r="E4381" t="s">
        <v>112</v>
      </c>
      <c r="F4381" t="s">
        <v>520</v>
      </c>
      <c r="G4381">
        <v>2</v>
      </c>
      <c r="H4381">
        <v>77</v>
      </c>
      <c r="I4381" s="25">
        <v>2400</v>
      </c>
      <c r="K4381" t="s">
        <v>156</v>
      </c>
      <c r="L4381" t="s">
        <v>114</v>
      </c>
      <c r="N4381" t="s">
        <v>40</v>
      </c>
      <c r="O4381">
        <v>32</v>
      </c>
      <c r="Q4381">
        <v>1</v>
      </c>
      <c r="R4381">
        <v>1</v>
      </c>
      <c r="S4381">
        <v>0</v>
      </c>
      <c r="T4381">
        <v>0</v>
      </c>
      <c r="U4381">
        <v>0</v>
      </c>
      <c r="V4381">
        <v>1</v>
      </c>
      <c r="W4381">
        <v>0</v>
      </c>
      <c r="X4381" s="21">
        <v>0</v>
      </c>
      <c r="Y4381" s="21">
        <v>0</v>
      </c>
      <c r="Z4381" s="21">
        <v>0</v>
      </c>
      <c r="AA4381" s="21">
        <v>0</v>
      </c>
      <c r="AB4381" s="21">
        <v>0</v>
      </c>
      <c r="AC4381" s="21">
        <v>0</v>
      </c>
      <c r="AD4381" s="21">
        <v>0</v>
      </c>
      <c r="AE4381" s="21">
        <v>0</v>
      </c>
      <c r="AF4381">
        <v>0</v>
      </c>
      <c r="AG4381">
        <v>0</v>
      </c>
      <c r="AH4381">
        <v>64</v>
      </c>
      <c r="AJ4381" t="s">
        <v>54</v>
      </c>
      <c r="AK4381" t="s">
        <v>52</v>
      </c>
      <c r="AP4381" t="s">
        <v>951</v>
      </c>
    </row>
    <row r="4382" spans="1:42">
      <c r="A4382" s="16">
        <v>43845</v>
      </c>
      <c r="B4382">
        <v>3</v>
      </c>
      <c r="C4382">
        <v>986</v>
      </c>
      <c r="D4382">
        <v>14637</v>
      </c>
      <c r="E4382" t="s">
        <v>112</v>
      </c>
      <c r="F4382" t="s">
        <v>520</v>
      </c>
      <c r="G4382">
        <v>2</v>
      </c>
      <c r="H4382">
        <v>78</v>
      </c>
      <c r="I4382" s="25">
        <v>2400</v>
      </c>
      <c r="K4382" t="s">
        <v>156</v>
      </c>
      <c r="L4382" t="s">
        <v>114</v>
      </c>
      <c r="N4382" t="s">
        <v>40</v>
      </c>
      <c r="O4382">
        <v>44</v>
      </c>
      <c r="Q4382">
        <v>1</v>
      </c>
      <c r="R4382">
        <v>1</v>
      </c>
      <c r="S4382">
        <v>0</v>
      </c>
      <c r="T4382">
        <v>0</v>
      </c>
      <c r="U4382">
        <v>0</v>
      </c>
      <c r="V4382">
        <v>1</v>
      </c>
      <c r="W4382">
        <v>0</v>
      </c>
      <c r="X4382" s="21">
        <v>0</v>
      </c>
      <c r="Y4382" s="21">
        <v>0</v>
      </c>
      <c r="Z4382" s="21">
        <v>0</v>
      </c>
      <c r="AA4382" s="21">
        <v>0</v>
      </c>
      <c r="AB4382" s="21">
        <v>0</v>
      </c>
      <c r="AC4382" s="21">
        <v>0</v>
      </c>
      <c r="AD4382" s="21">
        <v>0</v>
      </c>
      <c r="AE4382" s="21">
        <v>0</v>
      </c>
      <c r="AF4382">
        <v>0</v>
      </c>
      <c r="AG4382">
        <v>0</v>
      </c>
      <c r="AH4382">
        <v>64</v>
      </c>
      <c r="AJ4382" t="s">
        <v>54</v>
      </c>
      <c r="AK4382" t="s">
        <v>52</v>
      </c>
      <c r="AP4382" t="s">
        <v>951</v>
      </c>
    </row>
    <row r="4383" spans="1:42">
      <c r="A4383" s="16">
        <v>43845</v>
      </c>
      <c r="B4383">
        <v>3</v>
      </c>
      <c r="C4383">
        <v>986</v>
      </c>
      <c r="D4383">
        <v>14637</v>
      </c>
      <c r="E4383" t="s">
        <v>112</v>
      </c>
      <c r="F4383" t="s">
        <v>520</v>
      </c>
      <c r="G4383">
        <v>2</v>
      </c>
      <c r="H4383">
        <v>79</v>
      </c>
      <c r="I4383" s="25">
        <v>2400</v>
      </c>
      <c r="K4383" t="s">
        <v>156</v>
      </c>
      <c r="L4383" t="s">
        <v>114</v>
      </c>
      <c r="N4383" t="s">
        <v>40</v>
      </c>
      <c r="O4383">
        <v>48</v>
      </c>
      <c r="Q4383">
        <v>1</v>
      </c>
      <c r="R4383">
        <v>1</v>
      </c>
      <c r="S4383">
        <v>0</v>
      </c>
      <c r="T4383">
        <v>0</v>
      </c>
      <c r="U4383">
        <v>0</v>
      </c>
      <c r="V4383">
        <v>0</v>
      </c>
      <c r="W4383">
        <v>1</v>
      </c>
      <c r="X4383" s="21">
        <v>0</v>
      </c>
      <c r="Y4383" s="21">
        <v>0</v>
      </c>
      <c r="Z4383" s="21">
        <v>0</v>
      </c>
      <c r="AA4383" s="21">
        <v>0</v>
      </c>
      <c r="AB4383" s="21">
        <v>0</v>
      </c>
      <c r="AC4383" s="21">
        <v>0</v>
      </c>
      <c r="AD4383" s="21">
        <v>0</v>
      </c>
      <c r="AE4383" s="21">
        <v>0</v>
      </c>
      <c r="AF4383">
        <v>0</v>
      </c>
      <c r="AG4383">
        <v>0</v>
      </c>
      <c r="AH4383">
        <v>96</v>
      </c>
      <c r="AJ4383" t="s">
        <v>54</v>
      </c>
      <c r="AK4383" t="s">
        <v>95</v>
      </c>
      <c r="AP4383" t="s">
        <v>951</v>
      </c>
    </row>
    <row r="4384" spans="1:42">
      <c r="A4384" s="16">
        <v>43845</v>
      </c>
      <c r="B4384">
        <v>3</v>
      </c>
      <c r="C4384">
        <v>986</v>
      </c>
      <c r="D4384">
        <v>14637</v>
      </c>
      <c r="E4384" t="s">
        <v>112</v>
      </c>
      <c r="F4384" t="s">
        <v>520</v>
      </c>
      <c r="G4384">
        <v>2</v>
      </c>
      <c r="H4384">
        <v>80</v>
      </c>
      <c r="I4384" s="25">
        <v>2501</v>
      </c>
      <c r="K4384" t="s">
        <v>156</v>
      </c>
      <c r="N4384" t="s">
        <v>44</v>
      </c>
      <c r="O4384">
        <v>86</v>
      </c>
      <c r="Q4384">
        <v>1</v>
      </c>
      <c r="R4384">
        <v>1</v>
      </c>
      <c r="S4384">
        <v>0</v>
      </c>
      <c r="T4384">
        <v>0</v>
      </c>
      <c r="U4384">
        <v>0</v>
      </c>
      <c r="V4384">
        <v>0</v>
      </c>
      <c r="W4384">
        <v>1</v>
      </c>
      <c r="X4384" s="21">
        <v>0</v>
      </c>
      <c r="Y4384" s="21">
        <v>0</v>
      </c>
      <c r="Z4384" s="21">
        <v>0</v>
      </c>
      <c r="AA4384" s="21">
        <v>0</v>
      </c>
      <c r="AB4384" s="21">
        <v>0</v>
      </c>
      <c r="AC4384" s="21">
        <v>0</v>
      </c>
      <c r="AD4384" s="21">
        <v>0</v>
      </c>
      <c r="AE4384" s="21">
        <v>0</v>
      </c>
      <c r="AF4384">
        <v>0</v>
      </c>
      <c r="AG4384">
        <v>0</v>
      </c>
      <c r="AH4384">
        <v>96</v>
      </c>
      <c r="AJ4384" t="s">
        <v>54</v>
      </c>
      <c r="AK4384" t="s">
        <v>95</v>
      </c>
      <c r="AP4384" t="s">
        <v>951</v>
      </c>
    </row>
    <row r="4385" spans="1:42">
      <c r="A4385" s="16">
        <v>43845</v>
      </c>
      <c r="B4385">
        <v>3</v>
      </c>
      <c r="C4385">
        <v>986</v>
      </c>
      <c r="D4385">
        <v>14637</v>
      </c>
      <c r="E4385" t="s">
        <v>112</v>
      </c>
      <c r="F4385" t="s">
        <v>520</v>
      </c>
      <c r="G4385">
        <v>2</v>
      </c>
      <c r="H4385">
        <v>81</v>
      </c>
      <c r="I4385" s="25">
        <v>2465</v>
      </c>
      <c r="K4385" t="s">
        <v>156</v>
      </c>
      <c r="N4385" t="s">
        <v>44</v>
      </c>
      <c r="O4385">
        <v>108</v>
      </c>
      <c r="Q4385">
        <v>1</v>
      </c>
      <c r="R4385">
        <v>1</v>
      </c>
      <c r="S4385">
        <v>0</v>
      </c>
      <c r="T4385">
        <v>0</v>
      </c>
      <c r="U4385">
        <v>0</v>
      </c>
      <c r="V4385">
        <v>0</v>
      </c>
      <c r="W4385">
        <v>1</v>
      </c>
      <c r="X4385" s="21">
        <v>0</v>
      </c>
      <c r="Y4385" s="21">
        <v>0</v>
      </c>
      <c r="Z4385" s="21">
        <v>0</v>
      </c>
      <c r="AA4385" s="21">
        <v>0</v>
      </c>
      <c r="AB4385" s="21">
        <v>0</v>
      </c>
      <c r="AC4385" s="21">
        <v>0</v>
      </c>
      <c r="AD4385" s="21">
        <v>0</v>
      </c>
      <c r="AE4385" s="21">
        <v>0</v>
      </c>
      <c r="AF4385">
        <v>0</v>
      </c>
      <c r="AG4385">
        <v>0</v>
      </c>
      <c r="AH4385">
        <v>96</v>
      </c>
      <c r="AJ4385" t="s">
        <v>54</v>
      </c>
      <c r="AK4385" t="s">
        <v>95</v>
      </c>
      <c r="AL4385" t="s">
        <v>1472</v>
      </c>
      <c r="AP4385" t="s">
        <v>951</v>
      </c>
    </row>
    <row r="4386" spans="1:42">
      <c r="A4386" s="16">
        <v>43845</v>
      </c>
      <c r="B4386">
        <v>3</v>
      </c>
      <c r="C4386">
        <v>986</v>
      </c>
      <c r="D4386">
        <v>14637</v>
      </c>
      <c r="E4386" t="s">
        <v>112</v>
      </c>
      <c r="F4386" t="s">
        <v>520</v>
      </c>
      <c r="G4386">
        <v>2</v>
      </c>
      <c r="H4386">
        <v>82</v>
      </c>
      <c r="I4386" s="25">
        <v>2445</v>
      </c>
      <c r="K4386" t="s">
        <v>156</v>
      </c>
      <c r="N4386" t="s">
        <v>44</v>
      </c>
      <c r="O4386">
        <v>104</v>
      </c>
      <c r="Q4386">
        <v>1</v>
      </c>
      <c r="R4386">
        <v>1</v>
      </c>
      <c r="S4386">
        <v>0</v>
      </c>
      <c r="T4386">
        <v>0</v>
      </c>
      <c r="U4386">
        <v>0</v>
      </c>
      <c r="V4386">
        <v>0</v>
      </c>
      <c r="W4386">
        <v>1</v>
      </c>
      <c r="X4386" s="21">
        <v>0</v>
      </c>
      <c r="Y4386" s="21">
        <v>0</v>
      </c>
      <c r="Z4386" s="21">
        <v>0</v>
      </c>
      <c r="AA4386" s="21">
        <v>0</v>
      </c>
      <c r="AB4386" s="21">
        <v>0</v>
      </c>
      <c r="AC4386" s="21">
        <v>0</v>
      </c>
      <c r="AD4386" s="21">
        <v>0</v>
      </c>
      <c r="AE4386" s="21">
        <v>0</v>
      </c>
      <c r="AF4386">
        <v>0</v>
      </c>
      <c r="AG4386">
        <v>0</v>
      </c>
      <c r="AH4386">
        <v>96</v>
      </c>
      <c r="AJ4386" t="s">
        <v>54</v>
      </c>
      <c r="AK4386" t="s">
        <v>52</v>
      </c>
      <c r="AL4386" t="s">
        <v>1473</v>
      </c>
      <c r="AP4386" t="s">
        <v>951</v>
      </c>
    </row>
    <row r="4387" spans="1:42">
      <c r="A4387" s="16">
        <v>43845</v>
      </c>
      <c r="B4387">
        <v>3</v>
      </c>
      <c r="C4387">
        <v>986</v>
      </c>
      <c r="D4387">
        <v>14637</v>
      </c>
      <c r="E4387" t="s">
        <v>112</v>
      </c>
      <c r="F4387" t="s">
        <v>520</v>
      </c>
      <c r="G4387">
        <v>2</v>
      </c>
      <c r="H4387">
        <v>83</v>
      </c>
      <c r="I4387" s="25">
        <v>2435</v>
      </c>
      <c r="K4387" t="s">
        <v>156</v>
      </c>
      <c r="N4387" t="s">
        <v>44</v>
      </c>
      <c r="O4387">
        <v>103</v>
      </c>
      <c r="Q4387">
        <v>1</v>
      </c>
      <c r="R4387">
        <v>1</v>
      </c>
      <c r="S4387">
        <v>0</v>
      </c>
      <c r="T4387">
        <v>0</v>
      </c>
      <c r="U4387">
        <v>0</v>
      </c>
      <c r="V4387">
        <v>0</v>
      </c>
      <c r="W4387">
        <v>1</v>
      </c>
      <c r="X4387" s="21">
        <v>0</v>
      </c>
      <c r="Y4387" s="21">
        <v>0</v>
      </c>
      <c r="Z4387" s="21">
        <v>0</v>
      </c>
      <c r="AA4387" s="21">
        <v>0</v>
      </c>
      <c r="AB4387" s="21">
        <v>0</v>
      </c>
      <c r="AC4387" s="21">
        <v>0</v>
      </c>
      <c r="AD4387" s="21">
        <v>0</v>
      </c>
      <c r="AE4387" s="21">
        <v>0</v>
      </c>
      <c r="AF4387">
        <v>0</v>
      </c>
      <c r="AG4387">
        <v>0</v>
      </c>
      <c r="AH4387">
        <v>96</v>
      </c>
      <c r="AJ4387" t="s">
        <v>54</v>
      </c>
      <c r="AK4387" t="s">
        <v>52</v>
      </c>
      <c r="AL4387" t="s">
        <v>1474</v>
      </c>
      <c r="AP4387" t="s">
        <v>951</v>
      </c>
    </row>
    <row r="4388" spans="1:42">
      <c r="A4388" s="16">
        <v>43845</v>
      </c>
      <c r="B4388">
        <v>3</v>
      </c>
      <c r="C4388">
        <v>986</v>
      </c>
      <c r="D4388">
        <v>14637</v>
      </c>
      <c r="E4388" t="s">
        <v>112</v>
      </c>
      <c r="F4388" t="s">
        <v>520</v>
      </c>
      <c r="G4388">
        <v>2</v>
      </c>
      <c r="H4388">
        <v>84</v>
      </c>
      <c r="I4388" s="25">
        <v>2400</v>
      </c>
      <c r="K4388" t="s">
        <v>1147</v>
      </c>
      <c r="L4388" t="s">
        <v>114</v>
      </c>
      <c r="N4388" t="s">
        <v>40</v>
      </c>
      <c r="O4388">
        <v>54</v>
      </c>
      <c r="Q4388">
        <v>3</v>
      </c>
      <c r="R4388">
        <v>1</v>
      </c>
      <c r="S4388">
        <v>0</v>
      </c>
      <c r="T4388">
        <v>0</v>
      </c>
      <c r="U4388">
        <v>1</v>
      </c>
      <c r="V4388">
        <v>2</v>
      </c>
      <c r="W4388">
        <v>0</v>
      </c>
      <c r="X4388" s="21">
        <v>0</v>
      </c>
      <c r="Y4388" s="21">
        <v>0</v>
      </c>
      <c r="Z4388" s="21">
        <v>0</v>
      </c>
      <c r="AA4388" s="21">
        <v>0</v>
      </c>
      <c r="AB4388" s="21">
        <v>0</v>
      </c>
      <c r="AC4388" s="21">
        <v>0</v>
      </c>
      <c r="AD4388" s="21">
        <v>0</v>
      </c>
      <c r="AE4388" s="21">
        <v>0</v>
      </c>
      <c r="AF4388">
        <v>0</v>
      </c>
      <c r="AG4388">
        <v>0</v>
      </c>
      <c r="AH4388">
        <v>160</v>
      </c>
      <c r="AJ4388" t="s">
        <v>51</v>
      </c>
      <c r="AK4388" t="s">
        <v>95</v>
      </c>
      <c r="AP4388" t="s">
        <v>951</v>
      </c>
    </row>
    <row r="4389" spans="1:42">
      <c r="A4389" s="16">
        <v>43845</v>
      </c>
      <c r="B4389">
        <v>3</v>
      </c>
      <c r="C4389">
        <v>986</v>
      </c>
      <c r="D4389">
        <v>14637</v>
      </c>
      <c r="E4389" t="s">
        <v>112</v>
      </c>
      <c r="F4389" t="s">
        <v>520</v>
      </c>
      <c r="G4389">
        <v>2</v>
      </c>
      <c r="H4389">
        <v>85</v>
      </c>
      <c r="I4389" s="25">
        <v>2426</v>
      </c>
      <c r="K4389" t="s">
        <v>213</v>
      </c>
      <c r="L4389" t="s">
        <v>114</v>
      </c>
      <c r="N4389" t="s">
        <v>42</v>
      </c>
      <c r="O4389">
        <v>57</v>
      </c>
      <c r="Q4389">
        <v>3</v>
      </c>
      <c r="R4389">
        <v>1</v>
      </c>
      <c r="S4389">
        <v>0</v>
      </c>
      <c r="T4389">
        <v>0</v>
      </c>
      <c r="U4389">
        <v>1</v>
      </c>
      <c r="V4389">
        <v>0</v>
      </c>
      <c r="W4389">
        <v>2</v>
      </c>
      <c r="X4389" s="21">
        <v>0</v>
      </c>
      <c r="Y4389" s="21">
        <v>0</v>
      </c>
      <c r="Z4389" s="21">
        <v>0</v>
      </c>
      <c r="AA4389" s="21">
        <v>0</v>
      </c>
      <c r="AB4389" s="21">
        <v>0</v>
      </c>
      <c r="AC4389" s="21">
        <v>0</v>
      </c>
      <c r="AD4389" s="21">
        <v>0</v>
      </c>
      <c r="AE4389" s="21">
        <v>0</v>
      </c>
      <c r="AF4389">
        <v>0</v>
      </c>
      <c r="AG4389">
        <v>0</v>
      </c>
      <c r="AH4389">
        <v>224</v>
      </c>
      <c r="AJ4389" t="s">
        <v>51</v>
      </c>
      <c r="AK4389" t="s">
        <v>95</v>
      </c>
      <c r="AP4389" t="s">
        <v>951</v>
      </c>
    </row>
    <row r="4390" spans="1:42">
      <c r="A4390" s="16">
        <v>43845</v>
      </c>
      <c r="B4390">
        <v>3</v>
      </c>
      <c r="C4390">
        <v>986</v>
      </c>
      <c r="D4390">
        <v>14637</v>
      </c>
      <c r="E4390" t="s">
        <v>112</v>
      </c>
      <c r="F4390" t="s">
        <v>520</v>
      </c>
      <c r="G4390">
        <v>2</v>
      </c>
      <c r="H4390">
        <v>86</v>
      </c>
      <c r="I4390" s="25">
        <v>2436</v>
      </c>
      <c r="K4390" t="s">
        <v>213</v>
      </c>
      <c r="N4390" t="s">
        <v>44</v>
      </c>
      <c r="O4390">
        <v>49</v>
      </c>
      <c r="Q4390">
        <v>1</v>
      </c>
      <c r="R4390">
        <v>1</v>
      </c>
      <c r="S4390">
        <v>0</v>
      </c>
      <c r="T4390">
        <v>0</v>
      </c>
      <c r="U4390">
        <v>0</v>
      </c>
      <c r="V4390">
        <v>0</v>
      </c>
      <c r="W4390">
        <v>1</v>
      </c>
      <c r="X4390" s="21">
        <v>0</v>
      </c>
      <c r="Y4390" s="21">
        <v>0</v>
      </c>
      <c r="Z4390" s="21">
        <v>0</v>
      </c>
      <c r="AA4390" s="21">
        <v>0</v>
      </c>
      <c r="AB4390" s="21">
        <v>0</v>
      </c>
      <c r="AC4390" s="21">
        <v>0</v>
      </c>
      <c r="AD4390" s="21">
        <v>0</v>
      </c>
      <c r="AE4390" s="21">
        <v>0</v>
      </c>
      <c r="AF4390">
        <v>0</v>
      </c>
      <c r="AG4390">
        <v>0</v>
      </c>
      <c r="AH4390">
        <v>96</v>
      </c>
      <c r="AJ4390" t="s">
        <v>51</v>
      </c>
      <c r="AK4390" t="s">
        <v>95</v>
      </c>
      <c r="AL4390" t="s">
        <v>1405</v>
      </c>
      <c r="AP4390" t="s">
        <v>951</v>
      </c>
    </row>
    <row r="4391" spans="1:42">
      <c r="A4391" s="16">
        <v>43845</v>
      </c>
      <c r="B4391">
        <v>3</v>
      </c>
      <c r="C4391">
        <v>986</v>
      </c>
      <c r="D4391">
        <v>14637</v>
      </c>
      <c r="E4391" t="s">
        <v>112</v>
      </c>
      <c r="F4391" t="s">
        <v>520</v>
      </c>
      <c r="G4391">
        <v>2</v>
      </c>
      <c r="H4391">
        <v>87</v>
      </c>
      <c r="I4391" s="25">
        <v>3101</v>
      </c>
      <c r="K4391" t="s">
        <v>175</v>
      </c>
      <c r="N4391" t="s">
        <v>44</v>
      </c>
      <c r="O4391">
        <v>69</v>
      </c>
      <c r="Q4391">
        <v>1</v>
      </c>
      <c r="R4391">
        <v>1</v>
      </c>
      <c r="S4391">
        <v>0</v>
      </c>
      <c r="T4391">
        <v>0</v>
      </c>
      <c r="U4391">
        <v>0</v>
      </c>
      <c r="V4391">
        <v>0</v>
      </c>
      <c r="W4391">
        <v>1</v>
      </c>
      <c r="X4391" s="21">
        <v>0</v>
      </c>
      <c r="Y4391" s="21">
        <v>0</v>
      </c>
      <c r="Z4391" s="21">
        <v>0</v>
      </c>
      <c r="AA4391" s="21">
        <v>0</v>
      </c>
      <c r="AB4391" s="21">
        <v>0</v>
      </c>
      <c r="AC4391" s="21">
        <v>0</v>
      </c>
      <c r="AD4391" s="21">
        <v>0</v>
      </c>
      <c r="AE4391" s="21">
        <v>0</v>
      </c>
      <c r="AF4391">
        <v>0</v>
      </c>
      <c r="AG4391">
        <v>0</v>
      </c>
      <c r="AH4391">
        <v>96</v>
      </c>
      <c r="AJ4391" t="s">
        <v>51</v>
      </c>
      <c r="AK4391" t="s">
        <v>95</v>
      </c>
      <c r="AP4391" t="s">
        <v>951</v>
      </c>
    </row>
    <row r="4392" spans="1:42">
      <c r="A4392" s="16">
        <v>43845</v>
      </c>
      <c r="B4392">
        <v>3</v>
      </c>
      <c r="C4392">
        <v>986</v>
      </c>
      <c r="D4392">
        <v>14637</v>
      </c>
      <c r="E4392" t="s">
        <v>112</v>
      </c>
      <c r="F4392" t="s">
        <v>520</v>
      </c>
      <c r="G4392">
        <v>2</v>
      </c>
      <c r="H4392">
        <v>88</v>
      </c>
      <c r="I4392" s="25">
        <v>3055</v>
      </c>
      <c r="K4392" t="s">
        <v>175</v>
      </c>
      <c r="N4392" t="s">
        <v>44</v>
      </c>
      <c r="O4392">
        <v>64</v>
      </c>
      <c r="Q4392">
        <v>1</v>
      </c>
      <c r="R4392">
        <v>1</v>
      </c>
      <c r="S4392">
        <v>0</v>
      </c>
      <c r="T4392">
        <v>0</v>
      </c>
      <c r="U4392">
        <v>0</v>
      </c>
      <c r="V4392">
        <v>0</v>
      </c>
      <c r="W4392">
        <v>1</v>
      </c>
      <c r="X4392" s="21">
        <v>0</v>
      </c>
      <c r="Y4392" s="21">
        <v>0</v>
      </c>
      <c r="Z4392" s="21">
        <v>0</v>
      </c>
      <c r="AA4392" s="21">
        <v>0</v>
      </c>
      <c r="AB4392" s="21">
        <v>0</v>
      </c>
      <c r="AC4392" s="21">
        <v>0</v>
      </c>
      <c r="AD4392" s="21">
        <v>0</v>
      </c>
      <c r="AE4392" s="21">
        <v>0</v>
      </c>
      <c r="AF4392">
        <v>0</v>
      </c>
      <c r="AG4392">
        <v>0</v>
      </c>
      <c r="AH4392">
        <v>96</v>
      </c>
      <c r="AJ4392" t="s">
        <v>51</v>
      </c>
      <c r="AK4392" t="s">
        <v>95</v>
      </c>
      <c r="AL4392" t="s">
        <v>1475</v>
      </c>
      <c r="AP4392" t="s">
        <v>951</v>
      </c>
    </row>
    <row r="4393" spans="1:42">
      <c r="A4393" s="16">
        <v>43845</v>
      </c>
      <c r="B4393">
        <v>3</v>
      </c>
      <c r="C4393">
        <v>986</v>
      </c>
      <c r="D4393">
        <v>14637</v>
      </c>
      <c r="E4393" t="s">
        <v>112</v>
      </c>
      <c r="F4393" t="s">
        <v>520</v>
      </c>
      <c r="G4393">
        <v>2</v>
      </c>
      <c r="H4393">
        <v>89</v>
      </c>
      <c r="I4393" s="25">
        <v>2400</v>
      </c>
      <c r="K4393" t="s">
        <v>213</v>
      </c>
      <c r="L4393" t="s">
        <v>114</v>
      </c>
      <c r="N4393" t="s">
        <v>40</v>
      </c>
      <c r="O4393">
        <v>69</v>
      </c>
      <c r="Q4393">
        <v>5</v>
      </c>
      <c r="R4393">
        <v>1</v>
      </c>
      <c r="S4393">
        <v>0</v>
      </c>
      <c r="T4393">
        <v>0</v>
      </c>
      <c r="U4393">
        <v>2</v>
      </c>
      <c r="V4393">
        <v>3</v>
      </c>
      <c r="W4393">
        <v>0</v>
      </c>
      <c r="X4393" s="21">
        <v>0</v>
      </c>
      <c r="Y4393" s="21">
        <v>0</v>
      </c>
      <c r="Z4393" s="21">
        <v>0</v>
      </c>
      <c r="AA4393" s="21">
        <v>0</v>
      </c>
      <c r="AB4393" s="21">
        <v>0</v>
      </c>
      <c r="AC4393" s="21">
        <v>0</v>
      </c>
      <c r="AD4393" s="21">
        <v>0</v>
      </c>
      <c r="AE4393" s="21">
        <v>0</v>
      </c>
      <c r="AF4393">
        <v>0</v>
      </c>
      <c r="AG4393">
        <v>0</v>
      </c>
      <c r="AH4393">
        <v>256</v>
      </c>
      <c r="AJ4393" t="s">
        <v>51</v>
      </c>
      <c r="AK4393" t="s">
        <v>95</v>
      </c>
      <c r="AP4393" t="s">
        <v>951</v>
      </c>
    </row>
    <row r="4394" spans="1:42">
      <c r="A4394" s="16">
        <v>43845</v>
      </c>
      <c r="B4394">
        <v>3</v>
      </c>
      <c r="C4394">
        <v>986</v>
      </c>
      <c r="D4394">
        <v>14637</v>
      </c>
      <c r="E4394" t="s">
        <v>112</v>
      </c>
      <c r="F4394" t="s">
        <v>520</v>
      </c>
      <c r="G4394">
        <v>2</v>
      </c>
      <c r="H4394">
        <v>90</v>
      </c>
      <c r="I4394" s="25">
        <v>2400</v>
      </c>
      <c r="K4394" t="s">
        <v>213</v>
      </c>
      <c r="L4394" t="s">
        <v>114</v>
      </c>
      <c r="N4394" t="s">
        <v>40</v>
      </c>
      <c r="O4394">
        <v>57</v>
      </c>
      <c r="Q4394">
        <v>3</v>
      </c>
      <c r="R4394">
        <v>1</v>
      </c>
      <c r="S4394">
        <v>0</v>
      </c>
      <c r="T4394">
        <v>0</v>
      </c>
      <c r="U4394">
        <v>3</v>
      </c>
      <c r="V4394">
        <v>0</v>
      </c>
      <c r="W4394">
        <v>0</v>
      </c>
      <c r="X4394" s="21">
        <v>0</v>
      </c>
      <c r="Y4394" s="21">
        <v>0</v>
      </c>
      <c r="Z4394" s="21">
        <v>0</v>
      </c>
      <c r="AA4394" s="21">
        <v>0</v>
      </c>
      <c r="AB4394" s="21">
        <v>0</v>
      </c>
      <c r="AC4394" s="21">
        <v>0</v>
      </c>
      <c r="AD4394" s="21">
        <v>0</v>
      </c>
      <c r="AE4394" s="21">
        <v>0</v>
      </c>
      <c r="AF4394">
        <v>0</v>
      </c>
      <c r="AG4394">
        <v>0</v>
      </c>
      <c r="AH4394">
        <v>96</v>
      </c>
      <c r="AJ4394" t="s">
        <v>51</v>
      </c>
      <c r="AK4394" t="s">
        <v>95</v>
      </c>
      <c r="AP4394" t="s">
        <v>951</v>
      </c>
    </row>
    <row r="4395" spans="1:42">
      <c r="A4395" s="16">
        <v>43845</v>
      </c>
      <c r="B4395">
        <v>3</v>
      </c>
      <c r="C4395">
        <v>986</v>
      </c>
      <c r="D4395">
        <v>14637</v>
      </c>
      <c r="E4395" t="s">
        <v>112</v>
      </c>
      <c r="F4395" t="s">
        <v>520</v>
      </c>
      <c r="G4395">
        <v>2</v>
      </c>
      <c r="H4395">
        <v>91</v>
      </c>
      <c r="I4395" s="25">
        <v>2475</v>
      </c>
      <c r="K4395" t="s">
        <v>213</v>
      </c>
      <c r="N4395" t="s">
        <v>44</v>
      </c>
      <c r="O4395">
        <v>65</v>
      </c>
      <c r="Q4395">
        <v>1</v>
      </c>
      <c r="R4395">
        <v>1</v>
      </c>
      <c r="S4395">
        <v>0</v>
      </c>
      <c r="T4395">
        <v>0</v>
      </c>
      <c r="U4395">
        <v>1</v>
      </c>
      <c r="V4395">
        <v>0</v>
      </c>
      <c r="W4395">
        <v>0</v>
      </c>
      <c r="X4395" s="21">
        <v>0</v>
      </c>
      <c r="Y4395" s="21">
        <v>0</v>
      </c>
      <c r="Z4395" s="21">
        <v>0</v>
      </c>
      <c r="AA4395" s="21">
        <v>0</v>
      </c>
      <c r="AB4395" s="21">
        <v>0</v>
      </c>
      <c r="AC4395" s="21">
        <v>0</v>
      </c>
      <c r="AD4395" s="21">
        <v>0</v>
      </c>
      <c r="AE4395" s="21">
        <v>0</v>
      </c>
      <c r="AF4395">
        <v>0</v>
      </c>
      <c r="AG4395">
        <v>0</v>
      </c>
      <c r="AH4395">
        <v>32</v>
      </c>
      <c r="AJ4395" t="s">
        <v>51</v>
      </c>
      <c r="AK4395" t="s">
        <v>95</v>
      </c>
      <c r="AP4395" t="s">
        <v>951</v>
      </c>
    </row>
    <row r="4396" spans="1:42">
      <c r="A4396" s="16">
        <v>43845</v>
      </c>
      <c r="B4396">
        <v>3</v>
      </c>
      <c r="C4396">
        <v>986</v>
      </c>
      <c r="D4396">
        <v>14637</v>
      </c>
      <c r="E4396" t="s">
        <v>112</v>
      </c>
      <c r="F4396" t="s">
        <v>520</v>
      </c>
      <c r="G4396">
        <v>2</v>
      </c>
      <c r="H4396">
        <v>92</v>
      </c>
      <c r="I4396" s="25">
        <v>2451</v>
      </c>
      <c r="K4396" t="s">
        <v>213</v>
      </c>
      <c r="N4396" t="s">
        <v>44</v>
      </c>
      <c r="O4396">
        <v>103</v>
      </c>
      <c r="Q4396">
        <v>2</v>
      </c>
      <c r="R4396">
        <v>1</v>
      </c>
      <c r="S4396">
        <v>0</v>
      </c>
      <c r="T4396">
        <v>0</v>
      </c>
      <c r="U4396">
        <v>0</v>
      </c>
      <c r="V4396">
        <v>0</v>
      </c>
      <c r="W4396">
        <v>2</v>
      </c>
      <c r="X4396" s="21">
        <v>0</v>
      </c>
      <c r="Y4396" s="21">
        <v>0</v>
      </c>
      <c r="Z4396" s="21">
        <v>0</v>
      </c>
      <c r="AA4396" s="21">
        <v>0</v>
      </c>
      <c r="AB4396" s="21">
        <v>0</v>
      </c>
      <c r="AC4396" s="21">
        <v>0</v>
      </c>
      <c r="AD4396" s="21">
        <v>0</v>
      </c>
      <c r="AE4396" s="21">
        <v>0</v>
      </c>
      <c r="AF4396">
        <v>0</v>
      </c>
      <c r="AG4396">
        <v>0</v>
      </c>
      <c r="AH4396">
        <v>192</v>
      </c>
      <c r="AJ4396" t="s">
        <v>51</v>
      </c>
      <c r="AK4396" t="s">
        <v>95</v>
      </c>
      <c r="AL4396" t="s">
        <v>1476</v>
      </c>
      <c r="AP4396" t="s">
        <v>951</v>
      </c>
    </row>
    <row r="4397" spans="1:42">
      <c r="A4397" s="16">
        <v>43845</v>
      </c>
      <c r="B4397">
        <v>3</v>
      </c>
      <c r="C4397">
        <v>986</v>
      </c>
      <c r="D4397">
        <v>14637</v>
      </c>
      <c r="E4397" t="s">
        <v>112</v>
      </c>
      <c r="F4397" t="s">
        <v>520</v>
      </c>
      <c r="G4397">
        <v>2</v>
      </c>
      <c r="H4397">
        <v>93</v>
      </c>
      <c r="I4397" s="25">
        <v>2445</v>
      </c>
      <c r="K4397" t="s">
        <v>213</v>
      </c>
      <c r="N4397" t="s">
        <v>44</v>
      </c>
      <c r="O4397">
        <v>68</v>
      </c>
      <c r="Q4397">
        <v>1</v>
      </c>
      <c r="R4397">
        <v>1</v>
      </c>
      <c r="S4397">
        <v>0</v>
      </c>
      <c r="T4397">
        <v>0</v>
      </c>
      <c r="U4397">
        <v>0</v>
      </c>
      <c r="V4397">
        <v>0</v>
      </c>
      <c r="W4397">
        <v>1</v>
      </c>
      <c r="X4397" s="21">
        <v>0</v>
      </c>
      <c r="Y4397" s="21">
        <v>0</v>
      </c>
      <c r="Z4397" s="21">
        <v>0</v>
      </c>
      <c r="AA4397" s="21">
        <v>0</v>
      </c>
      <c r="AB4397" s="21">
        <v>0</v>
      </c>
      <c r="AC4397" s="21">
        <v>0</v>
      </c>
      <c r="AD4397" s="21">
        <v>0</v>
      </c>
      <c r="AE4397" s="21">
        <v>0</v>
      </c>
      <c r="AF4397">
        <v>0</v>
      </c>
      <c r="AG4397">
        <v>0</v>
      </c>
      <c r="AH4397">
        <v>96</v>
      </c>
      <c r="AJ4397" t="s">
        <v>51</v>
      </c>
      <c r="AK4397" t="s">
        <v>52</v>
      </c>
      <c r="AL4397" t="s">
        <v>1477</v>
      </c>
      <c r="AP4397" t="s">
        <v>951</v>
      </c>
    </row>
    <row r="4398" spans="1:42">
      <c r="A4398" s="16">
        <v>43845</v>
      </c>
      <c r="B4398">
        <v>3</v>
      </c>
      <c r="C4398">
        <v>986</v>
      </c>
      <c r="D4398">
        <v>14637</v>
      </c>
      <c r="E4398" t="s">
        <v>112</v>
      </c>
      <c r="F4398" t="s">
        <v>520</v>
      </c>
      <c r="G4398">
        <v>2</v>
      </c>
      <c r="H4398">
        <v>94</v>
      </c>
      <c r="I4398" s="25">
        <v>2425</v>
      </c>
      <c r="K4398" t="s">
        <v>213</v>
      </c>
      <c r="N4398" t="s">
        <v>44</v>
      </c>
      <c r="O4398">
        <v>57</v>
      </c>
      <c r="Q4398">
        <v>0</v>
      </c>
      <c r="R4398">
        <v>1</v>
      </c>
      <c r="S4398">
        <v>0</v>
      </c>
      <c r="T4398">
        <v>0</v>
      </c>
      <c r="U4398">
        <v>0</v>
      </c>
      <c r="V4398">
        <v>0</v>
      </c>
      <c r="W4398">
        <v>0</v>
      </c>
      <c r="X4398" s="21">
        <v>0</v>
      </c>
      <c r="Y4398" s="21">
        <v>0</v>
      </c>
      <c r="Z4398" s="21">
        <v>0</v>
      </c>
      <c r="AA4398" s="21">
        <v>0</v>
      </c>
      <c r="AB4398" s="21">
        <v>0</v>
      </c>
      <c r="AC4398" s="21">
        <v>0</v>
      </c>
      <c r="AD4398" s="21">
        <v>0</v>
      </c>
      <c r="AE4398" s="21">
        <v>0</v>
      </c>
      <c r="AF4398">
        <v>0</v>
      </c>
      <c r="AG4398">
        <v>0</v>
      </c>
      <c r="AH4398">
        <v>0</v>
      </c>
      <c r="AJ4398" t="s">
        <v>51</v>
      </c>
      <c r="AK4398" t="s">
        <v>95</v>
      </c>
      <c r="AL4398" t="s">
        <v>1478</v>
      </c>
      <c r="AP4398" t="s">
        <v>951</v>
      </c>
    </row>
    <row r="4399" spans="1:42">
      <c r="A4399" s="16">
        <v>43845</v>
      </c>
      <c r="B4399">
        <v>3</v>
      </c>
      <c r="C4399">
        <v>986</v>
      </c>
      <c r="D4399">
        <v>14637</v>
      </c>
      <c r="E4399" t="s">
        <v>112</v>
      </c>
      <c r="F4399" t="s">
        <v>520</v>
      </c>
      <c r="G4399">
        <v>2</v>
      </c>
      <c r="H4399">
        <v>95</v>
      </c>
      <c r="I4399" s="25">
        <v>2400</v>
      </c>
      <c r="K4399" t="s">
        <v>213</v>
      </c>
      <c r="L4399" t="s">
        <v>141</v>
      </c>
      <c r="N4399" t="s">
        <v>40</v>
      </c>
      <c r="O4399">
        <v>49</v>
      </c>
      <c r="Q4399">
        <v>2</v>
      </c>
      <c r="R4399">
        <v>1</v>
      </c>
      <c r="S4399">
        <v>0</v>
      </c>
      <c r="T4399">
        <v>0</v>
      </c>
      <c r="U4399">
        <v>2</v>
      </c>
      <c r="V4399">
        <v>0</v>
      </c>
      <c r="W4399">
        <v>0</v>
      </c>
      <c r="X4399" s="21">
        <v>0</v>
      </c>
      <c r="Y4399" s="21">
        <v>0</v>
      </c>
      <c r="Z4399" s="21">
        <v>0</v>
      </c>
      <c r="AA4399" s="21">
        <v>0</v>
      </c>
      <c r="AB4399" s="21">
        <v>0</v>
      </c>
      <c r="AC4399" s="21">
        <v>0</v>
      </c>
      <c r="AD4399" s="21">
        <v>0</v>
      </c>
      <c r="AE4399" s="21">
        <v>0</v>
      </c>
      <c r="AF4399">
        <v>0</v>
      </c>
      <c r="AG4399">
        <v>0</v>
      </c>
      <c r="AH4399">
        <v>64</v>
      </c>
      <c r="AJ4399" t="s">
        <v>51</v>
      </c>
      <c r="AK4399" t="s">
        <v>95</v>
      </c>
      <c r="AP4399" t="s">
        <v>951</v>
      </c>
    </row>
    <row r="4400" spans="1:42">
      <c r="A4400" s="16">
        <v>43845</v>
      </c>
      <c r="B4400">
        <v>3</v>
      </c>
      <c r="C4400">
        <v>986</v>
      </c>
      <c r="D4400">
        <v>14637</v>
      </c>
      <c r="E4400" t="s">
        <v>112</v>
      </c>
      <c r="F4400" t="s">
        <v>520</v>
      </c>
      <c r="G4400">
        <v>2</v>
      </c>
      <c r="H4400">
        <v>96</v>
      </c>
      <c r="I4400" s="25">
        <v>2400</v>
      </c>
      <c r="K4400" t="s">
        <v>213</v>
      </c>
      <c r="L4400" t="s">
        <v>141</v>
      </c>
      <c r="N4400" t="s">
        <v>40</v>
      </c>
      <c r="O4400">
        <v>46</v>
      </c>
      <c r="Q4400">
        <v>1</v>
      </c>
      <c r="R4400">
        <v>1</v>
      </c>
      <c r="S4400">
        <v>0</v>
      </c>
      <c r="T4400">
        <v>0</v>
      </c>
      <c r="U4400">
        <v>0</v>
      </c>
      <c r="V4400">
        <v>1</v>
      </c>
      <c r="W4400">
        <v>0</v>
      </c>
      <c r="X4400" s="21">
        <v>0</v>
      </c>
      <c r="Y4400" s="21">
        <v>0</v>
      </c>
      <c r="Z4400" s="21">
        <v>0</v>
      </c>
      <c r="AA4400" s="21">
        <v>0</v>
      </c>
      <c r="AB4400" s="21">
        <v>0</v>
      </c>
      <c r="AC4400" s="21">
        <v>0</v>
      </c>
      <c r="AD4400" s="21">
        <v>0</v>
      </c>
      <c r="AE4400" s="21">
        <v>0</v>
      </c>
      <c r="AF4400">
        <v>0</v>
      </c>
      <c r="AG4400">
        <v>0</v>
      </c>
      <c r="AH4400">
        <v>64</v>
      </c>
      <c r="AJ4400" t="s">
        <v>51</v>
      </c>
      <c r="AK4400" t="s">
        <v>95</v>
      </c>
      <c r="AP4400" t="s">
        <v>951</v>
      </c>
    </row>
    <row r="4401" spans="1:42">
      <c r="A4401" s="16">
        <v>43845</v>
      </c>
      <c r="B4401">
        <v>3</v>
      </c>
      <c r="C4401">
        <v>986</v>
      </c>
      <c r="D4401">
        <v>14637</v>
      </c>
      <c r="E4401" t="s">
        <v>112</v>
      </c>
      <c r="F4401" t="s">
        <v>520</v>
      </c>
      <c r="G4401">
        <v>2</v>
      </c>
      <c r="H4401">
        <v>97</v>
      </c>
      <c r="I4401" s="25">
        <v>2300</v>
      </c>
      <c r="K4401" t="s">
        <v>909</v>
      </c>
      <c r="L4401" t="s">
        <v>141</v>
      </c>
      <c r="N4401" t="s">
        <v>40</v>
      </c>
      <c r="O4401">
        <v>56</v>
      </c>
      <c r="Q4401">
        <v>1</v>
      </c>
      <c r="R4401">
        <v>1</v>
      </c>
      <c r="S4401">
        <v>0</v>
      </c>
      <c r="T4401">
        <v>0</v>
      </c>
      <c r="U4401">
        <v>0</v>
      </c>
      <c r="V4401">
        <v>0</v>
      </c>
      <c r="W4401">
        <v>1</v>
      </c>
      <c r="X4401" s="21">
        <v>0</v>
      </c>
      <c r="Y4401" s="21">
        <v>0</v>
      </c>
      <c r="Z4401" s="21">
        <v>0</v>
      </c>
      <c r="AA4401" s="21">
        <v>0</v>
      </c>
      <c r="AB4401" s="21">
        <v>0</v>
      </c>
      <c r="AC4401" s="21">
        <v>0</v>
      </c>
      <c r="AD4401" s="21">
        <v>0</v>
      </c>
      <c r="AE4401" s="21">
        <v>0</v>
      </c>
      <c r="AF4401">
        <v>0</v>
      </c>
      <c r="AG4401">
        <v>0</v>
      </c>
      <c r="AH4401">
        <v>96</v>
      </c>
      <c r="AJ4401" t="s">
        <v>51</v>
      </c>
      <c r="AK4401" t="s">
        <v>95</v>
      </c>
      <c r="AP4401" t="s">
        <v>951</v>
      </c>
    </row>
    <row r="4402" spans="1:42">
      <c r="A4402" s="16">
        <v>43845</v>
      </c>
      <c r="B4402">
        <v>3</v>
      </c>
      <c r="C4402">
        <v>986</v>
      </c>
      <c r="D4402">
        <v>14637</v>
      </c>
      <c r="E4402" t="s">
        <v>112</v>
      </c>
      <c r="F4402" t="s">
        <v>520</v>
      </c>
      <c r="G4402">
        <v>2</v>
      </c>
      <c r="H4402">
        <v>98</v>
      </c>
      <c r="I4402" s="25">
        <v>2300</v>
      </c>
      <c r="K4402" t="s">
        <v>909</v>
      </c>
      <c r="L4402" t="s">
        <v>141</v>
      </c>
      <c r="N4402" t="s">
        <v>40</v>
      </c>
      <c r="O4402">
        <v>48</v>
      </c>
      <c r="Q4402">
        <v>2</v>
      </c>
      <c r="R4402">
        <v>1</v>
      </c>
      <c r="S4402">
        <v>0</v>
      </c>
      <c r="T4402">
        <v>0</v>
      </c>
      <c r="U4402">
        <v>0</v>
      </c>
      <c r="V4402">
        <v>1</v>
      </c>
      <c r="W4402">
        <v>1</v>
      </c>
      <c r="X4402" s="21">
        <v>0</v>
      </c>
      <c r="Y4402" s="21">
        <v>0</v>
      </c>
      <c r="Z4402" s="21">
        <v>0</v>
      </c>
      <c r="AA4402" s="21">
        <v>0</v>
      </c>
      <c r="AB4402" s="21">
        <v>0</v>
      </c>
      <c r="AC4402" s="21">
        <v>0</v>
      </c>
      <c r="AD4402" s="21">
        <v>0</v>
      </c>
      <c r="AE4402" s="21">
        <v>0</v>
      </c>
      <c r="AF4402">
        <v>0</v>
      </c>
      <c r="AG4402">
        <v>0</v>
      </c>
      <c r="AH4402">
        <v>160</v>
      </c>
      <c r="AJ4402" t="s">
        <v>51</v>
      </c>
      <c r="AK4402" t="s">
        <v>95</v>
      </c>
      <c r="AP4402" t="s">
        <v>951</v>
      </c>
    </row>
    <row r="4403" spans="1:42">
      <c r="A4403" s="16">
        <v>43845</v>
      </c>
      <c r="B4403">
        <v>3</v>
      </c>
      <c r="C4403">
        <v>986</v>
      </c>
      <c r="D4403">
        <v>14637</v>
      </c>
      <c r="E4403" t="s">
        <v>112</v>
      </c>
      <c r="F4403" t="s">
        <v>520</v>
      </c>
      <c r="G4403">
        <v>2</v>
      </c>
      <c r="H4403">
        <v>99</v>
      </c>
      <c r="I4403" s="25">
        <v>2300</v>
      </c>
      <c r="K4403" t="s">
        <v>909</v>
      </c>
      <c r="L4403" t="s">
        <v>114</v>
      </c>
      <c r="N4403" t="s">
        <v>40</v>
      </c>
      <c r="O4403">
        <v>64</v>
      </c>
      <c r="Q4403">
        <v>1</v>
      </c>
      <c r="R4403">
        <v>1</v>
      </c>
      <c r="S4403">
        <v>0</v>
      </c>
      <c r="T4403">
        <v>0</v>
      </c>
      <c r="U4403">
        <v>0</v>
      </c>
      <c r="V4403">
        <v>0</v>
      </c>
      <c r="W4403">
        <v>1</v>
      </c>
      <c r="X4403" s="21">
        <v>0</v>
      </c>
      <c r="Y4403" s="21">
        <v>0</v>
      </c>
      <c r="Z4403" s="21">
        <v>0</v>
      </c>
      <c r="AA4403" s="21">
        <v>0</v>
      </c>
      <c r="AB4403" s="21">
        <v>0</v>
      </c>
      <c r="AC4403" s="21">
        <v>0</v>
      </c>
      <c r="AD4403" s="21">
        <v>0</v>
      </c>
      <c r="AE4403" s="21">
        <v>0</v>
      </c>
      <c r="AF4403">
        <v>0</v>
      </c>
      <c r="AG4403">
        <v>0</v>
      </c>
      <c r="AH4403">
        <v>96</v>
      </c>
      <c r="AJ4403" t="s">
        <v>51</v>
      </c>
      <c r="AK4403" t="s">
        <v>95</v>
      </c>
      <c r="AP4403" t="s">
        <v>951</v>
      </c>
    </row>
    <row r="4404" spans="1:42">
      <c r="A4404" s="16">
        <v>43845</v>
      </c>
      <c r="B4404">
        <v>3</v>
      </c>
      <c r="C4404">
        <v>986</v>
      </c>
      <c r="D4404">
        <v>14637</v>
      </c>
      <c r="E4404" t="s">
        <v>112</v>
      </c>
      <c r="F4404" t="s">
        <v>520</v>
      </c>
      <c r="G4404">
        <v>2</v>
      </c>
      <c r="H4404">
        <v>100</v>
      </c>
      <c r="I4404" s="25">
        <v>2400</v>
      </c>
      <c r="K4404" t="s">
        <v>909</v>
      </c>
      <c r="L4404" t="s">
        <v>114</v>
      </c>
      <c r="N4404" t="s">
        <v>40</v>
      </c>
      <c r="O4404">
        <v>82</v>
      </c>
      <c r="Q4404">
        <v>3</v>
      </c>
      <c r="R4404">
        <v>1</v>
      </c>
      <c r="S4404">
        <v>0</v>
      </c>
      <c r="T4404">
        <v>0</v>
      </c>
      <c r="U4404">
        <v>0</v>
      </c>
      <c r="V4404">
        <v>1</v>
      </c>
      <c r="W4404">
        <v>1</v>
      </c>
      <c r="X4404" s="21">
        <v>0</v>
      </c>
      <c r="Y4404" s="21">
        <v>0</v>
      </c>
      <c r="Z4404" s="21">
        <v>0</v>
      </c>
      <c r="AA4404" s="21">
        <v>0</v>
      </c>
      <c r="AB4404" s="21">
        <v>0</v>
      </c>
      <c r="AC4404" s="21">
        <v>0</v>
      </c>
      <c r="AD4404" s="21">
        <v>0</v>
      </c>
      <c r="AE4404" s="21">
        <v>0</v>
      </c>
      <c r="AF4404">
        <v>0</v>
      </c>
      <c r="AG4404">
        <v>1</v>
      </c>
      <c r="AH4404">
        <v>160</v>
      </c>
      <c r="AJ4404" t="s">
        <v>51</v>
      </c>
      <c r="AK4404" t="s">
        <v>95</v>
      </c>
      <c r="AP4404" t="s">
        <v>951</v>
      </c>
    </row>
    <row r="4405" spans="1:42">
      <c r="A4405" s="16">
        <v>43845</v>
      </c>
      <c r="B4405">
        <v>3</v>
      </c>
      <c r="C4405">
        <v>986</v>
      </c>
      <c r="D4405">
        <v>14637</v>
      </c>
      <c r="E4405" t="s">
        <v>112</v>
      </c>
      <c r="F4405" t="s">
        <v>520</v>
      </c>
      <c r="G4405">
        <v>2</v>
      </c>
      <c r="H4405">
        <v>101</v>
      </c>
      <c r="I4405" s="25">
        <v>2300</v>
      </c>
      <c r="K4405" t="s">
        <v>599</v>
      </c>
      <c r="N4405" t="s">
        <v>44</v>
      </c>
      <c r="O4405">
        <v>198</v>
      </c>
      <c r="Q4405">
        <v>4</v>
      </c>
      <c r="R4405">
        <v>1</v>
      </c>
      <c r="S4405">
        <v>0</v>
      </c>
      <c r="T4405">
        <v>0</v>
      </c>
      <c r="U4405">
        <v>0</v>
      </c>
      <c r="V4405">
        <v>0</v>
      </c>
      <c r="W4405">
        <v>4</v>
      </c>
      <c r="X4405" s="21">
        <v>0</v>
      </c>
      <c r="Y4405" s="21">
        <v>0</v>
      </c>
      <c r="Z4405" s="21">
        <v>0</v>
      </c>
      <c r="AA4405" s="21">
        <v>0</v>
      </c>
      <c r="AB4405" s="21">
        <v>0</v>
      </c>
      <c r="AC4405" s="21">
        <v>0</v>
      </c>
      <c r="AD4405" s="21">
        <v>0</v>
      </c>
      <c r="AE4405" s="21">
        <v>0</v>
      </c>
      <c r="AF4405">
        <v>0</v>
      </c>
      <c r="AG4405">
        <v>0</v>
      </c>
      <c r="AH4405">
        <v>384</v>
      </c>
      <c r="AJ4405" t="s">
        <v>51</v>
      </c>
      <c r="AK4405" t="s">
        <v>95</v>
      </c>
      <c r="AP4405" t="s">
        <v>951</v>
      </c>
    </row>
    <row r="4406" spans="1:42">
      <c r="A4406" s="16">
        <v>43845</v>
      </c>
      <c r="B4406">
        <v>3</v>
      </c>
      <c r="C4406">
        <v>986</v>
      </c>
      <c r="D4406">
        <v>14637</v>
      </c>
      <c r="E4406" t="s">
        <v>112</v>
      </c>
      <c r="F4406" t="s">
        <v>520</v>
      </c>
      <c r="G4406">
        <v>2</v>
      </c>
      <c r="H4406">
        <v>102</v>
      </c>
      <c r="I4406" s="25">
        <v>2396</v>
      </c>
      <c r="K4406" t="s">
        <v>599</v>
      </c>
      <c r="N4406" t="s">
        <v>44</v>
      </c>
      <c r="O4406">
        <v>61</v>
      </c>
      <c r="Q4406">
        <v>1</v>
      </c>
      <c r="R4406">
        <v>1</v>
      </c>
      <c r="S4406">
        <v>0</v>
      </c>
      <c r="T4406">
        <v>0</v>
      </c>
      <c r="U4406">
        <v>0</v>
      </c>
      <c r="V4406">
        <v>0</v>
      </c>
      <c r="W4406">
        <v>1</v>
      </c>
      <c r="X4406" s="21">
        <v>0</v>
      </c>
      <c r="Y4406" s="21">
        <v>0</v>
      </c>
      <c r="Z4406" s="21">
        <v>0</v>
      </c>
      <c r="AA4406" s="21">
        <v>0</v>
      </c>
      <c r="AB4406" s="21">
        <v>0</v>
      </c>
      <c r="AC4406" s="21">
        <v>0</v>
      </c>
      <c r="AD4406" s="21">
        <v>0</v>
      </c>
      <c r="AE4406" s="21">
        <v>0</v>
      </c>
      <c r="AF4406">
        <v>0</v>
      </c>
      <c r="AG4406">
        <v>0</v>
      </c>
      <c r="AH4406">
        <v>96</v>
      </c>
      <c r="AJ4406" t="s">
        <v>51</v>
      </c>
      <c r="AK4406" t="s">
        <v>95</v>
      </c>
      <c r="AP4406" t="s">
        <v>951</v>
      </c>
    </row>
    <row r="4407" spans="1:42">
      <c r="A4407" s="16">
        <v>43845</v>
      </c>
      <c r="B4407">
        <v>3</v>
      </c>
      <c r="C4407">
        <v>986</v>
      </c>
      <c r="D4407">
        <v>14637</v>
      </c>
      <c r="E4407" t="s">
        <v>112</v>
      </c>
      <c r="F4407" t="s">
        <v>520</v>
      </c>
      <c r="G4407">
        <v>2</v>
      </c>
      <c r="H4407">
        <v>103</v>
      </c>
      <c r="I4407" s="25">
        <v>2100</v>
      </c>
      <c r="K4407" t="s">
        <v>596</v>
      </c>
      <c r="N4407" t="s">
        <v>40</v>
      </c>
      <c r="O4407">
        <v>40</v>
      </c>
      <c r="Q4407">
        <v>1</v>
      </c>
      <c r="R4407">
        <v>1</v>
      </c>
      <c r="S4407">
        <v>0</v>
      </c>
      <c r="T4407">
        <v>0</v>
      </c>
      <c r="U4407">
        <v>0</v>
      </c>
      <c r="V4407">
        <v>0</v>
      </c>
      <c r="W4407">
        <v>1</v>
      </c>
      <c r="X4407" s="21">
        <v>0</v>
      </c>
      <c r="Y4407" s="21">
        <v>0</v>
      </c>
      <c r="Z4407" s="21">
        <v>0</v>
      </c>
      <c r="AA4407" s="21">
        <v>0</v>
      </c>
      <c r="AB4407" s="21">
        <v>0</v>
      </c>
      <c r="AC4407" s="21">
        <v>0</v>
      </c>
      <c r="AD4407" s="21">
        <v>0</v>
      </c>
      <c r="AE4407" s="21">
        <v>0</v>
      </c>
      <c r="AF4407">
        <v>0</v>
      </c>
      <c r="AG4407">
        <v>0</v>
      </c>
      <c r="AH4407">
        <v>96</v>
      </c>
      <c r="AJ4407" t="s">
        <v>51</v>
      </c>
      <c r="AK4407" t="s">
        <v>95</v>
      </c>
      <c r="AP4407" t="s">
        <v>951</v>
      </c>
    </row>
    <row r="4408" spans="1:42">
      <c r="A4408" s="16">
        <v>43845</v>
      </c>
      <c r="B4408">
        <v>3</v>
      </c>
      <c r="C4408">
        <v>986</v>
      </c>
      <c r="D4408">
        <v>14637</v>
      </c>
      <c r="E4408" t="s">
        <v>112</v>
      </c>
      <c r="F4408" t="s">
        <v>520</v>
      </c>
      <c r="G4408">
        <v>2</v>
      </c>
      <c r="H4408">
        <v>104</v>
      </c>
      <c r="I4408" s="25">
        <v>2300</v>
      </c>
      <c r="K4408" t="s">
        <v>596</v>
      </c>
      <c r="N4408" t="s">
        <v>40</v>
      </c>
      <c r="O4408">
        <v>67</v>
      </c>
      <c r="Q4408">
        <v>2</v>
      </c>
      <c r="R4408">
        <v>1</v>
      </c>
      <c r="S4408">
        <v>0</v>
      </c>
      <c r="T4408">
        <v>0</v>
      </c>
      <c r="U4408">
        <v>0</v>
      </c>
      <c r="V4408">
        <v>0</v>
      </c>
      <c r="W4408">
        <v>2</v>
      </c>
      <c r="X4408" s="21">
        <v>0</v>
      </c>
      <c r="Y4408" s="21">
        <v>0</v>
      </c>
      <c r="Z4408" s="21">
        <v>0</v>
      </c>
      <c r="AA4408" s="21">
        <v>0</v>
      </c>
      <c r="AB4408" s="21">
        <v>0</v>
      </c>
      <c r="AC4408" s="21">
        <v>0</v>
      </c>
      <c r="AD4408" s="21">
        <v>0</v>
      </c>
      <c r="AE4408" s="21">
        <v>0</v>
      </c>
      <c r="AF4408">
        <v>0</v>
      </c>
      <c r="AG4408">
        <v>0</v>
      </c>
      <c r="AH4408">
        <v>192</v>
      </c>
      <c r="AJ4408" t="s">
        <v>51</v>
      </c>
      <c r="AK4408" t="s">
        <v>52</v>
      </c>
      <c r="AL4408" t="s">
        <v>1404</v>
      </c>
      <c r="AP4408" t="s">
        <v>951</v>
      </c>
    </row>
    <row r="4409" spans="1:42">
      <c r="A4409" s="16">
        <v>43845</v>
      </c>
      <c r="B4409">
        <v>3</v>
      </c>
      <c r="C4409">
        <v>986</v>
      </c>
      <c r="D4409">
        <v>14637</v>
      </c>
      <c r="E4409" t="s">
        <v>112</v>
      </c>
      <c r="F4409" t="s">
        <v>520</v>
      </c>
      <c r="G4409">
        <v>2</v>
      </c>
      <c r="H4409">
        <v>105</v>
      </c>
      <c r="I4409" s="25">
        <v>2360</v>
      </c>
      <c r="K4409" t="s">
        <v>605</v>
      </c>
      <c r="N4409" t="s">
        <v>44</v>
      </c>
      <c r="O4409">
        <v>111</v>
      </c>
      <c r="Q4409">
        <v>2</v>
      </c>
      <c r="R4409">
        <v>1</v>
      </c>
      <c r="S4409">
        <v>0</v>
      </c>
      <c r="T4409">
        <v>0</v>
      </c>
      <c r="U4409">
        <v>0</v>
      </c>
      <c r="V4409">
        <v>0</v>
      </c>
      <c r="W4409">
        <v>2</v>
      </c>
      <c r="X4409" s="21">
        <v>0</v>
      </c>
      <c r="Y4409" s="21">
        <v>0</v>
      </c>
      <c r="Z4409" s="21">
        <v>0</v>
      </c>
      <c r="AA4409" s="21">
        <v>0</v>
      </c>
      <c r="AB4409" s="21">
        <v>0</v>
      </c>
      <c r="AC4409" s="21">
        <v>0</v>
      </c>
      <c r="AD4409" s="21">
        <v>0</v>
      </c>
      <c r="AE4409" s="21">
        <v>0</v>
      </c>
      <c r="AF4409">
        <v>0</v>
      </c>
      <c r="AG4409">
        <v>0</v>
      </c>
      <c r="AH4409">
        <v>192</v>
      </c>
      <c r="AJ4409" t="s">
        <v>51</v>
      </c>
      <c r="AK4409" t="s">
        <v>95</v>
      </c>
      <c r="AL4409" t="s">
        <v>1479</v>
      </c>
      <c r="AP4409" t="s">
        <v>951</v>
      </c>
    </row>
    <row r="4410" spans="1:42">
      <c r="A4410" s="16">
        <v>43845</v>
      </c>
      <c r="B4410">
        <v>3</v>
      </c>
      <c r="C4410">
        <v>986</v>
      </c>
      <c r="D4410">
        <v>14637</v>
      </c>
      <c r="E4410" t="s">
        <v>112</v>
      </c>
      <c r="F4410" t="s">
        <v>520</v>
      </c>
      <c r="G4410">
        <v>2</v>
      </c>
      <c r="H4410">
        <v>106</v>
      </c>
      <c r="I4410" s="25">
        <v>2526</v>
      </c>
      <c r="K4410" t="s">
        <v>185</v>
      </c>
      <c r="N4410" t="s">
        <v>44</v>
      </c>
      <c r="O4410">
        <v>75</v>
      </c>
      <c r="Q4410">
        <v>3</v>
      </c>
      <c r="R4410">
        <v>1</v>
      </c>
      <c r="S4410">
        <v>0</v>
      </c>
      <c r="T4410">
        <v>0</v>
      </c>
      <c r="U4410">
        <v>0</v>
      </c>
      <c r="V4410">
        <v>2</v>
      </c>
      <c r="W4410">
        <v>1</v>
      </c>
      <c r="X4410" s="21">
        <v>0</v>
      </c>
      <c r="Y4410" s="21">
        <v>0</v>
      </c>
      <c r="Z4410" s="21">
        <v>0</v>
      </c>
      <c r="AA4410" s="21">
        <v>0</v>
      </c>
      <c r="AB4410" s="21">
        <v>0</v>
      </c>
      <c r="AC4410" s="21">
        <v>0</v>
      </c>
      <c r="AD4410" s="21">
        <v>0</v>
      </c>
      <c r="AE4410" s="21">
        <v>0</v>
      </c>
      <c r="AF4410">
        <v>0</v>
      </c>
      <c r="AG4410">
        <v>0</v>
      </c>
      <c r="AH4410">
        <v>224</v>
      </c>
      <c r="AJ4410" t="s">
        <v>54</v>
      </c>
      <c r="AK4410" t="s">
        <v>95</v>
      </c>
      <c r="AP4410" t="s">
        <v>951</v>
      </c>
    </row>
    <row r="4411" spans="1:42">
      <c r="A4411" s="16">
        <v>43845</v>
      </c>
      <c r="B4411">
        <v>3</v>
      </c>
      <c r="C4411">
        <v>986</v>
      </c>
      <c r="D4411">
        <v>14637</v>
      </c>
      <c r="E4411" t="s">
        <v>112</v>
      </c>
      <c r="F4411" t="s">
        <v>520</v>
      </c>
      <c r="G4411">
        <v>2</v>
      </c>
      <c r="H4411">
        <v>107</v>
      </c>
      <c r="I4411" s="25">
        <v>2700</v>
      </c>
      <c r="K4411" t="s">
        <v>192</v>
      </c>
      <c r="L4411" t="s">
        <v>11</v>
      </c>
      <c r="M4411" t="s">
        <v>95</v>
      </c>
      <c r="N4411" t="s">
        <v>40</v>
      </c>
      <c r="O4411">
        <v>75</v>
      </c>
      <c r="Q4411">
        <v>2</v>
      </c>
      <c r="R4411">
        <v>1</v>
      </c>
      <c r="S4411">
        <v>0</v>
      </c>
      <c r="T4411">
        <v>0</v>
      </c>
      <c r="U4411">
        <v>0</v>
      </c>
      <c r="V4411">
        <v>1</v>
      </c>
      <c r="W4411">
        <v>1</v>
      </c>
      <c r="X4411" s="21">
        <v>0</v>
      </c>
      <c r="Y4411" s="21">
        <v>0</v>
      </c>
      <c r="Z4411" s="21">
        <v>0</v>
      </c>
      <c r="AA4411" s="21">
        <v>0</v>
      </c>
      <c r="AB4411" s="21">
        <v>0</v>
      </c>
      <c r="AC4411" s="21">
        <v>0</v>
      </c>
      <c r="AD4411" s="21">
        <v>0</v>
      </c>
      <c r="AE4411" s="21">
        <v>0</v>
      </c>
      <c r="AF4411">
        <v>0</v>
      </c>
      <c r="AG4411">
        <v>0</v>
      </c>
      <c r="AH4411">
        <v>160</v>
      </c>
      <c r="AJ4411" t="s">
        <v>54</v>
      </c>
      <c r="AK4411" t="s">
        <v>95</v>
      </c>
      <c r="AP4411" t="s">
        <v>951</v>
      </c>
    </row>
    <row r="4412" spans="1:42">
      <c r="A4412" s="16">
        <v>43845</v>
      </c>
      <c r="B4412">
        <v>3</v>
      </c>
      <c r="C4412">
        <v>986</v>
      </c>
      <c r="D4412">
        <v>14637</v>
      </c>
      <c r="E4412" t="s">
        <v>112</v>
      </c>
      <c r="F4412" t="s">
        <v>520</v>
      </c>
      <c r="G4412">
        <v>2</v>
      </c>
      <c r="H4412">
        <v>108</v>
      </c>
      <c r="I4412" s="25">
        <v>2736</v>
      </c>
      <c r="K4412" t="s">
        <v>192</v>
      </c>
      <c r="L4412" t="s">
        <v>11</v>
      </c>
      <c r="M4412" t="s">
        <v>95</v>
      </c>
      <c r="N4412" t="s">
        <v>40</v>
      </c>
      <c r="O4412">
        <v>73</v>
      </c>
      <c r="Q4412">
        <v>2</v>
      </c>
      <c r="R4412">
        <v>1</v>
      </c>
      <c r="S4412">
        <v>0</v>
      </c>
      <c r="T4412">
        <v>0</v>
      </c>
      <c r="U4412">
        <v>1</v>
      </c>
      <c r="V4412">
        <v>1</v>
      </c>
      <c r="W4412">
        <v>0</v>
      </c>
      <c r="X4412" s="21">
        <v>0</v>
      </c>
      <c r="Y4412" s="21">
        <v>0</v>
      </c>
      <c r="Z4412" s="21">
        <v>0</v>
      </c>
      <c r="AA4412" s="21">
        <v>0</v>
      </c>
      <c r="AB4412" s="21">
        <v>0</v>
      </c>
      <c r="AC4412" s="21">
        <v>0</v>
      </c>
      <c r="AD4412" s="21">
        <v>0</v>
      </c>
      <c r="AE4412" s="21">
        <v>0</v>
      </c>
      <c r="AF4412">
        <v>0</v>
      </c>
      <c r="AG4412">
        <v>0</v>
      </c>
      <c r="AH4412">
        <v>96</v>
      </c>
      <c r="AJ4412" t="s">
        <v>54</v>
      </c>
      <c r="AK4412" t="s">
        <v>95</v>
      </c>
      <c r="AP4412" t="s">
        <v>951</v>
      </c>
    </row>
    <row r="4413" spans="1:42">
      <c r="A4413" s="16">
        <v>43845</v>
      </c>
      <c r="B4413">
        <v>3</v>
      </c>
      <c r="C4413">
        <v>986</v>
      </c>
      <c r="D4413">
        <v>14637</v>
      </c>
      <c r="E4413" t="s">
        <v>112</v>
      </c>
      <c r="F4413" t="s">
        <v>520</v>
      </c>
      <c r="G4413">
        <v>2</v>
      </c>
      <c r="H4413">
        <v>109</v>
      </c>
      <c r="I4413" s="25">
        <v>2700</v>
      </c>
      <c r="K4413" t="s">
        <v>192</v>
      </c>
      <c r="L4413" t="s">
        <v>11</v>
      </c>
      <c r="M4413" t="s">
        <v>95</v>
      </c>
      <c r="N4413" t="s">
        <v>40</v>
      </c>
      <c r="O4413">
        <v>70</v>
      </c>
      <c r="Q4413">
        <v>2</v>
      </c>
      <c r="R4413">
        <v>1</v>
      </c>
      <c r="S4413">
        <v>0</v>
      </c>
      <c r="T4413">
        <v>0</v>
      </c>
      <c r="U4413">
        <v>1</v>
      </c>
      <c r="V4413">
        <v>1</v>
      </c>
      <c r="W4413">
        <v>0</v>
      </c>
      <c r="X4413" s="21">
        <v>0</v>
      </c>
      <c r="Y4413" s="21">
        <v>0</v>
      </c>
      <c r="Z4413" s="21">
        <v>0</v>
      </c>
      <c r="AA4413" s="21">
        <v>0</v>
      </c>
      <c r="AB4413" s="21">
        <v>0</v>
      </c>
      <c r="AC4413" s="21">
        <v>0</v>
      </c>
      <c r="AD4413" s="21">
        <v>0</v>
      </c>
      <c r="AE4413" s="21">
        <v>0</v>
      </c>
      <c r="AF4413">
        <v>0</v>
      </c>
      <c r="AG4413">
        <v>0</v>
      </c>
      <c r="AH4413">
        <v>96</v>
      </c>
      <c r="AJ4413" t="s">
        <v>54</v>
      </c>
      <c r="AK4413" t="s">
        <v>52</v>
      </c>
      <c r="AP4413" t="s">
        <v>951</v>
      </c>
    </row>
    <row r="4414" spans="1:42">
      <c r="A4414" s="16">
        <v>43845</v>
      </c>
      <c r="B4414">
        <v>3</v>
      </c>
      <c r="C4414">
        <v>986</v>
      </c>
      <c r="D4414">
        <v>14637</v>
      </c>
      <c r="E4414" t="s">
        <v>112</v>
      </c>
      <c r="F4414" t="s">
        <v>520</v>
      </c>
      <c r="G4414">
        <v>2</v>
      </c>
      <c r="H4414">
        <v>110</v>
      </c>
      <c r="I4414" s="25">
        <v>2800</v>
      </c>
      <c r="K4414" t="s">
        <v>192</v>
      </c>
      <c r="L4414" t="s">
        <v>141</v>
      </c>
      <c r="N4414" t="s">
        <v>40</v>
      </c>
      <c r="O4414">
        <v>41</v>
      </c>
      <c r="Q4414">
        <v>1</v>
      </c>
      <c r="R4414">
        <v>1</v>
      </c>
      <c r="S4414">
        <v>0</v>
      </c>
      <c r="T4414">
        <v>0</v>
      </c>
      <c r="U4414">
        <v>0</v>
      </c>
      <c r="V4414">
        <v>1</v>
      </c>
      <c r="W4414">
        <v>0</v>
      </c>
      <c r="X4414" s="21">
        <v>0</v>
      </c>
      <c r="Y4414" s="21">
        <v>0</v>
      </c>
      <c r="Z4414" s="21">
        <v>0</v>
      </c>
      <c r="AA4414" s="21">
        <v>0</v>
      </c>
      <c r="AB4414" s="21">
        <v>0</v>
      </c>
      <c r="AC4414" s="21">
        <v>0</v>
      </c>
      <c r="AD4414" s="21">
        <v>0</v>
      </c>
      <c r="AE4414" s="21">
        <v>0</v>
      </c>
      <c r="AF4414">
        <v>0</v>
      </c>
      <c r="AG4414">
        <v>0</v>
      </c>
      <c r="AH4414">
        <v>64</v>
      </c>
      <c r="AJ4414" t="s">
        <v>51</v>
      </c>
      <c r="AK4414" t="s">
        <v>95</v>
      </c>
      <c r="AP4414" t="s">
        <v>951</v>
      </c>
    </row>
    <row r="4415" spans="1:42">
      <c r="A4415" s="16">
        <v>43845</v>
      </c>
      <c r="B4415">
        <v>3</v>
      </c>
      <c r="C4415">
        <v>986</v>
      </c>
      <c r="D4415">
        <v>14637</v>
      </c>
      <c r="E4415" t="s">
        <v>112</v>
      </c>
      <c r="F4415" t="s">
        <v>520</v>
      </c>
      <c r="G4415">
        <v>2</v>
      </c>
      <c r="H4415">
        <v>111</v>
      </c>
      <c r="I4415" s="25">
        <v>2800</v>
      </c>
      <c r="K4415" t="s">
        <v>192</v>
      </c>
      <c r="L4415" t="s">
        <v>114</v>
      </c>
      <c r="N4415" t="s">
        <v>40</v>
      </c>
      <c r="O4415">
        <v>166</v>
      </c>
      <c r="Q4415">
        <v>5</v>
      </c>
      <c r="R4415">
        <v>1</v>
      </c>
      <c r="S4415">
        <v>0</v>
      </c>
      <c r="T4415">
        <v>0</v>
      </c>
      <c r="U4415">
        <v>0</v>
      </c>
      <c r="V4415">
        <v>2</v>
      </c>
      <c r="W4415">
        <v>3</v>
      </c>
      <c r="X4415" s="21">
        <v>0</v>
      </c>
      <c r="Y4415" s="21">
        <v>0</v>
      </c>
      <c r="Z4415" s="21">
        <v>0</v>
      </c>
      <c r="AA4415" s="21">
        <v>0</v>
      </c>
      <c r="AB4415" s="21">
        <v>0</v>
      </c>
      <c r="AC4415" s="21">
        <v>0</v>
      </c>
      <c r="AD4415" s="21">
        <v>0</v>
      </c>
      <c r="AE4415" s="21">
        <v>0</v>
      </c>
      <c r="AF4415">
        <v>0</v>
      </c>
      <c r="AG4415">
        <v>0</v>
      </c>
      <c r="AH4415">
        <v>416</v>
      </c>
      <c r="AJ4415" t="s">
        <v>51</v>
      </c>
      <c r="AK4415" t="s">
        <v>95</v>
      </c>
      <c r="AP4415" t="s">
        <v>951</v>
      </c>
    </row>
    <row r="4416" spans="1:42">
      <c r="A4416" s="16">
        <v>43845</v>
      </c>
      <c r="B4416">
        <v>3</v>
      </c>
      <c r="C4416">
        <v>986</v>
      </c>
      <c r="D4416">
        <v>14637</v>
      </c>
      <c r="E4416" t="s">
        <v>112</v>
      </c>
      <c r="F4416" t="s">
        <v>520</v>
      </c>
      <c r="G4416">
        <v>2</v>
      </c>
      <c r="H4416">
        <v>112</v>
      </c>
      <c r="I4416" s="25">
        <v>2860</v>
      </c>
      <c r="K4416" t="s">
        <v>192</v>
      </c>
      <c r="L4416" t="s">
        <v>114</v>
      </c>
      <c r="N4416" t="s">
        <v>40</v>
      </c>
      <c r="O4416">
        <v>59</v>
      </c>
      <c r="Q4416">
        <v>3</v>
      </c>
      <c r="R4416">
        <v>1</v>
      </c>
      <c r="S4416">
        <v>0</v>
      </c>
      <c r="T4416">
        <v>0</v>
      </c>
      <c r="U4416">
        <v>0</v>
      </c>
      <c r="V4416">
        <v>2</v>
      </c>
      <c r="W4416">
        <v>1</v>
      </c>
      <c r="X4416" s="21">
        <v>0</v>
      </c>
      <c r="Y4416" s="21">
        <v>0</v>
      </c>
      <c r="Z4416" s="21">
        <v>0</v>
      </c>
      <c r="AA4416" s="21">
        <v>0</v>
      </c>
      <c r="AB4416" s="21">
        <v>0</v>
      </c>
      <c r="AC4416" s="21">
        <v>0</v>
      </c>
      <c r="AD4416" s="21">
        <v>0</v>
      </c>
      <c r="AE4416" s="21">
        <v>0</v>
      </c>
      <c r="AF4416">
        <v>0</v>
      </c>
      <c r="AG4416">
        <v>0</v>
      </c>
      <c r="AH4416">
        <v>224</v>
      </c>
      <c r="AJ4416" t="s">
        <v>51</v>
      </c>
      <c r="AK4416" t="s">
        <v>95</v>
      </c>
      <c r="AP4416" t="s">
        <v>951</v>
      </c>
    </row>
    <row r="4417" spans="1:42">
      <c r="A4417" s="16">
        <v>43845</v>
      </c>
      <c r="B4417">
        <v>3</v>
      </c>
      <c r="C4417">
        <v>986</v>
      </c>
      <c r="D4417">
        <v>14637</v>
      </c>
      <c r="E4417" t="s">
        <v>112</v>
      </c>
      <c r="F4417" t="s">
        <v>520</v>
      </c>
      <c r="G4417">
        <v>2</v>
      </c>
      <c r="H4417">
        <v>113</v>
      </c>
      <c r="I4417" s="25">
        <v>2900</v>
      </c>
      <c r="K4417" t="s">
        <v>192</v>
      </c>
      <c r="L4417" t="s">
        <v>141</v>
      </c>
      <c r="N4417" t="s">
        <v>40</v>
      </c>
      <c r="O4417">
        <v>42</v>
      </c>
      <c r="Q4417">
        <v>1</v>
      </c>
      <c r="R4417">
        <v>1</v>
      </c>
      <c r="S4417">
        <v>0</v>
      </c>
      <c r="T4417">
        <v>0</v>
      </c>
      <c r="U4417">
        <v>0</v>
      </c>
      <c r="V4417">
        <v>0</v>
      </c>
      <c r="W4417">
        <v>1</v>
      </c>
      <c r="X4417" s="21">
        <v>0</v>
      </c>
      <c r="Y4417" s="21">
        <v>0</v>
      </c>
      <c r="Z4417" s="21">
        <v>0</v>
      </c>
      <c r="AA4417" s="21">
        <v>0</v>
      </c>
      <c r="AB4417" s="21">
        <v>0</v>
      </c>
      <c r="AC4417" s="21">
        <v>0</v>
      </c>
      <c r="AD4417" s="21">
        <v>0</v>
      </c>
      <c r="AE4417" s="21">
        <v>0</v>
      </c>
      <c r="AF4417">
        <v>0</v>
      </c>
      <c r="AG4417">
        <v>0</v>
      </c>
      <c r="AH4417">
        <v>96</v>
      </c>
      <c r="AJ4417" t="s">
        <v>51</v>
      </c>
      <c r="AK4417" t="s">
        <v>95</v>
      </c>
      <c r="AP4417" t="s">
        <v>951</v>
      </c>
    </row>
    <row r="4418" spans="1:42">
      <c r="A4418" s="16">
        <v>43845</v>
      </c>
      <c r="B4418">
        <v>3</v>
      </c>
      <c r="C4418">
        <v>986</v>
      </c>
      <c r="D4418">
        <v>14637</v>
      </c>
      <c r="E4418" t="s">
        <v>112</v>
      </c>
      <c r="F4418" t="s">
        <v>520</v>
      </c>
      <c r="G4418">
        <v>2</v>
      </c>
      <c r="H4418">
        <v>114</v>
      </c>
      <c r="I4418" s="25">
        <v>2900</v>
      </c>
      <c r="K4418" t="s">
        <v>192</v>
      </c>
      <c r="L4418" t="s">
        <v>11</v>
      </c>
      <c r="M4418" t="s">
        <v>95</v>
      </c>
      <c r="N4418" t="s">
        <v>40</v>
      </c>
      <c r="O4418">
        <v>70</v>
      </c>
      <c r="Q4418">
        <v>3</v>
      </c>
      <c r="R4418">
        <v>1</v>
      </c>
      <c r="S4418">
        <v>0</v>
      </c>
      <c r="T4418">
        <v>0</v>
      </c>
      <c r="U4418">
        <v>1</v>
      </c>
      <c r="V4418">
        <v>2</v>
      </c>
      <c r="W4418">
        <v>1</v>
      </c>
      <c r="X4418" s="21">
        <v>0</v>
      </c>
      <c r="Y4418" s="21">
        <v>0</v>
      </c>
      <c r="Z4418" s="21">
        <v>0</v>
      </c>
      <c r="AA4418" s="21">
        <v>0</v>
      </c>
      <c r="AB4418" s="21">
        <v>0</v>
      </c>
      <c r="AC4418" s="21">
        <v>0</v>
      </c>
      <c r="AD4418" s="21">
        <v>0</v>
      </c>
      <c r="AE4418" s="21">
        <v>0</v>
      </c>
      <c r="AF4418">
        <v>0</v>
      </c>
      <c r="AG4418">
        <v>0</v>
      </c>
      <c r="AH4418">
        <v>128</v>
      </c>
      <c r="AJ4418" t="s">
        <v>51</v>
      </c>
      <c r="AK4418" t="s">
        <v>95</v>
      </c>
      <c r="AP4418" t="s">
        <v>951</v>
      </c>
    </row>
    <row r="4419" spans="1:42">
      <c r="A4419" s="16">
        <v>43845</v>
      </c>
      <c r="B4419">
        <v>3</v>
      </c>
      <c r="C4419">
        <v>986</v>
      </c>
      <c r="D4419">
        <v>14637</v>
      </c>
      <c r="E4419" t="s">
        <v>112</v>
      </c>
      <c r="F4419" t="s">
        <v>520</v>
      </c>
      <c r="G4419">
        <v>2</v>
      </c>
      <c r="H4419">
        <v>115</v>
      </c>
      <c r="I4419" s="25">
        <v>2900</v>
      </c>
      <c r="K4419" t="s">
        <v>192</v>
      </c>
      <c r="L4419" t="s">
        <v>11</v>
      </c>
      <c r="M4419" t="s">
        <v>95</v>
      </c>
      <c r="N4419" t="s">
        <v>40</v>
      </c>
      <c r="O4419">
        <v>112</v>
      </c>
      <c r="Q4419">
        <v>5</v>
      </c>
      <c r="R4419">
        <v>1</v>
      </c>
      <c r="S4419">
        <v>0</v>
      </c>
      <c r="T4419">
        <v>0</v>
      </c>
      <c r="U4419">
        <v>3</v>
      </c>
      <c r="V4419">
        <v>1</v>
      </c>
      <c r="W4419">
        <v>1</v>
      </c>
      <c r="X4419" s="21">
        <v>0</v>
      </c>
      <c r="Y4419" s="21">
        <v>0</v>
      </c>
      <c r="Z4419" s="21">
        <v>0</v>
      </c>
      <c r="AA4419" s="21">
        <v>0</v>
      </c>
      <c r="AB4419" s="21">
        <v>0</v>
      </c>
      <c r="AC4419" s="21">
        <v>0</v>
      </c>
      <c r="AD4419" s="21">
        <v>0</v>
      </c>
      <c r="AE4419" s="21">
        <v>0</v>
      </c>
      <c r="AF4419">
        <v>0</v>
      </c>
      <c r="AG4419">
        <v>0</v>
      </c>
      <c r="AH4419">
        <v>256</v>
      </c>
      <c r="AJ4419" t="s">
        <v>51</v>
      </c>
      <c r="AK4419" t="s">
        <v>95</v>
      </c>
      <c r="AP4419" t="s">
        <v>951</v>
      </c>
    </row>
    <row r="4420" spans="1:42">
      <c r="A4420" s="16">
        <v>43845</v>
      </c>
      <c r="B4420">
        <v>3</v>
      </c>
      <c r="C4420">
        <v>986</v>
      </c>
      <c r="D4420">
        <v>14637</v>
      </c>
      <c r="E4420" t="s">
        <v>112</v>
      </c>
      <c r="F4420" t="s">
        <v>520</v>
      </c>
      <c r="G4420">
        <v>2</v>
      </c>
      <c r="H4420">
        <v>116</v>
      </c>
      <c r="I4420" s="25">
        <v>2900</v>
      </c>
      <c r="K4420" t="s">
        <v>192</v>
      </c>
      <c r="L4420" t="s">
        <v>11</v>
      </c>
      <c r="M4420" t="s">
        <v>95</v>
      </c>
      <c r="N4420" t="s">
        <v>40</v>
      </c>
      <c r="O4420">
        <v>87</v>
      </c>
      <c r="Q4420">
        <v>4</v>
      </c>
      <c r="R4420">
        <v>1</v>
      </c>
      <c r="S4420">
        <v>0</v>
      </c>
      <c r="T4420">
        <v>0</v>
      </c>
      <c r="U4420">
        <v>3</v>
      </c>
      <c r="V4420">
        <v>1</v>
      </c>
      <c r="W4420">
        <v>0</v>
      </c>
      <c r="X4420" s="21">
        <v>0</v>
      </c>
      <c r="Y4420" s="21">
        <v>0</v>
      </c>
      <c r="Z4420" s="21">
        <v>0</v>
      </c>
      <c r="AA4420" s="21">
        <v>0</v>
      </c>
      <c r="AB4420" s="21">
        <v>0</v>
      </c>
      <c r="AC4420" s="21">
        <v>0</v>
      </c>
      <c r="AD4420" s="21">
        <v>0</v>
      </c>
      <c r="AE4420" s="21">
        <v>0</v>
      </c>
      <c r="AF4420">
        <v>0</v>
      </c>
      <c r="AG4420">
        <v>0</v>
      </c>
      <c r="AH4420">
        <v>160</v>
      </c>
      <c r="AJ4420" t="s">
        <v>51</v>
      </c>
      <c r="AK4420" t="s">
        <v>95</v>
      </c>
      <c r="AP4420" t="s">
        <v>951</v>
      </c>
    </row>
    <row r="4421" spans="1:42">
      <c r="A4421" s="16">
        <v>43845</v>
      </c>
      <c r="B4421">
        <v>3</v>
      </c>
      <c r="C4421">
        <v>986</v>
      </c>
      <c r="D4421">
        <v>14637</v>
      </c>
      <c r="E4421" t="s">
        <v>112</v>
      </c>
      <c r="F4421" t="s">
        <v>520</v>
      </c>
      <c r="G4421">
        <v>2</v>
      </c>
      <c r="H4421">
        <v>117</v>
      </c>
      <c r="I4421" s="25">
        <v>2900</v>
      </c>
      <c r="K4421" t="s">
        <v>192</v>
      </c>
      <c r="L4421" t="s">
        <v>11</v>
      </c>
      <c r="M4421" t="s">
        <v>95</v>
      </c>
      <c r="N4421" t="s">
        <v>40</v>
      </c>
      <c r="O4421">
        <v>81</v>
      </c>
      <c r="Q4421">
        <v>3</v>
      </c>
      <c r="R4421">
        <v>1</v>
      </c>
      <c r="S4421">
        <v>0</v>
      </c>
      <c r="T4421">
        <v>0</v>
      </c>
      <c r="U4421">
        <v>2</v>
      </c>
      <c r="V4421">
        <v>1</v>
      </c>
      <c r="W4421">
        <v>0</v>
      </c>
      <c r="X4421" s="21">
        <v>0</v>
      </c>
      <c r="Y4421" s="21">
        <v>0</v>
      </c>
      <c r="Z4421" s="21">
        <v>0</v>
      </c>
      <c r="AA4421" s="21">
        <v>0</v>
      </c>
      <c r="AB4421" s="21">
        <v>0</v>
      </c>
      <c r="AC4421" s="21">
        <v>0</v>
      </c>
      <c r="AD4421" s="21">
        <v>0</v>
      </c>
      <c r="AE4421" s="21">
        <v>0</v>
      </c>
      <c r="AF4421">
        <v>0</v>
      </c>
      <c r="AG4421">
        <v>0</v>
      </c>
      <c r="AH4421">
        <v>128</v>
      </c>
      <c r="AJ4421" t="s">
        <v>51</v>
      </c>
      <c r="AK4421" t="s">
        <v>52</v>
      </c>
      <c r="AP4421" t="s">
        <v>951</v>
      </c>
    </row>
    <row r="4422" spans="1:42">
      <c r="A4422" s="16">
        <v>43845</v>
      </c>
      <c r="B4422">
        <v>3</v>
      </c>
      <c r="C4422">
        <v>986</v>
      </c>
      <c r="D4422">
        <v>14637</v>
      </c>
      <c r="E4422" t="s">
        <v>112</v>
      </c>
      <c r="F4422" t="s">
        <v>520</v>
      </c>
      <c r="G4422">
        <v>2</v>
      </c>
      <c r="H4422">
        <v>118</v>
      </c>
      <c r="I4422" s="25">
        <v>3006</v>
      </c>
      <c r="K4422" t="s">
        <v>192</v>
      </c>
      <c r="L4422" t="s">
        <v>114</v>
      </c>
      <c r="N4422" t="s">
        <v>42</v>
      </c>
      <c r="O4422">
        <v>126</v>
      </c>
      <c r="Q4422">
        <v>3</v>
      </c>
      <c r="R4422">
        <v>1</v>
      </c>
      <c r="S4422">
        <v>0</v>
      </c>
      <c r="T4422">
        <v>0</v>
      </c>
      <c r="U4422">
        <v>2</v>
      </c>
      <c r="V4422">
        <v>1</v>
      </c>
      <c r="W4422">
        <v>0</v>
      </c>
      <c r="X4422" s="21">
        <v>0</v>
      </c>
      <c r="Y4422" s="21">
        <v>0</v>
      </c>
      <c r="Z4422" s="21">
        <v>0</v>
      </c>
      <c r="AA4422" s="21">
        <v>0</v>
      </c>
      <c r="AB4422" s="21">
        <v>0</v>
      </c>
      <c r="AC4422" s="21">
        <v>0</v>
      </c>
      <c r="AD4422" s="21">
        <v>0</v>
      </c>
      <c r="AE4422" s="21">
        <v>0</v>
      </c>
      <c r="AF4422">
        <v>0</v>
      </c>
      <c r="AG4422">
        <v>0</v>
      </c>
      <c r="AH4422">
        <v>128</v>
      </c>
      <c r="AJ4422" t="s">
        <v>51</v>
      </c>
      <c r="AK4422" t="s">
        <v>52</v>
      </c>
      <c r="AL4422" t="s">
        <v>1480</v>
      </c>
      <c r="AP4422" t="s">
        <v>951</v>
      </c>
    </row>
    <row r="4423" spans="1:42">
      <c r="A4423" s="16">
        <v>43845</v>
      </c>
      <c r="B4423">
        <v>3</v>
      </c>
      <c r="C4423">
        <v>986</v>
      </c>
      <c r="D4423">
        <v>14637</v>
      </c>
      <c r="E4423" t="s">
        <v>112</v>
      </c>
      <c r="F4423" t="s">
        <v>520</v>
      </c>
      <c r="G4423">
        <v>2</v>
      </c>
      <c r="H4423">
        <v>119</v>
      </c>
      <c r="I4423" s="25">
        <v>3000</v>
      </c>
      <c r="K4423" t="s">
        <v>192</v>
      </c>
      <c r="L4423" t="s">
        <v>11</v>
      </c>
      <c r="M4423" t="s">
        <v>95</v>
      </c>
      <c r="N4423" t="s">
        <v>40</v>
      </c>
      <c r="O4423">
        <v>67</v>
      </c>
      <c r="Q4423">
        <v>2</v>
      </c>
      <c r="R4423">
        <v>1</v>
      </c>
      <c r="S4423">
        <v>0</v>
      </c>
      <c r="T4423">
        <v>0</v>
      </c>
      <c r="U4423">
        <v>2</v>
      </c>
      <c r="V4423">
        <v>0</v>
      </c>
      <c r="W4423">
        <v>0</v>
      </c>
      <c r="X4423" s="21">
        <v>0</v>
      </c>
      <c r="Y4423" s="21">
        <v>0</v>
      </c>
      <c r="Z4423" s="21">
        <v>0</v>
      </c>
      <c r="AA4423" s="21">
        <v>0</v>
      </c>
      <c r="AB4423" s="21">
        <v>0</v>
      </c>
      <c r="AC4423" s="21">
        <v>0</v>
      </c>
      <c r="AD4423" s="21">
        <v>0</v>
      </c>
      <c r="AE4423" s="21">
        <v>0</v>
      </c>
      <c r="AF4423">
        <v>0</v>
      </c>
      <c r="AG4423">
        <v>0</v>
      </c>
      <c r="AH4423">
        <v>64</v>
      </c>
      <c r="AJ4423" t="s">
        <v>51</v>
      </c>
      <c r="AK4423" t="s">
        <v>95</v>
      </c>
      <c r="AP4423" t="s">
        <v>951</v>
      </c>
    </row>
    <row r="4424" spans="1:42">
      <c r="A4424" s="16">
        <v>43845</v>
      </c>
      <c r="B4424">
        <v>3</v>
      </c>
      <c r="C4424">
        <v>986</v>
      </c>
      <c r="D4424">
        <v>14637</v>
      </c>
      <c r="E4424" t="s">
        <v>112</v>
      </c>
      <c r="F4424" t="s">
        <v>520</v>
      </c>
      <c r="G4424">
        <v>2</v>
      </c>
      <c r="H4424">
        <v>120</v>
      </c>
      <c r="I4424" s="25">
        <v>3000</v>
      </c>
      <c r="K4424" t="s">
        <v>192</v>
      </c>
      <c r="L4424" t="s">
        <v>114</v>
      </c>
      <c r="N4424" t="s">
        <v>40</v>
      </c>
      <c r="O4424">
        <v>40</v>
      </c>
      <c r="Q4424">
        <v>1</v>
      </c>
      <c r="R4424">
        <v>1</v>
      </c>
      <c r="S4424">
        <v>0</v>
      </c>
      <c r="T4424">
        <v>0</v>
      </c>
      <c r="U4424">
        <v>1</v>
      </c>
      <c r="V4424">
        <v>0</v>
      </c>
      <c r="W4424">
        <v>0</v>
      </c>
      <c r="X4424" s="21">
        <v>0</v>
      </c>
      <c r="Y4424" s="21">
        <v>0</v>
      </c>
      <c r="Z4424" s="21">
        <v>0</v>
      </c>
      <c r="AA4424" s="21">
        <v>0</v>
      </c>
      <c r="AB4424" s="21">
        <v>0</v>
      </c>
      <c r="AC4424" s="21">
        <v>0</v>
      </c>
      <c r="AD4424" s="21">
        <v>0</v>
      </c>
      <c r="AE4424" s="21">
        <v>0</v>
      </c>
      <c r="AF4424">
        <v>0</v>
      </c>
      <c r="AG4424">
        <v>0</v>
      </c>
      <c r="AH4424">
        <v>32</v>
      </c>
      <c r="AJ4424" t="s">
        <v>51</v>
      </c>
      <c r="AK4424" t="s">
        <v>95</v>
      </c>
      <c r="AP4424" t="s">
        <v>951</v>
      </c>
    </row>
    <row r="4425" spans="1:42">
      <c r="A4425" s="16">
        <v>43845</v>
      </c>
      <c r="B4425">
        <v>3</v>
      </c>
      <c r="C4425">
        <v>986</v>
      </c>
      <c r="D4425">
        <v>14637</v>
      </c>
      <c r="E4425" t="s">
        <v>112</v>
      </c>
      <c r="F4425" t="s">
        <v>520</v>
      </c>
      <c r="G4425">
        <v>2</v>
      </c>
      <c r="H4425">
        <v>121</v>
      </c>
      <c r="I4425" s="25">
        <v>3000</v>
      </c>
      <c r="K4425" t="s">
        <v>192</v>
      </c>
      <c r="L4425" t="s">
        <v>11</v>
      </c>
      <c r="M4425" t="s">
        <v>95</v>
      </c>
      <c r="N4425" t="s">
        <v>40</v>
      </c>
      <c r="O4425">
        <v>104</v>
      </c>
      <c r="Q4425">
        <v>2</v>
      </c>
      <c r="R4425">
        <v>1</v>
      </c>
      <c r="S4425">
        <v>0</v>
      </c>
      <c r="T4425">
        <v>0</v>
      </c>
      <c r="U4425">
        <v>0</v>
      </c>
      <c r="V4425">
        <v>2</v>
      </c>
      <c r="W4425">
        <v>1</v>
      </c>
      <c r="X4425" s="21">
        <v>0</v>
      </c>
      <c r="Y4425" s="21">
        <v>0</v>
      </c>
      <c r="Z4425" s="21">
        <v>0</v>
      </c>
      <c r="AA4425" s="21">
        <v>0</v>
      </c>
      <c r="AB4425" s="21">
        <v>0</v>
      </c>
      <c r="AC4425" s="21">
        <v>0</v>
      </c>
      <c r="AD4425" s="21">
        <v>0</v>
      </c>
      <c r="AE4425" s="21">
        <v>0</v>
      </c>
      <c r="AF4425">
        <v>0</v>
      </c>
      <c r="AG4425">
        <v>0</v>
      </c>
      <c r="AH4425">
        <v>224</v>
      </c>
      <c r="AJ4425" t="s">
        <v>51</v>
      </c>
      <c r="AK4425" t="s">
        <v>95</v>
      </c>
      <c r="AP4425" t="s">
        <v>951</v>
      </c>
    </row>
    <row r="4426" spans="1:42">
      <c r="A4426" s="16">
        <v>43845</v>
      </c>
      <c r="B4426">
        <v>3</v>
      </c>
      <c r="C4426">
        <v>986</v>
      </c>
      <c r="D4426">
        <v>14637</v>
      </c>
      <c r="E4426" t="s">
        <v>112</v>
      </c>
      <c r="F4426" t="s">
        <v>520</v>
      </c>
      <c r="G4426">
        <v>2</v>
      </c>
      <c r="H4426">
        <v>122</v>
      </c>
      <c r="I4426" s="25">
        <v>3000</v>
      </c>
      <c r="K4426" t="s">
        <v>192</v>
      </c>
      <c r="L4426" t="s">
        <v>114</v>
      </c>
      <c r="N4426" t="s">
        <v>40</v>
      </c>
      <c r="O4426">
        <v>119</v>
      </c>
      <c r="Q4426">
        <v>4</v>
      </c>
      <c r="R4426">
        <v>1</v>
      </c>
      <c r="S4426">
        <v>0</v>
      </c>
      <c r="T4426">
        <v>0</v>
      </c>
      <c r="U4426">
        <v>0</v>
      </c>
      <c r="V4426">
        <v>3</v>
      </c>
      <c r="W4426">
        <v>1</v>
      </c>
      <c r="X4426" s="21">
        <v>0</v>
      </c>
      <c r="Y4426" s="21">
        <v>0</v>
      </c>
      <c r="Z4426" s="21">
        <v>0</v>
      </c>
      <c r="AA4426" s="21">
        <v>0</v>
      </c>
      <c r="AB4426" s="21">
        <v>0</v>
      </c>
      <c r="AC4426" s="21">
        <v>0</v>
      </c>
      <c r="AD4426" s="21">
        <v>0</v>
      </c>
      <c r="AE4426" s="21">
        <v>0</v>
      </c>
      <c r="AF4426">
        <v>0</v>
      </c>
      <c r="AG4426">
        <v>0</v>
      </c>
      <c r="AH4426">
        <v>288</v>
      </c>
      <c r="AJ4426" t="s">
        <v>51</v>
      </c>
      <c r="AK4426" t="s">
        <v>95</v>
      </c>
      <c r="AP4426" t="s">
        <v>951</v>
      </c>
    </row>
    <row r="4427" spans="1:42">
      <c r="A4427" s="16">
        <v>43845</v>
      </c>
      <c r="B4427">
        <v>3</v>
      </c>
      <c r="C4427">
        <v>986</v>
      </c>
      <c r="D4427">
        <v>14637</v>
      </c>
      <c r="E4427" t="s">
        <v>112</v>
      </c>
      <c r="F4427" t="s">
        <v>520</v>
      </c>
      <c r="G4427">
        <v>2</v>
      </c>
      <c r="H4427">
        <v>123</v>
      </c>
      <c r="I4427" s="25">
        <v>3058</v>
      </c>
      <c r="K4427" t="s">
        <v>192</v>
      </c>
      <c r="N4427" t="s">
        <v>44</v>
      </c>
      <c r="O4427">
        <v>74</v>
      </c>
      <c r="Q4427">
        <v>2</v>
      </c>
      <c r="R4427">
        <v>1</v>
      </c>
      <c r="S4427">
        <v>0</v>
      </c>
      <c r="T4427">
        <v>0</v>
      </c>
      <c r="U4427">
        <v>0</v>
      </c>
      <c r="V4427">
        <v>0</v>
      </c>
      <c r="W4427">
        <v>2</v>
      </c>
      <c r="X4427" s="21">
        <v>0</v>
      </c>
      <c r="Y4427" s="21">
        <v>0</v>
      </c>
      <c r="Z4427" s="21">
        <v>0</v>
      </c>
      <c r="AA4427" s="21">
        <v>0</v>
      </c>
      <c r="AB4427" s="21">
        <v>0</v>
      </c>
      <c r="AC4427" s="21">
        <v>0</v>
      </c>
      <c r="AD4427" s="21">
        <v>0</v>
      </c>
      <c r="AE4427" s="21">
        <v>0</v>
      </c>
      <c r="AF4427">
        <v>0</v>
      </c>
      <c r="AG4427">
        <v>0</v>
      </c>
      <c r="AH4427">
        <v>192</v>
      </c>
      <c r="AJ4427" t="s">
        <v>51</v>
      </c>
      <c r="AK4427" t="s">
        <v>95</v>
      </c>
      <c r="AP4427" t="s">
        <v>951</v>
      </c>
    </row>
    <row r="4428" spans="1:42">
      <c r="A4428" s="16">
        <v>43845</v>
      </c>
      <c r="B4428">
        <v>3</v>
      </c>
      <c r="C4428">
        <v>986</v>
      </c>
      <c r="D4428">
        <v>14637</v>
      </c>
      <c r="E4428" t="s">
        <v>112</v>
      </c>
      <c r="F4428" t="s">
        <v>520</v>
      </c>
      <c r="G4428">
        <v>2</v>
      </c>
      <c r="H4428">
        <v>124</v>
      </c>
      <c r="I4428" s="25">
        <v>3000</v>
      </c>
      <c r="K4428" t="s">
        <v>192</v>
      </c>
      <c r="L4428" t="s">
        <v>141</v>
      </c>
      <c r="N4428" t="s">
        <v>40</v>
      </c>
      <c r="O4428">
        <v>67</v>
      </c>
      <c r="Q4428">
        <v>2</v>
      </c>
      <c r="R4428">
        <v>1</v>
      </c>
      <c r="S4428">
        <v>0</v>
      </c>
      <c r="T4428">
        <v>0</v>
      </c>
      <c r="U4428">
        <v>2</v>
      </c>
      <c r="V4428">
        <v>0</v>
      </c>
      <c r="W4428">
        <v>0</v>
      </c>
      <c r="X4428" s="21">
        <v>0</v>
      </c>
      <c r="Y4428" s="21">
        <v>0</v>
      </c>
      <c r="Z4428" s="21">
        <v>0</v>
      </c>
      <c r="AA4428" s="21">
        <v>0</v>
      </c>
      <c r="AB4428" s="21">
        <v>0</v>
      </c>
      <c r="AC4428" s="21">
        <v>0</v>
      </c>
      <c r="AD4428" s="21">
        <v>0</v>
      </c>
      <c r="AE4428" s="21">
        <v>0</v>
      </c>
      <c r="AF4428">
        <v>0</v>
      </c>
      <c r="AG4428">
        <v>0</v>
      </c>
      <c r="AH4428">
        <v>64</v>
      </c>
      <c r="AJ4428" t="s">
        <v>51</v>
      </c>
      <c r="AK4428" t="s">
        <v>95</v>
      </c>
      <c r="AP4428" t="s">
        <v>951</v>
      </c>
    </row>
    <row r="4429" spans="1:42">
      <c r="A4429" s="16">
        <v>43845</v>
      </c>
      <c r="B4429">
        <v>3</v>
      </c>
      <c r="C4429">
        <v>986</v>
      </c>
      <c r="D4429">
        <v>14637</v>
      </c>
      <c r="E4429" t="s">
        <v>112</v>
      </c>
      <c r="F4429" t="s">
        <v>520</v>
      </c>
      <c r="G4429">
        <v>2</v>
      </c>
      <c r="H4429">
        <v>125</v>
      </c>
      <c r="I4429" s="25">
        <v>3100</v>
      </c>
      <c r="K4429" t="s">
        <v>192</v>
      </c>
      <c r="L4429" t="s">
        <v>141</v>
      </c>
      <c r="N4429" t="s">
        <v>40</v>
      </c>
      <c r="O4429">
        <v>87</v>
      </c>
      <c r="Q4429">
        <v>4</v>
      </c>
      <c r="R4429">
        <v>1</v>
      </c>
      <c r="S4429">
        <v>0</v>
      </c>
      <c r="T4429">
        <v>0</v>
      </c>
      <c r="U4429">
        <v>1</v>
      </c>
      <c r="V4429">
        <v>2</v>
      </c>
      <c r="W4429">
        <v>1</v>
      </c>
      <c r="X4429" s="21">
        <v>0</v>
      </c>
      <c r="Y4429" s="21">
        <v>0</v>
      </c>
      <c r="Z4429" s="21">
        <v>0</v>
      </c>
      <c r="AA4429" s="21">
        <v>0</v>
      </c>
      <c r="AB4429" s="21">
        <v>0</v>
      </c>
      <c r="AC4429" s="21">
        <v>0</v>
      </c>
      <c r="AD4429" s="21">
        <v>0</v>
      </c>
      <c r="AE4429" s="21">
        <v>0</v>
      </c>
      <c r="AF4429">
        <v>0</v>
      </c>
      <c r="AG4429">
        <v>0</v>
      </c>
      <c r="AH4429">
        <v>256</v>
      </c>
      <c r="AJ4429" t="s">
        <v>51</v>
      </c>
      <c r="AK4429" t="s">
        <v>95</v>
      </c>
      <c r="AP4429" t="s">
        <v>951</v>
      </c>
    </row>
    <row r="4430" spans="1:42">
      <c r="A4430" s="16">
        <v>43845</v>
      </c>
      <c r="B4430">
        <v>3</v>
      </c>
      <c r="C4430">
        <v>986</v>
      </c>
      <c r="D4430">
        <v>14637</v>
      </c>
      <c r="E4430" t="s">
        <v>112</v>
      </c>
      <c r="F4430" t="s">
        <v>520</v>
      </c>
      <c r="G4430">
        <v>2</v>
      </c>
      <c r="H4430">
        <v>126</v>
      </c>
      <c r="I4430" s="25">
        <v>3100</v>
      </c>
      <c r="K4430" t="s">
        <v>192</v>
      </c>
      <c r="L4430" t="s">
        <v>11</v>
      </c>
      <c r="M4430" t="s">
        <v>95</v>
      </c>
      <c r="N4430" t="s">
        <v>40</v>
      </c>
      <c r="O4430">
        <v>83</v>
      </c>
      <c r="Q4430">
        <v>2</v>
      </c>
      <c r="R4430">
        <v>1</v>
      </c>
      <c r="S4430">
        <v>0</v>
      </c>
      <c r="T4430">
        <v>0</v>
      </c>
      <c r="U4430">
        <v>0</v>
      </c>
      <c r="V4430">
        <v>1</v>
      </c>
      <c r="W4430">
        <v>1</v>
      </c>
      <c r="X4430" s="21">
        <v>0</v>
      </c>
      <c r="Y4430" s="21">
        <v>0</v>
      </c>
      <c r="Z4430" s="21">
        <v>0</v>
      </c>
      <c r="AA4430" s="21">
        <v>0</v>
      </c>
      <c r="AB4430" s="21">
        <v>0</v>
      </c>
      <c r="AC4430" s="21">
        <v>0</v>
      </c>
      <c r="AD4430" s="21">
        <v>0</v>
      </c>
      <c r="AE4430" s="21">
        <v>0</v>
      </c>
      <c r="AF4430">
        <v>0</v>
      </c>
      <c r="AG4430">
        <v>0</v>
      </c>
      <c r="AH4430">
        <v>160</v>
      </c>
      <c r="AJ4430" t="s">
        <v>51</v>
      </c>
      <c r="AK4430" t="s">
        <v>95</v>
      </c>
      <c r="AP4430" t="s">
        <v>951</v>
      </c>
    </row>
    <row r="4431" spans="1:42">
      <c r="A4431" s="16">
        <v>43845</v>
      </c>
      <c r="B4431">
        <v>3</v>
      </c>
      <c r="C4431">
        <v>986</v>
      </c>
      <c r="D4431">
        <v>14637</v>
      </c>
      <c r="E4431" t="s">
        <v>112</v>
      </c>
      <c r="F4431" t="s">
        <v>520</v>
      </c>
      <c r="G4431">
        <v>2</v>
      </c>
      <c r="H4431">
        <v>127</v>
      </c>
      <c r="I4431" s="25">
        <v>2200</v>
      </c>
      <c r="K4431" t="s">
        <v>210</v>
      </c>
      <c r="L4431" t="s">
        <v>141</v>
      </c>
      <c r="N4431" t="s">
        <v>40</v>
      </c>
      <c r="O4431">
        <v>27</v>
      </c>
      <c r="Q4431">
        <v>1</v>
      </c>
      <c r="R4431">
        <v>1</v>
      </c>
      <c r="S4431">
        <v>0</v>
      </c>
      <c r="T4431">
        <v>0</v>
      </c>
      <c r="U4431">
        <v>0</v>
      </c>
      <c r="V4431">
        <v>0</v>
      </c>
      <c r="W4431">
        <v>1</v>
      </c>
      <c r="X4431" s="21">
        <v>0</v>
      </c>
      <c r="Y4431" s="21">
        <v>0</v>
      </c>
      <c r="Z4431" s="21">
        <v>0</v>
      </c>
      <c r="AA4431" s="21">
        <v>0</v>
      </c>
      <c r="AB4431" s="21">
        <v>0</v>
      </c>
      <c r="AC4431" s="21">
        <v>0</v>
      </c>
      <c r="AD4431" s="21">
        <v>0</v>
      </c>
      <c r="AE4431" s="21">
        <v>0</v>
      </c>
      <c r="AF4431">
        <v>0</v>
      </c>
      <c r="AG4431">
        <v>0</v>
      </c>
      <c r="AH4431">
        <v>96</v>
      </c>
      <c r="AJ4431" t="s">
        <v>51</v>
      </c>
      <c r="AK4431" t="s">
        <v>95</v>
      </c>
      <c r="AP4431" t="s">
        <v>951</v>
      </c>
    </row>
    <row r="4432" spans="1:42">
      <c r="A4432" s="16">
        <v>43845</v>
      </c>
      <c r="B4432">
        <v>3</v>
      </c>
      <c r="C4432">
        <v>986</v>
      </c>
      <c r="D4432">
        <v>14637</v>
      </c>
      <c r="E4432" t="s">
        <v>112</v>
      </c>
      <c r="F4432" t="s">
        <v>520</v>
      </c>
      <c r="G4432">
        <v>2</v>
      </c>
      <c r="H4432">
        <v>128</v>
      </c>
      <c r="I4432" s="25">
        <v>200</v>
      </c>
      <c r="K4432" t="s">
        <v>602</v>
      </c>
      <c r="L4432" t="s">
        <v>114</v>
      </c>
      <c r="N4432" t="s">
        <v>40</v>
      </c>
      <c r="O4432">
        <v>48</v>
      </c>
      <c r="Q4432">
        <v>1</v>
      </c>
      <c r="R4432">
        <v>1</v>
      </c>
      <c r="S4432">
        <v>0</v>
      </c>
      <c r="T4432">
        <v>0</v>
      </c>
      <c r="U4432">
        <v>0</v>
      </c>
      <c r="V4432">
        <v>0</v>
      </c>
      <c r="W4432">
        <v>1</v>
      </c>
      <c r="X4432" s="21">
        <v>0</v>
      </c>
      <c r="Y4432" s="21">
        <v>0</v>
      </c>
      <c r="Z4432" s="21">
        <v>0</v>
      </c>
      <c r="AA4432" s="21">
        <v>0</v>
      </c>
      <c r="AB4432" s="21">
        <v>0</v>
      </c>
      <c r="AC4432" s="21">
        <v>0</v>
      </c>
      <c r="AD4432" s="21">
        <v>0</v>
      </c>
      <c r="AE4432" s="21">
        <v>0</v>
      </c>
      <c r="AF4432">
        <v>0</v>
      </c>
      <c r="AG4432">
        <v>0</v>
      </c>
      <c r="AH4432">
        <v>96</v>
      </c>
      <c r="AJ4432" t="s">
        <v>51</v>
      </c>
      <c r="AK4432" t="s">
        <v>95</v>
      </c>
      <c r="AP4432" t="s">
        <v>951</v>
      </c>
    </row>
    <row r="4433" spans="1:42">
      <c r="A4433" s="16">
        <v>43845</v>
      </c>
      <c r="B4433">
        <v>3</v>
      </c>
      <c r="C4433">
        <v>986</v>
      </c>
      <c r="D4433">
        <v>14637</v>
      </c>
      <c r="E4433" t="s">
        <v>112</v>
      </c>
      <c r="F4433" t="s">
        <v>520</v>
      </c>
      <c r="G4433">
        <v>2</v>
      </c>
      <c r="H4433">
        <v>129</v>
      </c>
      <c r="I4433" s="25">
        <v>200</v>
      </c>
      <c r="K4433" t="s">
        <v>602</v>
      </c>
      <c r="L4433" t="s">
        <v>141</v>
      </c>
      <c r="N4433" t="s">
        <v>40</v>
      </c>
      <c r="O4433">
        <v>65</v>
      </c>
      <c r="Q4433">
        <v>4</v>
      </c>
      <c r="R4433">
        <v>1</v>
      </c>
      <c r="S4433">
        <v>0</v>
      </c>
      <c r="T4433">
        <v>0</v>
      </c>
      <c r="U4433">
        <v>0</v>
      </c>
      <c r="V4433">
        <v>1</v>
      </c>
      <c r="W4433">
        <v>3</v>
      </c>
      <c r="X4433" s="21">
        <v>0</v>
      </c>
      <c r="Y4433" s="21">
        <v>0</v>
      </c>
      <c r="Z4433" s="21">
        <v>0</v>
      </c>
      <c r="AA4433" s="21">
        <v>0</v>
      </c>
      <c r="AB4433" s="21">
        <v>0</v>
      </c>
      <c r="AC4433" s="21">
        <v>0</v>
      </c>
      <c r="AD4433" s="21">
        <v>0</v>
      </c>
      <c r="AE4433" s="21">
        <v>0</v>
      </c>
      <c r="AF4433">
        <v>0</v>
      </c>
      <c r="AG4433">
        <v>0</v>
      </c>
      <c r="AH4433">
        <v>352</v>
      </c>
      <c r="AJ4433" t="s">
        <v>51</v>
      </c>
      <c r="AK4433" t="s">
        <v>95</v>
      </c>
      <c r="AP4433" t="s">
        <v>951</v>
      </c>
    </row>
    <row r="4434" spans="1:42">
      <c r="A4434" s="16">
        <v>43845</v>
      </c>
      <c r="B4434">
        <v>3</v>
      </c>
      <c r="C4434">
        <v>986</v>
      </c>
      <c r="D4434">
        <v>14637</v>
      </c>
      <c r="E4434" t="s">
        <v>112</v>
      </c>
      <c r="F4434" t="s">
        <v>520</v>
      </c>
      <c r="G4434">
        <v>2</v>
      </c>
      <c r="H4434">
        <v>130</v>
      </c>
      <c r="I4434" s="25">
        <v>200</v>
      </c>
      <c r="K4434" t="s">
        <v>602</v>
      </c>
      <c r="L4434" t="s">
        <v>141</v>
      </c>
      <c r="N4434" t="s">
        <v>40</v>
      </c>
      <c r="O4434">
        <v>63</v>
      </c>
      <c r="Q4434">
        <v>3</v>
      </c>
      <c r="R4434">
        <v>1</v>
      </c>
      <c r="S4434">
        <v>0</v>
      </c>
      <c r="T4434">
        <v>0</v>
      </c>
      <c r="U4434">
        <v>2</v>
      </c>
      <c r="V4434">
        <v>1</v>
      </c>
      <c r="W4434">
        <v>0</v>
      </c>
      <c r="X4434" s="21">
        <v>0</v>
      </c>
      <c r="Y4434" s="21">
        <v>0</v>
      </c>
      <c r="Z4434" s="21">
        <v>0</v>
      </c>
      <c r="AA4434" s="21">
        <v>0</v>
      </c>
      <c r="AB4434" s="21">
        <v>0</v>
      </c>
      <c r="AC4434" s="21">
        <v>0</v>
      </c>
      <c r="AD4434" s="21">
        <v>0</v>
      </c>
      <c r="AE4434" s="21">
        <v>0</v>
      </c>
      <c r="AF4434">
        <v>0</v>
      </c>
      <c r="AG4434">
        <v>0</v>
      </c>
      <c r="AH4434">
        <v>128</v>
      </c>
      <c r="AJ4434" t="s">
        <v>51</v>
      </c>
      <c r="AK4434" t="s">
        <v>95</v>
      </c>
      <c r="AP4434" t="s">
        <v>951</v>
      </c>
    </row>
    <row r="4435" spans="1:42">
      <c r="A4435" s="16">
        <v>43845</v>
      </c>
      <c r="B4435">
        <v>3</v>
      </c>
      <c r="C4435">
        <v>986</v>
      </c>
      <c r="D4435">
        <v>14637</v>
      </c>
      <c r="E4435" t="s">
        <v>112</v>
      </c>
      <c r="F4435" t="s">
        <v>520</v>
      </c>
      <c r="G4435">
        <v>2</v>
      </c>
      <c r="H4435">
        <v>131</v>
      </c>
      <c r="I4435" s="25">
        <v>200</v>
      </c>
      <c r="K4435" t="s">
        <v>602</v>
      </c>
      <c r="L4435" t="s">
        <v>11</v>
      </c>
      <c r="M4435" t="s">
        <v>95</v>
      </c>
      <c r="N4435" t="s">
        <v>40</v>
      </c>
      <c r="O4435">
        <v>78</v>
      </c>
      <c r="Q4435">
        <v>4</v>
      </c>
      <c r="R4435">
        <v>1</v>
      </c>
      <c r="S4435">
        <v>0</v>
      </c>
      <c r="T4435">
        <v>0</v>
      </c>
      <c r="U4435">
        <v>3</v>
      </c>
      <c r="V4435">
        <v>0</v>
      </c>
      <c r="W4435">
        <v>1</v>
      </c>
      <c r="X4435" s="21">
        <v>0</v>
      </c>
      <c r="Y4435" s="21">
        <v>0</v>
      </c>
      <c r="Z4435" s="21">
        <v>0</v>
      </c>
      <c r="AA4435" s="21">
        <v>0</v>
      </c>
      <c r="AB4435" s="21">
        <v>0</v>
      </c>
      <c r="AC4435" s="21">
        <v>0</v>
      </c>
      <c r="AD4435" s="21">
        <v>0</v>
      </c>
      <c r="AE4435" s="21">
        <v>0</v>
      </c>
      <c r="AF4435">
        <v>0</v>
      </c>
      <c r="AG4435">
        <v>0</v>
      </c>
      <c r="AH4435">
        <v>192</v>
      </c>
      <c r="AJ4435" t="s">
        <v>51</v>
      </c>
      <c r="AK4435" t="s">
        <v>95</v>
      </c>
      <c r="AP4435" t="s">
        <v>951</v>
      </c>
    </row>
    <row r="4436" spans="1:42">
      <c r="A4436" s="16">
        <v>43845</v>
      </c>
      <c r="B4436">
        <v>3</v>
      </c>
      <c r="C4436">
        <v>986</v>
      </c>
      <c r="D4436">
        <v>14637</v>
      </c>
      <c r="E4436" t="s">
        <v>112</v>
      </c>
      <c r="F4436" t="s">
        <v>520</v>
      </c>
      <c r="G4436">
        <v>2</v>
      </c>
      <c r="H4436">
        <v>132</v>
      </c>
      <c r="I4436" s="25">
        <v>200</v>
      </c>
      <c r="K4436" t="s">
        <v>602</v>
      </c>
      <c r="L4436" t="s">
        <v>114</v>
      </c>
      <c r="N4436" t="s">
        <v>40</v>
      </c>
      <c r="O4436">
        <v>36</v>
      </c>
      <c r="Q4436">
        <v>2</v>
      </c>
      <c r="R4436">
        <v>1</v>
      </c>
      <c r="S4436">
        <v>0</v>
      </c>
      <c r="T4436">
        <v>0</v>
      </c>
      <c r="U4436">
        <v>1</v>
      </c>
      <c r="V4436">
        <v>0</v>
      </c>
      <c r="W4436">
        <v>1</v>
      </c>
      <c r="X4436" s="21">
        <v>0</v>
      </c>
      <c r="Y4436" s="21">
        <v>0</v>
      </c>
      <c r="Z4436" s="21">
        <v>0</v>
      </c>
      <c r="AA4436" s="21">
        <v>0</v>
      </c>
      <c r="AB4436" s="21">
        <v>0</v>
      </c>
      <c r="AC4436" s="21">
        <v>0</v>
      </c>
      <c r="AD4436" s="21">
        <v>0</v>
      </c>
      <c r="AE4436" s="21">
        <v>0</v>
      </c>
      <c r="AF4436">
        <v>0</v>
      </c>
      <c r="AG4436">
        <v>0</v>
      </c>
      <c r="AH4436">
        <v>128</v>
      </c>
      <c r="AJ4436" t="s">
        <v>51</v>
      </c>
      <c r="AK4436" t="s">
        <v>95</v>
      </c>
      <c r="AP4436" t="s">
        <v>951</v>
      </c>
    </row>
    <row r="4437" spans="1:42">
      <c r="A4437" s="16">
        <v>43845</v>
      </c>
      <c r="B4437">
        <v>3</v>
      </c>
      <c r="C4437">
        <v>986</v>
      </c>
      <c r="D4437">
        <v>14637</v>
      </c>
      <c r="E4437" t="s">
        <v>112</v>
      </c>
      <c r="F4437" t="s">
        <v>520</v>
      </c>
      <c r="G4437">
        <v>2</v>
      </c>
      <c r="H4437">
        <v>133</v>
      </c>
      <c r="I4437" s="25">
        <v>200</v>
      </c>
      <c r="K4437" t="s">
        <v>602</v>
      </c>
      <c r="L4437" t="s">
        <v>141</v>
      </c>
      <c r="N4437" t="s">
        <v>40</v>
      </c>
      <c r="O4437">
        <v>22</v>
      </c>
      <c r="Q4437">
        <v>2</v>
      </c>
      <c r="R4437">
        <v>1</v>
      </c>
      <c r="S4437">
        <v>0</v>
      </c>
      <c r="T4437">
        <v>0</v>
      </c>
      <c r="U4437">
        <v>1</v>
      </c>
      <c r="V4437">
        <v>1</v>
      </c>
      <c r="W4437">
        <v>0</v>
      </c>
      <c r="X4437" s="21">
        <v>0</v>
      </c>
      <c r="Y4437" s="21">
        <v>0</v>
      </c>
      <c r="Z4437" s="21">
        <v>0</v>
      </c>
      <c r="AA4437" s="21">
        <v>0</v>
      </c>
      <c r="AB4437" s="21">
        <v>0</v>
      </c>
      <c r="AC4437" s="21">
        <v>0</v>
      </c>
      <c r="AD4437" s="21">
        <v>0</v>
      </c>
      <c r="AE4437" s="21">
        <v>0</v>
      </c>
      <c r="AF4437">
        <v>0</v>
      </c>
      <c r="AG4437">
        <v>0</v>
      </c>
      <c r="AH4437">
        <v>96</v>
      </c>
      <c r="AJ4437" t="s">
        <v>51</v>
      </c>
      <c r="AK4437" t="s">
        <v>95</v>
      </c>
      <c r="AP4437" t="s">
        <v>951</v>
      </c>
    </row>
    <row r="4438" spans="1:42">
      <c r="A4438" s="16">
        <v>43845</v>
      </c>
      <c r="B4438">
        <v>3</v>
      </c>
      <c r="C4438">
        <v>986</v>
      </c>
      <c r="D4438">
        <v>14637</v>
      </c>
      <c r="E4438" t="s">
        <v>112</v>
      </c>
      <c r="F4438" t="s">
        <v>520</v>
      </c>
      <c r="G4438">
        <v>2</v>
      </c>
      <c r="H4438">
        <v>134</v>
      </c>
      <c r="I4438" s="25">
        <v>2206</v>
      </c>
      <c r="K4438" t="s">
        <v>213</v>
      </c>
      <c r="N4438" t="s">
        <v>44</v>
      </c>
      <c r="O4438">
        <v>71</v>
      </c>
      <c r="Q4438">
        <v>1</v>
      </c>
      <c r="R4438">
        <v>1</v>
      </c>
      <c r="S4438">
        <v>0</v>
      </c>
      <c r="T4438">
        <v>0</v>
      </c>
      <c r="U4438">
        <v>0</v>
      </c>
      <c r="V4438">
        <v>0</v>
      </c>
      <c r="W4438">
        <v>1</v>
      </c>
      <c r="X4438" s="21">
        <v>0</v>
      </c>
      <c r="Y4438" s="21">
        <v>0</v>
      </c>
      <c r="Z4438" s="21">
        <v>0</v>
      </c>
      <c r="AA4438" s="21">
        <v>0</v>
      </c>
      <c r="AB4438" s="21">
        <v>0</v>
      </c>
      <c r="AC4438" s="21">
        <v>0</v>
      </c>
      <c r="AD4438" s="21">
        <v>0</v>
      </c>
      <c r="AE4438" s="21">
        <v>0</v>
      </c>
      <c r="AF4438">
        <v>0</v>
      </c>
      <c r="AG4438">
        <v>0</v>
      </c>
      <c r="AH4438">
        <v>96</v>
      </c>
      <c r="AJ4438" t="s">
        <v>51</v>
      </c>
      <c r="AK4438" t="s">
        <v>95</v>
      </c>
      <c r="AL4438" t="s">
        <v>1405</v>
      </c>
      <c r="AP4438" t="s">
        <v>951</v>
      </c>
    </row>
    <row r="4439" spans="1:42">
      <c r="A4439" s="16">
        <v>43845</v>
      </c>
      <c r="B4439">
        <v>3</v>
      </c>
      <c r="C4439">
        <v>986</v>
      </c>
      <c r="D4439">
        <v>14637</v>
      </c>
      <c r="E4439" t="s">
        <v>112</v>
      </c>
      <c r="F4439" t="s">
        <v>520</v>
      </c>
      <c r="G4439">
        <v>2</v>
      </c>
      <c r="H4439">
        <v>135</v>
      </c>
      <c r="I4439" s="25">
        <v>2200</v>
      </c>
      <c r="K4439" t="s">
        <v>909</v>
      </c>
      <c r="N4439" t="s">
        <v>40</v>
      </c>
      <c r="O4439">
        <v>39</v>
      </c>
      <c r="Q4439">
        <v>1</v>
      </c>
      <c r="R4439">
        <v>1</v>
      </c>
      <c r="S4439">
        <v>0</v>
      </c>
      <c r="T4439">
        <v>0</v>
      </c>
      <c r="U4439">
        <v>0</v>
      </c>
      <c r="V4439">
        <v>0</v>
      </c>
      <c r="W4439">
        <v>1</v>
      </c>
      <c r="X4439" s="21">
        <v>0</v>
      </c>
      <c r="Y4439" s="21">
        <v>0</v>
      </c>
      <c r="Z4439" s="21">
        <v>0</v>
      </c>
      <c r="AA4439" s="21">
        <v>0</v>
      </c>
      <c r="AB4439" s="21">
        <v>0</v>
      </c>
      <c r="AC4439" s="21">
        <v>0</v>
      </c>
      <c r="AD4439" s="21">
        <v>0</v>
      </c>
      <c r="AE4439" s="21">
        <v>0</v>
      </c>
      <c r="AF4439">
        <v>0</v>
      </c>
      <c r="AG4439">
        <v>0</v>
      </c>
      <c r="AH4439">
        <v>96</v>
      </c>
      <c r="AJ4439" t="s">
        <v>51</v>
      </c>
      <c r="AK4439" t="s">
        <v>95</v>
      </c>
      <c r="AP4439" t="s">
        <v>951</v>
      </c>
    </row>
    <row r="4440" spans="1:42">
      <c r="A4440" s="16">
        <v>43845</v>
      </c>
      <c r="B4440">
        <v>3</v>
      </c>
      <c r="C4440">
        <v>986</v>
      </c>
      <c r="D4440">
        <v>14637</v>
      </c>
      <c r="E4440" t="s">
        <v>112</v>
      </c>
      <c r="F4440" t="s">
        <v>520</v>
      </c>
      <c r="G4440">
        <v>2</v>
      </c>
      <c r="H4440">
        <v>136</v>
      </c>
      <c r="I4440" s="25">
        <v>3100</v>
      </c>
      <c r="K4440" t="s">
        <v>909</v>
      </c>
      <c r="L4440" t="s">
        <v>141</v>
      </c>
      <c r="N4440" t="s">
        <v>40</v>
      </c>
      <c r="O4440">
        <v>62</v>
      </c>
      <c r="Q4440">
        <v>2</v>
      </c>
      <c r="R4440">
        <v>1</v>
      </c>
      <c r="S4440">
        <v>0</v>
      </c>
      <c r="T4440">
        <v>0</v>
      </c>
      <c r="U4440">
        <v>0</v>
      </c>
      <c r="V4440">
        <v>1</v>
      </c>
      <c r="W4440">
        <v>1</v>
      </c>
      <c r="X4440" s="21">
        <v>0</v>
      </c>
      <c r="Y4440" s="21">
        <v>0</v>
      </c>
      <c r="Z4440" s="21">
        <v>0</v>
      </c>
      <c r="AA4440" s="21">
        <v>0</v>
      </c>
      <c r="AB4440" s="21">
        <v>0</v>
      </c>
      <c r="AC4440" s="21">
        <v>0</v>
      </c>
      <c r="AD4440" s="21">
        <v>0</v>
      </c>
      <c r="AE4440" s="21">
        <v>0</v>
      </c>
      <c r="AF4440">
        <v>0</v>
      </c>
      <c r="AG4440">
        <v>0</v>
      </c>
      <c r="AH4440">
        <v>160</v>
      </c>
      <c r="AJ4440" t="s">
        <v>51</v>
      </c>
      <c r="AK4440" t="s">
        <v>52</v>
      </c>
      <c r="AP4440" t="s">
        <v>951</v>
      </c>
    </row>
    <row r="4441" spans="1:42">
      <c r="A4441" s="16">
        <v>43845</v>
      </c>
      <c r="B4441">
        <v>3</v>
      </c>
      <c r="C4441">
        <v>986</v>
      </c>
      <c r="D4441">
        <v>14637</v>
      </c>
      <c r="E4441" t="s">
        <v>112</v>
      </c>
      <c r="F4441" t="s">
        <v>520</v>
      </c>
      <c r="G4441">
        <v>2</v>
      </c>
      <c r="H4441">
        <v>137</v>
      </c>
      <c r="I4441" s="25">
        <v>3100</v>
      </c>
      <c r="K4441" t="s">
        <v>909</v>
      </c>
      <c r="L4441" t="s">
        <v>114</v>
      </c>
      <c r="N4441" t="s">
        <v>40</v>
      </c>
      <c r="O4441">
        <v>73</v>
      </c>
      <c r="Q4441">
        <v>2</v>
      </c>
      <c r="R4441">
        <v>1</v>
      </c>
      <c r="S4441">
        <v>0</v>
      </c>
      <c r="T4441">
        <v>0</v>
      </c>
      <c r="U4441">
        <v>0</v>
      </c>
      <c r="V4441">
        <v>2</v>
      </c>
      <c r="W4441">
        <v>0</v>
      </c>
      <c r="X4441" s="21">
        <v>0</v>
      </c>
      <c r="Y4441" s="21">
        <v>0</v>
      </c>
      <c r="Z4441" s="21">
        <v>0</v>
      </c>
      <c r="AA4441" s="21">
        <v>0</v>
      </c>
      <c r="AB4441" s="21">
        <v>0</v>
      </c>
      <c r="AC4441" s="21">
        <v>0</v>
      </c>
      <c r="AD4441" s="21">
        <v>0</v>
      </c>
      <c r="AE4441" s="21">
        <v>0</v>
      </c>
      <c r="AF4441">
        <v>0</v>
      </c>
      <c r="AG4441">
        <v>0</v>
      </c>
      <c r="AH4441">
        <v>128</v>
      </c>
      <c r="AJ4441" t="s">
        <v>51</v>
      </c>
      <c r="AK4441" t="s">
        <v>52</v>
      </c>
      <c r="AP4441" t="s">
        <v>951</v>
      </c>
    </row>
    <row r="4442" spans="1:42">
      <c r="A4442" s="16">
        <v>43845</v>
      </c>
      <c r="B4442">
        <v>3</v>
      </c>
      <c r="C4442">
        <v>986</v>
      </c>
      <c r="D4442">
        <v>14637</v>
      </c>
      <c r="E4442" t="s">
        <v>112</v>
      </c>
      <c r="F4442" t="s">
        <v>520</v>
      </c>
      <c r="G4442">
        <v>2</v>
      </c>
      <c r="H4442">
        <v>138</v>
      </c>
      <c r="I4442" s="25">
        <v>3100</v>
      </c>
      <c r="K4442" t="s">
        <v>909</v>
      </c>
      <c r="L4442" t="s">
        <v>114</v>
      </c>
      <c r="N4442" t="s">
        <v>40</v>
      </c>
      <c r="O4442">
        <v>63</v>
      </c>
      <c r="Q4442">
        <v>3</v>
      </c>
      <c r="R4442">
        <v>1</v>
      </c>
      <c r="S4442">
        <v>0</v>
      </c>
      <c r="T4442">
        <v>0</v>
      </c>
      <c r="U4442">
        <v>1</v>
      </c>
      <c r="V4442">
        <v>0</v>
      </c>
      <c r="W4442">
        <v>2</v>
      </c>
      <c r="X4442" s="21">
        <v>0</v>
      </c>
      <c r="Y4442" s="21">
        <v>0</v>
      </c>
      <c r="Z4442" s="21">
        <v>0</v>
      </c>
      <c r="AA4442" s="21">
        <v>0</v>
      </c>
      <c r="AB4442" s="21">
        <v>0</v>
      </c>
      <c r="AC4442" s="21">
        <v>0</v>
      </c>
      <c r="AD4442" s="21">
        <v>0</v>
      </c>
      <c r="AE4442" s="21">
        <v>0</v>
      </c>
      <c r="AF4442">
        <v>0</v>
      </c>
      <c r="AG4442">
        <v>0</v>
      </c>
      <c r="AH4442">
        <v>224</v>
      </c>
      <c r="AJ4442" t="s">
        <v>51</v>
      </c>
      <c r="AK4442" t="s">
        <v>95</v>
      </c>
      <c r="AP4442" t="s">
        <v>951</v>
      </c>
    </row>
    <row r="4443" spans="1:42">
      <c r="A4443" s="16">
        <v>43845</v>
      </c>
      <c r="B4443">
        <v>3</v>
      </c>
      <c r="C4443">
        <v>986</v>
      </c>
      <c r="D4443">
        <v>14637</v>
      </c>
      <c r="E4443" t="s">
        <v>112</v>
      </c>
      <c r="F4443" t="s">
        <v>520</v>
      </c>
      <c r="G4443">
        <v>2</v>
      </c>
      <c r="H4443">
        <v>139</v>
      </c>
      <c r="I4443" s="25">
        <v>3107</v>
      </c>
      <c r="K4443" t="s">
        <v>909</v>
      </c>
      <c r="L4443" t="s">
        <v>114</v>
      </c>
      <c r="N4443" t="s">
        <v>42</v>
      </c>
      <c r="O4443">
        <v>97</v>
      </c>
      <c r="Q4443">
        <v>2</v>
      </c>
      <c r="R4443">
        <v>1</v>
      </c>
      <c r="S4443">
        <v>0</v>
      </c>
      <c r="T4443">
        <v>0</v>
      </c>
      <c r="U4443">
        <v>0</v>
      </c>
      <c r="V4443">
        <v>0</v>
      </c>
      <c r="W4443">
        <v>2</v>
      </c>
      <c r="X4443" s="21">
        <v>0</v>
      </c>
      <c r="Y4443" s="21">
        <v>0</v>
      </c>
      <c r="Z4443" s="21">
        <v>0</v>
      </c>
      <c r="AA4443" s="21">
        <v>0</v>
      </c>
      <c r="AB4443" s="21">
        <v>0</v>
      </c>
      <c r="AC4443" s="21">
        <v>0</v>
      </c>
      <c r="AD4443" s="21">
        <v>0</v>
      </c>
      <c r="AE4443" s="21">
        <v>0</v>
      </c>
      <c r="AF4443">
        <v>0</v>
      </c>
      <c r="AG4443">
        <v>0</v>
      </c>
      <c r="AH4443">
        <v>192</v>
      </c>
      <c r="AJ4443" t="s">
        <v>51</v>
      </c>
      <c r="AK4443" t="s">
        <v>95</v>
      </c>
      <c r="AL4443" t="s">
        <v>1374</v>
      </c>
      <c r="AP4443" t="s">
        <v>951</v>
      </c>
    </row>
    <row r="4444" spans="1:42">
      <c r="A4444" s="16">
        <v>43845</v>
      </c>
      <c r="B4444">
        <v>3</v>
      </c>
      <c r="C4444">
        <v>986</v>
      </c>
      <c r="D4444">
        <v>14637</v>
      </c>
      <c r="E4444" t="s">
        <v>112</v>
      </c>
      <c r="F4444" t="s">
        <v>520</v>
      </c>
      <c r="G4444">
        <v>2</v>
      </c>
      <c r="H4444">
        <v>140</v>
      </c>
      <c r="I4444" s="25">
        <v>3000</v>
      </c>
      <c r="K4444" t="s">
        <v>909</v>
      </c>
      <c r="L4444" t="s">
        <v>11</v>
      </c>
      <c r="M4444" t="s">
        <v>95</v>
      </c>
      <c r="N4444" t="s">
        <v>40</v>
      </c>
      <c r="O4444">
        <v>83</v>
      </c>
      <c r="Q4444">
        <v>2</v>
      </c>
      <c r="R4444">
        <v>1</v>
      </c>
      <c r="S4444">
        <v>0</v>
      </c>
      <c r="T4444">
        <v>0</v>
      </c>
      <c r="U4444">
        <v>0</v>
      </c>
      <c r="V4444">
        <v>2</v>
      </c>
      <c r="W4444">
        <v>0</v>
      </c>
      <c r="X4444" s="21">
        <v>0</v>
      </c>
      <c r="Y4444" s="21">
        <v>0</v>
      </c>
      <c r="Z4444" s="21">
        <v>0</v>
      </c>
      <c r="AA4444" s="21">
        <v>0</v>
      </c>
      <c r="AB4444" s="21">
        <v>0</v>
      </c>
      <c r="AC4444" s="21">
        <v>0</v>
      </c>
      <c r="AD4444" s="21">
        <v>0</v>
      </c>
      <c r="AE4444" s="21">
        <v>0</v>
      </c>
      <c r="AF4444">
        <v>0</v>
      </c>
      <c r="AG4444">
        <v>0</v>
      </c>
      <c r="AH4444">
        <v>128</v>
      </c>
      <c r="AJ4444" t="s">
        <v>51</v>
      </c>
      <c r="AK4444" t="s">
        <v>52</v>
      </c>
      <c r="AP4444" t="s">
        <v>951</v>
      </c>
    </row>
    <row r="4445" spans="1:42">
      <c r="A4445" s="16">
        <v>43847</v>
      </c>
      <c r="B4445">
        <v>5</v>
      </c>
      <c r="C4445">
        <v>210</v>
      </c>
      <c r="D4445">
        <v>14638</v>
      </c>
      <c r="E4445" t="s">
        <v>37</v>
      </c>
      <c r="F4445" t="s">
        <v>104</v>
      </c>
      <c r="G4445">
        <v>2</v>
      </c>
      <c r="H4445">
        <v>1</v>
      </c>
      <c r="I4445" s="25">
        <v>1540</v>
      </c>
      <c r="K4445" t="s">
        <v>210</v>
      </c>
      <c r="N4445" t="s">
        <v>44</v>
      </c>
      <c r="O4445">
        <v>80</v>
      </c>
      <c r="Q4445">
        <v>1</v>
      </c>
      <c r="R4445">
        <v>1</v>
      </c>
      <c r="S4445">
        <v>0</v>
      </c>
      <c r="T4445">
        <v>0</v>
      </c>
      <c r="U4445">
        <v>0</v>
      </c>
      <c r="V4445">
        <v>0</v>
      </c>
      <c r="W4445">
        <v>1</v>
      </c>
      <c r="X4445" s="21">
        <v>0</v>
      </c>
      <c r="Y4445" s="21">
        <v>0</v>
      </c>
      <c r="Z4445" s="21">
        <v>0</v>
      </c>
      <c r="AA4445" s="21">
        <v>0</v>
      </c>
      <c r="AB4445" s="21">
        <v>0</v>
      </c>
      <c r="AC4445" s="21">
        <v>0</v>
      </c>
      <c r="AD4445" s="21">
        <v>0</v>
      </c>
      <c r="AE4445" s="21">
        <v>0</v>
      </c>
      <c r="AF4445">
        <v>0</v>
      </c>
      <c r="AG4445">
        <v>0</v>
      </c>
      <c r="AH4445">
        <v>96</v>
      </c>
      <c r="AJ4445" t="s">
        <v>51</v>
      </c>
      <c r="AK4445" t="s">
        <v>95</v>
      </c>
      <c r="AP4445" t="s">
        <v>951</v>
      </c>
    </row>
    <row r="4446" spans="1:42">
      <c r="A4446" s="16">
        <v>43847</v>
      </c>
      <c r="B4446">
        <v>5</v>
      </c>
      <c r="C4446">
        <v>210</v>
      </c>
      <c r="D4446">
        <v>14638</v>
      </c>
      <c r="E4446" t="s">
        <v>37</v>
      </c>
      <c r="F4446" t="s">
        <v>104</v>
      </c>
      <c r="G4446">
        <v>2</v>
      </c>
      <c r="H4446">
        <v>2</v>
      </c>
      <c r="I4446" s="25">
        <v>3210</v>
      </c>
      <c r="K4446" t="s">
        <v>638</v>
      </c>
      <c r="N4446" t="s">
        <v>44</v>
      </c>
      <c r="O4446">
        <v>58</v>
      </c>
      <c r="Q4446">
        <v>1</v>
      </c>
      <c r="R4446">
        <v>1</v>
      </c>
      <c r="S4446">
        <v>0</v>
      </c>
      <c r="T4446">
        <v>0</v>
      </c>
      <c r="U4446">
        <v>0</v>
      </c>
      <c r="V4446">
        <v>0</v>
      </c>
      <c r="W4446">
        <v>1</v>
      </c>
      <c r="X4446" s="21">
        <v>0</v>
      </c>
      <c r="Y4446" s="21">
        <v>0</v>
      </c>
      <c r="Z4446" s="21">
        <v>0</v>
      </c>
      <c r="AA4446" s="21">
        <v>0</v>
      </c>
      <c r="AB4446" s="21">
        <v>0</v>
      </c>
      <c r="AC4446" s="21">
        <v>0</v>
      </c>
      <c r="AD4446" s="21">
        <v>0</v>
      </c>
      <c r="AE4446" s="21">
        <v>0</v>
      </c>
      <c r="AF4446">
        <v>0</v>
      </c>
      <c r="AG4446">
        <v>0</v>
      </c>
      <c r="AH4446">
        <v>96</v>
      </c>
      <c r="AJ4446" t="s">
        <v>51</v>
      </c>
      <c r="AK4446" t="s">
        <v>95</v>
      </c>
      <c r="AP4446" t="s">
        <v>951</v>
      </c>
    </row>
    <row r="4447" spans="1:42">
      <c r="A4447" s="16">
        <v>43847</v>
      </c>
      <c r="B4447">
        <v>5</v>
      </c>
      <c r="C4447">
        <v>210</v>
      </c>
      <c r="D4447">
        <v>14638</v>
      </c>
      <c r="E4447" t="s">
        <v>37</v>
      </c>
      <c r="F4447" t="s">
        <v>104</v>
      </c>
      <c r="G4447">
        <v>2</v>
      </c>
      <c r="H4447">
        <v>3</v>
      </c>
      <c r="I4447" s="25" t="s">
        <v>1481</v>
      </c>
      <c r="K4447" t="s">
        <v>638</v>
      </c>
      <c r="N4447" t="s">
        <v>44</v>
      </c>
      <c r="O4447">
        <v>266</v>
      </c>
      <c r="Q4447">
        <v>2</v>
      </c>
      <c r="R4447">
        <v>1</v>
      </c>
      <c r="S4447">
        <v>0</v>
      </c>
      <c r="T4447">
        <v>0</v>
      </c>
      <c r="U4447">
        <v>0</v>
      </c>
      <c r="V4447">
        <v>0</v>
      </c>
      <c r="W4447">
        <v>2</v>
      </c>
      <c r="X4447" s="21">
        <v>0</v>
      </c>
      <c r="Y4447" s="21">
        <v>0</v>
      </c>
      <c r="Z4447" s="21">
        <v>0</v>
      </c>
      <c r="AA4447" s="21">
        <v>0</v>
      </c>
      <c r="AB4447" s="21">
        <v>0</v>
      </c>
      <c r="AC4447" s="21">
        <v>0</v>
      </c>
      <c r="AD4447" s="21">
        <v>0</v>
      </c>
      <c r="AE4447" s="21">
        <v>0</v>
      </c>
      <c r="AF4447">
        <v>0</v>
      </c>
      <c r="AG4447">
        <v>0</v>
      </c>
      <c r="AH4447">
        <v>192</v>
      </c>
      <c r="AJ4447" t="s">
        <v>51</v>
      </c>
      <c r="AK4447" t="s">
        <v>95</v>
      </c>
      <c r="AL4447" t="s">
        <v>1482</v>
      </c>
      <c r="AP4447" t="s">
        <v>951</v>
      </c>
    </row>
    <row r="4448" spans="1:42">
      <c r="A4448" s="16">
        <v>43847</v>
      </c>
      <c r="B4448">
        <v>5</v>
      </c>
      <c r="C4448">
        <v>210</v>
      </c>
      <c r="D4448">
        <v>14638</v>
      </c>
      <c r="E4448" t="s">
        <v>37</v>
      </c>
      <c r="F4448" t="s">
        <v>104</v>
      </c>
      <c r="G4448">
        <v>2</v>
      </c>
      <c r="H4448">
        <v>4</v>
      </c>
      <c r="I4448" s="25">
        <v>3035</v>
      </c>
      <c r="K4448" t="s">
        <v>638</v>
      </c>
      <c r="N4448" t="s">
        <v>44</v>
      </c>
      <c r="O4448">
        <v>75</v>
      </c>
      <c r="Q4448">
        <v>1</v>
      </c>
      <c r="R4448">
        <v>1</v>
      </c>
      <c r="S4448">
        <v>0</v>
      </c>
      <c r="T4448">
        <v>0</v>
      </c>
      <c r="U4448">
        <v>0</v>
      </c>
      <c r="V4448">
        <v>0</v>
      </c>
      <c r="W4448">
        <v>1</v>
      </c>
      <c r="X4448" s="21">
        <v>0</v>
      </c>
      <c r="Y4448" s="21">
        <v>0</v>
      </c>
      <c r="Z4448" s="21">
        <v>0</v>
      </c>
      <c r="AA4448" s="21">
        <v>0</v>
      </c>
      <c r="AB4448" s="21">
        <v>0</v>
      </c>
      <c r="AC4448" s="21">
        <v>0</v>
      </c>
      <c r="AD4448" s="21">
        <v>0</v>
      </c>
      <c r="AE4448" s="21">
        <v>0</v>
      </c>
      <c r="AF4448">
        <v>0</v>
      </c>
      <c r="AG4448">
        <v>0</v>
      </c>
      <c r="AH4448">
        <v>96</v>
      </c>
      <c r="AJ4448" t="s">
        <v>51</v>
      </c>
      <c r="AK4448" t="s">
        <v>52</v>
      </c>
      <c r="AP4448" t="s">
        <v>951</v>
      </c>
    </row>
    <row r="4449" spans="1:42">
      <c r="A4449" s="16">
        <v>43847</v>
      </c>
      <c r="B4449">
        <v>5</v>
      </c>
      <c r="C4449">
        <v>210</v>
      </c>
      <c r="D4449">
        <v>14638</v>
      </c>
      <c r="E4449" t="s">
        <v>37</v>
      </c>
      <c r="F4449" t="s">
        <v>104</v>
      </c>
      <c r="G4449">
        <v>2</v>
      </c>
      <c r="H4449">
        <v>5</v>
      </c>
      <c r="I4449" s="25">
        <v>1610</v>
      </c>
      <c r="K4449" t="s">
        <v>210</v>
      </c>
      <c r="N4449" t="s">
        <v>44</v>
      </c>
      <c r="O4449">
        <v>81</v>
      </c>
      <c r="Q4449">
        <v>1</v>
      </c>
      <c r="R4449">
        <v>1</v>
      </c>
      <c r="S4449">
        <v>0</v>
      </c>
      <c r="T4449">
        <v>0</v>
      </c>
      <c r="U4449">
        <v>0</v>
      </c>
      <c r="V4449">
        <v>0</v>
      </c>
      <c r="W4449">
        <v>1</v>
      </c>
      <c r="X4449" s="21">
        <v>0</v>
      </c>
      <c r="Y4449" s="21">
        <v>0</v>
      </c>
      <c r="Z4449" s="21">
        <v>0</v>
      </c>
      <c r="AA4449" s="21">
        <v>0</v>
      </c>
      <c r="AB4449" s="21">
        <v>0</v>
      </c>
      <c r="AC4449" s="21">
        <v>0</v>
      </c>
      <c r="AD4449" s="21">
        <v>0</v>
      </c>
      <c r="AE4449" s="21">
        <v>0</v>
      </c>
      <c r="AF4449">
        <v>0</v>
      </c>
      <c r="AG4449">
        <v>0</v>
      </c>
      <c r="AH4449">
        <v>96</v>
      </c>
      <c r="AJ4449" t="s">
        <v>51</v>
      </c>
      <c r="AK4449" t="s">
        <v>95</v>
      </c>
      <c r="AP4449" t="s">
        <v>951</v>
      </c>
    </row>
    <row r="4450" spans="1:42">
      <c r="A4450" s="16">
        <v>43847</v>
      </c>
      <c r="B4450">
        <v>5</v>
      </c>
      <c r="C4450">
        <v>210</v>
      </c>
      <c r="D4450">
        <v>14638</v>
      </c>
      <c r="E4450" t="s">
        <v>37</v>
      </c>
      <c r="F4450" t="s">
        <v>104</v>
      </c>
      <c r="G4450">
        <v>2</v>
      </c>
      <c r="H4450">
        <v>6</v>
      </c>
      <c r="I4450" s="25">
        <v>1662</v>
      </c>
      <c r="K4450" t="s">
        <v>210</v>
      </c>
      <c r="N4450" t="s">
        <v>44</v>
      </c>
      <c r="O4450">
        <v>29</v>
      </c>
      <c r="Q4450">
        <v>1</v>
      </c>
      <c r="R4450">
        <v>1</v>
      </c>
      <c r="S4450">
        <v>0</v>
      </c>
      <c r="T4450">
        <v>0</v>
      </c>
      <c r="U4450">
        <v>0</v>
      </c>
      <c r="V4450">
        <v>1</v>
      </c>
      <c r="W4450">
        <v>0</v>
      </c>
      <c r="X4450" s="21">
        <v>0</v>
      </c>
      <c r="Y4450" s="21">
        <v>0</v>
      </c>
      <c r="Z4450" s="21">
        <v>0</v>
      </c>
      <c r="AA4450" s="21">
        <v>0</v>
      </c>
      <c r="AB4450" s="21">
        <v>0</v>
      </c>
      <c r="AC4450" s="21">
        <v>0</v>
      </c>
      <c r="AD4450" s="21">
        <v>0</v>
      </c>
      <c r="AE4450" s="21">
        <v>0</v>
      </c>
      <c r="AF4450">
        <v>0</v>
      </c>
      <c r="AG4450">
        <v>0</v>
      </c>
      <c r="AH4450">
        <v>64</v>
      </c>
      <c r="AJ4450" t="s">
        <v>51</v>
      </c>
      <c r="AK4450" t="s">
        <v>95</v>
      </c>
      <c r="AP4450" t="s">
        <v>951</v>
      </c>
    </row>
    <row r="4451" spans="1:42">
      <c r="A4451" s="16">
        <v>43847</v>
      </c>
      <c r="B4451">
        <v>5</v>
      </c>
      <c r="C4451">
        <v>210</v>
      </c>
      <c r="D4451">
        <v>14638</v>
      </c>
      <c r="E4451" t="s">
        <v>37</v>
      </c>
      <c r="F4451" t="s">
        <v>104</v>
      </c>
      <c r="G4451">
        <v>2</v>
      </c>
      <c r="H4451">
        <v>7</v>
      </c>
      <c r="I4451" s="25">
        <v>3310</v>
      </c>
      <c r="K4451" t="s">
        <v>595</v>
      </c>
      <c r="N4451" t="s">
        <v>44</v>
      </c>
      <c r="O4451">
        <v>71</v>
      </c>
      <c r="Q4451">
        <v>2</v>
      </c>
      <c r="R4451">
        <v>1</v>
      </c>
      <c r="S4451">
        <v>0</v>
      </c>
      <c r="T4451">
        <v>0</v>
      </c>
      <c r="U4451">
        <v>0</v>
      </c>
      <c r="V4451">
        <v>0</v>
      </c>
      <c r="W4451">
        <v>2</v>
      </c>
      <c r="X4451" s="21">
        <v>0</v>
      </c>
      <c r="Y4451" s="21">
        <v>0</v>
      </c>
      <c r="Z4451" s="21">
        <v>0</v>
      </c>
      <c r="AA4451" s="21">
        <v>0</v>
      </c>
      <c r="AB4451" s="21">
        <v>0</v>
      </c>
      <c r="AC4451" s="21">
        <v>0</v>
      </c>
      <c r="AD4451" s="21">
        <v>0</v>
      </c>
      <c r="AE4451" s="21">
        <v>0</v>
      </c>
      <c r="AF4451">
        <v>0</v>
      </c>
      <c r="AG4451">
        <v>0</v>
      </c>
      <c r="AH4451">
        <v>192</v>
      </c>
      <c r="AJ4451" t="s">
        <v>51</v>
      </c>
      <c r="AK4451" t="s">
        <v>95</v>
      </c>
      <c r="AP4451" t="s">
        <v>951</v>
      </c>
    </row>
    <row r="4452" spans="1:42">
      <c r="A4452" s="16">
        <v>43847</v>
      </c>
      <c r="B4452">
        <v>5</v>
      </c>
      <c r="C4452">
        <v>210</v>
      </c>
      <c r="D4452">
        <v>14638</v>
      </c>
      <c r="E4452" t="s">
        <v>37</v>
      </c>
      <c r="F4452" t="s">
        <v>104</v>
      </c>
      <c r="G4452">
        <v>2</v>
      </c>
      <c r="H4452">
        <v>8</v>
      </c>
      <c r="I4452" s="25">
        <v>3124</v>
      </c>
      <c r="K4452" t="s">
        <v>595</v>
      </c>
      <c r="N4452" t="s">
        <v>44</v>
      </c>
      <c r="O4452">
        <v>42</v>
      </c>
      <c r="Q4452">
        <v>1</v>
      </c>
      <c r="R4452">
        <v>1</v>
      </c>
      <c r="S4452">
        <v>0</v>
      </c>
      <c r="T4452">
        <v>0</v>
      </c>
      <c r="U4452">
        <v>0</v>
      </c>
      <c r="V4452">
        <v>0</v>
      </c>
      <c r="W4452">
        <v>1</v>
      </c>
      <c r="X4452" s="21">
        <v>0</v>
      </c>
      <c r="Y4452" s="21">
        <v>0</v>
      </c>
      <c r="Z4452" s="21">
        <v>0</v>
      </c>
      <c r="AA4452" s="21">
        <v>0</v>
      </c>
      <c r="AB4452" s="21">
        <v>0</v>
      </c>
      <c r="AC4452" s="21">
        <v>0</v>
      </c>
      <c r="AD4452" s="21">
        <v>0</v>
      </c>
      <c r="AE4452" s="21">
        <v>0</v>
      </c>
      <c r="AF4452">
        <v>0</v>
      </c>
      <c r="AG4452">
        <v>0</v>
      </c>
      <c r="AH4452">
        <v>96</v>
      </c>
      <c r="AJ4452" t="s">
        <v>51</v>
      </c>
      <c r="AK4452" t="s">
        <v>95</v>
      </c>
      <c r="AL4452" t="s">
        <v>1405</v>
      </c>
      <c r="AP4452" t="s">
        <v>951</v>
      </c>
    </row>
    <row r="4453" spans="1:42">
      <c r="A4453" s="16">
        <v>43847</v>
      </c>
      <c r="B4453">
        <v>5</v>
      </c>
      <c r="C4453">
        <v>210</v>
      </c>
      <c r="D4453">
        <v>14638</v>
      </c>
      <c r="E4453" t="s">
        <v>37</v>
      </c>
      <c r="F4453" t="s">
        <v>104</v>
      </c>
      <c r="G4453">
        <v>2</v>
      </c>
      <c r="H4453">
        <v>9</v>
      </c>
      <c r="I4453" s="25">
        <v>3140</v>
      </c>
      <c r="K4453" t="s">
        <v>595</v>
      </c>
      <c r="N4453" t="s">
        <v>44</v>
      </c>
      <c r="O4453">
        <v>59</v>
      </c>
      <c r="Q4453">
        <v>1</v>
      </c>
      <c r="R4453">
        <v>1</v>
      </c>
      <c r="S4453">
        <v>0</v>
      </c>
      <c r="T4453">
        <v>0</v>
      </c>
      <c r="U4453">
        <v>0</v>
      </c>
      <c r="V4453">
        <v>0</v>
      </c>
      <c r="W4453">
        <v>1</v>
      </c>
      <c r="X4453" s="21">
        <v>0</v>
      </c>
      <c r="Y4453" s="21">
        <v>0</v>
      </c>
      <c r="Z4453" s="21">
        <v>0</v>
      </c>
      <c r="AA4453" s="21">
        <v>0</v>
      </c>
      <c r="AB4453" s="21">
        <v>0</v>
      </c>
      <c r="AC4453" s="21">
        <v>0</v>
      </c>
      <c r="AD4453" s="21">
        <v>0</v>
      </c>
      <c r="AE4453" s="21">
        <v>0</v>
      </c>
      <c r="AF4453">
        <v>0</v>
      </c>
      <c r="AG4453">
        <v>0</v>
      </c>
      <c r="AH4453">
        <v>96</v>
      </c>
      <c r="AJ4453" t="s">
        <v>51</v>
      </c>
      <c r="AK4453" t="s">
        <v>95</v>
      </c>
      <c r="AP4453" t="s">
        <v>951</v>
      </c>
    </row>
    <row r="4454" spans="1:42">
      <c r="A4454" s="16">
        <v>43847</v>
      </c>
      <c r="B4454">
        <v>5</v>
      </c>
      <c r="C4454">
        <v>210</v>
      </c>
      <c r="D4454">
        <v>14638</v>
      </c>
      <c r="E4454" t="s">
        <v>37</v>
      </c>
      <c r="F4454" t="s">
        <v>104</v>
      </c>
      <c r="G4454">
        <v>2</v>
      </c>
      <c r="H4454">
        <v>10</v>
      </c>
      <c r="I4454" s="25">
        <v>3500</v>
      </c>
      <c r="K4454" t="s">
        <v>909</v>
      </c>
      <c r="N4454" t="s">
        <v>44</v>
      </c>
      <c r="O4454">
        <v>163</v>
      </c>
      <c r="Q4454">
        <v>9</v>
      </c>
      <c r="R4454">
        <v>1</v>
      </c>
      <c r="S4454">
        <v>0</v>
      </c>
      <c r="T4454">
        <v>0</v>
      </c>
      <c r="U4454">
        <v>1</v>
      </c>
      <c r="V4454">
        <v>8</v>
      </c>
      <c r="W4454">
        <v>0</v>
      </c>
      <c r="X4454" s="21">
        <v>0</v>
      </c>
      <c r="Y4454" s="21">
        <v>0</v>
      </c>
      <c r="Z4454" s="21">
        <v>0</v>
      </c>
      <c r="AA4454" s="21">
        <v>0</v>
      </c>
      <c r="AB4454" s="21">
        <v>0</v>
      </c>
      <c r="AC4454" s="21">
        <v>0</v>
      </c>
      <c r="AD4454" s="21">
        <v>0</v>
      </c>
      <c r="AE4454" s="21">
        <v>0</v>
      </c>
      <c r="AF4454">
        <v>0</v>
      </c>
      <c r="AG4454">
        <v>0</v>
      </c>
      <c r="AH4454">
        <v>544</v>
      </c>
      <c r="AJ4454" t="s">
        <v>51</v>
      </c>
      <c r="AK4454" t="s">
        <v>95</v>
      </c>
      <c r="AP4454" t="s">
        <v>951</v>
      </c>
    </row>
    <row r="4455" spans="1:42">
      <c r="A4455" s="16">
        <v>43847</v>
      </c>
      <c r="B4455">
        <v>5</v>
      </c>
      <c r="C4455">
        <v>210</v>
      </c>
      <c r="D4455">
        <v>14638</v>
      </c>
      <c r="E4455" t="s">
        <v>37</v>
      </c>
      <c r="F4455" t="s">
        <v>104</v>
      </c>
      <c r="G4455">
        <v>2</v>
      </c>
      <c r="H4455">
        <v>11</v>
      </c>
      <c r="I4455" s="25">
        <v>3741</v>
      </c>
      <c r="K4455" t="s">
        <v>596</v>
      </c>
      <c r="N4455" t="s">
        <v>44</v>
      </c>
      <c r="O4455">
        <v>37</v>
      </c>
      <c r="Q4455">
        <v>1</v>
      </c>
      <c r="R4455">
        <v>1</v>
      </c>
      <c r="S4455">
        <v>0</v>
      </c>
      <c r="T4455">
        <v>0</v>
      </c>
      <c r="U4455">
        <v>0</v>
      </c>
      <c r="V4455">
        <v>0</v>
      </c>
      <c r="W4455">
        <v>1</v>
      </c>
      <c r="X4455" s="21">
        <v>0</v>
      </c>
      <c r="Y4455" s="21">
        <v>0</v>
      </c>
      <c r="Z4455" s="21">
        <v>0</v>
      </c>
      <c r="AA4455" s="21">
        <v>0</v>
      </c>
      <c r="AB4455" s="21">
        <v>0</v>
      </c>
      <c r="AC4455" s="21">
        <v>0</v>
      </c>
      <c r="AD4455" s="21">
        <v>0</v>
      </c>
      <c r="AE4455" s="21">
        <v>0</v>
      </c>
      <c r="AF4455">
        <v>0</v>
      </c>
      <c r="AG4455">
        <v>0</v>
      </c>
      <c r="AH4455">
        <v>96</v>
      </c>
      <c r="AJ4455" t="s">
        <v>51</v>
      </c>
      <c r="AK4455" t="s">
        <v>95</v>
      </c>
      <c r="AL4455" t="s">
        <v>1483</v>
      </c>
      <c r="AP4455" t="s">
        <v>951</v>
      </c>
    </row>
    <row r="4456" spans="1:42">
      <c r="A4456" s="16">
        <v>43847</v>
      </c>
      <c r="B4456">
        <v>5</v>
      </c>
      <c r="C4456">
        <v>210</v>
      </c>
      <c r="D4456">
        <v>14638</v>
      </c>
      <c r="E4456" t="s">
        <v>37</v>
      </c>
      <c r="F4456" t="s">
        <v>104</v>
      </c>
      <c r="G4456">
        <v>2</v>
      </c>
      <c r="H4456">
        <v>12</v>
      </c>
      <c r="I4456" s="25">
        <v>3727</v>
      </c>
      <c r="K4456" t="s">
        <v>596</v>
      </c>
      <c r="L4456" t="s">
        <v>141</v>
      </c>
      <c r="N4456" t="s">
        <v>40</v>
      </c>
      <c r="O4456">
        <v>177</v>
      </c>
      <c r="Q4456">
        <v>5</v>
      </c>
      <c r="R4456">
        <v>1</v>
      </c>
      <c r="S4456">
        <v>0</v>
      </c>
      <c r="T4456">
        <v>0</v>
      </c>
      <c r="U4456">
        <v>0</v>
      </c>
      <c r="V4456">
        <v>1</v>
      </c>
      <c r="W4456">
        <v>4</v>
      </c>
      <c r="X4456" s="21">
        <v>0</v>
      </c>
      <c r="Y4456" s="21">
        <v>0</v>
      </c>
      <c r="Z4456" s="21">
        <v>0</v>
      </c>
      <c r="AA4456" s="21">
        <v>0</v>
      </c>
      <c r="AB4456" s="21">
        <v>0</v>
      </c>
      <c r="AC4456" s="21">
        <v>0</v>
      </c>
      <c r="AD4456" s="21">
        <v>0</v>
      </c>
      <c r="AE4456" s="21">
        <v>0</v>
      </c>
      <c r="AF4456">
        <v>0</v>
      </c>
      <c r="AG4456">
        <v>0</v>
      </c>
      <c r="AH4456">
        <v>448</v>
      </c>
      <c r="AJ4456" t="s">
        <v>51</v>
      </c>
      <c r="AK4456" t="s">
        <v>95</v>
      </c>
      <c r="AP4456" t="s">
        <v>951</v>
      </c>
    </row>
    <row r="4457" spans="1:42">
      <c r="A4457" s="16">
        <v>43847</v>
      </c>
      <c r="B4457">
        <v>5</v>
      </c>
      <c r="C4457">
        <v>210</v>
      </c>
      <c r="D4457">
        <v>14638</v>
      </c>
      <c r="E4457" t="s">
        <v>37</v>
      </c>
      <c r="F4457" t="s">
        <v>104</v>
      </c>
      <c r="G4457">
        <v>2</v>
      </c>
      <c r="H4457">
        <v>13</v>
      </c>
      <c r="I4457" s="25">
        <v>1626</v>
      </c>
      <c r="K4457" t="s">
        <v>570</v>
      </c>
      <c r="N4457" t="s">
        <v>44</v>
      </c>
      <c r="O4457">
        <v>52</v>
      </c>
      <c r="Q4457">
        <v>2</v>
      </c>
      <c r="R4457">
        <v>1</v>
      </c>
      <c r="S4457">
        <v>0</v>
      </c>
      <c r="T4457">
        <v>0</v>
      </c>
      <c r="U4457">
        <v>1</v>
      </c>
      <c r="V4457">
        <v>0</v>
      </c>
      <c r="W4457">
        <v>1</v>
      </c>
      <c r="X4457" s="21">
        <v>0</v>
      </c>
      <c r="Y4457" s="21">
        <v>0</v>
      </c>
      <c r="Z4457" s="21">
        <v>0</v>
      </c>
      <c r="AA4457" s="21">
        <v>0</v>
      </c>
      <c r="AB4457" s="21">
        <v>0</v>
      </c>
      <c r="AC4457" s="21">
        <v>0</v>
      </c>
      <c r="AD4457" s="21">
        <v>0</v>
      </c>
      <c r="AE4457" s="21">
        <v>0</v>
      </c>
      <c r="AF4457">
        <v>0</v>
      </c>
      <c r="AG4457">
        <v>0</v>
      </c>
      <c r="AH4457">
        <v>128</v>
      </c>
      <c r="AJ4457" t="s">
        <v>51</v>
      </c>
      <c r="AK4457" t="s">
        <v>95</v>
      </c>
      <c r="AP4457" t="s">
        <v>951</v>
      </c>
    </row>
    <row r="4458" spans="1:42">
      <c r="A4458" s="16">
        <v>43847</v>
      </c>
      <c r="B4458">
        <v>5</v>
      </c>
      <c r="C4458">
        <v>210</v>
      </c>
      <c r="D4458">
        <v>14638</v>
      </c>
      <c r="E4458" t="s">
        <v>37</v>
      </c>
      <c r="F4458" t="s">
        <v>104</v>
      </c>
      <c r="G4458">
        <v>2</v>
      </c>
      <c r="H4458">
        <v>14</v>
      </c>
      <c r="I4458" s="25">
        <v>3653</v>
      </c>
      <c r="K4458" t="s">
        <v>596</v>
      </c>
      <c r="L4458" t="s">
        <v>141</v>
      </c>
      <c r="N4458" t="s">
        <v>40</v>
      </c>
      <c r="O4458">
        <v>31</v>
      </c>
      <c r="Q4458">
        <v>1</v>
      </c>
      <c r="R4458">
        <v>1</v>
      </c>
      <c r="S4458">
        <v>0</v>
      </c>
      <c r="T4458">
        <v>0</v>
      </c>
      <c r="U4458">
        <v>0</v>
      </c>
      <c r="V4458">
        <v>0</v>
      </c>
      <c r="W4458">
        <v>1</v>
      </c>
      <c r="X4458" s="21">
        <v>0</v>
      </c>
      <c r="Y4458" s="21">
        <v>0</v>
      </c>
      <c r="Z4458" s="21">
        <v>0</v>
      </c>
      <c r="AA4458" s="21">
        <v>0</v>
      </c>
      <c r="AB4458" s="21">
        <v>0</v>
      </c>
      <c r="AC4458" s="21">
        <v>0</v>
      </c>
      <c r="AD4458" s="21">
        <v>0</v>
      </c>
      <c r="AE4458" s="21">
        <v>0</v>
      </c>
      <c r="AF4458">
        <v>0</v>
      </c>
      <c r="AG4458">
        <v>0</v>
      </c>
      <c r="AH4458">
        <v>96</v>
      </c>
      <c r="AJ4458" t="s">
        <v>51</v>
      </c>
      <c r="AK4458" t="s">
        <v>95</v>
      </c>
      <c r="AP4458" t="s">
        <v>951</v>
      </c>
    </row>
    <row r="4459" spans="1:42">
      <c r="A4459" s="16">
        <v>43847</v>
      </c>
      <c r="B4459">
        <v>5</v>
      </c>
      <c r="C4459">
        <v>210</v>
      </c>
      <c r="D4459">
        <v>14638</v>
      </c>
      <c r="E4459" t="s">
        <v>37</v>
      </c>
      <c r="F4459" t="s">
        <v>104</v>
      </c>
      <c r="G4459">
        <v>2</v>
      </c>
      <c r="H4459">
        <v>15</v>
      </c>
      <c r="I4459" s="25">
        <v>3645</v>
      </c>
      <c r="K4459" t="s">
        <v>596</v>
      </c>
      <c r="N4459" t="s">
        <v>44</v>
      </c>
      <c r="O4459">
        <v>94</v>
      </c>
      <c r="Q4459">
        <v>2</v>
      </c>
      <c r="R4459">
        <v>1</v>
      </c>
      <c r="S4459">
        <v>0</v>
      </c>
      <c r="T4459">
        <v>0</v>
      </c>
      <c r="U4459">
        <v>0</v>
      </c>
      <c r="V4459">
        <v>0</v>
      </c>
      <c r="W4459">
        <v>2</v>
      </c>
      <c r="X4459" s="21">
        <v>0</v>
      </c>
      <c r="Y4459" s="21">
        <v>0</v>
      </c>
      <c r="Z4459" s="21">
        <v>0</v>
      </c>
      <c r="AA4459" s="21">
        <v>0</v>
      </c>
      <c r="AB4459" s="21">
        <v>0</v>
      </c>
      <c r="AC4459" s="21">
        <v>0</v>
      </c>
      <c r="AD4459" s="21">
        <v>0</v>
      </c>
      <c r="AE4459" s="21">
        <v>0</v>
      </c>
      <c r="AF4459">
        <v>0</v>
      </c>
      <c r="AG4459">
        <v>0</v>
      </c>
      <c r="AH4459">
        <v>192</v>
      </c>
      <c r="AJ4459" t="s">
        <v>51</v>
      </c>
      <c r="AK4459" t="s">
        <v>95</v>
      </c>
      <c r="AP4459" t="s">
        <v>951</v>
      </c>
    </row>
    <row r="4460" spans="1:42">
      <c r="A4460" s="16">
        <v>43847</v>
      </c>
      <c r="B4460">
        <v>5</v>
      </c>
      <c r="C4460">
        <v>210</v>
      </c>
      <c r="D4460">
        <v>14638</v>
      </c>
      <c r="E4460" t="s">
        <v>37</v>
      </c>
      <c r="F4460" t="s">
        <v>104</v>
      </c>
      <c r="G4460">
        <v>2</v>
      </c>
      <c r="H4460">
        <v>16</v>
      </c>
      <c r="I4460" s="25" t="s">
        <v>1484</v>
      </c>
      <c r="K4460" t="s">
        <v>596</v>
      </c>
      <c r="L4460" t="s">
        <v>141</v>
      </c>
      <c r="N4460" t="s">
        <v>42</v>
      </c>
      <c r="O4460">
        <v>37</v>
      </c>
      <c r="Q4460">
        <v>2</v>
      </c>
      <c r="R4460">
        <v>1</v>
      </c>
      <c r="S4460">
        <v>0</v>
      </c>
      <c r="T4460">
        <v>0</v>
      </c>
      <c r="U4460">
        <v>2</v>
      </c>
      <c r="V4460">
        <v>0</v>
      </c>
      <c r="W4460">
        <v>0</v>
      </c>
      <c r="X4460" s="21">
        <v>0</v>
      </c>
      <c r="Y4460" s="21">
        <v>0</v>
      </c>
      <c r="Z4460" s="21">
        <v>0</v>
      </c>
      <c r="AA4460" s="21">
        <v>0</v>
      </c>
      <c r="AB4460" s="21">
        <v>0</v>
      </c>
      <c r="AC4460" s="21">
        <v>0</v>
      </c>
      <c r="AD4460" s="21">
        <v>0</v>
      </c>
      <c r="AE4460" s="21">
        <v>0</v>
      </c>
      <c r="AF4460">
        <v>0</v>
      </c>
      <c r="AG4460">
        <v>0</v>
      </c>
      <c r="AH4460">
        <v>64</v>
      </c>
      <c r="AJ4460" t="s">
        <v>51</v>
      </c>
      <c r="AK4460" t="s">
        <v>95</v>
      </c>
      <c r="AP4460" t="s">
        <v>951</v>
      </c>
    </row>
    <row r="4461" spans="1:42">
      <c r="A4461" s="16">
        <v>43847</v>
      </c>
      <c r="B4461">
        <v>5</v>
      </c>
      <c r="C4461">
        <v>210</v>
      </c>
      <c r="D4461">
        <v>14638</v>
      </c>
      <c r="E4461" t="s">
        <v>37</v>
      </c>
      <c r="F4461" t="s">
        <v>104</v>
      </c>
      <c r="G4461">
        <v>2</v>
      </c>
      <c r="H4461">
        <v>17</v>
      </c>
      <c r="I4461" s="25">
        <v>3400</v>
      </c>
      <c r="K4461" t="s">
        <v>596</v>
      </c>
      <c r="N4461" t="s">
        <v>44</v>
      </c>
      <c r="O4461">
        <v>243</v>
      </c>
      <c r="Q4461">
        <v>9</v>
      </c>
      <c r="R4461">
        <v>1</v>
      </c>
      <c r="S4461">
        <v>0</v>
      </c>
      <c r="T4461">
        <v>0</v>
      </c>
      <c r="U4461">
        <v>0</v>
      </c>
      <c r="V4461">
        <v>2</v>
      </c>
      <c r="W4461">
        <v>7</v>
      </c>
      <c r="X4461" s="21">
        <v>0</v>
      </c>
      <c r="Y4461" s="21">
        <v>0</v>
      </c>
      <c r="Z4461" s="21">
        <v>0</v>
      </c>
      <c r="AA4461" s="21">
        <v>0</v>
      </c>
      <c r="AB4461" s="21">
        <v>0</v>
      </c>
      <c r="AC4461" s="21">
        <v>0</v>
      </c>
      <c r="AD4461" s="21">
        <v>0</v>
      </c>
      <c r="AE4461" s="21">
        <v>0</v>
      </c>
      <c r="AF4461">
        <v>0</v>
      </c>
      <c r="AG4461">
        <v>0</v>
      </c>
      <c r="AH4461">
        <v>800</v>
      </c>
      <c r="AJ4461" t="s">
        <v>51</v>
      </c>
      <c r="AK4461" t="s">
        <v>95</v>
      </c>
      <c r="AP4461" t="s">
        <v>951</v>
      </c>
    </row>
    <row r="4462" spans="1:42">
      <c r="A4462" s="16">
        <v>43847</v>
      </c>
      <c r="B4462">
        <v>5</v>
      </c>
      <c r="C4462">
        <v>210</v>
      </c>
      <c r="D4462">
        <v>14638</v>
      </c>
      <c r="E4462" t="s">
        <v>37</v>
      </c>
      <c r="F4462" t="s">
        <v>104</v>
      </c>
      <c r="G4462">
        <v>2</v>
      </c>
      <c r="H4462">
        <v>18</v>
      </c>
      <c r="I4462" s="25">
        <v>1593</v>
      </c>
      <c r="K4462" t="s">
        <v>570</v>
      </c>
      <c r="N4462" t="s">
        <v>44</v>
      </c>
      <c r="O4462">
        <v>53</v>
      </c>
      <c r="Q4462">
        <v>2</v>
      </c>
      <c r="R4462">
        <v>1</v>
      </c>
      <c r="S4462">
        <v>0</v>
      </c>
      <c r="T4462">
        <v>0</v>
      </c>
      <c r="U4462">
        <v>0</v>
      </c>
      <c r="V4462">
        <v>0</v>
      </c>
      <c r="W4462">
        <v>2</v>
      </c>
      <c r="X4462" s="21">
        <v>0</v>
      </c>
      <c r="Y4462" s="21">
        <v>0</v>
      </c>
      <c r="Z4462" s="21">
        <v>0</v>
      </c>
      <c r="AA4462" s="21">
        <v>0</v>
      </c>
      <c r="AB4462" s="21">
        <v>0</v>
      </c>
      <c r="AC4462" s="21">
        <v>0</v>
      </c>
      <c r="AD4462" s="21">
        <v>0</v>
      </c>
      <c r="AE4462" s="21">
        <v>0</v>
      </c>
      <c r="AF4462">
        <v>0</v>
      </c>
      <c r="AG4462">
        <v>0</v>
      </c>
      <c r="AH4462">
        <v>192</v>
      </c>
      <c r="AJ4462" t="s">
        <v>51</v>
      </c>
      <c r="AK4462" t="s">
        <v>95</v>
      </c>
      <c r="AP4462" t="s">
        <v>951</v>
      </c>
    </row>
    <row r="4463" spans="1:42">
      <c r="A4463" s="16">
        <v>43847</v>
      </c>
      <c r="B4463">
        <v>5</v>
      </c>
      <c r="C4463">
        <v>210</v>
      </c>
      <c r="D4463">
        <v>14638</v>
      </c>
      <c r="E4463" t="s">
        <v>37</v>
      </c>
      <c r="F4463" t="s">
        <v>104</v>
      </c>
      <c r="G4463">
        <v>2</v>
      </c>
      <c r="H4463">
        <v>19</v>
      </c>
      <c r="I4463" s="25">
        <v>1503</v>
      </c>
      <c r="K4463" t="s">
        <v>570</v>
      </c>
      <c r="N4463" t="s">
        <v>44</v>
      </c>
      <c r="O4463">
        <v>79</v>
      </c>
      <c r="Q4463">
        <v>2</v>
      </c>
      <c r="R4463">
        <v>1</v>
      </c>
      <c r="S4463">
        <v>0</v>
      </c>
      <c r="T4463">
        <v>0</v>
      </c>
      <c r="U4463">
        <v>1</v>
      </c>
      <c r="V4463">
        <v>1</v>
      </c>
      <c r="W4463">
        <v>0</v>
      </c>
      <c r="X4463" s="21">
        <v>0</v>
      </c>
      <c r="Y4463" s="21">
        <v>0</v>
      </c>
      <c r="Z4463" s="21">
        <v>0</v>
      </c>
      <c r="AA4463" s="21">
        <v>0</v>
      </c>
      <c r="AB4463" s="21">
        <v>0</v>
      </c>
      <c r="AC4463" s="21">
        <v>0</v>
      </c>
      <c r="AD4463" s="21">
        <v>0</v>
      </c>
      <c r="AE4463" s="21">
        <v>0</v>
      </c>
      <c r="AF4463">
        <v>0</v>
      </c>
      <c r="AG4463">
        <v>0</v>
      </c>
      <c r="AH4463">
        <v>96</v>
      </c>
      <c r="AJ4463" t="s">
        <v>51</v>
      </c>
      <c r="AK4463" t="s">
        <v>95</v>
      </c>
      <c r="AP4463" t="s">
        <v>951</v>
      </c>
    </row>
    <row r="4464" spans="1:42">
      <c r="A4464" s="16">
        <v>43847</v>
      </c>
      <c r="B4464">
        <v>5</v>
      </c>
      <c r="C4464">
        <v>210</v>
      </c>
      <c r="D4464">
        <v>14638</v>
      </c>
      <c r="E4464" t="s">
        <v>37</v>
      </c>
      <c r="F4464" t="s">
        <v>104</v>
      </c>
      <c r="G4464">
        <v>2</v>
      </c>
      <c r="H4464">
        <v>20</v>
      </c>
      <c r="I4464" s="25">
        <v>1501</v>
      </c>
      <c r="K4464" t="s">
        <v>588</v>
      </c>
      <c r="N4464" t="s">
        <v>44</v>
      </c>
      <c r="O4464">
        <v>70</v>
      </c>
      <c r="Q4464">
        <v>2</v>
      </c>
      <c r="R4464">
        <v>1</v>
      </c>
      <c r="S4464">
        <v>0</v>
      </c>
      <c r="T4464">
        <v>0</v>
      </c>
      <c r="U4464">
        <v>0</v>
      </c>
      <c r="V4464">
        <v>0</v>
      </c>
      <c r="W4464">
        <v>2</v>
      </c>
      <c r="X4464" s="21">
        <v>0</v>
      </c>
      <c r="Y4464" s="21">
        <v>0</v>
      </c>
      <c r="Z4464" s="21">
        <v>0</v>
      </c>
      <c r="AA4464" s="21">
        <v>0</v>
      </c>
      <c r="AB4464" s="21">
        <v>0</v>
      </c>
      <c r="AC4464" s="21">
        <v>0</v>
      </c>
      <c r="AD4464" s="21">
        <v>0</v>
      </c>
      <c r="AE4464" s="21">
        <v>0</v>
      </c>
      <c r="AF4464">
        <v>0</v>
      </c>
      <c r="AG4464">
        <v>0</v>
      </c>
      <c r="AH4464">
        <v>192</v>
      </c>
      <c r="AJ4464" t="s">
        <v>51</v>
      </c>
      <c r="AK4464" t="s">
        <v>95</v>
      </c>
      <c r="AP4464" t="s">
        <v>951</v>
      </c>
    </row>
    <row r="4465" spans="1:42">
      <c r="A4465" s="16">
        <v>43847</v>
      </c>
      <c r="B4465">
        <v>5</v>
      </c>
      <c r="C4465">
        <v>210</v>
      </c>
      <c r="D4465">
        <v>14638</v>
      </c>
      <c r="E4465" t="s">
        <v>37</v>
      </c>
      <c r="F4465" t="s">
        <v>104</v>
      </c>
      <c r="G4465">
        <v>2</v>
      </c>
      <c r="H4465">
        <v>21</v>
      </c>
      <c r="I4465" s="25">
        <v>3201</v>
      </c>
      <c r="K4465" t="s">
        <v>638</v>
      </c>
      <c r="N4465" t="s">
        <v>44</v>
      </c>
      <c r="O4465">
        <v>39</v>
      </c>
      <c r="Q4465">
        <v>2</v>
      </c>
      <c r="R4465">
        <v>1</v>
      </c>
      <c r="S4465">
        <v>0</v>
      </c>
      <c r="T4465">
        <v>0</v>
      </c>
      <c r="U4465">
        <v>0</v>
      </c>
      <c r="V4465">
        <v>1</v>
      </c>
      <c r="W4465">
        <v>1</v>
      </c>
      <c r="X4465" s="21">
        <v>0</v>
      </c>
      <c r="Y4465" s="21">
        <v>0</v>
      </c>
      <c r="Z4465" s="21">
        <v>0</v>
      </c>
      <c r="AA4465" s="21">
        <v>0</v>
      </c>
      <c r="AB4465" s="21">
        <v>0</v>
      </c>
      <c r="AC4465" s="21">
        <v>0</v>
      </c>
      <c r="AD4465" s="21">
        <v>0</v>
      </c>
      <c r="AE4465" s="21">
        <v>0</v>
      </c>
      <c r="AF4465">
        <v>0</v>
      </c>
      <c r="AG4465">
        <v>0</v>
      </c>
      <c r="AH4465">
        <v>160</v>
      </c>
      <c r="AJ4465" t="s">
        <v>51</v>
      </c>
      <c r="AK4465" t="s">
        <v>95</v>
      </c>
      <c r="AP4465" t="s">
        <v>951</v>
      </c>
    </row>
    <row r="4466" spans="1:42">
      <c r="A4466" s="16">
        <v>43847</v>
      </c>
      <c r="B4466">
        <v>5</v>
      </c>
      <c r="C4466">
        <v>210</v>
      </c>
      <c r="D4466">
        <v>14638</v>
      </c>
      <c r="E4466" t="s">
        <v>37</v>
      </c>
      <c r="F4466" t="s">
        <v>104</v>
      </c>
      <c r="G4466">
        <v>2</v>
      </c>
      <c r="H4466">
        <v>22</v>
      </c>
      <c r="I4466" s="25">
        <v>3155</v>
      </c>
      <c r="K4466" t="s">
        <v>595</v>
      </c>
      <c r="N4466" t="s">
        <v>44</v>
      </c>
      <c r="O4466">
        <v>143</v>
      </c>
      <c r="Q4466">
        <v>1</v>
      </c>
      <c r="R4466">
        <v>1</v>
      </c>
      <c r="S4466">
        <v>0</v>
      </c>
      <c r="T4466">
        <v>0</v>
      </c>
      <c r="U4466">
        <v>0</v>
      </c>
      <c r="V4466">
        <v>0</v>
      </c>
      <c r="W4466">
        <v>1</v>
      </c>
      <c r="X4466" s="21">
        <v>0</v>
      </c>
      <c r="Y4466" s="21">
        <v>0</v>
      </c>
      <c r="Z4466" s="21">
        <v>0</v>
      </c>
      <c r="AA4466" s="21">
        <v>0</v>
      </c>
      <c r="AB4466" s="21">
        <v>0</v>
      </c>
      <c r="AC4466" s="21">
        <v>0</v>
      </c>
      <c r="AD4466" s="21">
        <v>0</v>
      </c>
      <c r="AE4466" s="21">
        <v>0</v>
      </c>
      <c r="AF4466">
        <v>0</v>
      </c>
      <c r="AG4466">
        <v>0</v>
      </c>
      <c r="AH4466">
        <v>96</v>
      </c>
      <c r="AJ4466" t="s">
        <v>51</v>
      </c>
      <c r="AK4466" t="s">
        <v>95</v>
      </c>
      <c r="AP4466" t="s">
        <v>951</v>
      </c>
    </row>
    <row r="4467" spans="1:42">
      <c r="A4467" s="16">
        <v>43847</v>
      </c>
      <c r="B4467">
        <v>5</v>
      </c>
      <c r="C4467">
        <v>210</v>
      </c>
      <c r="D4467">
        <v>14638</v>
      </c>
      <c r="E4467" t="s">
        <v>37</v>
      </c>
      <c r="F4467" t="s">
        <v>104</v>
      </c>
      <c r="G4467">
        <v>2</v>
      </c>
      <c r="H4467">
        <v>23</v>
      </c>
      <c r="I4467" s="25">
        <v>3145</v>
      </c>
      <c r="K4467" t="s">
        <v>595</v>
      </c>
      <c r="N4467" t="s">
        <v>44</v>
      </c>
      <c r="O4467">
        <v>49</v>
      </c>
      <c r="Q4467">
        <v>1</v>
      </c>
      <c r="R4467">
        <v>1</v>
      </c>
      <c r="S4467">
        <v>0</v>
      </c>
      <c r="T4467">
        <v>0</v>
      </c>
      <c r="U4467">
        <v>0</v>
      </c>
      <c r="V4467">
        <v>0</v>
      </c>
      <c r="W4467">
        <v>1</v>
      </c>
      <c r="X4467" s="21">
        <v>0</v>
      </c>
      <c r="Y4467" s="21">
        <v>0</v>
      </c>
      <c r="Z4467" s="21">
        <v>0</v>
      </c>
      <c r="AA4467" s="21">
        <v>0</v>
      </c>
      <c r="AB4467" s="21">
        <v>0</v>
      </c>
      <c r="AC4467" s="21">
        <v>0</v>
      </c>
      <c r="AD4467" s="21">
        <v>0</v>
      </c>
      <c r="AE4467" s="21">
        <v>0</v>
      </c>
      <c r="AF4467">
        <v>0</v>
      </c>
      <c r="AG4467">
        <v>0</v>
      </c>
      <c r="AH4467">
        <v>96</v>
      </c>
      <c r="AJ4467" t="s">
        <v>51</v>
      </c>
      <c r="AK4467" t="s">
        <v>95</v>
      </c>
      <c r="AL4467" t="s">
        <v>1405</v>
      </c>
      <c r="AP4467" t="s">
        <v>951</v>
      </c>
    </row>
    <row r="4468" spans="1:42">
      <c r="A4468" s="16">
        <v>43847</v>
      </c>
      <c r="B4468">
        <v>5</v>
      </c>
      <c r="C4468">
        <v>210</v>
      </c>
      <c r="D4468">
        <v>14638</v>
      </c>
      <c r="E4468" t="s">
        <v>37</v>
      </c>
      <c r="F4468" t="s">
        <v>104</v>
      </c>
      <c r="G4468">
        <v>2</v>
      </c>
      <c r="H4468">
        <v>24</v>
      </c>
      <c r="I4468" s="25">
        <v>3127</v>
      </c>
      <c r="K4468" t="s">
        <v>595</v>
      </c>
      <c r="N4468" t="s">
        <v>44</v>
      </c>
      <c r="O4468">
        <v>67</v>
      </c>
      <c r="Q4468">
        <v>1</v>
      </c>
      <c r="R4468">
        <v>1</v>
      </c>
      <c r="S4468">
        <v>0</v>
      </c>
      <c r="T4468">
        <v>0</v>
      </c>
      <c r="U4468">
        <v>0</v>
      </c>
      <c r="V4468">
        <v>1</v>
      </c>
      <c r="W4468">
        <v>0</v>
      </c>
      <c r="X4468" s="21">
        <v>0</v>
      </c>
      <c r="Y4468" s="21">
        <v>0</v>
      </c>
      <c r="Z4468" s="21">
        <v>0</v>
      </c>
      <c r="AA4468" s="21">
        <v>0</v>
      </c>
      <c r="AB4468" s="21">
        <v>0</v>
      </c>
      <c r="AC4468" s="21">
        <v>0</v>
      </c>
      <c r="AD4468" s="21">
        <v>0</v>
      </c>
      <c r="AE4468" s="21">
        <v>0</v>
      </c>
      <c r="AF4468">
        <v>0</v>
      </c>
      <c r="AG4468">
        <v>0</v>
      </c>
      <c r="AH4468">
        <v>64</v>
      </c>
      <c r="AJ4468" t="s">
        <v>51</v>
      </c>
      <c r="AK4468" t="s">
        <v>95</v>
      </c>
      <c r="AP4468" t="s">
        <v>951</v>
      </c>
    </row>
    <row r="4469" spans="1:42">
      <c r="A4469" s="16">
        <v>43847</v>
      </c>
      <c r="B4469">
        <v>5</v>
      </c>
      <c r="C4469">
        <v>210</v>
      </c>
      <c r="D4469">
        <v>14638</v>
      </c>
      <c r="E4469" t="s">
        <v>37</v>
      </c>
      <c r="F4469" t="s">
        <v>104</v>
      </c>
      <c r="G4469">
        <v>2</v>
      </c>
      <c r="H4469">
        <v>25</v>
      </c>
      <c r="I4469" s="25">
        <v>1734</v>
      </c>
      <c r="K4469" t="s">
        <v>210</v>
      </c>
      <c r="N4469" t="s">
        <v>44</v>
      </c>
      <c r="O4469">
        <v>90</v>
      </c>
      <c r="Q4469">
        <v>2</v>
      </c>
      <c r="R4469">
        <v>1</v>
      </c>
      <c r="S4469">
        <v>0</v>
      </c>
      <c r="T4469">
        <v>0</v>
      </c>
      <c r="U4469">
        <v>0</v>
      </c>
      <c r="V4469">
        <v>0</v>
      </c>
      <c r="W4469">
        <v>2</v>
      </c>
      <c r="X4469" s="21">
        <v>0</v>
      </c>
      <c r="Y4469" s="21">
        <v>0</v>
      </c>
      <c r="Z4469" s="21">
        <v>0</v>
      </c>
      <c r="AA4469" s="21">
        <v>0</v>
      </c>
      <c r="AB4469" s="21">
        <v>0</v>
      </c>
      <c r="AC4469" s="21">
        <v>0</v>
      </c>
      <c r="AD4469" s="21">
        <v>0</v>
      </c>
      <c r="AE4469" s="21">
        <v>0</v>
      </c>
      <c r="AF4469">
        <v>0</v>
      </c>
      <c r="AG4469">
        <v>0</v>
      </c>
      <c r="AH4469">
        <v>192</v>
      </c>
      <c r="AJ4469" t="s">
        <v>51</v>
      </c>
      <c r="AK4469" t="s">
        <v>52</v>
      </c>
      <c r="AP4469" t="s">
        <v>951</v>
      </c>
    </row>
    <row r="4470" spans="1:42">
      <c r="A4470" s="16">
        <v>43847</v>
      </c>
      <c r="B4470">
        <v>5</v>
      </c>
      <c r="C4470">
        <v>210</v>
      </c>
      <c r="D4470">
        <v>14638</v>
      </c>
      <c r="E4470" t="s">
        <v>37</v>
      </c>
      <c r="F4470" t="s">
        <v>104</v>
      </c>
      <c r="G4470">
        <v>2</v>
      </c>
      <c r="H4470">
        <v>26</v>
      </c>
      <c r="I4470" s="25">
        <v>1738</v>
      </c>
      <c r="K4470" t="s">
        <v>210</v>
      </c>
      <c r="N4470" t="s">
        <v>44</v>
      </c>
      <c r="O4470">
        <v>42</v>
      </c>
      <c r="Q4470">
        <v>1</v>
      </c>
      <c r="R4470">
        <v>1</v>
      </c>
      <c r="S4470">
        <v>0</v>
      </c>
      <c r="T4470">
        <v>0</v>
      </c>
      <c r="U4470">
        <v>0</v>
      </c>
      <c r="V4470">
        <v>0</v>
      </c>
      <c r="W4470">
        <v>1</v>
      </c>
      <c r="X4470" s="21">
        <v>0</v>
      </c>
      <c r="Y4470" s="21">
        <v>0</v>
      </c>
      <c r="Z4470" s="21">
        <v>0</v>
      </c>
      <c r="AA4470" s="21">
        <v>0</v>
      </c>
      <c r="AB4470" s="21">
        <v>0</v>
      </c>
      <c r="AC4470" s="21">
        <v>0</v>
      </c>
      <c r="AD4470" s="21">
        <v>0</v>
      </c>
      <c r="AE4470" s="21">
        <v>0</v>
      </c>
      <c r="AF4470">
        <v>0</v>
      </c>
      <c r="AG4470">
        <v>0</v>
      </c>
      <c r="AH4470">
        <v>96</v>
      </c>
      <c r="AJ4470" t="s">
        <v>51</v>
      </c>
      <c r="AK4470" t="s">
        <v>95</v>
      </c>
      <c r="AL4470" t="s">
        <v>1485</v>
      </c>
      <c r="AP4470" t="s">
        <v>951</v>
      </c>
    </row>
    <row r="4471" spans="1:42">
      <c r="A4471" s="16">
        <v>43847</v>
      </c>
      <c r="B4471">
        <v>5</v>
      </c>
      <c r="C4471">
        <v>210</v>
      </c>
      <c r="D4471">
        <v>14638</v>
      </c>
      <c r="E4471" t="s">
        <v>37</v>
      </c>
      <c r="F4471" t="s">
        <v>104</v>
      </c>
      <c r="G4471">
        <v>2</v>
      </c>
      <c r="H4471">
        <v>27</v>
      </c>
      <c r="I4471" s="25">
        <v>1770</v>
      </c>
      <c r="K4471" t="s">
        <v>210</v>
      </c>
      <c r="N4471" t="s">
        <v>44</v>
      </c>
      <c r="O4471">
        <v>84</v>
      </c>
      <c r="Q4471">
        <v>2</v>
      </c>
      <c r="R4471">
        <v>1</v>
      </c>
      <c r="S4471">
        <v>0</v>
      </c>
      <c r="T4471">
        <v>0</v>
      </c>
      <c r="U4471">
        <v>0</v>
      </c>
      <c r="V4471">
        <v>0</v>
      </c>
      <c r="W4471">
        <v>2</v>
      </c>
      <c r="X4471" s="21">
        <v>0</v>
      </c>
      <c r="Y4471" s="21">
        <v>0</v>
      </c>
      <c r="Z4471" s="21">
        <v>0</v>
      </c>
      <c r="AA4471" s="21">
        <v>0</v>
      </c>
      <c r="AB4471" s="21">
        <v>0</v>
      </c>
      <c r="AC4471" s="21">
        <v>0</v>
      </c>
      <c r="AD4471" s="21">
        <v>0</v>
      </c>
      <c r="AE4471" s="21">
        <v>0</v>
      </c>
      <c r="AF4471">
        <v>0</v>
      </c>
      <c r="AG4471">
        <v>0</v>
      </c>
      <c r="AH4471">
        <v>192</v>
      </c>
      <c r="AJ4471" t="s">
        <v>51</v>
      </c>
      <c r="AK4471" t="s">
        <v>95</v>
      </c>
      <c r="AP4471" t="s">
        <v>951</v>
      </c>
    </row>
    <row r="4472" spans="1:42">
      <c r="A4472" s="16">
        <v>43847</v>
      </c>
      <c r="B4472">
        <v>5</v>
      </c>
      <c r="C4472">
        <v>210</v>
      </c>
      <c r="D4472">
        <v>14638</v>
      </c>
      <c r="E4472" t="s">
        <v>37</v>
      </c>
      <c r="F4472" t="s">
        <v>104</v>
      </c>
      <c r="G4472">
        <v>2</v>
      </c>
      <c r="H4472">
        <v>28</v>
      </c>
      <c r="I4472" s="25">
        <v>1926</v>
      </c>
      <c r="K4472" t="s">
        <v>210</v>
      </c>
      <c r="L4472" t="s">
        <v>114</v>
      </c>
      <c r="N4472" t="s">
        <v>40</v>
      </c>
      <c r="O4472">
        <v>38</v>
      </c>
      <c r="Q4472">
        <v>1</v>
      </c>
      <c r="R4472">
        <v>1</v>
      </c>
      <c r="S4472">
        <v>0</v>
      </c>
      <c r="T4472">
        <v>0</v>
      </c>
      <c r="U4472">
        <v>0</v>
      </c>
      <c r="V4472">
        <v>0</v>
      </c>
      <c r="W4472">
        <v>1</v>
      </c>
      <c r="X4472" s="21">
        <v>0</v>
      </c>
      <c r="Y4472" s="21">
        <v>0</v>
      </c>
      <c r="Z4472" s="21">
        <v>0</v>
      </c>
      <c r="AA4472" s="21">
        <v>0</v>
      </c>
      <c r="AB4472" s="21">
        <v>0</v>
      </c>
      <c r="AC4472" s="21">
        <v>0</v>
      </c>
      <c r="AD4472" s="21">
        <v>0</v>
      </c>
      <c r="AE4472" s="21">
        <v>0</v>
      </c>
      <c r="AF4472">
        <v>0</v>
      </c>
      <c r="AG4472">
        <v>0</v>
      </c>
      <c r="AH4472">
        <v>96</v>
      </c>
      <c r="AJ4472" t="s">
        <v>51</v>
      </c>
      <c r="AK4472" t="s">
        <v>95</v>
      </c>
      <c r="AP4472" t="s">
        <v>951</v>
      </c>
    </row>
    <row r="4473" spans="1:42">
      <c r="A4473" s="16">
        <v>43847</v>
      </c>
      <c r="B4473">
        <v>5</v>
      </c>
      <c r="C4473">
        <v>210</v>
      </c>
      <c r="D4473">
        <v>14638</v>
      </c>
      <c r="E4473" t="s">
        <v>37</v>
      </c>
      <c r="F4473" t="s">
        <v>104</v>
      </c>
      <c r="G4473">
        <v>2</v>
      </c>
      <c r="H4473">
        <v>29</v>
      </c>
      <c r="I4473" s="25">
        <v>2024</v>
      </c>
      <c r="K4473" t="s">
        <v>210</v>
      </c>
      <c r="L4473" t="s">
        <v>114</v>
      </c>
      <c r="N4473" t="s">
        <v>40</v>
      </c>
      <c r="O4473">
        <v>34</v>
      </c>
      <c r="Q4473">
        <v>1</v>
      </c>
      <c r="R4473">
        <v>1</v>
      </c>
      <c r="S4473">
        <v>0</v>
      </c>
      <c r="T4473">
        <v>0</v>
      </c>
      <c r="U4473">
        <v>0</v>
      </c>
      <c r="V4473">
        <v>1</v>
      </c>
      <c r="W4473">
        <v>0</v>
      </c>
      <c r="X4473" s="21">
        <v>0</v>
      </c>
      <c r="Y4473" s="21">
        <v>0</v>
      </c>
      <c r="Z4473" s="21">
        <v>0</v>
      </c>
      <c r="AA4473" s="21">
        <v>0</v>
      </c>
      <c r="AB4473" s="21">
        <v>0</v>
      </c>
      <c r="AC4473" s="21">
        <v>0</v>
      </c>
      <c r="AD4473" s="21">
        <v>0</v>
      </c>
      <c r="AE4473" s="21">
        <v>0</v>
      </c>
      <c r="AF4473">
        <v>0</v>
      </c>
      <c r="AG4473">
        <v>0</v>
      </c>
      <c r="AH4473">
        <v>96</v>
      </c>
      <c r="AJ4473" t="s">
        <v>51</v>
      </c>
      <c r="AK4473" t="s">
        <v>95</v>
      </c>
      <c r="AL4473" t="s">
        <v>1486</v>
      </c>
      <c r="AP4473" t="s">
        <v>951</v>
      </c>
    </row>
    <row r="4474" spans="1:42">
      <c r="A4474" s="16">
        <v>43847</v>
      </c>
      <c r="B4474">
        <v>5</v>
      </c>
      <c r="C4474">
        <v>210</v>
      </c>
      <c r="D4474">
        <v>14638</v>
      </c>
      <c r="E4474" t="s">
        <v>37</v>
      </c>
      <c r="F4474" t="s">
        <v>104</v>
      </c>
      <c r="G4474">
        <v>2</v>
      </c>
      <c r="H4474">
        <v>30</v>
      </c>
      <c r="I4474" s="25">
        <v>2026</v>
      </c>
      <c r="K4474" t="s">
        <v>210</v>
      </c>
      <c r="N4474" t="s">
        <v>44</v>
      </c>
      <c r="O4474">
        <v>39</v>
      </c>
      <c r="Q4474">
        <v>2</v>
      </c>
      <c r="R4474">
        <v>1</v>
      </c>
      <c r="S4474">
        <v>0</v>
      </c>
      <c r="T4474">
        <v>0</v>
      </c>
      <c r="U4474">
        <v>0</v>
      </c>
      <c r="V4474">
        <v>0</v>
      </c>
      <c r="W4474">
        <v>2</v>
      </c>
      <c r="X4474" s="21">
        <v>0</v>
      </c>
      <c r="Y4474" s="21">
        <v>0</v>
      </c>
      <c r="Z4474" s="21">
        <v>0</v>
      </c>
      <c r="AA4474" s="21">
        <v>0</v>
      </c>
      <c r="AB4474" s="21">
        <v>0</v>
      </c>
      <c r="AC4474" s="21">
        <v>0</v>
      </c>
      <c r="AD4474" s="21">
        <v>0</v>
      </c>
      <c r="AE4474" s="21">
        <v>0</v>
      </c>
      <c r="AF4474">
        <v>0</v>
      </c>
      <c r="AG4474">
        <v>0</v>
      </c>
      <c r="AH4474">
        <v>192</v>
      </c>
      <c r="AJ4474" t="s">
        <v>51</v>
      </c>
      <c r="AK4474" t="s">
        <v>95</v>
      </c>
      <c r="AP4474" t="s">
        <v>951</v>
      </c>
    </row>
    <row r="4475" spans="1:42">
      <c r="A4475" s="16">
        <v>43847</v>
      </c>
      <c r="B4475">
        <v>5</v>
      </c>
      <c r="C4475">
        <v>210</v>
      </c>
      <c r="D4475">
        <v>14638</v>
      </c>
      <c r="E4475" t="s">
        <v>37</v>
      </c>
      <c r="F4475" t="s">
        <v>104</v>
      </c>
      <c r="G4475">
        <v>2</v>
      </c>
      <c r="H4475">
        <v>31</v>
      </c>
      <c r="I4475" s="25">
        <v>2036</v>
      </c>
      <c r="K4475" t="s">
        <v>210</v>
      </c>
      <c r="L4475" t="s">
        <v>114</v>
      </c>
      <c r="N4475" t="s">
        <v>40</v>
      </c>
      <c r="O4475">
        <v>46</v>
      </c>
      <c r="Q4475">
        <v>2</v>
      </c>
      <c r="R4475">
        <v>1</v>
      </c>
      <c r="S4475">
        <v>0</v>
      </c>
      <c r="T4475">
        <v>0</v>
      </c>
      <c r="U4475">
        <v>0</v>
      </c>
      <c r="V4475">
        <v>1</v>
      </c>
      <c r="W4475">
        <v>1</v>
      </c>
      <c r="X4475" s="21">
        <v>0</v>
      </c>
      <c r="Y4475" s="21">
        <v>0</v>
      </c>
      <c r="Z4475" s="21">
        <v>0</v>
      </c>
      <c r="AA4475" s="21">
        <v>0</v>
      </c>
      <c r="AB4475" s="21">
        <v>0</v>
      </c>
      <c r="AC4475" s="21">
        <v>0</v>
      </c>
      <c r="AD4475" s="21">
        <v>0</v>
      </c>
      <c r="AE4475" s="21">
        <v>0</v>
      </c>
      <c r="AF4475">
        <v>0</v>
      </c>
      <c r="AG4475">
        <v>0</v>
      </c>
      <c r="AH4475">
        <v>160</v>
      </c>
      <c r="AJ4475" t="s">
        <v>51</v>
      </c>
      <c r="AK4475" t="s">
        <v>52</v>
      </c>
      <c r="AP4475" t="s">
        <v>951</v>
      </c>
    </row>
    <row r="4476" spans="1:42">
      <c r="A4476" s="16">
        <v>43847</v>
      </c>
      <c r="B4476">
        <v>5</v>
      </c>
      <c r="C4476">
        <v>210</v>
      </c>
      <c r="D4476">
        <v>14638</v>
      </c>
      <c r="E4476" t="s">
        <v>37</v>
      </c>
      <c r="F4476" t="s">
        <v>104</v>
      </c>
      <c r="G4476">
        <v>2</v>
      </c>
      <c r="H4476">
        <v>32</v>
      </c>
      <c r="I4476" s="25">
        <v>1925</v>
      </c>
      <c r="K4476" t="s">
        <v>324</v>
      </c>
      <c r="N4476" t="s">
        <v>44</v>
      </c>
      <c r="O4476">
        <v>157</v>
      </c>
      <c r="Q4476">
        <v>2</v>
      </c>
      <c r="R4476">
        <v>1</v>
      </c>
      <c r="S4476">
        <v>0</v>
      </c>
      <c r="T4476">
        <v>0</v>
      </c>
      <c r="U4476">
        <v>0</v>
      </c>
      <c r="V4476">
        <v>0</v>
      </c>
      <c r="W4476">
        <v>2</v>
      </c>
      <c r="X4476" s="21">
        <v>0</v>
      </c>
      <c r="Y4476" s="21">
        <v>0</v>
      </c>
      <c r="Z4476" s="21">
        <v>0</v>
      </c>
      <c r="AA4476" s="21">
        <v>0</v>
      </c>
      <c r="AB4476" s="21">
        <v>0</v>
      </c>
      <c r="AC4476" s="21">
        <v>0</v>
      </c>
      <c r="AD4476" s="21">
        <v>0</v>
      </c>
      <c r="AE4476" s="21">
        <v>0</v>
      </c>
      <c r="AF4476">
        <v>0</v>
      </c>
      <c r="AG4476">
        <v>0</v>
      </c>
      <c r="AH4476">
        <v>192</v>
      </c>
      <c r="AJ4476" t="s">
        <v>51</v>
      </c>
      <c r="AK4476" t="s">
        <v>95</v>
      </c>
      <c r="AL4476" t="s">
        <v>1464</v>
      </c>
      <c r="AP4476" t="s">
        <v>951</v>
      </c>
    </row>
    <row r="4477" spans="1:42">
      <c r="A4477" s="16">
        <v>43847</v>
      </c>
      <c r="B4477">
        <v>5</v>
      </c>
      <c r="C4477">
        <v>210</v>
      </c>
      <c r="D4477">
        <v>14638</v>
      </c>
      <c r="E4477" t="s">
        <v>37</v>
      </c>
      <c r="F4477" t="s">
        <v>104</v>
      </c>
      <c r="G4477">
        <v>2</v>
      </c>
      <c r="H4477">
        <v>33</v>
      </c>
      <c r="I4477" s="25">
        <v>1901</v>
      </c>
      <c r="K4477" t="s">
        <v>324</v>
      </c>
      <c r="N4477" t="s">
        <v>44</v>
      </c>
      <c r="O4477">
        <v>56</v>
      </c>
      <c r="Q4477">
        <v>1</v>
      </c>
      <c r="R4477">
        <v>1</v>
      </c>
      <c r="S4477">
        <v>0</v>
      </c>
      <c r="T4477">
        <v>0</v>
      </c>
      <c r="U4477">
        <v>0</v>
      </c>
      <c r="V4477">
        <v>0</v>
      </c>
      <c r="W4477">
        <v>1</v>
      </c>
      <c r="X4477" s="21">
        <v>0</v>
      </c>
      <c r="Y4477" s="21">
        <v>0</v>
      </c>
      <c r="Z4477" s="21">
        <v>0</v>
      </c>
      <c r="AA4477" s="21">
        <v>0</v>
      </c>
      <c r="AB4477" s="21">
        <v>0</v>
      </c>
      <c r="AC4477" s="21">
        <v>0</v>
      </c>
      <c r="AD4477" s="21">
        <v>0</v>
      </c>
      <c r="AE4477" s="21">
        <v>0</v>
      </c>
      <c r="AF4477">
        <v>0</v>
      </c>
      <c r="AG4477">
        <v>0</v>
      </c>
      <c r="AH4477">
        <v>96</v>
      </c>
      <c r="AJ4477" t="s">
        <v>51</v>
      </c>
      <c r="AK4477" t="s">
        <v>95</v>
      </c>
      <c r="AP4477" t="s">
        <v>951</v>
      </c>
    </row>
    <row r="4478" spans="1:42">
      <c r="A4478" s="16">
        <v>43847</v>
      </c>
      <c r="B4478">
        <v>5</v>
      </c>
      <c r="C4478">
        <v>210</v>
      </c>
      <c r="D4478">
        <v>14638</v>
      </c>
      <c r="E4478" t="s">
        <v>37</v>
      </c>
      <c r="F4478" t="s">
        <v>104</v>
      </c>
      <c r="G4478">
        <v>2</v>
      </c>
      <c r="H4478">
        <v>34</v>
      </c>
      <c r="I4478" s="25">
        <v>1964</v>
      </c>
      <c r="K4478" t="s">
        <v>210</v>
      </c>
      <c r="N4478" t="s">
        <v>44</v>
      </c>
      <c r="O4478">
        <v>54</v>
      </c>
      <c r="Q4478">
        <v>2</v>
      </c>
      <c r="R4478">
        <v>1</v>
      </c>
      <c r="S4478">
        <v>0</v>
      </c>
      <c r="T4478">
        <v>0</v>
      </c>
      <c r="U4478">
        <v>0</v>
      </c>
      <c r="V4478">
        <v>2</v>
      </c>
      <c r="W4478">
        <v>0</v>
      </c>
      <c r="X4478" s="21">
        <v>0</v>
      </c>
      <c r="Y4478" s="21">
        <v>0</v>
      </c>
      <c r="Z4478" s="21">
        <v>0</v>
      </c>
      <c r="AA4478" s="21">
        <v>0</v>
      </c>
      <c r="AB4478" s="21">
        <v>0</v>
      </c>
      <c r="AC4478" s="21">
        <v>0</v>
      </c>
      <c r="AD4478" s="21">
        <v>0</v>
      </c>
      <c r="AE4478" s="21">
        <v>0</v>
      </c>
      <c r="AF4478">
        <v>0</v>
      </c>
      <c r="AG4478">
        <v>0</v>
      </c>
      <c r="AH4478">
        <v>128</v>
      </c>
      <c r="AJ4478" t="s">
        <v>51</v>
      </c>
      <c r="AK4478" t="s">
        <v>95</v>
      </c>
      <c r="AL4478" t="s">
        <v>1487</v>
      </c>
      <c r="AP4478" t="s">
        <v>951</v>
      </c>
    </row>
    <row r="4479" spans="1:42">
      <c r="A4479" s="16">
        <v>43847</v>
      </c>
      <c r="B4479">
        <v>5</v>
      </c>
      <c r="C4479">
        <v>210</v>
      </c>
      <c r="D4479">
        <v>14638</v>
      </c>
      <c r="E4479" t="s">
        <v>37</v>
      </c>
      <c r="F4479" t="s">
        <v>104</v>
      </c>
      <c r="G4479">
        <v>2</v>
      </c>
      <c r="H4479">
        <v>35</v>
      </c>
      <c r="I4479" s="25">
        <v>3250</v>
      </c>
      <c r="K4479" t="s">
        <v>599</v>
      </c>
      <c r="N4479" t="s">
        <v>44</v>
      </c>
      <c r="O4479">
        <v>97</v>
      </c>
      <c r="Q4479">
        <v>2</v>
      </c>
      <c r="R4479">
        <v>1</v>
      </c>
      <c r="S4479">
        <v>0</v>
      </c>
      <c r="T4479">
        <v>0</v>
      </c>
      <c r="U4479">
        <v>0</v>
      </c>
      <c r="V4479">
        <v>2</v>
      </c>
      <c r="W4479">
        <v>0</v>
      </c>
      <c r="X4479" s="21">
        <v>0</v>
      </c>
      <c r="Y4479" s="21">
        <v>0</v>
      </c>
      <c r="Z4479" s="21">
        <v>0</v>
      </c>
      <c r="AA4479" s="21">
        <v>0</v>
      </c>
      <c r="AB4479" s="21">
        <v>0</v>
      </c>
      <c r="AC4479" s="21">
        <v>0</v>
      </c>
      <c r="AD4479" s="21">
        <v>0</v>
      </c>
      <c r="AE4479" s="21">
        <v>0</v>
      </c>
      <c r="AF4479">
        <v>0</v>
      </c>
      <c r="AG4479">
        <v>0</v>
      </c>
      <c r="AH4479">
        <v>128</v>
      </c>
      <c r="AJ4479" t="s">
        <v>51</v>
      </c>
      <c r="AK4479" t="s">
        <v>95</v>
      </c>
      <c r="AL4479" t="s">
        <v>1405</v>
      </c>
      <c r="AP4479" t="s">
        <v>951</v>
      </c>
    </row>
    <row r="4480" spans="1:42">
      <c r="A4480" s="16">
        <v>43847</v>
      </c>
      <c r="B4480">
        <v>5</v>
      </c>
      <c r="C4480">
        <v>210</v>
      </c>
      <c r="D4480">
        <v>14638</v>
      </c>
      <c r="E4480" t="s">
        <v>37</v>
      </c>
      <c r="F4480" t="s">
        <v>104</v>
      </c>
      <c r="G4480">
        <v>2</v>
      </c>
      <c r="H4480">
        <v>36</v>
      </c>
      <c r="I4480" s="25">
        <v>1840</v>
      </c>
      <c r="K4480" t="s">
        <v>210</v>
      </c>
      <c r="N4480" t="s">
        <v>44</v>
      </c>
      <c r="O4480">
        <v>80</v>
      </c>
      <c r="Q4480">
        <v>2</v>
      </c>
      <c r="R4480">
        <v>1</v>
      </c>
      <c r="S4480">
        <v>0</v>
      </c>
      <c r="T4480">
        <v>0</v>
      </c>
      <c r="U4480">
        <v>0</v>
      </c>
      <c r="V4480">
        <v>0</v>
      </c>
      <c r="W4480">
        <v>2</v>
      </c>
      <c r="X4480" s="21">
        <v>0</v>
      </c>
      <c r="Y4480" s="21">
        <v>0</v>
      </c>
      <c r="Z4480" s="21">
        <v>0</v>
      </c>
      <c r="AA4480" s="21">
        <v>0</v>
      </c>
      <c r="AB4480" s="21">
        <v>0</v>
      </c>
      <c r="AC4480" s="21">
        <v>0</v>
      </c>
      <c r="AD4480" s="21">
        <v>0</v>
      </c>
      <c r="AE4480" s="21">
        <v>0</v>
      </c>
      <c r="AF4480">
        <v>0</v>
      </c>
      <c r="AG4480">
        <v>0</v>
      </c>
      <c r="AH4480">
        <v>192</v>
      </c>
      <c r="AJ4480" t="s">
        <v>51</v>
      </c>
      <c r="AK4480" t="s">
        <v>95</v>
      </c>
      <c r="AP4480" t="s">
        <v>951</v>
      </c>
    </row>
    <row r="4481" spans="1:42">
      <c r="A4481" s="16">
        <v>43847</v>
      </c>
      <c r="B4481">
        <v>5</v>
      </c>
      <c r="C4481">
        <v>210</v>
      </c>
      <c r="D4481">
        <v>14638</v>
      </c>
      <c r="E4481" t="s">
        <v>37</v>
      </c>
      <c r="F4481" t="s">
        <v>104</v>
      </c>
      <c r="G4481">
        <v>2</v>
      </c>
      <c r="H4481">
        <v>37</v>
      </c>
      <c r="I4481" s="25">
        <v>1841</v>
      </c>
      <c r="K4481" t="s">
        <v>324</v>
      </c>
      <c r="M4481" t="s">
        <v>95</v>
      </c>
      <c r="N4481" t="s">
        <v>44</v>
      </c>
      <c r="O4481">
        <v>107</v>
      </c>
      <c r="Q4481">
        <v>2</v>
      </c>
      <c r="R4481">
        <v>1</v>
      </c>
      <c r="S4481">
        <v>0</v>
      </c>
      <c r="T4481">
        <v>0</v>
      </c>
      <c r="U4481">
        <v>0</v>
      </c>
      <c r="V4481">
        <v>1</v>
      </c>
      <c r="W4481">
        <v>1</v>
      </c>
      <c r="X4481" s="21">
        <v>0</v>
      </c>
      <c r="Y4481" s="21">
        <v>0</v>
      </c>
      <c r="Z4481" s="21">
        <v>0</v>
      </c>
      <c r="AA4481" s="21">
        <v>0</v>
      </c>
      <c r="AB4481" s="21">
        <v>0</v>
      </c>
      <c r="AC4481" s="21">
        <v>0</v>
      </c>
      <c r="AD4481" s="21">
        <v>0</v>
      </c>
      <c r="AE4481" s="21">
        <v>0</v>
      </c>
      <c r="AF4481">
        <v>0</v>
      </c>
      <c r="AG4481">
        <v>0</v>
      </c>
      <c r="AH4481">
        <v>160</v>
      </c>
      <c r="AJ4481" t="s">
        <v>51</v>
      </c>
      <c r="AK4481" t="s">
        <v>95</v>
      </c>
      <c r="AP4481" t="s">
        <v>951</v>
      </c>
    </row>
    <row r="4482" spans="1:42">
      <c r="A4482" s="16">
        <v>43847</v>
      </c>
      <c r="B4482">
        <v>5</v>
      </c>
      <c r="C4482">
        <v>210</v>
      </c>
      <c r="D4482">
        <v>14638</v>
      </c>
      <c r="E4482" t="s">
        <v>37</v>
      </c>
      <c r="F4482" t="s">
        <v>104</v>
      </c>
      <c r="G4482">
        <v>2</v>
      </c>
      <c r="H4482">
        <v>38</v>
      </c>
      <c r="I4482" s="25">
        <v>1910</v>
      </c>
      <c r="K4482" t="s">
        <v>210</v>
      </c>
      <c r="N4482" t="s">
        <v>44</v>
      </c>
      <c r="O4482">
        <v>19</v>
      </c>
      <c r="Q4482">
        <v>2</v>
      </c>
      <c r="R4482">
        <v>1</v>
      </c>
      <c r="S4482">
        <v>0</v>
      </c>
      <c r="T4482">
        <v>0</v>
      </c>
      <c r="U4482">
        <v>1</v>
      </c>
      <c r="V4482">
        <v>1</v>
      </c>
      <c r="W4482">
        <v>0</v>
      </c>
      <c r="X4482" s="21">
        <v>0</v>
      </c>
      <c r="Y4482" s="21">
        <v>0</v>
      </c>
      <c r="Z4482" s="21">
        <v>0</v>
      </c>
      <c r="AA4482" s="21">
        <v>0</v>
      </c>
      <c r="AB4482" s="21">
        <v>0</v>
      </c>
      <c r="AC4482" s="21">
        <v>0</v>
      </c>
      <c r="AD4482" s="21">
        <v>0</v>
      </c>
      <c r="AE4482" s="21">
        <v>0</v>
      </c>
      <c r="AF4482">
        <v>0</v>
      </c>
      <c r="AG4482">
        <v>0</v>
      </c>
      <c r="AH4482">
        <v>96</v>
      </c>
      <c r="AJ4482" t="s">
        <v>51</v>
      </c>
      <c r="AK4482" t="s">
        <v>95</v>
      </c>
      <c r="AL4482" t="s">
        <v>1488</v>
      </c>
      <c r="AP4482" t="s">
        <v>951</v>
      </c>
    </row>
    <row r="4483" spans="1:42">
      <c r="A4483" s="16">
        <v>43847</v>
      </c>
      <c r="B4483">
        <v>5</v>
      </c>
      <c r="C4483">
        <v>210</v>
      </c>
      <c r="D4483">
        <v>14638</v>
      </c>
      <c r="E4483" t="s">
        <v>37</v>
      </c>
      <c r="F4483" t="s">
        <v>104</v>
      </c>
      <c r="G4483">
        <v>2</v>
      </c>
      <c r="H4483">
        <v>39</v>
      </c>
      <c r="I4483" s="25">
        <v>100</v>
      </c>
      <c r="K4483" t="s">
        <v>1489</v>
      </c>
      <c r="N4483" t="s">
        <v>40</v>
      </c>
      <c r="O4483">
        <v>132</v>
      </c>
      <c r="Q4483">
        <v>7</v>
      </c>
      <c r="R4483">
        <v>1</v>
      </c>
      <c r="S4483">
        <v>0</v>
      </c>
      <c r="T4483">
        <v>0</v>
      </c>
      <c r="U4483">
        <v>2</v>
      </c>
      <c r="V4483">
        <v>3</v>
      </c>
      <c r="W4483">
        <v>2</v>
      </c>
      <c r="X4483" s="21">
        <v>0</v>
      </c>
      <c r="Y4483" s="21">
        <v>0</v>
      </c>
      <c r="Z4483" s="21">
        <v>0</v>
      </c>
      <c r="AA4483" s="21">
        <v>0</v>
      </c>
      <c r="AB4483" s="21">
        <v>0</v>
      </c>
      <c r="AC4483" s="21">
        <v>0</v>
      </c>
      <c r="AD4483" s="21">
        <v>0</v>
      </c>
      <c r="AE4483" s="21">
        <v>0</v>
      </c>
      <c r="AF4483">
        <v>0</v>
      </c>
      <c r="AG4483">
        <v>0</v>
      </c>
      <c r="AH4483">
        <v>448</v>
      </c>
      <c r="AJ4483" t="s">
        <v>51</v>
      </c>
      <c r="AK4483" t="s">
        <v>95</v>
      </c>
      <c r="AP4483" t="s">
        <v>951</v>
      </c>
    </row>
    <row r="4484" spans="1:42">
      <c r="A4484" s="16">
        <v>43847</v>
      </c>
      <c r="B4484">
        <v>5</v>
      </c>
      <c r="C4484">
        <v>210</v>
      </c>
      <c r="D4484">
        <v>14638</v>
      </c>
      <c r="E4484" t="s">
        <v>37</v>
      </c>
      <c r="F4484" t="s">
        <v>104</v>
      </c>
      <c r="G4484">
        <v>2</v>
      </c>
      <c r="H4484">
        <v>40</v>
      </c>
      <c r="I4484" s="25">
        <v>1795</v>
      </c>
      <c r="K4484" t="s">
        <v>324</v>
      </c>
      <c r="N4484" t="s">
        <v>44</v>
      </c>
      <c r="O4484">
        <v>88</v>
      </c>
      <c r="Q4484">
        <v>1</v>
      </c>
      <c r="R4484">
        <v>1</v>
      </c>
      <c r="S4484">
        <v>0</v>
      </c>
      <c r="T4484">
        <v>0</v>
      </c>
      <c r="U4484">
        <v>0</v>
      </c>
      <c r="V4484">
        <v>0</v>
      </c>
      <c r="W4484">
        <v>1</v>
      </c>
      <c r="X4484" s="21">
        <v>0</v>
      </c>
      <c r="Y4484" s="21">
        <v>0</v>
      </c>
      <c r="Z4484" s="21">
        <v>0</v>
      </c>
      <c r="AA4484" s="21">
        <v>0</v>
      </c>
      <c r="AB4484" s="21">
        <v>0</v>
      </c>
      <c r="AC4484" s="21">
        <v>0</v>
      </c>
      <c r="AD4484" s="21">
        <v>0</v>
      </c>
      <c r="AE4484" s="21">
        <v>0</v>
      </c>
      <c r="AF4484">
        <v>0</v>
      </c>
      <c r="AG4484">
        <v>0</v>
      </c>
      <c r="AH4484">
        <v>96</v>
      </c>
      <c r="AJ4484" t="s">
        <v>51</v>
      </c>
      <c r="AK4484" t="s">
        <v>95</v>
      </c>
      <c r="AP4484" t="s">
        <v>951</v>
      </c>
    </row>
    <row r="4485" spans="1:42">
      <c r="A4485" s="16">
        <v>43847</v>
      </c>
      <c r="B4485">
        <v>5</v>
      </c>
      <c r="C4485">
        <v>210</v>
      </c>
      <c r="D4485">
        <v>14638</v>
      </c>
      <c r="E4485" t="s">
        <v>37</v>
      </c>
      <c r="F4485" t="s">
        <v>104</v>
      </c>
      <c r="G4485">
        <v>2</v>
      </c>
      <c r="H4485">
        <v>41</v>
      </c>
      <c r="I4485" s="25">
        <v>1890</v>
      </c>
      <c r="K4485" t="s">
        <v>324</v>
      </c>
      <c r="N4485" t="s">
        <v>44</v>
      </c>
      <c r="O4485">
        <v>69</v>
      </c>
      <c r="Q4485">
        <v>2</v>
      </c>
      <c r="R4485">
        <v>1</v>
      </c>
      <c r="S4485">
        <v>0</v>
      </c>
      <c r="T4485">
        <v>0</v>
      </c>
      <c r="U4485">
        <v>1</v>
      </c>
      <c r="V4485">
        <v>1</v>
      </c>
      <c r="W4485">
        <v>0</v>
      </c>
      <c r="X4485" s="21">
        <v>0</v>
      </c>
      <c r="Y4485" s="21">
        <v>0</v>
      </c>
      <c r="Z4485" s="21">
        <v>0</v>
      </c>
      <c r="AA4485" s="21">
        <v>0</v>
      </c>
      <c r="AB4485" s="21">
        <v>0</v>
      </c>
      <c r="AC4485" s="21">
        <v>0</v>
      </c>
      <c r="AD4485" s="21">
        <v>0</v>
      </c>
      <c r="AE4485" s="21">
        <v>0</v>
      </c>
      <c r="AF4485">
        <v>0</v>
      </c>
      <c r="AG4485">
        <v>0</v>
      </c>
      <c r="AH4485">
        <v>96</v>
      </c>
      <c r="AJ4485" t="s">
        <v>51</v>
      </c>
      <c r="AK4485" t="s">
        <v>95</v>
      </c>
      <c r="AP4485" t="s">
        <v>951</v>
      </c>
    </row>
    <row r="4486" spans="1:42">
      <c r="A4486" s="16">
        <v>43847</v>
      </c>
      <c r="B4486">
        <v>5</v>
      </c>
      <c r="C4486">
        <v>210</v>
      </c>
      <c r="D4486">
        <v>14638</v>
      </c>
      <c r="E4486" t="s">
        <v>37</v>
      </c>
      <c r="F4486" t="s">
        <v>104</v>
      </c>
      <c r="G4486">
        <v>2</v>
      </c>
      <c r="H4486">
        <v>42</v>
      </c>
      <c r="I4486" s="25">
        <v>1950</v>
      </c>
      <c r="K4486" t="s">
        <v>324</v>
      </c>
      <c r="N4486" t="s">
        <v>44</v>
      </c>
      <c r="O4486">
        <v>149</v>
      </c>
      <c r="Q4486">
        <v>4</v>
      </c>
      <c r="R4486">
        <v>1</v>
      </c>
      <c r="S4486">
        <v>0</v>
      </c>
      <c r="T4486">
        <v>0</v>
      </c>
      <c r="U4486">
        <v>0</v>
      </c>
      <c r="V4486">
        <v>2</v>
      </c>
      <c r="W4486">
        <v>2</v>
      </c>
      <c r="X4486" s="21">
        <v>0</v>
      </c>
      <c r="Y4486" s="21">
        <v>0</v>
      </c>
      <c r="Z4486" s="21">
        <v>0</v>
      </c>
      <c r="AA4486" s="21">
        <v>0</v>
      </c>
      <c r="AB4486" s="21">
        <v>0</v>
      </c>
      <c r="AC4486" s="21">
        <v>0</v>
      </c>
      <c r="AD4486" s="21">
        <v>0</v>
      </c>
      <c r="AE4486" s="21">
        <v>0</v>
      </c>
      <c r="AF4486">
        <v>0</v>
      </c>
      <c r="AG4486">
        <v>0</v>
      </c>
      <c r="AH4486">
        <v>320</v>
      </c>
      <c r="AJ4486" t="s">
        <v>51</v>
      </c>
      <c r="AK4486" t="s">
        <v>95</v>
      </c>
      <c r="AP4486" t="s">
        <v>951</v>
      </c>
    </row>
    <row r="4487" spans="1:42">
      <c r="A4487" s="16">
        <v>43847</v>
      </c>
      <c r="B4487">
        <v>5</v>
      </c>
      <c r="C4487">
        <v>210</v>
      </c>
      <c r="D4487">
        <v>14638</v>
      </c>
      <c r="E4487" t="s">
        <v>37</v>
      </c>
      <c r="F4487" t="s">
        <v>104</v>
      </c>
      <c r="G4487">
        <v>2</v>
      </c>
      <c r="H4487">
        <v>43</v>
      </c>
      <c r="I4487" s="25">
        <v>1737</v>
      </c>
      <c r="K4487" t="s">
        <v>324</v>
      </c>
      <c r="N4487" t="s">
        <v>44</v>
      </c>
      <c r="O4487">
        <v>173</v>
      </c>
      <c r="Q4487">
        <v>1</v>
      </c>
      <c r="R4487">
        <v>1</v>
      </c>
      <c r="S4487">
        <v>0</v>
      </c>
      <c r="T4487">
        <v>0</v>
      </c>
      <c r="U4487">
        <v>0</v>
      </c>
      <c r="V4487">
        <v>0</v>
      </c>
      <c r="W4487">
        <v>1</v>
      </c>
      <c r="X4487" s="21">
        <v>0</v>
      </c>
      <c r="Y4487" s="21">
        <v>0</v>
      </c>
      <c r="Z4487" s="21">
        <v>0</v>
      </c>
      <c r="AA4487" s="21">
        <v>0</v>
      </c>
      <c r="AB4487" s="21">
        <v>0</v>
      </c>
      <c r="AC4487" s="21">
        <v>0</v>
      </c>
      <c r="AD4487" s="21">
        <v>0</v>
      </c>
      <c r="AE4487" s="21">
        <v>0</v>
      </c>
      <c r="AF4487">
        <v>0</v>
      </c>
      <c r="AG4487">
        <v>0</v>
      </c>
      <c r="AH4487">
        <v>96</v>
      </c>
      <c r="AJ4487" t="s">
        <v>51</v>
      </c>
      <c r="AK4487" t="s">
        <v>95</v>
      </c>
      <c r="AP4487" t="s">
        <v>951</v>
      </c>
    </row>
    <row r="4488" spans="1:42">
      <c r="A4488" s="16">
        <v>43847</v>
      </c>
      <c r="B4488">
        <v>5</v>
      </c>
      <c r="C4488">
        <v>210</v>
      </c>
      <c r="D4488">
        <v>14638</v>
      </c>
      <c r="E4488" t="s">
        <v>37</v>
      </c>
      <c r="F4488" t="s">
        <v>104</v>
      </c>
      <c r="G4488">
        <v>2</v>
      </c>
      <c r="H4488">
        <v>44</v>
      </c>
      <c r="I4488" s="25">
        <v>1731</v>
      </c>
      <c r="K4488" t="s">
        <v>324</v>
      </c>
      <c r="N4488" t="s">
        <v>44</v>
      </c>
      <c r="O4488">
        <v>58</v>
      </c>
      <c r="Q4488">
        <v>1</v>
      </c>
      <c r="R4488">
        <v>1</v>
      </c>
      <c r="S4488">
        <v>0</v>
      </c>
      <c r="T4488">
        <v>0</v>
      </c>
      <c r="U4488">
        <v>0</v>
      </c>
      <c r="V4488">
        <v>0</v>
      </c>
      <c r="W4488">
        <v>1</v>
      </c>
      <c r="X4488" s="21">
        <v>0</v>
      </c>
      <c r="Y4488" s="21">
        <v>0</v>
      </c>
      <c r="Z4488" s="21">
        <v>0</v>
      </c>
      <c r="AA4488" s="21">
        <v>0</v>
      </c>
      <c r="AB4488" s="21">
        <v>0</v>
      </c>
      <c r="AC4488" s="21">
        <v>0</v>
      </c>
      <c r="AD4488" s="21">
        <v>0</v>
      </c>
      <c r="AE4488" s="21">
        <v>0</v>
      </c>
      <c r="AF4488">
        <v>0</v>
      </c>
      <c r="AG4488">
        <v>0</v>
      </c>
      <c r="AH4488">
        <v>96</v>
      </c>
      <c r="AJ4488" t="s">
        <v>51</v>
      </c>
      <c r="AK4488" t="s">
        <v>95</v>
      </c>
      <c r="AL4488" t="s">
        <v>1405</v>
      </c>
      <c r="AP4488" t="s">
        <v>951</v>
      </c>
    </row>
    <row r="4489" spans="1:42">
      <c r="A4489" s="16">
        <v>43847</v>
      </c>
      <c r="B4489">
        <v>5</v>
      </c>
      <c r="C4489">
        <v>210</v>
      </c>
      <c r="D4489">
        <v>14638</v>
      </c>
      <c r="E4489" t="s">
        <v>37</v>
      </c>
      <c r="F4489" t="s">
        <v>104</v>
      </c>
      <c r="G4489">
        <v>2</v>
      </c>
      <c r="H4489">
        <v>45</v>
      </c>
      <c r="I4489" s="25">
        <v>1721</v>
      </c>
      <c r="K4489" t="s">
        <v>324</v>
      </c>
      <c r="N4489" t="s">
        <v>44</v>
      </c>
      <c r="O4489">
        <v>48</v>
      </c>
      <c r="Q4489">
        <v>1</v>
      </c>
      <c r="R4489">
        <v>1</v>
      </c>
      <c r="S4489">
        <v>0</v>
      </c>
      <c r="T4489">
        <v>0</v>
      </c>
      <c r="U4489">
        <v>0</v>
      </c>
      <c r="V4489">
        <v>0</v>
      </c>
      <c r="W4489">
        <v>1</v>
      </c>
      <c r="X4489" s="21">
        <v>0</v>
      </c>
      <c r="Y4489" s="21">
        <v>0</v>
      </c>
      <c r="Z4489" s="21">
        <v>0</v>
      </c>
      <c r="AA4489" s="21">
        <v>0</v>
      </c>
      <c r="AB4489" s="21">
        <v>0</v>
      </c>
      <c r="AC4489" s="21">
        <v>0</v>
      </c>
      <c r="AD4489" s="21">
        <v>0</v>
      </c>
      <c r="AE4489" s="21">
        <v>0</v>
      </c>
      <c r="AF4489">
        <v>0</v>
      </c>
      <c r="AG4489">
        <v>0</v>
      </c>
      <c r="AH4489">
        <v>96</v>
      </c>
      <c r="AJ4489" t="s">
        <v>51</v>
      </c>
      <c r="AK4489" t="s">
        <v>95</v>
      </c>
      <c r="AP4489" t="s">
        <v>951</v>
      </c>
    </row>
    <row r="4490" spans="1:42">
      <c r="A4490" s="16">
        <v>43847</v>
      </c>
      <c r="B4490">
        <v>5</v>
      </c>
      <c r="C4490">
        <v>210</v>
      </c>
      <c r="D4490">
        <v>14638</v>
      </c>
      <c r="E4490" t="s">
        <v>37</v>
      </c>
      <c r="F4490" t="s">
        <v>104</v>
      </c>
      <c r="G4490">
        <v>2</v>
      </c>
      <c r="H4490">
        <v>46</v>
      </c>
      <c r="I4490" s="25">
        <v>1700</v>
      </c>
      <c r="K4490" t="s">
        <v>324</v>
      </c>
      <c r="N4490" t="s">
        <v>40</v>
      </c>
      <c r="O4490">
        <v>28</v>
      </c>
      <c r="Q4490">
        <v>1</v>
      </c>
      <c r="R4490">
        <v>1</v>
      </c>
      <c r="S4490">
        <v>0</v>
      </c>
      <c r="T4490">
        <v>0</v>
      </c>
      <c r="U4490">
        <v>1</v>
      </c>
      <c r="V4490">
        <v>0</v>
      </c>
      <c r="W4490">
        <v>0</v>
      </c>
      <c r="X4490" s="21">
        <v>0</v>
      </c>
      <c r="Y4490" s="21">
        <v>0</v>
      </c>
      <c r="Z4490" s="21">
        <v>0</v>
      </c>
      <c r="AA4490" s="21">
        <v>0</v>
      </c>
      <c r="AB4490" s="21">
        <v>0</v>
      </c>
      <c r="AC4490" s="21">
        <v>0</v>
      </c>
      <c r="AD4490" s="21">
        <v>0</v>
      </c>
      <c r="AE4490" s="21">
        <v>0</v>
      </c>
      <c r="AF4490">
        <v>0</v>
      </c>
      <c r="AG4490">
        <v>0</v>
      </c>
      <c r="AH4490">
        <v>32</v>
      </c>
      <c r="AJ4490" t="s">
        <v>51</v>
      </c>
      <c r="AK4490" t="s">
        <v>95</v>
      </c>
      <c r="AL4490" t="s">
        <v>125</v>
      </c>
      <c r="AP4490" t="s">
        <v>951</v>
      </c>
    </row>
    <row r="4491" spans="1:42">
      <c r="A4491" s="16">
        <v>43847</v>
      </c>
      <c r="B4491">
        <v>5</v>
      </c>
      <c r="C4491">
        <v>210</v>
      </c>
      <c r="D4491">
        <v>14638</v>
      </c>
      <c r="E4491" t="s">
        <v>37</v>
      </c>
      <c r="F4491" t="s">
        <v>104</v>
      </c>
      <c r="G4491">
        <v>2</v>
      </c>
      <c r="H4491">
        <v>47</v>
      </c>
      <c r="I4491" s="25">
        <v>3250</v>
      </c>
      <c r="K4491" t="s">
        <v>588</v>
      </c>
      <c r="N4491" t="s">
        <v>44</v>
      </c>
      <c r="O4491">
        <v>70</v>
      </c>
      <c r="Q4491">
        <v>2</v>
      </c>
      <c r="R4491">
        <v>1</v>
      </c>
      <c r="S4491">
        <v>0</v>
      </c>
      <c r="T4491">
        <v>0</v>
      </c>
      <c r="U4491">
        <v>0</v>
      </c>
      <c r="V4491">
        <v>0</v>
      </c>
      <c r="W4491">
        <v>2</v>
      </c>
      <c r="X4491" s="21">
        <v>0</v>
      </c>
      <c r="Y4491" s="21">
        <v>0</v>
      </c>
      <c r="Z4491" s="21">
        <v>0</v>
      </c>
      <c r="AA4491" s="21">
        <v>0</v>
      </c>
      <c r="AB4491" s="21">
        <v>0</v>
      </c>
      <c r="AC4491" s="21">
        <v>0</v>
      </c>
      <c r="AD4491" s="21">
        <v>0</v>
      </c>
      <c r="AE4491" s="21">
        <v>0</v>
      </c>
      <c r="AF4491">
        <v>0</v>
      </c>
      <c r="AG4491">
        <v>0</v>
      </c>
      <c r="AH4491">
        <v>192</v>
      </c>
      <c r="AJ4491" t="s">
        <v>51</v>
      </c>
      <c r="AK4491" t="s">
        <v>95</v>
      </c>
      <c r="AL4491" t="s">
        <v>1490</v>
      </c>
      <c r="AP4491" t="s">
        <v>951</v>
      </c>
    </row>
    <row r="4492" spans="1:42">
      <c r="A4492" s="16">
        <v>43847</v>
      </c>
      <c r="B4492">
        <v>5</v>
      </c>
      <c r="C4492">
        <v>210</v>
      </c>
      <c r="D4492">
        <v>14638</v>
      </c>
      <c r="E4492" t="s">
        <v>37</v>
      </c>
      <c r="F4492" t="s">
        <v>104</v>
      </c>
      <c r="G4492">
        <v>2</v>
      </c>
      <c r="H4492">
        <v>48</v>
      </c>
      <c r="I4492" s="25">
        <v>1685</v>
      </c>
      <c r="K4492" t="s">
        <v>324</v>
      </c>
      <c r="N4492" t="s">
        <v>44</v>
      </c>
      <c r="O4492">
        <v>74</v>
      </c>
      <c r="Q4492">
        <v>2</v>
      </c>
      <c r="R4492">
        <v>1</v>
      </c>
      <c r="S4492">
        <v>0</v>
      </c>
      <c r="T4492">
        <v>0</v>
      </c>
      <c r="U4492">
        <v>0</v>
      </c>
      <c r="V4492">
        <v>0</v>
      </c>
      <c r="W4492">
        <v>2</v>
      </c>
      <c r="X4492" s="21">
        <v>0</v>
      </c>
      <c r="Y4492" s="21">
        <v>0</v>
      </c>
      <c r="Z4492" s="21">
        <v>0</v>
      </c>
      <c r="AA4492" s="21">
        <v>0</v>
      </c>
      <c r="AB4492" s="21">
        <v>0</v>
      </c>
      <c r="AC4492" s="21">
        <v>0</v>
      </c>
      <c r="AD4492" s="21">
        <v>0</v>
      </c>
      <c r="AE4492" s="21">
        <v>0</v>
      </c>
      <c r="AF4492">
        <v>0</v>
      </c>
      <c r="AG4492">
        <v>0</v>
      </c>
      <c r="AH4492">
        <v>192</v>
      </c>
      <c r="AJ4492" t="s">
        <v>51</v>
      </c>
      <c r="AK4492" t="s">
        <v>95</v>
      </c>
      <c r="AP4492" t="s">
        <v>951</v>
      </c>
    </row>
    <row r="4493" spans="1:42">
      <c r="A4493" s="16">
        <v>43847</v>
      </c>
      <c r="B4493">
        <v>5</v>
      </c>
      <c r="C4493">
        <v>210</v>
      </c>
      <c r="D4493">
        <v>14638</v>
      </c>
      <c r="E4493" t="s">
        <v>37</v>
      </c>
      <c r="F4493" t="s">
        <v>104</v>
      </c>
      <c r="G4493">
        <v>2</v>
      </c>
      <c r="H4493">
        <v>49</v>
      </c>
      <c r="I4493" s="25">
        <v>1665</v>
      </c>
      <c r="K4493" t="s">
        <v>324</v>
      </c>
      <c r="N4493" t="s">
        <v>44</v>
      </c>
      <c r="O4493">
        <v>91</v>
      </c>
      <c r="Q4493">
        <v>1</v>
      </c>
      <c r="R4493">
        <v>1</v>
      </c>
      <c r="S4493">
        <v>0</v>
      </c>
      <c r="T4493">
        <v>0</v>
      </c>
      <c r="U4493">
        <v>0</v>
      </c>
      <c r="V4493">
        <v>0</v>
      </c>
      <c r="W4493">
        <v>1</v>
      </c>
      <c r="X4493" s="21">
        <v>0</v>
      </c>
      <c r="Y4493" s="21">
        <v>0</v>
      </c>
      <c r="Z4493" s="21">
        <v>0</v>
      </c>
      <c r="AA4493" s="21">
        <v>0</v>
      </c>
      <c r="AB4493" s="21">
        <v>0</v>
      </c>
      <c r="AC4493" s="21">
        <v>0</v>
      </c>
      <c r="AD4493" s="21">
        <v>0</v>
      </c>
      <c r="AE4493" s="21">
        <v>0</v>
      </c>
      <c r="AF4493">
        <v>0</v>
      </c>
      <c r="AG4493">
        <v>0</v>
      </c>
      <c r="AH4493">
        <v>96</v>
      </c>
      <c r="AJ4493" t="s">
        <v>51</v>
      </c>
      <c r="AK4493" t="s">
        <v>95</v>
      </c>
      <c r="AL4493" t="s">
        <v>1129</v>
      </c>
      <c r="AP4493" t="s">
        <v>951</v>
      </c>
    </row>
    <row r="4494" spans="1:42">
      <c r="A4494" s="16">
        <v>43847</v>
      </c>
      <c r="B4494">
        <v>5</v>
      </c>
      <c r="C4494">
        <v>210</v>
      </c>
      <c r="D4494">
        <v>14638</v>
      </c>
      <c r="E4494" t="s">
        <v>37</v>
      </c>
      <c r="F4494" t="s">
        <v>104</v>
      </c>
      <c r="G4494">
        <v>2</v>
      </c>
      <c r="H4494">
        <v>50</v>
      </c>
      <c r="I4494" s="25">
        <v>1655</v>
      </c>
      <c r="K4494" t="s">
        <v>324</v>
      </c>
      <c r="N4494" t="s">
        <v>44</v>
      </c>
      <c r="O4494">
        <v>106</v>
      </c>
      <c r="Q4494">
        <v>1</v>
      </c>
      <c r="R4494">
        <v>1</v>
      </c>
      <c r="S4494">
        <v>0</v>
      </c>
      <c r="T4494">
        <v>0</v>
      </c>
      <c r="U4494">
        <v>0</v>
      </c>
      <c r="V4494">
        <v>0</v>
      </c>
      <c r="W4494">
        <v>1</v>
      </c>
      <c r="X4494" s="21">
        <v>0</v>
      </c>
      <c r="Y4494" s="21">
        <v>0</v>
      </c>
      <c r="Z4494" s="21">
        <v>0</v>
      </c>
      <c r="AA4494" s="21">
        <v>0</v>
      </c>
      <c r="AB4494" s="21">
        <v>0</v>
      </c>
      <c r="AC4494" s="21">
        <v>0</v>
      </c>
      <c r="AD4494" s="21">
        <v>0</v>
      </c>
      <c r="AE4494" s="21">
        <v>0</v>
      </c>
      <c r="AF4494">
        <v>0</v>
      </c>
      <c r="AG4494">
        <v>0</v>
      </c>
      <c r="AH4494">
        <v>96</v>
      </c>
      <c r="AJ4494" t="s">
        <v>51</v>
      </c>
      <c r="AK4494" t="s">
        <v>95</v>
      </c>
      <c r="AL4494" t="s">
        <v>1491</v>
      </c>
      <c r="AP4494" t="s">
        <v>951</v>
      </c>
    </row>
    <row r="4495" spans="1:42">
      <c r="A4495" s="16">
        <v>43847</v>
      </c>
      <c r="B4495">
        <v>5</v>
      </c>
      <c r="C4495">
        <v>210</v>
      </c>
      <c r="D4495">
        <v>14638</v>
      </c>
      <c r="E4495" t="s">
        <v>37</v>
      </c>
      <c r="F4495" t="s">
        <v>104</v>
      </c>
      <c r="G4495">
        <v>2</v>
      </c>
      <c r="H4495">
        <v>51</v>
      </c>
      <c r="I4495" s="25">
        <v>1631</v>
      </c>
      <c r="K4495" t="s">
        <v>324</v>
      </c>
      <c r="N4495" t="s">
        <v>44</v>
      </c>
      <c r="O4495">
        <v>70</v>
      </c>
      <c r="Q4495">
        <v>1</v>
      </c>
      <c r="R4495">
        <v>1</v>
      </c>
      <c r="S4495">
        <v>0</v>
      </c>
      <c r="T4495">
        <v>0</v>
      </c>
      <c r="U4495">
        <v>0</v>
      </c>
      <c r="V4495">
        <v>0</v>
      </c>
      <c r="W4495">
        <v>1</v>
      </c>
      <c r="X4495" s="21">
        <v>0</v>
      </c>
      <c r="Y4495" s="21">
        <v>0</v>
      </c>
      <c r="Z4495" s="21">
        <v>0</v>
      </c>
      <c r="AA4495" s="21">
        <v>0</v>
      </c>
      <c r="AB4495" s="21">
        <v>0</v>
      </c>
      <c r="AC4495" s="21">
        <v>0</v>
      </c>
      <c r="AD4495" s="21">
        <v>0</v>
      </c>
      <c r="AE4495" s="21">
        <v>0</v>
      </c>
      <c r="AF4495">
        <v>0</v>
      </c>
      <c r="AG4495">
        <v>0</v>
      </c>
      <c r="AH4495">
        <v>96</v>
      </c>
      <c r="AJ4495" t="s">
        <v>51</v>
      </c>
      <c r="AK4495" t="s">
        <v>52</v>
      </c>
      <c r="AL4495" t="s">
        <v>1405</v>
      </c>
      <c r="AP4495" t="s">
        <v>951</v>
      </c>
    </row>
    <row r="4496" spans="1:42">
      <c r="A4496" s="16">
        <v>43847</v>
      </c>
      <c r="B4496">
        <v>5</v>
      </c>
      <c r="C4496">
        <v>210</v>
      </c>
      <c r="D4496">
        <v>14638</v>
      </c>
      <c r="E4496" t="s">
        <v>37</v>
      </c>
      <c r="F4496" t="s">
        <v>104</v>
      </c>
      <c r="G4496">
        <v>2</v>
      </c>
      <c r="H4496">
        <v>52</v>
      </c>
      <c r="I4496" s="25">
        <v>1625</v>
      </c>
      <c r="K4496" t="s">
        <v>324</v>
      </c>
      <c r="N4496" t="s">
        <v>44</v>
      </c>
      <c r="O4496">
        <v>61</v>
      </c>
      <c r="Q4496">
        <v>1</v>
      </c>
      <c r="R4496">
        <v>1</v>
      </c>
      <c r="S4496">
        <v>0</v>
      </c>
      <c r="T4496">
        <v>0</v>
      </c>
      <c r="U4496">
        <v>0</v>
      </c>
      <c r="V4496">
        <v>0</v>
      </c>
      <c r="W4496">
        <v>1</v>
      </c>
      <c r="X4496" s="21">
        <v>0</v>
      </c>
      <c r="Y4496" s="21">
        <v>0</v>
      </c>
      <c r="Z4496" s="21">
        <v>0</v>
      </c>
      <c r="AA4496" s="21">
        <v>0</v>
      </c>
      <c r="AB4496" s="21">
        <v>0</v>
      </c>
      <c r="AC4496" s="21">
        <v>0</v>
      </c>
      <c r="AD4496" s="21">
        <v>0</v>
      </c>
      <c r="AE4496" s="21">
        <v>0</v>
      </c>
      <c r="AF4496">
        <v>0</v>
      </c>
      <c r="AG4496">
        <v>0</v>
      </c>
      <c r="AH4496">
        <v>96</v>
      </c>
      <c r="AJ4496" t="s">
        <v>51</v>
      </c>
      <c r="AK4496" t="s">
        <v>95</v>
      </c>
      <c r="AP4496" t="s">
        <v>951</v>
      </c>
    </row>
    <row r="4497" spans="1:42">
      <c r="A4497" s="16">
        <v>43847</v>
      </c>
      <c r="B4497">
        <v>5</v>
      </c>
      <c r="C4497">
        <v>210</v>
      </c>
      <c r="D4497">
        <v>14638</v>
      </c>
      <c r="E4497" t="s">
        <v>37</v>
      </c>
      <c r="F4497" t="s">
        <v>104</v>
      </c>
      <c r="G4497">
        <v>2</v>
      </c>
      <c r="H4497">
        <v>53</v>
      </c>
      <c r="I4497" s="25">
        <v>1575</v>
      </c>
      <c r="K4497" t="s">
        <v>324</v>
      </c>
      <c r="N4497" t="s">
        <v>44</v>
      </c>
      <c r="O4497">
        <v>47</v>
      </c>
      <c r="Q4497">
        <v>1</v>
      </c>
      <c r="R4497">
        <v>1</v>
      </c>
      <c r="S4497">
        <v>0</v>
      </c>
      <c r="T4497">
        <v>0</v>
      </c>
      <c r="U4497">
        <v>0</v>
      </c>
      <c r="V4497">
        <v>1</v>
      </c>
      <c r="W4497">
        <v>0</v>
      </c>
      <c r="X4497" s="21">
        <v>0</v>
      </c>
      <c r="Y4497" s="21">
        <v>0</v>
      </c>
      <c r="Z4497" s="21">
        <v>0</v>
      </c>
      <c r="AA4497" s="21">
        <v>0</v>
      </c>
      <c r="AB4497" s="21">
        <v>0</v>
      </c>
      <c r="AC4497" s="21">
        <v>0</v>
      </c>
      <c r="AD4497" s="21">
        <v>0</v>
      </c>
      <c r="AE4497" s="21">
        <v>0</v>
      </c>
      <c r="AF4497">
        <v>0</v>
      </c>
      <c r="AG4497">
        <v>0</v>
      </c>
      <c r="AH4497">
        <v>64</v>
      </c>
      <c r="AJ4497" t="s">
        <v>51</v>
      </c>
      <c r="AK4497" t="s">
        <v>95</v>
      </c>
      <c r="AP4497" t="s">
        <v>951</v>
      </c>
    </row>
    <row r="4498" spans="1:42">
      <c r="A4498" s="16">
        <v>43847</v>
      </c>
      <c r="B4498">
        <v>5</v>
      </c>
      <c r="C4498">
        <v>210</v>
      </c>
      <c r="D4498">
        <v>14638</v>
      </c>
      <c r="E4498" t="s">
        <v>37</v>
      </c>
      <c r="F4498" t="s">
        <v>104</v>
      </c>
      <c r="G4498">
        <v>2</v>
      </c>
      <c r="H4498">
        <v>54</v>
      </c>
      <c r="I4498" s="25">
        <v>1565</v>
      </c>
      <c r="K4498" t="s">
        <v>324</v>
      </c>
      <c r="N4498" t="s">
        <v>44</v>
      </c>
      <c r="O4498">
        <v>85</v>
      </c>
      <c r="Q4498">
        <v>1</v>
      </c>
      <c r="R4498">
        <v>1</v>
      </c>
      <c r="S4498">
        <v>0</v>
      </c>
      <c r="T4498">
        <v>0</v>
      </c>
      <c r="U4498">
        <v>0</v>
      </c>
      <c r="V4498">
        <v>0</v>
      </c>
      <c r="W4498">
        <v>1</v>
      </c>
      <c r="X4498" s="21">
        <v>0</v>
      </c>
      <c r="Y4498" s="21">
        <v>0</v>
      </c>
      <c r="Z4498" s="21">
        <v>0</v>
      </c>
      <c r="AA4498" s="21">
        <v>0</v>
      </c>
      <c r="AB4498" s="21">
        <v>0</v>
      </c>
      <c r="AC4498" s="21">
        <v>0</v>
      </c>
      <c r="AD4498" s="21">
        <v>0</v>
      </c>
      <c r="AE4498" s="21">
        <v>0</v>
      </c>
      <c r="AF4498">
        <v>0</v>
      </c>
      <c r="AG4498">
        <v>0</v>
      </c>
      <c r="AH4498">
        <v>96</v>
      </c>
      <c r="AJ4498" t="s">
        <v>51</v>
      </c>
      <c r="AK4498" t="s">
        <v>95</v>
      </c>
      <c r="AP4498" t="s">
        <v>951</v>
      </c>
    </row>
    <row r="4499" spans="1:42">
      <c r="A4499" s="16">
        <v>43847</v>
      </c>
      <c r="B4499">
        <v>5</v>
      </c>
      <c r="C4499">
        <v>210</v>
      </c>
      <c r="D4499">
        <v>14638</v>
      </c>
      <c r="E4499" t="s">
        <v>37</v>
      </c>
      <c r="F4499" t="s">
        <v>104</v>
      </c>
      <c r="G4499">
        <v>2</v>
      </c>
      <c r="H4499">
        <v>55</v>
      </c>
      <c r="I4499" s="25">
        <v>1555</v>
      </c>
      <c r="K4499" t="s">
        <v>324</v>
      </c>
      <c r="N4499" t="s">
        <v>44</v>
      </c>
      <c r="O4499">
        <v>75</v>
      </c>
      <c r="Q4499">
        <v>1</v>
      </c>
      <c r="R4499">
        <v>1</v>
      </c>
      <c r="S4499">
        <v>0</v>
      </c>
      <c r="T4499">
        <v>0</v>
      </c>
      <c r="U4499">
        <v>0</v>
      </c>
      <c r="V4499">
        <v>0</v>
      </c>
      <c r="W4499">
        <v>1</v>
      </c>
      <c r="X4499" s="21">
        <v>0</v>
      </c>
      <c r="Y4499" s="21">
        <v>0</v>
      </c>
      <c r="Z4499" s="21">
        <v>0</v>
      </c>
      <c r="AA4499" s="21">
        <v>0</v>
      </c>
      <c r="AB4499" s="21">
        <v>0</v>
      </c>
      <c r="AC4499" s="21">
        <v>0</v>
      </c>
      <c r="AD4499" s="21">
        <v>0</v>
      </c>
      <c r="AE4499" s="21">
        <v>0</v>
      </c>
      <c r="AF4499">
        <v>0</v>
      </c>
      <c r="AG4499">
        <v>0</v>
      </c>
      <c r="AH4499">
        <v>96</v>
      </c>
      <c r="AJ4499" t="s">
        <v>51</v>
      </c>
      <c r="AK4499" t="s">
        <v>95</v>
      </c>
      <c r="AP4499" t="s">
        <v>951</v>
      </c>
    </row>
    <row r="4500" spans="1:42">
      <c r="A4500" s="16">
        <v>43847</v>
      </c>
      <c r="B4500">
        <v>5</v>
      </c>
      <c r="C4500">
        <v>210</v>
      </c>
      <c r="D4500">
        <v>14638</v>
      </c>
      <c r="E4500" t="s">
        <v>37</v>
      </c>
      <c r="F4500" t="s">
        <v>104</v>
      </c>
      <c r="G4500">
        <v>2</v>
      </c>
      <c r="H4500">
        <v>56</v>
      </c>
      <c r="I4500" s="25">
        <v>1535</v>
      </c>
      <c r="K4500" t="s">
        <v>324</v>
      </c>
      <c r="N4500" t="s">
        <v>44</v>
      </c>
      <c r="O4500">
        <v>40</v>
      </c>
      <c r="Q4500">
        <v>2</v>
      </c>
      <c r="R4500">
        <v>1</v>
      </c>
      <c r="S4500">
        <v>0</v>
      </c>
      <c r="T4500">
        <v>0</v>
      </c>
      <c r="U4500">
        <v>0</v>
      </c>
      <c r="V4500">
        <v>0</v>
      </c>
      <c r="W4500">
        <v>2</v>
      </c>
      <c r="X4500" s="21">
        <v>0</v>
      </c>
      <c r="Y4500" s="21">
        <v>0</v>
      </c>
      <c r="Z4500" s="21">
        <v>0</v>
      </c>
      <c r="AA4500" s="21">
        <v>0</v>
      </c>
      <c r="AB4500" s="21">
        <v>0</v>
      </c>
      <c r="AC4500" s="21">
        <v>0</v>
      </c>
      <c r="AD4500" s="21">
        <v>0</v>
      </c>
      <c r="AE4500" s="21">
        <v>0</v>
      </c>
      <c r="AF4500">
        <v>0</v>
      </c>
      <c r="AG4500">
        <v>0</v>
      </c>
      <c r="AH4500">
        <v>192</v>
      </c>
      <c r="AJ4500" t="s">
        <v>51</v>
      </c>
      <c r="AK4500" t="s">
        <v>95</v>
      </c>
      <c r="AL4500" t="s">
        <v>1492</v>
      </c>
      <c r="AP4500" t="s">
        <v>951</v>
      </c>
    </row>
    <row r="4501" spans="1:42">
      <c r="A4501" s="16">
        <v>43847</v>
      </c>
      <c r="B4501">
        <v>5</v>
      </c>
      <c r="C4501">
        <v>210</v>
      </c>
      <c r="D4501">
        <v>14638</v>
      </c>
      <c r="E4501" t="s">
        <v>37</v>
      </c>
      <c r="F4501" t="s">
        <v>104</v>
      </c>
      <c r="G4501">
        <v>2</v>
      </c>
      <c r="H4501">
        <v>57</v>
      </c>
      <c r="I4501" s="25">
        <v>1500</v>
      </c>
      <c r="K4501" t="s">
        <v>324</v>
      </c>
      <c r="L4501" t="s">
        <v>141</v>
      </c>
      <c r="N4501" t="s">
        <v>40</v>
      </c>
      <c r="O4501">
        <v>34</v>
      </c>
      <c r="Q4501">
        <v>1</v>
      </c>
      <c r="R4501">
        <v>1</v>
      </c>
      <c r="S4501">
        <v>0</v>
      </c>
      <c r="T4501">
        <v>0</v>
      </c>
      <c r="U4501">
        <v>0</v>
      </c>
      <c r="V4501">
        <v>1</v>
      </c>
      <c r="W4501">
        <v>0</v>
      </c>
      <c r="X4501" s="21">
        <v>0</v>
      </c>
      <c r="Y4501" s="21">
        <v>0</v>
      </c>
      <c r="Z4501" s="21">
        <v>0</v>
      </c>
      <c r="AA4501" s="21">
        <v>0</v>
      </c>
      <c r="AB4501" s="21">
        <v>0</v>
      </c>
      <c r="AC4501" s="21">
        <v>0</v>
      </c>
      <c r="AD4501" s="21">
        <v>0</v>
      </c>
      <c r="AE4501" s="21">
        <v>0</v>
      </c>
      <c r="AF4501">
        <v>0</v>
      </c>
      <c r="AG4501">
        <v>0</v>
      </c>
      <c r="AH4501">
        <v>64</v>
      </c>
      <c r="AJ4501" t="s">
        <v>51</v>
      </c>
      <c r="AK4501" t="s">
        <v>95</v>
      </c>
      <c r="AP4501" t="s">
        <v>951</v>
      </c>
    </row>
    <row r="4502" spans="1:42">
      <c r="A4502" s="16">
        <v>43847</v>
      </c>
      <c r="B4502">
        <v>5</v>
      </c>
      <c r="C4502">
        <v>210</v>
      </c>
      <c r="D4502">
        <v>14638</v>
      </c>
      <c r="E4502" t="s">
        <v>37</v>
      </c>
      <c r="F4502" t="s">
        <v>104</v>
      </c>
      <c r="G4502">
        <v>2</v>
      </c>
      <c r="H4502">
        <v>58</v>
      </c>
      <c r="I4502" s="25">
        <v>1457</v>
      </c>
      <c r="K4502" t="s">
        <v>324</v>
      </c>
      <c r="N4502" t="s">
        <v>44</v>
      </c>
      <c r="O4502">
        <v>180</v>
      </c>
      <c r="Q4502">
        <v>4</v>
      </c>
      <c r="R4502">
        <v>1</v>
      </c>
      <c r="S4502">
        <v>0</v>
      </c>
      <c r="T4502">
        <v>0</v>
      </c>
      <c r="U4502">
        <v>0</v>
      </c>
      <c r="V4502">
        <v>0</v>
      </c>
      <c r="W4502">
        <v>4</v>
      </c>
      <c r="X4502" s="21">
        <v>0</v>
      </c>
      <c r="Y4502" s="21">
        <v>0</v>
      </c>
      <c r="Z4502" s="21">
        <v>0</v>
      </c>
      <c r="AA4502" s="21">
        <v>0</v>
      </c>
      <c r="AB4502" s="21">
        <v>0</v>
      </c>
      <c r="AC4502" s="21">
        <v>0</v>
      </c>
      <c r="AD4502" s="21">
        <v>0</v>
      </c>
      <c r="AE4502" s="21">
        <v>0</v>
      </c>
      <c r="AF4502">
        <v>0</v>
      </c>
      <c r="AG4502">
        <v>0</v>
      </c>
      <c r="AH4502">
        <v>384</v>
      </c>
      <c r="AJ4502" t="s">
        <v>51</v>
      </c>
      <c r="AK4502" t="s">
        <v>95</v>
      </c>
      <c r="AL4502" t="s">
        <v>1493</v>
      </c>
      <c r="AP4502" t="s">
        <v>951</v>
      </c>
    </row>
    <row r="4503" spans="1:42">
      <c r="A4503" s="16">
        <v>43847</v>
      </c>
      <c r="B4503">
        <v>5</v>
      </c>
      <c r="C4503">
        <v>210</v>
      </c>
      <c r="D4503">
        <v>14638</v>
      </c>
      <c r="E4503" t="s">
        <v>37</v>
      </c>
      <c r="F4503" t="s">
        <v>104</v>
      </c>
      <c r="G4503">
        <v>2</v>
      </c>
      <c r="H4503">
        <v>59</v>
      </c>
      <c r="I4503" s="25">
        <v>1447</v>
      </c>
      <c r="K4503" t="s">
        <v>324</v>
      </c>
      <c r="N4503" t="s">
        <v>44</v>
      </c>
      <c r="O4503">
        <v>101</v>
      </c>
      <c r="Q4503">
        <v>1</v>
      </c>
      <c r="R4503">
        <v>1</v>
      </c>
      <c r="S4503">
        <v>0</v>
      </c>
      <c r="T4503">
        <v>0</v>
      </c>
      <c r="U4503">
        <v>0</v>
      </c>
      <c r="V4503">
        <v>0</v>
      </c>
      <c r="W4503">
        <v>1</v>
      </c>
      <c r="X4503" s="21">
        <v>0</v>
      </c>
      <c r="Y4503" s="21">
        <v>0</v>
      </c>
      <c r="Z4503" s="21">
        <v>0</v>
      </c>
      <c r="AA4503" s="21">
        <v>0</v>
      </c>
      <c r="AB4503" s="21">
        <v>0</v>
      </c>
      <c r="AC4503" s="21">
        <v>0</v>
      </c>
      <c r="AD4503" s="21">
        <v>0</v>
      </c>
      <c r="AE4503" s="21">
        <v>0</v>
      </c>
      <c r="AF4503">
        <v>0</v>
      </c>
      <c r="AG4503">
        <v>0</v>
      </c>
      <c r="AH4503">
        <v>96</v>
      </c>
      <c r="AJ4503" t="s">
        <v>51</v>
      </c>
      <c r="AK4503" t="s">
        <v>95</v>
      </c>
      <c r="AL4503" t="s">
        <v>1494</v>
      </c>
      <c r="AP4503" t="s">
        <v>951</v>
      </c>
    </row>
    <row r="4504" spans="1:42">
      <c r="A4504" s="16">
        <v>43847</v>
      </c>
      <c r="B4504">
        <v>5</v>
      </c>
      <c r="C4504">
        <v>210</v>
      </c>
      <c r="D4504">
        <v>14638</v>
      </c>
      <c r="E4504" t="s">
        <v>37</v>
      </c>
      <c r="F4504" t="s">
        <v>104</v>
      </c>
      <c r="G4504">
        <v>2</v>
      </c>
      <c r="H4504">
        <v>60</v>
      </c>
      <c r="I4504" s="25">
        <v>1437</v>
      </c>
      <c r="K4504" t="s">
        <v>324</v>
      </c>
      <c r="N4504" t="s">
        <v>44</v>
      </c>
      <c r="O4504">
        <v>76</v>
      </c>
      <c r="Q4504">
        <v>1</v>
      </c>
      <c r="R4504">
        <v>1</v>
      </c>
      <c r="S4504">
        <v>0</v>
      </c>
      <c r="T4504">
        <v>0</v>
      </c>
      <c r="U4504">
        <v>0</v>
      </c>
      <c r="V4504">
        <v>0</v>
      </c>
      <c r="W4504">
        <v>1</v>
      </c>
      <c r="X4504" s="21">
        <v>0</v>
      </c>
      <c r="Y4504" s="21">
        <v>0</v>
      </c>
      <c r="Z4504" s="21">
        <v>0</v>
      </c>
      <c r="AA4504" s="21">
        <v>0</v>
      </c>
      <c r="AB4504" s="21">
        <v>0</v>
      </c>
      <c r="AC4504" s="21">
        <v>0</v>
      </c>
      <c r="AD4504" s="21">
        <v>0</v>
      </c>
      <c r="AE4504" s="21">
        <v>0</v>
      </c>
      <c r="AF4504">
        <v>0</v>
      </c>
      <c r="AG4504">
        <v>0</v>
      </c>
      <c r="AH4504">
        <v>96</v>
      </c>
      <c r="AJ4504" t="s">
        <v>51</v>
      </c>
      <c r="AK4504" t="s">
        <v>95</v>
      </c>
      <c r="AL4504" t="s">
        <v>1389</v>
      </c>
      <c r="AP4504" t="s">
        <v>951</v>
      </c>
    </row>
    <row r="4505" spans="1:42">
      <c r="A4505" s="16">
        <v>43847</v>
      </c>
      <c r="B4505">
        <v>5</v>
      </c>
      <c r="C4505">
        <v>210</v>
      </c>
      <c r="D4505">
        <v>14638</v>
      </c>
      <c r="E4505" t="s">
        <v>37</v>
      </c>
      <c r="F4505" t="s">
        <v>104</v>
      </c>
      <c r="G4505">
        <v>2</v>
      </c>
      <c r="H4505">
        <v>61</v>
      </c>
      <c r="I4505" s="25">
        <v>1450</v>
      </c>
      <c r="K4505" t="s">
        <v>324</v>
      </c>
      <c r="N4505" t="s">
        <v>44</v>
      </c>
      <c r="O4505">
        <v>109</v>
      </c>
      <c r="Q4505">
        <v>1</v>
      </c>
      <c r="R4505">
        <v>1</v>
      </c>
      <c r="S4505">
        <v>0</v>
      </c>
      <c r="T4505">
        <v>0</v>
      </c>
      <c r="U4505">
        <v>0</v>
      </c>
      <c r="V4505">
        <v>0</v>
      </c>
      <c r="W4505">
        <v>1</v>
      </c>
      <c r="X4505" s="21">
        <v>0</v>
      </c>
      <c r="Y4505" s="21">
        <v>0</v>
      </c>
      <c r="Z4505" s="21">
        <v>0</v>
      </c>
      <c r="AA4505" s="21">
        <v>0</v>
      </c>
      <c r="AB4505" s="21">
        <v>0</v>
      </c>
      <c r="AC4505" s="21">
        <v>0</v>
      </c>
      <c r="AD4505" s="21">
        <v>0</v>
      </c>
      <c r="AE4505" s="21">
        <v>0</v>
      </c>
      <c r="AF4505">
        <v>0</v>
      </c>
      <c r="AG4505">
        <v>0</v>
      </c>
      <c r="AH4505">
        <v>96</v>
      </c>
      <c r="AJ4505" t="s">
        <v>51</v>
      </c>
      <c r="AK4505" t="s">
        <v>95</v>
      </c>
      <c r="AL4505" t="s">
        <v>1495</v>
      </c>
      <c r="AP4505" t="s">
        <v>951</v>
      </c>
    </row>
    <row r="4506" spans="1:42">
      <c r="A4506" s="16">
        <v>43847</v>
      </c>
      <c r="B4506">
        <v>5</v>
      </c>
      <c r="C4506">
        <v>210</v>
      </c>
      <c r="D4506">
        <v>14638</v>
      </c>
      <c r="E4506" t="s">
        <v>37</v>
      </c>
      <c r="F4506" t="s">
        <v>104</v>
      </c>
      <c r="G4506">
        <v>2</v>
      </c>
      <c r="H4506">
        <v>62</v>
      </c>
      <c r="I4506" s="25">
        <v>1490</v>
      </c>
      <c r="K4506" t="s">
        <v>324</v>
      </c>
      <c r="N4506" t="s">
        <v>44</v>
      </c>
      <c r="O4506">
        <v>41</v>
      </c>
      <c r="Q4506">
        <v>1</v>
      </c>
      <c r="R4506">
        <v>1</v>
      </c>
      <c r="S4506">
        <v>0</v>
      </c>
      <c r="T4506">
        <v>0</v>
      </c>
      <c r="U4506">
        <v>0</v>
      </c>
      <c r="V4506">
        <v>0</v>
      </c>
      <c r="W4506">
        <v>1</v>
      </c>
      <c r="X4506" s="21">
        <v>0</v>
      </c>
      <c r="Y4506" s="21">
        <v>0</v>
      </c>
      <c r="Z4506" s="21">
        <v>0</v>
      </c>
      <c r="AA4506" s="21">
        <v>0</v>
      </c>
      <c r="AB4506" s="21">
        <v>0</v>
      </c>
      <c r="AC4506" s="21">
        <v>0</v>
      </c>
      <c r="AD4506" s="21">
        <v>0</v>
      </c>
      <c r="AE4506" s="21">
        <v>0</v>
      </c>
      <c r="AF4506">
        <v>0</v>
      </c>
      <c r="AG4506">
        <v>0</v>
      </c>
      <c r="AH4506">
        <v>96</v>
      </c>
      <c r="AJ4506" t="s">
        <v>51</v>
      </c>
      <c r="AK4506" t="s">
        <v>95</v>
      </c>
      <c r="AP4506" t="s">
        <v>951</v>
      </c>
    </row>
    <row r="4507" spans="1:42">
      <c r="A4507" s="16">
        <v>43847</v>
      </c>
      <c r="B4507">
        <v>5</v>
      </c>
      <c r="C4507">
        <v>210</v>
      </c>
      <c r="D4507">
        <v>14638</v>
      </c>
      <c r="E4507" t="s">
        <v>37</v>
      </c>
      <c r="F4507" t="s">
        <v>104</v>
      </c>
      <c r="G4507">
        <v>2</v>
      </c>
      <c r="H4507">
        <v>63</v>
      </c>
      <c r="I4507" s="25">
        <v>3300</v>
      </c>
      <c r="K4507" t="s">
        <v>588</v>
      </c>
      <c r="N4507" t="s">
        <v>44</v>
      </c>
      <c r="O4507">
        <v>81</v>
      </c>
      <c r="Q4507">
        <v>1</v>
      </c>
      <c r="R4507">
        <v>1</v>
      </c>
      <c r="S4507">
        <v>0</v>
      </c>
      <c r="T4507">
        <v>0</v>
      </c>
      <c r="U4507">
        <v>0</v>
      </c>
      <c r="V4507">
        <v>0</v>
      </c>
      <c r="W4507">
        <v>1</v>
      </c>
      <c r="X4507" s="21">
        <v>0</v>
      </c>
      <c r="Y4507" s="21">
        <v>0</v>
      </c>
      <c r="Z4507" s="21">
        <v>0</v>
      </c>
      <c r="AA4507" s="21">
        <v>0</v>
      </c>
      <c r="AB4507" s="21">
        <v>0</v>
      </c>
      <c r="AC4507" s="21">
        <v>0</v>
      </c>
      <c r="AD4507" s="21">
        <v>0</v>
      </c>
      <c r="AE4507" s="21">
        <v>0</v>
      </c>
      <c r="AF4507">
        <v>0</v>
      </c>
      <c r="AG4507">
        <v>0</v>
      </c>
      <c r="AH4507">
        <v>96</v>
      </c>
      <c r="AJ4507" t="s">
        <v>51</v>
      </c>
      <c r="AK4507" t="s">
        <v>95</v>
      </c>
      <c r="AL4507" t="s">
        <v>1490</v>
      </c>
      <c r="AP4507" t="s">
        <v>951</v>
      </c>
    </row>
    <row r="4508" spans="1:42">
      <c r="A4508" s="16">
        <v>43847</v>
      </c>
      <c r="B4508">
        <v>5</v>
      </c>
      <c r="C4508">
        <v>210</v>
      </c>
      <c r="D4508">
        <v>14638</v>
      </c>
      <c r="E4508" t="s">
        <v>37</v>
      </c>
      <c r="F4508" t="s">
        <v>104</v>
      </c>
      <c r="G4508">
        <v>2</v>
      </c>
      <c r="H4508">
        <v>64</v>
      </c>
      <c r="I4508" s="25">
        <v>3316</v>
      </c>
      <c r="K4508" t="s">
        <v>588</v>
      </c>
      <c r="N4508" t="s">
        <v>44</v>
      </c>
      <c r="O4508">
        <v>111</v>
      </c>
      <c r="Q4508">
        <v>1</v>
      </c>
      <c r="R4508">
        <v>1</v>
      </c>
      <c r="S4508">
        <v>0</v>
      </c>
      <c r="T4508">
        <v>0</v>
      </c>
      <c r="U4508">
        <v>0</v>
      </c>
      <c r="V4508">
        <v>0</v>
      </c>
      <c r="W4508">
        <v>1</v>
      </c>
      <c r="X4508" s="21">
        <v>0</v>
      </c>
      <c r="Y4508" s="21">
        <v>0</v>
      </c>
      <c r="Z4508" s="21">
        <v>0</v>
      </c>
      <c r="AA4508" s="21">
        <v>0</v>
      </c>
      <c r="AB4508" s="21">
        <v>0</v>
      </c>
      <c r="AC4508" s="21">
        <v>0</v>
      </c>
      <c r="AD4508" s="21">
        <v>0</v>
      </c>
      <c r="AE4508" s="21">
        <v>0</v>
      </c>
      <c r="AF4508">
        <v>0</v>
      </c>
      <c r="AG4508">
        <v>0</v>
      </c>
      <c r="AH4508">
        <v>96</v>
      </c>
      <c r="AJ4508" t="s">
        <v>51</v>
      </c>
      <c r="AK4508" t="s">
        <v>95</v>
      </c>
      <c r="AL4508" t="s">
        <v>1389</v>
      </c>
      <c r="AP4508" t="s">
        <v>951</v>
      </c>
    </row>
    <row r="4509" spans="1:42">
      <c r="A4509" s="16">
        <v>43847</v>
      </c>
      <c r="B4509">
        <v>5</v>
      </c>
      <c r="C4509">
        <v>210</v>
      </c>
      <c r="D4509">
        <v>14638</v>
      </c>
      <c r="E4509" t="s">
        <v>37</v>
      </c>
      <c r="F4509" t="s">
        <v>104</v>
      </c>
      <c r="G4509">
        <v>2</v>
      </c>
      <c r="H4509">
        <v>65</v>
      </c>
      <c r="I4509" s="25">
        <v>3326</v>
      </c>
      <c r="K4509" t="s">
        <v>588</v>
      </c>
      <c r="N4509" t="s">
        <v>44</v>
      </c>
      <c r="O4509">
        <v>56</v>
      </c>
      <c r="Q4509">
        <v>1</v>
      </c>
      <c r="R4509">
        <v>1</v>
      </c>
      <c r="S4509">
        <v>0</v>
      </c>
      <c r="T4509">
        <v>0</v>
      </c>
      <c r="U4509">
        <v>0</v>
      </c>
      <c r="V4509">
        <v>0</v>
      </c>
      <c r="W4509">
        <v>1</v>
      </c>
      <c r="X4509" s="21">
        <v>0</v>
      </c>
      <c r="Y4509" s="21">
        <v>0</v>
      </c>
      <c r="Z4509" s="21">
        <v>0</v>
      </c>
      <c r="AA4509" s="21">
        <v>0</v>
      </c>
      <c r="AB4509" s="21">
        <v>0</v>
      </c>
      <c r="AC4509" s="21">
        <v>0</v>
      </c>
      <c r="AD4509" s="21">
        <v>0</v>
      </c>
      <c r="AE4509" s="21">
        <v>0</v>
      </c>
      <c r="AF4509">
        <v>0</v>
      </c>
      <c r="AG4509">
        <v>0</v>
      </c>
      <c r="AH4509">
        <v>96</v>
      </c>
      <c r="AJ4509" t="s">
        <v>51</v>
      </c>
      <c r="AK4509" t="s">
        <v>95</v>
      </c>
      <c r="AL4509" t="s">
        <v>1389</v>
      </c>
      <c r="AP4509" t="s">
        <v>951</v>
      </c>
    </row>
    <row r="4510" spans="1:42">
      <c r="A4510" s="16">
        <v>43847</v>
      </c>
      <c r="B4510">
        <v>5</v>
      </c>
      <c r="C4510">
        <v>210</v>
      </c>
      <c r="D4510">
        <v>14638</v>
      </c>
      <c r="E4510" t="s">
        <v>37</v>
      </c>
      <c r="F4510" t="s">
        <v>104</v>
      </c>
      <c r="G4510">
        <v>2</v>
      </c>
      <c r="H4510">
        <v>66</v>
      </c>
      <c r="I4510" s="25">
        <v>3336</v>
      </c>
      <c r="K4510" t="s">
        <v>588</v>
      </c>
      <c r="N4510" t="s">
        <v>44</v>
      </c>
      <c r="O4510">
        <v>85</v>
      </c>
      <c r="Q4510">
        <v>1</v>
      </c>
      <c r="R4510">
        <v>1</v>
      </c>
      <c r="S4510">
        <v>0</v>
      </c>
      <c r="T4510">
        <v>0</v>
      </c>
      <c r="U4510">
        <v>0</v>
      </c>
      <c r="V4510">
        <v>0</v>
      </c>
      <c r="W4510">
        <v>1</v>
      </c>
      <c r="X4510" s="21">
        <v>0</v>
      </c>
      <c r="Y4510" s="21">
        <v>0</v>
      </c>
      <c r="Z4510" s="21">
        <v>0</v>
      </c>
      <c r="AA4510" s="21">
        <v>0</v>
      </c>
      <c r="AB4510" s="21">
        <v>0</v>
      </c>
      <c r="AC4510" s="21">
        <v>0</v>
      </c>
      <c r="AD4510" s="21">
        <v>0</v>
      </c>
      <c r="AE4510" s="21">
        <v>0</v>
      </c>
      <c r="AF4510">
        <v>0</v>
      </c>
      <c r="AG4510">
        <v>0</v>
      </c>
      <c r="AH4510">
        <v>96</v>
      </c>
      <c r="AJ4510" t="s">
        <v>51</v>
      </c>
      <c r="AK4510" t="s">
        <v>95</v>
      </c>
      <c r="AL4510" t="s">
        <v>1389</v>
      </c>
      <c r="AP4510" t="s">
        <v>951</v>
      </c>
    </row>
    <row r="4511" spans="1:42">
      <c r="A4511" s="16">
        <v>43847</v>
      </c>
      <c r="B4511">
        <v>5</v>
      </c>
      <c r="C4511">
        <v>210</v>
      </c>
      <c r="D4511">
        <v>14638</v>
      </c>
      <c r="E4511" t="s">
        <v>37</v>
      </c>
      <c r="F4511" t="s">
        <v>104</v>
      </c>
      <c r="G4511">
        <v>2</v>
      </c>
      <c r="H4511">
        <v>67</v>
      </c>
      <c r="I4511" s="25">
        <v>1535</v>
      </c>
      <c r="K4511" t="s">
        <v>862</v>
      </c>
      <c r="N4511" t="s">
        <v>44</v>
      </c>
      <c r="O4511">
        <v>65</v>
      </c>
      <c r="Q4511">
        <v>1</v>
      </c>
      <c r="R4511">
        <v>1</v>
      </c>
      <c r="S4511">
        <v>0</v>
      </c>
      <c r="T4511">
        <v>0</v>
      </c>
      <c r="U4511">
        <v>0</v>
      </c>
      <c r="V4511">
        <v>0</v>
      </c>
      <c r="W4511">
        <v>1</v>
      </c>
      <c r="X4511" s="21">
        <v>0</v>
      </c>
      <c r="Y4511" s="21">
        <v>0</v>
      </c>
      <c r="Z4511" s="21">
        <v>0</v>
      </c>
      <c r="AA4511" s="21">
        <v>0</v>
      </c>
      <c r="AB4511" s="21">
        <v>0</v>
      </c>
      <c r="AC4511" s="21">
        <v>0</v>
      </c>
      <c r="AD4511" s="21">
        <v>0</v>
      </c>
      <c r="AE4511" s="21">
        <v>0</v>
      </c>
      <c r="AF4511">
        <v>0</v>
      </c>
      <c r="AG4511">
        <v>0</v>
      </c>
      <c r="AH4511">
        <v>96</v>
      </c>
      <c r="AJ4511" t="s">
        <v>51</v>
      </c>
      <c r="AK4511" t="s">
        <v>52</v>
      </c>
      <c r="AL4511" t="s">
        <v>1389</v>
      </c>
      <c r="AP4511" t="s">
        <v>951</v>
      </c>
    </row>
    <row r="4512" spans="1:42">
      <c r="A4512" s="16">
        <v>43847</v>
      </c>
      <c r="B4512">
        <v>5</v>
      </c>
      <c r="C4512">
        <v>210</v>
      </c>
      <c r="D4512">
        <v>14638</v>
      </c>
      <c r="E4512" t="s">
        <v>37</v>
      </c>
      <c r="F4512" t="s">
        <v>104</v>
      </c>
      <c r="G4512">
        <v>2</v>
      </c>
      <c r="H4512">
        <v>68</v>
      </c>
      <c r="I4512" s="25">
        <v>1531</v>
      </c>
      <c r="K4512" t="s">
        <v>862</v>
      </c>
      <c r="N4512" t="s">
        <v>44</v>
      </c>
      <c r="O4512">
        <v>54</v>
      </c>
      <c r="Q4512">
        <v>1</v>
      </c>
      <c r="R4512">
        <v>1</v>
      </c>
      <c r="S4512">
        <v>0</v>
      </c>
      <c r="T4512">
        <v>0</v>
      </c>
      <c r="U4512">
        <v>0</v>
      </c>
      <c r="V4512">
        <v>1</v>
      </c>
      <c r="W4512">
        <v>0</v>
      </c>
      <c r="X4512" s="21">
        <v>0</v>
      </c>
      <c r="Y4512" s="21">
        <v>0</v>
      </c>
      <c r="Z4512" s="21">
        <v>0</v>
      </c>
      <c r="AA4512" s="21">
        <v>0</v>
      </c>
      <c r="AB4512" s="21">
        <v>0</v>
      </c>
      <c r="AC4512" s="21">
        <v>0</v>
      </c>
      <c r="AD4512" s="21">
        <v>0</v>
      </c>
      <c r="AE4512" s="21">
        <v>0</v>
      </c>
      <c r="AF4512">
        <v>0</v>
      </c>
      <c r="AG4512">
        <v>0</v>
      </c>
      <c r="AH4512">
        <v>64</v>
      </c>
      <c r="AJ4512" t="s">
        <v>51</v>
      </c>
      <c r="AK4512" t="s">
        <v>52</v>
      </c>
      <c r="AP4512" t="s">
        <v>951</v>
      </c>
    </row>
    <row r="4513" spans="1:42">
      <c r="A4513" s="16">
        <v>43847</v>
      </c>
      <c r="B4513">
        <v>5</v>
      </c>
      <c r="C4513">
        <v>210</v>
      </c>
      <c r="D4513">
        <v>14638</v>
      </c>
      <c r="E4513" t="s">
        <v>37</v>
      </c>
      <c r="F4513" t="s">
        <v>104</v>
      </c>
      <c r="G4513">
        <v>2</v>
      </c>
      <c r="H4513">
        <v>69</v>
      </c>
      <c r="I4513" s="25">
        <v>3320</v>
      </c>
      <c r="K4513" t="s">
        <v>595</v>
      </c>
      <c r="N4513" t="s">
        <v>44</v>
      </c>
      <c r="O4513">
        <v>138</v>
      </c>
      <c r="Q4513">
        <v>2</v>
      </c>
      <c r="R4513">
        <v>1</v>
      </c>
      <c r="S4513">
        <v>0</v>
      </c>
      <c r="T4513">
        <v>0</v>
      </c>
      <c r="U4513">
        <v>0</v>
      </c>
      <c r="V4513">
        <v>1</v>
      </c>
      <c r="W4513">
        <v>1</v>
      </c>
      <c r="X4513" s="21">
        <v>0</v>
      </c>
      <c r="Y4513" s="21">
        <v>0</v>
      </c>
      <c r="Z4513" s="21">
        <v>0</v>
      </c>
      <c r="AA4513" s="21">
        <v>0</v>
      </c>
      <c r="AB4513" s="21">
        <v>0</v>
      </c>
      <c r="AC4513" s="21">
        <v>0</v>
      </c>
      <c r="AD4513" s="21">
        <v>0</v>
      </c>
      <c r="AE4513" s="21">
        <v>0</v>
      </c>
      <c r="AF4513">
        <v>0</v>
      </c>
      <c r="AG4513">
        <v>0</v>
      </c>
      <c r="AH4513">
        <v>160</v>
      </c>
      <c r="AJ4513" t="s">
        <v>51</v>
      </c>
      <c r="AK4513" t="s">
        <v>95</v>
      </c>
      <c r="AP4513" t="s">
        <v>951</v>
      </c>
    </row>
    <row r="4514" spans="1:42">
      <c r="A4514" s="16">
        <v>43847</v>
      </c>
      <c r="B4514">
        <v>5</v>
      </c>
      <c r="C4514">
        <v>210</v>
      </c>
      <c r="D4514">
        <v>14638</v>
      </c>
      <c r="E4514" t="s">
        <v>37</v>
      </c>
      <c r="F4514" t="s">
        <v>104</v>
      </c>
      <c r="G4514">
        <v>2</v>
      </c>
      <c r="H4514">
        <v>70</v>
      </c>
      <c r="I4514" s="25">
        <v>3223</v>
      </c>
      <c r="K4514" t="s">
        <v>595</v>
      </c>
      <c r="N4514" t="s">
        <v>44</v>
      </c>
      <c r="O4514">
        <v>88</v>
      </c>
      <c r="Q4514">
        <v>1</v>
      </c>
      <c r="R4514">
        <v>1</v>
      </c>
      <c r="S4514">
        <v>0</v>
      </c>
      <c r="T4514">
        <v>0</v>
      </c>
      <c r="U4514">
        <v>0</v>
      </c>
      <c r="V4514">
        <v>0</v>
      </c>
      <c r="W4514">
        <v>1</v>
      </c>
      <c r="X4514" s="21">
        <v>0</v>
      </c>
      <c r="Y4514" s="21">
        <v>0</v>
      </c>
      <c r="Z4514" s="21">
        <v>0</v>
      </c>
      <c r="AA4514" s="21">
        <v>0</v>
      </c>
      <c r="AB4514" s="21">
        <v>0</v>
      </c>
      <c r="AC4514" s="21">
        <v>0</v>
      </c>
      <c r="AD4514" s="21">
        <v>0</v>
      </c>
      <c r="AE4514" s="21">
        <v>0</v>
      </c>
      <c r="AF4514">
        <v>0</v>
      </c>
      <c r="AG4514">
        <v>0</v>
      </c>
      <c r="AH4514">
        <v>96</v>
      </c>
      <c r="AJ4514" t="s">
        <v>51</v>
      </c>
      <c r="AK4514" t="s">
        <v>95</v>
      </c>
      <c r="AP4514" t="s">
        <v>951</v>
      </c>
    </row>
    <row r="4515" spans="1:42">
      <c r="A4515" s="16">
        <v>43847</v>
      </c>
      <c r="B4515">
        <v>5</v>
      </c>
      <c r="C4515">
        <v>210</v>
      </c>
      <c r="D4515">
        <v>14638</v>
      </c>
      <c r="E4515" t="s">
        <v>37</v>
      </c>
      <c r="F4515" t="s">
        <v>104</v>
      </c>
      <c r="G4515">
        <v>2</v>
      </c>
      <c r="H4515">
        <v>71</v>
      </c>
      <c r="I4515" s="25">
        <v>3350</v>
      </c>
      <c r="K4515" t="s">
        <v>595</v>
      </c>
      <c r="N4515" t="s">
        <v>44</v>
      </c>
      <c r="O4515">
        <v>137</v>
      </c>
      <c r="Q4515">
        <v>2</v>
      </c>
      <c r="R4515">
        <v>1</v>
      </c>
      <c r="S4515">
        <v>0</v>
      </c>
      <c r="T4515">
        <v>1</v>
      </c>
      <c r="U4515">
        <v>0</v>
      </c>
      <c r="V4515">
        <v>0</v>
      </c>
      <c r="W4515">
        <v>1</v>
      </c>
      <c r="X4515" s="21">
        <v>0</v>
      </c>
      <c r="Y4515" s="21">
        <v>0</v>
      </c>
      <c r="Z4515" s="21">
        <v>0</v>
      </c>
      <c r="AA4515" s="21">
        <v>0</v>
      </c>
      <c r="AB4515" s="21">
        <v>0</v>
      </c>
      <c r="AC4515" s="21">
        <v>0</v>
      </c>
      <c r="AD4515" s="21">
        <v>0</v>
      </c>
      <c r="AE4515" s="21">
        <v>0</v>
      </c>
      <c r="AF4515">
        <v>0</v>
      </c>
      <c r="AG4515">
        <v>0</v>
      </c>
      <c r="AH4515">
        <v>116</v>
      </c>
      <c r="AJ4515" t="s">
        <v>51</v>
      </c>
      <c r="AK4515" t="s">
        <v>95</v>
      </c>
      <c r="AL4515" t="s">
        <v>1464</v>
      </c>
      <c r="AP4515" t="s">
        <v>951</v>
      </c>
    </row>
    <row r="4516" spans="1:42">
      <c r="A4516" s="16">
        <v>43847</v>
      </c>
      <c r="B4516">
        <v>5</v>
      </c>
      <c r="C4516">
        <v>210</v>
      </c>
      <c r="D4516">
        <v>14638</v>
      </c>
      <c r="E4516" t="s">
        <v>37</v>
      </c>
      <c r="F4516" t="s">
        <v>104</v>
      </c>
      <c r="G4516">
        <v>2</v>
      </c>
      <c r="H4516">
        <v>72</v>
      </c>
      <c r="I4516" s="25">
        <v>3360</v>
      </c>
      <c r="K4516" t="s">
        <v>595</v>
      </c>
      <c r="N4516" t="s">
        <v>44</v>
      </c>
      <c r="O4516">
        <v>59</v>
      </c>
      <c r="Q4516">
        <v>1</v>
      </c>
      <c r="R4516">
        <v>1</v>
      </c>
      <c r="S4516">
        <v>0</v>
      </c>
      <c r="T4516">
        <v>0</v>
      </c>
      <c r="U4516">
        <v>0</v>
      </c>
      <c r="V4516">
        <v>0</v>
      </c>
      <c r="W4516">
        <v>1</v>
      </c>
      <c r="X4516" s="21">
        <v>0</v>
      </c>
      <c r="Y4516" s="21">
        <v>0</v>
      </c>
      <c r="Z4516" s="21">
        <v>0</v>
      </c>
      <c r="AA4516" s="21">
        <v>0</v>
      </c>
      <c r="AB4516" s="21">
        <v>0</v>
      </c>
      <c r="AC4516" s="21">
        <v>0</v>
      </c>
      <c r="AD4516" s="21">
        <v>0</v>
      </c>
      <c r="AE4516" s="21">
        <v>0</v>
      </c>
      <c r="AF4516">
        <v>0</v>
      </c>
      <c r="AG4516">
        <v>0</v>
      </c>
      <c r="AH4516">
        <v>59</v>
      </c>
      <c r="AJ4516" t="s">
        <v>51</v>
      </c>
      <c r="AK4516" t="s">
        <v>95</v>
      </c>
      <c r="AP4516" t="s">
        <v>951</v>
      </c>
    </row>
    <row r="4517" spans="1:42">
      <c r="A4517" s="16">
        <v>43847</v>
      </c>
      <c r="B4517">
        <v>5</v>
      </c>
      <c r="C4517">
        <v>210</v>
      </c>
      <c r="D4517">
        <v>14638</v>
      </c>
      <c r="E4517" t="s">
        <v>37</v>
      </c>
      <c r="F4517" t="s">
        <v>104</v>
      </c>
      <c r="G4517">
        <v>2</v>
      </c>
      <c r="H4517">
        <v>73</v>
      </c>
      <c r="I4517" s="25">
        <v>3615</v>
      </c>
      <c r="K4517" t="s">
        <v>596</v>
      </c>
      <c r="N4517" t="s">
        <v>44</v>
      </c>
      <c r="O4517">
        <v>175</v>
      </c>
      <c r="Q4517">
        <v>2</v>
      </c>
      <c r="R4517">
        <v>1</v>
      </c>
      <c r="S4517">
        <v>0</v>
      </c>
      <c r="T4517">
        <v>0</v>
      </c>
      <c r="U4517">
        <v>0</v>
      </c>
      <c r="V4517">
        <v>0</v>
      </c>
      <c r="W4517">
        <v>2</v>
      </c>
      <c r="X4517" s="21">
        <v>0</v>
      </c>
      <c r="Y4517" s="21">
        <v>0</v>
      </c>
      <c r="Z4517" s="21">
        <v>0</v>
      </c>
      <c r="AA4517" s="21">
        <v>0</v>
      </c>
      <c r="AB4517" s="21">
        <v>0</v>
      </c>
      <c r="AC4517" s="21">
        <v>0</v>
      </c>
      <c r="AD4517" s="21">
        <v>0</v>
      </c>
      <c r="AE4517" s="21">
        <v>0</v>
      </c>
      <c r="AF4517">
        <v>0</v>
      </c>
      <c r="AG4517">
        <v>0</v>
      </c>
      <c r="AH4517">
        <v>192</v>
      </c>
      <c r="AJ4517" t="s">
        <v>51</v>
      </c>
      <c r="AK4517" t="s">
        <v>95</v>
      </c>
      <c r="AL4517" t="s">
        <v>1496</v>
      </c>
      <c r="AP4517" t="s">
        <v>951</v>
      </c>
    </row>
    <row r="4518" spans="1:42">
      <c r="A4518" s="16">
        <v>43847</v>
      </c>
      <c r="B4518">
        <v>5</v>
      </c>
      <c r="C4518">
        <v>210</v>
      </c>
      <c r="D4518">
        <v>14638</v>
      </c>
      <c r="E4518" t="s">
        <v>37</v>
      </c>
      <c r="F4518" t="s">
        <v>104</v>
      </c>
      <c r="G4518">
        <v>2</v>
      </c>
      <c r="H4518">
        <v>74</v>
      </c>
      <c r="I4518" s="25">
        <v>16040</v>
      </c>
      <c r="K4518" t="s">
        <v>1122</v>
      </c>
      <c r="N4518" t="s">
        <v>44</v>
      </c>
      <c r="O4518">
        <v>29</v>
      </c>
      <c r="Q4518">
        <v>1</v>
      </c>
      <c r="R4518">
        <v>1</v>
      </c>
      <c r="S4518">
        <v>0</v>
      </c>
      <c r="T4518">
        <v>0</v>
      </c>
      <c r="U4518">
        <v>0</v>
      </c>
      <c r="V4518">
        <v>0</v>
      </c>
      <c r="W4518">
        <v>1</v>
      </c>
      <c r="X4518" s="21">
        <v>0</v>
      </c>
      <c r="Y4518" s="21">
        <v>0</v>
      </c>
      <c r="Z4518" s="21">
        <v>0</v>
      </c>
      <c r="AA4518" s="21">
        <v>0</v>
      </c>
      <c r="AB4518" s="21">
        <v>0</v>
      </c>
      <c r="AC4518" s="21">
        <v>0</v>
      </c>
      <c r="AD4518" s="21">
        <v>0</v>
      </c>
      <c r="AE4518" s="21">
        <v>0</v>
      </c>
      <c r="AF4518">
        <v>0</v>
      </c>
      <c r="AG4518">
        <v>0</v>
      </c>
      <c r="AH4518">
        <v>96</v>
      </c>
      <c r="AJ4518" t="s">
        <v>51</v>
      </c>
      <c r="AK4518" t="s">
        <v>95</v>
      </c>
      <c r="AP4518" t="s">
        <v>951</v>
      </c>
    </row>
    <row r="4519" spans="1:42">
      <c r="A4519" s="16">
        <v>43847</v>
      </c>
      <c r="B4519">
        <v>5</v>
      </c>
      <c r="C4519">
        <v>210</v>
      </c>
      <c r="D4519">
        <v>14638</v>
      </c>
      <c r="E4519" t="s">
        <v>37</v>
      </c>
      <c r="F4519" t="s">
        <v>104</v>
      </c>
      <c r="G4519">
        <v>2</v>
      </c>
      <c r="H4519">
        <v>75</v>
      </c>
      <c r="I4519" s="25">
        <v>1407</v>
      </c>
      <c r="K4519" t="s">
        <v>862</v>
      </c>
      <c r="N4519" t="s">
        <v>44</v>
      </c>
      <c r="O4519">
        <v>97</v>
      </c>
      <c r="Q4519">
        <v>1</v>
      </c>
      <c r="R4519">
        <v>1</v>
      </c>
      <c r="S4519">
        <v>0</v>
      </c>
      <c r="T4519">
        <v>0</v>
      </c>
      <c r="U4519">
        <v>0</v>
      </c>
      <c r="V4519">
        <v>0</v>
      </c>
      <c r="W4519">
        <v>1</v>
      </c>
      <c r="X4519" s="21">
        <v>0</v>
      </c>
      <c r="Y4519" s="21">
        <v>0</v>
      </c>
      <c r="Z4519" s="21">
        <v>0</v>
      </c>
      <c r="AA4519" s="21">
        <v>0</v>
      </c>
      <c r="AB4519" s="21">
        <v>0</v>
      </c>
      <c r="AC4519" s="21">
        <v>0</v>
      </c>
      <c r="AD4519" s="21">
        <v>0</v>
      </c>
      <c r="AE4519" s="21">
        <v>0</v>
      </c>
      <c r="AF4519">
        <v>0</v>
      </c>
      <c r="AG4519">
        <v>0</v>
      </c>
      <c r="AH4519">
        <v>96</v>
      </c>
      <c r="AJ4519" t="s">
        <v>51</v>
      </c>
      <c r="AK4519" t="s">
        <v>95</v>
      </c>
      <c r="AL4519" t="s">
        <v>1497</v>
      </c>
      <c r="AP4519" t="s">
        <v>951</v>
      </c>
    </row>
    <row r="4520" spans="1:42">
      <c r="A4520" s="16">
        <v>43847</v>
      </c>
      <c r="B4520">
        <v>5</v>
      </c>
      <c r="C4520">
        <v>210</v>
      </c>
      <c r="D4520">
        <v>14638</v>
      </c>
      <c r="E4520" t="s">
        <v>37</v>
      </c>
      <c r="F4520" t="s">
        <v>104</v>
      </c>
      <c r="G4520">
        <v>2</v>
      </c>
      <c r="H4520">
        <v>76</v>
      </c>
      <c r="I4520" s="25">
        <v>3101</v>
      </c>
      <c r="K4520" t="s">
        <v>638</v>
      </c>
      <c r="N4520" t="s">
        <v>44</v>
      </c>
      <c r="O4520">
        <v>77</v>
      </c>
      <c r="Q4520">
        <v>1</v>
      </c>
      <c r="R4520">
        <v>1</v>
      </c>
      <c r="S4520">
        <v>0</v>
      </c>
      <c r="T4520">
        <v>0</v>
      </c>
      <c r="U4520">
        <v>0</v>
      </c>
      <c r="V4520">
        <v>0</v>
      </c>
      <c r="W4520">
        <v>1</v>
      </c>
      <c r="X4520" s="21">
        <v>0</v>
      </c>
      <c r="Y4520" s="21">
        <v>0</v>
      </c>
      <c r="Z4520" s="21">
        <v>0</v>
      </c>
      <c r="AA4520" s="21">
        <v>0</v>
      </c>
      <c r="AB4520" s="21">
        <v>0</v>
      </c>
      <c r="AC4520" s="21">
        <v>0</v>
      </c>
      <c r="AD4520" s="21">
        <v>0</v>
      </c>
      <c r="AE4520" s="21">
        <v>0</v>
      </c>
      <c r="AF4520">
        <v>0</v>
      </c>
      <c r="AG4520">
        <v>0</v>
      </c>
      <c r="AH4520">
        <v>96</v>
      </c>
      <c r="AJ4520" t="s">
        <v>51</v>
      </c>
      <c r="AK4520" t="s">
        <v>95</v>
      </c>
      <c r="AP4520" t="s">
        <v>951</v>
      </c>
    </row>
    <row r="4521" spans="1:42">
      <c r="A4521" s="16">
        <v>43847</v>
      </c>
      <c r="B4521">
        <v>5</v>
      </c>
      <c r="C4521">
        <v>210</v>
      </c>
      <c r="D4521">
        <v>14638</v>
      </c>
      <c r="E4521" t="s">
        <v>37</v>
      </c>
      <c r="F4521" t="s">
        <v>104</v>
      </c>
      <c r="G4521">
        <v>2</v>
      </c>
      <c r="H4521">
        <v>77</v>
      </c>
      <c r="I4521" s="25">
        <v>1800</v>
      </c>
      <c r="K4521" t="s">
        <v>324</v>
      </c>
      <c r="N4521" t="s">
        <v>44</v>
      </c>
      <c r="O4521">
        <v>265</v>
      </c>
      <c r="Q4521">
        <v>5</v>
      </c>
      <c r="R4521">
        <v>1</v>
      </c>
      <c r="S4521">
        <v>0</v>
      </c>
      <c r="T4521">
        <v>0</v>
      </c>
      <c r="U4521">
        <v>0</v>
      </c>
      <c r="V4521">
        <v>1</v>
      </c>
      <c r="W4521">
        <v>4</v>
      </c>
      <c r="X4521" s="21">
        <v>0</v>
      </c>
      <c r="Y4521" s="21">
        <v>0</v>
      </c>
      <c r="Z4521" s="21">
        <v>0</v>
      </c>
      <c r="AA4521" s="21">
        <v>0</v>
      </c>
      <c r="AB4521" s="21">
        <v>0</v>
      </c>
      <c r="AC4521" s="21">
        <v>0</v>
      </c>
      <c r="AD4521" s="21">
        <v>0</v>
      </c>
      <c r="AE4521" s="21">
        <v>0</v>
      </c>
      <c r="AF4521">
        <v>0</v>
      </c>
      <c r="AG4521">
        <v>0</v>
      </c>
      <c r="AH4521">
        <v>448</v>
      </c>
      <c r="AP4521" t="s">
        <v>951</v>
      </c>
    </row>
    <row r="4522" spans="1:42">
      <c r="A4522" s="16">
        <v>43847</v>
      </c>
      <c r="B4522">
        <v>5</v>
      </c>
      <c r="C4522">
        <v>210</v>
      </c>
      <c r="D4522">
        <v>14638</v>
      </c>
      <c r="E4522" t="s">
        <v>37</v>
      </c>
      <c r="F4522" t="s">
        <v>104</v>
      </c>
      <c r="G4522">
        <v>2</v>
      </c>
      <c r="H4522">
        <v>78</v>
      </c>
      <c r="I4522" s="25" t="s">
        <v>1498</v>
      </c>
      <c r="K4522" t="s">
        <v>1499</v>
      </c>
      <c r="N4522" t="s">
        <v>44</v>
      </c>
      <c r="O4522">
        <v>140</v>
      </c>
      <c r="Q4522">
        <v>3</v>
      </c>
      <c r="R4522">
        <v>1</v>
      </c>
      <c r="S4522">
        <v>0</v>
      </c>
      <c r="T4522">
        <v>0</v>
      </c>
      <c r="U4522">
        <v>0</v>
      </c>
      <c r="V4522">
        <v>0</v>
      </c>
      <c r="W4522">
        <v>3</v>
      </c>
      <c r="X4522" s="21">
        <v>0</v>
      </c>
      <c r="Y4522" s="21">
        <v>0</v>
      </c>
      <c r="Z4522" s="21">
        <v>0</v>
      </c>
      <c r="AA4522" s="21">
        <v>0</v>
      </c>
      <c r="AB4522" s="21">
        <v>0</v>
      </c>
      <c r="AC4522" s="21">
        <v>0</v>
      </c>
      <c r="AD4522" s="21">
        <v>0</v>
      </c>
      <c r="AE4522" s="21">
        <v>0</v>
      </c>
      <c r="AF4522">
        <v>0</v>
      </c>
      <c r="AG4522">
        <v>0</v>
      </c>
      <c r="AH4522">
        <v>288</v>
      </c>
      <c r="AJ4522" t="s">
        <v>51</v>
      </c>
      <c r="AK4522" t="s">
        <v>95</v>
      </c>
      <c r="AL4522" t="s">
        <v>1500</v>
      </c>
      <c r="AP4522" t="s">
        <v>951</v>
      </c>
    </row>
    <row r="4523" spans="1:42">
      <c r="A4523" s="16">
        <v>43847</v>
      </c>
      <c r="B4523">
        <v>5</v>
      </c>
      <c r="C4523">
        <v>210</v>
      </c>
      <c r="D4523">
        <v>14638</v>
      </c>
      <c r="E4523" t="s">
        <v>37</v>
      </c>
      <c r="F4523" t="s">
        <v>104</v>
      </c>
      <c r="G4523">
        <v>2</v>
      </c>
      <c r="H4523">
        <v>79</v>
      </c>
      <c r="I4523" s="25">
        <v>1690</v>
      </c>
      <c r="K4523" t="s">
        <v>1122</v>
      </c>
      <c r="N4523" t="s">
        <v>44</v>
      </c>
      <c r="O4523">
        <v>83</v>
      </c>
      <c r="Q4523">
        <v>1</v>
      </c>
      <c r="R4523">
        <v>1</v>
      </c>
      <c r="S4523">
        <v>0</v>
      </c>
      <c r="T4523">
        <v>0</v>
      </c>
      <c r="U4523">
        <v>0</v>
      </c>
      <c r="V4523">
        <v>0</v>
      </c>
      <c r="W4523">
        <v>1</v>
      </c>
      <c r="X4523" s="21">
        <v>0</v>
      </c>
      <c r="Y4523" s="21">
        <v>0</v>
      </c>
      <c r="Z4523" s="21">
        <v>0</v>
      </c>
      <c r="AA4523" s="21">
        <v>0</v>
      </c>
      <c r="AB4523" s="21">
        <v>0</v>
      </c>
      <c r="AC4523" s="21">
        <v>0</v>
      </c>
      <c r="AD4523" s="21">
        <v>0</v>
      </c>
      <c r="AE4523" s="21">
        <v>0</v>
      </c>
      <c r="AF4523">
        <v>0</v>
      </c>
      <c r="AG4523">
        <v>0</v>
      </c>
      <c r="AH4523">
        <v>96</v>
      </c>
      <c r="AJ4523" t="s">
        <v>51</v>
      </c>
      <c r="AK4523" t="s">
        <v>95</v>
      </c>
      <c r="AL4523" t="s">
        <v>1501</v>
      </c>
      <c r="AP4523" t="s">
        <v>951</v>
      </c>
    </row>
    <row r="4524" spans="1:42">
      <c r="A4524" s="16">
        <v>43847</v>
      </c>
      <c r="B4524">
        <v>5</v>
      </c>
      <c r="C4524">
        <v>210</v>
      </c>
      <c r="D4524">
        <v>14638</v>
      </c>
      <c r="E4524" t="s">
        <v>37</v>
      </c>
      <c r="F4524" t="s">
        <v>104</v>
      </c>
      <c r="G4524">
        <v>2</v>
      </c>
      <c r="H4524">
        <v>80</v>
      </c>
      <c r="I4524" s="25">
        <v>1695</v>
      </c>
      <c r="K4524" t="s">
        <v>570</v>
      </c>
      <c r="N4524" t="s">
        <v>44</v>
      </c>
      <c r="O4524">
        <v>87</v>
      </c>
      <c r="Q4524">
        <v>1</v>
      </c>
      <c r="R4524">
        <v>1</v>
      </c>
      <c r="S4524">
        <v>0</v>
      </c>
      <c r="T4524">
        <v>0</v>
      </c>
      <c r="U4524">
        <v>0</v>
      </c>
      <c r="V4524">
        <v>0</v>
      </c>
      <c r="W4524">
        <v>1</v>
      </c>
      <c r="X4524" s="21">
        <v>0</v>
      </c>
      <c r="Y4524" s="21">
        <v>0</v>
      </c>
      <c r="Z4524" s="21">
        <v>0</v>
      </c>
      <c r="AA4524" s="21">
        <v>0</v>
      </c>
      <c r="AB4524" s="21">
        <v>0</v>
      </c>
      <c r="AC4524" s="21">
        <v>0</v>
      </c>
      <c r="AD4524" s="21">
        <v>0</v>
      </c>
      <c r="AE4524" s="21">
        <v>0</v>
      </c>
      <c r="AF4524">
        <v>0</v>
      </c>
      <c r="AG4524">
        <v>0</v>
      </c>
      <c r="AH4524">
        <v>96</v>
      </c>
      <c r="AJ4524" t="s">
        <v>51</v>
      </c>
      <c r="AK4524" t="s">
        <v>95</v>
      </c>
      <c r="AL4524" t="s">
        <v>1502</v>
      </c>
      <c r="AP4524" t="s">
        <v>951</v>
      </c>
    </row>
    <row r="4525" spans="1:42">
      <c r="A4525" s="16">
        <v>43847</v>
      </c>
      <c r="B4525">
        <v>5</v>
      </c>
      <c r="C4525">
        <v>210</v>
      </c>
      <c r="D4525">
        <v>14638</v>
      </c>
      <c r="E4525" t="s">
        <v>37</v>
      </c>
      <c r="F4525" t="s">
        <v>104</v>
      </c>
      <c r="G4525">
        <v>2</v>
      </c>
      <c r="H4525">
        <v>81</v>
      </c>
      <c r="I4525" s="25">
        <v>3650</v>
      </c>
      <c r="K4525" t="s">
        <v>909</v>
      </c>
      <c r="N4525" t="s">
        <v>44</v>
      </c>
      <c r="O4525">
        <v>119</v>
      </c>
      <c r="Q4525">
        <v>1</v>
      </c>
      <c r="R4525">
        <v>1</v>
      </c>
      <c r="S4525">
        <v>0</v>
      </c>
      <c r="T4525">
        <v>0</v>
      </c>
      <c r="U4525">
        <v>0</v>
      </c>
      <c r="V4525">
        <v>0</v>
      </c>
      <c r="W4525">
        <v>1</v>
      </c>
      <c r="X4525" s="21">
        <v>0</v>
      </c>
      <c r="Y4525" s="21">
        <v>0</v>
      </c>
      <c r="Z4525" s="21">
        <v>0</v>
      </c>
      <c r="AA4525" s="21">
        <v>0</v>
      </c>
      <c r="AB4525" s="21">
        <v>0</v>
      </c>
      <c r="AC4525" s="21">
        <v>0</v>
      </c>
      <c r="AD4525" s="21">
        <v>0</v>
      </c>
      <c r="AE4525" s="21">
        <v>0</v>
      </c>
      <c r="AF4525">
        <v>0</v>
      </c>
      <c r="AG4525">
        <v>0</v>
      </c>
      <c r="AH4525">
        <v>96</v>
      </c>
      <c r="AJ4525" t="s">
        <v>51</v>
      </c>
      <c r="AK4525" t="s">
        <v>95</v>
      </c>
      <c r="AL4525" t="s">
        <v>1503</v>
      </c>
      <c r="AP4525" t="s">
        <v>951</v>
      </c>
    </row>
    <row r="4526" spans="1:42">
      <c r="A4526" s="16">
        <v>43847</v>
      </c>
      <c r="B4526">
        <v>5</v>
      </c>
      <c r="C4526">
        <v>210</v>
      </c>
      <c r="D4526">
        <v>14638</v>
      </c>
      <c r="E4526" t="s">
        <v>37</v>
      </c>
      <c r="F4526" t="s">
        <v>104</v>
      </c>
      <c r="G4526">
        <v>2</v>
      </c>
      <c r="H4526">
        <v>82</v>
      </c>
      <c r="I4526" s="25">
        <v>3740</v>
      </c>
      <c r="K4526" t="s">
        <v>909</v>
      </c>
      <c r="N4526" t="s">
        <v>44</v>
      </c>
      <c r="O4526">
        <v>255</v>
      </c>
      <c r="Q4526">
        <v>1</v>
      </c>
      <c r="R4526">
        <v>1</v>
      </c>
      <c r="S4526">
        <v>0</v>
      </c>
      <c r="T4526">
        <v>0</v>
      </c>
      <c r="U4526">
        <v>0</v>
      </c>
      <c r="V4526">
        <v>0</v>
      </c>
      <c r="W4526">
        <v>1</v>
      </c>
      <c r="X4526" s="21">
        <v>0</v>
      </c>
      <c r="Y4526" s="21">
        <v>0</v>
      </c>
      <c r="Z4526" s="21">
        <v>0</v>
      </c>
      <c r="AA4526" s="21">
        <v>0</v>
      </c>
      <c r="AB4526" s="21">
        <v>0</v>
      </c>
      <c r="AC4526" s="21">
        <v>0</v>
      </c>
      <c r="AD4526" s="21">
        <v>0</v>
      </c>
      <c r="AE4526" s="21">
        <v>0</v>
      </c>
      <c r="AF4526">
        <v>0</v>
      </c>
      <c r="AG4526">
        <v>0</v>
      </c>
      <c r="AH4526">
        <v>96</v>
      </c>
      <c r="AJ4526" t="s">
        <v>51</v>
      </c>
      <c r="AK4526" t="s">
        <v>95</v>
      </c>
      <c r="AL4526" t="s">
        <v>1504</v>
      </c>
      <c r="AP4526" t="s">
        <v>951</v>
      </c>
    </row>
    <row r="4527" spans="1:42">
      <c r="A4527" s="16">
        <v>43847</v>
      </c>
      <c r="B4527">
        <v>5</v>
      </c>
      <c r="C4527">
        <v>210</v>
      </c>
      <c r="D4527">
        <v>14638</v>
      </c>
      <c r="E4527" t="s">
        <v>37</v>
      </c>
      <c r="F4527" t="s">
        <v>104</v>
      </c>
      <c r="G4527">
        <v>2</v>
      </c>
      <c r="H4527">
        <v>83</v>
      </c>
      <c r="I4527" s="25">
        <v>3757</v>
      </c>
      <c r="K4527" t="s">
        <v>599</v>
      </c>
      <c r="N4527" t="s">
        <v>44</v>
      </c>
      <c r="O4527">
        <v>180</v>
      </c>
      <c r="Q4527">
        <v>3</v>
      </c>
      <c r="R4527">
        <v>1</v>
      </c>
      <c r="S4527">
        <v>0</v>
      </c>
      <c r="T4527">
        <v>0</v>
      </c>
      <c r="U4527">
        <v>0</v>
      </c>
      <c r="V4527">
        <v>1</v>
      </c>
      <c r="W4527">
        <v>2</v>
      </c>
      <c r="X4527" s="21">
        <v>0</v>
      </c>
      <c r="Y4527" s="21">
        <v>0</v>
      </c>
      <c r="Z4527" s="21">
        <v>0</v>
      </c>
      <c r="AA4527" s="21">
        <v>0</v>
      </c>
      <c r="AB4527" s="21">
        <v>0</v>
      </c>
      <c r="AC4527" s="21">
        <v>0</v>
      </c>
      <c r="AD4527" s="21">
        <v>0</v>
      </c>
      <c r="AE4527" s="21">
        <v>0</v>
      </c>
      <c r="AF4527">
        <v>0</v>
      </c>
      <c r="AG4527">
        <v>0</v>
      </c>
      <c r="AH4527">
        <v>256</v>
      </c>
      <c r="AJ4527" t="s">
        <v>51</v>
      </c>
      <c r="AK4527" t="s">
        <v>95</v>
      </c>
      <c r="AL4527" t="s">
        <v>1505</v>
      </c>
      <c r="AP4527" t="s">
        <v>951</v>
      </c>
    </row>
    <row r="4528" spans="1:42">
      <c r="A4528" s="16">
        <v>43847</v>
      </c>
      <c r="B4528">
        <v>5</v>
      </c>
      <c r="C4528">
        <v>210</v>
      </c>
      <c r="D4528">
        <v>14638</v>
      </c>
      <c r="E4528" t="s">
        <v>37</v>
      </c>
      <c r="F4528" t="s">
        <v>104</v>
      </c>
      <c r="G4528">
        <v>2</v>
      </c>
      <c r="H4528">
        <v>84</v>
      </c>
      <c r="I4528" s="25">
        <v>1600</v>
      </c>
      <c r="K4528" t="s">
        <v>906</v>
      </c>
      <c r="N4528" t="s">
        <v>44</v>
      </c>
      <c r="O4528">
        <v>72</v>
      </c>
      <c r="Q4528">
        <v>1</v>
      </c>
      <c r="R4528">
        <v>1</v>
      </c>
      <c r="S4528">
        <v>0</v>
      </c>
      <c r="T4528">
        <v>0</v>
      </c>
      <c r="U4528">
        <v>0</v>
      </c>
      <c r="V4528">
        <v>0</v>
      </c>
      <c r="W4528">
        <v>1</v>
      </c>
      <c r="X4528" s="21">
        <v>0</v>
      </c>
      <c r="Y4528" s="21">
        <v>0</v>
      </c>
      <c r="Z4528" s="21">
        <v>0</v>
      </c>
      <c r="AA4528" s="21">
        <v>0</v>
      </c>
      <c r="AB4528" s="21">
        <v>0</v>
      </c>
      <c r="AC4528" s="21">
        <v>0</v>
      </c>
      <c r="AD4528" s="21">
        <v>0</v>
      </c>
      <c r="AE4528" s="21">
        <v>0</v>
      </c>
      <c r="AF4528">
        <v>0</v>
      </c>
      <c r="AG4528">
        <v>0</v>
      </c>
      <c r="AH4528">
        <v>96</v>
      </c>
      <c r="AJ4528" t="s">
        <v>51</v>
      </c>
      <c r="AK4528" t="s">
        <v>95</v>
      </c>
      <c r="AL4528" t="s">
        <v>1506</v>
      </c>
      <c r="AP4528" t="s">
        <v>951</v>
      </c>
    </row>
    <row r="4529" spans="1:42">
      <c r="A4529" s="16">
        <v>43847</v>
      </c>
      <c r="B4529">
        <v>5</v>
      </c>
      <c r="C4529">
        <v>210</v>
      </c>
      <c r="D4529">
        <v>14638</v>
      </c>
      <c r="E4529" t="s">
        <v>37</v>
      </c>
      <c r="F4529" t="s">
        <v>104</v>
      </c>
      <c r="G4529">
        <v>2</v>
      </c>
      <c r="H4529">
        <v>85</v>
      </c>
      <c r="I4529" s="25">
        <v>1580</v>
      </c>
      <c r="K4529" t="s">
        <v>906</v>
      </c>
      <c r="M4529" t="s">
        <v>95</v>
      </c>
      <c r="N4529" t="s">
        <v>44</v>
      </c>
      <c r="O4529">
        <v>90</v>
      </c>
      <c r="Q4529">
        <v>1</v>
      </c>
      <c r="R4529">
        <v>1</v>
      </c>
      <c r="S4529">
        <v>0</v>
      </c>
      <c r="T4529">
        <v>0</v>
      </c>
      <c r="U4529">
        <v>0</v>
      </c>
      <c r="V4529">
        <v>0</v>
      </c>
      <c r="W4529">
        <v>1</v>
      </c>
      <c r="X4529" s="21">
        <v>0</v>
      </c>
      <c r="Y4529" s="21">
        <v>0</v>
      </c>
      <c r="Z4529" s="21">
        <v>0</v>
      </c>
      <c r="AA4529" s="21">
        <v>0</v>
      </c>
      <c r="AB4529" s="21">
        <v>0</v>
      </c>
      <c r="AC4529" s="21">
        <v>0</v>
      </c>
      <c r="AD4529" s="21">
        <v>0</v>
      </c>
      <c r="AE4529" s="21">
        <v>0</v>
      </c>
      <c r="AF4529">
        <v>0</v>
      </c>
      <c r="AG4529">
        <v>0</v>
      </c>
      <c r="AH4529">
        <v>96</v>
      </c>
      <c r="AJ4529" t="s">
        <v>51</v>
      </c>
      <c r="AK4529" t="s">
        <v>95</v>
      </c>
      <c r="AL4529" t="s">
        <v>1506</v>
      </c>
      <c r="AP4529" t="s">
        <v>951</v>
      </c>
    </row>
    <row r="4530" spans="1:42">
      <c r="A4530" s="16">
        <v>43847</v>
      </c>
      <c r="B4530">
        <v>5</v>
      </c>
      <c r="C4530">
        <v>210</v>
      </c>
      <c r="D4530">
        <v>14638</v>
      </c>
      <c r="E4530" t="s">
        <v>37</v>
      </c>
      <c r="F4530" t="s">
        <v>104</v>
      </c>
      <c r="G4530">
        <v>2</v>
      </c>
      <c r="H4530">
        <v>86</v>
      </c>
      <c r="I4530" s="25">
        <v>1601</v>
      </c>
      <c r="K4530" t="s">
        <v>906</v>
      </c>
      <c r="N4530" t="s">
        <v>44</v>
      </c>
      <c r="O4530">
        <v>83</v>
      </c>
      <c r="Q4530">
        <v>1</v>
      </c>
      <c r="R4530">
        <v>1</v>
      </c>
      <c r="S4530">
        <v>0</v>
      </c>
      <c r="T4530">
        <v>0</v>
      </c>
      <c r="U4530">
        <v>0</v>
      </c>
      <c r="V4530">
        <v>0</v>
      </c>
      <c r="W4530">
        <v>1</v>
      </c>
      <c r="X4530" s="21">
        <v>0</v>
      </c>
      <c r="Y4530" s="21">
        <v>0</v>
      </c>
      <c r="Z4530" s="21">
        <v>0</v>
      </c>
      <c r="AA4530" s="21">
        <v>0</v>
      </c>
      <c r="AB4530" s="21">
        <v>0</v>
      </c>
      <c r="AC4530" s="21">
        <v>0</v>
      </c>
      <c r="AD4530" s="21">
        <v>0</v>
      </c>
      <c r="AE4530" s="21">
        <v>0</v>
      </c>
      <c r="AF4530">
        <v>0</v>
      </c>
      <c r="AG4530">
        <v>0</v>
      </c>
      <c r="AH4530">
        <v>96</v>
      </c>
      <c r="AJ4530" t="s">
        <v>51</v>
      </c>
      <c r="AK4530" t="s">
        <v>52</v>
      </c>
      <c r="AL4530" t="s">
        <v>1389</v>
      </c>
      <c r="AP4530" t="s">
        <v>951</v>
      </c>
    </row>
    <row r="4531" spans="1:42">
      <c r="A4531" s="16">
        <v>43847</v>
      </c>
      <c r="B4531">
        <v>5</v>
      </c>
      <c r="C4531">
        <v>210</v>
      </c>
      <c r="D4531">
        <v>14638</v>
      </c>
      <c r="E4531" t="s">
        <v>37</v>
      </c>
      <c r="F4531" t="s">
        <v>104</v>
      </c>
      <c r="G4531">
        <v>2</v>
      </c>
      <c r="H4531">
        <v>87</v>
      </c>
      <c r="I4531" s="25">
        <v>1700</v>
      </c>
      <c r="K4531" t="s">
        <v>570</v>
      </c>
      <c r="N4531" t="s">
        <v>44</v>
      </c>
      <c r="O4531">
        <v>98</v>
      </c>
      <c r="Q4531">
        <v>1</v>
      </c>
      <c r="R4531">
        <v>1</v>
      </c>
      <c r="S4531">
        <v>0</v>
      </c>
      <c r="T4531">
        <v>0</v>
      </c>
      <c r="U4531">
        <v>0</v>
      </c>
      <c r="V4531">
        <v>0</v>
      </c>
      <c r="W4531">
        <v>1</v>
      </c>
      <c r="X4531" s="21">
        <v>0</v>
      </c>
      <c r="Y4531" s="21">
        <v>0</v>
      </c>
      <c r="Z4531" s="21">
        <v>0</v>
      </c>
      <c r="AA4531" s="21">
        <v>0</v>
      </c>
      <c r="AB4531" s="21">
        <v>0</v>
      </c>
      <c r="AC4531" s="21">
        <v>0</v>
      </c>
      <c r="AD4531" s="21">
        <v>0</v>
      </c>
      <c r="AE4531" s="21">
        <v>0</v>
      </c>
      <c r="AF4531">
        <v>0</v>
      </c>
      <c r="AG4531">
        <v>0</v>
      </c>
      <c r="AH4531">
        <v>96</v>
      </c>
      <c r="AJ4531" t="s">
        <v>51</v>
      </c>
      <c r="AK4531" t="s">
        <v>95</v>
      </c>
      <c r="AL4531" t="s">
        <v>1507</v>
      </c>
      <c r="AP4531" t="s">
        <v>951</v>
      </c>
    </row>
    <row r="4532" spans="1:42">
      <c r="A4532" s="16">
        <v>43847</v>
      </c>
      <c r="B4532">
        <v>5</v>
      </c>
      <c r="C4532">
        <v>210</v>
      </c>
      <c r="D4532">
        <v>14638</v>
      </c>
      <c r="E4532" t="s">
        <v>37</v>
      </c>
      <c r="F4532" t="s">
        <v>104</v>
      </c>
      <c r="G4532">
        <v>2</v>
      </c>
      <c r="H4532">
        <v>88</v>
      </c>
      <c r="I4532" s="25">
        <v>1701</v>
      </c>
      <c r="K4532" t="s">
        <v>570</v>
      </c>
      <c r="N4532" t="s">
        <v>44</v>
      </c>
      <c r="O4532">
        <v>106</v>
      </c>
      <c r="Q4532">
        <v>1</v>
      </c>
      <c r="R4532">
        <v>1</v>
      </c>
      <c r="S4532">
        <v>0</v>
      </c>
      <c r="T4532">
        <v>0</v>
      </c>
      <c r="U4532">
        <v>0</v>
      </c>
      <c r="V4532">
        <v>0</v>
      </c>
      <c r="W4532">
        <v>1</v>
      </c>
      <c r="X4532" s="21">
        <v>0</v>
      </c>
      <c r="Y4532" s="21">
        <v>0</v>
      </c>
      <c r="Z4532" s="21">
        <v>0</v>
      </c>
      <c r="AA4532" s="21">
        <v>0</v>
      </c>
      <c r="AB4532" s="21">
        <v>0</v>
      </c>
      <c r="AC4532" s="21">
        <v>0</v>
      </c>
      <c r="AD4532" s="21">
        <v>0</v>
      </c>
      <c r="AE4532" s="21">
        <v>0</v>
      </c>
      <c r="AF4532">
        <v>0</v>
      </c>
      <c r="AG4532">
        <v>0</v>
      </c>
      <c r="AH4532">
        <v>96</v>
      </c>
      <c r="AJ4532" t="s">
        <v>51</v>
      </c>
      <c r="AK4532" t="s">
        <v>95</v>
      </c>
      <c r="AL4532" t="s">
        <v>1508</v>
      </c>
      <c r="AP4532" t="s">
        <v>951</v>
      </c>
    </row>
    <row r="4533" spans="1:42">
      <c r="A4533" s="16">
        <v>43847</v>
      </c>
      <c r="B4533">
        <v>5</v>
      </c>
      <c r="C4533">
        <v>210</v>
      </c>
      <c r="D4533">
        <v>14638</v>
      </c>
      <c r="E4533" t="s">
        <v>37</v>
      </c>
      <c r="F4533" t="s">
        <v>104</v>
      </c>
      <c r="G4533">
        <v>2</v>
      </c>
      <c r="H4533">
        <v>89</v>
      </c>
      <c r="I4533" s="25">
        <v>1700</v>
      </c>
      <c r="K4533" t="s">
        <v>1122</v>
      </c>
      <c r="N4533" t="s">
        <v>44</v>
      </c>
      <c r="O4533">
        <v>102</v>
      </c>
      <c r="Q4533">
        <v>1</v>
      </c>
      <c r="R4533">
        <v>1</v>
      </c>
      <c r="S4533">
        <v>0</v>
      </c>
      <c r="T4533">
        <v>0</v>
      </c>
      <c r="U4533">
        <v>0</v>
      </c>
      <c r="V4533">
        <v>0</v>
      </c>
      <c r="W4533">
        <v>1</v>
      </c>
      <c r="X4533" s="21">
        <v>0</v>
      </c>
      <c r="Y4533" s="21">
        <v>0</v>
      </c>
      <c r="Z4533" s="21">
        <v>0</v>
      </c>
      <c r="AA4533" s="21">
        <v>0</v>
      </c>
      <c r="AB4533" s="21">
        <v>0</v>
      </c>
      <c r="AC4533" s="21">
        <v>0</v>
      </c>
      <c r="AD4533" s="21">
        <v>0</v>
      </c>
      <c r="AE4533" s="21">
        <v>0</v>
      </c>
      <c r="AF4533">
        <v>0</v>
      </c>
      <c r="AG4533">
        <v>0</v>
      </c>
      <c r="AH4533">
        <v>96</v>
      </c>
      <c r="AJ4533" t="s">
        <v>51</v>
      </c>
      <c r="AK4533" t="s">
        <v>95</v>
      </c>
      <c r="AL4533" t="s">
        <v>1509</v>
      </c>
      <c r="AP4533" t="s">
        <v>951</v>
      </c>
    </row>
    <row r="4534" spans="1:42">
      <c r="A4534" s="16">
        <v>43847</v>
      </c>
      <c r="B4534">
        <v>5</v>
      </c>
      <c r="C4534">
        <v>210</v>
      </c>
      <c r="D4534">
        <v>14638</v>
      </c>
      <c r="E4534" t="s">
        <v>37</v>
      </c>
      <c r="F4534" t="s">
        <v>104</v>
      </c>
      <c r="G4534">
        <v>2</v>
      </c>
      <c r="H4534">
        <v>90</v>
      </c>
      <c r="I4534" s="25">
        <v>1734</v>
      </c>
      <c r="K4534" t="s">
        <v>1122</v>
      </c>
      <c r="N4534" t="s">
        <v>44</v>
      </c>
      <c r="O4534">
        <v>82</v>
      </c>
      <c r="Q4534">
        <v>1</v>
      </c>
      <c r="R4534">
        <v>1</v>
      </c>
      <c r="S4534">
        <v>0</v>
      </c>
      <c r="T4534">
        <v>0</v>
      </c>
      <c r="U4534">
        <v>0</v>
      </c>
      <c r="V4534">
        <v>0</v>
      </c>
      <c r="W4534">
        <v>1</v>
      </c>
      <c r="X4534" s="21">
        <v>0</v>
      </c>
      <c r="Y4534" s="21">
        <v>0</v>
      </c>
      <c r="Z4534" s="21">
        <v>0</v>
      </c>
      <c r="AA4534" s="21">
        <v>0</v>
      </c>
      <c r="AB4534" s="21">
        <v>0</v>
      </c>
      <c r="AC4534" s="21">
        <v>0</v>
      </c>
      <c r="AD4534" s="21">
        <v>0</v>
      </c>
      <c r="AE4534" s="21">
        <v>0</v>
      </c>
      <c r="AF4534">
        <v>0</v>
      </c>
      <c r="AG4534">
        <v>0</v>
      </c>
      <c r="AH4534">
        <v>96</v>
      </c>
      <c r="AJ4534" t="s">
        <v>51</v>
      </c>
      <c r="AK4534" t="s">
        <v>95</v>
      </c>
      <c r="AP4534" t="s">
        <v>951</v>
      </c>
    </row>
    <row r="4535" spans="1:42">
      <c r="A4535" s="16">
        <v>43847</v>
      </c>
      <c r="B4535">
        <v>5</v>
      </c>
      <c r="C4535">
        <v>210</v>
      </c>
      <c r="D4535">
        <v>14638</v>
      </c>
      <c r="E4535" t="s">
        <v>37</v>
      </c>
      <c r="F4535" t="s">
        <v>104</v>
      </c>
      <c r="G4535">
        <v>2</v>
      </c>
      <c r="H4535">
        <v>91</v>
      </c>
      <c r="I4535" s="25">
        <v>850</v>
      </c>
      <c r="K4535" t="s">
        <v>548</v>
      </c>
      <c r="N4535" t="s">
        <v>40</v>
      </c>
      <c r="O4535">
        <v>307</v>
      </c>
      <c r="Q4535">
        <v>5</v>
      </c>
      <c r="R4535">
        <v>1</v>
      </c>
      <c r="S4535">
        <v>0</v>
      </c>
      <c r="T4535">
        <v>0</v>
      </c>
      <c r="U4535">
        <v>5</v>
      </c>
      <c r="V4535">
        <v>0</v>
      </c>
      <c r="W4535">
        <v>0</v>
      </c>
      <c r="X4535" s="21">
        <v>0</v>
      </c>
      <c r="Y4535" s="21">
        <v>0</v>
      </c>
      <c r="Z4535" s="21">
        <v>0</v>
      </c>
      <c r="AA4535" s="21">
        <v>0</v>
      </c>
      <c r="AB4535" s="21">
        <v>0</v>
      </c>
      <c r="AC4535" s="21">
        <v>0</v>
      </c>
      <c r="AD4535" s="21">
        <v>0</v>
      </c>
      <c r="AE4535" s="21">
        <v>0</v>
      </c>
      <c r="AF4535">
        <v>0</v>
      </c>
      <c r="AG4535">
        <v>0</v>
      </c>
      <c r="AH4535">
        <v>160</v>
      </c>
      <c r="AJ4535" t="s">
        <v>51</v>
      </c>
      <c r="AK4535" t="s">
        <v>52</v>
      </c>
      <c r="AL4535" t="s">
        <v>1510</v>
      </c>
      <c r="AP4535" t="s">
        <v>951</v>
      </c>
    </row>
    <row r="4536" spans="1:42">
      <c r="A4536" s="16">
        <v>43847</v>
      </c>
      <c r="B4536">
        <v>5</v>
      </c>
      <c r="C4536">
        <v>210</v>
      </c>
      <c r="D4536">
        <v>14638</v>
      </c>
      <c r="E4536" t="s">
        <v>37</v>
      </c>
      <c r="F4536" t="s">
        <v>104</v>
      </c>
      <c r="G4536">
        <v>2</v>
      </c>
      <c r="H4536">
        <v>92</v>
      </c>
      <c r="I4536" s="25">
        <v>1550</v>
      </c>
      <c r="K4536" t="s">
        <v>1122</v>
      </c>
      <c r="N4536" t="s">
        <v>44</v>
      </c>
      <c r="O4536">
        <v>305</v>
      </c>
      <c r="Q4536">
        <v>6</v>
      </c>
      <c r="R4536">
        <v>1</v>
      </c>
      <c r="S4536">
        <v>0</v>
      </c>
      <c r="T4536">
        <v>0</v>
      </c>
      <c r="U4536">
        <v>0</v>
      </c>
      <c r="V4536">
        <v>0</v>
      </c>
      <c r="W4536">
        <v>6</v>
      </c>
      <c r="X4536" s="21">
        <v>0</v>
      </c>
      <c r="Y4536" s="21">
        <v>0</v>
      </c>
      <c r="Z4536" s="21">
        <v>0</v>
      </c>
      <c r="AA4536" s="21">
        <v>0</v>
      </c>
      <c r="AB4536" s="21">
        <v>0</v>
      </c>
      <c r="AC4536" s="21">
        <v>0</v>
      </c>
      <c r="AD4536" s="21">
        <v>0</v>
      </c>
      <c r="AE4536" s="21">
        <v>0</v>
      </c>
      <c r="AF4536">
        <v>0</v>
      </c>
      <c r="AG4536">
        <v>0</v>
      </c>
      <c r="AH4536">
        <v>576</v>
      </c>
      <c r="AJ4536" t="s">
        <v>51</v>
      </c>
      <c r="AK4536" t="s">
        <v>52</v>
      </c>
      <c r="AL4536" t="s">
        <v>1511</v>
      </c>
      <c r="AP4536" t="s">
        <v>951</v>
      </c>
    </row>
    <row r="4537" spans="1:42">
      <c r="A4537" s="16">
        <v>43847</v>
      </c>
      <c r="B4537">
        <v>5</v>
      </c>
      <c r="C4537">
        <v>210</v>
      </c>
      <c r="D4537">
        <v>14638</v>
      </c>
      <c r="E4537" t="s">
        <v>37</v>
      </c>
      <c r="F4537" t="s">
        <v>104</v>
      </c>
      <c r="G4537">
        <v>2</v>
      </c>
      <c r="H4537">
        <v>93</v>
      </c>
      <c r="I4537" s="25">
        <v>3260</v>
      </c>
      <c r="K4537" t="s">
        <v>638</v>
      </c>
      <c r="N4537" t="s">
        <v>44</v>
      </c>
      <c r="O4537">
        <v>100</v>
      </c>
      <c r="Q4537">
        <v>1</v>
      </c>
      <c r="R4537">
        <v>1</v>
      </c>
      <c r="S4537">
        <v>0</v>
      </c>
      <c r="T4537">
        <v>0</v>
      </c>
      <c r="U4537">
        <v>0</v>
      </c>
      <c r="V4537">
        <v>0</v>
      </c>
      <c r="W4537">
        <v>1</v>
      </c>
      <c r="X4537" s="21">
        <v>0</v>
      </c>
      <c r="Y4537" s="21">
        <v>0</v>
      </c>
      <c r="Z4537" s="21">
        <v>0</v>
      </c>
      <c r="AA4537" s="21">
        <v>0</v>
      </c>
      <c r="AB4537" s="21">
        <v>0</v>
      </c>
      <c r="AC4537" s="21">
        <v>0</v>
      </c>
      <c r="AD4537" s="21">
        <v>0</v>
      </c>
      <c r="AE4537" s="21">
        <v>0</v>
      </c>
      <c r="AF4537">
        <v>0</v>
      </c>
      <c r="AG4537">
        <v>0</v>
      </c>
      <c r="AH4537">
        <v>96</v>
      </c>
      <c r="AJ4537" t="s">
        <v>51</v>
      </c>
      <c r="AK4537" t="s">
        <v>95</v>
      </c>
      <c r="AL4537" t="s">
        <v>1512</v>
      </c>
      <c r="AP4537" t="s">
        <v>951</v>
      </c>
    </row>
    <row r="4538" spans="1:42">
      <c r="A4538" s="16">
        <v>43847</v>
      </c>
      <c r="B4538">
        <v>5</v>
      </c>
      <c r="C4538">
        <v>210</v>
      </c>
      <c r="D4538">
        <v>14638</v>
      </c>
      <c r="E4538" t="s">
        <v>37</v>
      </c>
      <c r="F4538" t="s">
        <v>104</v>
      </c>
      <c r="G4538">
        <v>2</v>
      </c>
      <c r="H4538">
        <v>94</v>
      </c>
      <c r="I4538" s="25">
        <v>1235</v>
      </c>
      <c r="K4538" t="s">
        <v>1122</v>
      </c>
      <c r="N4538" t="s">
        <v>44</v>
      </c>
      <c r="O4538">
        <v>123</v>
      </c>
      <c r="Q4538">
        <v>2</v>
      </c>
      <c r="R4538">
        <v>1</v>
      </c>
      <c r="S4538">
        <v>0</v>
      </c>
      <c r="T4538">
        <v>0</v>
      </c>
      <c r="U4538">
        <v>0</v>
      </c>
      <c r="V4538">
        <v>0</v>
      </c>
      <c r="W4538">
        <v>2</v>
      </c>
      <c r="X4538" s="21">
        <v>0</v>
      </c>
      <c r="Y4538" s="21">
        <v>0</v>
      </c>
      <c r="Z4538" s="21">
        <v>0</v>
      </c>
      <c r="AA4538" s="21">
        <v>0</v>
      </c>
      <c r="AB4538" s="21">
        <v>0</v>
      </c>
      <c r="AC4538" s="21">
        <v>0</v>
      </c>
      <c r="AD4538" s="21">
        <v>0</v>
      </c>
      <c r="AE4538" s="21">
        <v>0</v>
      </c>
      <c r="AF4538">
        <v>0</v>
      </c>
      <c r="AG4538">
        <v>0</v>
      </c>
      <c r="AH4538">
        <v>192</v>
      </c>
      <c r="AJ4538" t="s">
        <v>51</v>
      </c>
      <c r="AK4538" t="s">
        <v>35</v>
      </c>
      <c r="AL4538" t="s">
        <v>1513</v>
      </c>
      <c r="AP4538" t="s">
        <v>951</v>
      </c>
    </row>
    <row r="4539" spans="1:42">
      <c r="A4539" s="16">
        <v>43847</v>
      </c>
      <c r="B4539">
        <v>5</v>
      </c>
      <c r="C4539">
        <v>210</v>
      </c>
      <c r="D4539">
        <v>14638</v>
      </c>
      <c r="E4539" t="s">
        <v>37</v>
      </c>
      <c r="F4539" t="s">
        <v>104</v>
      </c>
      <c r="G4539">
        <v>2</v>
      </c>
      <c r="H4539">
        <v>95</v>
      </c>
      <c r="I4539" s="25">
        <v>1225</v>
      </c>
      <c r="K4539" t="s">
        <v>1122</v>
      </c>
      <c r="N4539" t="s">
        <v>44</v>
      </c>
      <c r="O4539">
        <v>90</v>
      </c>
      <c r="Q4539">
        <v>1</v>
      </c>
      <c r="R4539">
        <v>1</v>
      </c>
      <c r="S4539">
        <v>0</v>
      </c>
      <c r="T4539">
        <v>0</v>
      </c>
      <c r="U4539">
        <v>0</v>
      </c>
      <c r="V4539">
        <v>0</v>
      </c>
      <c r="W4539">
        <v>1</v>
      </c>
      <c r="X4539" s="21">
        <v>0</v>
      </c>
      <c r="Y4539" s="21">
        <v>0</v>
      </c>
      <c r="Z4539" s="21">
        <v>0</v>
      </c>
      <c r="AA4539" s="21">
        <v>0</v>
      </c>
      <c r="AB4539" s="21">
        <v>0</v>
      </c>
      <c r="AC4539" s="21">
        <v>0</v>
      </c>
      <c r="AD4539" s="21">
        <v>0</v>
      </c>
      <c r="AE4539" s="21">
        <v>0</v>
      </c>
      <c r="AF4539">
        <v>0</v>
      </c>
      <c r="AG4539">
        <v>0</v>
      </c>
      <c r="AH4539">
        <v>96</v>
      </c>
      <c r="AJ4539" t="s">
        <v>51</v>
      </c>
      <c r="AK4539" t="s">
        <v>95</v>
      </c>
      <c r="AP4539" t="s">
        <v>951</v>
      </c>
    </row>
    <row r="4540" spans="1:42">
      <c r="A4540" s="16">
        <v>43847</v>
      </c>
      <c r="B4540">
        <v>5</v>
      </c>
      <c r="C4540">
        <v>210</v>
      </c>
      <c r="D4540">
        <v>14638</v>
      </c>
      <c r="E4540" t="s">
        <v>37</v>
      </c>
      <c r="F4540" t="s">
        <v>104</v>
      </c>
      <c r="G4540">
        <v>2</v>
      </c>
      <c r="H4540">
        <v>96</v>
      </c>
      <c r="I4540" s="25">
        <v>1215</v>
      </c>
      <c r="K4540" t="s">
        <v>1122</v>
      </c>
      <c r="N4540" t="s">
        <v>44</v>
      </c>
      <c r="O4540">
        <v>71</v>
      </c>
      <c r="Q4540">
        <v>2</v>
      </c>
      <c r="R4540">
        <v>1</v>
      </c>
      <c r="S4540">
        <v>0</v>
      </c>
      <c r="T4540">
        <v>0</v>
      </c>
      <c r="U4540">
        <v>0</v>
      </c>
      <c r="V4540">
        <v>0</v>
      </c>
      <c r="W4540">
        <v>2</v>
      </c>
      <c r="X4540" s="21">
        <v>0</v>
      </c>
      <c r="Y4540" s="21">
        <v>0</v>
      </c>
      <c r="Z4540" s="21">
        <v>0</v>
      </c>
      <c r="AA4540" s="21">
        <v>0</v>
      </c>
      <c r="AB4540" s="21">
        <v>0</v>
      </c>
      <c r="AC4540" s="21">
        <v>0</v>
      </c>
      <c r="AD4540" s="21">
        <v>0</v>
      </c>
      <c r="AE4540" s="21">
        <v>0</v>
      </c>
      <c r="AF4540">
        <v>0</v>
      </c>
      <c r="AG4540">
        <v>0</v>
      </c>
      <c r="AH4540">
        <v>192</v>
      </c>
      <c r="AJ4540" t="s">
        <v>51</v>
      </c>
      <c r="AK4540" t="s">
        <v>95</v>
      </c>
      <c r="AP4540" t="s">
        <v>951</v>
      </c>
    </row>
    <row r="4541" spans="1:42">
      <c r="A4541" s="16">
        <v>43851</v>
      </c>
      <c r="B4541">
        <v>2</v>
      </c>
      <c r="C4541">
        <v>223</v>
      </c>
      <c r="D4541">
        <v>14448</v>
      </c>
      <c r="E4541" t="s">
        <v>112</v>
      </c>
      <c r="F4541" t="s">
        <v>104</v>
      </c>
      <c r="G4541">
        <v>2</v>
      </c>
      <c r="H4541">
        <v>1</v>
      </c>
      <c r="I4541" s="25">
        <v>2300</v>
      </c>
      <c r="K4541" t="s">
        <v>909</v>
      </c>
      <c r="L4541" t="s">
        <v>114</v>
      </c>
      <c r="N4541" t="s">
        <v>40</v>
      </c>
      <c r="O4541">
        <v>56</v>
      </c>
      <c r="Q4541">
        <v>2</v>
      </c>
      <c r="R4541">
        <v>1</v>
      </c>
      <c r="S4541">
        <v>0</v>
      </c>
      <c r="T4541">
        <v>0</v>
      </c>
      <c r="U4541">
        <v>0</v>
      </c>
      <c r="V4541">
        <v>0</v>
      </c>
      <c r="W4541">
        <v>2</v>
      </c>
      <c r="X4541" s="21">
        <v>0</v>
      </c>
      <c r="Y4541" s="21">
        <v>0</v>
      </c>
      <c r="Z4541" s="21">
        <v>0</v>
      </c>
      <c r="AA4541" s="21">
        <v>0</v>
      </c>
      <c r="AB4541" s="21">
        <v>0</v>
      </c>
      <c r="AC4541" s="21">
        <v>0</v>
      </c>
      <c r="AD4541" s="21">
        <v>0</v>
      </c>
      <c r="AE4541" s="21">
        <v>0</v>
      </c>
      <c r="AF4541">
        <v>0</v>
      </c>
      <c r="AG4541">
        <v>0</v>
      </c>
      <c r="AH4541">
        <v>192</v>
      </c>
      <c r="AJ4541" t="s">
        <v>51</v>
      </c>
      <c r="AK4541" t="s">
        <v>95</v>
      </c>
      <c r="AP4541" t="s">
        <v>951</v>
      </c>
    </row>
    <row r="4542" spans="1:42">
      <c r="A4542" s="16">
        <v>43851</v>
      </c>
      <c r="B4542">
        <v>2</v>
      </c>
      <c r="C4542">
        <v>223</v>
      </c>
      <c r="D4542">
        <v>14448</v>
      </c>
      <c r="E4542" t="s">
        <v>112</v>
      </c>
      <c r="F4542" t="s">
        <v>104</v>
      </c>
      <c r="G4542">
        <v>2</v>
      </c>
      <c r="H4542">
        <v>2</v>
      </c>
      <c r="I4542" s="25">
        <v>2300</v>
      </c>
      <c r="K4542" t="s">
        <v>909</v>
      </c>
      <c r="L4542" t="s">
        <v>114</v>
      </c>
      <c r="N4542" t="s">
        <v>40</v>
      </c>
      <c r="O4542">
        <v>58</v>
      </c>
      <c r="Q4542">
        <v>2</v>
      </c>
      <c r="R4542">
        <v>1</v>
      </c>
      <c r="S4542">
        <v>0</v>
      </c>
      <c r="T4542">
        <v>0</v>
      </c>
      <c r="U4542">
        <v>0</v>
      </c>
      <c r="V4542">
        <v>2</v>
      </c>
      <c r="W4542">
        <v>0</v>
      </c>
      <c r="X4542" s="21">
        <v>0</v>
      </c>
      <c r="Y4542" s="21">
        <v>0</v>
      </c>
      <c r="Z4542" s="21">
        <v>0</v>
      </c>
      <c r="AA4542" s="21">
        <v>0</v>
      </c>
      <c r="AB4542" s="21">
        <v>0</v>
      </c>
      <c r="AC4542" s="21">
        <v>0</v>
      </c>
      <c r="AD4542" s="21">
        <v>0</v>
      </c>
      <c r="AE4542" s="21">
        <v>0</v>
      </c>
      <c r="AF4542">
        <v>0</v>
      </c>
      <c r="AG4542">
        <v>0</v>
      </c>
      <c r="AH4542">
        <v>128</v>
      </c>
      <c r="AJ4542" t="s">
        <v>51</v>
      </c>
      <c r="AK4542" t="s">
        <v>95</v>
      </c>
      <c r="AP4542" t="s">
        <v>951</v>
      </c>
    </row>
    <row r="4543" spans="1:42">
      <c r="A4543" s="16">
        <v>43851</v>
      </c>
      <c r="B4543">
        <v>2</v>
      </c>
      <c r="C4543">
        <v>223</v>
      </c>
      <c r="D4543">
        <v>14448</v>
      </c>
      <c r="E4543" t="s">
        <v>112</v>
      </c>
      <c r="F4543" t="s">
        <v>104</v>
      </c>
      <c r="G4543">
        <v>2</v>
      </c>
      <c r="H4543">
        <v>3</v>
      </c>
      <c r="I4543" s="25">
        <v>2200</v>
      </c>
      <c r="K4543" t="s">
        <v>909</v>
      </c>
      <c r="L4543" t="s">
        <v>114</v>
      </c>
      <c r="N4543" t="s">
        <v>40</v>
      </c>
      <c r="O4543">
        <v>30</v>
      </c>
      <c r="Q4543">
        <v>1</v>
      </c>
      <c r="R4543">
        <v>1</v>
      </c>
      <c r="S4543">
        <v>0</v>
      </c>
      <c r="T4543">
        <v>0</v>
      </c>
      <c r="U4543">
        <v>1</v>
      </c>
      <c r="V4543">
        <v>0</v>
      </c>
      <c r="W4543">
        <v>0</v>
      </c>
      <c r="X4543" s="21">
        <v>0</v>
      </c>
      <c r="Y4543" s="21">
        <v>0</v>
      </c>
      <c r="Z4543" s="21">
        <v>0</v>
      </c>
      <c r="AA4543" s="21">
        <v>0</v>
      </c>
      <c r="AB4543" s="21">
        <v>0</v>
      </c>
      <c r="AC4543" s="21">
        <v>0</v>
      </c>
      <c r="AD4543" s="21">
        <v>0</v>
      </c>
      <c r="AE4543" s="21">
        <v>0</v>
      </c>
      <c r="AF4543">
        <v>0</v>
      </c>
      <c r="AG4543">
        <v>0</v>
      </c>
      <c r="AH4543">
        <v>32</v>
      </c>
      <c r="AJ4543" t="s">
        <v>51</v>
      </c>
      <c r="AK4543" t="s">
        <v>52</v>
      </c>
      <c r="AL4543" t="s">
        <v>649</v>
      </c>
      <c r="AP4543" t="s">
        <v>951</v>
      </c>
    </row>
    <row r="4544" spans="1:42">
      <c r="A4544" s="16">
        <v>43851</v>
      </c>
      <c r="B4544">
        <v>2</v>
      </c>
      <c r="C4544">
        <v>223</v>
      </c>
      <c r="D4544">
        <v>14448</v>
      </c>
      <c r="E4544" t="s">
        <v>112</v>
      </c>
      <c r="F4544" t="s">
        <v>104</v>
      </c>
      <c r="G4544">
        <v>2</v>
      </c>
      <c r="H4544">
        <v>4</v>
      </c>
      <c r="I4544" s="25">
        <v>2200</v>
      </c>
      <c r="K4544" t="s">
        <v>909</v>
      </c>
      <c r="L4544" t="s">
        <v>114</v>
      </c>
      <c r="N4544" t="s">
        <v>40</v>
      </c>
      <c r="O4544">
        <v>153</v>
      </c>
      <c r="Q4544">
        <v>2</v>
      </c>
      <c r="R4544">
        <v>1</v>
      </c>
      <c r="S4544">
        <v>0</v>
      </c>
      <c r="T4544">
        <v>0</v>
      </c>
      <c r="U4544">
        <v>1</v>
      </c>
      <c r="V4544">
        <v>1</v>
      </c>
      <c r="W4544">
        <v>0</v>
      </c>
      <c r="X4544" s="21">
        <v>0</v>
      </c>
      <c r="Y4544" s="21">
        <v>0</v>
      </c>
      <c r="Z4544" s="21">
        <v>0</v>
      </c>
      <c r="AA4544" s="21">
        <v>0</v>
      </c>
      <c r="AB4544" s="21">
        <v>0</v>
      </c>
      <c r="AC4544" s="21">
        <v>0</v>
      </c>
      <c r="AD4544" s="21">
        <v>0</v>
      </c>
      <c r="AE4544" s="21">
        <v>0</v>
      </c>
      <c r="AF4544">
        <v>0</v>
      </c>
      <c r="AG4544">
        <v>0</v>
      </c>
      <c r="AH4544">
        <v>96</v>
      </c>
      <c r="AJ4544" t="s">
        <v>51</v>
      </c>
      <c r="AK4544" t="s">
        <v>52</v>
      </c>
      <c r="AP4544" t="s">
        <v>951</v>
      </c>
    </row>
    <row r="4545" spans="1:42">
      <c r="A4545" s="16">
        <v>43851</v>
      </c>
      <c r="B4545">
        <v>2</v>
      </c>
      <c r="C4545">
        <v>223</v>
      </c>
      <c r="D4545">
        <v>14448</v>
      </c>
      <c r="E4545" t="s">
        <v>112</v>
      </c>
      <c r="F4545" t="s">
        <v>104</v>
      </c>
      <c r="G4545">
        <v>2</v>
      </c>
      <c r="H4545">
        <v>5</v>
      </c>
      <c r="I4545" s="25">
        <v>2200</v>
      </c>
      <c r="K4545" t="s">
        <v>909</v>
      </c>
      <c r="L4545" t="s">
        <v>114</v>
      </c>
      <c r="N4545" t="s">
        <v>40</v>
      </c>
      <c r="O4545">
        <v>140</v>
      </c>
      <c r="Q4545">
        <v>4</v>
      </c>
      <c r="R4545">
        <v>1</v>
      </c>
      <c r="S4545">
        <v>0</v>
      </c>
      <c r="T4545">
        <v>0</v>
      </c>
      <c r="U4545">
        <v>0</v>
      </c>
      <c r="V4545">
        <v>3</v>
      </c>
      <c r="W4545">
        <v>1</v>
      </c>
      <c r="X4545" s="21">
        <v>0</v>
      </c>
      <c r="Y4545" s="21">
        <v>0</v>
      </c>
      <c r="Z4545" s="21">
        <v>0</v>
      </c>
      <c r="AA4545" s="21">
        <v>0</v>
      </c>
      <c r="AB4545" s="21">
        <v>0</v>
      </c>
      <c r="AC4545" s="21">
        <v>0</v>
      </c>
      <c r="AD4545" s="21">
        <v>0</v>
      </c>
      <c r="AE4545" s="21">
        <v>0</v>
      </c>
      <c r="AF4545">
        <v>0</v>
      </c>
      <c r="AG4545">
        <v>0</v>
      </c>
      <c r="AH4545">
        <v>288</v>
      </c>
      <c r="AJ4545" t="s">
        <v>51</v>
      </c>
      <c r="AK4545" t="s">
        <v>95</v>
      </c>
      <c r="AP4545" t="s">
        <v>951</v>
      </c>
    </row>
    <row r="4546" spans="1:42">
      <c r="A4546" s="16">
        <v>43851</v>
      </c>
      <c r="B4546">
        <v>2</v>
      </c>
      <c r="C4546">
        <v>223</v>
      </c>
      <c r="D4546">
        <v>14448</v>
      </c>
      <c r="E4546" t="s">
        <v>112</v>
      </c>
      <c r="F4546" t="s">
        <v>104</v>
      </c>
      <c r="G4546">
        <v>2</v>
      </c>
      <c r="H4546">
        <v>6</v>
      </c>
      <c r="I4546" s="25">
        <v>2200</v>
      </c>
      <c r="K4546" t="s">
        <v>909</v>
      </c>
      <c r="L4546" t="s">
        <v>114</v>
      </c>
      <c r="N4546" t="s">
        <v>40</v>
      </c>
      <c r="O4546">
        <v>92</v>
      </c>
      <c r="Q4546">
        <v>3</v>
      </c>
      <c r="R4546">
        <v>1</v>
      </c>
      <c r="S4546">
        <v>0</v>
      </c>
      <c r="T4546">
        <v>0</v>
      </c>
      <c r="U4546">
        <v>1</v>
      </c>
      <c r="V4546">
        <v>1</v>
      </c>
      <c r="W4546">
        <v>1</v>
      </c>
      <c r="X4546" s="21">
        <v>0</v>
      </c>
      <c r="Y4546" s="21">
        <v>0</v>
      </c>
      <c r="Z4546" s="21">
        <v>0</v>
      </c>
      <c r="AA4546" s="21">
        <v>0</v>
      </c>
      <c r="AB4546" s="21">
        <v>0</v>
      </c>
      <c r="AC4546" s="21">
        <v>0</v>
      </c>
      <c r="AD4546" s="21">
        <v>0</v>
      </c>
      <c r="AE4546" s="21">
        <v>0</v>
      </c>
      <c r="AF4546">
        <v>0</v>
      </c>
      <c r="AG4546">
        <v>0</v>
      </c>
      <c r="AH4546">
        <v>192</v>
      </c>
      <c r="AJ4546" t="s">
        <v>51</v>
      </c>
      <c r="AK4546" t="s">
        <v>95</v>
      </c>
      <c r="AL4546" t="s">
        <v>649</v>
      </c>
      <c r="AP4546" t="s">
        <v>951</v>
      </c>
    </row>
    <row r="4547" spans="1:42">
      <c r="A4547" s="16">
        <v>43851</v>
      </c>
      <c r="B4547">
        <v>2</v>
      </c>
      <c r="C4547">
        <v>223</v>
      </c>
      <c r="D4547">
        <v>14448</v>
      </c>
      <c r="E4547" t="s">
        <v>112</v>
      </c>
      <c r="F4547" t="s">
        <v>104</v>
      </c>
      <c r="G4547">
        <v>2</v>
      </c>
      <c r="H4547">
        <v>7</v>
      </c>
      <c r="I4547" s="25">
        <v>2565</v>
      </c>
      <c r="K4547" t="s">
        <v>516</v>
      </c>
      <c r="L4547" t="s">
        <v>141</v>
      </c>
      <c r="N4547" t="s">
        <v>42</v>
      </c>
      <c r="O4547">
        <v>187</v>
      </c>
      <c r="Q4547">
        <v>2</v>
      </c>
      <c r="R4547">
        <v>1</v>
      </c>
      <c r="S4547">
        <v>0</v>
      </c>
      <c r="T4547">
        <v>0</v>
      </c>
      <c r="U4547">
        <v>1</v>
      </c>
      <c r="V4547">
        <v>0</v>
      </c>
      <c r="W4547">
        <v>1</v>
      </c>
      <c r="X4547" s="21">
        <v>0</v>
      </c>
      <c r="Y4547" s="21">
        <v>0</v>
      </c>
      <c r="Z4547" s="21">
        <v>0</v>
      </c>
      <c r="AA4547" s="21">
        <v>0</v>
      </c>
      <c r="AB4547" s="21">
        <v>0</v>
      </c>
      <c r="AC4547" s="21">
        <v>0</v>
      </c>
      <c r="AD4547" s="21">
        <v>0</v>
      </c>
      <c r="AE4547" s="21">
        <v>0</v>
      </c>
      <c r="AF4547">
        <v>0</v>
      </c>
      <c r="AG4547">
        <v>0</v>
      </c>
      <c r="AH4547">
        <v>128</v>
      </c>
      <c r="AJ4547" t="s">
        <v>51</v>
      </c>
      <c r="AK4547" t="s">
        <v>95</v>
      </c>
      <c r="AL4547" t="s">
        <v>1514</v>
      </c>
      <c r="AP4547" t="s">
        <v>951</v>
      </c>
    </row>
    <row r="4548" spans="1:42">
      <c r="A4548" s="16">
        <v>43851</v>
      </c>
      <c r="B4548">
        <v>2</v>
      </c>
      <c r="C4548">
        <v>223</v>
      </c>
      <c r="D4548">
        <v>14448</v>
      </c>
      <c r="E4548" t="s">
        <v>112</v>
      </c>
      <c r="F4548" t="s">
        <v>104</v>
      </c>
      <c r="G4548">
        <v>2</v>
      </c>
      <c r="H4548">
        <v>8</v>
      </c>
      <c r="I4548" s="25">
        <v>2547</v>
      </c>
      <c r="K4548" t="s">
        <v>516</v>
      </c>
      <c r="N4548" t="s">
        <v>42</v>
      </c>
      <c r="O4548">
        <v>54</v>
      </c>
      <c r="Q4548">
        <v>2</v>
      </c>
      <c r="R4548">
        <v>1</v>
      </c>
      <c r="S4548">
        <v>0</v>
      </c>
      <c r="T4548">
        <v>0</v>
      </c>
      <c r="U4548">
        <v>1</v>
      </c>
      <c r="V4548">
        <v>1</v>
      </c>
      <c r="W4548">
        <v>0</v>
      </c>
      <c r="X4548" s="21">
        <v>0</v>
      </c>
      <c r="Y4548" s="21">
        <v>0</v>
      </c>
      <c r="Z4548" s="21">
        <v>0</v>
      </c>
      <c r="AA4548" s="21">
        <v>0</v>
      </c>
      <c r="AB4548" s="21">
        <v>0</v>
      </c>
      <c r="AC4548" s="21">
        <v>0</v>
      </c>
      <c r="AD4548" s="21">
        <v>0</v>
      </c>
      <c r="AE4548" s="21">
        <v>0</v>
      </c>
      <c r="AF4548">
        <v>0</v>
      </c>
      <c r="AG4548">
        <v>0</v>
      </c>
      <c r="AH4548">
        <v>96</v>
      </c>
      <c r="AJ4548" t="s">
        <v>51</v>
      </c>
      <c r="AK4548" t="s">
        <v>95</v>
      </c>
      <c r="AP4548" t="s">
        <v>951</v>
      </c>
    </row>
    <row r="4549" spans="1:42">
      <c r="A4549" s="16">
        <v>43851</v>
      </c>
      <c r="B4549">
        <v>2</v>
      </c>
      <c r="C4549">
        <v>223</v>
      </c>
      <c r="D4549">
        <v>14448</v>
      </c>
      <c r="E4549" t="s">
        <v>112</v>
      </c>
      <c r="F4549" t="s">
        <v>104</v>
      </c>
      <c r="G4549">
        <v>2</v>
      </c>
      <c r="H4549">
        <v>9</v>
      </c>
      <c r="I4549" s="25">
        <v>2541</v>
      </c>
      <c r="K4549" t="s">
        <v>516</v>
      </c>
      <c r="N4549" t="s">
        <v>1057</v>
      </c>
      <c r="O4549">
        <v>110</v>
      </c>
      <c r="Q4549">
        <v>2</v>
      </c>
      <c r="R4549">
        <v>1</v>
      </c>
      <c r="S4549">
        <v>0</v>
      </c>
      <c r="T4549">
        <v>0</v>
      </c>
      <c r="U4549">
        <v>2</v>
      </c>
      <c r="V4549">
        <v>0</v>
      </c>
      <c r="W4549">
        <v>0</v>
      </c>
      <c r="X4549" s="21">
        <v>0</v>
      </c>
      <c r="Y4549" s="21">
        <v>0</v>
      </c>
      <c r="Z4549" s="21">
        <v>0</v>
      </c>
      <c r="AA4549" s="21">
        <v>0</v>
      </c>
      <c r="AB4549" s="21">
        <v>0</v>
      </c>
      <c r="AC4549" s="21">
        <v>0</v>
      </c>
      <c r="AD4549" s="21">
        <v>0</v>
      </c>
      <c r="AE4549" s="21">
        <v>0</v>
      </c>
      <c r="AF4549">
        <v>0</v>
      </c>
      <c r="AG4549">
        <v>0</v>
      </c>
      <c r="AH4549">
        <v>64</v>
      </c>
      <c r="AJ4549" t="s">
        <v>51</v>
      </c>
      <c r="AK4549" t="s">
        <v>95</v>
      </c>
      <c r="AP4549" t="s">
        <v>951</v>
      </c>
    </row>
    <row r="4550" spans="1:42">
      <c r="A4550" s="16">
        <v>43851</v>
      </c>
      <c r="B4550">
        <v>2</v>
      </c>
      <c r="C4550">
        <v>223</v>
      </c>
      <c r="D4550">
        <v>14448</v>
      </c>
      <c r="E4550" t="s">
        <v>112</v>
      </c>
      <c r="F4550" t="s">
        <v>104</v>
      </c>
      <c r="G4550">
        <v>2</v>
      </c>
      <c r="H4550">
        <v>10</v>
      </c>
      <c r="I4550" s="25">
        <v>2500</v>
      </c>
      <c r="K4550" t="s">
        <v>516</v>
      </c>
      <c r="L4550" t="s">
        <v>141</v>
      </c>
      <c r="N4550" t="s">
        <v>40</v>
      </c>
      <c r="O4550">
        <v>55</v>
      </c>
      <c r="Q4550">
        <v>2</v>
      </c>
      <c r="R4550">
        <v>1</v>
      </c>
      <c r="S4550">
        <v>0</v>
      </c>
      <c r="T4550">
        <v>0</v>
      </c>
      <c r="U4550">
        <v>0</v>
      </c>
      <c r="V4550">
        <v>2</v>
      </c>
      <c r="W4550">
        <v>0</v>
      </c>
      <c r="X4550" s="21">
        <v>0</v>
      </c>
      <c r="Y4550" s="21">
        <v>0</v>
      </c>
      <c r="Z4550" s="21">
        <v>0</v>
      </c>
      <c r="AA4550" s="21">
        <v>0</v>
      </c>
      <c r="AB4550" s="21">
        <v>0</v>
      </c>
      <c r="AC4550" s="21">
        <v>0</v>
      </c>
      <c r="AD4550" s="21">
        <v>0</v>
      </c>
      <c r="AE4550" s="21">
        <v>0</v>
      </c>
      <c r="AF4550">
        <v>0</v>
      </c>
      <c r="AG4550">
        <v>0</v>
      </c>
      <c r="AH4550">
        <v>128</v>
      </c>
      <c r="AJ4550" t="s">
        <v>51</v>
      </c>
      <c r="AK4550" t="s">
        <v>95</v>
      </c>
      <c r="AP4550" t="s">
        <v>951</v>
      </c>
    </row>
    <row r="4551" spans="1:42">
      <c r="A4551" s="16">
        <v>43851</v>
      </c>
      <c r="B4551">
        <v>2</v>
      </c>
      <c r="C4551">
        <v>223</v>
      </c>
      <c r="D4551">
        <v>14448</v>
      </c>
      <c r="E4551" t="s">
        <v>112</v>
      </c>
      <c r="F4551" t="s">
        <v>104</v>
      </c>
      <c r="G4551">
        <v>2</v>
      </c>
      <c r="H4551">
        <v>11</v>
      </c>
      <c r="I4551" s="25">
        <v>2500</v>
      </c>
      <c r="K4551" t="s">
        <v>516</v>
      </c>
      <c r="L4551" t="s">
        <v>141</v>
      </c>
      <c r="N4551" t="s">
        <v>40</v>
      </c>
      <c r="O4551">
        <v>47</v>
      </c>
      <c r="Q4551">
        <v>1</v>
      </c>
      <c r="R4551">
        <v>1</v>
      </c>
      <c r="S4551">
        <v>0</v>
      </c>
      <c r="T4551">
        <v>0</v>
      </c>
      <c r="U4551">
        <v>1</v>
      </c>
      <c r="V4551">
        <v>0</v>
      </c>
      <c r="W4551">
        <v>0</v>
      </c>
      <c r="X4551" s="21">
        <v>0</v>
      </c>
      <c r="Y4551" s="21">
        <v>0</v>
      </c>
      <c r="Z4551" s="21">
        <v>0</v>
      </c>
      <c r="AA4551" s="21">
        <v>0</v>
      </c>
      <c r="AB4551" s="21">
        <v>0</v>
      </c>
      <c r="AC4551" s="21">
        <v>0</v>
      </c>
      <c r="AD4551" s="21">
        <v>0</v>
      </c>
      <c r="AE4551" s="21">
        <v>0</v>
      </c>
      <c r="AF4551">
        <v>0</v>
      </c>
      <c r="AG4551">
        <v>0</v>
      </c>
      <c r="AH4551">
        <v>32</v>
      </c>
      <c r="AJ4551" t="s">
        <v>51</v>
      </c>
      <c r="AK4551" t="s">
        <v>95</v>
      </c>
      <c r="AL4551" t="s">
        <v>649</v>
      </c>
      <c r="AP4551" t="s">
        <v>951</v>
      </c>
    </row>
    <row r="4552" spans="1:42">
      <c r="A4552" s="16">
        <v>43851</v>
      </c>
      <c r="B4552">
        <v>2</v>
      </c>
      <c r="C4552">
        <v>223</v>
      </c>
      <c r="D4552">
        <v>14448</v>
      </c>
      <c r="E4552" t="s">
        <v>112</v>
      </c>
      <c r="F4552" t="s">
        <v>104</v>
      </c>
      <c r="G4552">
        <v>2</v>
      </c>
      <c r="H4552">
        <v>12</v>
      </c>
      <c r="I4552" s="25">
        <v>2500</v>
      </c>
      <c r="K4552" t="s">
        <v>516</v>
      </c>
      <c r="L4552" t="s">
        <v>114</v>
      </c>
      <c r="N4552" t="s">
        <v>40</v>
      </c>
      <c r="O4552">
        <v>95</v>
      </c>
      <c r="Q4552">
        <v>2</v>
      </c>
      <c r="R4552">
        <v>1</v>
      </c>
      <c r="S4552">
        <v>0</v>
      </c>
      <c r="T4552">
        <v>0</v>
      </c>
      <c r="U4552">
        <v>1</v>
      </c>
      <c r="V4552">
        <v>0</v>
      </c>
      <c r="W4552">
        <v>1</v>
      </c>
      <c r="X4552" s="21">
        <v>0</v>
      </c>
      <c r="Y4552" s="21">
        <v>0</v>
      </c>
      <c r="Z4552" s="21">
        <v>0</v>
      </c>
      <c r="AA4552" s="21">
        <v>0</v>
      </c>
      <c r="AB4552" s="21">
        <v>0</v>
      </c>
      <c r="AC4552" s="21">
        <v>0</v>
      </c>
      <c r="AD4552" s="21">
        <v>0</v>
      </c>
      <c r="AE4552" s="21">
        <v>0</v>
      </c>
      <c r="AF4552">
        <v>0</v>
      </c>
      <c r="AG4552">
        <v>0</v>
      </c>
      <c r="AH4552">
        <v>128</v>
      </c>
      <c r="AJ4552" t="s">
        <v>51</v>
      </c>
      <c r="AK4552" t="s">
        <v>95</v>
      </c>
      <c r="AP4552" t="s">
        <v>951</v>
      </c>
    </row>
    <row r="4553" spans="1:42">
      <c r="A4553" s="16">
        <v>43851</v>
      </c>
      <c r="B4553">
        <v>2</v>
      </c>
      <c r="C4553">
        <v>223</v>
      </c>
      <c r="D4553">
        <v>14448</v>
      </c>
      <c r="E4553" t="s">
        <v>112</v>
      </c>
      <c r="F4553" t="s">
        <v>104</v>
      </c>
      <c r="G4553">
        <v>2</v>
      </c>
      <c r="H4553">
        <v>13</v>
      </c>
      <c r="I4553" s="25">
        <v>2514</v>
      </c>
      <c r="K4553" t="s">
        <v>68</v>
      </c>
      <c r="N4553" t="s">
        <v>44</v>
      </c>
      <c r="O4553">
        <v>103</v>
      </c>
      <c r="Q4553">
        <v>1</v>
      </c>
      <c r="R4553">
        <v>1</v>
      </c>
      <c r="S4553">
        <v>0</v>
      </c>
      <c r="T4553">
        <v>0</v>
      </c>
      <c r="U4553">
        <v>0</v>
      </c>
      <c r="V4553">
        <v>0</v>
      </c>
      <c r="W4553">
        <v>1</v>
      </c>
      <c r="X4553" s="21">
        <v>0</v>
      </c>
      <c r="Y4553" s="21">
        <v>0</v>
      </c>
      <c r="Z4553" s="21">
        <v>0</v>
      </c>
      <c r="AA4553" s="21">
        <v>0</v>
      </c>
      <c r="AB4553" s="21">
        <v>0</v>
      </c>
      <c r="AC4553" s="21">
        <v>0</v>
      </c>
      <c r="AD4553" s="21">
        <v>0</v>
      </c>
      <c r="AE4553" s="21">
        <v>0</v>
      </c>
      <c r="AF4553">
        <v>0</v>
      </c>
      <c r="AG4553">
        <v>0</v>
      </c>
      <c r="AH4553">
        <v>96</v>
      </c>
      <c r="AJ4553" t="s">
        <v>51</v>
      </c>
      <c r="AK4553" t="s">
        <v>95</v>
      </c>
      <c r="AP4553" t="s">
        <v>951</v>
      </c>
    </row>
    <row r="4554" spans="1:42">
      <c r="A4554" s="16">
        <v>43851</v>
      </c>
      <c r="B4554">
        <v>2</v>
      </c>
      <c r="C4554">
        <v>223</v>
      </c>
      <c r="D4554">
        <v>14448</v>
      </c>
      <c r="E4554" t="s">
        <v>112</v>
      </c>
      <c r="F4554" t="s">
        <v>104</v>
      </c>
      <c r="G4554">
        <v>2</v>
      </c>
      <c r="H4554">
        <v>14</v>
      </c>
      <c r="I4554" s="25">
        <v>2500</v>
      </c>
      <c r="K4554" t="s">
        <v>68</v>
      </c>
      <c r="L4554" t="s">
        <v>114</v>
      </c>
      <c r="N4554" t="s">
        <v>40</v>
      </c>
      <c r="O4554">
        <v>85</v>
      </c>
      <c r="Q4554">
        <v>4</v>
      </c>
      <c r="R4554">
        <v>1</v>
      </c>
      <c r="S4554">
        <v>0</v>
      </c>
      <c r="T4554">
        <v>0</v>
      </c>
      <c r="U4554">
        <v>3</v>
      </c>
      <c r="V4554">
        <v>0</v>
      </c>
      <c r="W4554">
        <v>1</v>
      </c>
      <c r="X4554" s="21">
        <v>0</v>
      </c>
      <c r="Y4554" s="21">
        <v>0</v>
      </c>
      <c r="Z4554" s="21">
        <v>0</v>
      </c>
      <c r="AA4554" s="21">
        <v>0</v>
      </c>
      <c r="AB4554" s="21">
        <v>0</v>
      </c>
      <c r="AC4554" s="21">
        <v>0</v>
      </c>
      <c r="AD4554" s="21">
        <v>0</v>
      </c>
      <c r="AE4554" s="21">
        <v>0</v>
      </c>
      <c r="AF4554">
        <v>0</v>
      </c>
      <c r="AG4554">
        <v>0</v>
      </c>
      <c r="AH4554">
        <v>192</v>
      </c>
      <c r="AJ4554" t="s">
        <v>51</v>
      </c>
      <c r="AK4554" t="s">
        <v>95</v>
      </c>
      <c r="AP4554" t="s">
        <v>951</v>
      </c>
    </row>
    <row r="4555" spans="1:42">
      <c r="A4555" s="16">
        <v>43851</v>
      </c>
      <c r="B4555">
        <v>2</v>
      </c>
      <c r="C4555">
        <v>223</v>
      </c>
      <c r="D4555">
        <v>14448</v>
      </c>
      <c r="E4555" t="s">
        <v>112</v>
      </c>
      <c r="F4555" t="s">
        <v>104</v>
      </c>
      <c r="G4555">
        <v>2</v>
      </c>
      <c r="H4555">
        <v>15</v>
      </c>
      <c r="I4555" s="25">
        <v>2500</v>
      </c>
      <c r="K4555" t="s">
        <v>68</v>
      </c>
      <c r="L4555" t="s">
        <v>114</v>
      </c>
      <c r="N4555" t="s">
        <v>40</v>
      </c>
      <c r="O4555">
        <v>230</v>
      </c>
      <c r="Q4555">
        <v>8</v>
      </c>
      <c r="R4555">
        <v>1</v>
      </c>
      <c r="S4555">
        <v>0</v>
      </c>
      <c r="T4555">
        <v>0</v>
      </c>
      <c r="U4555">
        <v>8</v>
      </c>
      <c r="V4555">
        <v>0</v>
      </c>
      <c r="W4555">
        <v>0</v>
      </c>
      <c r="X4555" s="21">
        <v>0</v>
      </c>
      <c r="Y4555" s="21">
        <v>0</v>
      </c>
      <c r="Z4555" s="21">
        <v>0</v>
      </c>
      <c r="AA4555" s="21">
        <v>0</v>
      </c>
      <c r="AB4555" s="21">
        <v>0</v>
      </c>
      <c r="AC4555" s="21">
        <v>0</v>
      </c>
      <c r="AD4555" s="21">
        <v>0</v>
      </c>
      <c r="AE4555" s="21">
        <v>0</v>
      </c>
      <c r="AF4555">
        <v>0</v>
      </c>
      <c r="AG4555">
        <v>0</v>
      </c>
      <c r="AH4555">
        <v>256</v>
      </c>
      <c r="AJ4555" t="s">
        <v>51</v>
      </c>
      <c r="AK4555" t="s">
        <v>95</v>
      </c>
      <c r="AP4555" t="s">
        <v>951</v>
      </c>
    </row>
    <row r="4556" spans="1:42">
      <c r="A4556" s="16">
        <v>43851</v>
      </c>
      <c r="B4556">
        <v>2</v>
      </c>
      <c r="C4556">
        <v>223</v>
      </c>
      <c r="D4556">
        <v>14448</v>
      </c>
      <c r="E4556" t="s">
        <v>112</v>
      </c>
      <c r="F4556" t="s">
        <v>104</v>
      </c>
      <c r="G4556">
        <v>2</v>
      </c>
      <c r="H4556">
        <v>16</v>
      </c>
      <c r="I4556" s="25">
        <v>2500</v>
      </c>
      <c r="K4556" t="s">
        <v>68</v>
      </c>
      <c r="L4556" t="s">
        <v>114</v>
      </c>
      <c r="N4556" t="s">
        <v>40</v>
      </c>
      <c r="O4556">
        <v>80</v>
      </c>
      <c r="Q4556">
        <v>2</v>
      </c>
      <c r="R4556">
        <v>1</v>
      </c>
      <c r="S4556">
        <v>0</v>
      </c>
      <c r="T4556">
        <v>0</v>
      </c>
      <c r="U4556">
        <v>1</v>
      </c>
      <c r="V4556">
        <v>1</v>
      </c>
      <c r="W4556">
        <v>0</v>
      </c>
      <c r="X4556" s="21">
        <v>0</v>
      </c>
      <c r="Y4556" s="21">
        <v>0</v>
      </c>
      <c r="Z4556" s="21">
        <v>0</v>
      </c>
      <c r="AA4556" s="21">
        <v>0</v>
      </c>
      <c r="AB4556" s="21">
        <v>0</v>
      </c>
      <c r="AC4556" s="21">
        <v>0</v>
      </c>
      <c r="AD4556" s="21">
        <v>0</v>
      </c>
      <c r="AE4556" s="21">
        <v>0</v>
      </c>
      <c r="AF4556">
        <v>0</v>
      </c>
      <c r="AG4556">
        <v>0</v>
      </c>
      <c r="AH4556">
        <v>96</v>
      </c>
      <c r="AJ4556" t="s">
        <v>51</v>
      </c>
      <c r="AK4556" t="s">
        <v>95</v>
      </c>
      <c r="AP4556" t="s">
        <v>951</v>
      </c>
    </row>
    <row r="4557" spans="1:42">
      <c r="A4557" s="16">
        <v>43851</v>
      </c>
      <c r="B4557">
        <v>2</v>
      </c>
      <c r="C4557">
        <v>223</v>
      </c>
      <c r="D4557">
        <v>14448</v>
      </c>
      <c r="E4557" t="s">
        <v>112</v>
      </c>
      <c r="F4557" t="s">
        <v>104</v>
      </c>
      <c r="G4557">
        <v>2</v>
      </c>
      <c r="H4557">
        <v>17</v>
      </c>
      <c r="I4557" s="25">
        <v>2566</v>
      </c>
      <c r="K4557" t="s">
        <v>68</v>
      </c>
      <c r="N4557" t="s">
        <v>44</v>
      </c>
      <c r="O4557">
        <v>75</v>
      </c>
      <c r="Q4557">
        <v>1</v>
      </c>
      <c r="R4557">
        <v>1</v>
      </c>
      <c r="S4557">
        <v>0</v>
      </c>
      <c r="T4557">
        <v>0</v>
      </c>
      <c r="U4557">
        <v>0</v>
      </c>
      <c r="V4557">
        <v>0</v>
      </c>
      <c r="W4557">
        <v>1</v>
      </c>
      <c r="X4557" s="21">
        <v>0</v>
      </c>
      <c r="Y4557" s="21">
        <v>0</v>
      </c>
      <c r="Z4557" s="21">
        <v>0</v>
      </c>
      <c r="AA4557" s="21">
        <v>0</v>
      </c>
      <c r="AB4557" s="21">
        <v>0</v>
      </c>
      <c r="AC4557" s="21">
        <v>0</v>
      </c>
      <c r="AD4557" s="21">
        <v>0</v>
      </c>
      <c r="AE4557" s="21">
        <v>0</v>
      </c>
      <c r="AF4557">
        <v>0</v>
      </c>
      <c r="AG4557">
        <v>0</v>
      </c>
      <c r="AH4557">
        <v>96</v>
      </c>
      <c r="AJ4557" t="s">
        <v>51</v>
      </c>
      <c r="AK4557" t="s">
        <v>95</v>
      </c>
      <c r="AP4557" t="s">
        <v>951</v>
      </c>
    </row>
    <row r="4558" spans="1:42">
      <c r="A4558" s="16">
        <v>43851</v>
      </c>
      <c r="B4558">
        <v>2</v>
      </c>
      <c r="C4558">
        <v>223</v>
      </c>
      <c r="D4558">
        <v>14448</v>
      </c>
      <c r="E4558" t="s">
        <v>112</v>
      </c>
      <c r="F4558" t="s">
        <v>104</v>
      </c>
      <c r="G4558">
        <v>2</v>
      </c>
      <c r="H4558">
        <v>18</v>
      </c>
      <c r="I4558" s="25">
        <v>2500</v>
      </c>
      <c r="K4558" t="s">
        <v>68</v>
      </c>
      <c r="L4558" t="s">
        <v>114</v>
      </c>
      <c r="N4558" t="s">
        <v>40</v>
      </c>
      <c r="O4558">
        <v>37</v>
      </c>
      <c r="Q4558">
        <v>1</v>
      </c>
      <c r="R4558">
        <v>1</v>
      </c>
      <c r="S4558">
        <v>0</v>
      </c>
      <c r="T4558">
        <v>0</v>
      </c>
      <c r="U4558">
        <v>0</v>
      </c>
      <c r="V4558">
        <v>1</v>
      </c>
      <c r="W4558">
        <v>0</v>
      </c>
      <c r="X4558" s="21">
        <v>0</v>
      </c>
      <c r="Y4558" s="21">
        <v>0</v>
      </c>
      <c r="Z4558" s="21">
        <v>0</v>
      </c>
      <c r="AA4558" s="21">
        <v>0</v>
      </c>
      <c r="AB4558" s="21">
        <v>0</v>
      </c>
      <c r="AC4558" s="21">
        <v>0</v>
      </c>
      <c r="AD4558" s="21">
        <v>0</v>
      </c>
      <c r="AE4558" s="21">
        <v>0</v>
      </c>
      <c r="AF4558">
        <v>0</v>
      </c>
      <c r="AG4558">
        <v>0</v>
      </c>
      <c r="AH4558">
        <v>64</v>
      </c>
      <c r="AJ4558" t="s">
        <v>51</v>
      </c>
      <c r="AK4558" t="s">
        <v>95</v>
      </c>
      <c r="AP4558" t="s">
        <v>951</v>
      </c>
    </row>
    <row r="4559" spans="1:42">
      <c r="A4559" s="16">
        <v>43851</v>
      </c>
      <c r="B4559">
        <v>2</v>
      </c>
      <c r="C4559">
        <v>223</v>
      </c>
      <c r="D4559">
        <v>14448</v>
      </c>
      <c r="E4559" t="s">
        <v>112</v>
      </c>
      <c r="F4559" t="s">
        <v>104</v>
      </c>
      <c r="G4559">
        <v>2</v>
      </c>
      <c r="H4559">
        <v>19</v>
      </c>
      <c r="I4559" s="25">
        <v>2580</v>
      </c>
      <c r="K4559" t="s">
        <v>68</v>
      </c>
      <c r="N4559" t="s">
        <v>44</v>
      </c>
      <c r="O4559">
        <v>24</v>
      </c>
      <c r="Q4559">
        <v>1</v>
      </c>
      <c r="R4559">
        <v>1</v>
      </c>
      <c r="S4559">
        <v>0</v>
      </c>
      <c r="T4559">
        <v>0</v>
      </c>
      <c r="U4559">
        <v>0</v>
      </c>
      <c r="V4559">
        <v>1</v>
      </c>
      <c r="W4559">
        <v>0</v>
      </c>
      <c r="X4559" s="21">
        <v>0</v>
      </c>
      <c r="Y4559" s="21">
        <v>0</v>
      </c>
      <c r="Z4559" s="21">
        <v>0</v>
      </c>
      <c r="AA4559" s="21">
        <v>0</v>
      </c>
      <c r="AB4559" s="21">
        <v>0</v>
      </c>
      <c r="AC4559" s="21">
        <v>0</v>
      </c>
      <c r="AD4559" s="21">
        <v>0</v>
      </c>
      <c r="AE4559" s="21">
        <v>0</v>
      </c>
      <c r="AF4559">
        <v>0</v>
      </c>
      <c r="AG4559">
        <v>0</v>
      </c>
      <c r="AH4559">
        <v>64</v>
      </c>
      <c r="AJ4559" t="s">
        <v>51</v>
      </c>
      <c r="AK4559" t="s">
        <v>95</v>
      </c>
      <c r="AP4559" t="s">
        <v>951</v>
      </c>
    </row>
    <row r="4560" spans="1:42">
      <c r="A4560" s="16">
        <v>43851</v>
      </c>
      <c r="B4560">
        <v>2</v>
      </c>
      <c r="C4560">
        <v>223</v>
      </c>
      <c r="D4560">
        <v>14448</v>
      </c>
      <c r="E4560" t="s">
        <v>112</v>
      </c>
      <c r="F4560" t="s">
        <v>104</v>
      </c>
      <c r="G4560">
        <v>2</v>
      </c>
      <c r="H4560">
        <v>20</v>
      </c>
      <c r="I4560" s="25">
        <v>2586</v>
      </c>
      <c r="K4560" t="s">
        <v>68</v>
      </c>
      <c r="N4560" t="s">
        <v>44</v>
      </c>
      <c r="O4560">
        <v>61</v>
      </c>
      <c r="Q4560">
        <v>1</v>
      </c>
      <c r="R4560">
        <v>1</v>
      </c>
      <c r="S4560">
        <v>0</v>
      </c>
      <c r="T4560">
        <v>0</v>
      </c>
      <c r="U4560">
        <v>1</v>
      </c>
      <c r="V4560">
        <v>0</v>
      </c>
      <c r="W4560">
        <v>0</v>
      </c>
      <c r="X4560" s="21">
        <v>0</v>
      </c>
      <c r="Y4560" s="21">
        <v>0</v>
      </c>
      <c r="Z4560" s="21">
        <v>0</v>
      </c>
      <c r="AA4560" s="21">
        <v>0</v>
      </c>
      <c r="AB4560" s="21">
        <v>0</v>
      </c>
      <c r="AC4560" s="21">
        <v>0</v>
      </c>
      <c r="AD4560" s="21">
        <v>0</v>
      </c>
      <c r="AE4560" s="21">
        <v>0</v>
      </c>
      <c r="AF4560">
        <v>0</v>
      </c>
      <c r="AG4560">
        <v>0</v>
      </c>
      <c r="AH4560">
        <v>32</v>
      </c>
      <c r="AJ4560" t="s">
        <v>51</v>
      </c>
      <c r="AK4560" t="s">
        <v>95</v>
      </c>
      <c r="AP4560" t="s">
        <v>951</v>
      </c>
    </row>
    <row r="4561" spans="1:42">
      <c r="A4561" s="16">
        <v>43851</v>
      </c>
      <c r="B4561">
        <v>2</v>
      </c>
      <c r="C4561">
        <v>223</v>
      </c>
      <c r="D4561">
        <v>14448</v>
      </c>
      <c r="E4561" t="s">
        <v>112</v>
      </c>
      <c r="F4561" t="s">
        <v>104</v>
      </c>
      <c r="G4561">
        <v>2</v>
      </c>
      <c r="H4561">
        <v>21</v>
      </c>
      <c r="I4561" s="25">
        <v>2600</v>
      </c>
      <c r="K4561" t="s">
        <v>68</v>
      </c>
      <c r="L4561" t="s">
        <v>141</v>
      </c>
      <c r="N4561" t="s">
        <v>40</v>
      </c>
      <c r="O4561">
        <v>111</v>
      </c>
      <c r="Q4561">
        <v>3</v>
      </c>
      <c r="R4561">
        <v>1</v>
      </c>
      <c r="S4561">
        <v>0</v>
      </c>
      <c r="T4561">
        <v>0</v>
      </c>
      <c r="U4561">
        <v>1</v>
      </c>
      <c r="V4561">
        <v>2</v>
      </c>
      <c r="W4561">
        <v>0</v>
      </c>
      <c r="X4561" s="21">
        <v>0</v>
      </c>
      <c r="Y4561" s="21">
        <v>0</v>
      </c>
      <c r="Z4561" s="21">
        <v>0</v>
      </c>
      <c r="AA4561" s="21">
        <v>0</v>
      </c>
      <c r="AB4561" s="21">
        <v>0</v>
      </c>
      <c r="AC4561" s="21">
        <v>0</v>
      </c>
      <c r="AD4561" s="21">
        <v>0</v>
      </c>
      <c r="AE4561" s="21">
        <v>0</v>
      </c>
      <c r="AF4561">
        <v>0</v>
      </c>
      <c r="AG4561">
        <v>0</v>
      </c>
      <c r="AH4561">
        <v>128</v>
      </c>
      <c r="AJ4561" t="s">
        <v>51</v>
      </c>
      <c r="AK4561" t="s">
        <v>95</v>
      </c>
      <c r="AP4561" t="s">
        <v>951</v>
      </c>
    </row>
    <row r="4562" spans="1:42">
      <c r="A4562" s="16">
        <v>43851</v>
      </c>
      <c r="B4562">
        <v>2</v>
      </c>
      <c r="C4562">
        <v>223</v>
      </c>
      <c r="D4562">
        <v>14448</v>
      </c>
      <c r="E4562" t="s">
        <v>112</v>
      </c>
      <c r="F4562" t="s">
        <v>104</v>
      </c>
      <c r="G4562">
        <v>2</v>
      </c>
      <c r="H4562">
        <v>22</v>
      </c>
      <c r="I4562" s="25">
        <v>2600</v>
      </c>
      <c r="K4562" t="s">
        <v>68</v>
      </c>
      <c r="L4562" t="s">
        <v>141</v>
      </c>
      <c r="N4562" t="s">
        <v>40</v>
      </c>
      <c r="O4562">
        <v>47</v>
      </c>
      <c r="Q4562">
        <v>1</v>
      </c>
      <c r="R4562">
        <v>1</v>
      </c>
      <c r="S4562">
        <v>0</v>
      </c>
      <c r="T4562">
        <v>0</v>
      </c>
      <c r="U4562">
        <v>1</v>
      </c>
      <c r="V4562">
        <v>0</v>
      </c>
      <c r="W4562">
        <v>0</v>
      </c>
      <c r="X4562" s="21">
        <v>0</v>
      </c>
      <c r="Y4562" s="21">
        <v>0</v>
      </c>
      <c r="Z4562" s="21">
        <v>0</v>
      </c>
      <c r="AA4562" s="21">
        <v>0</v>
      </c>
      <c r="AB4562" s="21">
        <v>0</v>
      </c>
      <c r="AC4562" s="21">
        <v>0</v>
      </c>
      <c r="AD4562" s="21">
        <v>0</v>
      </c>
      <c r="AE4562" s="21">
        <v>0</v>
      </c>
      <c r="AF4562">
        <v>0</v>
      </c>
      <c r="AG4562">
        <v>0</v>
      </c>
      <c r="AH4562">
        <v>32</v>
      </c>
      <c r="AJ4562" t="s">
        <v>51</v>
      </c>
      <c r="AK4562" t="s">
        <v>95</v>
      </c>
      <c r="AP4562" t="s">
        <v>951</v>
      </c>
    </row>
    <row r="4563" spans="1:42">
      <c r="A4563" s="16">
        <v>43851</v>
      </c>
      <c r="B4563">
        <v>2</v>
      </c>
      <c r="C4563">
        <v>223</v>
      </c>
      <c r="D4563">
        <v>14448</v>
      </c>
      <c r="E4563" t="s">
        <v>112</v>
      </c>
      <c r="F4563" t="s">
        <v>104</v>
      </c>
      <c r="G4563">
        <v>2</v>
      </c>
      <c r="H4563">
        <v>23</v>
      </c>
      <c r="I4563" s="25">
        <v>2600</v>
      </c>
      <c r="K4563" t="s">
        <v>68</v>
      </c>
      <c r="L4563" t="s">
        <v>141</v>
      </c>
      <c r="N4563" t="s">
        <v>40</v>
      </c>
      <c r="O4563">
        <v>137</v>
      </c>
      <c r="Q4563">
        <v>4</v>
      </c>
      <c r="R4563">
        <v>1</v>
      </c>
      <c r="S4563">
        <v>0</v>
      </c>
      <c r="T4563">
        <v>0</v>
      </c>
      <c r="U4563">
        <v>4</v>
      </c>
      <c r="V4563">
        <v>0</v>
      </c>
      <c r="W4563">
        <v>0</v>
      </c>
      <c r="X4563" s="21">
        <v>0</v>
      </c>
      <c r="Y4563" s="21">
        <v>0</v>
      </c>
      <c r="Z4563" s="21">
        <v>0</v>
      </c>
      <c r="AA4563" s="21">
        <v>0</v>
      </c>
      <c r="AB4563" s="21">
        <v>0</v>
      </c>
      <c r="AC4563" s="21">
        <v>0</v>
      </c>
      <c r="AD4563" s="21">
        <v>0</v>
      </c>
      <c r="AE4563" s="21">
        <v>0</v>
      </c>
      <c r="AF4563">
        <v>0</v>
      </c>
      <c r="AG4563">
        <v>0</v>
      </c>
      <c r="AH4563">
        <v>128</v>
      </c>
      <c r="AJ4563" t="s">
        <v>51</v>
      </c>
      <c r="AK4563" t="s">
        <v>95</v>
      </c>
      <c r="AP4563" t="s">
        <v>951</v>
      </c>
    </row>
    <row r="4564" spans="1:42">
      <c r="A4564" s="16">
        <v>43851</v>
      </c>
      <c r="B4564">
        <v>2</v>
      </c>
      <c r="C4564">
        <v>223</v>
      </c>
      <c r="D4564">
        <v>14448</v>
      </c>
      <c r="E4564" t="s">
        <v>112</v>
      </c>
      <c r="F4564" t="s">
        <v>104</v>
      </c>
      <c r="G4564">
        <v>2</v>
      </c>
      <c r="H4564">
        <v>24</v>
      </c>
      <c r="I4564" s="25">
        <v>2600</v>
      </c>
      <c r="K4564" t="s">
        <v>68</v>
      </c>
      <c r="L4564" t="s">
        <v>141</v>
      </c>
      <c r="N4564" t="s">
        <v>40</v>
      </c>
      <c r="O4564">
        <v>140</v>
      </c>
      <c r="Q4564">
        <v>5</v>
      </c>
      <c r="R4564">
        <v>1</v>
      </c>
      <c r="S4564">
        <v>0</v>
      </c>
      <c r="T4564">
        <v>0</v>
      </c>
      <c r="U4564">
        <v>5</v>
      </c>
      <c r="V4564">
        <v>0</v>
      </c>
      <c r="W4564">
        <v>0</v>
      </c>
      <c r="X4564" s="21">
        <v>0</v>
      </c>
      <c r="Y4564" s="21">
        <v>0</v>
      </c>
      <c r="Z4564" s="21">
        <v>0</v>
      </c>
      <c r="AA4564" s="21">
        <v>0</v>
      </c>
      <c r="AB4564" s="21">
        <v>0</v>
      </c>
      <c r="AC4564" s="21">
        <v>0</v>
      </c>
      <c r="AD4564" s="21">
        <v>0</v>
      </c>
      <c r="AE4564" s="21">
        <v>0</v>
      </c>
      <c r="AF4564">
        <v>0</v>
      </c>
      <c r="AG4564">
        <v>0</v>
      </c>
      <c r="AH4564">
        <v>160</v>
      </c>
      <c r="AJ4564" t="s">
        <v>51</v>
      </c>
      <c r="AK4564" t="s">
        <v>95</v>
      </c>
      <c r="AP4564" t="s">
        <v>951</v>
      </c>
    </row>
    <row r="4565" spans="1:42">
      <c r="A4565" s="16">
        <v>43851</v>
      </c>
      <c r="B4565">
        <v>2</v>
      </c>
      <c r="C4565">
        <v>223</v>
      </c>
      <c r="D4565">
        <v>14448</v>
      </c>
      <c r="E4565" t="s">
        <v>112</v>
      </c>
      <c r="F4565" t="s">
        <v>104</v>
      </c>
      <c r="G4565">
        <v>2</v>
      </c>
      <c r="H4565">
        <v>25</v>
      </c>
      <c r="I4565" s="25">
        <v>2600</v>
      </c>
      <c r="K4565" t="s">
        <v>68</v>
      </c>
      <c r="L4565" t="s">
        <v>141</v>
      </c>
      <c r="N4565" t="s">
        <v>40</v>
      </c>
      <c r="O4565">
        <v>60</v>
      </c>
      <c r="Q4565">
        <v>2</v>
      </c>
      <c r="R4565">
        <v>1</v>
      </c>
      <c r="S4565">
        <v>0</v>
      </c>
      <c r="T4565">
        <v>0</v>
      </c>
      <c r="U4565">
        <v>2</v>
      </c>
      <c r="V4565">
        <v>0</v>
      </c>
      <c r="W4565">
        <v>0</v>
      </c>
      <c r="X4565" s="21">
        <v>0</v>
      </c>
      <c r="Y4565" s="21">
        <v>0</v>
      </c>
      <c r="Z4565" s="21">
        <v>0</v>
      </c>
      <c r="AA4565" s="21">
        <v>0</v>
      </c>
      <c r="AB4565" s="21">
        <v>0</v>
      </c>
      <c r="AC4565" s="21">
        <v>0</v>
      </c>
      <c r="AD4565" s="21">
        <v>0</v>
      </c>
      <c r="AE4565" s="21">
        <v>0</v>
      </c>
      <c r="AF4565">
        <v>0</v>
      </c>
      <c r="AG4565">
        <v>0</v>
      </c>
      <c r="AH4565">
        <v>64</v>
      </c>
      <c r="AJ4565" t="s">
        <v>51</v>
      </c>
      <c r="AK4565" t="s">
        <v>95</v>
      </c>
      <c r="AP4565" t="s">
        <v>951</v>
      </c>
    </row>
    <row r="4566" spans="1:42">
      <c r="A4566" s="16">
        <v>43851</v>
      </c>
      <c r="B4566">
        <v>2</v>
      </c>
      <c r="C4566">
        <v>223</v>
      </c>
      <c r="D4566">
        <v>14448</v>
      </c>
      <c r="E4566" t="s">
        <v>112</v>
      </c>
      <c r="F4566" t="s">
        <v>104</v>
      </c>
      <c r="G4566">
        <v>2</v>
      </c>
      <c r="H4566">
        <v>26</v>
      </c>
      <c r="I4566" s="25">
        <v>2625</v>
      </c>
      <c r="K4566" t="s">
        <v>68</v>
      </c>
      <c r="N4566" t="s">
        <v>44</v>
      </c>
      <c r="O4566">
        <v>103</v>
      </c>
      <c r="Q4566">
        <v>2</v>
      </c>
      <c r="R4566">
        <v>1</v>
      </c>
      <c r="S4566">
        <v>0</v>
      </c>
      <c r="T4566">
        <v>0</v>
      </c>
      <c r="U4566">
        <v>2</v>
      </c>
      <c r="V4566">
        <v>0</v>
      </c>
      <c r="W4566">
        <v>0</v>
      </c>
      <c r="X4566" s="21">
        <v>0</v>
      </c>
      <c r="Y4566" s="21">
        <v>0</v>
      </c>
      <c r="Z4566" s="21">
        <v>0</v>
      </c>
      <c r="AA4566" s="21">
        <v>0</v>
      </c>
      <c r="AB4566" s="21">
        <v>0</v>
      </c>
      <c r="AC4566" s="21">
        <v>0</v>
      </c>
      <c r="AD4566" s="21">
        <v>0</v>
      </c>
      <c r="AE4566" s="21">
        <v>0</v>
      </c>
      <c r="AF4566">
        <v>0</v>
      </c>
      <c r="AG4566">
        <v>0</v>
      </c>
      <c r="AH4566">
        <v>64</v>
      </c>
      <c r="AJ4566" t="s">
        <v>51</v>
      </c>
      <c r="AK4566" t="s">
        <v>95</v>
      </c>
      <c r="AP4566" t="s">
        <v>951</v>
      </c>
    </row>
    <row r="4567" spans="1:42">
      <c r="A4567" s="16">
        <v>43851</v>
      </c>
      <c r="B4567">
        <v>2</v>
      </c>
      <c r="C4567">
        <v>223</v>
      </c>
      <c r="D4567">
        <v>14448</v>
      </c>
      <c r="E4567" t="s">
        <v>112</v>
      </c>
      <c r="F4567" t="s">
        <v>104</v>
      </c>
      <c r="G4567">
        <v>2</v>
      </c>
      <c r="H4567">
        <v>27</v>
      </c>
      <c r="I4567" s="25">
        <v>2500</v>
      </c>
      <c r="K4567" t="s">
        <v>68</v>
      </c>
      <c r="L4567" t="s">
        <v>141</v>
      </c>
      <c r="N4567" t="s">
        <v>40</v>
      </c>
      <c r="O4567">
        <v>72</v>
      </c>
      <c r="Q4567">
        <v>2</v>
      </c>
      <c r="R4567">
        <v>1</v>
      </c>
      <c r="S4567">
        <v>0</v>
      </c>
      <c r="T4567">
        <v>0</v>
      </c>
      <c r="U4567">
        <v>1</v>
      </c>
      <c r="V4567">
        <v>1</v>
      </c>
      <c r="W4567">
        <v>0</v>
      </c>
      <c r="X4567" s="21">
        <v>0</v>
      </c>
      <c r="Y4567" s="21">
        <v>0</v>
      </c>
      <c r="Z4567" s="21">
        <v>0</v>
      </c>
      <c r="AA4567" s="21">
        <v>0</v>
      </c>
      <c r="AB4567" s="21">
        <v>0</v>
      </c>
      <c r="AC4567" s="21">
        <v>0</v>
      </c>
      <c r="AD4567" s="21">
        <v>0</v>
      </c>
      <c r="AE4567" s="21">
        <v>0</v>
      </c>
      <c r="AF4567">
        <v>0</v>
      </c>
      <c r="AG4567">
        <v>0</v>
      </c>
      <c r="AH4567">
        <v>96</v>
      </c>
      <c r="AJ4567" t="s">
        <v>51</v>
      </c>
      <c r="AK4567" t="s">
        <v>95</v>
      </c>
      <c r="AP4567" t="s">
        <v>951</v>
      </c>
    </row>
    <row r="4568" spans="1:42">
      <c r="A4568" s="16">
        <v>43851</v>
      </c>
      <c r="B4568">
        <v>2</v>
      </c>
      <c r="C4568">
        <v>223</v>
      </c>
      <c r="D4568">
        <v>14448</v>
      </c>
      <c r="E4568" t="s">
        <v>112</v>
      </c>
      <c r="F4568" t="s">
        <v>104</v>
      </c>
      <c r="G4568">
        <v>2</v>
      </c>
      <c r="H4568">
        <v>28</v>
      </c>
      <c r="I4568" s="25" t="s">
        <v>1515</v>
      </c>
      <c r="K4568" t="s">
        <v>1516</v>
      </c>
      <c r="L4568" t="s">
        <v>114</v>
      </c>
      <c r="N4568" t="s">
        <v>40</v>
      </c>
      <c r="O4568">
        <v>96</v>
      </c>
      <c r="Q4568">
        <v>3</v>
      </c>
      <c r="R4568">
        <v>1</v>
      </c>
      <c r="S4568">
        <v>0</v>
      </c>
      <c r="T4568">
        <v>0</v>
      </c>
      <c r="U4568">
        <v>3</v>
      </c>
      <c r="V4568">
        <v>0</v>
      </c>
      <c r="W4568">
        <v>0</v>
      </c>
      <c r="X4568" s="21">
        <v>0</v>
      </c>
      <c r="Y4568" s="21">
        <v>0</v>
      </c>
      <c r="Z4568" s="21">
        <v>0</v>
      </c>
      <c r="AA4568" s="21">
        <v>0</v>
      </c>
      <c r="AB4568" s="21">
        <v>0</v>
      </c>
      <c r="AC4568" s="21">
        <v>0</v>
      </c>
      <c r="AD4568" s="21">
        <v>0</v>
      </c>
      <c r="AE4568" s="21">
        <v>0</v>
      </c>
      <c r="AF4568">
        <v>0</v>
      </c>
      <c r="AG4568">
        <v>0</v>
      </c>
      <c r="AH4568">
        <v>96</v>
      </c>
      <c r="AJ4568" t="s">
        <v>51</v>
      </c>
      <c r="AK4568" t="s">
        <v>95</v>
      </c>
      <c r="AL4568" t="s">
        <v>1517</v>
      </c>
      <c r="AP4568" t="s">
        <v>951</v>
      </c>
    </row>
    <row r="4569" spans="1:42">
      <c r="A4569" s="16">
        <v>43851</v>
      </c>
      <c r="B4569">
        <v>2</v>
      </c>
      <c r="C4569">
        <v>223</v>
      </c>
      <c r="D4569">
        <v>14448</v>
      </c>
      <c r="E4569" t="s">
        <v>112</v>
      </c>
      <c r="F4569" t="s">
        <v>104</v>
      </c>
      <c r="G4569">
        <v>2</v>
      </c>
      <c r="H4569">
        <v>29</v>
      </c>
      <c r="I4569" s="25">
        <v>2401</v>
      </c>
      <c r="K4569" t="s">
        <v>909</v>
      </c>
      <c r="N4569" t="s">
        <v>44</v>
      </c>
      <c r="O4569">
        <v>234</v>
      </c>
      <c r="Q4569">
        <v>1</v>
      </c>
      <c r="R4569">
        <v>1</v>
      </c>
      <c r="S4569">
        <v>0</v>
      </c>
      <c r="T4569">
        <v>0</v>
      </c>
      <c r="U4569">
        <v>0</v>
      </c>
      <c r="V4569">
        <v>0</v>
      </c>
      <c r="W4569">
        <v>1</v>
      </c>
      <c r="X4569" s="21">
        <v>0</v>
      </c>
      <c r="Y4569" s="21">
        <v>0</v>
      </c>
      <c r="Z4569" s="21">
        <v>0</v>
      </c>
      <c r="AA4569" s="21">
        <v>0</v>
      </c>
      <c r="AB4569" s="21">
        <v>0</v>
      </c>
      <c r="AC4569" s="21">
        <v>0</v>
      </c>
      <c r="AD4569" s="21">
        <v>0</v>
      </c>
      <c r="AE4569" s="21">
        <v>0</v>
      </c>
      <c r="AF4569">
        <v>0</v>
      </c>
      <c r="AG4569">
        <v>0</v>
      </c>
      <c r="AH4569">
        <v>96</v>
      </c>
      <c r="AJ4569" t="s">
        <v>51</v>
      </c>
      <c r="AK4569" t="s">
        <v>95</v>
      </c>
      <c r="AL4569" t="s">
        <v>1518</v>
      </c>
      <c r="AP4569" t="s">
        <v>951</v>
      </c>
    </row>
    <row r="4570" spans="1:42">
      <c r="A4570" s="16">
        <v>43851</v>
      </c>
      <c r="B4570">
        <v>2</v>
      </c>
      <c r="C4570">
        <v>223</v>
      </c>
      <c r="D4570">
        <v>14448</v>
      </c>
      <c r="E4570" t="s">
        <v>112</v>
      </c>
      <c r="F4570" t="s">
        <v>104</v>
      </c>
      <c r="G4570">
        <v>2</v>
      </c>
      <c r="H4570">
        <v>30</v>
      </c>
      <c r="I4570" s="25">
        <v>2500</v>
      </c>
      <c r="K4570" t="s">
        <v>516</v>
      </c>
      <c r="L4570" t="s">
        <v>114</v>
      </c>
      <c r="N4570" t="s">
        <v>40</v>
      </c>
      <c r="O4570">
        <v>41</v>
      </c>
      <c r="Q4570">
        <v>1</v>
      </c>
      <c r="R4570">
        <v>1</v>
      </c>
      <c r="S4570">
        <v>0</v>
      </c>
      <c r="T4570">
        <v>0</v>
      </c>
      <c r="U4570">
        <v>1</v>
      </c>
      <c r="V4570">
        <v>0</v>
      </c>
      <c r="W4570">
        <v>0</v>
      </c>
      <c r="X4570" s="21">
        <v>0</v>
      </c>
      <c r="Y4570" s="21">
        <v>0</v>
      </c>
      <c r="Z4570" s="21">
        <v>0</v>
      </c>
      <c r="AA4570" s="21">
        <v>0</v>
      </c>
      <c r="AB4570" s="21">
        <v>0</v>
      </c>
      <c r="AC4570" s="21">
        <v>0</v>
      </c>
      <c r="AD4570" s="21">
        <v>0</v>
      </c>
      <c r="AE4570" s="21">
        <v>0</v>
      </c>
      <c r="AF4570">
        <v>0</v>
      </c>
      <c r="AG4570">
        <v>0</v>
      </c>
      <c r="AH4570">
        <v>32</v>
      </c>
      <c r="AJ4570" t="s">
        <v>51</v>
      </c>
      <c r="AK4570" t="s">
        <v>95</v>
      </c>
      <c r="AP4570" t="s">
        <v>951</v>
      </c>
    </row>
    <row r="4571" spans="1:42">
      <c r="A4571" s="16">
        <v>43851</v>
      </c>
      <c r="B4571">
        <v>2</v>
      </c>
      <c r="C4571">
        <v>223</v>
      </c>
      <c r="D4571">
        <v>14448</v>
      </c>
      <c r="E4571" t="s">
        <v>112</v>
      </c>
      <c r="F4571" t="s">
        <v>104</v>
      </c>
      <c r="G4571">
        <v>2</v>
      </c>
      <c r="H4571">
        <v>31</v>
      </c>
      <c r="I4571" s="25" t="s">
        <v>1519</v>
      </c>
      <c r="K4571" t="s">
        <v>516</v>
      </c>
      <c r="N4571" t="s">
        <v>44</v>
      </c>
      <c r="O4571">
        <v>106</v>
      </c>
      <c r="Q4571">
        <v>3</v>
      </c>
      <c r="R4571">
        <v>1</v>
      </c>
      <c r="S4571">
        <v>0</v>
      </c>
      <c r="T4571">
        <v>0</v>
      </c>
      <c r="U4571">
        <v>3</v>
      </c>
      <c r="V4571">
        <v>0</v>
      </c>
      <c r="W4571">
        <v>0</v>
      </c>
      <c r="X4571" s="21">
        <v>0</v>
      </c>
      <c r="Y4571" s="21">
        <v>0</v>
      </c>
      <c r="Z4571" s="21">
        <v>0</v>
      </c>
      <c r="AA4571" s="21">
        <v>0</v>
      </c>
      <c r="AB4571" s="21">
        <v>0</v>
      </c>
      <c r="AC4571" s="21">
        <v>0</v>
      </c>
      <c r="AD4571" s="21">
        <v>0</v>
      </c>
      <c r="AE4571" s="21">
        <v>0</v>
      </c>
      <c r="AF4571">
        <v>0</v>
      </c>
      <c r="AG4571">
        <v>0</v>
      </c>
      <c r="AH4571">
        <v>96</v>
      </c>
      <c r="AJ4571" t="s">
        <v>51</v>
      </c>
      <c r="AK4571" t="s">
        <v>95</v>
      </c>
      <c r="AL4571" t="s">
        <v>618</v>
      </c>
      <c r="AP4571" t="s">
        <v>951</v>
      </c>
    </row>
    <row r="4572" spans="1:42">
      <c r="A4572" s="16">
        <v>43851</v>
      </c>
      <c r="B4572">
        <v>2</v>
      </c>
      <c r="C4572">
        <v>223</v>
      </c>
      <c r="D4572">
        <v>14448</v>
      </c>
      <c r="E4572" t="s">
        <v>112</v>
      </c>
      <c r="F4572" t="s">
        <v>104</v>
      </c>
      <c r="G4572">
        <v>2</v>
      </c>
      <c r="H4572">
        <v>32</v>
      </c>
      <c r="I4572" s="25">
        <v>2566</v>
      </c>
      <c r="K4572" t="s">
        <v>516</v>
      </c>
      <c r="L4572" t="s">
        <v>114</v>
      </c>
      <c r="N4572" t="s">
        <v>42</v>
      </c>
      <c r="O4572">
        <v>145</v>
      </c>
      <c r="Q4572">
        <v>3</v>
      </c>
      <c r="R4572">
        <v>1</v>
      </c>
      <c r="S4572">
        <v>0</v>
      </c>
      <c r="T4572">
        <v>0</v>
      </c>
      <c r="U4572">
        <v>1</v>
      </c>
      <c r="V4572">
        <v>1</v>
      </c>
      <c r="W4572">
        <v>1</v>
      </c>
      <c r="X4572" s="21">
        <v>0</v>
      </c>
      <c r="Y4572" s="21">
        <v>0</v>
      </c>
      <c r="Z4572" s="21">
        <v>0</v>
      </c>
      <c r="AA4572" s="21">
        <v>0</v>
      </c>
      <c r="AB4572" s="21">
        <v>0</v>
      </c>
      <c r="AC4572" s="21">
        <v>0</v>
      </c>
      <c r="AD4572" s="21">
        <v>0</v>
      </c>
      <c r="AE4572" s="21">
        <v>0</v>
      </c>
      <c r="AF4572">
        <v>0</v>
      </c>
      <c r="AG4572">
        <v>0</v>
      </c>
      <c r="AH4572">
        <v>192</v>
      </c>
      <c r="AJ4572" t="s">
        <v>51</v>
      </c>
      <c r="AK4572" t="s">
        <v>95</v>
      </c>
      <c r="AL4572" t="s">
        <v>618</v>
      </c>
      <c r="AP4572" t="s">
        <v>951</v>
      </c>
    </row>
    <row r="4573" spans="1:42">
      <c r="A4573" s="16">
        <v>43851</v>
      </c>
      <c r="B4573">
        <v>2</v>
      </c>
      <c r="C4573">
        <v>223</v>
      </c>
      <c r="D4573">
        <v>14448</v>
      </c>
      <c r="E4573" t="s">
        <v>112</v>
      </c>
      <c r="F4573" t="s">
        <v>104</v>
      </c>
      <c r="G4573">
        <v>2</v>
      </c>
      <c r="H4573">
        <v>33</v>
      </c>
      <c r="I4573" s="25">
        <v>2500</v>
      </c>
      <c r="K4573" t="s">
        <v>516</v>
      </c>
      <c r="L4573" t="s">
        <v>114</v>
      </c>
      <c r="N4573" t="s">
        <v>40</v>
      </c>
      <c r="O4573">
        <v>56</v>
      </c>
      <c r="Q4573">
        <v>1</v>
      </c>
      <c r="R4573">
        <v>1</v>
      </c>
      <c r="S4573">
        <v>0</v>
      </c>
      <c r="T4573">
        <v>0</v>
      </c>
      <c r="U4573">
        <v>0</v>
      </c>
      <c r="V4573">
        <v>1</v>
      </c>
      <c r="W4573">
        <v>0</v>
      </c>
      <c r="X4573" s="21">
        <v>0</v>
      </c>
      <c r="Y4573" s="21">
        <v>0</v>
      </c>
      <c r="Z4573" s="21">
        <v>0</v>
      </c>
      <c r="AA4573" s="21">
        <v>0</v>
      </c>
      <c r="AB4573" s="21">
        <v>0</v>
      </c>
      <c r="AC4573" s="21">
        <v>0</v>
      </c>
      <c r="AD4573" s="21">
        <v>0</v>
      </c>
      <c r="AE4573" s="21">
        <v>0</v>
      </c>
      <c r="AF4573">
        <v>0</v>
      </c>
      <c r="AG4573">
        <v>0</v>
      </c>
      <c r="AH4573">
        <v>64</v>
      </c>
      <c r="AJ4573" t="s">
        <v>51</v>
      </c>
      <c r="AK4573" t="s">
        <v>95</v>
      </c>
      <c r="AP4573" t="s">
        <v>951</v>
      </c>
    </row>
    <row r="4574" spans="1:42">
      <c r="A4574" s="16">
        <v>43851</v>
      </c>
      <c r="B4574">
        <v>2</v>
      </c>
      <c r="C4574">
        <v>223</v>
      </c>
      <c r="D4574">
        <v>14448</v>
      </c>
      <c r="E4574" t="s">
        <v>112</v>
      </c>
      <c r="F4574" t="s">
        <v>104</v>
      </c>
      <c r="G4574">
        <v>2</v>
      </c>
      <c r="H4574">
        <v>34</v>
      </c>
      <c r="I4574" s="25">
        <v>2590</v>
      </c>
      <c r="K4574" t="s">
        <v>647</v>
      </c>
      <c r="N4574" t="s">
        <v>44</v>
      </c>
      <c r="O4574">
        <v>75</v>
      </c>
      <c r="Q4574">
        <v>1</v>
      </c>
      <c r="R4574">
        <v>1</v>
      </c>
      <c r="S4574">
        <v>0</v>
      </c>
      <c r="T4574">
        <v>0</v>
      </c>
      <c r="U4574">
        <v>0</v>
      </c>
      <c r="V4574">
        <v>0</v>
      </c>
      <c r="W4574">
        <v>1</v>
      </c>
      <c r="X4574" s="21">
        <v>0</v>
      </c>
      <c r="Y4574" s="21">
        <v>0</v>
      </c>
      <c r="Z4574" s="21">
        <v>0</v>
      </c>
      <c r="AA4574" s="21">
        <v>0</v>
      </c>
      <c r="AB4574" s="21">
        <v>0</v>
      </c>
      <c r="AC4574" s="21">
        <v>0</v>
      </c>
      <c r="AD4574" s="21">
        <v>0</v>
      </c>
      <c r="AE4574" s="21">
        <v>0</v>
      </c>
      <c r="AF4574">
        <v>0</v>
      </c>
      <c r="AG4574">
        <v>0</v>
      </c>
      <c r="AH4574">
        <v>96</v>
      </c>
      <c r="AJ4574" t="s">
        <v>51</v>
      </c>
      <c r="AK4574" t="s">
        <v>95</v>
      </c>
      <c r="AL4574" t="s">
        <v>1520</v>
      </c>
      <c r="AP4574" t="s">
        <v>951</v>
      </c>
    </row>
    <row r="4575" spans="1:42">
      <c r="A4575" s="16">
        <v>43851</v>
      </c>
      <c r="B4575">
        <v>2</v>
      </c>
      <c r="C4575">
        <v>223</v>
      </c>
      <c r="D4575">
        <v>14448</v>
      </c>
      <c r="E4575" t="s">
        <v>112</v>
      </c>
      <c r="F4575" t="s">
        <v>104</v>
      </c>
      <c r="G4575">
        <v>2</v>
      </c>
      <c r="H4575">
        <v>35</v>
      </c>
      <c r="I4575" s="25">
        <v>2620</v>
      </c>
      <c r="K4575" t="s">
        <v>647</v>
      </c>
      <c r="N4575" t="s">
        <v>44</v>
      </c>
      <c r="O4575">
        <v>150</v>
      </c>
      <c r="Q4575">
        <v>1</v>
      </c>
      <c r="R4575">
        <v>1</v>
      </c>
      <c r="S4575">
        <v>0</v>
      </c>
      <c r="T4575">
        <v>0</v>
      </c>
      <c r="U4575">
        <v>0</v>
      </c>
      <c r="V4575">
        <v>0</v>
      </c>
      <c r="W4575">
        <v>1</v>
      </c>
      <c r="X4575" s="21">
        <v>0</v>
      </c>
      <c r="Y4575" s="21">
        <v>0</v>
      </c>
      <c r="Z4575" s="21">
        <v>0</v>
      </c>
      <c r="AA4575" s="21">
        <v>0</v>
      </c>
      <c r="AB4575" s="21">
        <v>0</v>
      </c>
      <c r="AC4575" s="21">
        <v>0</v>
      </c>
      <c r="AD4575" s="21">
        <v>0</v>
      </c>
      <c r="AE4575" s="21">
        <v>0</v>
      </c>
      <c r="AF4575">
        <v>0</v>
      </c>
      <c r="AG4575">
        <v>0</v>
      </c>
      <c r="AH4575">
        <v>96</v>
      </c>
      <c r="AJ4575" t="s">
        <v>51</v>
      </c>
      <c r="AK4575" t="s">
        <v>95</v>
      </c>
      <c r="AL4575" t="s">
        <v>1521</v>
      </c>
      <c r="AP4575" t="s">
        <v>951</v>
      </c>
    </row>
    <row r="4576" spans="1:42">
      <c r="A4576" s="16">
        <v>43851</v>
      </c>
      <c r="B4576">
        <v>2</v>
      </c>
      <c r="C4576">
        <v>223</v>
      </c>
      <c r="D4576">
        <v>14448</v>
      </c>
      <c r="E4576" t="s">
        <v>112</v>
      </c>
      <c r="F4576" t="s">
        <v>104</v>
      </c>
      <c r="G4576">
        <v>2</v>
      </c>
      <c r="H4576">
        <v>36</v>
      </c>
      <c r="I4576" s="25">
        <v>2700</v>
      </c>
      <c r="K4576" t="s">
        <v>605</v>
      </c>
      <c r="N4576" t="s">
        <v>40</v>
      </c>
      <c r="O4576">
        <v>115</v>
      </c>
      <c r="Q4576">
        <v>3</v>
      </c>
      <c r="R4576">
        <v>1</v>
      </c>
      <c r="S4576">
        <v>0</v>
      </c>
      <c r="T4576">
        <v>0</v>
      </c>
      <c r="U4576">
        <v>3</v>
      </c>
      <c r="V4576">
        <v>0</v>
      </c>
      <c r="W4576">
        <v>0</v>
      </c>
      <c r="X4576" s="21">
        <v>0</v>
      </c>
      <c r="Y4576" s="21">
        <v>0</v>
      </c>
      <c r="Z4576" s="21">
        <v>0</v>
      </c>
      <c r="AA4576" s="21">
        <v>0</v>
      </c>
      <c r="AB4576" s="21">
        <v>0</v>
      </c>
      <c r="AC4576" s="21">
        <v>0</v>
      </c>
      <c r="AD4576" s="21">
        <v>0</v>
      </c>
      <c r="AE4576" s="21">
        <v>0</v>
      </c>
      <c r="AF4576">
        <v>0</v>
      </c>
      <c r="AG4576">
        <v>0</v>
      </c>
      <c r="AH4576">
        <v>96</v>
      </c>
      <c r="AJ4576" t="s">
        <v>54</v>
      </c>
      <c r="AK4576" t="s">
        <v>95</v>
      </c>
      <c r="AP4576" t="s">
        <v>951</v>
      </c>
    </row>
    <row r="4577" spans="1:42">
      <c r="A4577" s="16">
        <v>43851</v>
      </c>
      <c r="B4577">
        <v>2</v>
      </c>
      <c r="C4577">
        <v>223</v>
      </c>
      <c r="D4577">
        <v>14448</v>
      </c>
      <c r="E4577" t="s">
        <v>112</v>
      </c>
      <c r="F4577" t="s">
        <v>104</v>
      </c>
      <c r="G4577">
        <v>2</v>
      </c>
      <c r="H4577">
        <v>37</v>
      </c>
      <c r="I4577" s="25">
        <v>2700</v>
      </c>
      <c r="K4577" t="s">
        <v>605</v>
      </c>
      <c r="N4577" t="s">
        <v>40</v>
      </c>
      <c r="O4577">
        <v>41</v>
      </c>
      <c r="Q4577">
        <v>1</v>
      </c>
      <c r="R4577">
        <v>1</v>
      </c>
      <c r="S4577">
        <v>0</v>
      </c>
      <c r="T4577">
        <v>0</v>
      </c>
      <c r="U4577">
        <v>1</v>
      </c>
      <c r="V4577">
        <v>0</v>
      </c>
      <c r="W4577">
        <v>0</v>
      </c>
      <c r="X4577" s="21">
        <v>0</v>
      </c>
      <c r="Y4577" s="21">
        <v>0</v>
      </c>
      <c r="Z4577" s="21">
        <v>0</v>
      </c>
      <c r="AA4577" s="21">
        <v>0</v>
      </c>
      <c r="AB4577" s="21">
        <v>0</v>
      </c>
      <c r="AC4577" s="21">
        <v>0</v>
      </c>
      <c r="AD4577" s="21">
        <v>0</v>
      </c>
      <c r="AE4577" s="21">
        <v>0</v>
      </c>
      <c r="AF4577">
        <v>0</v>
      </c>
      <c r="AG4577">
        <v>0</v>
      </c>
      <c r="AH4577">
        <v>32</v>
      </c>
      <c r="AJ4577" t="s">
        <v>54</v>
      </c>
      <c r="AK4577" t="s">
        <v>95</v>
      </c>
      <c r="AP4577" t="s">
        <v>951</v>
      </c>
    </row>
    <row r="4578" spans="1:42">
      <c r="A4578" s="16">
        <v>43851</v>
      </c>
      <c r="B4578">
        <v>2</v>
      </c>
      <c r="C4578">
        <v>223</v>
      </c>
      <c r="D4578">
        <v>14448</v>
      </c>
      <c r="E4578" t="s">
        <v>112</v>
      </c>
      <c r="F4578" t="s">
        <v>104</v>
      </c>
      <c r="G4578">
        <v>2</v>
      </c>
      <c r="H4578">
        <v>38</v>
      </c>
      <c r="I4578" s="25">
        <v>2400</v>
      </c>
      <c r="K4578" t="s">
        <v>256</v>
      </c>
      <c r="L4578" t="s">
        <v>141</v>
      </c>
      <c r="N4578" t="s">
        <v>40</v>
      </c>
      <c r="O4578">
        <v>181</v>
      </c>
      <c r="Q4578">
        <v>6</v>
      </c>
      <c r="R4578">
        <v>1</v>
      </c>
      <c r="S4578">
        <v>0</v>
      </c>
      <c r="T4578">
        <v>0</v>
      </c>
      <c r="U4578">
        <v>6</v>
      </c>
      <c r="V4578">
        <v>0</v>
      </c>
      <c r="W4578">
        <v>0</v>
      </c>
      <c r="X4578" s="21">
        <v>0</v>
      </c>
      <c r="Y4578" s="21">
        <v>0</v>
      </c>
      <c r="Z4578" s="21">
        <v>0</v>
      </c>
      <c r="AA4578" s="21">
        <v>0</v>
      </c>
      <c r="AB4578" s="21">
        <v>0</v>
      </c>
      <c r="AC4578" s="21">
        <v>0</v>
      </c>
      <c r="AD4578" s="21">
        <v>0</v>
      </c>
      <c r="AE4578" s="21">
        <v>0</v>
      </c>
      <c r="AF4578">
        <v>0</v>
      </c>
      <c r="AG4578">
        <v>0</v>
      </c>
      <c r="AH4578">
        <v>192</v>
      </c>
      <c r="AJ4578" t="s">
        <v>54</v>
      </c>
      <c r="AK4578" t="s">
        <v>95</v>
      </c>
      <c r="AP4578" t="s">
        <v>951</v>
      </c>
    </row>
    <row r="4579" spans="1:42">
      <c r="A4579" s="16">
        <v>43851</v>
      </c>
      <c r="B4579">
        <v>2</v>
      </c>
      <c r="C4579">
        <v>223</v>
      </c>
      <c r="D4579">
        <v>14448</v>
      </c>
      <c r="E4579" t="s">
        <v>112</v>
      </c>
      <c r="F4579" t="s">
        <v>104</v>
      </c>
      <c r="G4579">
        <v>2</v>
      </c>
      <c r="H4579">
        <v>39</v>
      </c>
      <c r="I4579" s="25">
        <v>2400</v>
      </c>
      <c r="K4579" t="s">
        <v>256</v>
      </c>
      <c r="L4579" t="s">
        <v>141</v>
      </c>
      <c r="N4579" t="s">
        <v>40</v>
      </c>
      <c r="O4579">
        <v>153</v>
      </c>
      <c r="Q4579">
        <v>5</v>
      </c>
      <c r="R4579">
        <v>1</v>
      </c>
      <c r="S4579">
        <v>0</v>
      </c>
      <c r="T4579">
        <v>0</v>
      </c>
      <c r="U4579">
        <v>5</v>
      </c>
      <c r="V4579">
        <v>0</v>
      </c>
      <c r="W4579">
        <v>0</v>
      </c>
      <c r="X4579" s="21">
        <v>0</v>
      </c>
      <c r="Y4579" s="21">
        <v>0</v>
      </c>
      <c r="Z4579" s="21">
        <v>0</v>
      </c>
      <c r="AA4579" s="21">
        <v>0</v>
      </c>
      <c r="AB4579" s="21">
        <v>0</v>
      </c>
      <c r="AC4579" s="21">
        <v>0</v>
      </c>
      <c r="AD4579" s="21">
        <v>0</v>
      </c>
      <c r="AE4579" s="21">
        <v>0</v>
      </c>
      <c r="AF4579">
        <v>0</v>
      </c>
      <c r="AG4579">
        <v>0</v>
      </c>
      <c r="AH4579">
        <v>160</v>
      </c>
      <c r="AJ4579" t="s">
        <v>54</v>
      </c>
      <c r="AK4579" t="s">
        <v>95</v>
      </c>
      <c r="AP4579" t="s">
        <v>951</v>
      </c>
    </row>
    <row r="4580" spans="1:42">
      <c r="A4580" s="16">
        <v>43851</v>
      </c>
      <c r="B4580">
        <v>2</v>
      </c>
      <c r="C4580">
        <v>223</v>
      </c>
      <c r="D4580">
        <v>14448</v>
      </c>
      <c r="E4580" t="s">
        <v>112</v>
      </c>
      <c r="F4580" t="s">
        <v>104</v>
      </c>
      <c r="G4580">
        <v>2</v>
      </c>
      <c r="H4580">
        <v>40</v>
      </c>
      <c r="I4580" s="25">
        <v>2300</v>
      </c>
      <c r="K4580" t="s">
        <v>516</v>
      </c>
      <c r="L4580" t="s">
        <v>141</v>
      </c>
      <c r="N4580" t="s">
        <v>40</v>
      </c>
      <c r="O4580">
        <v>131</v>
      </c>
      <c r="Q4580">
        <v>3</v>
      </c>
      <c r="R4580">
        <v>1</v>
      </c>
      <c r="S4580">
        <v>0</v>
      </c>
      <c r="T4580">
        <v>0</v>
      </c>
      <c r="U4580">
        <v>3</v>
      </c>
      <c r="V4580">
        <v>0</v>
      </c>
      <c r="W4580">
        <v>0</v>
      </c>
      <c r="X4580" s="21">
        <v>0</v>
      </c>
      <c r="Y4580" s="21">
        <v>0</v>
      </c>
      <c r="Z4580" s="21">
        <v>0</v>
      </c>
      <c r="AA4580" s="21">
        <v>0</v>
      </c>
      <c r="AB4580" s="21">
        <v>0</v>
      </c>
      <c r="AC4580" s="21">
        <v>0</v>
      </c>
      <c r="AD4580" s="21">
        <v>0</v>
      </c>
      <c r="AE4580" s="21">
        <v>0</v>
      </c>
      <c r="AF4580">
        <v>0</v>
      </c>
      <c r="AG4580">
        <v>0</v>
      </c>
      <c r="AH4580">
        <v>96</v>
      </c>
      <c r="AJ4580" t="s">
        <v>51</v>
      </c>
      <c r="AK4580" t="s">
        <v>95</v>
      </c>
      <c r="AP4580" t="s">
        <v>951</v>
      </c>
    </row>
    <row r="4581" spans="1:42">
      <c r="A4581" s="16">
        <v>43851</v>
      </c>
      <c r="B4581">
        <v>2</v>
      </c>
      <c r="C4581">
        <v>223</v>
      </c>
      <c r="D4581">
        <v>14448</v>
      </c>
      <c r="E4581" t="s">
        <v>112</v>
      </c>
      <c r="F4581" t="s">
        <v>104</v>
      </c>
      <c r="G4581">
        <v>2</v>
      </c>
      <c r="H4581">
        <v>41</v>
      </c>
      <c r="I4581" s="25">
        <v>2400</v>
      </c>
      <c r="K4581" t="s">
        <v>256</v>
      </c>
      <c r="N4581" t="s">
        <v>44</v>
      </c>
      <c r="O4581">
        <v>123</v>
      </c>
      <c r="Q4581">
        <v>1</v>
      </c>
      <c r="R4581">
        <v>1</v>
      </c>
      <c r="S4581">
        <v>0</v>
      </c>
      <c r="T4581">
        <v>0</v>
      </c>
      <c r="U4581">
        <v>0</v>
      </c>
      <c r="V4581">
        <v>0</v>
      </c>
      <c r="W4581">
        <v>1</v>
      </c>
      <c r="X4581" s="21">
        <v>0</v>
      </c>
      <c r="Y4581" s="21">
        <v>0</v>
      </c>
      <c r="Z4581" s="21">
        <v>0</v>
      </c>
      <c r="AA4581" s="21">
        <v>0</v>
      </c>
      <c r="AB4581" s="21">
        <v>0</v>
      </c>
      <c r="AC4581" s="21">
        <v>0</v>
      </c>
      <c r="AD4581" s="21">
        <v>0</v>
      </c>
      <c r="AE4581" s="21">
        <v>0</v>
      </c>
      <c r="AF4581">
        <v>0</v>
      </c>
      <c r="AG4581">
        <v>0</v>
      </c>
      <c r="AH4581">
        <v>96</v>
      </c>
      <c r="AJ4581" t="s">
        <v>54</v>
      </c>
      <c r="AK4581" t="s">
        <v>52</v>
      </c>
      <c r="AL4581" t="s">
        <v>1522</v>
      </c>
      <c r="AP4581" t="s">
        <v>951</v>
      </c>
    </row>
    <row r="4582" spans="1:42">
      <c r="A4582" s="16">
        <v>43851</v>
      </c>
      <c r="B4582">
        <v>2</v>
      </c>
      <c r="C4582">
        <v>223</v>
      </c>
      <c r="D4582">
        <v>14448</v>
      </c>
      <c r="E4582" t="s">
        <v>112</v>
      </c>
      <c r="F4582" t="s">
        <v>104</v>
      </c>
      <c r="G4582">
        <v>2</v>
      </c>
      <c r="H4582">
        <v>42</v>
      </c>
      <c r="I4582" s="25">
        <v>2498</v>
      </c>
      <c r="K4582" t="s">
        <v>256</v>
      </c>
      <c r="N4582" t="s">
        <v>44</v>
      </c>
      <c r="O4582">
        <v>85</v>
      </c>
      <c r="Q4582">
        <v>1</v>
      </c>
      <c r="R4582">
        <v>1</v>
      </c>
      <c r="S4582">
        <v>0</v>
      </c>
      <c r="T4582">
        <v>0</v>
      </c>
      <c r="U4582">
        <v>0</v>
      </c>
      <c r="V4582">
        <v>0</v>
      </c>
      <c r="W4582">
        <v>1</v>
      </c>
      <c r="X4582" s="21">
        <v>0</v>
      </c>
      <c r="Y4582" s="21">
        <v>0</v>
      </c>
      <c r="Z4582" s="21">
        <v>0</v>
      </c>
      <c r="AA4582" s="21">
        <v>0</v>
      </c>
      <c r="AB4582" s="21">
        <v>0</v>
      </c>
      <c r="AC4582" s="21">
        <v>0</v>
      </c>
      <c r="AD4582" s="21">
        <v>0</v>
      </c>
      <c r="AE4582" s="21">
        <v>0</v>
      </c>
      <c r="AF4582">
        <v>0</v>
      </c>
      <c r="AG4582">
        <v>0</v>
      </c>
      <c r="AH4582">
        <v>96</v>
      </c>
      <c r="AJ4582" t="s">
        <v>54</v>
      </c>
      <c r="AK4582" t="s">
        <v>52</v>
      </c>
      <c r="AP4582" t="s">
        <v>951</v>
      </c>
    </row>
    <row r="4583" spans="1:42">
      <c r="A4583" s="16">
        <v>43851</v>
      </c>
      <c r="B4583">
        <v>2</v>
      </c>
      <c r="C4583">
        <v>223</v>
      </c>
      <c r="D4583">
        <v>14448</v>
      </c>
      <c r="E4583" t="s">
        <v>112</v>
      </c>
      <c r="F4583" t="s">
        <v>104</v>
      </c>
      <c r="G4583">
        <v>2</v>
      </c>
      <c r="H4583">
        <v>43</v>
      </c>
      <c r="I4583" s="25">
        <v>2700</v>
      </c>
      <c r="K4583" t="s">
        <v>605</v>
      </c>
      <c r="L4583" t="s">
        <v>141</v>
      </c>
      <c r="N4583" t="s">
        <v>40</v>
      </c>
      <c r="O4583">
        <v>65</v>
      </c>
      <c r="Q4583">
        <v>2</v>
      </c>
      <c r="R4583">
        <v>1</v>
      </c>
      <c r="S4583">
        <v>0</v>
      </c>
      <c r="T4583">
        <v>0</v>
      </c>
      <c r="U4583">
        <v>1</v>
      </c>
      <c r="V4583">
        <v>0</v>
      </c>
      <c r="W4583">
        <v>1</v>
      </c>
      <c r="X4583" s="21">
        <v>0</v>
      </c>
      <c r="Y4583" s="21">
        <v>0</v>
      </c>
      <c r="Z4583" s="21">
        <v>0</v>
      </c>
      <c r="AA4583" s="21">
        <v>0</v>
      </c>
      <c r="AB4583" s="21">
        <v>0</v>
      </c>
      <c r="AC4583" s="21">
        <v>0</v>
      </c>
      <c r="AD4583" s="21">
        <v>0</v>
      </c>
      <c r="AE4583" s="21">
        <v>0</v>
      </c>
      <c r="AF4583">
        <v>0</v>
      </c>
      <c r="AG4583">
        <v>0</v>
      </c>
      <c r="AH4583">
        <v>128</v>
      </c>
      <c r="AJ4583" t="s">
        <v>54</v>
      </c>
      <c r="AK4583" t="s">
        <v>95</v>
      </c>
      <c r="AP4583" t="s">
        <v>951</v>
      </c>
    </row>
    <row r="4584" spans="1:42">
      <c r="A4584" s="16">
        <v>43851</v>
      </c>
      <c r="B4584">
        <v>2</v>
      </c>
      <c r="C4584">
        <v>223</v>
      </c>
      <c r="D4584">
        <v>14448</v>
      </c>
      <c r="E4584" t="s">
        <v>112</v>
      </c>
      <c r="F4584" t="s">
        <v>104</v>
      </c>
      <c r="G4584">
        <v>2</v>
      </c>
      <c r="H4584">
        <v>44</v>
      </c>
      <c r="I4584" s="25">
        <v>2700</v>
      </c>
      <c r="K4584" t="s">
        <v>605</v>
      </c>
      <c r="L4584" t="s">
        <v>141</v>
      </c>
      <c r="N4584" t="s">
        <v>40</v>
      </c>
      <c r="O4584">
        <v>80</v>
      </c>
      <c r="Q4584">
        <v>3</v>
      </c>
      <c r="R4584">
        <v>1</v>
      </c>
      <c r="S4584">
        <v>0</v>
      </c>
      <c r="T4584">
        <v>0</v>
      </c>
      <c r="U4584">
        <v>0</v>
      </c>
      <c r="V4584">
        <v>3</v>
      </c>
      <c r="W4584">
        <v>0</v>
      </c>
      <c r="X4584" s="21">
        <v>0</v>
      </c>
      <c r="Y4584" s="21">
        <v>0</v>
      </c>
      <c r="Z4584" s="21">
        <v>0</v>
      </c>
      <c r="AA4584" s="21">
        <v>0</v>
      </c>
      <c r="AB4584" s="21">
        <v>0</v>
      </c>
      <c r="AC4584" s="21">
        <v>0</v>
      </c>
      <c r="AD4584" s="21">
        <v>0</v>
      </c>
      <c r="AE4584" s="21">
        <v>0</v>
      </c>
      <c r="AF4584">
        <v>0</v>
      </c>
      <c r="AG4584">
        <v>0</v>
      </c>
      <c r="AH4584">
        <v>192</v>
      </c>
      <c r="AJ4584" t="s">
        <v>54</v>
      </c>
      <c r="AK4584" t="s">
        <v>95</v>
      </c>
      <c r="AP4584" t="s">
        <v>951</v>
      </c>
    </row>
    <row r="4585" spans="1:42">
      <c r="A4585" s="16">
        <v>43851</v>
      </c>
      <c r="B4585">
        <v>2</v>
      </c>
      <c r="C4585">
        <v>223</v>
      </c>
      <c r="D4585">
        <v>14448</v>
      </c>
      <c r="E4585" t="s">
        <v>112</v>
      </c>
      <c r="F4585" t="s">
        <v>104</v>
      </c>
      <c r="G4585">
        <v>2</v>
      </c>
      <c r="H4585">
        <v>45</v>
      </c>
      <c r="I4585" s="25">
        <v>2721</v>
      </c>
      <c r="K4585" t="s">
        <v>605</v>
      </c>
      <c r="N4585" t="s">
        <v>44</v>
      </c>
      <c r="O4585">
        <v>102</v>
      </c>
      <c r="Q4585">
        <v>1</v>
      </c>
      <c r="R4585">
        <v>1</v>
      </c>
      <c r="S4585">
        <v>0</v>
      </c>
      <c r="T4585">
        <v>0</v>
      </c>
      <c r="U4585">
        <v>0</v>
      </c>
      <c r="V4585">
        <v>0</v>
      </c>
      <c r="W4585">
        <v>1</v>
      </c>
      <c r="X4585" s="21">
        <v>0</v>
      </c>
      <c r="Y4585" s="21">
        <v>0</v>
      </c>
      <c r="Z4585" s="21">
        <v>0</v>
      </c>
      <c r="AA4585" s="21">
        <v>0</v>
      </c>
      <c r="AB4585" s="21">
        <v>0</v>
      </c>
      <c r="AC4585" s="21">
        <v>0</v>
      </c>
      <c r="AD4585" s="21">
        <v>0</v>
      </c>
      <c r="AE4585" s="21">
        <v>0</v>
      </c>
      <c r="AF4585">
        <v>0</v>
      </c>
      <c r="AG4585">
        <v>0</v>
      </c>
      <c r="AH4585">
        <v>96</v>
      </c>
      <c r="AJ4585" t="s">
        <v>54</v>
      </c>
      <c r="AK4585" t="s">
        <v>95</v>
      </c>
      <c r="AL4585" t="s">
        <v>1520</v>
      </c>
      <c r="AP4585" t="s">
        <v>951</v>
      </c>
    </row>
    <row r="4586" spans="1:42">
      <c r="A4586" s="16">
        <v>43851</v>
      </c>
      <c r="B4586">
        <v>2</v>
      </c>
      <c r="C4586">
        <v>223</v>
      </c>
      <c r="D4586">
        <v>14448</v>
      </c>
      <c r="E4586" t="s">
        <v>112</v>
      </c>
      <c r="F4586" t="s">
        <v>104</v>
      </c>
      <c r="G4586">
        <v>2</v>
      </c>
      <c r="H4586">
        <v>46</v>
      </c>
      <c r="I4586" s="25">
        <v>2700</v>
      </c>
      <c r="K4586" t="s">
        <v>605</v>
      </c>
      <c r="L4586" t="s">
        <v>141</v>
      </c>
      <c r="N4586" t="s">
        <v>40</v>
      </c>
      <c r="O4586">
        <v>35</v>
      </c>
      <c r="Q4586">
        <v>1</v>
      </c>
      <c r="R4586">
        <v>1</v>
      </c>
      <c r="S4586">
        <v>0</v>
      </c>
      <c r="T4586">
        <v>0</v>
      </c>
      <c r="U4586">
        <v>1</v>
      </c>
      <c r="V4586">
        <v>0</v>
      </c>
      <c r="W4586">
        <v>0</v>
      </c>
      <c r="X4586" s="21">
        <v>0</v>
      </c>
      <c r="Y4586" s="21">
        <v>0</v>
      </c>
      <c r="Z4586" s="21">
        <v>0</v>
      </c>
      <c r="AA4586" s="21">
        <v>0</v>
      </c>
      <c r="AB4586" s="21">
        <v>0</v>
      </c>
      <c r="AC4586" s="21">
        <v>0</v>
      </c>
      <c r="AD4586" s="21">
        <v>0</v>
      </c>
      <c r="AE4586" s="21">
        <v>0</v>
      </c>
      <c r="AF4586">
        <v>0</v>
      </c>
      <c r="AG4586">
        <v>0</v>
      </c>
      <c r="AH4586">
        <v>32</v>
      </c>
      <c r="AJ4586" t="s">
        <v>54</v>
      </c>
      <c r="AK4586" t="s">
        <v>35</v>
      </c>
      <c r="AP4586" t="s">
        <v>951</v>
      </c>
    </row>
    <row r="4587" spans="1:42">
      <c r="A4587" s="16">
        <v>43851</v>
      </c>
      <c r="B4587">
        <v>2</v>
      </c>
      <c r="C4587">
        <v>223</v>
      </c>
      <c r="D4587">
        <v>14448</v>
      </c>
      <c r="E4587" t="s">
        <v>112</v>
      </c>
      <c r="F4587" t="s">
        <v>104</v>
      </c>
      <c r="G4587">
        <v>2</v>
      </c>
      <c r="H4587">
        <v>47</v>
      </c>
      <c r="I4587" s="25">
        <v>2717</v>
      </c>
      <c r="K4587" t="s">
        <v>605</v>
      </c>
      <c r="N4587" t="s">
        <v>44</v>
      </c>
      <c r="O4587">
        <v>105</v>
      </c>
      <c r="Q4587">
        <v>2</v>
      </c>
      <c r="R4587">
        <v>1</v>
      </c>
      <c r="S4587">
        <v>0</v>
      </c>
      <c r="T4587">
        <v>0</v>
      </c>
      <c r="U4587">
        <v>2</v>
      </c>
      <c r="V4587">
        <v>0</v>
      </c>
      <c r="W4587">
        <v>0</v>
      </c>
      <c r="X4587" s="21">
        <v>0</v>
      </c>
      <c r="Y4587" s="21">
        <v>0</v>
      </c>
      <c r="Z4587" s="21">
        <v>0</v>
      </c>
      <c r="AA4587" s="21">
        <v>0</v>
      </c>
      <c r="AB4587" s="21">
        <v>0</v>
      </c>
      <c r="AC4587" s="21">
        <v>0</v>
      </c>
      <c r="AD4587" s="21">
        <v>0</v>
      </c>
      <c r="AE4587" s="21">
        <v>0</v>
      </c>
      <c r="AF4587">
        <v>0</v>
      </c>
      <c r="AG4587">
        <v>0</v>
      </c>
      <c r="AH4587">
        <v>64</v>
      </c>
      <c r="AJ4587" t="s">
        <v>54</v>
      </c>
      <c r="AK4587" t="s">
        <v>95</v>
      </c>
      <c r="AP4587" t="s">
        <v>951</v>
      </c>
    </row>
    <row r="4588" spans="1:42">
      <c r="A4588" s="16">
        <v>43851</v>
      </c>
      <c r="B4588">
        <v>2</v>
      </c>
      <c r="C4588">
        <v>223</v>
      </c>
      <c r="D4588">
        <v>14448</v>
      </c>
      <c r="E4588" t="s">
        <v>112</v>
      </c>
      <c r="F4588" t="s">
        <v>104</v>
      </c>
      <c r="G4588">
        <v>2</v>
      </c>
      <c r="H4588">
        <v>48</v>
      </c>
      <c r="I4588" s="25">
        <v>2711</v>
      </c>
      <c r="K4588" t="s">
        <v>605</v>
      </c>
      <c r="N4588" t="s">
        <v>44</v>
      </c>
      <c r="O4588">
        <v>123</v>
      </c>
      <c r="Q4588">
        <v>2</v>
      </c>
      <c r="R4588">
        <v>1</v>
      </c>
      <c r="S4588">
        <v>0</v>
      </c>
      <c r="T4588">
        <v>0</v>
      </c>
      <c r="U4588">
        <v>1</v>
      </c>
      <c r="V4588">
        <v>1</v>
      </c>
      <c r="W4588">
        <v>0</v>
      </c>
      <c r="X4588" s="21">
        <v>0</v>
      </c>
      <c r="Y4588" s="21">
        <v>0</v>
      </c>
      <c r="Z4588" s="21">
        <v>0</v>
      </c>
      <c r="AA4588" s="21">
        <v>0</v>
      </c>
      <c r="AB4588" s="21">
        <v>0</v>
      </c>
      <c r="AC4588" s="21">
        <v>0</v>
      </c>
      <c r="AD4588" s="21">
        <v>0</v>
      </c>
      <c r="AE4588" s="21">
        <v>0</v>
      </c>
      <c r="AF4588">
        <v>0</v>
      </c>
      <c r="AG4588">
        <v>0</v>
      </c>
      <c r="AH4588">
        <v>96</v>
      </c>
      <c r="AJ4588" t="s">
        <v>54</v>
      </c>
      <c r="AK4588" t="s">
        <v>95</v>
      </c>
      <c r="AP4588" t="s">
        <v>951</v>
      </c>
    </row>
    <row r="4589" spans="1:42">
      <c r="A4589" s="16">
        <v>43851</v>
      </c>
      <c r="B4589">
        <v>2</v>
      </c>
      <c r="C4589">
        <v>223</v>
      </c>
      <c r="D4589">
        <v>14448</v>
      </c>
      <c r="E4589" t="s">
        <v>112</v>
      </c>
      <c r="F4589" t="s">
        <v>104</v>
      </c>
      <c r="G4589">
        <v>2</v>
      </c>
      <c r="H4589">
        <v>49</v>
      </c>
      <c r="I4589" s="25">
        <v>2700</v>
      </c>
      <c r="K4589" t="s">
        <v>605</v>
      </c>
      <c r="L4589" t="s">
        <v>141</v>
      </c>
      <c r="N4589" t="s">
        <v>40</v>
      </c>
      <c r="O4589">
        <v>50</v>
      </c>
      <c r="Q4589">
        <v>2</v>
      </c>
      <c r="R4589">
        <v>1</v>
      </c>
      <c r="S4589">
        <v>0</v>
      </c>
      <c r="T4589">
        <v>0</v>
      </c>
      <c r="U4589">
        <v>2</v>
      </c>
      <c r="V4589">
        <v>0</v>
      </c>
      <c r="W4589">
        <v>0</v>
      </c>
      <c r="X4589" s="21">
        <v>0</v>
      </c>
      <c r="Y4589" s="21">
        <v>0</v>
      </c>
      <c r="Z4589" s="21">
        <v>0</v>
      </c>
      <c r="AA4589" s="21">
        <v>0</v>
      </c>
      <c r="AB4589" s="21">
        <v>0</v>
      </c>
      <c r="AC4589" s="21">
        <v>0</v>
      </c>
      <c r="AD4589" s="21">
        <v>0</v>
      </c>
      <c r="AE4589" s="21">
        <v>0</v>
      </c>
      <c r="AF4589">
        <v>0</v>
      </c>
      <c r="AG4589">
        <v>0</v>
      </c>
      <c r="AH4589">
        <v>64</v>
      </c>
      <c r="AJ4589" t="s">
        <v>54</v>
      </c>
      <c r="AK4589" t="s">
        <v>95</v>
      </c>
      <c r="AP4589" t="s">
        <v>951</v>
      </c>
    </row>
    <row r="4590" spans="1:42">
      <c r="A4590" s="16">
        <v>43851</v>
      </c>
      <c r="B4590">
        <v>2</v>
      </c>
      <c r="C4590">
        <v>223</v>
      </c>
      <c r="D4590">
        <v>14448</v>
      </c>
      <c r="E4590" t="s">
        <v>112</v>
      </c>
      <c r="F4590" t="s">
        <v>104</v>
      </c>
      <c r="G4590">
        <v>2</v>
      </c>
      <c r="H4590">
        <v>50</v>
      </c>
      <c r="I4590" s="25">
        <v>2600</v>
      </c>
      <c r="K4590" t="s">
        <v>605</v>
      </c>
      <c r="L4590" t="s">
        <v>141</v>
      </c>
      <c r="N4590" t="s">
        <v>40</v>
      </c>
      <c r="O4590">
        <v>138</v>
      </c>
      <c r="Q4590">
        <v>6</v>
      </c>
      <c r="R4590">
        <v>1</v>
      </c>
      <c r="S4590">
        <v>0</v>
      </c>
      <c r="T4590">
        <v>0</v>
      </c>
      <c r="U4590">
        <v>6</v>
      </c>
      <c r="V4590">
        <v>0</v>
      </c>
      <c r="W4590">
        <v>0</v>
      </c>
      <c r="X4590" s="21">
        <v>0</v>
      </c>
      <c r="Y4590" s="21">
        <v>0</v>
      </c>
      <c r="Z4590" s="21">
        <v>0</v>
      </c>
      <c r="AA4590" s="21">
        <v>0</v>
      </c>
      <c r="AB4590" s="21">
        <v>0</v>
      </c>
      <c r="AC4590" s="21">
        <v>0</v>
      </c>
      <c r="AD4590" s="21">
        <v>0</v>
      </c>
      <c r="AE4590" s="21">
        <v>0</v>
      </c>
      <c r="AF4590">
        <v>0</v>
      </c>
      <c r="AG4590">
        <v>0</v>
      </c>
      <c r="AH4590">
        <v>192</v>
      </c>
      <c r="AJ4590" t="s">
        <v>54</v>
      </c>
      <c r="AK4590" t="s">
        <v>95</v>
      </c>
      <c r="AP4590" t="s">
        <v>951</v>
      </c>
    </row>
    <row r="4591" spans="1:42">
      <c r="A4591" s="16">
        <v>43851</v>
      </c>
      <c r="B4591">
        <v>2</v>
      </c>
      <c r="C4591">
        <v>223</v>
      </c>
      <c r="D4591">
        <v>14448</v>
      </c>
      <c r="E4591" t="s">
        <v>112</v>
      </c>
      <c r="F4591" t="s">
        <v>104</v>
      </c>
      <c r="G4591">
        <v>2</v>
      </c>
      <c r="H4591">
        <v>51</v>
      </c>
      <c r="I4591" s="25">
        <v>2600</v>
      </c>
      <c r="K4591" t="s">
        <v>605</v>
      </c>
      <c r="L4591" t="s">
        <v>141</v>
      </c>
      <c r="N4591" t="s">
        <v>40</v>
      </c>
      <c r="O4591">
        <v>51</v>
      </c>
      <c r="Q4591">
        <v>2</v>
      </c>
      <c r="R4591">
        <v>1</v>
      </c>
      <c r="S4591">
        <v>0</v>
      </c>
      <c r="T4591">
        <v>0</v>
      </c>
      <c r="U4591">
        <v>2</v>
      </c>
      <c r="V4591">
        <v>0</v>
      </c>
      <c r="W4591">
        <v>0</v>
      </c>
      <c r="X4591" s="21">
        <v>0</v>
      </c>
      <c r="Y4591" s="21">
        <v>0</v>
      </c>
      <c r="Z4591" s="21">
        <v>0</v>
      </c>
      <c r="AA4591" s="21">
        <v>0</v>
      </c>
      <c r="AB4591" s="21">
        <v>0</v>
      </c>
      <c r="AC4591" s="21">
        <v>0</v>
      </c>
      <c r="AD4591" s="21">
        <v>0</v>
      </c>
      <c r="AE4591" s="21">
        <v>0</v>
      </c>
      <c r="AF4591">
        <v>0</v>
      </c>
      <c r="AG4591">
        <v>0</v>
      </c>
      <c r="AH4591">
        <v>64</v>
      </c>
      <c r="AJ4591" t="s">
        <v>54</v>
      </c>
      <c r="AK4591" t="s">
        <v>95</v>
      </c>
      <c r="AP4591" t="s">
        <v>951</v>
      </c>
    </row>
    <row r="4592" spans="1:42">
      <c r="A4592" s="16">
        <v>43851</v>
      </c>
      <c r="B4592">
        <v>2</v>
      </c>
      <c r="C4592">
        <v>223</v>
      </c>
      <c r="D4592">
        <v>14448</v>
      </c>
      <c r="E4592" t="s">
        <v>112</v>
      </c>
      <c r="F4592" t="s">
        <v>104</v>
      </c>
      <c r="G4592">
        <v>2</v>
      </c>
      <c r="H4592">
        <v>52</v>
      </c>
      <c r="I4592" s="25">
        <v>2600</v>
      </c>
      <c r="K4592" t="s">
        <v>605</v>
      </c>
      <c r="L4592" t="s">
        <v>141</v>
      </c>
      <c r="N4592" t="s">
        <v>40</v>
      </c>
      <c r="O4592">
        <v>52</v>
      </c>
      <c r="Q4592">
        <v>2</v>
      </c>
      <c r="R4592">
        <v>1</v>
      </c>
      <c r="S4592">
        <v>0</v>
      </c>
      <c r="T4592">
        <v>0</v>
      </c>
      <c r="U4592">
        <v>2</v>
      </c>
      <c r="V4592">
        <v>0</v>
      </c>
      <c r="W4592">
        <v>0</v>
      </c>
      <c r="X4592" s="21">
        <v>0</v>
      </c>
      <c r="Y4592" s="21">
        <v>0</v>
      </c>
      <c r="Z4592" s="21">
        <v>0</v>
      </c>
      <c r="AA4592" s="21">
        <v>0</v>
      </c>
      <c r="AB4592" s="21">
        <v>0</v>
      </c>
      <c r="AC4592" s="21">
        <v>0</v>
      </c>
      <c r="AD4592" s="21">
        <v>0</v>
      </c>
      <c r="AE4592" s="21">
        <v>0</v>
      </c>
      <c r="AF4592">
        <v>0</v>
      </c>
      <c r="AG4592">
        <v>0</v>
      </c>
      <c r="AH4592">
        <v>64</v>
      </c>
      <c r="AJ4592" t="s">
        <v>54</v>
      </c>
      <c r="AK4592" t="s">
        <v>95</v>
      </c>
      <c r="AP4592" t="s">
        <v>951</v>
      </c>
    </row>
    <row r="4593" spans="1:42">
      <c r="A4593" s="16">
        <v>43851</v>
      </c>
      <c r="B4593">
        <v>2</v>
      </c>
      <c r="C4593">
        <v>223</v>
      </c>
      <c r="D4593">
        <v>14448</v>
      </c>
      <c r="E4593" t="s">
        <v>112</v>
      </c>
      <c r="F4593" t="s">
        <v>104</v>
      </c>
      <c r="G4593">
        <v>2</v>
      </c>
      <c r="H4593">
        <v>53</v>
      </c>
      <c r="I4593" s="25">
        <v>2615</v>
      </c>
      <c r="K4593" t="s">
        <v>605</v>
      </c>
      <c r="N4593" t="s">
        <v>44</v>
      </c>
      <c r="O4593">
        <v>228</v>
      </c>
      <c r="Q4593">
        <v>2</v>
      </c>
      <c r="R4593">
        <v>1</v>
      </c>
      <c r="S4593">
        <v>0</v>
      </c>
      <c r="T4593">
        <v>0</v>
      </c>
      <c r="U4593">
        <v>1</v>
      </c>
      <c r="V4593">
        <v>0</v>
      </c>
      <c r="W4593">
        <v>1</v>
      </c>
      <c r="X4593" s="21">
        <v>0</v>
      </c>
      <c r="Y4593" s="21">
        <v>0</v>
      </c>
      <c r="Z4593" s="21">
        <v>0</v>
      </c>
      <c r="AA4593" s="21">
        <v>0</v>
      </c>
      <c r="AB4593" s="21">
        <v>0</v>
      </c>
      <c r="AC4593" s="21">
        <v>0</v>
      </c>
      <c r="AD4593" s="21">
        <v>0</v>
      </c>
      <c r="AE4593" s="21">
        <v>0</v>
      </c>
      <c r="AF4593">
        <v>0</v>
      </c>
      <c r="AG4593">
        <v>0</v>
      </c>
      <c r="AH4593">
        <v>128</v>
      </c>
      <c r="AJ4593" t="s">
        <v>51</v>
      </c>
      <c r="AK4593" t="s">
        <v>95</v>
      </c>
      <c r="AL4593" t="s">
        <v>1523</v>
      </c>
      <c r="AP4593" t="s">
        <v>951</v>
      </c>
    </row>
    <row r="4594" spans="1:42">
      <c r="A4594" s="16">
        <v>43851</v>
      </c>
      <c r="B4594">
        <v>2</v>
      </c>
      <c r="C4594">
        <v>223</v>
      </c>
      <c r="D4594">
        <v>14448</v>
      </c>
      <c r="E4594" t="s">
        <v>112</v>
      </c>
      <c r="F4594" t="s">
        <v>104</v>
      </c>
      <c r="G4594">
        <v>2</v>
      </c>
      <c r="H4594">
        <v>54</v>
      </c>
      <c r="I4594" s="25">
        <v>2523</v>
      </c>
      <c r="K4594" t="s">
        <v>605</v>
      </c>
      <c r="N4594" t="s">
        <v>44</v>
      </c>
      <c r="O4594">
        <v>88</v>
      </c>
      <c r="Q4594">
        <v>1</v>
      </c>
      <c r="R4594">
        <v>1</v>
      </c>
      <c r="S4594">
        <v>0</v>
      </c>
      <c r="T4594">
        <v>0</v>
      </c>
      <c r="U4594">
        <v>1</v>
      </c>
      <c r="V4594">
        <v>0</v>
      </c>
      <c r="W4594">
        <v>0</v>
      </c>
      <c r="X4594" s="21">
        <v>0</v>
      </c>
      <c r="Y4594" s="21">
        <v>0</v>
      </c>
      <c r="Z4594" s="21">
        <v>0</v>
      </c>
      <c r="AA4594" s="21">
        <v>0</v>
      </c>
      <c r="AB4594" s="21">
        <v>0</v>
      </c>
      <c r="AC4594" s="21">
        <v>0</v>
      </c>
      <c r="AD4594" s="21">
        <v>0</v>
      </c>
      <c r="AE4594" s="21">
        <v>0</v>
      </c>
      <c r="AF4594">
        <v>0</v>
      </c>
      <c r="AG4594">
        <v>0</v>
      </c>
      <c r="AH4594">
        <v>32</v>
      </c>
      <c r="AJ4594" t="s">
        <v>51</v>
      </c>
      <c r="AK4594" t="s">
        <v>95</v>
      </c>
      <c r="AP4594" t="s">
        <v>951</v>
      </c>
    </row>
    <row r="4595" spans="1:42">
      <c r="A4595" s="16">
        <v>43851</v>
      </c>
      <c r="B4595">
        <v>2</v>
      </c>
      <c r="C4595">
        <v>223</v>
      </c>
      <c r="D4595">
        <v>14448</v>
      </c>
      <c r="E4595" t="s">
        <v>112</v>
      </c>
      <c r="F4595" t="s">
        <v>104</v>
      </c>
      <c r="G4595">
        <v>2</v>
      </c>
      <c r="H4595">
        <v>55</v>
      </c>
      <c r="I4595" s="25">
        <v>2500</v>
      </c>
      <c r="K4595" t="s">
        <v>605</v>
      </c>
      <c r="L4595" t="s">
        <v>141</v>
      </c>
      <c r="N4595" t="s">
        <v>40</v>
      </c>
      <c r="O4595">
        <v>47</v>
      </c>
      <c r="Q4595">
        <v>2</v>
      </c>
      <c r="R4595">
        <v>1</v>
      </c>
      <c r="S4595">
        <v>0</v>
      </c>
      <c r="T4595">
        <v>0</v>
      </c>
      <c r="U4595">
        <v>2</v>
      </c>
      <c r="V4595">
        <v>0</v>
      </c>
      <c r="W4595">
        <v>0</v>
      </c>
      <c r="X4595" s="21">
        <v>0</v>
      </c>
      <c r="Y4595" s="21">
        <v>0</v>
      </c>
      <c r="Z4595" s="21">
        <v>0</v>
      </c>
      <c r="AA4595" s="21">
        <v>0</v>
      </c>
      <c r="AB4595" s="21">
        <v>0</v>
      </c>
      <c r="AC4595" s="21">
        <v>0</v>
      </c>
      <c r="AD4595" s="21">
        <v>0</v>
      </c>
      <c r="AE4595" s="21">
        <v>0</v>
      </c>
      <c r="AF4595">
        <v>0</v>
      </c>
      <c r="AG4595">
        <v>0</v>
      </c>
      <c r="AH4595">
        <v>64</v>
      </c>
      <c r="AJ4595" t="s">
        <v>51</v>
      </c>
      <c r="AK4595" t="s">
        <v>95</v>
      </c>
      <c r="AP4595" t="s">
        <v>951</v>
      </c>
    </row>
    <row r="4596" spans="1:42">
      <c r="A4596" s="16">
        <v>43851</v>
      </c>
      <c r="B4596">
        <v>2</v>
      </c>
      <c r="C4596">
        <v>223</v>
      </c>
      <c r="D4596">
        <v>14448</v>
      </c>
      <c r="E4596" t="s">
        <v>112</v>
      </c>
      <c r="F4596" t="s">
        <v>104</v>
      </c>
      <c r="G4596">
        <v>2</v>
      </c>
      <c r="H4596">
        <v>56</v>
      </c>
      <c r="I4596" s="25">
        <v>2500</v>
      </c>
      <c r="K4596" t="s">
        <v>605</v>
      </c>
      <c r="L4596" t="s">
        <v>141</v>
      </c>
      <c r="N4596" t="s">
        <v>40</v>
      </c>
      <c r="O4596">
        <v>120</v>
      </c>
      <c r="Q4596">
        <v>4</v>
      </c>
      <c r="R4596">
        <v>1</v>
      </c>
      <c r="S4596">
        <v>0</v>
      </c>
      <c r="T4596">
        <v>0</v>
      </c>
      <c r="U4596">
        <v>2</v>
      </c>
      <c r="V4596">
        <v>2</v>
      </c>
      <c r="W4596">
        <v>0</v>
      </c>
      <c r="X4596" s="21">
        <v>0</v>
      </c>
      <c r="Y4596" s="21">
        <v>0</v>
      </c>
      <c r="Z4596" s="21">
        <v>0</v>
      </c>
      <c r="AA4596" s="21">
        <v>0</v>
      </c>
      <c r="AB4596" s="21">
        <v>0</v>
      </c>
      <c r="AC4596" s="21">
        <v>0</v>
      </c>
      <c r="AD4596" s="21">
        <v>0</v>
      </c>
      <c r="AE4596" s="21">
        <v>0</v>
      </c>
      <c r="AF4596">
        <v>0</v>
      </c>
      <c r="AG4596">
        <v>0</v>
      </c>
      <c r="AH4596">
        <v>192</v>
      </c>
      <c r="AJ4596" t="s">
        <v>51</v>
      </c>
      <c r="AK4596" t="s">
        <v>95</v>
      </c>
      <c r="AP4596" t="s">
        <v>951</v>
      </c>
    </row>
    <row r="4597" spans="1:42">
      <c r="A4597" s="16">
        <v>43851</v>
      </c>
      <c r="B4597">
        <v>2</v>
      </c>
      <c r="C4597">
        <v>223</v>
      </c>
      <c r="D4597">
        <v>14448</v>
      </c>
      <c r="E4597" t="s">
        <v>112</v>
      </c>
      <c r="F4597" t="s">
        <v>104</v>
      </c>
      <c r="G4597">
        <v>2</v>
      </c>
      <c r="H4597">
        <v>57</v>
      </c>
      <c r="I4597" s="25">
        <v>2500</v>
      </c>
      <c r="K4597" t="s">
        <v>605</v>
      </c>
      <c r="L4597" t="s">
        <v>141</v>
      </c>
      <c r="N4597" t="s">
        <v>40</v>
      </c>
      <c r="O4597">
        <v>42</v>
      </c>
      <c r="Q4597">
        <v>1</v>
      </c>
      <c r="R4597">
        <v>1</v>
      </c>
      <c r="S4597">
        <v>0</v>
      </c>
      <c r="T4597">
        <v>0</v>
      </c>
      <c r="U4597">
        <v>1</v>
      </c>
      <c r="V4597">
        <v>0</v>
      </c>
      <c r="W4597">
        <v>0</v>
      </c>
      <c r="X4597" s="21">
        <v>0</v>
      </c>
      <c r="Y4597" s="21">
        <v>0</v>
      </c>
      <c r="Z4597" s="21">
        <v>0</v>
      </c>
      <c r="AA4597" s="21">
        <v>0</v>
      </c>
      <c r="AB4597" s="21">
        <v>0</v>
      </c>
      <c r="AC4597" s="21">
        <v>0</v>
      </c>
      <c r="AD4597" s="21">
        <v>0</v>
      </c>
      <c r="AE4597" s="21">
        <v>0</v>
      </c>
      <c r="AF4597">
        <v>0</v>
      </c>
      <c r="AG4597">
        <v>0</v>
      </c>
      <c r="AH4597">
        <v>32</v>
      </c>
      <c r="AJ4597" t="s">
        <v>51</v>
      </c>
      <c r="AK4597" t="s">
        <v>95</v>
      </c>
      <c r="AP4597" t="s">
        <v>951</v>
      </c>
    </row>
    <row r="4598" spans="1:42">
      <c r="A4598" s="16">
        <v>43851</v>
      </c>
      <c r="B4598">
        <v>2</v>
      </c>
      <c r="C4598">
        <v>223</v>
      </c>
      <c r="D4598">
        <v>14448</v>
      </c>
      <c r="E4598" t="s">
        <v>112</v>
      </c>
      <c r="F4598" t="s">
        <v>104</v>
      </c>
      <c r="G4598">
        <v>2</v>
      </c>
      <c r="H4598">
        <v>58</v>
      </c>
      <c r="I4598" s="25">
        <v>2507</v>
      </c>
      <c r="K4598" t="s">
        <v>605</v>
      </c>
      <c r="N4598" t="s">
        <v>44</v>
      </c>
      <c r="O4598">
        <v>90</v>
      </c>
      <c r="Q4598">
        <v>2</v>
      </c>
      <c r="R4598">
        <v>1</v>
      </c>
      <c r="S4598">
        <v>0</v>
      </c>
      <c r="T4598">
        <v>0</v>
      </c>
      <c r="U4598">
        <v>2</v>
      </c>
      <c r="V4598">
        <v>0</v>
      </c>
      <c r="W4598">
        <v>0</v>
      </c>
      <c r="X4598" s="21">
        <v>0</v>
      </c>
      <c r="Y4598" s="21">
        <v>0</v>
      </c>
      <c r="Z4598" s="21">
        <v>0</v>
      </c>
      <c r="AA4598" s="21">
        <v>0</v>
      </c>
      <c r="AB4598" s="21">
        <v>0</v>
      </c>
      <c r="AC4598" s="21">
        <v>0</v>
      </c>
      <c r="AD4598" s="21">
        <v>0</v>
      </c>
      <c r="AE4598" s="21">
        <v>0</v>
      </c>
      <c r="AF4598">
        <v>0</v>
      </c>
      <c r="AG4598">
        <v>0</v>
      </c>
      <c r="AH4598">
        <v>64</v>
      </c>
      <c r="AJ4598" t="s">
        <v>51</v>
      </c>
      <c r="AK4598" t="s">
        <v>95</v>
      </c>
      <c r="AP4598" t="s">
        <v>951</v>
      </c>
    </row>
    <row r="4599" spans="1:42">
      <c r="A4599" s="16">
        <v>43851</v>
      </c>
      <c r="B4599">
        <v>2</v>
      </c>
      <c r="C4599">
        <v>223</v>
      </c>
      <c r="D4599">
        <v>14448</v>
      </c>
      <c r="E4599" t="s">
        <v>112</v>
      </c>
      <c r="F4599" t="s">
        <v>104</v>
      </c>
      <c r="G4599">
        <v>2</v>
      </c>
      <c r="H4599">
        <v>59</v>
      </c>
      <c r="I4599" s="25">
        <v>2501</v>
      </c>
      <c r="K4599" t="s">
        <v>605</v>
      </c>
      <c r="N4599" t="s">
        <v>44</v>
      </c>
      <c r="O4599">
        <v>70</v>
      </c>
      <c r="Q4599">
        <v>1</v>
      </c>
      <c r="R4599">
        <v>1</v>
      </c>
      <c r="S4599">
        <v>0</v>
      </c>
      <c r="T4599">
        <v>0</v>
      </c>
      <c r="U4599">
        <v>0</v>
      </c>
      <c r="V4599">
        <v>0</v>
      </c>
      <c r="W4599">
        <v>1</v>
      </c>
      <c r="X4599" s="21">
        <v>0</v>
      </c>
      <c r="Y4599" s="21">
        <v>0</v>
      </c>
      <c r="Z4599" s="21">
        <v>0</v>
      </c>
      <c r="AA4599" s="21">
        <v>0</v>
      </c>
      <c r="AB4599" s="21">
        <v>0</v>
      </c>
      <c r="AC4599" s="21">
        <v>0</v>
      </c>
      <c r="AD4599" s="21">
        <v>0</v>
      </c>
      <c r="AE4599" s="21">
        <v>0</v>
      </c>
      <c r="AF4599">
        <v>0</v>
      </c>
      <c r="AG4599">
        <v>0</v>
      </c>
      <c r="AH4599">
        <v>96</v>
      </c>
      <c r="AJ4599" t="s">
        <v>51</v>
      </c>
      <c r="AK4599" t="s">
        <v>95</v>
      </c>
      <c r="AP4599" t="s">
        <v>951</v>
      </c>
    </row>
    <row r="4600" spans="1:42">
      <c r="A4600" s="16">
        <v>43851</v>
      </c>
      <c r="B4600">
        <v>2</v>
      </c>
      <c r="C4600">
        <v>223</v>
      </c>
      <c r="D4600">
        <v>14448</v>
      </c>
      <c r="E4600" t="s">
        <v>112</v>
      </c>
      <c r="F4600" t="s">
        <v>104</v>
      </c>
      <c r="G4600">
        <v>2</v>
      </c>
      <c r="H4600">
        <v>60</v>
      </c>
      <c r="I4600" s="25">
        <v>2440</v>
      </c>
      <c r="K4600" t="s">
        <v>605</v>
      </c>
      <c r="N4600" t="s">
        <v>44</v>
      </c>
      <c r="O4600">
        <v>136</v>
      </c>
      <c r="Q4600">
        <v>2</v>
      </c>
      <c r="R4600">
        <v>1</v>
      </c>
      <c r="S4600">
        <v>0</v>
      </c>
      <c r="T4600">
        <v>0</v>
      </c>
      <c r="U4600">
        <v>2</v>
      </c>
      <c r="V4600">
        <v>0</v>
      </c>
      <c r="W4600">
        <v>0</v>
      </c>
      <c r="X4600" s="21">
        <v>0</v>
      </c>
      <c r="Y4600" s="21">
        <v>0</v>
      </c>
      <c r="Z4600" s="21">
        <v>0</v>
      </c>
      <c r="AA4600" s="21">
        <v>0</v>
      </c>
      <c r="AB4600" s="21">
        <v>0</v>
      </c>
      <c r="AC4600" s="21">
        <v>0</v>
      </c>
      <c r="AD4600" s="21">
        <v>0</v>
      </c>
      <c r="AE4600" s="21">
        <v>0</v>
      </c>
      <c r="AF4600">
        <v>0</v>
      </c>
      <c r="AG4600">
        <v>0</v>
      </c>
      <c r="AH4600">
        <v>128</v>
      </c>
      <c r="AJ4600" t="s">
        <v>54</v>
      </c>
      <c r="AK4600" t="s">
        <v>95</v>
      </c>
      <c r="AL4600" t="s">
        <v>1524</v>
      </c>
      <c r="AP4600" t="s">
        <v>951</v>
      </c>
    </row>
    <row r="4601" spans="1:42">
      <c r="A4601" s="16">
        <v>43851</v>
      </c>
      <c r="B4601">
        <v>2</v>
      </c>
      <c r="C4601">
        <v>223</v>
      </c>
      <c r="D4601">
        <v>14448</v>
      </c>
      <c r="E4601" t="s">
        <v>112</v>
      </c>
      <c r="F4601" t="s">
        <v>104</v>
      </c>
      <c r="G4601">
        <v>2</v>
      </c>
      <c r="H4601">
        <v>61</v>
      </c>
      <c r="I4601" s="25">
        <v>2600</v>
      </c>
      <c r="K4601" t="s">
        <v>113</v>
      </c>
      <c r="L4601" t="s">
        <v>114</v>
      </c>
      <c r="N4601" t="s">
        <v>40</v>
      </c>
      <c r="O4601">
        <v>72</v>
      </c>
      <c r="Q4601">
        <v>2</v>
      </c>
      <c r="R4601">
        <v>1</v>
      </c>
      <c r="S4601">
        <v>0</v>
      </c>
      <c r="T4601">
        <v>0</v>
      </c>
      <c r="U4601">
        <v>2</v>
      </c>
      <c r="V4601">
        <v>0</v>
      </c>
      <c r="W4601">
        <v>0</v>
      </c>
      <c r="X4601" s="21">
        <v>0</v>
      </c>
      <c r="Y4601" s="21">
        <v>0</v>
      </c>
      <c r="Z4601" s="21">
        <v>0</v>
      </c>
      <c r="AA4601" s="21">
        <v>0</v>
      </c>
      <c r="AB4601" s="21">
        <v>0</v>
      </c>
      <c r="AC4601" s="21">
        <v>0</v>
      </c>
      <c r="AD4601" s="21">
        <v>0</v>
      </c>
      <c r="AE4601" s="21">
        <v>0</v>
      </c>
      <c r="AF4601">
        <v>0</v>
      </c>
      <c r="AG4601">
        <v>0</v>
      </c>
      <c r="AH4601">
        <v>64</v>
      </c>
      <c r="AJ4601" t="s">
        <v>54</v>
      </c>
      <c r="AK4601" t="s">
        <v>95</v>
      </c>
      <c r="AP4601" t="s">
        <v>951</v>
      </c>
    </row>
    <row r="4602" spans="1:42">
      <c r="A4602" s="16">
        <v>43851</v>
      </c>
      <c r="B4602">
        <v>2</v>
      </c>
      <c r="C4602">
        <v>223</v>
      </c>
      <c r="D4602">
        <v>14448</v>
      </c>
      <c r="E4602" t="s">
        <v>112</v>
      </c>
      <c r="F4602" t="s">
        <v>104</v>
      </c>
      <c r="G4602">
        <v>2</v>
      </c>
      <c r="H4602">
        <v>62</v>
      </c>
      <c r="I4602" s="25">
        <v>2600</v>
      </c>
      <c r="K4602" t="s">
        <v>113</v>
      </c>
      <c r="L4602" t="s">
        <v>114</v>
      </c>
      <c r="N4602" t="s">
        <v>40</v>
      </c>
      <c r="O4602">
        <v>44</v>
      </c>
      <c r="Q4602">
        <v>2</v>
      </c>
      <c r="R4602">
        <v>1</v>
      </c>
      <c r="S4602">
        <v>0</v>
      </c>
      <c r="T4602">
        <v>0</v>
      </c>
      <c r="U4602">
        <v>2</v>
      </c>
      <c r="V4602">
        <v>0</v>
      </c>
      <c r="W4602">
        <v>0</v>
      </c>
      <c r="X4602" s="21">
        <v>0</v>
      </c>
      <c r="Y4602" s="21">
        <v>0</v>
      </c>
      <c r="Z4602" s="21">
        <v>0</v>
      </c>
      <c r="AA4602" s="21">
        <v>0</v>
      </c>
      <c r="AB4602" s="21">
        <v>0</v>
      </c>
      <c r="AC4602" s="21">
        <v>0</v>
      </c>
      <c r="AD4602" s="21">
        <v>0</v>
      </c>
      <c r="AE4602" s="21">
        <v>0</v>
      </c>
      <c r="AF4602">
        <v>0</v>
      </c>
      <c r="AG4602">
        <v>0</v>
      </c>
      <c r="AH4602">
        <v>64</v>
      </c>
      <c r="AJ4602" t="s">
        <v>54</v>
      </c>
      <c r="AK4602" t="s">
        <v>95</v>
      </c>
      <c r="AP4602" t="s">
        <v>951</v>
      </c>
    </row>
    <row r="4603" spans="1:42">
      <c r="A4603" s="16">
        <v>43851</v>
      </c>
      <c r="B4603">
        <v>2</v>
      </c>
      <c r="C4603">
        <v>223</v>
      </c>
      <c r="D4603">
        <v>14448</v>
      </c>
      <c r="E4603" t="s">
        <v>112</v>
      </c>
      <c r="F4603" t="s">
        <v>104</v>
      </c>
      <c r="G4603">
        <v>2</v>
      </c>
      <c r="H4603">
        <v>63</v>
      </c>
      <c r="I4603" s="25">
        <v>2600</v>
      </c>
      <c r="K4603" t="s">
        <v>113</v>
      </c>
      <c r="L4603" t="s">
        <v>114</v>
      </c>
      <c r="N4603" t="s">
        <v>40</v>
      </c>
      <c r="O4603">
        <v>41</v>
      </c>
      <c r="Q4603">
        <v>2</v>
      </c>
      <c r="R4603">
        <v>1</v>
      </c>
      <c r="S4603">
        <v>1</v>
      </c>
      <c r="T4603">
        <v>0</v>
      </c>
      <c r="U4603">
        <v>1</v>
      </c>
      <c r="V4603">
        <v>0</v>
      </c>
      <c r="W4603">
        <v>0</v>
      </c>
      <c r="X4603" s="21">
        <v>0</v>
      </c>
      <c r="Y4603" s="21">
        <v>0</v>
      </c>
      <c r="Z4603" s="21">
        <v>0</v>
      </c>
      <c r="AA4603" s="21">
        <v>0</v>
      </c>
      <c r="AB4603" s="21">
        <v>0</v>
      </c>
      <c r="AC4603" s="21">
        <v>0</v>
      </c>
      <c r="AD4603" s="21">
        <v>0</v>
      </c>
      <c r="AE4603" s="21">
        <v>0</v>
      </c>
      <c r="AF4603">
        <v>0</v>
      </c>
      <c r="AG4603">
        <v>0</v>
      </c>
      <c r="AH4603">
        <v>48</v>
      </c>
      <c r="AJ4603" t="s">
        <v>54</v>
      </c>
      <c r="AK4603" t="s">
        <v>95</v>
      </c>
      <c r="AP4603" t="s">
        <v>951</v>
      </c>
    </row>
    <row r="4604" spans="1:42">
      <c r="A4604" s="16">
        <v>43851</v>
      </c>
      <c r="B4604">
        <v>2</v>
      </c>
      <c r="C4604">
        <v>223</v>
      </c>
      <c r="D4604">
        <v>14448</v>
      </c>
      <c r="E4604" t="s">
        <v>112</v>
      </c>
      <c r="F4604" t="s">
        <v>104</v>
      </c>
      <c r="G4604">
        <v>2</v>
      </c>
      <c r="H4604">
        <v>64</v>
      </c>
      <c r="I4604" s="25">
        <v>2600</v>
      </c>
      <c r="K4604" t="s">
        <v>113</v>
      </c>
      <c r="L4604" t="s">
        <v>141</v>
      </c>
      <c r="N4604" t="s">
        <v>40</v>
      </c>
      <c r="O4604">
        <v>94</v>
      </c>
      <c r="Q4604">
        <v>2</v>
      </c>
      <c r="R4604">
        <v>1</v>
      </c>
      <c r="S4604">
        <v>0</v>
      </c>
      <c r="T4604">
        <v>0</v>
      </c>
      <c r="U4604">
        <v>2</v>
      </c>
      <c r="V4604">
        <v>0</v>
      </c>
      <c r="W4604">
        <v>0</v>
      </c>
      <c r="X4604" s="21">
        <v>0</v>
      </c>
      <c r="Y4604" s="21">
        <v>0</v>
      </c>
      <c r="Z4604" s="21">
        <v>0</v>
      </c>
      <c r="AA4604" s="21">
        <v>0</v>
      </c>
      <c r="AB4604" s="21">
        <v>0</v>
      </c>
      <c r="AC4604" s="21">
        <v>0</v>
      </c>
      <c r="AD4604" s="21">
        <v>0</v>
      </c>
      <c r="AE4604" s="21">
        <v>0</v>
      </c>
      <c r="AF4604">
        <v>0</v>
      </c>
      <c r="AG4604">
        <v>0</v>
      </c>
      <c r="AH4604">
        <v>64</v>
      </c>
      <c r="AJ4604" t="s">
        <v>54</v>
      </c>
      <c r="AK4604" t="s">
        <v>95</v>
      </c>
      <c r="AP4604" t="s">
        <v>951</v>
      </c>
    </row>
    <row r="4605" spans="1:42">
      <c r="A4605" s="16">
        <v>43851</v>
      </c>
      <c r="B4605">
        <v>2</v>
      </c>
      <c r="C4605">
        <v>223</v>
      </c>
      <c r="D4605">
        <v>14448</v>
      </c>
      <c r="E4605" t="s">
        <v>112</v>
      </c>
      <c r="F4605" t="s">
        <v>104</v>
      </c>
      <c r="G4605">
        <v>2</v>
      </c>
      <c r="H4605">
        <v>65</v>
      </c>
      <c r="I4605" s="25">
        <v>2500</v>
      </c>
      <c r="K4605" t="s">
        <v>605</v>
      </c>
      <c r="L4605" t="s">
        <v>114</v>
      </c>
      <c r="N4605" t="s">
        <v>40</v>
      </c>
      <c r="O4605">
        <v>101</v>
      </c>
      <c r="Q4605">
        <v>5</v>
      </c>
      <c r="R4605">
        <v>1</v>
      </c>
      <c r="S4605">
        <v>0</v>
      </c>
      <c r="T4605">
        <v>0</v>
      </c>
      <c r="U4605">
        <v>3</v>
      </c>
      <c r="V4605">
        <v>2</v>
      </c>
      <c r="W4605">
        <v>0</v>
      </c>
      <c r="X4605" s="21">
        <v>0</v>
      </c>
      <c r="Y4605" s="21">
        <v>0</v>
      </c>
      <c r="Z4605" s="21">
        <v>0</v>
      </c>
      <c r="AA4605" s="21">
        <v>0</v>
      </c>
      <c r="AB4605" s="21">
        <v>0</v>
      </c>
      <c r="AC4605" s="21">
        <v>0</v>
      </c>
      <c r="AD4605" s="21">
        <v>0</v>
      </c>
      <c r="AE4605" s="21">
        <v>0</v>
      </c>
      <c r="AF4605">
        <v>0</v>
      </c>
      <c r="AG4605">
        <v>0</v>
      </c>
      <c r="AH4605">
        <v>160</v>
      </c>
      <c r="AJ4605" t="s">
        <v>51</v>
      </c>
      <c r="AK4605" t="s">
        <v>95</v>
      </c>
      <c r="AP4605" t="s">
        <v>951</v>
      </c>
    </row>
    <row r="4606" spans="1:42">
      <c r="A4606" s="16">
        <v>43851</v>
      </c>
      <c r="B4606">
        <v>2</v>
      </c>
      <c r="C4606">
        <v>223</v>
      </c>
      <c r="D4606">
        <v>14448</v>
      </c>
      <c r="E4606" t="s">
        <v>112</v>
      </c>
      <c r="F4606" t="s">
        <v>104</v>
      </c>
      <c r="G4606">
        <v>2</v>
      </c>
      <c r="H4606">
        <v>66</v>
      </c>
      <c r="I4606" s="25">
        <v>2500</v>
      </c>
      <c r="K4606" t="s">
        <v>605</v>
      </c>
      <c r="L4606" t="s">
        <v>114</v>
      </c>
      <c r="N4606" t="s">
        <v>40</v>
      </c>
      <c r="O4606">
        <v>91</v>
      </c>
      <c r="Q4606">
        <v>4</v>
      </c>
      <c r="R4606">
        <v>1</v>
      </c>
      <c r="S4606">
        <v>0</v>
      </c>
      <c r="T4606">
        <v>0</v>
      </c>
      <c r="U4606">
        <v>2</v>
      </c>
      <c r="V4606">
        <v>1</v>
      </c>
      <c r="W4606">
        <v>1</v>
      </c>
      <c r="X4606" s="21">
        <v>0</v>
      </c>
      <c r="Y4606" s="21">
        <v>0</v>
      </c>
      <c r="Z4606" s="21">
        <v>0</v>
      </c>
      <c r="AA4606" s="21">
        <v>0</v>
      </c>
      <c r="AB4606" s="21">
        <v>0</v>
      </c>
      <c r="AC4606" s="21">
        <v>0</v>
      </c>
      <c r="AD4606" s="21">
        <v>0</v>
      </c>
      <c r="AE4606" s="21">
        <v>0</v>
      </c>
      <c r="AF4606">
        <v>0</v>
      </c>
      <c r="AG4606">
        <v>0</v>
      </c>
      <c r="AH4606">
        <v>224</v>
      </c>
      <c r="AJ4606" t="s">
        <v>51</v>
      </c>
      <c r="AK4606" t="s">
        <v>95</v>
      </c>
      <c r="AP4606" t="s">
        <v>951</v>
      </c>
    </row>
    <row r="4607" spans="1:42">
      <c r="A4607" s="16">
        <v>43851</v>
      </c>
      <c r="B4607">
        <v>2</v>
      </c>
      <c r="C4607">
        <v>223</v>
      </c>
      <c r="D4607">
        <v>14448</v>
      </c>
      <c r="E4607" t="s">
        <v>112</v>
      </c>
      <c r="F4607" t="s">
        <v>104</v>
      </c>
      <c r="G4607">
        <v>2</v>
      </c>
      <c r="H4607">
        <v>67</v>
      </c>
      <c r="I4607" s="25">
        <v>2500</v>
      </c>
      <c r="K4607" t="s">
        <v>605</v>
      </c>
      <c r="L4607" t="s">
        <v>114</v>
      </c>
      <c r="N4607" t="s">
        <v>40</v>
      </c>
      <c r="O4607">
        <v>155</v>
      </c>
      <c r="Q4607">
        <v>1</v>
      </c>
      <c r="R4607">
        <v>1</v>
      </c>
      <c r="S4607">
        <v>0</v>
      </c>
      <c r="T4607">
        <v>0</v>
      </c>
      <c r="U4607">
        <v>0</v>
      </c>
      <c r="V4607">
        <v>1</v>
      </c>
      <c r="W4607">
        <v>0</v>
      </c>
      <c r="X4607" s="21">
        <v>0</v>
      </c>
      <c r="Y4607" s="21">
        <v>0</v>
      </c>
      <c r="Z4607" s="21">
        <v>0</v>
      </c>
      <c r="AA4607" s="21">
        <v>0</v>
      </c>
      <c r="AB4607" s="21">
        <v>0</v>
      </c>
      <c r="AC4607" s="21">
        <v>0</v>
      </c>
      <c r="AD4607" s="21">
        <v>0</v>
      </c>
      <c r="AE4607" s="21">
        <v>0</v>
      </c>
      <c r="AF4607">
        <v>0</v>
      </c>
      <c r="AG4607">
        <v>8</v>
      </c>
      <c r="AH4607">
        <v>64</v>
      </c>
      <c r="AJ4607" t="s">
        <v>51</v>
      </c>
      <c r="AK4607" t="s">
        <v>95</v>
      </c>
      <c r="AP4607" t="s">
        <v>951</v>
      </c>
    </row>
    <row r="4608" spans="1:42">
      <c r="A4608" s="16">
        <v>43851</v>
      </c>
      <c r="B4608">
        <v>2</v>
      </c>
      <c r="C4608">
        <v>223</v>
      </c>
      <c r="D4608">
        <v>14448</v>
      </c>
      <c r="E4608" t="s">
        <v>112</v>
      </c>
      <c r="F4608" t="s">
        <v>104</v>
      </c>
      <c r="G4608">
        <v>2</v>
      </c>
      <c r="H4608">
        <v>68</v>
      </c>
      <c r="I4608" s="25">
        <v>2510</v>
      </c>
      <c r="K4608" t="s">
        <v>605</v>
      </c>
      <c r="L4608" t="s">
        <v>114</v>
      </c>
      <c r="N4608" t="s">
        <v>42</v>
      </c>
      <c r="O4608">
        <v>184</v>
      </c>
      <c r="Q4608">
        <v>2</v>
      </c>
      <c r="R4608">
        <v>1</v>
      </c>
      <c r="S4608">
        <v>0</v>
      </c>
      <c r="T4608">
        <v>0</v>
      </c>
      <c r="U4608">
        <v>0</v>
      </c>
      <c r="V4608">
        <v>2</v>
      </c>
      <c r="W4608">
        <v>0</v>
      </c>
      <c r="X4608" s="21">
        <v>0</v>
      </c>
      <c r="Y4608" s="21">
        <v>0</v>
      </c>
      <c r="Z4608" s="21">
        <v>0</v>
      </c>
      <c r="AA4608" s="21">
        <v>0</v>
      </c>
      <c r="AB4608" s="21">
        <v>0</v>
      </c>
      <c r="AC4608" s="21">
        <v>0</v>
      </c>
      <c r="AD4608" s="21">
        <v>0</v>
      </c>
      <c r="AE4608" s="21">
        <v>0</v>
      </c>
      <c r="AF4608">
        <v>0</v>
      </c>
      <c r="AG4608">
        <v>0</v>
      </c>
      <c r="AH4608">
        <v>128</v>
      </c>
      <c r="AJ4608" t="s">
        <v>51</v>
      </c>
      <c r="AK4608" t="s">
        <v>95</v>
      </c>
      <c r="AP4608" t="s">
        <v>951</v>
      </c>
    </row>
    <row r="4609" spans="1:42">
      <c r="A4609" s="16">
        <v>43851</v>
      </c>
      <c r="B4609">
        <v>2</v>
      </c>
      <c r="C4609">
        <v>223</v>
      </c>
      <c r="D4609">
        <v>14448</v>
      </c>
      <c r="E4609" t="s">
        <v>112</v>
      </c>
      <c r="F4609" t="s">
        <v>104</v>
      </c>
      <c r="G4609">
        <v>2</v>
      </c>
      <c r="H4609">
        <v>69</v>
      </c>
      <c r="I4609" s="25">
        <v>2600</v>
      </c>
      <c r="K4609" t="s">
        <v>605</v>
      </c>
      <c r="L4609" t="s">
        <v>114</v>
      </c>
      <c r="N4609" t="s">
        <v>40</v>
      </c>
      <c r="O4609">
        <v>52</v>
      </c>
      <c r="Q4609">
        <v>2</v>
      </c>
      <c r="R4609">
        <v>1</v>
      </c>
      <c r="S4609">
        <v>0</v>
      </c>
      <c r="T4609">
        <v>0</v>
      </c>
      <c r="U4609">
        <v>0</v>
      </c>
      <c r="V4609">
        <v>2</v>
      </c>
      <c r="W4609">
        <v>0</v>
      </c>
      <c r="X4609" s="21">
        <v>0</v>
      </c>
      <c r="Y4609" s="21">
        <v>0</v>
      </c>
      <c r="Z4609" s="21">
        <v>0</v>
      </c>
      <c r="AA4609" s="21">
        <v>0</v>
      </c>
      <c r="AB4609" s="21">
        <v>0</v>
      </c>
      <c r="AC4609" s="21">
        <v>0</v>
      </c>
      <c r="AD4609" s="21">
        <v>0</v>
      </c>
      <c r="AE4609" s="21">
        <v>0</v>
      </c>
      <c r="AF4609">
        <v>0</v>
      </c>
      <c r="AG4609">
        <v>0</v>
      </c>
      <c r="AH4609">
        <v>128</v>
      </c>
      <c r="AJ4609" t="s">
        <v>54</v>
      </c>
      <c r="AK4609" t="s">
        <v>95</v>
      </c>
      <c r="AP4609" t="s">
        <v>951</v>
      </c>
    </row>
    <row r="4610" spans="1:42">
      <c r="A4610" s="16">
        <v>43851</v>
      </c>
      <c r="B4610">
        <v>2</v>
      </c>
      <c r="C4610">
        <v>223</v>
      </c>
      <c r="D4610">
        <v>14448</v>
      </c>
      <c r="E4610" t="s">
        <v>112</v>
      </c>
      <c r="F4610" t="s">
        <v>104</v>
      </c>
      <c r="G4610">
        <v>2</v>
      </c>
      <c r="H4610">
        <v>70</v>
      </c>
      <c r="I4610" s="25">
        <v>2604</v>
      </c>
      <c r="K4610" t="s">
        <v>605</v>
      </c>
      <c r="N4610" t="s">
        <v>44</v>
      </c>
      <c r="O4610">
        <v>168</v>
      </c>
      <c r="Q4610">
        <v>4</v>
      </c>
      <c r="R4610">
        <v>1</v>
      </c>
      <c r="S4610">
        <v>0</v>
      </c>
      <c r="T4610">
        <v>0</v>
      </c>
      <c r="U4610">
        <v>0</v>
      </c>
      <c r="V4610">
        <v>4</v>
      </c>
      <c r="W4610">
        <v>0</v>
      </c>
      <c r="X4610" s="21">
        <v>0</v>
      </c>
      <c r="Y4610" s="21">
        <v>0</v>
      </c>
      <c r="Z4610" s="21">
        <v>0</v>
      </c>
      <c r="AA4610" s="21">
        <v>0</v>
      </c>
      <c r="AB4610" s="21">
        <v>0</v>
      </c>
      <c r="AC4610" s="21">
        <v>0</v>
      </c>
      <c r="AD4610" s="21">
        <v>0</v>
      </c>
      <c r="AE4610" s="21">
        <v>0</v>
      </c>
      <c r="AF4610">
        <v>0</v>
      </c>
      <c r="AG4610">
        <v>0</v>
      </c>
      <c r="AH4610">
        <v>128</v>
      </c>
      <c r="AJ4610" t="s">
        <v>54</v>
      </c>
      <c r="AK4610" t="s">
        <v>95</v>
      </c>
      <c r="AP4610" t="s">
        <v>951</v>
      </c>
    </row>
    <row r="4611" spans="1:42">
      <c r="A4611" s="16">
        <v>43851</v>
      </c>
      <c r="B4611">
        <v>2</v>
      </c>
      <c r="C4611">
        <v>223</v>
      </c>
      <c r="D4611">
        <v>14448</v>
      </c>
      <c r="E4611" t="s">
        <v>112</v>
      </c>
      <c r="F4611" t="s">
        <v>104</v>
      </c>
      <c r="G4611">
        <v>2</v>
      </c>
      <c r="H4611">
        <v>70</v>
      </c>
      <c r="I4611" s="25">
        <v>2600</v>
      </c>
      <c r="K4611" t="s">
        <v>605</v>
      </c>
      <c r="L4611" t="s">
        <v>114</v>
      </c>
      <c r="N4611" t="s">
        <v>40</v>
      </c>
      <c r="O4611">
        <v>38</v>
      </c>
      <c r="Q4611">
        <v>1</v>
      </c>
      <c r="R4611">
        <v>1</v>
      </c>
      <c r="S4611">
        <v>0</v>
      </c>
      <c r="T4611">
        <v>0</v>
      </c>
      <c r="U4611">
        <v>0</v>
      </c>
      <c r="V4611">
        <v>1</v>
      </c>
      <c r="W4611">
        <v>0</v>
      </c>
      <c r="X4611" s="21">
        <v>0</v>
      </c>
      <c r="Y4611" s="21">
        <v>0</v>
      </c>
      <c r="Z4611" s="21">
        <v>0</v>
      </c>
      <c r="AA4611" s="21">
        <v>0</v>
      </c>
      <c r="AB4611" s="21">
        <v>0</v>
      </c>
      <c r="AC4611" s="21">
        <v>0</v>
      </c>
      <c r="AD4611" s="21">
        <v>0</v>
      </c>
      <c r="AE4611" s="21">
        <v>0</v>
      </c>
      <c r="AF4611">
        <v>0</v>
      </c>
      <c r="AG4611">
        <v>0</v>
      </c>
      <c r="AH4611">
        <v>64</v>
      </c>
      <c r="AJ4611" t="s">
        <v>54</v>
      </c>
      <c r="AK4611" t="s">
        <v>95</v>
      </c>
      <c r="AP4611" t="s">
        <v>951</v>
      </c>
    </row>
    <row r="4612" spans="1:42">
      <c r="A4612" s="16">
        <v>43851</v>
      </c>
      <c r="B4612">
        <v>2</v>
      </c>
      <c r="C4612">
        <v>223</v>
      </c>
      <c r="D4612">
        <v>14448</v>
      </c>
      <c r="E4612" t="s">
        <v>112</v>
      </c>
      <c r="F4612" t="s">
        <v>104</v>
      </c>
      <c r="G4612">
        <v>2</v>
      </c>
      <c r="H4612">
        <v>71</v>
      </c>
      <c r="I4612" s="25">
        <v>2600</v>
      </c>
      <c r="K4612" t="s">
        <v>605</v>
      </c>
      <c r="L4612" t="s">
        <v>114</v>
      </c>
      <c r="N4612" t="s">
        <v>40</v>
      </c>
      <c r="O4612">
        <v>87</v>
      </c>
      <c r="Q4612">
        <v>3</v>
      </c>
      <c r="R4612">
        <v>1</v>
      </c>
      <c r="S4612">
        <v>0</v>
      </c>
      <c r="T4612">
        <v>0</v>
      </c>
      <c r="U4612">
        <v>3</v>
      </c>
      <c r="V4612">
        <v>0</v>
      </c>
      <c r="W4612">
        <v>0</v>
      </c>
      <c r="X4612" s="21">
        <v>0</v>
      </c>
      <c r="Y4612" s="21">
        <v>0</v>
      </c>
      <c r="Z4612" s="21">
        <v>0</v>
      </c>
      <c r="AA4612" s="21">
        <v>0</v>
      </c>
      <c r="AB4612" s="21">
        <v>0</v>
      </c>
      <c r="AC4612" s="21">
        <v>0</v>
      </c>
      <c r="AD4612" s="21">
        <v>0</v>
      </c>
      <c r="AE4612" s="21">
        <v>0</v>
      </c>
      <c r="AF4612">
        <v>0</v>
      </c>
      <c r="AG4612">
        <v>0</v>
      </c>
      <c r="AH4612">
        <v>96</v>
      </c>
      <c r="AJ4612" t="s">
        <v>54</v>
      </c>
      <c r="AK4612" t="s">
        <v>52</v>
      </c>
      <c r="AP4612" t="s">
        <v>951</v>
      </c>
    </row>
    <row r="4613" spans="1:42">
      <c r="A4613" s="16">
        <v>43851</v>
      </c>
      <c r="B4613">
        <v>2</v>
      </c>
      <c r="C4613">
        <v>223</v>
      </c>
      <c r="D4613">
        <v>14448</v>
      </c>
      <c r="E4613" t="s">
        <v>112</v>
      </c>
      <c r="F4613" t="s">
        <v>104</v>
      </c>
      <c r="G4613">
        <v>2</v>
      </c>
      <c r="H4613">
        <v>72</v>
      </c>
      <c r="I4613" s="25">
        <v>2600</v>
      </c>
      <c r="K4613" t="s">
        <v>605</v>
      </c>
      <c r="L4613" t="s">
        <v>114</v>
      </c>
      <c r="N4613" t="s">
        <v>40</v>
      </c>
      <c r="O4613">
        <v>46</v>
      </c>
      <c r="Q4613">
        <v>2</v>
      </c>
      <c r="R4613">
        <v>1</v>
      </c>
      <c r="S4613">
        <v>0</v>
      </c>
      <c r="T4613">
        <v>0</v>
      </c>
      <c r="U4613">
        <v>1</v>
      </c>
      <c r="V4613">
        <v>1</v>
      </c>
      <c r="W4613">
        <v>0</v>
      </c>
      <c r="X4613" s="21">
        <v>0</v>
      </c>
      <c r="Y4613" s="21">
        <v>0</v>
      </c>
      <c r="Z4613" s="21">
        <v>0</v>
      </c>
      <c r="AA4613" s="21">
        <v>0</v>
      </c>
      <c r="AB4613" s="21">
        <v>0</v>
      </c>
      <c r="AC4613" s="21">
        <v>0</v>
      </c>
      <c r="AD4613" s="21">
        <v>0</v>
      </c>
      <c r="AE4613" s="21">
        <v>0</v>
      </c>
      <c r="AF4613">
        <v>0</v>
      </c>
      <c r="AG4613">
        <v>0</v>
      </c>
      <c r="AH4613">
        <v>96</v>
      </c>
      <c r="AJ4613" t="s">
        <v>54</v>
      </c>
      <c r="AK4613" t="s">
        <v>95</v>
      </c>
      <c r="AP4613" t="s">
        <v>951</v>
      </c>
    </row>
    <row r="4614" spans="1:42">
      <c r="A4614" s="16">
        <v>43851</v>
      </c>
      <c r="B4614">
        <v>2</v>
      </c>
      <c r="C4614">
        <v>223</v>
      </c>
      <c r="D4614">
        <v>14448</v>
      </c>
      <c r="E4614" t="s">
        <v>112</v>
      </c>
      <c r="F4614" t="s">
        <v>104</v>
      </c>
      <c r="G4614">
        <v>2</v>
      </c>
      <c r="H4614">
        <v>73</v>
      </c>
      <c r="I4614" s="25">
        <v>2520</v>
      </c>
      <c r="K4614" t="s">
        <v>256</v>
      </c>
      <c r="N4614" t="s">
        <v>44</v>
      </c>
      <c r="O4614">
        <v>110</v>
      </c>
      <c r="Q4614">
        <v>1</v>
      </c>
      <c r="R4614">
        <v>1</v>
      </c>
      <c r="S4614">
        <v>0</v>
      </c>
      <c r="T4614">
        <v>0</v>
      </c>
      <c r="U4614">
        <v>1</v>
      </c>
      <c r="V4614">
        <v>0</v>
      </c>
      <c r="W4614">
        <v>0</v>
      </c>
      <c r="X4614" s="21">
        <v>0</v>
      </c>
      <c r="Y4614" s="21">
        <v>0</v>
      </c>
      <c r="Z4614" s="21">
        <v>0</v>
      </c>
      <c r="AA4614" s="21">
        <v>0</v>
      </c>
      <c r="AB4614" s="21">
        <v>0</v>
      </c>
      <c r="AC4614" s="21">
        <v>0</v>
      </c>
      <c r="AD4614" s="21">
        <v>0</v>
      </c>
      <c r="AE4614" s="21">
        <v>0</v>
      </c>
      <c r="AF4614">
        <v>0</v>
      </c>
      <c r="AG4614">
        <v>0</v>
      </c>
      <c r="AH4614">
        <v>32</v>
      </c>
      <c r="AJ4614" t="s">
        <v>51</v>
      </c>
      <c r="AK4614" t="s">
        <v>95</v>
      </c>
      <c r="AL4614" t="s">
        <v>1525</v>
      </c>
      <c r="AP4614" t="s">
        <v>951</v>
      </c>
    </row>
    <row r="4615" spans="1:42">
      <c r="A4615" s="16">
        <v>43851</v>
      </c>
      <c r="B4615">
        <v>2</v>
      </c>
      <c r="C4615">
        <v>223</v>
      </c>
      <c r="D4615">
        <v>14448</v>
      </c>
      <c r="E4615" t="s">
        <v>112</v>
      </c>
      <c r="F4615" t="s">
        <v>104</v>
      </c>
      <c r="G4615">
        <v>2</v>
      </c>
      <c r="H4615">
        <v>74</v>
      </c>
      <c r="I4615" s="25">
        <v>2550</v>
      </c>
      <c r="K4615" t="s">
        <v>256</v>
      </c>
      <c r="N4615" t="s">
        <v>392</v>
      </c>
      <c r="O4615">
        <v>140</v>
      </c>
      <c r="Q4615">
        <v>2</v>
      </c>
      <c r="R4615">
        <v>1</v>
      </c>
      <c r="S4615">
        <v>0</v>
      </c>
      <c r="T4615">
        <v>0</v>
      </c>
      <c r="U4615">
        <v>2</v>
      </c>
      <c r="V4615">
        <v>0</v>
      </c>
      <c r="W4615">
        <v>0</v>
      </c>
      <c r="X4615" s="21">
        <v>0</v>
      </c>
      <c r="Y4615" s="21">
        <v>0</v>
      </c>
      <c r="Z4615" s="21">
        <v>0</v>
      </c>
      <c r="AA4615" s="21">
        <v>0</v>
      </c>
      <c r="AB4615" s="21">
        <v>0</v>
      </c>
      <c r="AC4615" s="21">
        <v>0</v>
      </c>
      <c r="AD4615" s="21">
        <v>0</v>
      </c>
      <c r="AE4615" s="21">
        <v>0</v>
      </c>
      <c r="AF4615">
        <v>0</v>
      </c>
      <c r="AG4615">
        <v>0</v>
      </c>
      <c r="AH4615">
        <v>64</v>
      </c>
      <c r="AJ4615" t="s">
        <v>51</v>
      </c>
      <c r="AK4615" t="s">
        <v>95</v>
      </c>
      <c r="AL4615" t="s">
        <v>1526</v>
      </c>
      <c r="AP4615" t="s">
        <v>951</v>
      </c>
    </row>
    <row r="4616" spans="1:42">
      <c r="A4616" s="16">
        <v>43851</v>
      </c>
      <c r="B4616">
        <v>2</v>
      </c>
      <c r="C4616">
        <v>223</v>
      </c>
      <c r="D4616">
        <v>14448</v>
      </c>
      <c r="E4616" t="s">
        <v>112</v>
      </c>
      <c r="F4616" t="s">
        <v>104</v>
      </c>
      <c r="G4616">
        <v>2</v>
      </c>
      <c r="H4616">
        <v>75</v>
      </c>
      <c r="I4616" s="25">
        <v>2500</v>
      </c>
      <c r="K4616" t="s">
        <v>256</v>
      </c>
      <c r="L4616" t="s">
        <v>114</v>
      </c>
      <c r="N4616" t="s">
        <v>40</v>
      </c>
      <c r="O4616">
        <v>47</v>
      </c>
      <c r="Q4616">
        <v>2</v>
      </c>
      <c r="R4616">
        <v>1</v>
      </c>
      <c r="S4616">
        <v>0</v>
      </c>
      <c r="T4616">
        <v>0</v>
      </c>
      <c r="U4616">
        <v>2</v>
      </c>
      <c r="V4616">
        <v>0</v>
      </c>
      <c r="W4616">
        <v>0</v>
      </c>
      <c r="X4616" s="21">
        <v>0</v>
      </c>
      <c r="Y4616" s="21">
        <v>0</v>
      </c>
      <c r="Z4616" s="21">
        <v>0</v>
      </c>
      <c r="AA4616" s="21">
        <v>0</v>
      </c>
      <c r="AB4616" s="21">
        <v>0</v>
      </c>
      <c r="AC4616" s="21">
        <v>0</v>
      </c>
      <c r="AD4616" s="21">
        <v>0</v>
      </c>
      <c r="AE4616" s="21">
        <v>0</v>
      </c>
      <c r="AF4616">
        <v>0</v>
      </c>
      <c r="AG4616">
        <v>0</v>
      </c>
      <c r="AH4616">
        <v>64</v>
      </c>
      <c r="AJ4616" t="s">
        <v>51</v>
      </c>
      <c r="AK4616" t="s">
        <v>95</v>
      </c>
      <c r="AP4616" t="s">
        <v>951</v>
      </c>
    </row>
    <row r="4617" spans="1:42">
      <c r="A4617" s="16">
        <v>43851</v>
      </c>
      <c r="B4617">
        <v>2</v>
      </c>
      <c r="C4617">
        <v>223</v>
      </c>
      <c r="D4617">
        <v>14448</v>
      </c>
      <c r="E4617" t="s">
        <v>112</v>
      </c>
      <c r="F4617" t="s">
        <v>104</v>
      </c>
      <c r="G4617">
        <v>2</v>
      </c>
      <c r="H4617">
        <v>76</v>
      </c>
      <c r="I4617" s="25">
        <v>2600</v>
      </c>
      <c r="K4617" t="s">
        <v>185</v>
      </c>
      <c r="L4617" t="s">
        <v>141</v>
      </c>
      <c r="N4617" t="s">
        <v>40</v>
      </c>
      <c r="O4617">
        <v>77</v>
      </c>
      <c r="Q4617">
        <v>3</v>
      </c>
      <c r="R4617">
        <v>1</v>
      </c>
      <c r="S4617">
        <v>0</v>
      </c>
      <c r="T4617">
        <v>0</v>
      </c>
      <c r="U4617">
        <v>1</v>
      </c>
      <c r="V4617">
        <v>1</v>
      </c>
      <c r="W4617">
        <v>1</v>
      </c>
      <c r="X4617" s="21">
        <v>0</v>
      </c>
      <c r="Y4617" s="21">
        <v>0</v>
      </c>
      <c r="Z4617" s="21">
        <v>0</v>
      </c>
      <c r="AA4617" s="21">
        <v>0</v>
      </c>
      <c r="AB4617" s="21">
        <v>0</v>
      </c>
      <c r="AC4617" s="21">
        <v>0</v>
      </c>
      <c r="AD4617" s="21">
        <v>0</v>
      </c>
      <c r="AE4617" s="21">
        <v>0</v>
      </c>
      <c r="AF4617">
        <v>0</v>
      </c>
      <c r="AG4617">
        <v>0</v>
      </c>
      <c r="AH4617">
        <v>192</v>
      </c>
      <c r="AJ4617" t="s">
        <v>54</v>
      </c>
      <c r="AK4617" t="s">
        <v>95</v>
      </c>
      <c r="AP4617" t="s">
        <v>951</v>
      </c>
    </row>
    <row r="4618" spans="1:42">
      <c r="A4618" s="16">
        <v>43851</v>
      </c>
      <c r="B4618">
        <v>2</v>
      </c>
      <c r="C4618">
        <v>223</v>
      </c>
      <c r="D4618">
        <v>14448</v>
      </c>
      <c r="E4618" t="s">
        <v>112</v>
      </c>
      <c r="F4618" t="s">
        <v>104</v>
      </c>
      <c r="G4618">
        <v>2</v>
      </c>
      <c r="H4618">
        <v>77</v>
      </c>
      <c r="I4618" s="25">
        <v>2600</v>
      </c>
      <c r="K4618" t="s">
        <v>185</v>
      </c>
      <c r="L4618" t="s">
        <v>141</v>
      </c>
      <c r="N4618" t="s">
        <v>40</v>
      </c>
      <c r="O4618">
        <v>54</v>
      </c>
      <c r="Q4618">
        <v>2</v>
      </c>
      <c r="R4618">
        <v>1</v>
      </c>
      <c r="S4618">
        <v>0</v>
      </c>
      <c r="T4618">
        <v>0</v>
      </c>
      <c r="U4618">
        <v>2</v>
      </c>
      <c r="V4618">
        <v>0</v>
      </c>
      <c r="W4618">
        <v>0</v>
      </c>
      <c r="X4618" s="21">
        <v>0</v>
      </c>
      <c r="Y4618" s="21">
        <v>0</v>
      </c>
      <c r="Z4618" s="21">
        <v>0</v>
      </c>
      <c r="AA4618" s="21">
        <v>0</v>
      </c>
      <c r="AB4618" s="21">
        <v>0</v>
      </c>
      <c r="AC4618" s="21">
        <v>0</v>
      </c>
      <c r="AD4618" s="21">
        <v>0</v>
      </c>
      <c r="AE4618" s="21">
        <v>0</v>
      </c>
      <c r="AF4618">
        <v>0</v>
      </c>
      <c r="AG4618">
        <v>0</v>
      </c>
      <c r="AH4618">
        <v>64</v>
      </c>
      <c r="AJ4618" t="s">
        <v>54</v>
      </c>
      <c r="AK4618" t="s">
        <v>95</v>
      </c>
      <c r="AP4618" t="s">
        <v>951</v>
      </c>
    </row>
    <row r="4619" spans="1:42">
      <c r="A4619" s="16">
        <v>43851</v>
      </c>
      <c r="B4619">
        <v>2</v>
      </c>
      <c r="C4619">
        <v>223</v>
      </c>
      <c r="D4619">
        <v>14448</v>
      </c>
      <c r="E4619" t="s">
        <v>112</v>
      </c>
      <c r="F4619" t="s">
        <v>104</v>
      </c>
      <c r="G4619">
        <v>2</v>
      </c>
      <c r="H4619">
        <v>78</v>
      </c>
      <c r="I4619" s="25">
        <v>2600</v>
      </c>
      <c r="K4619" t="s">
        <v>185</v>
      </c>
      <c r="L4619" t="s">
        <v>141</v>
      </c>
      <c r="N4619" t="s">
        <v>40</v>
      </c>
      <c r="O4619">
        <v>78</v>
      </c>
      <c r="Q4619">
        <v>2</v>
      </c>
      <c r="R4619">
        <v>1</v>
      </c>
      <c r="S4619">
        <v>1</v>
      </c>
      <c r="T4619">
        <v>0</v>
      </c>
      <c r="U4619">
        <v>1</v>
      </c>
      <c r="V4619">
        <v>0</v>
      </c>
      <c r="W4619">
        <v>0</v>
      </c>
      <c r="X4619" s="21">
        <v>0</v>
      </c>
      <c r="Y4619" s="21">
        <v>0</v>
      </c>
      <c r="Z4619" s="21">
        <v>0</v>
      </c>
      <c r="AA4619" s="21">
        <v>0</v>
      </c>
      <c r="AB4619" s="21">
        <v>0</v>
      </c>
      <c r="AC4619" s="21">
        <v>0</v>
      </c>
      <c r="AD4619" s="21">
        <v>0</v>
      </c>
      <c r="AE4619" s="21">
        <v>0</v>
      </c>
      <c r="AF4619">
        <v>0</v>
      </c>
      <c r="AG4619">
        <v>0</v>
      </c>
      <c r="AH4619">
        <v>48</v>
      </c>
      <c r="AJ4619" t="s">
        <v>54</v>
      </c>
      <c r="AK4619" t="s">
        <v>95</v>
      </c>
      <c r="AP4619" t="s">
        <v>951</v>
      </c>
    </row>
    <row r="4620" spans="1:42">
      <c r="A4620" s="16">
        <v>43851</v>
      </c>
      <c r="B4620">
        <v>2</v>
      </c>
      <c r="C4620">
        <v>223</v>
      </c>
      <c r="D4620">
        <v>14448</v>
      </c>
      <c r="E4620" t="s">
        <v>112</v>
      </c>
      <c r="F4620" t="s">
        <v>104</v>
      </c>
      <c r="G4620">
        <v>2</v>
      </c>
      <c r="H4620">
        <v>79</v>
      </c>
      <c r="I4620" s="25">
        <v>2600</v>
      </c>
      <c r="K4620" t="s">
        <v>185</v>
      </c>
      <c r="L4620" t="s">
        <v>141</v>
      </c>
      <c r="N4620" t="s">
        <v>40</v>
      </c>
      <c r="O4620">
        <v>37</v>
      </c>
      <c r="Q4620">
        <v>1</v>
      </c>
      <c r="R4620">
        <v>1</v>
      </c>
      <c r="S4620">
        <v>0</v>
      </c>
      <c r="T4620">
        <v>0</v>
      </c>
      <c r="U4620">
        <v>0</v>
      </c>
      <c r="V4620">
        <v>0</v>
      </c>
      <c r="W4620">
        <v>1</v>
      </c>
      <c r="X4620" s="21">
        <v>0</v>
      </c>
      <c r="Y4620" s="21">
        <v>0</v>
      </c>
      <c r="Z4620" s="21">
        <v>0</v>
      </c>
      <c r="AA4620" s="21">
        <v>0</v>
      </c>
      <c r="AB4620" s="21">
        <v>0</v>
      </c>
      <c r="AC4620" s="21">
        <v>0</v>
      </c>
      <c r="AD4620" s="21">
        <v>0</v>
      </c>
      <c r="AE4620" s="21">
        <v>0</v>
      </c>
      <c r="AF4620">
        <v>0</v>
      </c>
      <c r="AG4620">
        <v>0</v>
      </c>
      <c r="AH4620">
        <v>96</v>
      </c>
      <c r="AJ4620" t="s">
        <v>54</v>
      </c>
      <c r="AK4620" t="s">
        <v>95</v>
      </c>
      <c r="AP4620" t="s">
        <v>951</v>
      </c>
    </row>
    <row r="4621" spans="1:42">
      <c r="A4621" s="16">
        <v>43851</v>
      </c>
      <c r="B4621">
        <v>2</v>
      </c>
      <c r="C4621">
        <v>223</v>
      </c>
      <c r="D4621">
        <v>14448</v>
      </c>
      <c r="E4621" t="s">
        <v>112</v>
      </c>
      <c r="F4621" t="s">
        <v>104</v>
      </c>
      <c r="G4621">
        <v>2</v>
      </c>
      <c r="H4621">
        <v>80</v>
      </c>
      <c r="I4621" s="25">
        <v>2640</v>
      </c>
      <c r="K4621" t="s">
        <v>185</v>
      </c>
      <c r="L4621" t="s">
        <v>114</v>
      </c>
      <c r="N4621" t="s">
        <v>42</v>
      </c>
      <c r="O4621">
        <v>130</v>
      </c>
      <c r="Q4621">
        <v>2</v>
      </c>
      <c r="R4621">
        <v>1</v>
      </c>
      <c r="S4621">
        <v>0</v>
      </c>
      <c r="T4621">
        <v>0</v>
      </c>
      <c r="U4621">
        <v>0</v>
      </c>
      <c r="V4621">
        <v>2</v>
      </c>
      <c r="W4621">
        <v>0</v>
      </c>
      <c r="X4621" s="21">
        <v>0</v>
      </c>
      <c r="Y4621" s="21">
        <v>0</v>
      </c>
      <c r="Z4621" s="21">
        <v>0</v>
      </c>
      <c r="AA4621" s="21">
        <v>0</v>
      </c>
      <c r="AB4621" s="21">
        <v>0</v>
      </c>
      <c r="AC4621" s="21">
        <v>0</v>
      </c>
      <c r="AD4621" s="21">
        <v>0</v>
      </c>
      <c r="AE4621" s="21">
        <v>0</v>
      </c>
      <c r="AF4621">
        <v>0</v>
      </c>
      <c r="AG4621">
        <v>0</v>
      </c>
      <c r="AH4621">
        <v>128</v>
      </c>
      <c r="AJ4621" t="s">
        <v>51</v>
      </c>
      <c r="AK4621" t="s">
        <v>95</v>
      </c>
      <c r="AL4621" t="s">
        <v>1527</v>
      </c>
      <c r="AP4621" t="s">
        <v>951</v>
      </c>
    </row>
    <row r="4622" spans="1:42">
      <c r="A4622" s="16">
        <v>43851</v>
      </c>
      <c r="B4622">
        <v>2</v>
      </c>
      <c r="C4622">
        <v>223</v>
      </c>
      <c r="D4622">
        <v>14448</v>
      </c>
      <c r="E4622" t="s">
        <v>112</v>
      </c>
      <c r="F4622" t="s">
        <v>104</v>
      </c>
      <c r="G4622">
        <v>2</v>
      </c>
      <c r="H4622">
        <v>81</v>
      </c>
      <c r="I4622" s="25">
        <v>0</v>
      </c>
      <c r="K4622" s="21" t="s">
        <v>1328</v>
      </c>
      <c r="L4622" t="s">
        <v>114</v>
      </c>
      <c r="N4622" t="s">
        <v>40</v>
      </c>
      <c r="O4622">
        <v>153</v>
      </c>
      <c r="Q4622">
        <v>6</v>
      </c>
      <c r="R4622">
        <v>1</v>
      </c>
      <c r="S4622">
        <v>0</v>
      </c>
      <c r="T4622">
        <v>0</v>
      </c>
      <c r="U4622">
        <v>3</v>
      </c>
      <c r="V4622">
        <v>3</v>
      </c>
      <c r="W4622">
        <v>0</v>
      </c>
      <c r="X4622" s="21">
        <v>0</v>
      </c>
      <c r="Y4622" s="21">
        <v>0</v>
      </c>
      <c r="Z4622" s="21">
        <v>0</v>
      </c>
      <c r="AA4622" s="21">
        <v>0</v>
      </c>
      <c r="AB4622" s="21">
        <v>0</v>
      </c>
      <c r="AC4622" s="21">
        <v>0</v>
      </c>
      <c r="AD4622" s="21">
        <v>0</v>
      </c>
      <c r="AE4622" s="21">
        <v>0</v>
      </c>
      <c r="AF4622">
        <v>0</v>
      </c>
      <c r="AG4622">
        <v>0</v>
      </c>
      <c r="AH4622">
        <v>288</v>
      </c>
      <c r="AJ4622" t="s">
        <v>51</v>
      </c>
      <c r="AK4622" t="s">
        <v>95</v>
      </c>
      <c r="AP4622" t="s">
        <v>951</v>
      </c>
    </row>
    <row r="4623" spans="1:42">
      <c r="A4623" s="16">
        <v>43851</v>
      </c>
      <c r="B4623">
        <v>2</v>
      </c>
      <c r="C4623">
        <v>223</v>
      </c>
      <c r="D4623">
        <v>14448</v>
      </c>
      <c r="E4623" t="s">
        <v>112</v>
      </c>
      <c r="F4623" t="s">
        <v>104</v>
      </c>
      <c r="G4623">
        <v>2</v>
      </c>
      <c r="H4623">
        <v>82</v>
      </c>
      <c r="I4623" s="25">
        <v>2652</v>
      </c>
      <c r="K4623" t="s">
        <v>185</v>
      </c>
      <c r="L4623" t="s">
        <v>141</v>
      </c>
      <c r="M4623" t="s">
        <v>95</v>
      </c>
      <c r="N4623" t="s">
        <v>42</v>
      </c>
      <c r="O4623">
        <v>223</v>
      </c>
      <c r="Q4623">
        <v>4</v>
      </c>
      <c r="R4623">
        <v>1</v>
      </c>
      <c r="S4623">
        <v>1</v>
      </c>
      <c r="T4623">
        <v>0</v>
      </c>
      <c r="U4623">
        <v>2</v>
      </c>
      <c r="V4623">
        <v>1</v>
      </c>
      <c r="W4623">
        <v>0</v>
      </c>
      <c r="X4623" s="21">
        <v>0</v>
      </c>
      <c r="Y4623" s="21">
        <v>0</v>
      </c>
      <c r="Z4623" s="21">
        <v>0</v>
      </c>
      <c r="AA4623" s="21">
        <v>0</v>
      </c>
      <c r="AB4623" s="21">
        <v>0</v>
      </c>
      <c r="AC4623" s="21">
        <v>0</v>
      </c>
      <c r="AD4623" s="21">
        <v>0</v>
      </c>
      <c r="AE4623" s="21">
        <v>0</v>
      </c>
      <c r="AF4623">
        <v>0</v>
      </c>
      <c r="AG4623">
        <v>0</v>
      </c>
      <c r="AH4623">
        <v>144</v>
      </c>
      <c r="AJ4623" t="s">
        <v>51</v>
      </c>
      <c r="AK4623" t="s">
        <v>95</v>
      </c>
      <c r="AL4623" t="s">
        <v>1527</v>
      </c>
      <c r="AP4623" t="s">
        <v>951</v>
      </c>
    </row>
    <row r="4624" spans="1:42">
      <c r="A4624" s="16">
        <v>43851</v>
      </c>
      <c r="B4624">
        <v>2</v>
      </c>
      <c r="C4624">
        <v>223</v>
      </c>
      <c r="D4624">
        <v>14448</v>
      </c>
      <c r="E4624" t="s">
        <v>112</v>
      </c>
      <c r="F4624" t="s">
        <v>104</v>
      </c>
      <c r="G4624">
        <v>2</v>
      </c>
      <c r="H4624">
        <v>83</v>
      </c>
      <c r="I4624" s="25">
        <v>0</v>
      </c>
      <c r="K4624" s="21" t="s">
        <v>1328</v>
      </c>
      <c r="L4624" t="s">
        <v>114</v>
      </c>
      <c r="M4624" t="s">
        <v>95</v>
      </c>
      <c r="N4624" t="s">
        <v>40</v>
      </c>
      <c r="O4624">
        <v>247</v>
      </c>
      <c r="Q4624">
        <v>5</v>
      </c>
      <c r="R4624">
        <v>1</v>
      </c>
      <c r="S4624">
        <v>0</v>
      </c>
      <c r="T4624">
        <v>0</v>
      </c>
      <c r="U4624">
        <v>4</v>
      </c>
      <c r="V4624">
        <v>1</v>
      </c>
      <c r="W4624">
        <v>0</v>
      </c>
      <c r="X4624" s="21">
        <v>0</v>
      </c>
      <c r="Y4624" s="21">
        <v>0</v>
      </c>
      <c r="Z4624" s="21">
        <v>0</v>
      </c>
      <c r="AA4624" s="21">
        <v>0</v>
      </c>
      <c r="AB4624" s="21">
        <v>0</v>
      </c>
      <c r="AC4624" s="21">
        <v>0</v>
      </c>
      <c r="AD4624" s="21">
        <v>0</v>
      </c>
      <c r="AE4624" s="21">
        <v>0</v>
      </c>
      <c r="AF4624">
        <v>0</v>
      </c>
      <c r="AG4624">
        <v>0</v>
      </c>
      <c r="AH4624">
        <v>192</v>
      </c>
      <c r="AJ4624" t="s">
        <v>51</v>
      </c>
      <c r="AK4624" t="s">
        <v>95</v>
      </c>
      <c r="AP4624" t="s">
        <v>951</v>
      </c>
    </row>
    <row r="4625" spans="1:42">
      <c r="A4625" s="16">
        <v>43851</v>
      </c>
      <c r="B4625">
        <v>2</v>
      </c>
      <c r="C4625">
        <v>223</v>
      </c>
      <c r="D4625">
        <v>14448</v>
      </c>
      <c r="E4625" t="s">
        <v>112</v>
      </c>
      <c r="F4625" t="s">
        <v>104</v>
      </c>
      <c r="G4625">
        <v>2</v>
      </c>
      <c r="H4625">
        <v>84</v>
      </c>
      <c r="I4625" s="25">
        <v>2600</v>
      </c>
      <c r="K4625" t="s">
        <v>185</v>
      </c>
      <c r="L4625" t="s">
        <v>114</v>
      </c>
      <c r="N4625" t="s">
        <v>40</v>
      </c>
      <c r="O4625">
        <v>145</v>
      </c>
      <c r="Q4625">
        <v>5</v>
      </c>
      <c r="R4625">
        <v>1</v>
      </c>
      <c r="S4625">
        <v>0</v>
      </c>
      <c r="T4625">
        <v>0</v>
      </c>
      <c r="U4625">
        <v>2</v>
      </c>
      <c r="V4625">
        <v>2</v>
      </c>
      <c r="W4625">
        <v>1</v>
      </c>
      <c r="X4625" s="21">
        <v>0</v>
      </c>
      <c r="Y4625" s="21">
        <v>0</v>
      </c>
      <c r="Z4625" s="21">
        <v>0</v>
      </c>
      <c r="AA4625" s="21">
        <v>0</v>
      </c>
      <c r="AB4625" s="21">
        <v>0</v>
      </c>
      <c r="AC4625" s="21">
        <v>0</v>
      </c>
      <c r="AD4625" s="21">
        <v>0</v>
      </c>
      <c r="AE4625" s="21">
        <v>0</v>
      </c>
      <c r="AF4625">
        <v>0</v>
      </c>
      <c r="AG4625">
        <v>0</v>
      </c>
      <c r="AH4625">
        <v>288</v>
      </c>
      <c r="AJ4625" t="s">
        <v>54</v>
      </c>
      <c r="AK4625" t="s">
        <v>95</v>
      </c>
      <c r="AP4625" t="s">
        <v>951</v>
      </c>
    </row>
    <row r="4626" spans="1:42">
      <c r="A4626" s="16">
        <v>43851</v>
      </c>
      <c r="B4626">
        <v>2</v>
      </c>
      <c r="C4626">
        <v>223</v>
      </c>
      <c r="D4626">
        <v>14448</v>
      </c>
      <c r="E4626" t="s">
        <v>112</v>
      </c>
      <c r="F4626" t="s">
        <v>104</v>
      </c>
      <c r="G4626">
        <v>2</v>
      </c>
      <c r="H4626">
        <v>85</v>
      </c>
      <c r="I4626" s="25">
        <v>2600</v>
      </c>
      <c r="K4626" t="s">
        <v>185</v>
      </c>
      <c r="L4626" t="s">
        <v>114</v>
      </c>
      <c r="N4626" t="s">
        <v>40</v>
      </c>
      <c r="O4626">
        <v>151</v>
      </c>
      <c r="Q4626">
        <v>4</v>
      </c>
      <c r="R4626">
        <v>1</v>
      </c>
      <c r="S4626">
        <v>1</v>
      </c>
      <c r="T4626">
        <v>0</v>
      </c>
      <c r="U4626">
        <v>3</v>
      </c>
      <c r="V4626">
        <v>0</v>
      </c>
      <c r="W4626">
        <v>0</v>
      </c>
      <c r="X4626" s="21">
        <v>0</v>
      </c>
      <c r="Y4626" s="21">
        <v>0</v>
      </c>
      <c r="Z4626" s="21">
        <v>0</v>
      </c>
      <c r="AA4626" s="21">
        <v>0</v>
      </c>
      <c r="AB4626" s="21">
        <v>0</v>
      </c>
      <c r="AC4626" s="21">
        <v>0</v>
      </c>
      <c r="AD4626" s="21">
        <v>0</v>
      </c>
      <c r="AE4626" s="21">
        <v>0</v>
      </c>
      <c r="AF4626">
        <v>0</v>
      </c>
      <c r="AG4626">
        <v>0</v>
      </c>
      <c r="AH4626">
        <v>112</v>
      </c>
      <c r="AJ4626" t="s">
        <v>54</v>
      </c>
      <c r="AK4626" t="s">
        <v>95</v>
      </c>
      <c r="AP4626" t="s">
        <v>951</v>
      </c>
    </row>
    <row r="4627" spans="1:42">
      <c r="A4627" s="16">
        <v>43851</v>
      </c>
      <c r="B4627">
        <v>2</v>
      </c>
      <c r="C4627">
        <v>223</v>
      </c>
      <c r="D4627">
        <v>14448</v>
      </c>
      <c r="E4627" t="s">
        <v>112</v>
      </c>
      <c r="F4627" t="s">
        <v>104</v>
      </c>
      <c r="G4627">
        <v>2</v>
      </c>
      <c r="H4627">
        <v>86</v>
      </c>
      <c r="I4627" s="25">
        <v>2714</v>
      </c>
      <c r="K4627" t="s">
        <v>185</v>
      </c>
      <c r="N4627" t="s">
        <v>44</v>
      </c>
      <c r="O4627">
        <v>97</v>
      </c>
      <c r="Q4627">
        <v>2</v>
      </c>
      <c r="R4627">
        <v>1</v>
      </c>
      <c r="S4627">
        <v>1</v>
      </c>
      <c r="T4627">
        <v>0</v>
      </c>
      <c r="U4627">
        <v>1</v>
      </c>
      <c r="V4627">
        <v>0</v>
      </c>
      <c r="W4627">
        <v>0</v>
      </c>
      <c r="X4627" s="21">
        <v>0</v>
      </c>
      <c r="Y4627" s="21">
        <v>0</v>
      </c>
      <c r="Z4627" s="21">
        <v>0</v>
      </c>
      <c r="AA4627" s="21">
        <v>0</v>
      </c>
      <c r="AB4627" s="21">
        <v>0</v>
      </c>
      <c r="AC4627" s="21">
        <v>0</v>
      </c>
      <c r="AD4627" s="21">
        <v>0</v>
      </c>
      <c r="AE4627" s="21">
        <v>0</v>
      </c>
      <c r="AF4627">
        <v>0</v>
      </c>
      <c r="AG4627">
        <v>0</v>
      </c>
      <c r="AH4627">
        <v>48</v>
      </c>
      <c r="AJ4627" t="s">
        <v>51</v>
      </c>
      <c r="AK4627" t="s">
        <v>52</v>
      </c>
      <c r="AP4627" t="s">
        <v>951</v>
      </c>
    </row>
    <row r="4628" spans="1:42">
      <c r="A4628" s="16">
        <v>43851</v>
      </c>
      <c r="B4628">
        <v>2</v>
      </c>
      <c r="C4628">
        <v>223</v>
      </c>
      <c r="D4628">
        <v>14448</v>
      </c>
      <c r="E4628" t="s">
        <v>112</v>
      </c>
      <c r="F4628" t="s">
        <v>104</v>
      </c>
      <c r="G4628">
        <v>2</v>
      </c>
      <c r="H4628">
        <v>87</v>
      </c>
      <c r="I4628" s="25">
        <v>2798</v>
      </c>
      <c r="K4628" t="s">
        <v>185</v>
      </c>
      <c r="N4628" t="s">
        <v>44</v>
      </c>
      <c r="O4628">
        <v>34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 s="21">
        <v>0</v>
      </c>
      <c r="Y4628" s="21">
        <v>0</v>
      </c>
      <c r="Z4628" s="21">
        <v>0</v>
      </c>
      <c r="AA4628" s="21">
        <v>0</v>
      </c>
      <c r="AB4628" s="21">
        <v>0</v>
      </c>
      <c r="AC4628" s="21">
        <v>0</v>
      </c>
      <c r="AD4628" s="21">
        <v>0</v>
      </c>
      <c r="AE4628" s="21">
        <v>0</v>
      </c>
      <c r="AF4628">
        <v>0</v>
      </c>
      <c r="AG4628">
        <v>0</v>
      </c>
      <c r="AH4628">
        <v>0</v>
      </c>
      <c r="AJ4628" t="s">
        <v>51</v>
      </c>
      <c r="AK4628" t="s">
        <v>52</v>
      </c>
      <c r="AL4628" t="s">
        <v>1528</v>
      </c>
      <c r="AP4628" t="s">
        <v>951</v>
      </c>
    </row>
    <row r="4629" spans="1:42">
      <c r="A4629" s="16">
        <v>43851</v>
      </c>
      <c r="B4629">
        <v>2</v>
      </c>
      <c r="C4629">
        <v>223</v>
      </c>
      <c r="D4629">
        <v>14448</v>
      </c>
      <c r="E4629" t="s">
        <v>112</v>
      </c>
      <c r="F4629" t="s">
        <v>104</v>
      </c>
      <c r="G4629">
        <v>2</v>
      </c>
      <c r="H4629">
        <v>88</v>
      </c>
      <c r="I4629" s="25">
        <v>2808</v>
      </c>
      <c r="K4629" t="s">
        <v>185</v>
      </c>
      <c r="N4629" t="s">
        <v>44</v>
      </c>
      <c r="O4629">
        <v>177</v>
      </c>
      <c r="Q4629">
        <v>2</v>
      </c>
      <c r="R4629">
        <v>1</v>
      </c>
      <c r="S4629">
        <v>0</v>
      </c>
      <c r="T4629">
        <v>0</v>
      </c>
      <c r="U4629">
        <v>0</v>
      </c>
      <c r="V4629">
        <v>2</v>
      </c>
      <c r="W4629">
        <v>0</v>
      </c>
      <c r="X4629" s="21">
        <v>0</v>
      </c>
      <c r="Y4629" s="21">
        <v>0</v>
      </c>
      <c r="Z4629" s="21">
        <v>0</v>
      </c>
      <c r="AA4629" s="21">
        <v>0</v>
      </c>
      <c r="AB4629" s="21">
        <v>0</v>
      </c>
      <c r="AC4629" s="21">
        <v>0</v>
      </c>
      <c r="AD4629" s="21">
        <v>0</v>
      </c>
      <c r="AE4629" s="21">
        <v>0</v>
      </c>
      <c r="AF4629">
        <v>0</v>
      </c>
      <c r="AG4629">
        <v>0</v>
      </c>
      <c r="AH4629">
        <v>128</v>
      </c>
      <c r="AJ4629" t="s">
        <v>51</v>
      </c>
      <c r="AK4629" t="s">
        <v>52</v>
      </c>
      <c r="AP4629" t="s">
        <v>951</v>
      </c>
    </row>
    <row r="4630" spans="1:42">
      <c r="A4630" s="16">
        <v>43851</v>
      </c>
      <c r="B4630">
        <v>2</v>
      </c>
      <c r="C4630">
        <v>223</v>
      </c>
      <c r="D4630">
        <v>14448</v>
      </c>
      <c r="E4630" t="s">
        <v>112</v>
      </c>
      <c r="F4630" t="s">
        <v>104</v>
      </c>
      <c r="G4630">
        <v>2</v>
      </c>
      <c r="H4630">
        <v>89</v>
      </c>
      <c r="I4630" s="25">
        <v>2800</v>
      </c>
      <c r="K4630" t="s">
        <v>185</v>
      </c>
      <c r="L4630" t="s">
        <v>114</v>
      </c>
      <c r="N4630" t="s">
        <v>40</v>
      </c>
      <c r="O4630">
        <v>52</v>
      </c>
      <c r="Q4630">
        <v>2</v>
      </c>
      <c r="R4630">
        <v>1</v>
      </c>
      <c r="S4630">
        <v>0</v>
      </c>
      <c r="T4630">
        <v>0</v>
      </c>
      <c r="U4630">
        <v>0</v>
      </c>
      <c r="V4630">
        <v>2</v>
      </c>
      <c r="W4630">
        <v>0</v>
      </c>
      <c r="X4630" s="21">
        <v>0</v>
      </c>
      <c r="Y4630" s="21">
        <v>0</v>
      </c>
      <c r="Z4630" s="21">
        <v>0</v>
      </c>
      <c r="AA4630" s="21">
        <v>0</v>
      </c>
      <c r="AB4630" s="21">
        <v>0</v>
      </c>
      <c r="AC4630" s="21">
        <v>0</v>
      </c>
      <c r="AD4630" s="21">
        <v>0</v>
      </c>
      <c r="AE4630" s="21">
        <v>0</v>
      </c>
      <c r="AF4630">
        <v>0</v>
      </c>
      <c r="AG4630">
        <v>0</v>
      </c>
      <c r="AH4630">
        <v>128</v>
      </c>
      <c r="AJ4630" t="s">
        <v>51</v>
      </c>
      <c r="AK4630" t="s">
        <v>95</v>
      </c>
      <c r="AP4630" t="s">
        <v>951</v>
      </c>
    </row>
    <row r="4631" spans="1:42">
      <c r="A4631" s="16">
        <v>43851</v>
      </c>
      <c r="B4631">
        <v>2</v>
      </c>
      <c r="C4631">
        <v>223</v>
      </c>
      <c r="D4631">
        <v>14448</v>
      </c>
      <c r="E4631" t="s">
        <v>112</v>
      </c>
      <c r="F4631" t="s">
        <v>104</v>
      </c>
      <c r="G4631">
        <v>2</v>
      </c>
      <c r="H4631">
        <v>90</v>
      </c>
      <c r="I4631" s="25">
        <v>2800</v>
      </c>
      <c r="K4631" t="s">
        <v>185</v>
      </c>
      <c r="L4631" t="s">
        <v>114</v>
      </c>
      <c r="N4631" t="s">
        <v>40</v>
      </c>
      <c r="O4631">
        <v>32</v>
      </c>
      <c r="Q4631">
        <v>1</v>
      </c>
      <c r="R4631">
        <v>1</v>
      </c>
      <c r="S4631">
        <v>0</v>
      </c>
      <c r="T4631">
        <v>0</v>
      </c>
      <c r="U4631">
        <v>0</v>
      </c>
      <c r="V4631">
        <v>1</v>
      </c>
      <c r="W4631">
        <v>0</v>
      </c>
      <c r="X4631" s="21">
        <v>0</v>
      </c>
      <c r="Y4631" s="21">
        <v>0</v>
      </c>
      <c r="Z4631" s="21">
        <v>0</v>
      </c>
      <c r="AA4631" s="21">
        <v>0</v>
      </c>
      <c r="AB4631" s="21">
        <v>0</v>
      </c>
      <c r="AC4631" s="21">
        <v>0</v>
      </c>
      <c r="AD4631" s="21">
        <v>0</v>
      </c>
      <c r="AE4631" s="21">
        <v>0</v>
      </c>
      <c r="AF4631">
        <v>0</v>
      </c>
      <c r="AG4631">
        <v>0</v>
      </c>
      <c r="AH4631">
        <v>64</v>
      </c>
      <c r="AJ4631" t="s">
        <v>51</v>
      </c>
      <c r="AK4631" t="s">
        <v>95</v>
      </c>
      <c r="AP4631" t="s">
        <v>951</v>
      </c>
    </row>
    <row r="4632" spans="1:42">
      <c r="A4632" s="16">
        <v>43851</v>
      </c>
      <c r="B4632">
        <v>2</v>
      </c>
      <c r="C4632">
        <v>223</v>
      </c>
      <c r="D4632">
        <v>14448</v>
      </c>
      <c r="E4632" t="s">
        <v>112</v>
      </c>
      <c r="F4632" t="s">
        <v>104</v>
      </c>
      <c r="G4632">
        <v>2</v>
      </c>
      <c r="H4632">
        <v>91</v>
      </c>
      <c r="I4632" s="25">
        <v>2900</v>
      </c>
      <c r="K4632" t="s">
        <v>185</v>
      </c>
      <c r="L4632" t="s">
        <v>114</v>
      </c>
      <c r="N4632" t="s">
        <v>40</v>
      </c>
      <c r="O4632">
        <v>35</v>
      </c>
      <c r="Q4632">
        <v>1</v>
      </c>
      <c r="R4632">
        <v>1</v>
      </c>
      <c r="S4632">
        <v>0</v>
      </c>
      <c r="T4632">
        <v>0</v>
      </c>
      <c r="U4632">
        <v>0</v>
      </c>
      <c r="V4632">
        <v>1</v>
      </c>
      <c r="W4632">
        <v>0</v>
      </c>
      <c r="X4632" s="21">
        <v>0</v>
      </c>
      <c r="Y4632" s="21">
        <v>0</v>
      </c>
      <c r="Z4632" s="21">
        <v>0</v>
      </c>
      <c r="AA4632" s="21">
        <v>0</v>
      </c>
      <c r="AB4632" s="21">
        <v>0</v>
      </c>
      <c r="AC4632" s="21">
        <v>0</v>
      </c>
      <c r="AD4632" s="21">
        <v>0</v>
      </c>
      <c r="AE4632" s="21">
        <v>0</v>
      </c>
      <c r="AF4632">
        <v>0</v>
      </c>
      <c r="AG4632">
        <v>0</v>
      </c>
      <c r="AH4632">
        <v>64</v>
      </c>
      <c r="AJ4632" t="s">
        <v>51</v>
      </c>
      <c r="AK4632" t="s">
        <v>95</v>
      </c>
      <c r="AP4632" t="s">
        <v>951</v>
      </c>
    </row>
    <row r="4633" spans="1:42">
      <c r="A4633" s="16">
        <v>43851</v>
      </c>
      <c r="B4633">
        <v>2</v>
      </c>
      <c r="C4633">
        <v>223</v>
      </c>
      <c r="D4633">
        <v>14448</v>
      </c>
      <c r="E4633" t="s">
        <v>112</v>
      </c>
      <c r="F4633" t="s">
        <v>104</v>
      </c>
      <c r="G4633">
        <v>2</v>
      </c>
      <c r="H4633">
        <v>92</v>
      </c>
      <c r="I4633" s="25">
        <v>2900</v>
      </c>
      <c r="K4633" t="s">
        <v>185</v>
      </c>
      <c r="L4633" t="s">
        <v>114</v>
      </c>
      <c r="N4633" t="s">
        <v>40</v>
      </c>
      <c r="O4633">
        <v>90</v>
      </c>
      <c r="Q4633">
        <v>3</v>
      </c>
      <c r="R4633">
        <v>1</v>
      </c>
      <c r="S4633">
        <v>0</v>
      </c>
      <c r="T4633">
        <v>0</v>
      </c>
      <c r="U4633">
        <v>0</v>
      </c>
      <c r="V4633">
        <v>1</v>
      </c>
      <c r="W4633">
        <v>2</v>
      </c>
      <c r="X4633" s="21">
        <v>0</v>
      </c>
      <c r="Y4633" s="21">
        <v>0</v>
      </c>
      <c r="Z4633" s="21">
        <v>0</v>
      </c>
      <c r="AA4633" s="21">
        <v>0</v>
      </c>
      <c r="AB4633" s="21">
        <v>0</v>
      </c>
      <c r="AC4633" s="21">
        <v>0</v>
      </c>
      <c r="AD4633" s="21">
        <v>0</v>
      </c>
      <c r="AE4633" s="21">
        <v>0</v>
      </c>
      <c r="AF4633">
        <v>0</v>
      </c>
      <c r="AG4633">
        <v>0</v>
      </c>
      <c r="AH4633">
        <v>256</v>
      </c>
      <c r="AJ4633" t="s">
        <v>51</v>
      </c>
      <c r="AK4633" t="s">
        <v>95</v>
      </c>
      <c r="AP4633" t="s">
        <v>951</v>
      </c>
    </row>
    <row r="4634" spans="1:42">
      <c r="A4634" s="16">
        <v>43851</v>
      </c>
      <c r="B4634">
        <v>2</v>
      </c>
      <c r="C4634">
        <v>223</v>
      </c>
      <c r="D4634">
        <v>14448</v>
      </c>
      <c r="E4634" t="s">
        <v>112</v>
      </c>
      <c r="F4634" t="s">
        <v>104</v>
      </c>
      <c r="G4634">
        <v>2</v>
      </c>
      <c r="H4634">
        <v>93</v>
      </c>
      <c r="I4634" s="25">
        <v>2900</v>
      </c>
      <c r="K4634" t="s">
        <v>185</v>
      </c>
      <c r="L4634" t="s">
        <v>114</v>
      </c>
      <c r="N4634" t="s">
        <v>40</v>
      </c>
      <c r="O4634">
        <v>46</v>
      </c>
      <c r="Q4634">
        <v>1</v>
      </c>
      <c r="R4634">
        <v>1</v>
      </c>
      <c r="S4634">
        <v>0</v>
      </c>
      <c r="T4634">
        <v>0</v>
      </c>
      <c r="U4634">
        <v>0</v>
      </c>
      <c r="V4634">
        <v>1</v>
      </c>
      <c r="W4634">
        <v>0</v>
      </c>
      <c r="X4634" s="21">
        <v>0</v>
      </c>
      <c r="Y4634" s="21">
        <v>0</v>
      </c>
      <c r="Z4634" s="21">
        <v>0</v>
      </c>
      <c r="AA4634" s="21">
        <v>0</v>
      </c>
      <c r="AB4634" s="21">
        <v>0</v>
      </c>
      <c r="AC4634" s="21">
        <v>0</v>
      </c>
      <c r="AD4634" s="21">
        <v>0</v>
      </c>
      <c r="AE4634" s="21">
        <v>0</v>
      </c>
      <c r="AF4634">
        <v>0</v>
      </c>
      <c r="AG4634">
        <v>0</v>
      </c>
      <c r="AH4634">
        <v>64</v>
      </c>
      <c r="AJ4634" t="s">
        <v>51</v>
      </c>
      <c r="AK4634" t="s">
        <v>95</v>
      </c>
      <c r="AP4634" t="s">
        <v>951</v>
      </c>
    </row>
    <row r="4635" spans="1:42">
      <c r="A4635" s="16">
        <v>43851</v>
      </c>
      <c r="B4635">
        <v>2</v>
      </c>
      <c r="C4635">
        <v>223</v>
      </c>
      <c r="D4635">
        <v>14448</v>
      </c>
      <c r="E4635" t="s">
        <v>112</v>
      </c>
      <c r="F4635" t="s">
        <v>104</v>
      </c>
      <c r="G4635">
        <v>2</v>
      </c>
      <c r="H4635">
        <v>94</v>
      </c>
      <c r="I4635" s="25">
        <v>2990</v>
      </c>
      <c r="K4635" t="s">
        <v>185</v>
      </c>
      <c r="N4635" t="s">
        <v>44</v>
      </c>
      <c r="O4635">
        <v>143</v>
      </c>
      <c r="Q4635">
        <v>2</v>
      </c>
      <c r="R4635">
        <v>1</v>
      </c>
      <c r="S4635">
        <v>0</v>
      </c>
      <c r="T4635">
        <v>0</v>
      </c>
      <c r="U4635">
        <v>1</v>
      </c>
      <c r="V4635">
        <v>1</v>
      </c>
      <c r="W4635">
        <v>0</v>
      </c>
      <c r="X4635" s="21">
        <v>0</v>
      </c>
      <c r="Y4635" s="21">
        <v>0</v>
      </c>
      <c r="Z4635" s="21">
        <v>0</v>
      </c>
      <c r="AA4635" s="21">
        <v>0</v>
      </c>
      <c r="AB4635" s="21">
        <v>0</v>
      </c>
      <c r="AC4635" s="21">
        <v>0</v>
      </c>
      <c r="AD4635" s="21">
        <v>0</v>
      </c>
      <c r="AE4635" s="21">
        <v>0</v>
      </c>
      <c r="AF4635">
        <v>0</v>
      </c>
      <c r="AG4635">
        <v>0</v>
      </c>
      <c r="AH4635">
        <v>96</v>
      </c>
      <c r="AJ4635" t="s">
        <v>51</v>
      </c>
      <c r="AK4635" t="s">
        <v>95</v>
      </c>
      <c r="AP4635" t="s">
        <v>951</v>
      </c>
    </row>
    <row r="4636" spans="1:42">
      <c r="A4636" s="16">
        <v>43851</v>
      </c>
      <c r="B4636">
        <v>2</v>
      </c>
      <c r="C4636">
        <v>223</v>
      </c>
      <c r="D4636">
        <v>14448</v>
      </c>
      <c r="E4636" t="s">
        <v>112</v>
      </c>
      <c r="F4636" t="s">
        <v>104</v>
      </c>
      <c r="G4636">
        <v>2</v>
      </c>
      <c r="H4636">
        <v>95</v>
      </c>
      <c r="I4636" s="25">
        <v>2300</v>
      </c>
      <c r="K4636" t="s">
        <v>319</v>
      </c>
      <c r="N4636" t="s">
        <v>40</v>
      </c>
      <c r="O4636">
        <v>47</v>
      </c>
      <c r="Q4636">
        <v>1</v>
      </c>
      <c r="R4636">
        <v>1</v>
      </c>
      <c r="S4636">
        <v>0</v>
      </c>
      <c r="T4636">
        <v>0</v>
      </c>
      <c r="U4636">
        <v>1</v>
      </c>
      <c r="V4636">
        <v>0</v>
      </c>
      <c r="W4636">
        <v>0</v>
      </c>
      <c r="X4636" s="21">
        <v>0</v>
      </c>
      <c r="Y4636" s="21">
        <v>0</v>
      </c>
      <c r="Z4636" s="21">
        <v>0</v>
      </c>
      <c r="AA4636" s="21">
        <v>0</v>
      </c>
      <c r="AB4636" s="21">
        <v>0</v>
      </c>
      <c r="AC4636" s="21">
        <v>0</v>
      </c>
      <c r="AD4636" s="21">
        <v>0</v>
      </c>
      <c r="AE4636" s="21">
        <v>0</v>
      </c>
      <c r="AF4636">
        <v>0</v>
      </c>
      <c r="AG4636">
        <v>0</v>
      </c>
      <c r="AH4636">
        <v>32</v>
      </c>
      <c r="AJ4636" t="s">
        <v>51</v>
      </c>
      <c r="AK4636" t="s">
        <v>95</v>
      </c>
      <c r="AL4636" t="s">
        <v>649</v>
      </c>
      <c r="AP4636" t="s">
        <v>951</v>
      </c>
    </row>
    <row r="4637" spans="1:42">
      <c r="A4637" s="16">
        <v>43851</v>
      </c>
      <c r="B4637">
        <v>2</v>
      </c>
      <c r="C4637">
        <v>223</v>
      </c>
      <c r="D4637">
        <v>14448</v>
      </c>
      <c r="E4637" t="s">
        <v>112</v>
      </c>
      <c r="F4637" t="s">
        <v>104</v>
      </c>
      <c r="G4637">
        <v>2</v>
      </c>
      <c r="H4637">
        <v>96</v>
      </c>
      <c r="I4637" s="25">
        <v>2233</v>
      </c>
      <c r="K4637" t="s">
        <v>319</v>
      </c>
      <c r="N4637" t="s">
        <v>44</v>
      </c>
      <c r="O4637">
        <v>214</v>
      </c>
      <c r="Q4637">
        <v>2</v>
      </c>
      <c r="R4637">
        <v>1</v>
      </c>
      <c r="S4637">
        <v>0</v>
      </c>
      <c r="T4637">
        <v>0</v>
      </c>
      <c r="U4637">
        <v>1</v>
      </c>
      <c r="V4637">
        <v>1</v>
      </c>
      <c r="W4637">
        <v>0</v>
      </c>
      <c r="X4637" s="21">
        <v>0</v>
      </c>
      <c r="Y4637" s="21">
        <v>0</v>
      </c>
      <c r="Z4637" s="21">
        <v>0</v>
      </c>
      <c r="AA4637" s="21">
        <v>0</v>
      </c>
      <c r="AB4637" s="21">
        <v>0</v>
      </c>
      <c r="AC4637" s="21">
        <v>0</v>
      </c>
      <c r="AD4637" s="21">
        <v>0</v>
      </c>
      <c r="AE4637" s="21">
        <v>0</v>
      </c>
      <c r="AF4637">
        <v>0</v>
      </c>
      <c r="AG4637">
        <v>5</v>
      </c>
      <c r="AH4637">
        <v>96</v>
      </c>
      <c r="AJ4637" t="s">
        <v>54</v>
      </c>
      <c r="AK4637" t="s">
        <v>95</v>
      </c>
      <c r="AP4637" t="s">
        <v>951</v>
      </c>
    </row>
    <row r="4638" spans="1:42">
      <c r="A4638" s="16">
        <v>43851</v>
      </c>
      <c r="B4638">
        <v>2</v>
      </c>
      <c r="C4638">
        <v>223</v>
      </c>
      <c r="D4638">
        <v>14448</v>
      </c>
      <c r="E4638" t="s">
        <v>112</v>
      </c>
      <c r="F4638" t="s">
        <v>104</v>
      </c>
      <c r="G4638">
        <v>2</v>
      </c>
      <c r="H4638">
        <v>97</v>
      </c>
      <c r="I4638" s="25">
        <v>2200</v>
      </c>
      <c r="K4638" t="s">
        <v>319</v>
      </c>
      <c r="L4638" t="s">
        <v>141</v>
      </c>
      <c r="N4638" t="s">
        <v>40</v>
      </c>
      <c r="O4638">
        <v>89</v>
      </c>
      <c r="Q4638">
        <v>2</v>
      </c>
      <c r="R4638">
        <v>1</v>
      </c>
      <c r="S4638">
        <v>0</v>
      </c>
      <c r="T4638">
        <v>0</v>
      </c>
      <c r="U4638">
        <v>2</v>
      </c>
      <c r="V4638">
        <v>0</v>
      </c>
      <c r="W4638">
        <v>0</v>
      </c>
      <c r="X4638" s="21">
        <v>0</v>
      </c>
      <c r="Y4638" s="21">
        <v>0</v>
      </c>
      <c r="Z4638" s="21">
        <v>0</v>
      </c>
      <c r="AA4638" s="21">
        <v>0</v>
      </c>
      <c r="AB4638" s="21">
        <v>0</v>
      </c>
      <c r="AC4638" s="21">
        <v>0</v>
      </c>
      <c r="AD4638" s="21">
        <v>0</v>
      </c>
      <c r="AE4638" s="21">
        <v>0</v>
      </c>
      <c r="AF4638">
        <v>0</v>
      </c>
      <c r="AG4638">
        <v>0</v>
      </c>
      <c r="AH4638">
        <v>64</v>
      </c>
      <c r="AJ4638" t="s">
        <v>54</v>
      </c>
      <c r="AK4638" t="s">
        <v>95</v>
      </c>
      <c r="AP4638" t="s">
        <v>951</v>
      </c>
    </row>
    <row r="4639" spans="1:42">
      <c r="A4639" s="16">
        <v>43851</v>
      </c>
      <c r="B4639">
        <v>2</v>
      </c>
      <c r="C4639">
        <v>223</v>
      </c>
      <c r="D4639">
        <v>14448</v>
      </c>
      <c r="E4639" t="s">
        <v>112</v>
      </c>
      <c r="F4639" t="s">
        <v>104</v>
      </c>
      <c r="G4639">
        <v>2</v>
      </c>
      <c r="H4639">
        <v>98</v>
      </c>
      <c r="I4639" s="25">
        <v>2149</v>
      </c>
      <c r="K4639" t="s">
        <v>319</v>
      </c>
      <c r="N4639" t="s">
        <v>44</v>
      </c>
      <c r="O4639">
        <v>121</v>
      </c>
      <c r="Q4639">
        <v>2</v>
      </c>
      <c r="R4639">
        <v>1</v>
      </c>
      <c r="S4639">
        <v>0</v>
      </c>
      <c r="T4639">
        <v>0</v>
      </c>
      <c r="U4639">
        <v>0</v>
      </c>
      <c r="V4639">
        <v>0</v>
      </c>
      <c r="W4639">
        <v>2</v>
      </c>
      <c r="X4639" s="21">
        <v>0</v>
      </c>
      <c r="Y4639" s="21">
        <v>0</v>
      </c>
      <c r="Z4639" s="21">
        <v>0</v>
      </c>
      <c r="AA4639" s="21">
        <v>0</v>
      </c>
      <c r="AB4639" s="21">
        <v>0</v>
      </c>
      <c r="AC4639" s="21">
        <v>0</v>
      </c>
      <c r="AD4639" s="21">
        <v>0</v>
      </c>
      <c r="AE4639" s="21">
        <v>0</v>
      </c>
      <c r="AF4639">
        <v>0</v>
      </c>
      <c r="AG4639">
        <v>0</v>
      </c>
      <c r="AH4639">
        <v>192</v>
      </c>
      <c r="AJ4639" t="s">
        <v>54</v>
      </c>
      <c r="AK4639" t="s">
        <v>95</v>
      </c>
      <c r="AL4639" t="s">
        <v>1374</v>
      </c>
      <c r="AP4639" t="s">
        <v>951</v>
      </c>
    </row>
    <row r="4640" spans="1:42">
      <c r="A4640" s="16">
        <v>43851</v>
      </c>
      <c r="B4640">
        <v>2</v>
      </c>
      <c r="C4640">
        <v>223</v>
      </c>
      <c r="D4640">
        <v>14448</v>
      </c>
      <c r="E4640" t="s">
        <v>112</v>
      </c>
      <c r="F4640" t="s">
        <v>104</v>
      </c>
      <c r="G4640">
        <v>2</v>
      </c>
      <c r="H4640">
        <v>99</v>
      </c>
      <c r="I4640" s="25">
        <v>2131</v>
      </c>
      <c r="K4640" t="s">
        <v>319</v>
      </c>
      <c r="N4640" t="s">
        <v>44</v>
      </c>
      <c r="O4640">
        <v>113</v>
      </c>
      <c r="Q4640">
        <v>2</v>
      </c>
      <c r="R4640">
        <v>1</v>
      </c>
      <c r="S4640">
        <v>0</v>
      </c>
      <c r="T4640">
        <v>0</v>
      </c>
      <c r="U4640">
        <v>2</v>
      </c>
      <c r="V4640">
        <v>0</v>
      </c>
      <c r="W4640">
        <v>0</v>
      </c>
      <c r="X4640" s="21">
        <v>0</v>
      </c>
      <c r="Y4640" s="21">
        <v>0</v>
      </c>
      <c r="Z4640" s="21">
        <v>0</v>
      </c>
      <c r="AA4640" s="21">
        <v>0</v>
      </c>
      <c r="AB4640" s="21">
        <v>0</v>
      </c>
      <c r="AC4640" s="21">
        <v>0</v>
      </c>
      <c r="AD4640" s="21">
        <v>0</v>
      </c>
      <c r="AE4640" s="21">
        <v>0</v>
      </c>
      <c r="AF4640">
        <v>0</v>
      </c>
      <c r="AG4640">
        <v>0</v>
      </c>
      <c r="AH4640">
        <v>128</v>
      </c>
      <c r="AJ4640" t="s">
        <v>54</v>
      </c>
      <c r="AK4640" t="s">
        <v>95</v>
      </c>
      <c r="AL4640" t="s">
        <v>1405</v>
      </c>
      <c r="AP4640" t="s">
        <v>951</v>
      </c>
    </row>
    <row r="4641" spans="1:42">
      <c r="A4641" s="16">
        <v>43851</v>
      </c>
      <c r="B4641">
        <v>2</v>
      </c>
      <c r="C4641">
        <v>223</v>
      </c>
      <c r="D4641">
        <v>14448</v>
      </c>
      <c r="E4641" t="s">
        <v>112</v>
      </c>
      <c r="F4641" t="s">
        <v>104</v>
      </c>
      <c r="G4641">
        <v>2</v>
      </c>
      <c r="H4641">
        <v>100</v>
      </c>
      <c r="I4641" s="25">
        <v>2100</v>
      </c>
      <c r="K4641" t="s">
        <v>319</v>
      </c>
      <c r="L4641" t="s">
        <v>141</v>
      </c>
      <c r="N4641" t="s">
        <v>40</v>
      </c>
      <c r="O4641">
        <v>63</v>
      </c>
      <c r="Q4641">
        <v>2</v>
      </c>
      <c r="R4641">
        <v>1</v>
      </c>
      <c r="S4641">
        <v>0</v>
      </c>
      <c r="T4641">
        <v>0</v>
      </c>
      <c r="U4641">
        <v>1</v>
      </c>
      <c r="V4641">
        <v>1</v>
      </c>
      <c r="W4641">
        <v>0</v>
      </c>
      <c r="X4641" s="21">
        <v>0</v>
      </c>
      <c r="Y4641" s="21">
        <v>0</v>
      </c>
      <c r="Z4641" s="21">
        <v>0</v>
      </c>
      <c r="AA4641" s="21">
        <v>0</v>
      </c>
      <c r="AB4641" s="21">
        <v>0</v>
      </c>
      <c r="AC4641" s="21">
        <v>0</v>
      </c>
      <c r="AD4641" s="21">
        <v>0</v>
      </c>
      <c r="AE4641" s="21">
        <v>0</v>
      </c>
      <c r="AF4641">
        <v>0</v>
      </c>
      <c r="AG4641">
        <v>0</v>
      </c>
      <c r="AH4641">
        <v>96</v>
      </c>
      <c r="AJ4641" t="s">
        <v>54</v>
      </c>
      <c r="AK4641" t="s">
        <v>95</v>
      </c>
      <c r="AP4641" t="s">
        <v>951</v>
      </c>
    </row>
    <row r="4642" spans="1:42">
      <c r="A4642" s="16">
        <v>43851</v>
      </c>
      <c r="B4642">
        <v>2</v>
      </c>
      <c r="C4642">
        <v>223</v>
      </c>
      <c r="D4642">
        <v>14448</v>
      </c>
      <c r="E4642" t="s">
        <v>112</v>
      </c>
      <c r="F4642" t="s">
        <v>104</v>
      </c>
      <c r="G4642">
        <v>2</v>
      </c>
      <c r="H4642">
        <v>101</v>
      </c>
      <c r="I4642" s="25" t="s">
        <v>1529</v>
      </c>
      <c r="K4642" t="s">
        <v>1530</v>
      </c>
      <c r="N4642" t="s">
        <v>44</v>
      </c>
      <c r="O4642">
        <v>293</v>
      </c>
      <c r="Q4642">
        <v>3</v>
      </c>
      <c r="R4642">
        <v>1</v>
      </c>
      <c r="S4642">
        <v>0</v>
      </c>
      <c r="T4642">
        <v>0</v>
      </c>
      <c r="U4642">
        <v>1</v>
      </c>
      <c r="V4642">
        <v>2</v>
      </c>
      <c r="W4642">
        <v>0</v>
      </c>
      <c r="X4642" s="21">
        <v>0</v>
      </c>
      <c r="Y4642" s="21">
        <v>0</v>
      </c>
      <c r="Z4642" s="21">
        <v>0</v>
      </c>
      <c r="AA4642" s="21">
        <v>0</v>
      </c>
      <c r="AB4642" s="21">
        <v>0</v>
      </c>
      <c r="AC4642" s="21">
        <v>0</v>
      </c>
      <c r="AD4642" s="21">
        <v>0</v>
      </c>
      <c r="AE4642" s="21">
        <v>0</v>
      </c>
      <c r="AF4642">
        <v>0</v>
      </c>
      <c r="AG4642">
        <v>0</v>
      </c>
      <c r="AH4642">
        <v>160</v>
      </c>
      <c r="AJ4642" t="s">
        <v>51</v>
      </c>
      <c r="AK4642" t="s">
        <v>95</v>
      </c>
      <c r="AL4642" t="s">
        <v>1531</v>
      </c>
      <c r="AP4642" t="s">
        <v>951</v>
      </c>
    </row>
    <row r="4643" spans="1:42">
      <c r="A4643" s="16">
        <v>43851</v>
      </c>
      <c r="B4643">
        <v>2</v>
      </c>
      <c r="C4643">
        <v>223</v>
      </c>
      <c r="D4643">
        <v>14448</v>
      </c>
      <c r="E4643" t="s">
        <v>112</v>
      </c>
      <c r="F4643" t="s">
        <v>104</v>
      </c>
      <c r="G4643">
        <v>2</v>
      </c>
      <c r="H4643">
        <v>102</v>
      </c>
      <c r="I4643" s="25">
        <v>128</v>
      </c>
      <c r="K4643" t="s">
        <v>540</v>
      </c>
      <c r="N4643" t="s">
        <v>44</v>
      </c>
      <c r="O4643">
        <v>206</v>
      </c>
      <c r="Q4643">
        <v>1</v>
      </c>
      <c r="R4643">
        <v>1</v>
      </c>
      <c r="S4643">
        <v>0</v>
      </c>
      <c r="T4643">
        <v>0</v>
      </c>
      <c r="U4643">
        <v>0</v>
      </c>
      <c r="V4643">
        <v>1</v>
      </c>
      <c r="W4643">
        <v>0</v>
      </c>
      <c r="X4643" s="21">
        <v>0</v>
      </c>
      <c r="Y4643" s="21">
        <v>0</v>
      </c>
      <c r="Z4643" s="21">
        <v>0</v>
      </c>
      <c r="AA4643" s="21">
        <v>0</v>
      </c>
      <c r="AB4643" s="21">
        <v>0</v>
      </c>
      <c r="AC4643" s="21">
        <v>0</v>
      </c>
      <c r="AD4643" s="21">
        <v>0</v>
      </c>
      <c r="AE4643" s="21">
        <v>0</v>
      </c>
      <c r="AF4643">
        <v>0</v>
      </c>
      <c r="AG4643">
        <v>0</v>
      </c>
      <c r="AH4643">
        <v>64</v>
      </c>
      <c r="AJ4643" t="s">
        <v>51</v>
      </c>
      <c r="AK4643" t="s">
        <v>95</v>
      </c>
      <c r="AL4643" t="s">
        <v>1374</v>
      </c>
      <c r="AP4643" t="s">
        <v>951</v>
      </c>
    </row>
    <row r="4644" spans="1:42">
      <c r="A4644" s="16">
        <v>43851</v>
      </c>
      <c r="B4644">
        <v>2</v>
      </c>
      <c r="C4644">
        <v>223</v>
      </c>
      <c r="D4644">
        <v>14448</v>
      </c>
      <c r="E4644" t="s">
        <v>112</v>
      </c>
      <c r="F4644" t="s">
        <v>104</v>
      </c>
      <c r="G4644">
        <v>2</v>
      </c>
      <c r="H4644">
        <v>103</v>
      </c>
      <c r="I4644" s="25">
        <v>0</v>
      </c>
      <c r="K4644" t="s">
        <v>540</v>
      </c>
      <c r="L4644" t="s">
        <v>114</v>
      </c>
      <c r="N4644" t="s">
        <v>40</v>
      </c>
      <c r="O4644">
        <v>90</v>
      </c>
      <c r="Q4644">
        <v>3</v>
      </c>
      <c r="R4644">
        <v>1</v>
      </c>
      <c r="S4644">
        <v>0</v>
      </c>
      <c r="T4644">
        <v>0</v>
      </c>
      <c r="U4644">
        <v>3</v>
      </c>
      <c r="V4644">
        <v>0</v>
      </c>
      <c r="W4644">
        <v>0</v>
      </c>
      <c r="X4644" s="21">
        <v>0</v>
      </c>
      <c r="Y4644" s="21">
        <v>0</v>
      </c>
      <c r="Z4644" s="21">
        <v>0</v>
      </c>
      <c r="AA4644" s="21">
        <v>0</v>
      </c>
      <c r="AB4644" s="21">
        <v>0</v>
      </c>
      <c r="AC4644" s="21">
        <v>0</v>
      </c>
      <c r="AD4644" s="21">
        <v>0</v>
      </c>
      <c r="AE4644" s="21">
        <v>0</v>
      </c>
      <c r="AF4644">
        <v>0</v>
      </c>
      <c r="AG4644">
        <v>0</v>
      </c>
      <c r="AH4644">
        <v>96</v>
      </c>
      <c r="AJ4644" t="s">
        <v>51</v>
      </c>
      <c r="AK4644" t="s">
        <v>52</v>
      </c>
      <c r="AP4644" t="s">
        <v>951</v>
      </c>
    </row>
    <row r="4645" spans="1:42">
      <c r="A4645" s="16">
        <v>43851</v>
      </c>
      <c r="B4645">
        <v>2</v>
      </c>
      <c r="C4645">
        <v>223</v>
      </c>
      <c r="D4645">
        <v>14448</v>
      </c>
      <c r="E4645" t="s">
        <v>112</v>
      </c>
      <c r="F4645" t="s">
        <v>104</v>
      </c>
      <c r="G4645">
        <v>2</v>
      </c>
      <c r="H4645">
        <v>104</v>
      </c>
      <c r="I4645" s="25">
        <v>0</v>
      </c>
      <c r="K4645" t="s">
        <v>540</v>
      </c>
      <c r="L4645" t="s">
        <v>114</v>
      </c>
      <c r="N4645" t="s">
        <v>40</v>
      </c>
      <c r="O4645">
        <v>85</v>
      </c>
      <c r="Q4645">
        <v>3</v>
      </c>
      <c r="R4645">
        <v>1</v>
      </c>
      <c r="S4645">
        <v>1</v>
      </c>
      <c r="T4645">
        <v>0</v>
      </c>
      <c r="U4645">
        <v>1</v>
      </c>
      <c r="V4645">
        <v>1</v>
      </c>
      <c r="W4645">
        <v>0</v>
      </c>
      <c r="X4645" s="21">
        <v>0</v>
      </c>
      <c r="Y4645" s="21">
        <v>0</v>
      </c>
      <c r="Z4645" s="21">
        <v>0</v>
      </c>
      <c r="AA4645" s="21">
        <v>0</v>
      </c>
      <c r="AB4645" s="21">
        <v>0</v>
      </c>
      <c r="AC4645" s="21">
        <v>0</v>
      </c>
      <c r="AD4645" s="21">
        <v>0</v>
      </c>
      <c r="AE4645" s="21">
        <v>0</v>
      </c>
      <c r="AF4645">
        <v>0</v>
      </c>
      <c r="AG4645">
        <v>0</v>
      </c>
      <c r="AH4645">
        <v>112</v>
      </c>
      <c r="AJ4645" t="s">
        <v>51</v>
      </c>
      <c r="AK4645" t="s">
        <v>52</v>
      </c>
      <c r="AP4645" t="s">
        <v>951</v>
      </c>
    </row>
    <row r="4646" spans="1:42">
      <c r="A4646" s="16">
        <v>43851</v>
      </c>
      <c r="B4646">
        <v>2</v>
      </c>
      <c r="C4646">
        <v>223</v>
      </c>
      <c r="D4646">
        <v>14448</v>
      </c>
      <c r="E4646" t="s">
        <v>112</v>
      </c>
      <c r="F4646" t="s">
        <v>104</v>
      </c>
      <c r="G4646">
        <v>2</v>
      </c>
      <c r="H4646">
        <v>105</v>
      </c>
      <c r="I4646" s="25">
        <v>20</v>
      </c>
      <c r="K4646" t="s">
        <v>540</v>
      </c>
      <c r="N4646" t="s">
        <v>44</v>
      </c>
      <c r="O4646">
        <v>70</v>
      </c>
      <c r="Q4646">
        <v>2</v>
      </c>
      <c r="R4646">
        <v>1</v>
      </c>
      <c r="S4646">
        <v>0</v>
      </c>
      <c r="T4646">
        <v>0</v>
      </c>
      <c r="U4646">
        <v>2</v>
      </c>
      <c r="V4646">
        <v>0</v>
      </c>
      <c r="W4646">
        <v>0</v>
      </c>
      <c r="X4646" s="21">
        <v>0</v>
      </c>
      <c r="Y4646" s="21">
        <v>0</v>
      </c>
      <c r="Z4646" s="21">
        <v>0</v>
      </c>
      <c r="AA4646" s="21">
        <v>0</v>
      </c>
      <c r="AB4646" s="21">
        <v>0</v>
      </c>
      <c r="AC4646" s="21">
        <v>0</v>
      </c>
      <c r="AD4646" s="21">
        <v>0</v>
      </c>
      <c r="AE4646" s="21">
        <v>0</v>
      </c>
      <c r="AF4646">
        <v>0</v>
      </c>
      <c r="AG4646">
        <v>0</v>
      </c>
      <c r="AH4646">
        <v>128</v>
      </c>
      <c r="AJ4646" t="s">
        <v>51</v>
      </c>
      <c r="AK4646" t="s">
        <v>52</v>
      </c>
      <c r="AL4646" t="s">
        <v>1532</v>
      </c>
      <c r="AP4646" t="s">
        <v>951</v>
      </c>
    </row>
    <row r="4647" spans="1:42">
      <c r="A4647" s="16">
        <v>43851</v>
      </c>
      <c r="B4647">
        <v>2</v>
      </c>
      <c r="C4647">
        <v>223</v>
      </c>
      <c r="D4647">
        <v>14448</v>
      </c>
      <c r="E4647" t="s">
        <v>112</v>
      </c>
      <c r="F4647" t="s">
        <v>104</v>
      </c>
      <c r="G4647">
        <v>2</v>
      </c>
      <c r="H4647">
        <v>106</v>
      </c>
      <c r="I4647" s="25">
        <v>3000</v>
      </c>
      <c r="K4647" t="s">
        <v>605</v>
      </c>
      <c r="L4647" t="s">
        <v>141</v>
      </c>
      <c r="N4647" t="s">
        <v>40</v>
      </c>
      <c r="O4647">
        <v>68</v>
      </c>
      <c r="Q4647">
        <v>2</v>
      </c>
      <c r="R4647">
        <v>1</v>
      </c>
      <c r="S4647">
        <v>0</v>
      </c>
      <c r="T4647">
        <v>0</v>
      </c>
      <c r="U4647">
        <v>2</v>
      </c>
      <c r="V4647">
        <v>0</v>
      </c>
      <c r="W4647">
        <v>0</v>
      </c>
      <c r="X4647" s="21">
        <v>0</v>
      </c>
      <c r="Y4647" s="21">
        <v>0</v>
      </c>
      <c r="Z4647" s="21">
        <v>0</v>
      </c>
      <c r="AA4647" s="21">
        <v>0</v>
      </c>
      <c r="AB4647" s="21">
        <v>0</v>
      </c>
      <c r="AC4647" s="21">
        <v>0</v>
      </c>
      <c r="AD4647" s="21">
        <v>0</v>
      </c>
      <c r="AE4647" s="21">
        <v>0</v>
      </c>
      <c r="AF4647">
        <v>0</v>
      </c>
      <c r="AG4647">
        <v>0</v>
      </c>
      <c r="AH4647">
        <v>64</v>
      </c>
      <c r="AJ4647" t="s">
        <v>54</v>
      </c>
      <c r="AK4647" t="s">
        <v>52</v>
      </c>
      <c r="AP4647" t="s">
        <v>951</v>
      </c>
    </row>
    <row r="4648" spans="1:42">
      <c r="A4648" s="16">
        <v>43851</v>
      </c>
      <c r="B4648">
        <v>2</v>
      </c>
      <c r="C4648">
        <v>223</v>
      </c>
      <c r="D4648">
        <v>14448</v>
      </c>
      <c r="E4648" t="s">
        <v>112</v>
      </c>
      <c r="F4648" t="s">
        <v>104</v>
      </c>
      <c r="G4648">
        <v>2</v>
      </c>
      <c r="H4648">
        <v>107</v>
      </c>
      <c r="I4648" s="25">
        <v>3000</v>
      </c>
      <c r="K4648" t="s">
        <v>605</v>
      </c>
      <c r="L4648" t="s">
        <v>141</v>
      </c>
      <c r="N4648" t="s">
        <v>40</v>
      </c>
      <c r="O4648">
        <v>102</v>
      </c>
      <c r="Q4648">
        <v>4</v>
      </c>
      <c r="R4648">
        <v>1</v>
      </c>
      <c r="S4648">
        <v>0</v>
      </c>
      <c r="T4648">
        <v>0</v>
      </c>
      <c r="U4648">
        <v>4</v>
      </c>
      <c r="V4648">
        <v>0</v>
      </c>
      <c r="W4648">
        <v>0</v>
      </c>
      <c r="X4648" s="21">
        <v>0</v>
      </c>
      <c r="Y4648" s="21">
        <v>0</v>
      </c>
      <c r="Z4648" s="21">
        <v>0</v>
      </c>
      <c r="AA4648" s="21">
        <v>0</v>
      </c>
      <c r="AB4648" s="21">
        <v>0</v>
      </c>
      <c r="AC4648" s="21">
        <v>0</v>
      </c>
      <c r="AD4648" s="21">
        <v>0</v>
      </c>
      <c r="AE4648" s="21">
        <v>0</v>
      </c>
      <c r="AF4648">
        <v>0</v>
      </c>
      <c r="AG4648">
        <v>0</v>
      </c>
      <c r="AH4648">
        <v>128</v>
      </c>
      <c r="AJ4648" t="s">
        <v>54</v>
      </c>
      <c r="AK4648" t="s">
        <v>52</v>
      </c>
      <c r="AP4648" t="s">
        <v>951</v>
      </c>
    </row>
    <row r="4649" spans="1:42">
      <c r="A4649" s="16">
        <v>43851</v>
      </c>
      <c r="B4649">
        <v>2</v>
      </c>
      <c r="C4649">
        <v>223</v>
      </c>
      <c r="D4649">
        <v>14448</v>
      </c>
      <c r="E4649" t="s">
        <v>112</v>
      </c>
      <c r="F4649" t="s">
        <v>104</v>
      </c>
      <c r="G4649">
        <v>2</v>
      </c>
      <c r="H4649">
        <v>108</v>
      </c>
      <c r="I4649" s="25">
        <v>3000</v>
      </c>
      <c r="K4649" t="s">
        <v>605</v>
      </c>
      <c r="L4649" t="s">
        <v>141</v>
      </c>
      <c r="N4649" t="s">
        <v>40</v>
      </c>
      <c r="O4649">
        <v>135</v>
      </c>
      <c r="Q4649">
        <v>4</v>
      </c>
      <c r="R4649">
        <v>1</v>
      </c>
      <c r="S4649">
        <v>0</v>
      </c>
      <c r="T4649">
        <v>0</v>
      </c>
      <c r="U4649">
        <v>1</v>
      </c>
      <c r="V4649">
        <v>2</v>
      </c>
      <c r="W4649">
        <v>1</v>
      </c>
      <c r="X4649" s="21">
        <v>0</v>
      </c>
      <c r="Y4649" s="21">
        <v>0</v>
      </c>
      <c r="Z4649" s="21">
        <v>0</v>
      </c>
      <c r="AA4649" s="21">
        <v>0</v>
      </c>
      <c r="AB4649" s="21">
        <v>0</v>
      </c>
      <c r="AC4649" s="21">
        <v>0</v>
      </c>
      <c r="AD4649" s="21">
        <v>0</v>
      </c>
      <c r="AE4649" s="21">
        <v>0</v>
      </c>
      <c r="AF4649">
        <v>0</v>
      </c>
      <c r="AG4649">
        <v>0</v>
      </c>
      <c r="AH4649">
        <v>256</v>
      </c>
      <c r="AJ4649" t="s">
        <v>54</v>
      </c>
      <c r="AK4649" t="s">
        <v>95</v>
      </c>
      <c r="AP4649" t="s">
        <v>951</v>
      </c>
    </row>
    <row r="4650" spans="1:42">
      <c r="A4650" s="16">
        <v>43851</v>
      </c>
      <c r="B4650">
        <v>2</v>
      </c>
      <c r="C4650">
        <v>223</v>
      </c>
      <c r="D4650">
        <v>14448</v>
      </c>
      <c r="E4650" t="s">
        <v>112</v>
      </c>
      <c r="F4650" t="s">
        <v>104</v>
      </c>
      <c r="G4650">
        <v>2</v>
      </c>
      <c r="H4650">
        <v>109</v>
      </c>
      <c r="I4650" s="25">
        <v>3000</v>
      </c>
      <c r="K4650" t="s">
        <v>605</v>
      </c>
      <c r="L4650" t="s">
        <v>141</v>
      </c>
      <c r="N4650" t="s">
        <v>40</v>
      </c>
      <c r="O4650">
        <v>59</v>
      </c>
      <c r="Q4650">
        <v>2</v>
      </c>
      <c r="R4650">
        <v>1</v>
      </c>
      <c r="S4650">
        <v>0</v>
      </c>
      <c r="T4650">
        <v>0</v>
      </c>
      <c r="U4650">
        <v>1</v>
      </c>
      <c r="V4650">
        <v>1</v>
      </c>
      <c r="W4650">
        <v>0</v>
      </c>
      <c r="X4650" s="21">
        <v>0</v>
      </c>
      <c r="Y4650" s="21">
        <v>0</v>
      </c>
      <c r="Z4650" s="21">
        <v>0</v>
      </c>
      <c r="AA4650" s="21">
        <v>0</v>
      </c>
      <c r="AB4650" s="21">
        <v>0</v>
      </c>
      <c r="AC4650" s="21">
        <v>0</v>
      </c>
      <c r="AD4650" s="21">
        <v>0</v>
      </c>
      <c r="AE4650" s="21">
        <v>0</v>
      </c>
      <c r="AF4650">
        <v>0</v>
      </c>
      <c r="AG4650">
        <v>0</v>
      </c>
      <c r="AH4650">
        <v>96</v>
      </c>
      <c r="AJ4650" t="s">
        <v>54</v>
      </c>
      <c r="AK4650" t="s">
        <v>52</v>
      </c>
      <c r="AP4650" t="s">
        <v>951</v>
      </c>
    </row>
    <row r="4651" spans="1:42">
      <c r="A4651" s="16">
        <v>43851</v>
      </c>
      <c r="B4651">
        <v>2</v>
      </c>
      <c r="C4651">
        <v>223</v>
      </c>
      <c r="D4651">
        <v>14448</v>
      </c>
      <c r="E4651" t="s">
        <v>112</v>
      </c>
      <c r="F4651" t="s">
        <v>104</v>
      </c>
      <c r="G4651">
        <v>2</v>
      </c>
      <c r="H4651">
        <v>110</v>
      </c>
      <c r="I4651" s="25">
        <v>3065</v>
      </c>
      <c r="K4651" t="s">
        <v>647</v>
      </c>
      <c r="N4651" t="s">
        <v>44</v>
      </c>
      <c r="O4651">
        <v>160</v>
      </c>
      <c r="Q4651">
        <v>4</v>
      </c>
      <c r="R4651">
        <v>1</v>
      </c>
      <c r="S4651">
        <v>0</v>
      </c>
      <c r="T4651">
        <v>0</v>
      </c>
      <c r="U4651">
        <v>0</v>
      </c>
      <c r="V4651">
        <v>1</v>
      </c>
      <c r="W4651">
        <v>3</v>
      </c>
      <c r="X4651" s="21">
        <v>0</v>
      </c>
      <c r="Y4651" s="21">
        <v>0</v>
      </c>
      <c r="Z4651" s="21">
        <v>0</v>
      </c>
      <c r="AA4651" s="21">
        <v>0</v>
      </c>
      <c r="AB4651" s="21">
        <v>0</v>
      </c>
      <c r="AC4651" s="21">
        <v>0</v>
      </c>
      <c r="AD4651" s="21">
        <v>0</v>
      </c>
      <c r="AE4651" s="21">
        <v>0</v>
      </c>
      <c r="AF4651">
        <v>0</v>
      </c>
      <c r="AG4651">
        <v>0</v>
      </c>
      <c r="AH4651">
        <v>352</v>
      </c>
      <c r="AJ4651" t="s">
        <v>54</v>
      </c>
      <c r="AK4651" t="s">
        <v>95</v>
      </c>
      <c r="AP4651" t="s">
        <v>951</v>
      </c>
    </row>
    <row r="4652" spans="1:42">
      <c r="A4652" s="16">
        <v>43851</v>
      </c>
      <c r="B4652">
        <v>2</v>
      </c>
      <c r="C4652">
        <v>223</v>
      </c>
      <c r="D4652">
        <v>14448</v>
      </c>
      <c r="E4652" t="s">
        <v>112</v>
      </c>
      <c r="F4652" t="s">
        <v>104</v>
      </c>
      <c r="G4652">
        <v>2</v>
      </c>
      <c r="H4652">
        <v>111</v>
      </c>
      <c r="I4652" s="25">
        <v>2116</v>
      </c>
      <c r="K4652" t="s">
        <v>319</v>
      </c>
      <c r="L4652" t="s">
        <v>114</v>
      </c>
      <c r="N4652" t="s">
        <v>42</v>
      </c>
      <c r="O4652">
        <v>104</v>
      </c>
      <c r="Q4652">
        <v>4</v>
      </c>
      <c r="R4652">
        <v>1</v>
      </c>
      <c r="S4652">
        <v>0</v>
      </c>
      <c r="T4652">
        <v>0</v>
      </c>
      <c r="U4652">
        <v>4</v>
      </c>
      <c r="V4652">
        <v>0</v>
      </c>
      <c r="W4652">
        <v>0</v>
      </c>
      <c r="X4652" s="21">
        <v>0</v>
      </c>
      <c r="Y4652" s="21">
        <v>0</v>
      </c>
      <c r="Z4652" s="21">
        <v>0</v>
      </c>
      <c r="AA4652" s="21">
        <v>0</v>
      </c>
      <c r="AB4652" s="21">
        <v>0</v>
      </c>
      <c r="AC4652" s="21">
        <v>0</v>
      </c>
      <c r="AD4652" s="21">
        <v>0</v>
      </c>
      <c r="AE4652" s="21">
        <v>0</v>
      </c>
      <c r="AF4652">
        <v>0</v>
      </c>
      <c r="AG4652">
        <v>0</v>
      </c>
      <c r="AH4652">
        <v>128</v>
      </c>
      <c r="AJ4652" t="s">
        <v>54</v>
      </c>
      <c r="AK4652" t="s">
        <v>52</v>
      </c>
      <c r="AP4652" t="s">
        <v>951</v>
      </c>
    </row>
    <row r="4653" spans="1:42">
      <c r="A4653" s="16">
        <v>43851</v>
      </c>
      <c r="B4653">
        <v>2</v>
      </c>
      <c r="C4653">
        <v>223</v>
      </c>
      <c r="D4653">
        <v>14448</v>
      </c>
      <c r="E4653" t="s">
        <v>112</v>
      </c>
      <c r="F4653" t="s">
        <v>104</v>
      </c>
      <c r="G4653">
        <v>2</v>
      </c>
      <c r="H4653">
        <v>112</v>
      </c>
      <c r="I4653" s="25">
        <v>2100</v>
      </c>
      <c r="K4653" t="s">
        <v>319</v>
      </c>
      <c r="L4653" t="s">
        <v>114</v>
      </c>
      <c r="N4653" t="s">
        <v>40</v>
      </c>
      <c r="O4653">
        <v>87</v>
      </c>
      <c r="Q4653">
        <v>4</v>
      </c>
      <c r="R4653">
        <v>1</v>
      </c>
      <c r="S4653">
        <v>0</v>
      </c>
      <c r="T4653">
        <v>0</v>
      </c>
      <c r="U4653">
        <v>3</v>
      </c>
      <c r="V4653">
        <v>0</v>
      </c>
      <c r="W4653">
        <v>1</v>
      </c>
      <c r="X4653" s="21">
        <v>0</v>
      </c>
      <c r="Y4653" s="21">
        <v>0</v>
      </c>
      <c r="Z4653" s="21">
        <v>0</v>
      </c>
      <c r="AA4653" s="21">
        <v>0</v>
      </c>
      <c r="AB4653" s="21">
        <v>0</v>
      </c>
      <c r="AC4653" s="21">
        <v>0</v>
      </c>
      <c r="AD4653" s="21">
        <v>0</v>
      </c>
      <c r="AE4653" s="21">
        <v>0</v>
      </c>
      <c r="AF4653">
        <v>0</v>
      </c>
      <c r="AG4653">
        <v>0</v>
      </c>
      <c r="AH4653">
        <v>192</v>
      </c>
      <c r="AJ4653" t="s">
        <v>54</v>
      </c>
      <c r="AK4653" t="s">
        <v>95</v>
      </c>
      <c r="AP4653" t="s">
        <v>951</v>
      </c>
    </row>
    <row r="4654" spans="1:42">
      <c r="A4654" s="16">
        <v>43851</v>
      </c>
      <c r="B4654">
        <v>2</v>
      </c>
      <c r="C4654">
        <v>223</v>
      </c>
      <c r="D4654">
        <v>14448</v>
      </c>
      <c r="E4654" t="s">
        <v>112</v>
      </c>
      <c r="F4654" t="s">
        <v>104</v>
      </c>
      <c r="G4654">
        <v>2</v>
      </c>
      <c r="H4654">
        <v>113</v>
      </c>
      <c r="I4654" s="25">
        <v>2200</v>
      </c>
      <c r="K4654" t="s">
        <v>319</v>
      </c>
      <c r="L4654" t="s">
        <v>114</v>
      </c>
      <c r="N4654" t="s">
        <v>40</v>
      </c>
      <c r="O4654">
        <v>44</v>
      </c>
      <c r="Q4654">
        <v>2</v>
      </c>
      <c r="R4654">
        <v>1</v>
      </c>
      <c r="S4654">
        <v>0</v>
      </c>
      <c r="T4654">
        <v>0</v>
      </c>
      <c r="U4654">
        <v>2</v>
      </c>
      <c r="V4654">
        <v>0</v>
      </c>
      <c r="W4654">
        <v>0</v>
      </c>
      <c r="X4654" s="21">
        <v>0</v>
      </c>
      <c r="Y4654" s="21">
        <v>0</v>
      </c>
      <c r="Z4654" s="21">
        <v>0</v>
      </c>
      <c r="AA4654" s="21">
        <v>0</v>
      </c>
      <c r="AB4654" s="21">
        <v>0</v>
      </c>
      <c r="AC4654" s="21">
        <v>0</v>
      </c>
      <c r="AD4654" s="21">
        <v>0</v>
      </c>
      <c r="AE4654" s="21">
        <v>0</v>
      </c>
      <c r="AF4654">
        <v>0</v>
      </c>
      <c r="AG4654">
        <v>0</v>
      </c>
      <c r="AH4654">
        <v>64</v>
      </c>
      <c r="AJ4654" t="s">
        <v>54</v>
      </c>
      <c r="AK4654" t="s">
        <v>95</v>
      </c>
      <c r="AP4654" t="s">
        <v>951</v>
      </c>
    </row>
    <row r="4655" spans="1:42">
      <c r="A4655" s="16">
        <v>43851</v>
      </c>
      <c r="B4655">
        <v>2</v>
      </c>
      <c r="C4655">
        <v>223</v>
      </c>
      <c r="D4655">
        <v>14448</v>
      </c>
      <c r="E4655" t="s">
        <v>112</v>
      </c>
      <c r="F4655" t="s">
        <v>104</v>
      </c>
      <c r="G4655">
        <v>2</v>
      </c>
      <c r="H4655">
        <v>114</v>
      </c>
      <c r="I4655" s="25">
        <v>2200</v>
      </c>
      <c r="K4655" t="s">
        <v>319</v>
      </c>
      <c r="L4655" t="s">
        <v>114</v>
      </c>
      <c r="N4655" t="s">
        <v>40</v>
      </c>
      <c r="O4655">
        <v>70</v>
      </c>
      <c r="Q4655">
        <v>3</v>
      </c>
      <c r="R4655">
        <v>1</v>
      </c>
      <c r="S4655">
        <v>0</v>
      </c>
      <c r="T4655">
        <v>0</v>
      </c>
      <c r="U4655">
        <v>3</v>
      </c>
      <c r="V4655">
        <v>1</v>
      </c>
      <c r="W4655">
        <v>0</v>
      </c>
      <c r="X4655" s="21">
        <v>0</v>
      </c>
      <c r="Y4655" s="21">
        <v>0</v>
      </c>
      <c r="Z4655" s="21">
        <v>0</v>
      </c>
      <c r="AA4655" s="21">
        <v>0</v>
      </c>
      <c r="AB4655" s="21">
        <v>0</v>
      </c>
      <c r="AC4655" s="21">
        <v>0</v>
      </c>
      <c r="AD4655" s="21">
        <v>0</v>
      </c>
      <c r="AE4655" s="21">
        <v>0</v>
      </c>
      <c r="AF4655">
        <v>0</v>
      </c>
      <c r="AG4655">
        <v>0</v>
      </c>
      <c r="AH4655">
        <v>160</v>
      </c>
      <c r="AJ4655" t="s">
        <v>54</v>
      </c>
      <c r="AK4655" t="s">
        <v>95</v>
      </c>
      <c r="AP4655" t="s">
        <v>951</v>
      </c>
    </row>
    <row r="4656" spans="1:42">
      <c r="A4656" s="16">
        <v>43851</v>
      </c>
      <c r="B4656">
        <v>2</v>
      </c>
      <c r="C4656">
        <v>223</v>
      </c>
      <c r="D4656">
        <v>14448</v>
      </c>
      <c r="E4656" t="s">
        <v>112</v>
      </c>
      <c r="F4656" t="s">
        <v>104</v>
      </c>
      <c r="G4656">
        <v>2</v>
      </c>
      <c r="H4656">
        <v>115</v>
      </c>
      <c r="I4656" s="25">
        <v>2300</v>
      </c>
      <c r="K4656" t="s">
        <v>319</v>
      </c>
      <c r="L4656" t="s">
        <v>114</v>
      </c>
      <c r="N4656" t="s">
        <v>40</v>
      </c>
      <c r="O4656">
        <v>90</v>
      </c>
      <c r="Q4656">
        <v>3</v>
      </c>
      <c r="R4656">
        <v>1</v>
      </c>
      <c r="S4656">
        <v>0</v>
      </c>
      <c r="T4656">
        <v>0</v>
      </c>
      <c r="U4656">
        <v>2</v>
      </c>
      <c r="V4656">
        <v>1</v>
      </c>
      <c r="W4656">
        <v>0</v>
      </c>
      <c r="X4656" s="21">
        <v>0</v>
      </c>
      <c r="Y4656" s="21">
        <v>0</v>
      </c>
      <c r="Z4656" s="21">
        <v>0</v>
      </c>
      <c r="AA4656" s="21">
        <v>0</v>
      </c>
      <c r="AB4656" s="21">
        <v>0</v>
      </c>
      <c r="AC4656" s="21">
        <v>0</v>
      </c>
      <c r="AD4656" s="21">
        <v>0</v>
      </c>
      <c r="AE4656" s="21">
        <v>0</v>
      </c>
      <c r="AF4656">
        <v>0</v>
      </c>
      <c r="AG4656">
        <v>0</v>
      </c>
      <c r="AH4656">
        <v>128</v>
      </c>
      <c r="AJ4656" t="s">
        <v>54</v>
      </c>
      <c r="AK4656" t="s">
        <v>95</v>
      </c>
      <c r="AP4656" t="s">
        <v>951</v>
      </c>
    </row>
    <row r="4657" spans="1:42">
      <c r="A4657" s="16">
        <v>43851</v>
      </c>
      <c r="B4657">
        <v>2</v>
      </c>
      <c r="C4657">
        <v>223</v>
      </c>
      <c r="D4657">
        <v>14448</v>
      </c>
      <c r="E4657" t="s">
        <v>112</v>
      </c>
      <c r="F4657" t="s">
        <v>104</v>
      </c>
      <c r="G4657">
        <v>2</v>
      </c>
      <c r="H4657">
        <v>116</v>
      </c>
      <c r="I4657" s="25">
        <v>2330</v>
      </c>
      <c r="K4657" t="s">
        <v>319</v>
      </c>
      <c r="N4657" t="s">
        <v>44</v>
      </c>
      <c r="O4657">
        <v>157</v>
      </c>
      <c r="Q4657">
        <v>2</v>
      </c>
      <c r="R4657">
        <v>1</v>
      </c>
      <c r="S4657">
        <v>0</v>
      </c>
      <c r="T4657">
        <v>0</v>
      </c>
      <c r="U4657">
        <v>1</v>
      </c>
      <c r="V4657">
        <v>1</v>
      </c>
      <c r="W4657">
        <v>0</v>
      </c>
      <c r="X4657" s="21">
        <v>0</v>
      </c>
      <c r="Y4657" s="21">
        <v>0</v>
      </c>
      <c r="Z4657" s="21">
        <v>0</v>
      </c>
      <c r="AA4657" s="21">
        <v>0</v>
      </c>
      <c r="AB4657" s="21">
        <v>0</v>
      </c>
      <c r="AC4657" s="21">
        <v>0</v>
      </c>
      <c r="AD4657" s="21">
        <v>0</v>
      </c>
      <c r="AE4657" s="21">
        <v>0</v>
      </c>
      <c r="AF4657">
        <v>0</v>
      </c>
      <c r="AG4657">
        <v>0</v>
      </c>
      <c r="AH4657">
        <v>96</v>
      </c>
      <c r="AJ4657" t="s">
        <v>54</v>
      </c>
      <c r="AK4657" t="s">
        <v>95</v>
      </c>
      <c r="AP4657" t="s">
        <v>951</v>
      </c>
    </row>
    <row r="4658" spans="1:42">
      <c r="A4658" s="16">
        <v>43851</v>
      </c>
      <c r="B4658">
        <v>2</v>
      </c>
      <c r="C4658">
        <v>223</v>
      </c>
      <c r="D4658">
        <v>14448</v>
      </c>
      <c r="E4658" t="s">
        <v>112</v>
      </c>
      <c r="F4658" t="s">
        <v>104</v>
      </c>
      <c r="G4658">
        <v>2</v>
      </c>
      <c r="H4658">
        <v>117</v>
      </c>
      <c r="I4658" s="25">
        <v>2800</v>
      </c>
      <c r="K4658" t="s">
        <v>185</v>
      </c>
      <c r="L4658" t="s">
        <v>141</v>
      </c>
      <c r="N4658" t="s">
        <v>40</v>
      </c>
      <c r="O4658">
        <v>35</v>
      </c>
      <c r="Q4658">
        <v>2</v>
      </c>
      <c r="R4658">
        <v>1</v>
      </c>
      <c r="S4658">
        <v>0</v>
      </c>
      <c r="T4658">
        <v>0</v>
      </c>
      <c r="U4658">
        <v>0</v>
      </c>
      <c r="V4658">
        <v>2</v>
      </c>
      <c r="W4658">
        <v>0</v>
      </c>
      <c r="X4658" s="21">
        <v>0</v>
      </c>
      <c r="Y4658" s="21">
        <v>0</v>
      </c>
      <c r="Z4658" s="21">
        <v>0</v>
      </c>
      <c r="AA4658" s="21">
        <v>0</v>
      </c>
      <c r="AB4658" s="21">
        <v>0</v>
      </c>
      <c r="AC4658" s="21">
        <v>0</v>
      </c>
      <c r="AD4658" s="21">
        <v>0</v>
      </c>
      <c r="AE4658" s="21">
        <v>0</v>
      </c>
      <c r="AF4658">
        <v>0</v>
      </c>
      <c r="AG4658">
        <v>0</v>
      </c>
      <c r="AH4658">
        <v>128</v>
      </c>
      <c r="AJ4658" t="s">
        <v>51</v>
      </c>
      <c r="AK4658" t="s">
        <v>95</v>
      </c>
      <c r="AP4658" t="s">
        <v>951</v>
      </c>
    </row>
    <row r="4659" spans="1:42">
      <c r="A4659" s="16">
        <v>43851</v>
      </c>
      <c r="B4659">
        <v>2</v>
      </c>
      <c r="C4659">
        <v>223</v>
      </c>
      <c r="D4659">
        <v>14448</v>
      </c>
      <c r="E4659" t="s">
        <v>112</v>
      </c>
      <c r="F4659" t="s">
        <v>104</v>
      </c>
      <c r="G4659">
        <v>2</v>
      </c>
      <c r="H4659">
        <v>118</v>
      </c>
      <c r="I4659" s="25">
        <v>2825</v>
      </c>
      <c r="K4659" t="s">
        <v>185</v>
      </c>
      <c r="N4659" t="s">
        <v>44</v>
      </c>
      <c r="O4659">
        <v>230</v>
      </c>
      <c r="Q4659">
        <v>1</v>
      </c>
      <c r="R4659">
        <v>1</v>
      </c>
      <c r="S4659">
        <v>0</v>
      </c>
      <c r="T4659">
        <v>0</v>
      </c>
      <c r="U4659">
        <v>0</v>
      </c>
      <c r="V4659">
        <v>1</v>
      </c>
      <c r="W4659">
        <v>0</v>
      </c>
      <c r="X4659" s="21">
        <v>0</v>
      </c>
      <c r="Y4659" s="21">
        <v>0</v>
      </c>
      <c r="Z4659" s="21">
        <v>0</v>
      </c>
      <c r="AA4659" s="21">
        <v>0</v>
      </c>
      <c r="AB4659" s="21">
        <v>0</v>
      </c>
      <c r="AC4659" s="21">
        <v>0</v>
      </c>
      <c r="AD4659" s="21">
        <v>0</v>
      </c>
      <c r="AE4659" s="21">
        <v>0</v>
      </c>
      <c r="AF4659">
        <v>0</v>
      </c>
      <c r="AG4659">
        <v>0</v>
      </c>
      <c r="AH4659">
        <v>64</v>
      </c>
      <c r="AJ4659" t="s">
        <v>51</v>
      </c>
      <c r="AK4659" t="s">
        <v>95</v>
      </c>
      <c r="AL4659" t="s">
        <v>1533</v>
      </c>
      <c r="AP4659" t="s">
        <v>951</v>
      </c>
    </row>
    <row r="4660" spans="1:42">
      <c r="A4660" s="16">
        <v>43851</v>
      </c>
      <c r="B4660">
        <v>2</v>
      </c>
      <c r="C4660">
        <v>223</v>
      </c>
      <c r="D4660">
        <v>14448</v>
      </c>
      <c r="E4660" t="s">
        <v>112</v>
      </c>
      <c r="F4660" t="s">
        <v>104</v>
      </c>
      <c r="G4660">
        <v>2</v>
      </c>
      <c r="H4660">
        <v>119</v>
      </c>
      <c r="I4660" s="25">
        <v>2500</v>
      </c>
      <c r="K4660" t="s">
        <v>256</v>
      </c>
      <c r="L4660" t="s">
        <v>141</v>
      </c>
      <c r="N4660" t="s">
        <v>40</v>
      </c>
      <c r="O4660">
        <v>93</v>
      </c>
      <c r="Q4660">
        <v>3</v>
      </c>
      <c r="R4660">
        <v>1</v>
      </c>
      <c r="S4660">
        <v>0</v>
      </c>
      <c r="T4660">
        <v>0</v>
      </c>
      <c r="U4660">
        <v>3</v>
      </c>
      <c r="V4660">
        <v>1</v>
      </c>
      <c r="W4660">
        <v>0</v>
      </c>
      <c r="X4660" s="21">
        <v>0</v>
      </c>
      <c r="Y4660" s="21">
        <v>0</v>
      </c>
      <c r="Z4660" s="21">
        <v>0</v>
      </c>
      <c r="AA4660" s="21">
        <v>0</v>
      </c>
      <c r="AB4660" s="21">
        <v>0</v>
      </c>
      <c r="AC4660" s="21">
        <v>0</v>
      </c>
      <c r="AD4660" s="21">
        <v>0</v>
      </c>
      <c r="AE4660" s="21">
        <v>0</v>
      </c>
      <c r="AF4660">
        <v>0</v>
      </c>
      <c r="AG4660">
        <v>0</v>
      </c>
      <c r="AH4660">
        <v>160</v>
      </c>
      <c r="AJ4660" t="s">
        <v>51</v>
      </c>
      <c r="AK4660" t="s">
        <v>52</v>
      </c>
      <c r="AP4660" t="s">
        <v>951</v>
      </c>
    </row>
    <row r="4661" spans="1:42">
      <c r="A4661" s="16">
        <v>43851</v>
      </c>
      <c r="B4661">
        <v>2</v>
      </c>
      <c r="C4661">
        <v>223</v>
      </c>
      <c r="D4661">
        <v>14448</v>
      </c>
      <c r="E4661" t="s">
        <v>112</v>
      </c>
      <c r="F4661" t="s">
        <v>104</v>
      </c>
      <c r="G4661">
        <v>2</v>
      </c>
      <c r="H4661">
        <v>120</v>
      </c>
      <c r="I4661" s="25">
        <v>2500</v>
      </c>
      <c r="K4661" t="s">
        <v>256</v>
      </c>
      <c r="L4661" t="s">
        <v>141</v>
      </c>
      <c r="N4661" t="s">
        <v>40</v>
      </c>
      <c r="O4661">
        <v>37</v>
      </c>
      <c r="Q4661">
        <v>2</v>
      </c>
      <c r="R4661">
        <v>1</v>
      </c>
      <c r="S4661">
        <v>0</v>
      </c>
      <c r="T4661">
        <v>0</v>
      </c>
      <c r="U4661">
        <v>2</v>
      </c>
      <c r="V4661">
        <v>0</v>
      </c>
      <c r="W4661">
        <v>0</v>
      </c>
      <c r="X4661" s="21">
        <v>0</v>
      </c>
      <c r="Y4661" s="21">
        <v>0</v>
      </c>
      <c r="Z4661" s="21">
        <v>0</v>
      </c>
      <c r="AA4661" s="21">
        <v>0</v>
      </c>
      <c r="AB4661" s="21">
        <v>0</v>
      </c>
      <c r="AC4661" s="21">
        <v>0</v>
      </c>
      <c r="AD4661" s="21">
        <v>0</v>
      </c>
      <c r="AE4661" s="21">
        <v>0</v>
      </c>
      <c r="AF4661">
        <v>0</v>
      </c>
      <c r="AG4661">
        <v>0</v>
      </c>
      <c r="AH4661">
        <v>64</v>
      </c>
      <c r="AJ4661" t="s">
        <v>51</v>
      </c>
      <c r="AK4661" t="s">
        <v>52</v>
      </c>
      <c r="AP4661" t="s">
        <v>951</v>
      </c>
    </row>
    <row r="4662" spans="1:42">
      <c r="A4662" s="16">
        <v>43851</v>
      </c>
      <c r="B4662">
        <v>2</v>
      </c>
      <c r="C4662">
        <v>223</v>
      </c>
      <c r="D4662">
        <v>14448</v>
      </c>
      <c r="E4662" t="s">
        <v>112</v>
      </c>
      <c r="F4662" t="s">
        <v>104</v>
      </c>
      <c r="G4662">
        <v>2</v>
      </c>
      <c r="H4662">
        <v>121</v>
      </c>
      <c r="I4662" s="25">
        <v>2800</v>
      </c>
      <c r="K4662" t="s">
        <v>605</v>
      </c>
      <c r="L4662" t="s">
        <v>114</v>
      </c>
      <c r="N4662" t="s">
        <v>40</v>
      </c>
      <c r="O4662">
        <v>45</v>
      </c>
      <c r="Q4662">
        <v>2</v>
      </c>
      <c r="R4662">
        <v>1</v>
      </c>
      <c r="S4662">
        <v>0</v>
      </c>
      <c r="T4662">
        <v>0</v>
      </c>
      <c r="U4662">
        <v>2</v>
      </c>
      <c r="V4662">
        <v>0</v>
      </c>
      <c r="W4662">
        <v>0</v>
      </c>
      <c r="X4662" s="21">
        <v>0</v>
      </c>
      <c r="Y4662" s="21">
        <v>0</v>
      </c>
      <c r="Z4662" s="21">
        <v>0</v>
      </c>
      <c r="AA4662" s="21">
        <v>0</v>
      </c>
      <c r="AB4662" s="21">
        <v>0</v>
      </c>
      <c r="AC4662" s="21">
        <v>0</v>
      </c>
      <c r="AD4662" s="21">
        <v>0</v>
      </c>
      <c r="AE4662" s="21">
        <v>0</v>
      </c>
      <c r="AF4662">
        <v>0</v>
      </c>
      <c r="AG4662">
        <v>0</v>
      </c>
      <c r="AH4662">
        <v>64</v>
      </c>
      <c r="AJ4662" t="s">
        <v>51</v>
      </c>
      <c r="AK4662" t="s">
        <v>95</v>
      </c>
      <c r="AP4662" t="s">
        <v>951</v>
      </c>
    </row>
    <row r="4663" spans="1:42">
      <c r="A4663" s="16">
        <v>43851</v>
      </c>
      <c r="B4663">
        <v>2</v>
      </c>
      <c r="C4663">
        <v>223</v>
      </c>
      <c r="D4663">
        <v>14448</v>
      </c>
      <c r="E4663" t="s">
        <v>112</v>
      </c>
      <c r="F4663" t="s">
        <v>104</v>
      </c>
      <c r="G4663">
        <v>2</v>
      </c>
      <c r="H4663">
        <v>122</v>
      </c>
      <c r="I4663" s="25">
        <v>2810</v>
      </c>
      <c r="K4663" t="s">
        <v>605</v>
      </c>
      <c r="N4663" t="s">
        <v>44</v>
      </c>
      <c r="O4663">
        <v>101</v>
      </c>
      <c r="Q4663">
        <v>2</v>
      </c>
      <c r="R4663">
        <v>1</v>
      </c>
      <c r="S4663">
        <v>0</v>
      </c>
      <c r="T4663">
        <v>0</v>
      </c>
      <c r="U4663">
        <v>2</v>
      </c>
      <c r="V4663">
        <v>0</v>
      </c>
      <c r="W4663">
        <v>0</v>
      </c>
      <c r="X4663" s="21">
        <v>0</v>
      </c>
      <c r="Y4663" s="21">
        <v>0</v>
      </c>
      <c r="Z4663" s="21">
        <v>0</v>
      </c>
      <c r="AA4663" s="21">
        <v>0</v>
      </c>
      <c r="AB4663" s="21">
        <v>0</v>
      </c>
      <c r="AC4663" s="21">
        <v>0</v>
      </c>
      <c r="AD4663" s="21">
        <v>0</v>
      </c>
      <c r="AE4663" s="21">
        <v>0</v>
      </c>
      <c r="AF4663">
        <v>0</v>
      </c>
      <c r="AG4663">
        <v>0</v>
      </c>
      <c r="AH4663">
        <v>64</v>
      </c>
      <c r="AJ4663" t="s">
        <v>51</v>
      </c>
      <c r="AK4663" t="s">
        <v>95</v>
      </c>
      <c r="AP4663" t="s">
        <v>951</v>
      </c>
    </row>
    <row r="4664" spans="1:42">
      <c r="A4664" s="16">
        <v>43851</v>
      </c>
      <c r="B4664">
        <v>2</v>
      </c>
      <c r="C4664">
        <v>223</v>
      </c>
      <c r="D4664">
        <v>14448</v>
      </c>
      <c r="E4664" t="s">
        <v>112</v>
      </c>
      <c r="F4664" t="s">
        <v>104</v>
      </c>
      <c r="G4664">
        <v>2</v>
      </c>
      <c r="H4664">
        <v>123</v>
      </c>
      <c r="I4664" s="25">
        <v>2830</v>
      </c>
      <c r="K4664" t="s">
        <v>605</v>
      </c>
      <c r="N4664" t="s">
        <v>44</v>
      </c>
      <c r="O4664">
        <v>119</v>
      </c>
      <c r="Q4664">
        <v>2</v>
      </c>
      <c r="R4664">
        <v>1</v>
      </c>
      <c r="S4664">
        <v>0</v>
      </c>
      <c r="T4664">
        <v>0</v>
      </c>
      <c r="U4664">
        <v>0</v>
      </c>
      <c r="V4664">
        <v>2</v>
      </c>
      <c r="W4664">
        <v>0</v>
      </c>
      <c r="X4664" s="21">
        <v>0</v>
      </c>
      <c r="Y4664" s="21">
        <v>0</v>
      </c>
      <c r="Z4664" s="21">
        <v>0</v>
      </c>
      <c r="AA4664" s="21">
        <v>0</v>
      </c>
      <c r="AB4664" s="21">
        <v>0</v>
      </c>
      <c r="AC4664" s="21">
        <v>0</v>
      </c>
      <c r="AD4664" s="21">
        <v>0</v>
      </c>
      <c r="AE4664" s="21">
        <v>0</v>
      </c>
      <c r="AF4664">
        <v>0</v>
      </c>
      <c r="AG4664">
        <v>0</v>
      </c>
      <c r="AH4664">
        <v>128</v>
      </c>
      <c r="AJ4664" t="s">
        <v>51</v>
      </c>
      <c r="AK4664" t="s">
        <v>95</v>
      </c>
      <c r="AL4664" t="s">
        <v>1534</v>
      </c>
      <c r="AP4664" t="s">
        <v>951</v>
      </c>
    </row>
    <row r="4665" spans="1:42">
      <c r="A4665" s="16">
        <v>43851</v>
      </c>
      <c r="B4665">
        <v>2</v>
      </c>
      <c r="C4665">
        <v>223</v>
      </c>
      <c r="D4665">
        <v>14448</v>
      </c>
      <c r="E4665" t="s">
        <v>112</v>
      </c>
      <c r="F4665" t="s">
        <v>104</v>
      </c>
      <c r="G4665">
        <v>2</v>
      </c>
      <c r="H4665">
        <v>124</v>
      </c>
      <c r="I4665" s="25"/>
      <c r="K4665" t="s">
        <v>1535</v>
      </c>
      <c r="N4665" t="s">
        <v>44</v>
      </c>
      <c r="O4665">
        <v>91</v>
      </c>
      <c r="Q4665">
        <v>1</v>
      </c>
      <c r="R4665">
        <v>1</v>
      </c>
      <c r="S4665">
        <v>0</v>
      </c>
      <c r="T4665">
        <v>0</v>
      </c>
      <c r="U4665">
        <v>1</v>
      </c>
      <c r="V4665">
        <v>0</v>
      </c>
      <c r="W4665">
        <v>0</v>
      </c>
      <c r="X4665" s="21">
        <v>0</v>
      </c>
      <c r="Y4665" s="21">
        <v>0</v>
      </c>
      <c r="Z4665" s="21">
        <v>0</v>
      </c>
      <c r="AA4665" s="21">
        <v>0</v>
      </c>
      <c r="AB4665" s="21">
        <v>0</v>
      </c>
      <c r="AC4665" s="21">
        <v>0</v>
      </c>
      <c r="AD4665" s="21">
        <v>0</v>
      </c>
      <c r="AE4665" s="21">
        <v>0</v>
      </c>
      <c r="AF4665">
        <v>0</v>
      </c>
      <c r="AG4665">
        <v>0</v>
      </c>
      <c r="AH4665">
        <v>32</v>
      </c>
      <c r="AJ4665" t="s">
        <v>51</v>
      </c>
      <c r="AK4665" t="s">
        <v>35</v>
      </c>
      <c r="AP4665" t="s">
        <v>951</v>
      </c>
    </row>
    <row r="4666" spans="1:42">
      <c r="A4666" s="16">
        <v>43851</v>
      </c>
      <c r="B4666">
        <v>2</v>
      </c>
      <c r="C4666">
        <v>223</v>
      </c>
      <c r="D4666">
        <v>14448</v>
      </c>
      <c r="E4666" t="s">
        <v>112</v>
      </c>
      <c r="F4666" t="s">
        <v>104</v>
      </c>
      <c r="G4666">
        <v>2</v>
      </c>
      <c r="H4666">
        <v>125</v>
      </c>
      <c r="I4666" s="25">
        <v>0</v>
      </c>
      <c r="K4666" t="s">
        <v>1535</v>
      </c>
      <c r="L4666" t="s">
        <v>114</v>
      </c>
      <c r="M4666" t="s">
        <v>95</v>
      </c>
      <c r="N4666" t="s">
        <v>40</v>
      </c>
      <c r="O4666">
        <v>68</v>
      </c>
      <c r="Q4666">
        <v>2</v>
      </c>
      <c r="R4666">
        <v>1</v>
      </c>
      <c r="S4666">
        <v>0</v>
      </c>
      <c r="T4666">
        <v>0</v>
      </c>
      <c r="U4666">
        <v>1</v>
      </c>
      <c r="V4666">
        <v>1</v>
      </c>
      <c r="W4666">
        <v>0</v>
      </c>
      <c r="X4666" s="21">
        <v>0</v>
      </c>
      <c r="Y4666" s="21">
        <v>0</v>
      </c>
      <c r="Z4666" s="21">
        <v>0</v>
      </c>
      <c r="AA4666" s="21">
        <v>0</v>
      </c>
      <c r="AB4666" s="21">
        <v>0</v>
      </c>
      <c r="AC4666" s="21">
        <v>0</v>
      </c>
      <c r="AD4666" s="21">
        <v>0</v>
      </c>
      <c r="AE4666" s="21">
        <v>0</v>
      </c>
      <c r="AF4666">
        <v>0</v>
      </c>
      <c r="AG4666">
        <v>0</v>
      </c>
      <c r="AH4666">
        <v>96</v>
      </c>
      <c r="AJ4666" t="s">
        <v>51</v>
      </c>
      <c r="AK4666" t="s">
        <v>95</v>
      </c>
      <c r="AP4666" t="s">
        <v>951</v>
      </c>
    </row>
    <row r="4667" spans="1:42">
      <c r="A4667" s="16">
        <v>43851</v>
      </c>
      <c r="B4667">
        <v>2</v>
      </c>
      <c r="C4667">
        <v>223</v>
      </c>
      <c r="D4667">
        <v>14448</v>
      </c>
      <c r="E4667" t="s">
        <v>112</v>
      </c>
      <c r="F4667" t="s">
        <v>104</v>
      </c>
      <c r="G4667">
        <v>2</v>
      </c>
      <c r="H4667">
        <v>126</v>
      </c>
      <c r="I4667" s="25">
        <v>0</v>
      </c>
      <c r="K4667" t="s">
        <v>1535</v>
      </c>
      <c r="L4667" t="s">
        <v>11</v>
      </c>
      <c r="M4667" t="s">
        <v>95</v>
      </c>
      <c r="N4667" t="s">
        <v>40</v>
      </c>
      <c r="O4667">
        <v>483</v>
      </c>
      <c r="Q4667">
        <v>10</v>
      </c>
      <c r="R4667">
        <v>1</v>
      </c>
      <c r="S4667">
        <v>0</v>
      </c>
      <c r="T4667">
        <v>0</v>
      </c>
      <c r="U4667">
        <v>8</v>
      </c>
      <c r="V4667">
        <v>2</v>
      </c>
      <c r="W4667">
        <v>0</v>
      </c>
      <c r="X4667" s="21">
        <v>0</v>
      </c>
      <c r="Y4667" s="21">
        <v>0</v>
      </c>
      <c r="Z4667" s="21">
        <v>0</v>
      </c>
      <c r="AA4667" s="21">
        <v>0</v>
      </c>
      <c r="AB4667" s="21">
        <v>0</v>
      </c>
      <c r="AC4667" s="21">
        <v>0</v>
      </c>
      <c r="AD4667" s="21">
        <v>0</v>
      </c>
      <c r="AE4667" s="21">
        <v>0</v>
      </c>
      <c r="AF4667">
        <v>0</v>
      </c>
      <c r="AG4667">
        <v>0</v>
      </c>
      <c r="AH4667">
        <v>384</v>
      </c>
      <c r="AJ4667" t="s">
        <v>51</v>
      </c>
      <c r="AK4667" t="s">
        <v>52</v>
      </c>
      <c r="AP4667" t="s">
        <v>951</v>
      </c>
    </row>
    <row r="4668" spans="1:42">
      <c r="A4668" s="16">
        <v>43851</v>
      </c>
      <c r="B4668">
        <v>2</v>
      </c>
      <c r="C4668">
        <v>223</v>
      </c>
      <c r="D4668">
        <v>14448</v>
      </c>
      <c r="E4668" t="s">
        <v>112</v>
      </c>
      <c r="F4668" t="s">
        <v>104</v>
      </c>
      <c r="G4668">
        <v>2</v>
      </c>
      <c r="H4668">
        <v>127</v>
      </c>
      <c r="I4668" s="25">
        <v>2910</v>
      </c>
      <c r="K4668" t="s">
        <v>605</v>
      </c>
      <c r="N4668" t="s">
        <v>44</v>
      </c>
      <c r="O4668">
        <v>115</v>
      </c>
      <c r="Q4668">
        <v>2</v>
      </c>
      <c r="R4668">
        <v>1</v>
      </c>
      <c r="S4668">
        <v>0</v>
      </c>
      <c r="T4668">
        <v>0</v>
      </c>
      <c r="U4668">
        <v>2</v>
      </c>
      <c r="V4668">
        <v>0</v>
      </c>
      <c r="W4668">
        <v>0</v>
      </c>
      <c r="X4668" s="21">
        <v>0</v>
      </c>
      <c r="Y4668" s="21">
        <v>0</v>
      </c>
      <c r="Z4668" s="21">
        <v>0</v>
      </c>
      <c r="AA4668" s="21">
        <v>0</v>
      </c>
      <c r="AB4668" s="21">
        <v>0</v>
      </c>
      <c r="AC4668" s="21">
        <v>0</v>
      </c>
      <c r="AD4668" s="21">
        <v>0</v>
      </c>
      <c r="AE4668" s="21">
        <v>0</v>
      </c>
      <c r="AF4668">
        <v>0</v>
      </c>
      <c r="AG4668">
        <v>0</v>
      </c>
      <c r="AH4668">
        <v>128</v>
      </c>
      <c r="AJ4668" t="s">
        <v>51</v>
      </c>
      <c r="AK4668" t="s">
        <v>95</v>
      </c>
      <c r="AP4668" t="s">
        <v>951</v>
      </c>
    </row>
    <row r="4669" spans="1:42">
      <c r="A4669" s="16">
        <v>43851</v>
      </c>
      <c r="B4669">
        <v>2</v>
      </c>
      <c r="C4669">
        <v>223</v>
      </c>
      <c r="D4669">
        <v>14448</v>
      </c>
      <c r="E4669" t="s">
        <v>112</v>
      </c>
      <c r="F4669" t="s">
        <v>104</v>
      </c>
      <c r="G4669">
        <v>2</v>
      </c>
      <c r="H4669">
        <v>128</v>
      </c>
      <c r="I4669" s="25">
        <v>2900</v>
      </c>
      <c r="K4669" t="s">
        <v>605</v>
      </c>
      <c r="L4669" t="s">
        <v>114</v>
      </c>
      <c r="N4669" t="s">
        <v>40</v>
      </c>
      <c r="O4669">
        <v>121</v>
      </c>
      <c r="Q4669">
        <v>3</v>
      </c>
      <c r="R4669">
        <v>1</v>
      </c>
      <c r="S4669">
        <v>0</v>
      </c>
      <c r="T4669">
        <v>0</v>
      </c>
      <c r="U4669">
        <v>1</v>
      </c>
      <c r="V4669">
        <v>2</v>
      </c>
      <c r="W4669">
        <v>0</v>
      </c>
      <c r="X4669" s="21">
        <v>0</v>
      </c>
      <c r="Y4669" s="21">
        <v>0</v>
      </c>
      <c r="Z4669" s="21">
        <v>0</v>
      </c>
      <c r="AA4669" s="21">
        <v>0</v>
      </c>
      <c r="AB4669" s="21">
        <v>0</v>
      </c>
      <c r="AC4669" s="21">
        <v>0</v>
      </c>
      <c r="AD4669" s="21">
        <v>0</v>
      </c>
      <c r="AE4669" s="21">
        <v>0</v>
      </c>
      <c r="AF4669">
        <v>0</v>
      </c>
      <c r="AG4669">
        <v>2</v>
      </c>
      <c r="AH4669">
        <v>160</v>
      </c>
      <c r="AJ4669" t="s">
        <v>51</v>
      </c>
      <c r="AK4669" t="s">
        <v>95</v>
      </c>
      <c r="AP4669" t="s">
        <v>951</v>
      </c>
    </row>
    <row r="4670" spans="1:42">
      <c r="A4670" s="16">
        <v>43851</v>
      </c>
      <c r="B4670">
        <v>2</v>
      </c>
      <c r="C4670">
        <v>223</v>
      </c>
      <c r="D4670">
        <v>14448</v>
      </c>
      <c r="E4670" t="s">
        <v>112</v>
      </c>
      <c r="F4670" t="s">
        <v>104</v>
      </c>
      <c r="G4670">
        <v>2</v>
      </c>
      <c r="H4670">
        <v>129</v>
      </c>
      <c r="I4670" s="25">
        <v>2900</v>
      </c>
      <c r="K4670" t="s">
        <v>605</v>
      </c>
      <c r="L4670" t="s">
        <v>114</v>
      </c>
      <c r="N4670" t="s">
        <v>40</v>
      </c>
      <c r="O4670">
        <v>123</v>
      </c>
      <c r="Q4670">
        <v>3</v>
      </c>
      <c r="R4670">
        <v>1</v>
      </c>
      <c r="S4670">
        <v>0</v>
      </c>
      <c r="T4670">
        <v>0</v>
      </c>
      <c r="U4670">
        <v>0</v>
      </c>
      <c r="V4670">
        <v>0</v>
      </c>
      <c r="W4670">
        <v>3</v>
      </c>
      <c r="X4670" s="21">
        <v>0</v>
      </c>
      <c r="Y4670" s="21">
        <v>0</v>
      </c>
      <c r="Z4670" s="21">
        <v>0</v>
      </c>
      <c r="AA4670" s="21">
        <v>0</v>
      </c>
      <c r="AB4670" s="21">
        <v>0</v>
      </c>
      <c r="AC4670" s="21">
        <v>0</v>
      </c>
      <c r="AD4670" s="21">
        <v>0</v>
      </c>
      <c r="AE4670" s="21">
        <v>0</v>
      </c>
      <c r="AF4670">
        <v>0</v>
      </c>
      <c r="AG4670">
        <v>0</v>
      </c>
      <c r="AH4670">
        <v>288</v>
      </c>
      <c r="AJ4670" t="s">
        <v>51</v>
      </c>
      <c r="AK4670" t="s">
        <v>95</v>
      </c>
      <c r="AP4670" t="s">
        <v>951</v>
      </c>
    </row>
    <row r="4671" spans="1:42">
      <c r="A4671" s="16">
        <v>43851</v>
      </c>
      <c r="B4671">
        <v>2</v>
      </c>
      <c r="C4671">
        <v>223</v>
      </c>
      <c r="D4671">
        <v>14448</v>
      </c>
      <c r="E4671" t="s">
        <v>112</v>
      </c>
      <c r="F4671" t="s">
        <v>104</v>
      </c>
      <c r="G4671">
        <v>2</v>
      </c>
      <c r="H4671">
        <v>130</v>
      </c>
      <c r="I4671" s="25">
        <v>2900</v>
      </c>
      <c r="K4671" t="s">
        <v>605</v>
      </c>
      <c r="L4671" t="s">
        <v>114</v>
      </c>
      <c r="N4671" t="s">
        <v>40</v>
      </c>
      <c r="O4671">
        <v>75</v>
      </c>
      <c r="Q4671">
        <v>3</v>
      </c>
      <c r="R4671">
        <v>1</v>
      </c>
      <c r="S4671">
        <v>0</v>
      </c>
      <c r="T4671">
        <v>0</v>
      </c>
      <c r="U4671">
        <v>1</v>
      </c>
      <c r="V4671">
        <v>2</v>
      </c>
      <c r="W4671">
        <v>0</v>
      </c>
      <c r="X4671" s="21">
        <v>0</v>
      </c>
      <c r="Y4671" s="21">
        <v>0</v>
      </c>
      <c r="Z4671" s="21">
        <v>0</v>
      </c>
      <c r="AA4671" s="21">
        <v>0</v>
      </c>
      <c r="AB4671" s="21">
        <v>0</v>
      </c>
      <c r="AC4671" s="21">
        <v>0</v>
      </c>
      <c r="AD4671" s="21">
        <v>0</v>
      </c>
      <c r="AE4671" s="21">
        <v>0</v>
      </c>
      <c r="AF4671">
        <v>0</v>
      </c>
      <c r="AG4671">
        <v>0</v>
      </c>
      <c r="AH4671">
        <v>160</v>
      </c>
      <c r="AJ4671" t="s">
        <v>51</v>
      </c>
      <c r="AK4671" t="s">
        <v>95</v>
      </c>
      <c r="AP4671" t="s">
        <v>951</v>
      </c>
    </row>
    <row r="4672" spans="1:42">
      <c r="A4672" s="16">
        <v>43851</v>
      </c>
      <c r="B4672">
        <v>2</v>
      </c>
      <c r="C4672">
        <v>223</v>
      </c>
      <c r="D4672">
        <v>14448</v>
      </c>
      <c r="E4672" t="s">
        <v>112</v>
      </c>
      <c r="F4672" t="s">
        <v>104</v>
      </c>
      <c r="G4672">
        <v>2</v>
      </c>
      <c r="H4672">
        <v>131</v>
      </c>
      <c r="I4672" s="25">
        <v>2900</v>
      </c>
      <c r="K4672" t="s">
        <v>605</v>
      </c>
      <c r="L4672" t="s">
        <v>114</v>
      </c>
      <c r="N4672" t="s">
        <v>40</v>
      </c>
      <c r="O4672">
        <v>82</v>
      </c>
      <c r="Q4672">
        <v>2</v>
      </c>
      <c r="R4672">
        <v>1</v>
      </c>
      <c r="S4672">
        <v>0</v>
      </c>
      <c r="T4672">
        <v>0</v>
      </c>
      <c r="U4672">
        <v>1</v>
      </c>
      <c r="V4672">
        <v>1</v>
      </c>
      <c r="W4672">
        <v>0</v>
      </c>
      <c r="X4672" s="21">
        <v>0</v>
      </c>
      <c r="Y4672" s="21">
        <v>0</v>
      </c>
      <c r="Z4672" s="21">
        <v>0</v>
      </c>
      <c r="AA4672" s="21">
        <v>0</v>
      </c>
      <c r="AB4672" s="21">
        <v>0</v>
      </c>
      <c r="AC4672" s="21">
        <v>0</v>
      </c>
      <c r="AD4672" s="21">
        <v>0</v>
      </c>
      <c r="AE4672" s="21">
        <v>0</v>
      </c>
      <c r="AF4672">
        <v>0</v>
      </c>
      <c r="AG4672">
        <v>0</v>
      </c>
      <c r="AH4672">
        <v>96</v>
      </c>
      <c r="AJ4672" t="s">
        <v>51</v>
      </c>
      <c r="AK4672" t="s">
        <v>95</v>
      </c>
      <c r="AP4672" t="s">
        <v>951</v>
      </c>
    </row>
    <row r="4673" spans="1:42">
      <c r="A4673" s="16">
        <v>43851</v>
      </c>
      <c r="B4673">
        <v>2</v>
      </c>
      <c r="C4673">
        <v>223</v>
      </c>
      <c r="D4673">
        <v>14448</v>
      </c>
      <c r="E4673" t="s">
        <v>112</v>
      </c>
      <c r="F4673" t="s">
        <v>104</v>
      </c>
      <c r="G4673">
        <v>2</v>
      </c>
      <c r="H4673">
        <v>132</v>
      </c>
      <c r="I4673" s="25">
        <v>3000</v>
      </c>
      <c r="K4673" t="s">
        <v>605</v>
      </c>
      <c r="L4673" t="s">
        <v>114</v>
      </c>
      <c r="N4673" t="s">
        <v>40</v>
      </c>
      <c r="O4673">
        <v>49</v>
      </c>
      <c r="Q4673">
        <v>2</v>
      </c>
      <c r="R4673">
        <v>1</v>
      </c>
      <c r="S4673">
        <v>0</v>
      </c>
      <c r="T4673">
        <v>0</v>
      </c>
      <c r="U4673">
        <v>1</v>
      </c>
      <c r="V4673">
        <v>1</v>
      </c>
      <c r="W4673">
        <v>0</v>
      </c>
      <c r="X4673" s="21">
        <v>0</v>
      </c>
      <c r="Y4673" s="21">
        <v>0</v>
      </c>
      <c r="Z4673" s="21">
        <v>0</v>
      </c>
      <c r="AA4673" s="21">
        <v>0</v>
      </c>
      <c r="AB4673" s="21">
        <v>0</v>
      </c>
      <c r="AC4673" s="21">
        <v>0</v>
      </c>
      <c r="AD4673" s="21">
        <v>0</v>
      </c>
      <c r="AE4673" s="21">
        <v>0</v>
      </c>
      <c r="AF4673">
        <v>0</v>
      </c>
      <c r="AG4673">
        <v>0</v>
      </c>
      <c r="AH4673">
        <v>96</v>
      </c>
      <c r="AJ4673" t="s">
        <v>51</v>
      </c>
      <c r="AK4673" t="s">
        <v>95</v>
      </c>
      <c r="AP4673" t="s">
        <v>951</v>
      </c>
    </row>
    <row r="4674" spans="1:42">
      <c r="A4674" s="16">
        <v>43851</v>
      </c>
      <c r="B4674">
        <v>2</v>
      </c>
      <c r="C4674">
        <v>223</v>
      </c>
      <c r="D4674">
        <v>14448</v>
      </c>
      <c r="E4674" t="s">
        <v>112</v>
      </c>
      <c r="F4674" t="s">
        <v>104</v>
      </c>
      <c r="G4674">
        <v>2</v>
      </c>
      <c r="H4674">
        <v>133</v>
      </c>
      <c r="I4674" s="25">
        <v>3000</v>
      </c>
      <c r="K4674" t="s">
        <v>605</v>
      </c>
      <c r="L4674" t="s">
        <v>114</v>
      </c>
      <c r="N4674" t="s">
        <v>40</v>
      </c>
      <c r="O4674">
        <v>47</v>
      </c>
      <c r="Q4674">
        <v>2</v>
      </c>
      <c r="R4674">
        <v>1</v>
      </c>
      <c r="S4674">
        <v>0</v>
      </c>
      <c r="T4674">
        <v>0</v>
      </c>
      <c r="U4674">
        <v>1</v>
      </c>
      <c r="V4674">
        <v>1</v>
      </c>
      <c r="W4674">
        <v>0</v>
      </c>
      <c r="X4674" s="21">
        <v>0</v>
      </c>
      <c r="Y4674" s="21">
        <v>0</v>
      </c>
      <c r="Z4674" s="21">
        <v>0</v>
      </c>
      <c r="AA4674" s="21">
        <v>0</v>
      </c>
      <c r="AB4674" s="21">
        <v>0</v>
      </c>
      <c r="AC4674" s="21">
        <v>0</v>
      </c>
      <c r="AD4674" s="21">
        <v>0</v>
      </c>
      <c r="AE4674" s="21">
        <v>0</v>
      </c>
      <c r="AF4674">
        <v>0</v>
      </c>
      <c r="AG4674">
        <v>0</v>
      </c>
      <c r="AH4674">
        <v>96</v>
      </c>
      <c r="AJ4674" t="s">
        <v>51</v>
      </c>
      <c r="AK4674" t="s">
        <v>95</v>
      </c>
      <c r="AP4674" t="s">
        <v>951</v>
      </c>
    </row>
    <row r="4675" spans="1:42">
      <c r="A4675" s="16">
        <v>43851</v>
      </c>
      <c r="B4675">
        <v>2</v>
      </c>
      <c r="C4675">
        <v>223</v>
      </c>
      <c r="D4675">
        <v>14448</v>
      </c>
      <c r="E4675" t="s">
        <v>112</v>
      </c>
      <c r="F4675" t="s">
        <v>104</v>
      </c>
      <c r="G4675">
        <v>2</v>
      </c>
      <c r="H4675">
        <v>134</v>
      </c>
      <c r="I4675" s="25">
        <v>3000</v>
      </c>
      <c r="K4675" t="s">
        <v>605</v>
      </c>
      <c r="L4675" t="s">
        <v>114</v>
      </c>
      <c r="N4675" t="s">
        <v>40</v>
      </c>
      <c r="O4675">
        <v>57</v>
      </c>
      <c r="Q4675">
        <v>2</v>
      </c>
      <c r="R4675">
        <v>1</v>
      </c>
      <c r="S4675">
        <v>0</v>
      </c>
      <c r="T4675">
        <v>0</v>
      </c>
      <c r="U4675">
        <v>1</v>
      </c>
      <c r="V4675">
        <v>1</v>
      </c>
      <c r="W4675">
        <v>0</v>
      </c>
      <c r="X4675" s="21">
        <v>0</v>
      </c>
      <c r="Y4675" s="21">
        <v>0</v>
      </c>
      <c r="Z4675" s="21">
        <v>0</v>
      </c>
      <c r="AA4675" s="21">
        <v>0</v>
      </c>
      <c r="AB4675" s="21">
        <v>0</v>
      </c>
      <c r="AC4675" s="21">
        <v>0</v>
      </c>
      <c r="AD4675" s="21">
        <v>0</v>
      </c>
      <c r="AE4675" s="21">
        <v>0</v>
      </c>
      <c r="AF4675">
        <v>0</v>
      </c>
      <c r="AG4675">
        <v>0</v>
      </c>
      <c r="AH4675">
        <v>96</v>
      </c>
      <c r="AJ4675" t="s">
        <v>51</v>
      </c>
      <c r="AK4675" t="s">
        <v>95</v>
      </c>
      <c r="AP4675" t="s">
        <v>951</v>
      </c>
    </row>
    <row r="4676" spans="1:42">
      <c r="A4676" s="16">
        <v>43851</v>
      </c>
      <c r="B4676">
        <v>2</v>
      </c>
      <c r="C4676">
        <v>223</v>
      </c>
      <c r="D4676">
        <v>14448</v>
      </c>
      <c r="E4676" t="s">
        <v>112</v>
      </c>
      <c r="F4676" t="s">
        <v>104</v>
      </c>
      <c r="G4676">
        <v>2</v>
      </c>
      <c r="H4676">
        <v>135</v>
      </c>
      <c r="I4676" s="25">
        <v>3040</v>
      </c>
      <c r="K4676" t="s">
        <v>605</v>
      </c>
      <c r="L4676" t="s">
        <v>114</v>
      </c>
      <c r="N4676" t="s">
        <v>44</v>
      </c>
      <c r="O4676">
        <v>126</v>
      </c>
      <c r="Q4676">
        <v>2</v>
      </c>
      <c r="R4676">
        <v>1</v>
      </c>
      <c r="S4676">
        <v>0</v>
      </c>
      <c r="T4676">
        <v>0</v>
      </c>
      <c r="U4676">
        <v>2</v>
      </c>
      <c r="V4676">
        <v>0</v>
      </c>
      <c r="W4676">
        <v>0</v>
      </c>
      <c r="X4676" s="21">
        <v>0</v>
      </c>
      <c r="Y4676" s="21">
        <v>0</v>
      </c>
      <c r="Z4676" s="21">
        <v>0</v>
      </c>
      <c r="AA4676" s="21">
        <v>0</v>
      </c>
      <c r="AB4676" s="21">
        <v>0</v>
      </c>
      <c r="AC4676" s="21">
        <v>0</v>
      </c>
      <c r="AD4676" s="21">
        <v>0</v>
      </c>
      <c r="AE4676" s="21">
        <v>0</v>
      </c>
      <c r="AF4676">
        <v>0</v>
      </c>
      <c r="AG4676">
        <v>0</v>
      </c>
      <c r="AH4676">
        <v>64</v>
      </c>
      <c r="AJ4676" t="s">
        <v>51</v>
      </c>
      <c r="AK4676" t="s">
        <v>95</v>
      </c>
      <c r="AL4676" t="s">
        <v>1536</v>
      </c>
      <c r="AP4676" t="s">
        <v>951</v>
      </c>
    </row>
    <row r="4677" spans="1:42">
      <c r="A4677" s="16">
        <v>43851</v>
      </c>
      <c r="B4677">
        <v>2</v>
      </c>
      <c r="C4677">
        <v>223</v>
      </c>
      <c r="D4677">
        <v>14448</v>
      </c>
      <c r="E4677" t="s">
        <v>112</v>
      </c>
      <c r="F4677" t="s">
        <v>104</v>
      </c>
      <c r="G4677">
        <v>2</v>
      </c>
      <c r="H4677">
        <v>136</v>
      </c>
      <c r="I4677" s="25">
        <v>3000</v>
      </c>
      <c r="K4677" t="s">
        <v>605</v>
      </c>
      <c r="L4677" t="s">
        <v>114</v>
      </c>
      <c r="N4677" t="s">
        <v>40</v>
      </c>
      <c r="O4677">
        <v>98</v>
      </c>
      <c r="Q4677">
        <v>3</v>
      </c>
      <c r="R4677">
        <v>1</v>
      </c>
      <c r="S4677">
        <v>0</v>
      </c>
      <c r="T4677">
        <v>0</v>
      </c>
      <c r="U4677">
        <v>0</v>
      </c>
      <c r="V4677">
        <v>3</v>
      </c>
      <c r="W4677">
        <v>0</v>
      </c>
      <c r="X4677" s="21">
        <v>0</v>
      </c>
      <c r="Y4677" s="21">
        <v>0</v>
      </c>
      <c r="Z4677" s="21">
        <v>0</v>
      </c>
      <c r="AA4677" s="21">
        <v>0</v>
      </c>
      <c r="AB4677" s="21">
        <v>0</v>
      </c>
      <c r="AC4677" s="21">
        <v>0</v>
      </c>
      <c r="AD4677" s="21">
        <v>0</v>
      </c>
      <c r="AE4677" s="21">
        <v>0</v>
      </c>
      <c r="AF4677">
        <v>0</v>
      </c>
      <c r="AG4677">
        <v>0</v>
      </c>
      <c r="AH4677">
        <v>192</v>
      </c>
      <c r="AJ4677" t="s">
        <v>51</v>
      </c>
      <c r="AK4677" t="s">
        <v>95</v>
      </c>
      <c r="AL4677" t="s">
        <v>1089</v>
      </c>
      <c r="AP4677" t="s">
        <v>951</v>
      </c>
    </row>
    <row r="4678" spans="1:42">
      <c r="A4678" s="16">
        <v>43851</v>
      </c>
      <c r="B4678">
        <v>2</v>
      </c>
      <c r="C4678">
        <v>223</v>
      </c>
      <c r="D4678">
        <v>14448</v>
      </c>
      <c r="E4678" t="s">
        <v>112</v>
      </c>
      <c r="F4678" t="s">
        <v>104</v>
      </c>
      <c r="G4678">
        <v>2</v>
      </c>
      <c r="H4678">
        <v>137</v>
      </c>
      <c r="I4678" s="25">
        <v>3000</v>
      </c>
      <c r="K4678" t="s">
        <v>605</v>
      </c>
      <c r="L4678" t="s">
        <v>114</v>
      </c>
      <c r="N4678" t="s">
        <v>40</v>
      </c>
      <c r="O4678">
        <v>60</v>
      </c>
      <c r="Q4678">
        <v>2</v>
      </c>
      <c r="R4678">
        <v>1</v>
      </c>
      <c r="S4678">
        <v>0</v>
      </c>
      <c r="T4678">
        <v>0</v>
      </c>
      <c r="U4678">
        <v>1</v>
      </c>
      <c r="V4678">
        <v>1</v>
      </c>
      <c r="W4678">
        <v>0</v>
      </c>
      <c r="X4678" s="21">
        <v>0</v>
      </c>
      <c r="Y4678" s="21">
        <v>0</v>
      </c>
      <c r="Z4678" s="21">
        <v>0</v>
      </c>
      <c r="AA4678" s="21">
        <v>0</v>
      </c>
      <c r="AB4678" s="21">
        <v>0</v>
      </c>
      <c r="AC4678" s="21">
        <v>0</v>
      </c>
      <c r="AD4678" s="21">
        <v>0</v>
      </c>
      <c r="AE4678" s="21">
        <v>0</v>
      </c>
      <c r="AF4678">
        <v>0</v>
      </c>
      <c r="AG4678">
        <v>0</v>
      </c>
      <c r="AH4678">
        <v>96</v>
      </c>
      <c r="AJ4678" t="s">
        <v>51</v>
      </c>
      <c r="AK4678" t="s">
        <v>95</v>
      </c>
      <c r="AP4678" t="s">
        <v>951</v>
      </c>
    </row>
    <row r="4679" spans="1:42">
      <c r="A4679" s="16">
        <v>43851</v>
      </c>
      <c r="B4679">
        <v>2</v>
      </c>
      <c r="C4679">
        <v>223</v>
      </c>
      <c r="D4679">
        <v>14448</v>
      </c>
      <c r="E4679" t="s">
        <v>112</v>
      </c>
      <c r="F4679" t="s">
        <v>104</v>
      </c>
      <c r="G4679">
        <v>2</v>
      </c>
      <c r="H4679">
        <v>138</v>
      </c>
      <c r="I4679" s="25">
        <v>3000</v>
      </c>
      <c r="K4679" t="s">
        <v>605</v>
      </c>
      <c r="L4679" t="s">
        <v>114</v>
      </c>
      <c r="N4679" t="s">
        <v>40</v>
      </c>
      <c r="O4679">
        <v>80</v>
      </c>
      <c r="Q4679">
        <v>3</v>
      </c>
      <c r="R4679">
        <v>1</v>
      </c>
      <c r="S4679">
        <v>0</v>
      </c>
      <c r="T4679">
        <v>0</v>
      </c>
      <c r="U4679">
        <v>0</v>
      </c>
      <c r="V4679">
        <v>1</v>
      </c>
      <c r="W4679">
        <v>1</v>
      </c>
      <c r="X4679" s="21">
        <v>0</v>
      </c>
      <c r="Y4679" s="21">
        <v>0</v>
      </c>
      <c r="Z4679" s="21">
        <v>0</v>
      </c>
      <c r="AA4679" s="21">
        <v>0</v>
      </c>
      <c r="AB4679" s="21">
        <v>0</v>
      </c>
      <c r="AC4679" s="21">
        <v>0</v>
      </c>
      <c r="AD4679" s="21">
        <v>0</v>
      </c>
      <c r="AE4679" s="21">
        <v>0</v>
      </c>
      <c r="AF4679">
        <v>0</v>
      </c>
      <c r="AG4679">
        <v>0</v>
      </c>
      <c r="AH4679">
        <v>160</v>
      </c>
      <c r="AJ4679" t="s">
        <v>51</v>
      </c>
      <c r="AK4679" t="s">
        <v>95</v>
      </c>
      <c r="AP4679" t="s">
        <v>951</v>
      </c>
    </row>
    <row r="4680" spans="1:42">
      <c r="A4680" s="16">
        <v>43851</v>
      </c>
      <c r="B4680">
        <v>2</v>
      </c>
      <c r="C4680">
        <v>223</v>
      </c>
      <c r="D4680">
        <v>14448</v>
      </c>
      <c r="E4680" t="s">
        <v>112</v>
      </c>
      <c r="F4680" t="s">
        <v>104</v>
      </c>
      <c r="G4680">
        <v>2</v>
      </c>
      <c r="H4680">
        <v>139</v>
      </c>
      <c r="I4680" s="25" t="s">
        <v>1537</v>
      </c>
      <c r="K4680" t="s">
        <v>605</v>
      </c>
      <c r="N4680" t="s">
        <v>44</v>
      </c>
      <c r="O4680">
        <v>126</v>
      </c>
      <c r="Q4680">
        <v>2</v>
      </c>
      <c r="R4680">
        <v>1</v>
      </c>
      <c r="S4680">
        <v>0</v>
      </c>
      <c r="T4680">
        <v>0</v>
      </c>
      <c r="U4680">
        <v>0</v>
      </c>
      <c r="V4680">
        <v>1</v>
      </c>
      <c r="W4680">
        <v>1</v>
      </c>
      <c r="X4680" s="21">
        <v>0</v>
      </c>
      <c r="Y4680" s="21">
        <v>0</v>
      </c>
      <c r="Z4680" s="21">
        <v>0</v>
      </c>
      <c r="AA4680" s="21">
        <v>0</v>
      </c>
      <c r="AB4680" s="21">
        <v>0</v>
      </c>
      <c r="AC4680" s="21">
        <v>0</v>
      </c>
      <c r="AD4680" s="21">
        <v>0</v>
      </c>
      <c r="AE4680" s="21">
        <v>0</v>
      </c>
      <c r="AF4680">
        <v>0</v>
      </c>
      <c r="AG4680">
        <v>0</v>
      </c>
      <c r="AH4680">
        <v>160</v>
      </c>
      <c r="AJ4680" t="s">
        <v>51</v>
      </c>
      <c r="AK4680" t="s">
        <v>95</v>
      </c>
      <c r="AL4680" t="s">
        <v>1396</v>
      </c>
      <c r="AP4680" t="s">
        <v>951</v>
      </c>
    </row>
    <row r="4681" spans="1:42">
      <c r="A4681" s="16">
        <v>43851</v>
      </c>
      <c r="B4681">
        <v>2</v>
      </c>
      <c r="C4681">
        <v>223</v>
      </c>
      <c r="D4681">
        <v>14448</v>
      </c>
      <c r="E4681" t="s">
        <v>112</v>
      </c>
      <c r="F4681" t="s">
        <v>104</v>
      </c>
      <c r="G4681">
        <v>2</v>
      </c>
      <c r="H4681">
        <v>140</v>
      </c>
      <c r="I4681" s="25">
        <v>3100</v>
      </c>
      <c r="K4681" t="s">
        <v>605</v>
      </c>
      <c r="L4681" t="s">
        <v>114</v>
      </c>
      <c r="N4681" t="s">
        <v>40</v>
      </c>
      <c r="O4681">
        <v>74</v>
      </c>
      <c r="Q4681">
        <v>2</v>
      </c>
      <c r="R4681">
        <v>1</v>
      </c>
      <c r="S4681">
        <v>0</v>
      </c>
      <c r="T4681">
        <v>0</v>
      </c>
      <c r="U4681">
        <v>0</v>
      </c>
      <c r="V4681">
        <v>2</v>
      </c>
      <c r="W4681">
        <v>0</v>
      </c>
      <c r="X4681" s="21">
        <v>0</v>
      </c>
      <c r="Y4681" s="21">
        <v>0</v>
      </c>
      <c r="Z4681" s="21">
        <v>0</v>
      </c>
      <c r="AA4681" s="21">
        <v>0</v>
      </c>
      <c r="AB4681" s="21">
        <v>0</v>
      </c>
      <c r="AC4681" s="21">
        <v>0</v>
      </c>
      <c r="AD4681" s="21">
        <v>0</v>
      </c>
      <c r="AE4681" s="21">
        <v>0</v>
      </c>
      <c r="AF4681">
        <v>0</v>
      </c>
      <c r="AG4681">
        <v>0</v>
      </c>
      <c r="AH4681">
        <v>128</v>
      </c>
      <c r="AJ4681" t="s">
        <v>54</v>
      </c>
      <c r="AK4681" t="s">
        <v>95</v>
      </c>
      <c r="AP4681" t="s">
        <v>951</v>
      </c>
    </row>
    <row r="4682" spans="1:42">
      <c r="A4682" s="16">
        <v>43851</v>
      </c>
      <c r="B4682">
        <v>2</v>
      </c>
      <c r="C4682">
        <v>223</v>
      </c>
      <c r="D4682">
        <v>14448</v>
      </c>
      <c r="E4682" t="s">
        <v>112</v>
      </c>
      <c r="F4682" t="s">
        <v>104</v>
      </c>
      <c r="G4682">
        <v>2</v>
      </c>
      <c r="H4682">
        <v>141</v>
      </c>
      <c r="I4682" s="25">
        <v>3100</v>
      </c>
      <c r="K4682" t="s">
        <v>605</v>
      </c>
      <c r="L4682" t="s">
        <v>114</v>
      </c>
      <c r="N4682" t="s">
        <v>40</v>
      </c>
      <c r="O4682">
        <v>230</v>
      </c>
      <c r="Q4682">
        <v>5</v>
      </c>
      <c r="R4682">
        <v>1</v>
      </c>
      <c r="S4682">
        <v>0</v>
      </c>
      <c r="T4682">
        <v>0</v>
      </c>
      <c r="U4682">
        <v>2</v>
      </c>
      <c r="V4682">
        <v>3</v>
      </c>
      <c r="W4682">
        <v>0</v>
      </c>
      <c r="X4682" s="21">
        <v>0</v>
      </c>
      <c r="Y4682" s="21">
        <v>0</v>
      </c>
      <c r="Z4682" s="21">
        <v>0</v>
      </c>
      <c r="AA4682" s="21">
        <v>0</v>
      </c>
      <c r="AB4682" s="21">
        <v>0</v>
      </c>
      <c r="AC4682" s="21">
        <v>0</v>
      </c>
      <c r="AD4682" s="21">
        <v>0</v>
      </c>
      <c r="AE4682" s="21">
        <v>0</v>
      </c>
      <c r="AF4682">
        <v>0</v>
      </c>
      <c r="AG4682">
        <v>0</v>
      </c>
      <c r="AH4682">
        <v>256</v>
      </c>
      <c r="AJ4682" t="s">
        <v>54</v>
      </c>
      <c r="AK4682" t="s">
        <v>95</v>
      </c>
      <c r="AP4682" t="s">
        <v>951</v>
      </c>
    </row>
    <row r="4683" spans="1:42">
      <c r="A4683" s="16">
        <v>43851</v>
      </c>
      <c r="B4683">
        <v>2</v>
      </c>
      <c r="C4683">
        <v>223</v>
      </c>
      <c r="D4683">
        <v>14448</v>
      </c>
      <c r="E4683" t="s">
        <v>112</v>
      </c>
      <c r="F4683" t="s">
        <v>104</v>
      </c>
      <c r="G4683">
        <v>2</v>
      </c>
      <c r="H4683">
        <v>142</v>
      </c>
      <c r="I4683" s="25">
        <v>3196</v>
      </c>
      <c r="K4683" t="s">
        <v>605</v>
      </c>
      <c r="N4683" t="s">
        <v>44</v>
      </c>
      <c r="O4683">
        <v>117</v>
      </c>
      <c r="Q4683">
        <v>2</v>
      </c>
      <c r="R4683">
        <v>1</v>
      </c>
      <c r="S4683">
        <v>0</v>
      </c>
      <c r="T4683">
        <v>0</v>
      </c>
      <c r="U4683">
        <v>2</v>
      </c>
      <c r="V4683">
        <v>0</v>
      </c>
      <c r="W4683">
        <v>0</v>
      </c>
      <c r="X4683" s="21">
        <v>0</v>
      </c>
      <c r="Y4683" s="21">
        <v>0</v>
      </c>
      <c r="Z4683" s="21">
        <v>0</v>
      </c>
      <c r="AA4683" s="21">
        <v>0</v>
      </c>
      <c r="AB4683" s="21">
        <v>0</v>
      </c>
      <c r="AC4683" s="21">
        <v>0</v>
      </c>
      <c r="AD4683" s="21">
        <v>0</v>
      </c>
      <c r="AE4683" s="21">
        <v>0</v>
      </c>
      <c r="AF4683">
        <v>0</v>
      </c>
      <c r="AG4683">
        <v>0</v>
      </c>
      <c r="AH4683">
        <v>64</v>
      </c>
      <c r="AJ4683" t="s">
        <v>54</v>
      </c>
      <c r="AK4683" t="s">
        <v>95</v>
      </c>
      <c r="AL4683" t="s">
        <v>1374</v>
      </c>
      <c r="AP4683" t="s">
        <v>951</v>
      </c>
    </row>
    <row r="4684" spans="1:42">
      <c r="A4684" s="16">
        <v>43851</v>
      </c>
      <c r="B4684">
        <v>2</v>
      </c>
      <c r="C4684">
        <v>223</v>
      </c>
      <c r="D4684">
        <v>14448</v>
      </c>
      <c r="E4684" t="s">
        <v>112</v>
      </c>
      <c r="F4684" t="s">
        <v>104</v>
      </c>
      <c r="G4684">
        <v>2</v>
      </c>
      <c r="H4684">
        <v>143</v>
      </c>
      <c r="I4684" s="25">
        <v>3198</v>
      </c>
      <c r="K4684" t="s">
        <v>605</v>
      </c>
      <c r="N4684" t="s">
        <v>44</v>
      </c>
      <c r="O4684">
        <v>168</v>
      </c>
      <c r="Q4684">
        <v>1</v>
      </c>
      <c r="R4684">
        <v>1</v>
      </c>
      <c r="S4684">
        <v>0</v>
      </c>
      <c r="T4684">
        <v>0</v>
      </c>
      <c r="U4684">
        <v>0</v>
      </c>
      <c r="V4684">
        <v>1</v>
      </c>
      <c r="W4684">
        <v>0</v>
      </c>
      <c r="X4684" s="21">
        <v>0</v>
      </c>
      <c r="Y4684" s="21">
        <v>0</v>
      </c>
      <c r="Z4684" s="21">
        <v>0</v>
      </c>
      <c r="AA4684" s="21">
        <v>0</v>
      </c>
      <c r="AB4684" s="21">
        <v>0</v>
      </c>
      <c r="AC4684" s="21">
        <v>0</v>
      </c>
      <c r="AD4684" s="21">
        <v>0</v>
      </c>
      <c r="AE4684" s="21">
        <v>0</v>
      </c>
      <c r="AF4684">
        <v>0</v>
      </c>
      <c r="AG4684">
        <v>0</v>
      </c>
      <c r="AH4684">
        <v>64</v>
      </c>
      <c r="AJ4684" t="s">
        <v>54</v>
      </c>
      <c r="AK4684" t="s">
        <v>95</v>
      </c>
      <c r="AP4684" t="s">
        <v>951</v>
      </c>
    </row>
    <row r="4685" spans="1:42">
      <c r="A4685" s="16">
        <v>43851</v>
      </c>
      <c r="B4685">
        <v>2</v>
      </c>
      <c r="C4685">
        <v>223</v>
      </c>
      <c r="D4685">
        <v>14448</v>
      </c>
      <c r="E4685" t="s">
        <v>112</v>
      </c>
      <c r="F4685" t="s">
        <v>104</v>
      </c>
      <c r="G4685">
        <v>2</v>
      </c>
      <c r="H4685">
        <v>144</v>
      </c>
      <c r="I4685" s="25">
        <v>3095</v>
      </c>
      <c r="K4685" t="s">
        <v>605</v>
      </c>
      <c r="N4685" t="s">
        <v>44</v>
      </c>
      <c r="O4685">
        <v>95</v>
      </c>
      <c r="Q4685">
        <v>1</v>
      </c>
      <c r="R4685">
        <v>1</v>
      </c>
      <c r="S4685">
        <v>0</v>
      </c>
      <c r="T4685">
        <v>0</v>
      </c>
      <c r="U4685">
        <v>1</v>
      </c>
      <c r="V4685">
        <v>0</v>
      </c>
      <c r="W4685">
        <v>0</v>
      </c>
      <c r="X4685" s="21">
        <v>0</v>
      </c>
      <c r="Y4685" s="21">
        <v>0</v>
      </c>
      <c r="Z4685" s="21">
        <v>0</v>
      </c>
      <c r="AA4685" s="21">
        <v>0</v>
      </c>
      <c r="AB4685" s="21">
        <v>0</v>
      </c>
      <c r="AC4685" s="21">
        <v>0</v>
      </c>
      <c r="AD4685" s="21">
        <v>0</v>
      </c>
      <c r="AE4685" s="21">
        <v>0</v>
      </c>
      <c r="AF4685">
        <v>0</v>
      </c>
      <c r="AG4685">
        <v>0</v>
      </c>
      <c r="AH4685">
        <v>32</v>
      </c>
      <c r="AJ4685" t="s">
        <v>51</v>
      </c>
      <c r="AK4685" t="s">
        <v>95</v>
      </c>
      <c r="AP4685" t="s">
        <v>951</v>
      </c>
    </row>
    <row r="4686" spans="1:42">
      <c r="A4686" s="16">
        <v>43851</v>
      </c>
      <c r="B4686">
        <v>2</v>
      </c>
      <c r="C4686">
        <v>223</v>
      </c>
      <c r="D4686">
        <v>14448</v>
      </c>
      <c r="E4686" t="s">
        <v>112</v>
      </c>
      <c r="F4686" t="s">
        <v>104</v>
      </c>
      <c r="G4686">
        <v>2</v>
      </c>
      <c r="H4686">
        <v>145</v>
      </c>
      <c r="I4686" s="25">
        <v>3000</v>
      </c>
      <c r="K4686" t="s">
        <v>605</v>
      </c>
      <c r="L4686" t="s">
        <v>141</v>
      </c>
      <c r="N4686" t="s">
        <v>40</v>
      </c>
      <c r="O4686">
        <v>94</v>
      </c>
      <c r="Q4686">
        <v>4</v>
      </c>
      <c r="R4686">
        <v>1</v>
      </c>
      <c r="S4686">
        <v>1</v>
      </c>
      <c r="T4686">
        <v>0</v>
      </c>
      <c r="U4686">
        <v>2</v>
      </c>
      <c r="V4686">
        <v>1</v>
      </c>
      <c r="W4686">
        <v>0</v>
      </c>
      <c r="X4686" s="21">
        <v>0</v>
      </c>
      <c r="Y4686" s="21">
        <v>0</v>
      </c>
      <c r="Z4686" s="21">
        <v>0</v>
      </c>
      <c r="AA4686" s="21">
        <v>0</v>
      </c>
      <c r="AB4686" s="21">
        <v>0</v>
      </c>
      <c r="AC4686" s="21">
        <v>0</v>
      </c>
      <c r="AD4686" s="21">
        <v>0</v>
      </c>
      <c r="AE4686" s="21">
        <v>0</v>
      </c>
      <c r="AF4686">
        <v>0</v>
      </c>
      <c r="AG4686">
        <v>0</v>
      </c>
      <c r="AH4686">
        <v>144</v>
      </c>
      <c r="AJ4686" t="s">
        <v>51</v>
      </c>
      <c r="AK4686" t="s">
        <v>95</v>
      </c>
      <c r="AP4686" t="s">
        <v>951</v>
      </c>
    </row>
    <row r="4687" spans="1:42">
      <c r="A4687" s="16">
        <v>43851</v>
      </c>
      <c r="B4687">
        <v>2</v>
      </c>
      <c r="C4687">
        <v>223</v>
      </c>
      <c r="D4687">
        <v>14448</v>
      </c>
      <c r="E4687" t="s">
        <v>112</v>
      </c>
      <c r="F4687" t="s">
        <v>104</v>
      </c>
      <c r="G4687">
        <v>2</v>
      </c>
      <c r="H4687">
        <v>146</v>
      </c>
      <c r="I4687" s="25">
        <v>3000</v>
      </c>
      <c r="K4687" t="s">
        <v>605</v>
      </c>
      <c r="L4687" t="s">
        <v>141</v>
      </c>
      <c r="N4687" t="s">
        <v>40</v>
      </c>
      <c r="O4687">
        <v>22</v>
      </c>
      <c r="Q4687">
        <v>1</v>
      </c>
      <c r="R4687">
        <v>1</v>
      </c>
      <c r="S4687">
        <v>1</v>
      </c>
      <c r="T4687">
        <v>0</v>
      </c>
      <c r="U4687">
        <v>0</v>
      </c>
      <c r="V4687">
        <v>0</v>
      </c>
      <c r="W4687">
        <v>0</v>
      </c>
      <c r="X4687" s="21">
        <v>0</v>
      </c>
      <c r="Y4687" s="21">
        <v>0</v>
      </c>
      <c r="Z4687" s="21">
        <v>0</v>
      </c>
      <c r="AA4687" s="21">
        <v>0</v>
      </c>
      <c r="AB4687" s="21">
        <v>0</v>
      </c>
      <c r="AC4687" s="21">
        <v>0</v>
      </c>
      <c r="AD4687" s="21">
        <v>0</v>
      </c>
      <c r="AE4687" s="21">
        <v>0</v>
      </c>
      <c r="AF4687">
        <v>0</v>
      </c>
      <c r="AG4687">
        <v>0</v>
      </c>
      <c r="AH4687">
        <v>16</v>
      </c>
      <c r="AJ4687" t="s">
        <v>51</v>
      </c>
      <c r="AK4687" t="s">
        <v>95</v>
      </c>
      <c r="AP4687" t="s">
        <v>951</v>
      </c>
    </row>
    <row r="4688" spans="1:42">
      <c r="A4688" s="16">
        <v>43851</v>
      </c>
      <c r="B4688">
        <v>2</v>
      </c>
      <c r="C4688">
        <v>223</v>
      </c>
      <c r="D4688">
        <v>14448</v>
      </c>
      <c r="E4688" t="s">
        <v>112</v>
      </c>
      <c r="F4688" t="s">
        <v>104</v>
      </c>
      <c r="G4688">
        <v>2</v>
      </c>
      <c r="H4688">
        <v>147</v>
      </c>
      <c r="I4688" s="25">
        <v>3000</v>
      </c>
      <c r="K4688" t="s">
        <v>605</v>
      </c>
      <c r="L4688" t="s">
        <v>141</v>
      </c>
      <c r="N4688" t="s">
        <v>40</v>
      </c>
      <c r="O4688">
        <v>29</v>
      </c>
      <c r="Q4688">
        <v>1</v>
      </c>
      <c r="R4688">
        <v>1</v>
      </c>
      <c r="S4688">
        <v>0</v>
      </c>
      <c r="T4688">
        <v>0</v>
      </c>
      <c r="U4688">
        <v>1</v>
      </c>
      <c r="V4688">
        <v>0</v>
      </c>
      <c r="W4688">
        <v>0</v>
      </c>
      <c r="X4688" s="21">
        <v>0</v>
      </c>
      <c r="Y4688" s="21">
        <v>0</v>
      </c>
      <c r="Z4688" s="21">
        <v>0</v>
      </c>
      <c r="AA4688" s="21">
        <v>0</v>
      </c>
      <c r="AB4688" s="21">
        <v>0</v>
      </c>
      <c r="AC4688" s="21">
        <v>0</v>
      </c>
      <c r="AD4688" s="21">
        <v>0</v>
      </c>
      <c r="AE4688" s="21">
        <v>0</v>
      </c>
      <c r="AF4688">
        <v>0</v>
      </c>
      <c r="AG4688">
        <v>0</v>
      </c>
      <c r="AH4688">
        <v>32</v>
      </c>
      <c r="AJ4688" t="s">
        <v>51</v>
      </c>
      <c r="AK4688" t="s">
        <v>95</v>
      </c>
      <c r="AP4688" t="s">
        <v>951</v>
      </c>
    </row>
    <row r="4689" spans="1:42">
      <c r="A4689" s="16">
        <v>43851</v>
      </c>
      <c r="B4689">
        <v>2</v>
      </c>
      <c r="C4689">
        <v>223</v>
      </c>
      <c r="D4689">
        <v>14448</v>
      </c>
      <c r="E4689" t="s">
        <v>112</v>
      </c>
      <c r="F4689" t="s">
        <v>104</v>
      </c>
      <c r="G4689">
        <v>2</v>
      </c>
      <c r="H4689">
        <v>148</v>
      </c>
      <c r="I4689" s="25">
        <v>3000</v>
      </c>
      <c r="K4689" t="s">
        <v>605</v>
      </c>
      <c r="L4689" t="s">
        <v>141</v>
      </c>
      <c r="N4689" t="s">
        <v>40</v>
      </c>
      <c r="O4689">
        <v>38</v>
      </c>
      <c r="Q4689">
        <v>1</v>
      </c>
      <c r="R4689">
        <v>1</v>
      </c>
      <c r="S4689">
        <v>0</v>
      </c>
      <c r="T4689">
        <v>0</v>
      </c>
      <c r="U4689">
        <v>0</v>
      </c>
      <c r="V4689">
        <v>1</v>
      </c>
      <c r="W4689">
        <v>0</v>
      </c>
      <c r="X4689" s="21">
        <v>0</v>
      </c>
      <c r="Y4689" s="21">
        <v>0</v>
      </c>
      <c r="Z4689" s="21">
        <v>0</v>
      </c>
      <c r="AA4689" s="21">
        <v>0</v>
      </c>
      <c r="AB4689" s="21">
        <v>0</v>
      </c>
      <c r="AC4689" s="21">
        <v>0</v>
      </c>
      <c r="AD4689" s="21">
        <v>0</v>
      </c>
      <c r="AE4689" s="21">
        <v>0</v>
      </c>
      <c r="AF4689">
        <v>0</v>
      </c>
      <c r="AG4689">
        <v>0</v>
      </c>
      <c r="AH4689">
        <v>64</v>
      </c>
      <c r="AJ4689" t="s">
        <v>51</v>
      </c>
      <c r="AK4689" t="s">
        <v>95</v>
      </c>
      <c r="AP4689" t="s">
        <v>951</v>
      </c>
    </row>
    <row r="4690" spans="1:42">
      <c r="A4690" s="16">
        <v>43851</v>
      </c>
      <c r="B4690">
        <v>2</v>
      </c>
      <c r="C4690">
        <v>223</v>
      </c>
      <c r="D4690">
        <v>14448</v>
      </c>
      <c r="E4690" t="s">
        <v>112</v>
      </c>
      <c r="F4690" t="s">
        <v>104</v>
      </c>
      <c r="G4690">
        <v>2</v>
      </c>
      <c r="H4690">
        <v>149</v>
      </c>
      <c r="I4690" s="25">
        <v>3065</v>
      </c>
      <c r="K4690" t="s">
        <v>605</v>
      </c>
      <c r="N4690" t="s">
        <v>44</v>
      </c>
      <c r="O4690">
        <v>87</v>
      </c>
      <c r="Q4690">
        <v>1</v>
      </c>
      <c r="R4690">
        <v>1</v>
      </c>
      <c r="S4690">
        <v>0</v>
      </c>
      <c r="T4690">
        <v>0</v>
      </c>
      <c r="U4690">
        <v>1</v>
      </c>
      <c r="V4690">
        <v>0</v>
      </c>
      <c r="W4690">
        <v>0</v>
      </c>
      <c r="X4690" s="21">
        <v>0</v>
      </c>
      <c r="Y4690" s="21">
        <v>0</v>
      </c>
      <c r="Z4690" s="21">
        <v>0</v>
      </c>
      <c r="AA4690" s="21">
        <v>0</v>
      </c>
      <c r="AB4690" s="21">
        <v>0</v>
      </c>
      <c r="AC4690" s="21">
        <v>0</v>
      </c>
      <c r="AD4690" s="21">
        <v>0</v>
      </c>
      <c r="AE4690" s="21">
        <v>0</v>
      </c>
      <c r="AF4690">
        <v>0</v>
      </c>
      <c r="AG4690">
        <v>0</v>
      </c>
      <c r="AH4690">
        <v>32</v>
      </c>
      <c r="AJ4690" t="s">
        <v>51</v>
      </c>
      <c r="AK4690" t="s">
        <v>95</v>
      </c>
      <c r="AP4690" t="s">
        <v>951</v>
      </c>
    </row>
    <row r="4691" spans="1:42">
      <c r="A4691" s="16">
        <v>43851</v>
      </c>
      <c r="B4691">
        <v>2</v>
      </c>
      <c r="C4691">
        <v>223</v>
      </c>
      <c r="D4691">
        <v>14448</v>
      </c>
      <c r="E4691" t="s">
        <v>112</v>
      </c>
      <c r="F4691" t="s">
        <v>104</v>
      </c>
      <c r="G4691">
        <v>2</v>
      </c>
      <c r="H4691">
        <v>150</v>
      </c>
      <c r="I4691" s="25">
        <v>2961</v>
      </c>
      <c r="K4691" t="s">
        <v>605</v>
      </c>
      <c r="L4691" t="s">
        <v>141</v>
      </c>
      <c r="N4691" t="s">
        <v>42</v>
      </c>
      <c r="O4691">
        <v>144</v>
      </c>
      <c r="Q4691">
        <v>3</v>
      </c>
      <c r="R4691">
        <v>1</v>
      </c>
      <c r="S4691">
        <v>0</v>
      </c>
      <c r="T4691">
        <v>0</v>
      </c>
      <c r="U4691">
        <v>1</v>
      </c>
      <c r="V4691">
        <v>2</v>
      </c>
      <c r="W4691">
        <v>0</v>
      </c>
      <c r="X4691" s="21">
        <v>0</v>
      </c>
      <c r="Y4691" s="21">
        <v>0</v>
      </c>
      <c r="Z4691" s="21">
        <v>0</v>
      </c>
      <c r="AA4691" s="21">
        <v>0</v>
      </c>
      <c r="AB4691" s="21">
        <v>0</v>
      </c>
      <c r="AC4691" s="21">
        <v>0</v>
      </c>
      <c r="AD4691" s="21">
        <v>0</v>
      </c>
      <c r="AE4691" s="21">
        <v>0</v>
      </c>
      <c r="AF4691">
        <v>0</v>
      </c>
      <c r="AG4691">
        <v>0</v>
      </c>
      <c r="AH4691">
        <v>160</v>
      </c>
      <c r="AJ4691" t="s">
        <v>51</v>
      </c>
      <c r="AK4691" t="s">
        <v>95</v>
      </c>
      <c r="AP4691" t="s">
        <v>951</v>
      </c>
    </row>
    <row r="4692" spans="1:42">
      <c r="A4692" s="16">
        <v>43851</v>
      </c>
      <c r="B4692">
        <v>2</v>
      </c>
      <c r="C4692">
        <v>223</v>
      </c>
      <c r="D4692">
        <v>14448</v>
      </c>
      <c r="E4692" t="s">
        <v>112</v>
      </c>
      <c r="F4692" t="s">
        <v>104</v>
      </c>
      <c r="G4692">
        <v>2</v>
      </c>
      <c r="H4692">
        <v>151</v>
      </c>
      <c r="I4692" s="25">
        <v>2953</v>
      </c>
      <c r="K4692" t="s">
        <v>605</v>
      </c>
      <c r="N4692" t="s">
        <v>44</v>
      </c>
      <c r="O4692">
        <v>165</v>
      </c>
      <c r="Q4692">
        <v>3</v>
      </c>
      <c r="R4692">
        <v>1</v>
      </c>
      <c r="S4692">
        <v>0</v>
      </c>
      <c r="T4692">
        <v>0</v>
      </c>
      <c r="U4692">
        <v>1</v>
      </c>
      <c r="V4692">
        <v>2</v>
      </c>
      <c r="W4692">
        <v>0</v>
      </c>
      <c r="X4692" s="21">
        <v>0</v>
      </c>
      <c r="Y4692" s="21">
        <v>0</v>
      </c>
      <c r="Z4692" s="21">
        <v>0</v>
      </c>
      <c r="AA4692" s="21">
        <v>0</v>
      </c>
      <c r="AB4692" s="21">
        <v>0</v>
      </c>
      <c r="AC4692" s="21">
        <v>0</v>
      </c>
      <c r="AD4692" s="21">
        <v>0</v>
      </c>
      <c r="AE4692" s="21">
        <v>0</v>
      </c>
      <c r="AF4692">
        <v>0</v>
      </c>
      <c r="AG4692">
        <v>0</v>
      </c>
      <c r="AH4692">
        <v>160</v>
      </c>
      <c r="AJ4692" t="s">
        <v>51</v>
      </c>
      <c r="AK4692" t="s">
        <v>95</v>
      </c>
      <c r="AP4692" t="s">
        <v>951</v>
      </c>
    </row>
    <row r="4693" spans="1:42">
      <c r="A4693" s="16">
        <v>43851</v>
      </c>
      <c r="B4693">
        <v>2</v>
      </c>
      <c r="C4693">
        <v>223</v>
      </c>
      <c r="D4693">
        <v>14448</v>
      </c>
      <c r="E4693" t="s">
        <v>112</v>
      </c>
      <c r="F4693" t="s">
        <v>104</v>
      </c>
      <c r="G4693">
        <v>2</v>
      </c>
      <c r="H4693">
        <v>152</v>
      </c>
      <c r="I4693" s="25">
        <v>2800</v>
      </c>
      <c r="K4693" t="s">
        <v>605</v>
      </c>
      <c r="L4693" t="s">
        <v>141</v>
      </c>
      <c r="N4693" t="s">
        <v>40</v>
      </c>
      <c r="O4693">
        <v>75</v>
      </c>
      <c r="Q4693">
        <v>2</v>
      </c>
      <c r="R4693">
        <v>1</v>
      </c>
      <c r="S4693">
        <v>1</v>
      </c>
      <c r="T4693">
        <v>0</v>
      </c>
      <c r="U4693">
        <v>1</v>
      </c>
      <c r="V4693">
        <v>0</v>
      </c>
      <c r="W4693">
        <v>0</v>
      </c>
      <c r="X4693" s="21">
        <v>0</v>
      </c>
      <c r="Y4693" s="21">
        <v>0</v>
      </c>
      <c r="Z4693" s="21">
        <v>0</v>
      </c>
      <c r="AA4693" s="21">
        <v>0</v>
      </c>
      <c r="AB4693" s="21">
        <v>0</v>
      </c>
      <c r="AC4693" s="21">
        <v>0</v>
      </c>
      <c r="AD4693" s="21">
        <v>0</v>
      </c>
      <c r="AE4693" s="21">
        <v>0</v>
      </c>
      <c r="AF4693">
        <v>0</v>
      </c>
      <c r="AG4693">
        <v>0</v>
      </c>
      <c r="AH4693">
        <v>48</v>
      </c>
      <c r="AJ4693" t="s">
        <v>51</v>
      </c>
      <c r="AK4693" t="s">
        <v>95</v>
      </c>
      <c r="AP4693" t="s">
        <v>951</v>
      </c>
    </row>
    <row r="4694" spans="1:42">
      <c r="A4694" s="16">
        <v>43851</v>
      </c>
      <c r="B4694">
        <v>2</v>
      </c>
      <c r="C4694">
        <v>223</v>
      </c>
      <c r="D4694">
        <v>14448</v>
      </c>
      <c r="E4694" t="s">
        <v>112</v>
      </c>
      <c r="F4694" t="s">
        <v>104</v>
      </c>
      <c r="G4694">
        <v>2</v>
      </c>
      <c r="H4694">
        <v>153</v>
      </c>
      <c r="I4694" s="25">
        <v>2800</v>
      </c>
      <c r="K4694" t="s">
        <v>605</v>
      </c>
      <c r="L4694" t="s">
        <v>141</v>
      </c>
      <c r="N4694" t="s">
        <v>40</v>
      </c>
      <c r="O4694">
        <v>156</v>
      </c>
      <c r="Q4694">
        <v>6</v>
      </c>
      <c r="R4694">
        <v>1</v>
      </c>
      <c r="S4694">
        <v>1</v>
      </c>
      <c r="T4694">
        <v>0</v>
      </c>
      <c r="U4694">
        <v>2</v>
      </c>
      <c r="V4694">
        <v>3</v>
      </c>
      <c r="W4694">
        <v>0</v>
      </c>
      <c r="X4694" s="21">
        <v>0</v>
      </c>
      <c r="Y4694" s="21">
        <v>0</v>
      </c>
      <c r="Z4694" s="21">
        <v>0</v>
      </c>
      <c r="AA4694" s="21">
        <v>0</v>
      </c>
      <c r="AB4694" s="21">
        <v>0</v>
      </c>
      <c r="AC4694" s="21">
        <v>0</v>
      </c>
      <c r="AD4694" s="21">
        <v>0</v>
      </c>
      <c r="AE4694" s="21">
        <v>0</v>
      </c>
      <c r="AF4694">
        <v>0</v>
      </c>
      <c r="AG4694">
        <v>0</v>
      </c>
      <c r="AH4694">
        <v>272</v>
      </c>
      <c r="AJ4694" t="s">
        <v>51</v>
      </c>
      <c r="AK4694" t="s">
        <v>95</v>
      </c>
      <c r="AP4694" t="s">
        <v>951</v>
      </c>
    </row>
    <row r="4695" spans="1:42">
      <c r="A4695" s="16">
        <v>43851</v>
      </c>
      <c r="B4695">
        <v>2</v>
      </c>
      <c r="C4695">
        <v>223</v>
      </c>
      <c r="D4695">
        <v>14448</v>
      </c>
      <c r="E4695" t="s">
        <v>112</v>
      </c>
      <c r="F4695" t="s">
        <v>104</v>
      </c>
      <c r="G4695">
        <v>2</v>
      </c>
      <c r="H4695">
        <v>154</v>
      </c>
      <c r="I4695" s="25">
        <v>2829</v>
      </c>
      <c r="K4695" t="s">
        <v>605</v>
      </c>
      <c r="N4695" t="s">
        <v>44</v>
      </c>
      <c r="O4695">
        <v>121</v>
      </c>
      <c r="Q4695">
        <v>2</v>
      </c>
      <c r="R4695">
        <v>1</v>
      </c>
      <c r="S4695">
        <v>0</v>
      </c>
      <c r="T4695">
        <v>0</v>
      </c>
      <c r="U4695">
        <v>1</v>
      </c>
      <c r="V4695">
        <v>0</v>
      </c>
      <c r="W4695">
        <v>1</v>
      </c>
      <c r="X4695" s="21">
        <v>0</v>
      </c>
      <c r="Y4695" s="21">
        <v>0</v>
      </c>
      <c r="Z4695" s="21">
        <v>0</v>
      </c>
      <c r="AA4695" s="21">
        <v>0</v>
      </c>
      <c r="AB4695" s="21">
        <v>0</v>
      </c>
      <c r="AC4695" s="21">
        <v>0</v>
      </c>
      <c r="AD4695" s="21">
        <v>0</v>
      </c>
      <c r="AE4695" s="21">
        <v>0</v>
      </c>
      <c r="AF4695">
        <v>0</v>
      </c>
      <c r="AG4695">
        <v>0</v>
      </c>
      <c r="AH4695">
        <v>128</v>
      </c>
      <c r="AJ4695" t="s">
        <v>51</v>
      </c>
      <c r="AK4695" t="s">
        <v>95</v>
      </c>
      <c r="AP4695" t="s">
        <v>951</v>
      </c>
    </row>
    <row r="4696" spans="1:42">
      <c r="A4696" s="16">
        <v>43851</v>
      </c>
      <c r="B4696">
        <v>2</v>
      </c>
      <c r="C4696">
        <v>223</v>
      </c>
      <c r="D4696">
        <v>14448</v>
      </c>
      <c r="E4696" t="s">
        <v>112</v>
      </c>
      <c r="F4696" t="s">
        <v>104</v>
      </c>
      <c r="G4696">
        <v>2</v>
      </c>
      <c r="H4696">
        <v>155</v>
      </c>
      <c r="I4696" s="25">
        <v>2815</v>
      </c>
      <c r="K4696" t="s">
        <v>605</v>
      </c>
      <c r="N4696" t="s">
        <v>44</v>
      </c>
      <c r="O4696">
        <v>115</v>
      </c>
      <c r="Q4696">
        <v>2</v>
      </c>
      <c r="R4696">
        <v>1</v>
      </c>
      <c r="S4696">
        <v>0</v>
      </c>
      <c r="T4696">
        <v>0</v>
      </c>
      <c r="U4696">
        <v>0</v>
      </c>
      <c r="V4696">
        <v>2</v>
      </c>
      <c r="W4696">
        <v>0</v>
      </c>
      <c r="X4696" s="21">
        <v>0</v>
      </c>
      <c r="Y4696" s="21">
        <v>0</v>
      </c>
      <c r="Z4696" s="21">
        <v>0</v>
      </c>
      <c r="AA4696" s="21">
        <v>0</v>
      </c>
      <c r="AB4696" s="21">
        <v>0</v>
      </c>
      <c r="AC4696" s="21">
        <v>0</v>
      </c>
      <c r="AD4696" s="21">
        <v>0</v>
      </c>
      <c r="AE4696" s="21">
        <v>0</v>
      </c>
      <c r="AF4696">
        <v>0</v>
      </c>
      <c r="AG4696">
        <v>0</v>
      </c>
      <c r="AH4696">
        <v>128</v>
      </c>
      <c r="AJ4696" t="s">
        <v>51</v>
      </c>
      <c r="AK4696" t="s">
        <v>95</v>
      </c>
      <c r="AP4696" t="s">
        <v>951</v>
      </c>
    </row>
    <row r="4697" spans="1:42">
      <c r="A4697" s="16">
        <v>43867</v>
      </c>
      <c r="B4697">
        <v>3</v>
      </c>
      <c r="C4697">
        <v>238</v>
      </c>
      <c r="D4697">
        <v>14526</v>
      </c>
      <c r="E4697"/>
      <c r="F4697" t="s">
        <v>104</v>
      </c>
      <c r="G4697">
        <v>2</v>
      </c>
      <c r="H4697">
        <v>1</v>
      </c>
      <c r="I4697" s="25">
        <v>1001</v>
      </c>
      <c r="K4697" t="s">
        <v>414</v>
      </c>
      <c r="N4697" t="s">
        <v>44</v>
      </c>
      <c r="O4697">
        <v>400</v>
      </c>
      <c r="Q4697">
        <v>9</v>
      </c>
      <c r="R4697">
        <v>1</v>
      </c>
      <c r="S4697">
        <v>0</v>
      </c>
      <c r="T4697">
        <v>0</v>
      </c>
      <c r="U4697">
        <v>0</v>
      </c>
      <c r="V4697">
        <v>3</v>
      </c>
      <c r="W4697">
        <v>6</v>
      </c>
      <c r="X4697" s="21">
        <v>0</v>
      </c>
      <c r="Y4697" s="21">
        <v>0</v>
      </c>
      <c r="Z4697" s="21">
        <v>0</v>
      </c>
      <c r="AA4697" s="21">
        <v>0</v>
      </c>
      <c r="AB4697" s="21">
        <v>0</v>
      </c>
      <c r="AC4697" s="21">
        <v>0</v>
      </c>
      <c r="AD4697" s="21">
        <v>0</v>
      </c>
      <c r="AE4697" s="21">
        <v>0</v>
      </c>
      <c r="AF4697">
        <v>0</v>
      </c>
      <c r="AG4697">
        <v>0</v>
      </c>
      <c r="AH4697">
        <v>768</v>
      </c>
      <c r="AJ4697" t="s">
        <v>51</v>
      </c>
      <c r="AK4697" t="s">
        <v>52</v>
      </c>
      <c r="AL4697" t="s">
        <v>1435</v>
      </c>
      <c r="AP4697" t="s">
        <v>951</v>
      </c>
    </row>
    <row r="4698" spans="1:42">
      <c r="A4698" s="16">
        <v>43867</v>
      </c>
      <c r="B4698">
        <v>3</v>
      </c>
      <c r="C4698">
        <v>238</v>
      </c>
      <c r="D4698">
        <v>14526</v>
      </c>
      <c r="E4698"/>
      <c r="F4698" t="s">
        <v>104</v>
      </c>
      <c r="G4698">
        <v>2</v>
      </c>
      <c r="H4698">
        <v>2</v>
      </c>
      <c r="I4698" s="25">
        <v>1180</v>
      </c>
      <c r="K4698" t="s">
        <v>414</v>
      </c>
      <c r="N4698" t="s">
        <v>44</v>
      </c>
      <c r="O4698">
        <v>168</v>
      </c>
      <c r="Q4698">
        <v>2</v>
      </c>
      <c r="R4698">
        <v>1</v>
      </c>
      <c r="S4698">
        <v>0</v>
      </c>
      <c r="T4698">
        <v>0</v>
      </c>
      <c r="U4698">
        <v>0</v>
      </c>
      <c r="V4698">
        <v>1</v>
      </c>
      <c r="W4698">
        <v>1</v>
      </c>
      <c r="X4698" s="21">
        <v>0</v>
      </c>
      <c r="Y4698" s="21">
        <v>0</v>
      </c>
      <c r="Z4698" s="21">
        <v>0</v>
      </c>
      <c r="AA4698" s="21">
        <v>0</v>
      </c>
      <c r="AB4698" s="21">
        <v>0</v>
      </c>
      <c r="AC4698" s="21">
        <v>0</v>
      </c>
      <c r="AD4698" s="21">
        <v>0</v>
      </c>
      <c r="AE4698" s="21">
        <v>0</v>
      </c>
      <c r="AF4698">
        <v>0</v>
      </c>
      <c r="AG4698">
        <v>0</v>
      </c>
      <c r="AH4698">
        <v>160</v>
      </c>
      <c r="AJ4698" t="s">
        <v>51</v>
      </c>
      <c r="AK4698" t="s">
        <v>95</v>
      </c>
      <c r="AP4698" t="s">
        <v>951</v>
      </c>
    </row>
    <row r="4699" spans="1:42">
      <c r="A4699" s="16">
        <v>43867</v>
      </c>
      <c r="B4699">
        <v>3</v>
      </c>
      <c r="C4699">
        <v>238</v>
      </c>
      <c r="D4699">
        <v>14526</v>
      </c>
      <c r="E4699"/>
      <c r="F4699" t="s">
        <v>104</v>
      </c>
      <c r="G4699">
        <v>2</v>
      </c>
      <c r="H4699">
        <v>3</v>
      </c>
      <c r="I4699" s="25">
        <v>1105</v>
      </c>
      <c r="K4699" t="s">
        <v>414</v>
      </c>
      <c r="M4699" t="s">
        <v>95</v>
      </c>
      <c r="N4699" t="s">
        <v>44</v>
      </c>
      <c r="O4699">
        <v>115</v>
      </c>
      <c r="Q4699">
        <v>2</v>
      </c>
      <c r="R4699">
        <v>1</v>
      </c>
      <c r="S4699">
        <v>0</v>
      </c>
      <c r="T4699">
        <v>0</v>
      </c>
      <c r="U4699">
        <v>0</v>
      </c>
      <c r="V4699">
        <v>0</v>
      </c>
      <c r="W4699">
        <v>2</v>
      </c>
      <c r="X4699" s="21">
        <v>0</v>
      </c>
      <c r="Y4699" s="21">
        <v>0</v>
      </c>
      <c r="Z4699" s="21">
        <v>0</v>
      </c>
      <c r="AA4699" s="21">
        <v>0</v>
      </c>
      <c r="AB4699" s="21">
        <v>0</v>
      </c>
      <c r="AC4699" s="21">
        <v>0</v>
      </c>
      <c r="AD4699" s="21">
        <v>0</v>
      </c>
      <c r="AE4699" s="21">
        <v>0</v>
      </c>
      <c r="AF4699">
        <v>0</v>
      </c>
      <c r="AG4699">
        <v>0</v>
      </c>
      <c r="AH4699">
        <v>192</v>
      </c>
      <c r="AJ4699" t="s">
        <v>51</v>
      </c>
      <c r="AK4699" t="s">
        <v>52</v>
      </c>
      <c r="AL4699" t="s">
        <v>1374</v>
      </c>
      <c r="AP4699" t="s">
        <v>951</v>
      </c>
    </row>
    <row r="4700" spans="1:42">
      <c r="A4700" s="16">
        <v>43867</v>
      </c>
      <c r="B4700">
        <v>3</v>
      </c>
      <c r="C4700">
        <v>238</v>
      </c>
      <c r="D4700">
        <v>14526</v>
      </c>
      <c r="E4700"/>
      <c r="F4700" t="s">
        <v>104</v>
      </c>
      <c r="G4700">
        <v>2</v>
      </c>
      <c r="H4700">
        <v>4</v>
      </c>
      <c r="I4700" s="25">
        <v>1101</v>
      </c>
      <c r="K4700" t="s">
        <v>414</v>
      </c>
      <c r="L4700" t="s">
        <v>141</v>
      </c>
      <c r="M4700" t="s">
        <v>95</v>
      </c>
      <c r="N4700" t="s">
        <v>40</v>
      </c>
      <c r="O4700">
        <v>96</v>
      </c>
      <c r="Q4700">
        <v>1</v>
      </c>
      <c r="R4700">
        <v>1</v>
      </c>
      <c r="S4700">
        <v>0</v>
      </c>
      <c r="T4700">
        <v>0</v>
      </c>
      <c r="U4700">
        <v>1</v>
      </c>
      <c r="V4700">
        <v>0</v>
      </c>
      <c r="W4700">
        <v>0</v>
      </c>
      <c r="X4700" s="21">
        <v>0</v>
      </c>
      <c r="Y4700" s="21">
        <v>0</v>
      </c>
      <c r="Z4700" s="21">
        <v>0</v>
      </c>
      <c r="AA4700" s="21">
        <v>0</v>
      </c>
      <c r="AB4700" s="21">
        <v>0</v>
      </c>
      <c r="AC4700" s="21">
        <v>0</v>
      </c>
      <c r="AD4700" s="21">
        <v>0</v>
      </c>
      <c r="AE4700" s="21">
        <v>0</v>
      </c>
      <c r="AF4700">
        <v>0</v>
      </c>
      <c r="AG4700">
        <v>0</v>
      </c>
      <c r="AH4700">
        <v>32</v>
      </c>
      <c r="AJ4700" t="s">
        <v>51</v>
      </c>
      <c r="AK4700" t="s">
        <v>52</v>
      </c>
      <c r="AP4700" t="s">
        <v>951</v>
      </c>
    </row>
    <row r="4701" spans="1:42">
      <c r="A4701" s="16">
        <v>43867</v>
      </c>
      <c r="B4701">
        <v>3</v>
      </c>
      <c r="C4701">
        <v>238</v>
      </c>
      <c r="D4701">
        <v>14526</v>
      </c>
      <c r="E4701"/>
      <c r="F4701" t="s">
        <v>104</v>
      </c>
      <c r="G4701">
        <v>2</v>
      </c>
      <c r="H4701">
        <v>5</v>
      </c>
      <c r="I4701" s="25">
        <v>1030</v>
      </c>
      <c r="K4701" t="s">
        <v>414</v>
      </c>
      <c r="N4701" t="s">
        <v>44</v>
      </c>
      <c r="O4701">
        <v>76</v>
      </c>
      <c r="Q4701">
        <v>1</v>
      </c>
      <c r="R4701">
        <v>1</v>
      </c>
      <c r="S4701">
        <v>0</v>
      </c>
      <c r="T4701">
        <v>0</v>
      </c>
      <c r="U4701">
        <v>0</v>
      </c>
      <c r="V4701">
        <v>0</v>
      </c>
      <c r="W4701">
        <v>1</v>
      </c>
      <c r="X4701" s="21">
        <v>0</v>
      </c>
      <c r="Y4701" s="21">
        <v>0</v>
      </c>
      <c r="Z4701" s="21">
        <v>0</v>
      </c>
      <c r="AA4701" s="21">
        <v>0</v>
      </c>
      <c r="AB4701" s="21">
        <v>0</v>
      </c>
      <c r="AC4701" s="21">
        <v>0</v>
      </c>
      <c r="AD4701" s="21">
        <v>0</v>
      </c>
      <c r="AE4701" s="21">
        <v>0</v>
      </c>
      <c r="AF4701">
        <v>0</v>
      </c>
      <c r="AG4701">
        <v>0</v>
      </c>
      <c r="AH4701">
        <v>96</v>
      </c>
      <c r="AJ4701" t="s">
        <v>51</v>
      </c>
      <c r="AK4701" t="s">
        <v>95</v>
      </c>
      <c r="AP4701" t="s">
        <v>951</v>
      </c>
    </row>
    <row r="4702" spans="1:42">
      <c r="A4702" s="16">
        <v>43867</v>
      </c>
      <c r="B4702">
        <v>3</v>
      </c>
      <c r="C4702">
        <v>238</v>
      </c>
      <c r="D4702">
        <v>14526</v>
      </c>
      <c r="E4702"/>
      <c r="F4702" t="s">
        <v>104</v>
      </c>
      <c r="G4702">
        <v>2</v>
      </c>
      <c r="H4702">
        <v>6</v>
      </c>
      <c r="I4702" s="25">
        <v>1036</v>
      </c>
      <c r="K4702" t="s">
        <v>414</v>
      </c>
      <c r="N4702" t="s">
        <v>44</v>
      </c>
      <c r="O4702">
        <v>226</v>
      </c>
      <c r="Q4702">
        <v>3</v>
      </c>
      <c r="R4702">
        <v>1</v>
      </c>
      <c r="S4702">
        <v>0</v>
      </c>
      <c r="T4702">
        <v>0</v>
      </c>
      <c r="U4702">
        <v>0</v>
      </c>
      <c r="V4702">
        <v>0</v>
      </c>
      <c r="W4702">
        <v>3</v>
      </c>
      <c r="X4702" s="21">
        <v>0</v>
      </c>
      <c r="Y4702" s="21">
        <v>0</v>
      </c>
      <c r="Z4702" s="21">
        <v>0</v>
      </c>
      <c r="AA4702" s="21">
        <v>0</v>
      </c>
      <c r="AB4702" s="21">
        <v>0</v>
      </c>
      <c r="AC4702" s="21">
        <v>0</v>
      </c>
      <c r="AD4702" s="21">
        <v>0</v>
      </c>
      <c r="AE4702" s="21">
        <v>0</v>
      </c>
      <c r="AF4702">
        <v>0</v>
      </c>
      <c r="AG4702">
        <v>0</v>
      </c>
      <c r="AH4702">
        <v>288</v>
      </c>
      <c r="AJ4702" t="s">
        <v>51</v>
      </c>
      <c r="AK4702" t="s">
        <v>95</v>
      </c>
      <c r="AL4702" t="s">
        <v>1538</v>
      </c>
      <c r="AP4702" t="s">
        <v>951</v>
      </c>
    </row>
    <row r="4703" spans="1:42">
      <c r="A4703" s="16">
        <v>43867</v>
      </c>
      <c r="B4703">
        <v>3</v>
      </c>
      <c r="C4703">
        <v>238</v>
      </c>
      <c r="D4703">
        <v>14526</v>
      </c>
      <c r="E4703"/>
      <c r="F4703" t="s">
        <v>104</v>
      </c>
      <c r="G4703">
        <v>2</v>
      </c>
      <c r="H4703">
        <v>7</v>
      </c>
      <c r="I4703" s="25">
        <v>990</v>
      </c>
      <c r="K4703" t="s">
        <v>74</v>
      </c>
      <c r="N4703" t="s">
        <v>44</v>
      </c>
      <c r="O4703">
        <v>190</v>
      </c>
      <c r="Q4703">
        <v>2</v>
      </c>
      <c r="R4703">
        <v>1</v>
      </c>
      <c r="S4703">
        <v>0</v>
      </c>
      <c r="T4703">
        <v>0</v>
      </c>
      <c r="U4703">
        <v>0</v>
      </c>
      <c r="V4703">
        <v>0</v>
      </c>
      <c r="W4703">
        <v>2</v>
      </c>
      <c r="X4703" s="21">
        <v>0</v>
      </c>
      <c r="Y4703" s="21">
        <v>0</v>
      </c>
      <c r="Z4703" s="21">
        <v>0</v>
      </c>
      <c r="AA4703" s="21">
        <v>0</v>
      </c>
      <c r="AB4703" s="21">
        <v>0</v>
      </c>
      <c r="AC4703" s="21">
        <v>0</v>
      </c>
      <c r="AD4703" s="21">
        <v>0</v>
      </c>
      <c r="AE4703" s="21">
        <v>0</v>
      </c>
      <c r="AF4703">
        <v>0</v>
      </c>
      <c r="AG4703">
        <v>0</v>
      </c>
      <c r="AH4703">
        <v>192</v>
      </c>
      <c r="AJ4703" t="s">
        <v>51</v>
      </c>
      <c r="AK4703" t="s">
        <v>95</v>
      </c>
      <c r="AL4703" t="s">
        <v>1539</v>
      </c>
      <c r="AP4703" t="s">
        <v>951</v>
      </c>
    </row>
    <row r="4704" spans="1:42">
      <c r="A4704" s="16">
        <v>43867</v>
      </c>
      <c r="B4704">
        <v>3</v>
      </c>
      <c r="C4704">
        <v>238</v>
      </c>
      <c r="D4704">
        <v>14526</v>
      </c>
      <c r="E4704"/>
      <c r="F4704" t="s">
        <v>104</v>
      </c>
      <c r="G4704">
        <v>2</v>
      </c>
      <c r="H4704">
        <v>8</v>
      </c>
      <c r="I4704" s="25">
        <v>1057</v>
      </c>
      <c r="K4704" t="s">
        <v>53</v>
      </c>
      <c r="N4704" t="s">
        <v>44</v>
      </c>
      <c r="O4704">
        <v>60</v>
      </c>
      <c r="Q4704">
        <v>1</v>
      </c>
      <c r="R4704">
        <v>1</v>
      </c>
      <c r="S4704">
        <v>0</v>
      </c>
      <c r="T4704">
        <v>0</v>
      </c>
      <c r="U4704">
        <v>0</v>
      </c>
      <c r="V4704">
        <v>0</v>
      </c>
      <c r="W4704">
        <v>1</v>
      </c>
      <c r="X4704" s="21">
        <v>0</v>
      </c>
      <c r="Y4704" s="21">
        <v>0</v>
      </c>
      <c r="Z4704" s="21">
        <v>0</v>
      </c>
      <c r="AA4704" s="21">
        <v>0</v>
      </c>
      <c r="AB4704" s="21">
        <v>0</v>
      </c>
      <c r="AC4704" s="21">
        <v>0</v>
      </c>
      <c r="AD4704" s="21">
        <v>0</v>
      </c>
      <c r="AE4704" s="21">
        <v>0</v>
      </c>
      <c r="AF4704">
        <v>0</v>
      </c>
      <c r="AG4704">
        <v>0</v>
      </c>
      <c r="AH4704">
        <v>96</v>
      </c>
      <c r="AJ4704" t="s">
        <v>51</v>
      </c>
      <c r="AK4704" t="s">
        <v>95</v>
      </c>
      <c r="AL4704" t="s">
        <v>1435</v>
      </c>
      <c r="AP4704" t="s">
        <v>951</v>
      </c>
    </row>
    <row r="4705" spans="1:42">
      <c r="A4705" s="16">
        <v>43867</v>
      </c>
      <c r="B4705">
        <v>3</v>
      </c>
      <c r="C4705">
        <v>238</v>
      </c>
      <c r="D4705">
        <v>14526</v>
      </c>
      <c r="E4705"/>
      <c r="F4705" t="s">
        <v>104</v>
      </c>
      <c r="G4705">
        <v>2</v>
      </c>
      <c r="H4705">
        <v>9</v>
      </c>
      <c r="I4705" s="25">
        <v>1970</v>
      </c>
      <c r="K4705" t="s">
        <v>74</v>
      </c>
      <c r="M4705" t="s">
        <v>95</v>
      </c>
      <c r="N4705" t="s">
        <v>44</v>
      </c>
      <c r="O4705">
        <v>96</v>
      </c>
      <c r="Q4705">
        <v>1</v>
      </c>
      <c r="R4705">
        <v>1</v>
      </c>
      <c r="S4705">
        <v>0</v>
      </c>
      <c r="T4705">
        <v>0</v>
      </c>
      <c r="U4705">
        <v>0</v>
      </c>
      <c r="V4705">
        <v>0</v>
      </c>
      <c r="W4705">
        <v>1</v>
      </c>
      <c r="X4705" s="21">
        <v>0</v>
      </c>
      <c r="Y4705" s="21">
        <v>0</v>
      </c>
      <c r="Z4705" s="21">
        <v>0</v>
      </c>
      <c r="AA4705" s="21">
        <v>0</v>
      </c>
      <c r="AB4705" s="21">
        <v>0</v>
      </c>
      <c r="AC4705" s="21">
        <v>0</v>
      </c>
      <c r="AD4705" s="21">
        <v>0</v>
      </c>
      <c r="AE4705" s="21">
        <v>0</v>
      </c>
      <c r="AF4705">
        <v>0</v>
      </c>
      <c r="AG4705">
        <v>0</v>
      </c>
      <c r="AH4705">
        <v>96</v>
      </c>
      <c r="AJ4705" t="s">
        <v>51</v>
      </c>
      <c r="AK4705" t="s">
        <v>95</v>
      </c>
      <c r="AL4705" t="s">
        <v>1538</v>
      </c>
      <c r="AP4705" t="s">
        <v>951</v>
      </c>
    </row>
    <row r="4706" spans="1:42">
      <c r="A4706" s="16">
        <v>43867</v>
      </c>
      <c r="B4706">
        <v>3</v>
      </c>
      <c r="C4706">
        <v>238</v>
      </c>
      <c r="D4706">
        <v>14526</v>
      </c>
      <c r="E4706"/>
      <c r="F4706" t="s">
        <v>104</v>
      </c>
      <c r="G4706">
        <v>2</v>
      </c>
      <c r="H4706">
        <v>10</v>
      </c>
      <c r="I4706" s="25">
        <v>1051</v>
      </c>
      <c r="K4706" t="s">
        <v>53</v>
      </c>
      <c r="N4706" t="s">
        <v>44</v>
      </c>
      <c r="O4706">
        <v>153</v>
      </c>
      <c r="Q4706">
        <v>1</v>
      </c>
      <c r="R4706">
        <v>1</v>
      </c>
      <c r="S4706">
        <v>0</v>
      </c>
      <c r="T4706">
        <v>0</v>
      </c>
      <c r="U4706">
        <v>0</v>
      </c>
      <c r="V4706">
        <v>0</v>
      </c>
      <c r="W4706">
        <v>1</v>
      </c>
      <c r="X4706" s="21">
        <v>0</v>
      </c>
      <c r="Y4706" s="21">
        <v>0</v>
      </c>
      <c r="Z4706" s="21">
        <v>0</v>
      </c>
      <c r="AA4706" s="21">
        <v>0</v>
      </c>
      <c r="AB4706" s="21">
        <v>0</v>
      </c>
      <c r="AC4706" s="21">
        <v>0</v>
      </c>
      <c r="AD4706" s="21">
        <v>0</v>
      </c>
      <c r="AE4706" s="21">
        <v>0</v>
      </c>
      <c r="AF4706">
        <v>0</v>
      </c>
      <c r="AG4706">
        <v>0</v>
      </c>
      <c r="AH4706">
        <v>96</v>
      </c>
      <c r="AJ4706" t="s">
        <v>51</v>
      </c>
      <c r="AK4706" t="s">
        <v>95</v>
      </c>
      <c r="AL4706" t="s">
        <v>1435</v>
      </c>
      <c r="AP4706" t="s">
        <v>951</v>
      </c>
    </row>
    <row r="4707" spans="1:42">
      <c r="A4707" s="16">
        <v>43867</v>
      </c>
      <c r="B4707">
        <v>3</v>
      </c>
      <c r="C4707">
        <v>238</v>
      </c>
      <c r="D4707">
        <v>14526</v>
      </c>
      <c r="E4707"/>
      <c r="F4707" t="s">
        <v>104</v>
      </c>
      <c r="G4707">
        <v>2</v>
      </c>
      <c r="H4707">
        <v>11</v>
      </c>
      <c r="I4707" s="25">
        <v>1055</v>
      </c>
      <c r="K4707" t="s">
        <v>53</v>
      </c>
      <c r="N4707" t="s">
        <v>44</v>
      </c>
      <c r="O4707">
        <v>172</v>
      </c>
      <c r="Q4707">
        <v>1</v>
      </c>
      <c r="R4707">
        <v>1</v>
      </c>
      <c r="S4707">
        <v>0</v>
      </c>
      <c r="T4707">
        <v>0</v>
      </c>
      <c r="U4707">
        <v>0</v>
      </c>
      <c r="V4707">
        <v>0</v>
      </c>
      <c r="W4707">
        <v>1</v>
      </c>
      <c r="X4707" s="21">
        <v>0</v>
      </c>
      <c r="Y4707" s="21">
        <v>0</v>
      </c>
      <c r="Z4707" s="21">
        <v>0</v>
      </c>
      <c r="AA4707" s="21">
        <v>0</v>
      </c>
      <c r="AB4707" s="21">
        <v>0</v>
      </c>
      <c r="AC4707" s="21">
        <v>0</v>
      </c>
      <c r="AD4707" s="21">
        <v>0</v>
      </c>
      <c r="AE4707" s="21">
        <v>0</v>
      </c>
      <c r="AF4707">
        <v>0</v>
      </c>
      <c r="AG4707">
        <v>0</v>
      </c>
      <c r="AH4707">
        <v>96</v>
      </c>
      <c r="AJ4707" t="s">
        <v>51</v>
      </c>
      <c r="AK4707" t="s">
        <v>95</v>
      </c>
      <c r="AL4707" t="s">
        <v>1435</v>
      </c>
      <c r="AP4707" t="s">
        <v>951</v>
      </c>
    </row>
    <row r="4708" spans="1:42">
      <c r="A4708" s="16">
        <v>43867</v>
      </c>
      <c r="B4708">
        <v>3</v>
      </c>
      <c r="C4708">
        <v>238</v>
      </c>
      <c r="D4708">
        <v>14526</v>
      </c>
      <c r="E4708"/>
      <c r="F4708" t="s">
        <v>104</v>
      </c>
      <c r="G4708">
        <v>2</v>
      </c>
      <c r="H4708">
        <v>12</v>
      </c>
      <c r="I4708" s="25">
        <v>938</v>
      </c>
      <c r="K4708" t="s">
        <v>74</v>
      </c>
      <c r="N4708" t="s">
        <v>44</v>
      </c>
      <c r="O4708">
        <v>255</v>
      </c>
      <c r="Q4708">
        <v>2</v>
      </c>
      <c r="R4708">
        <v>1</v>
      </c>
      <c r="S4708">
        <v>0</v>
      </c>
      <c r="T4708">
        <v>0</v>
      </c>
      <c r="U4708">
        <v>0</v>
      </c>
      <c r="V4708">
        <v>0</v>
      </c>
      <c r="W4708">
        <v>2</v>
      </c>
      <c r="X4708" s="21">
        <v>0</v>
      </c>
      <c r="Y4708" s="21">
        <v>0</v>
      </c>
      <c r="Z4708" s="21">
        <v>0</v>
      </c>
      <c r="AA4708" s="21">
        <v>0</v>
      </c>
      <c r="AB4708" s="21">
        <v>0</v>
      </c>
      <c r="AC4708" s="21">
        <v>0</v>
      </c>
      <c r="AD4708" s="21">
        <v>0</v>
      </c>
      <c r="AE4708" s="21">
        <v>0</v>
      </c>
      <c r="AF4708">
        <v>0</v>
      </c>
      <c r="AG4708">
        <v>0</v>
      </c>
      <c r="AH4708">
        <v>192</v>
      </c>
      <c r="AJ4708" t="s">
        <v>51</v>
      </c>
      <c r="AK4708" t="s">
        <v>95</v>
      </c>
      <c r="AL4708" t="s">
        <v>1538</v>
      </c>
      <c r="AP4708" t="s">
        <v>951</v>
      </c>
    </row>
    <row r="4709" spans="1:42">
      <c r="A4709" s="16">
        <v>43867</v>
      </c>
      <c r="B4709">
        <v>3</v>
      </c>
      <c r="C4709">
        <v>238</v>
      </c>
      <c r="D4709">
        <v>14526</v>
      </c>
      <c r="E4709"/>
      <c r="F4709" t="s">
        <v>104</v>
      </c>
      <c r="G4709">
        <v>2</v>
      </c>
      <c r="H4709">
        <v>13</v>
      </c>
      <c r="I4709" s="25">
        <v>925</v>
      </c>
      <c r="K4709" t="s">
        <v>420</v>
      </c>
      <c r="L4709" t="s">
        <v>141</v>
      </c>
      <c r="N4709" t="s">
        <v>40</v>
      </c>
      <c r="O4709">
        <v>83</v>
      </c>
      <c r="Q4709">
        <v>3</v>
      </c>
      <c r="R4709">
        <v>1</v>
      </c>
      <c r="S4709">
        <v>0</v>
      </c>
      <c r="T4709">
        <v>0</v>
      </c>
      <c r="U4709">
        <v>0</v>
      </c>
      <c r="V4709">
        <v>2</v>
      </c>
      <c r="W4709">
        <v>1</v>
      </c>
      <c r="X4709" s="21">
        <v>0</v>
      </c>
      <c r="Y4709" s="21">
        <v>0</v>
      </c>
      <c r="Z4709" s="21">
        <v>0</v>
      </c>
      <c r="AA4709" s="21">
        <v>0</v>
      </c>
      <c r="AB4709" s="21">
        <v>0</v>
      </c>
      <c r="AC4709" s="21">
        <v>0</v>
      </c>
      <c r="AD4709" s="21">
        <v>0</v>
      </c>
      <c r="AE4709" s="21">
        <v>0</v>
      </c>
      <c r="AF4709">
        <v>0</v>
      </c>
      <c r="AG4709">
        <v>0</v>
      </c>
      <c r="AH4709">
        <v>224</v>
      </c>
      <c r="AJ4709" t="s">
        <v>51</v>
      </c>
      <c r="AK4709" t="s">
        <v>95</v>
      </c>
      <c r="AL4709" t="s">
        <v>1435</v>
      </c>
      <c r="AP4709" t="s">
        <v>951</v>
      </c>
    </row>
    <row r="4710" spans="1:42">
      <c r="A4710" s="16">
        <v>43867</v>
      </c>
      <c r="B4710">
        <v>3</v>
      </c>
      <c r="C4710">
        <v>238</v>
      </c>
      <c r="D4710">
        <v>14526</v>
      </c>
      <c r="E4710"/>
      <c r="F4710" t="s">
        <v>104</v>
      </c>
      <c r="G4710">
        <v>2</v>
      </c>
      <c r="H4710">
        <v>14</v>
      </c>
      <c r="I4710" s="25">
        <v>945</v>
      </c>
      <c r="K4710" t="s">
        <v>420</v>
      </c>
      <c r="L4710" t="s">
        <v>114</v>
      </c>
      <c r="N4710" t="s">
        <v>40</v>
      </c>
      <c r="O4710">
        <v>70</v>
      </c>
      <c r="Q4710">
        <v>1</v>
      </c>
      <c r="R4710">
        <v>1</v>
      </c>
      <c r="S4710">
        <v>0</v>
      </c>
      <c r="T4710">
        <v>0</v>
      </c>
      <c r="U4710">
        <v>0</v>
      </c>
      <c r="V4710">
        <v>0</v>
      </c>
      <c r="W4710">
        <v>1</v>
      </c>
      <c r="X4710" s="21">
        <v>0</v>
      </c>
      <c r="Y4710" s="21">
        <v>0</v>
      </c>
      <c r="Z4710" s="21">
        <v>0</v>
      </c>
      <c r="AA4710" s="21">
        <v>0</v>
      </c>
      <c r="AB4710" s="21">
        <v>0</v>
      </c>
      <c r="AC4710" s="21">
        <v>0</v>
      </c>
      <c r="AD4710" s="21">
        <v>0</v>
      </c>
      <c r="AE4710" s="21">
        <v>0</v>
      </c>
      <c r="AF4710">
        <v>0</v>
      </c>
      <c r="AG4710">
        <v>0</v>
      </c>
      <c r="AH4710">
        <v>96</v>
      </c>
      <c r="AJ4710" t="s">
        <v>51</v>
      </c>
      <c r="AK4710" t="s">
        <v>95</v>
      </c>
      <c r="AP4710" t="s">
        <v>951</v>
      </c>
    </row>
    <row r="4711" spans="1:42">
      <c r="A4711" s="16">
        <v>43867</v>
      </c>
      <c r="B4711">
        <v>3</v>
      </c>
      <c r="C4711">
        <v>238</v>
      </c>
      <c r="D4711">
        <v>14526</v>
      </c>
      <c r="E4711"/>
      <c r="F4711" t="s">
        <v>104</v>
      </c>
      <c r="G4711">
        <v>2</v>
      </c>
      <c r="H4711">
        <v>15</v>
      </c>
      <c r="I4711" s="25">
        <v>1000</v>
      </c>
      <c r="K4711" t="s">
        <v>420</v>
      </c>
      <c r="L4711" t="s">
        <v>114</v>
      </c>
      <c r="N4711" t="s">
        <v>40</v>
      </c>
      <c r="O4711">
        <v>142</v>
      </c>
      <c r="Q4711">
        <v>3</v>
      </c>
      <c r="R4711">
        <v>1</v>
      </c>
      <c r="S4711">
        <v>0</v>
      </c>
      <c r="T4711">
        <v>0</v>
      </c>
      <c r="U4711">
        <v>1</v>
      </c>
      <c r="V4711">
        <v>1</v>
      </c>
      <c r="W4711">
        <v>1</v>
      </c>
      <c r="X4711" s="21">
        <v>0</v>
      </c>
      <c r="Y4711" s="21">
        <v>0</v>
      </c>
      <c r="Z4711" s="21">
        <v>0</v>
      </c>
      <c r="AA4711" s="21">
        <v>0</v>
      </c>
      <c r="AB4711" s="21">
        <v>0</v>
      </c>
      <c r="AC4711" s="21">
        <v>0</v>
      </c>
      <c r="AD4711" s="21">
        <v>0</v>
      </c>
      <c r="AE4711" s="21">
        <v>0</v>
      </c>
      <c r="AF4711">
        <v>0</v>
      </c>
      <c r="AG4711">
        <v>0</v>
      </c>
      <c r="AH4711">
        <v>192</v>
      </c>
      <c r="AJ4711" t="s">
        <v>51</v>
      </c>
      <c r="AK4711" t="s">
        <v>95</v>
      </c>
      <c r="AL4711" t="s">
        <v>1540</v>
      </c>
      <c r="AP4711" t="s">
        <v>951</v>
      </c>
    </row>
    <row r="4712" spans="1:42">
      <c r="A4712" s="16">
        <v>43867</v>
      </c>
      <c r="B4712">
        <v>3</v>
      </c>
      <c r="C4712">
        <v>238</v>
      </c>
      <c r="D4712">
        <v>14526</v>
      </c>
      <c r="E4712"/>
      <c r="F4712" t="s">
        <v>104</v>
      </c>
      <c r="G4712">
        <v>2</v>
      </c>
      <c r="H4712">
        <v>16</v>
      </c>
      <c r="I4712" s="25">
        <v>1001</v>
      </c>
      <c r="K4712" t="s">
        <v>420</v>
      </c>
      <c r="M4712" t="s">
        <v>95</v>
      </c>
      <c r="N4712" t="s">
        <v>44</v>
      </c>
      <c r="O4712">
        <v>166</v>
      </c>
      <c r="Q4712">
        <v>2</v>
      </c>
      <c r="R4712">
        <v>1</v>
      </c>
      <c r="S4712">
        <v>0</v>
      </c>
      <c r="T4712">
        <v>0</v>
      </c>
      <c r="U4712">
        <v>0</v>
      </c>
      <c r="V4712">
        <v>0</v>
      </c>
      <c r="W4712">
        <v>2</v>
      </c>
      <c r="X4712" s="21">
        <v>0</v>
      </c>
      <c r="Y4712" s="21">
        <v>0</v>
      </c>
      <c r="Z4712" s="21">
        <v>0</v>
      </c>
      <c r="AA4712" s="21">
        <v>0</v>
      </c>
      <c r="AB4712" s="21">
        <v>0</v>
      </c>
      <c r="AC4712" s="21">
        <v>0</v>
      </c>
      <c r="AD4712" s="21">
        <v>0</v>
      </c>
      <c r="AE4712" s="21">
        <v>0</v>
      </c>
      <c r="AF4712">
        <v>0</v>
      </c>
      <c r="AG4712">
        <v>0</v>
      </c>
      <c r="AH4712">
        <v>192</v>
      </c>
      <c r="AJ4712" t="s">
        <v>51</v>
      </c>
      <c r="AK4712" t="s">
        <v>95</v>
      </c>
      <c r="AP4712" t="s">
        <v>951</v>
      </c>
    </row>
    <row r="4713" spans="1:42">
      <c r="A4713" s="16">
        <v>43867</v>
      </c>
      <c r="B4713">
        <v>3</v>
      </c>
      <c r="C4713">
        <v>238</v>
      </c>
      <c r="D4713">
        <v>14526</v>
      </c>
      <c r="E4713"/>
      <c r="F4713" t="s">
        <v>104</v>
      </c>
      <c r="G4713">
        <v>2</v>
      </c>
      <c r="H4713">
        <v>17</v>
      </c>
      <c r="I4713" s="25">
        <v>1115</v>
      </c>
      <c r="K4713" t="s">
        <v>414</v>
      </c>
      <c r="N4713" t="s">
        <v>44</v>
      </c>
      <c r="O4713">
        <v>77</v>
      </c>
      <c r="Q4713">
        <v>1</v>
      </c>
      <c r="R4713">
        <v>1</v>
      </c>
      <c r="S4713">
        <v>0</v>
      </c>
      <c r="T4713">
        <v>0</v>
      </c>
      <c r="U4713">
        <v>0</v>
      </c>
      <c r="V4713">
        <v>0</v>
      </c>
      <c r="W4713">
        <v>1</v>
      </c>
      <c r="X4713" s="21">
        <v>0</v>
      </c>
      <c r="Y4713" s="21">
        <v>0</v>
      </c>
      <c r="Z4713" s="21">
        <v>0</v>
      </c>
      <c r="AA4713" s="21">
        <v>0</v>
      </c>
      <c r="AB4713" s="21">
        <v>0</v>
      </c>
      <c r="AC4713" s="21">
        <v>0</v>
      </c>
      <c r="AD4713" s="21">
        <v>0</v>
      </c>
      <c r="AE4713" s="21">
        <v>0</v>
      </c>
      <c r="AF4713">
        <v>0</v>
      </c>
      <c r="AG4713">
        <v>0</v>
      </c>
      <c r="AH4713">
        <v>96</v>
      </c>
      <c r="AJ4713" t="s">
        <v>51</v>
      </c>
      <c r="AK4713" t="s">
        <v>52</v>
      </c>
      <c r="AL4713" t="s">
        <v>1541</v>
      </c>
      <c r="AP4713" t="s">
        <v>951</v>
      </c>
    </row>
    <row r="4714" spans="1:42">
      <c r="A4714" s="16">
        <v>43867</v>
      </c>
      <c r="B4714">
        <v>3</v>
      </c>
      <c r="C4714">
        <v>238</v>
      </c>
      <c r="D4714">
        <v>14526</v>
      </c>
      <c r="E4714"/>
      <c r="F4714" t="s">
        <v>104</v>
      </c>
      <c r="G4714">
        <v>2</v>
      </c>
      <c r="H4714">
        <v>18</v>
      </c>
      <c r="I4714" s="25">
        <v>815</v>
      </c>
      <c r="K4714" t="s">
        <v>98</v>
      </c>
      <c r="L4714" t="s">
        <v>141</v>
      </c>
      <c r="N4714" t="s">
        <v>40</v>
      </c>
      <c r="O4714">
        <v>188</v>
      </c>
      <c r="Q4714">
        <v>2</v>
      </c>
      <c r="R4714">
        <v>1</v>
      </c>
      <c r="S4714">
        <v>0</v>
      </c>
      <c r="T4714">
        <v>0</v>
      </c>
      <c r="U4714">
        <v>0</v>
      </c>
      <c r="V4714">
        <v>0</v>
      </c>
      <c r="W4714">
        <v>2</v>
      </c>
      <c r="X4714" s="21">
        <v>0</v>
      </c>
      <c r="Y4714" s="21">
        <v>0</v>
      </c>
      <c r="Z4714" s="21">
        <v>0</v>
      </c>
      <c r="AA4714" s="21">
        <v>0</v>
      </c>
      <c r="AB4714" s="21">
        <v>0</v>
      </c>
      <c r="AC4714" s="21">
        <v>0</v>
      </c>
      <c r="AD4714" s="21">
        <v>0</v>
      </c>
      <c r="AE4714" s="21">
        <v>0</v>
      </c>
      <c r="AF4714">
        <v>0</v>
      </c>
      <c r="AG4714">
        <v>0</v>
      </c>
      <c r="AH4714">
        <v>192</v>
      </c>
      <c r="AJ4714" t="s">
        <v>51</v>
      </c>
      <c r="AK4714" t="s">
        <v>95</v>
      </c>
      <c r="AP4714" t="s">
        <v>951</v>
      </c>
    </row>
    <row r="4715" spans="1:42">
      <c r="A4715" s="16">
        <v>43867</v>
      </c>
      <c r="B4715">
        <v>3</v>
      </c>
      <c r="C4715">
        <v>238</v>
      </c>
      <c r="D4715">
        <v>14526</v>
      </c>
      <c r="E4715"/>
      <c r="F4715" t="s">
        <v>104</v>
      </c>
      <c r="G4715">
        <v>2</v>
      </c>
      <c r="H4715">
        <v>19</v>
      </c>
      <c r="I4715" s="25">
        <v>816</v>
      </c>
      <c r="K4715" t="s">
        <v>420</v>
      </c>
      <c r="N4715" t="s">
        <v>44</v>
      </c>
      <c r="O4715">
        <v>113</v>
      </c>
      <c r="Q4715">
        <v>1</v>
      </c>
      <c r="R4715">
        <v>1</v>
      </c>
      <c r="S4715">
        <v>0</v>
      </c>
      <c r="T4715">
        <v>0</v>
      </c>
      <c r="U4715">
        <v>0</v>
      </c>
      <c r="V4715">
        <v>0</v>
      </c>
      <c r="W4715">
        <v>1</v>
      </c>
      <c r="X4715" s="21">
        <v>0</v>
      </c>
      <c r="Y4715" s="21">
        <v>0</v>
      </c>
      <c r="Z4715" s="21">
        <v>0</v>
      </c>
      <c r="AA4715" s="21">
        <v>0</v>
      </c>
      <c r="AB4715" s="21">
        <v>0</v>
      </c>
      <c r="AC4715" s="21">
        <v>0</v>
      </c>
      <c r="AD4715" s="21">
        <v>0</v>
      </c>
      <c r="AE4715" s="21">
        <v>0</v>
      </c>
      <c r="AF4715">
        <v>0</v>
      </c>
      <c r="AG4715">
        <v>0</v>
      </c>
      <c r="AH4715">
        <v>96</v>
      </c>
      <c r="AJ4715" t="s">
        <v>51</v>
      </c>
      <c r="AK4715" t="s">
        <v>95</v>
      </c>
      <c r="AP4715" t="s">
        <v>951</v>
      </c>
    </row>
    <row r="4716" spans="1:42">
      <c r="A4716" s="16">
        <v>43867</v>
      </c>
      <c r="B4716">
        <v>3</v>
      </c>
      <c r="C4716">
        <v>238</v>
      </c>
      <c r="D4716">
        <v>14526</v>
      </c>
      <c r="E4716"/>
      <c r="F4716" t="s">
        <v>104</v>
      </c>
      <c r="G4716">
        <v>2</v>
      </c>
      <c r="H4716">
        <v>20</v>
      </c>
      <c r="I4716" s="25">
        <v>770</v>
      </c>
      <c r="K4716" t="s">
        <v>98</v>
      </c>
      <c r="N4716" t="s">
        <v>44</v>
      </c>
      <c r="O4716">
        <v>151</v>
      </c>
      <c r="Q4716">
        <v>1</v>
      </c>
      <c r="R4716">
        <v>1</v>
      </c>
      <c r="S4716">
        <v>0</v>
      </c>
      <c r="T4716">
        <v>0</v>
      </c>
      <c r="U4716">
        <v>0</v>
      </c>
      <c r="V4716">
        <v>0</v>
      </c>
      <c r="W4716">
        <v>1</v>
      </c>
      <c r="X4716" s="21">
        <v>0</v>
      </c>
      <c r="Y4716" s="21">
        <v>0</v>
      </c>
      <c r="Z4716" s="21">
        <v>0</v>
      </c>
      <c r="AA4716" s="21">
        <v>0</v>
      </c>
      <c r="AB4716" s="21">
        <v>0</v>
      </c>
      <c r="AC4716" s="21">
        <v>0</v>
      </c>
      <c r="AD4716" s="21">
        <v>0</v>
      </c>
      <c r="AE4716" s="21">
        <v>0</v>
      </c>
      <c r="AF4716">
        <v>0</v>
      </c>
      <c r="AG4716">
        <v>0</v>
      </c>
      <c r="AH4716">
        <v>96</v>
      </c>
      <c r="AJ4716" t="s">
        <v>51</v>
      </c>
      <c r="AK4716" t="s">
        <v>95</v>
      </c>
      <c r="AL4716" t="s">
        <v>1542</v>
      </c>
      <c r="AP4716" t="s">
        <v>951</v>
      </c>
    </row>
    <row r="4717" spans="1:42">
      <c r="A4717" s="16">
        <v>43867</v>
      </c>
      <c r="B4717">
        <v>3</v>
      </c>
      <c r="C4717">
        <v>238</v>
      </c>
      <c r="D4717">
        <v>14526</v>
      </c>
      <c r="E4717"/>
      <c r="F4717" t="s">
        <v>104</v>
      </c>
      <c r="G4717">
        <v>2</v>
      </c>
      <c r="H4717">
        <v>21</v>
      </c>
      <c r="I4717" s="25">
        <v>750</v>
      </c>
      <c r="K4717" t="s">
        <v>98</v>
      </c>
      <c r="N4717" t="s">
        <v>44</v>
      </c>
      <c r="O4717">
        <v>505</v>
      </c>
      <c r="Q4717">
        <v>6</v>
      </c>
      <c r="R4717">
        <v>1</v>
      </c>
      <c r="S4717">
        <v>0</v>
      </c>
      <c r="T4717">
        <v>0</v>
      </c>
      <c r="U4717">
        <v>0</v>
      </c>
      <c r="V4717">
        <v>3</v>
      </c>
      <c r="W4717">
        <v>3</v>
      </c>
      <c r="X4717" s="21">
        <v>0</v>
      </c>
      <c r="Y4717" s="21">
        <v>0</v>
      </c>
      <c r="Z4717" s="21">
        <v>0</v>
      </c>
      <c r="AA4717" s="21">
        <v>0</v>
      </c>
      <c r="AB4717" s="21">
        <v>0</v>
      </c>
      <c r="AC4717" s="21">
        <v>0</v>
      </c>
      <c r="AD4717" s="21">
        <v>0</v>
      </c>
      <c r="AE4717" s="21">
        <v>0</v>
      </c>
      <c r="AF4717">
        <v>0</v>
      </c>
      <c r="AG4717">
        <v>0</v>
      </c>
      <c r="AH4717">
        <v>480</v>
      </c>
      <c r="AJ4717" t="s">
        <v>51</v>
      </c>
      <c r="AK4717" t="s">
        <v>95</v>
      </c>
      <c r="AL4717" t="s">
        <v>1543</v>
      </c>
      <c r="AP4717" t="s">
        <v>951</v>
      </c>
    </row>
    <row r="4718" spans="1:42">
      <c r="A4718" s="16">
        <v>43867</v>
      </c>
      <c r="B4718">
        <v>3</v>
      </c>
      <c r="C4718">
        <v>238</v>
      </c>
      <c r="D4718">
        <v>14526</v>
      </c>
      <c r="E4718"/>
      <c r="F4718" t="s">
        <v>104</v>
      </c>
      <c r="G4718">
        <v>2</v>
      </c>
      <c r="H4718">
        <v>22</v>
      </c>
      <c r="I4718" s="25">
        <v>730</v>
      </c>
      <c r="K4718" t="s">
        <v>98</v>
      </c>
      <c r="N4718" t="s">
        <v>44</v>
      </c>
      <c r="O4718">
        <v>189</v>
      </c>
      <c r="Q4718">
        <v>2</v>
      </c>
      <c r="R4718">
        <v>1</v>
      </c>
      <c r="S4718">
        <v>0</v>
      </c>
      <c r="T4718">
        <v>0</v>
      </c>
      <c r="U4718">
        <v>1</v>
      </c>
      <c r="V4718">
        <v>0</v>
      </c>
      <c r="W4718">
        <v>1</v>
      </c>
      <c r="X4718" s="21">
        <v>0</v>
      </c>
      <c r="Y4718" s="21">
        <v>0</v>
      </c>
      <c r="Z4718" s="21">
        <v>0</v>
      </c>
      <c r="AA4718" s="21">
        <v>0</v>
      </c>
      <c r="AB4718" s="21">
        <v>0</v>
      </c>
      <c r="AC4718" s="21">
        <v>0</v>
      </c>
      <c r="AD4718" s="21">
        <v>0</v>
      </c>
      <c r="AE4718" s="21">
        <v>0</v>
      </c>
      <c r="AF4718">
        <v>0</v>
      </c>
      <c r="AG4718">
        <v>0</v>
      </c>
      <c r="AH4718">
        <v>128</v>
      </c>
      <c r="AJ4718" t="s">
        <v>51</v>
      </c>
      <c r="AK4718" t="s">
        <v>95</v>
      </c>
      <c r="AL4718" t="s">
        <v>1544</v>
      </c>
      <c r="AP4718" t="s">
        <v>951</v>
      </c>
    </row>
    <row r="4719" spans="1:42">
      <c r="A4719" s="16">
        <v>43867</v>
      </c>
      <c r="B4719">
        <v>3</v>
      </c>
      <c r="C4719">
        <v>238</v>
      </c>
      <c r="D4719">
        <v>14526</v>
      </c>
      <c r="E4719"/>
      <c r="F4719" t="s">
        <v>104</v>
      </c>
      <c r="G4719">
        <v>2</v>
      </c>
      <c r="H4719">
        <v>23</v>
      </c>
      <c r="I4719" s="25">
        <v>735</v>
      </c>
      <c r="K4719" t="s">
        <v>98</v>
      </c>
      <c r="N4719" t="s">
        <v>44</v>
      </c>
      <c r="O4719">
        <v>254</v>
      </c>
      <c r="Q4719">
        <v>2</v>
      </c>
      <c r="R4719">
        <v>1</v>
      </c>
      <c r="S4719">
        <v>0</v>
      </c>
      <c r="T4719">
        <v>0</v>
      </c>
      <c r="U4719">
        <v>0</v>
      </c>
      <c r="V4719">
        <v>0</v>
      </c>
      <c r="W4719">
        <v>2</v>
      </c>
      <c r="X4719" s="21">
        <v>0</v>
      </c>
      <c r="Y4719" s="21">
        <v>0</v>
      </c>
      <c r="Z4719" s="21">
        <v>0</v>
      </c>
      <c r="AA4719" s="21">
        <v>0</v>
      </c>
      <c r="AB4719" s="21">
        <v>0</v>
      </c>
      <c r="AC4719" s="21">
        <v>0</v>
      </c>
      <c r="AD4719" s="21">
        <v>0</v>
      </c>
      <c r="AE4719" s="21">
        <v>0</v>
      </c>
      <c r="AF4719">
        <v>0</v>
      </c>
      <c r="AG4719">
        <v>0</v>
      </c>
      <c r="AH4719">
        <v>192</v>
      </c>
      <c r="AJ4719" t="s">
        <v>51</v>
      </c>
      <c r="AK4719" t="s">
        <v>95</v>
      </c>
      <c r="AL4719" t="s">
        <v>1545</v>
      </c>
      <c r="AP4719" t="s">
        <v>951</v>
      </c>
    </row>
    <row r="4720" spans="1:42">
      <c r="A4720" s="16">
        <v>43867</v>
      </c>
      <c r="B4720">
        <v>3</v>
      </c>
      <c r="C4720">
        <v>238</v>
      </c>
      <c r="D4720">
        <v>14526</v>
      </c>
      <c r="E4720"/>
      <c r="F4720" t="s">
        <v>104</v>
      </c>
      <c r="G4720">
        <v>2</v>
      </c>
      <c r="H4720">
        <v>24</v>
      </c>
      <c r="I4720" s="25">
        <v>755</v>
      </c>
      <c r="K4720" t="s">
        <v>98</v>
      </c>
      <c r="N4720" t="s">
        <v>44</v>
      </c>
      <c r="O4720">
        <v>290</v>
      </c>
      <c r="Q4720">
        <v>2</v>
      </c>
      <c r="R4720">
        <v>1</v>
      </c>
      <c r="S4720">
        <v>0</v>
      </c>
      <c r="T4720">
        <v>0</v>
      </c>
      <c r="U4720">
        <v>0</v>
      </c>
      <c r="V4720">
        <v>0</v>
      </c>
      <c r="W4720">
        <v>2</v>
      </c>
      <c r="X4720" s="21">
        <v>0</v>
      </c>
      <c r="Y4720" s="21">
        <v>0</v>
      </c>
      <c r="Z4720" s="21">
        <v>0</v>
      </c>
      <c r="AA4720" s="21">
        <v>0</v>
      </c>
      <c r="AB4720" s="21">
        <v>0</v>
      </c>
      <c r="AC4720" s="21">
        <v>0</v>
      </c>
      <c r="AD4720" s="21">
        <v>0</v>
      </c>
      <c r="AE4720" s="21">
        <v>0</v>
      </c>
      <c r="AF4720">
        <v>0</v>
      </c>
      <c r="AG4720">
        <v>0</v>
      </c>
      <c r="AH4720">
        <v>192</v>
      </c>
      <c r="AJ4720" t="s">
        <v>51</v>
      </c>
      <c r="AK4720" t="s">
        <v>95</v>
      </c>
      <c r="AL4720" t="s">
        <v>1545</v>
      </c>
      <c r="AP4720" t="s">
        <v>951</v>
      </c>
    </row>
    <row r="4721" spans="1:42">
      <c r="A4721" s="16">
        <v>43867</v>
      </c>
      <c r="B4721">
        <v>3</v>
      </c>
      <c r="C4721">
        <v>238</v>
      </c>
      <c r="D4721">
        <v>14526</v>
      </c>
      <c r="E4721"/>
      <c r="F4721" t="s">
        <v>104</v>
      </c>
      <c r="G4721">
        <v>2</v>
      </c>
      <c r="H4721">
        <v>25</v>
      </c>
      <c r="I4721" s="25">
        <v>725</v>
      </c>
      <c r="K4721" t="s">
        <v>98</v>
      </c>
      <c r="N4721" t="s">
        <v>44</v>
      </c>
      <c r="O4721">
        <v>143</v>
      </c>
      <c r="Q4721">
        <v>2</v>
      </c>
      <c r="R4721">
        <v>1</v>
      </c>
      <c r="S4721">
        <v>0</v>
      </c>
      <c r="T4721">
        <v>0</v>
      </c>
      <c r="U4721">
        <v>0</v>
      </c>
      <c r="V4721">
        <v>0</v>
      </c>
      <c r="W4721">
        <v>2</v>
      </c>
      <c r="X4721" s="21">
        <v>0</v>
      </c>
      <c r="Y4721" s="21">
        <v>0</v>
      </c>
      <c r="Z4721" s="21">
        <v>0</v>
      </c>
      <c r="AA4721" s="21">
        <v>0</v>
      </c>
      <c r="AB4721" s="21">
        <v>0</v>
      </c>
      <c r="AC4721" s="21">
        <v>0</v>
      </c>
      <c r="AD4721" s="21">
        <v>0</v>
      </c>
      <c r="AE4721" s="21">
        <v>0</v>
      </c>
      <c r="AF4721">
        <v>0</v>
      </c>
      <c r="AG4721">
        <v>0</v>
      </c>
      <c r="AH4721">
        <v>192</v>
      </c>
      <c r="AJ4721" t="s">
        <v>51</v>
      </c>
      <c r="AK4721" t="s">
        <v>95</v>
      </c>
      <c r="AL4721" t="s">
        <v>1546</v>
      </c>
      <c r="AP4721" t="s">
        <v>951</v>
      </c>
    </row>
    <row r="4722" spans="1:42">
      <c r="A4722" s="16">
        <v>43867</v>
      </c>
      <c r="B4722">
        <v>3</v>
      </c>
      <c r="C4722">
        <v>238</v>
      </c>
      <c r="D4722">
        <v>14526</v>
      </c>
      <c r="E4722"/>
      <c r="F4722" t="s">
        <v>104</v>
      </c>
      <c r="G4722">
        <v>2</v>
      </c>
      <c r="H4722">
        <v>26</v>
      </c>
      <c r="I4722" s="25">
        <v>666</v>
      </c>
      <c r="K4722" t="s">
        <v>98</v>
      </c>
      <c r="N4722" t="s">
        <v>44</v>
      </c>
      <c r="O4722">
        <v>323</v>
      </c>
      <c r="Q4722">
        <v>4</v>
      </c>
      <c r="R4722">
        <v>1</v>
      </c>
      <c r="S4722">
        <v>0</v>
      </c>
      <c r="T4722">
        <v>0</v>
      </c>
      <c r="U4722">
        <v>0</v>
      </c>
      <c r="V4722">
        <v>2</v>
      </c>
      <c r="W4722">
        <v>2</v>
      </c>
      <c r="X4722" s="21">
        <v>0</v>
      </c>
      <c r="Y4722" s="21">
        <v>0</v>
      </c>
      <c r="Z4722" s="21">
        <v>0</v>
      </c>
      <c r="AA4722" s="21">
        <v>0</v>
      </c>
      <c r="AB4722" s="21">
        <v>0</v>
      </c>
      <c r="AC4722" s="21">
        <v>0</v>
      </c>
      <c r="AD4722" s="21">
        <v>0</v>
      </c>
      <c r="AE4722" s="21">
        <v>0</v>
      </c>
      <c r="AF4722">
        <v>0</v>
      </c>
      <c r="AG4722">
        <v>0</v>
      </c>
      <c r="AH4722">
        <v>320</v>
      </c>
      <c r="AJ4722" t="s">
        <v>51</v>
      </c>
      <c r="AK4722" t="s">
        <v>95</v>
      </c>
      <c r="AP4722" t="s">
        <v>951</v>
      </c>
    </row>
    <row r="4723" spans="1:42">
      <c r="A4723" s="16">
        <v>43867</v>
      </c>
      <c r="B4723">
        <v>3</v>
      </c>
      <c r="C4723">
        <v>238</v>
      </c>
      <c r="D4723">
        <v>14526</v>
      </c>
      <c r="E4723"/>
      <c r="F4723" t="s">
        <v>104</v>
      </c>
      <c r="G4723">
        <v>2</v>
      </c>
      <c r="H4723">
        <v>27</v>
      </c>
      <c r="I4723" s="25">
        <v>667</v>
      </c>
      <c r="K4723" t="s">
        <v>98</v>
      </c>
      <c r="N4723" t="s">
        <v>44</v>
      </c>
      <c r="O4723">
        <v>150</v>
      </c>
      <c r="Q4723">
        <v>2</v>
      </c>
      <c r="R4723">
        <v>1</v>
      </c>
      <c r="S4723">
        <v>0</v>
      </c>
      <c r="T4723">
        <v>0</v>
      </c>
      <c r="U4723">
        <v>1</v>
      </c>
      <c r="V4723">
        <v>0</v>
      </c>
      <c r="W4723">
        <v>1</v>
      </c>
      <c r="X4723" s="21">
        <v>0</v>
      </c>
      <c r="Y4723" s="21">
        <v>0</v>
      </c>
      <c r="Z4723" s="21">
        <v>0</v>
      </c>
      <c r="AA4723" s="21">
        <v>0</v>
      </c>
      <c r="AB4723" s="21">
        <v>0</v>
      </c>
      <c r="AC4723" s="21">
        <v>0</v>
      </c>
      <c r="AD4723" s="21">
        <v>0</v>
      </c>
      <c r="AE4723" s="21">
        <v>0</v>
      </c>
      <c r="AF4723">
        <v>0</v>
      </c>
      <c r="AG4723">
        <v>0</v>
      </c>
      <c r="AH4723">
        <v>128</v>
      </c>
      <c r="AJ4723" t="s">
        <v>51</v>
      </c>
      <c r="AK4723" t="s">
        <v>95</v>
      </c>
      <c r="AL4723" t="s">
        <v>1405</v>
      </c>
      <c r="AP4723" t="s">
        <v>951</v>
      </c>
    </row>
    <row r="4724" spans="1:42">
      <c r="A4724" s="16">
        <v>43867</v>
      </c>
      <c r="B4724">
        <v>3</v>
      </c>
      <c r="C4724">
        <v>238</v>
      </c>
      <c r="D4724">
        <v>14526</v>
      </c>
      <c r="E4724"/>
      <c r="F4724" t="s">
        <v>104</v>
      </c>
      <c r="G4724">
        <v>2</v>
      </c>
      <c r="H4724">
        <v>28</v>
      </c>
      <c r="I4724" s="25">
        <v>641</v>
      </c>
      <c r="K4724" t="s">
        <v>98</v>
      </c>
      <c r="L4724" t="s">
        <v>141</v>
      </c>
      <c r="N4724" t="s">
        <v>40</v>
      </c>
      <c r="O4724">
        <v>240</v>
      </c>
      <c r="Q4724">
        <v>4</v>
      </c>
      <c r="R4724">
        <v>1</v>
      </c>
      <c r="S4724">
        <v>0</v>
      </c>
      <c r="T4724">
        <v>0</v>
      </c>
      <c r="U4724">
        <v>1</v>
      </c>
      <c r="V4724">
        <v>0</v>
      </c>
      <c r="W4724">
        <v>3</v>
      </c>
      <c r="X4724" s="21">
        <v>0</v>
      </c>
      <c r="Y4724" s="21">
        <v>0</v>
      </c>
      <c r="Z4724" s="21">
        <v>0</v>
      </c>
      <c r="AA4724" s="21">
        <v>0</v>
      </c>
      <c r="AB4724" s="21">
        <v>0</v>
      </c>
      <c r="AC4724" s="21">
        <v>0</v>
      </c>
      <c r="AD4724" s="21">
        <v>0</v>
      </c>
      <c r="AE4724" s="21">
        <v>0</v>
      </c>
      <c r="AF4724">
        <v>0</v>
      </c>
      <c r="AG4724">
        <v>0</v>
      </c>
      <c r="AH4724">
        <v>320</v>
      </c>
      <c r="AJ4724" t="s">
        <v>51</v>
      </c>
      <c r="AK4724" t="s">
        <v>95</v>
      </c>
      <c r="AP4724" t="s">
        <v>951</v>
      </c>
    </row>
    <row r="4725" spans="1:42">
      <c r="A4725" s="16">
        <v>43867</v>
      </c>
      <c r="B4725">
        <v>3</v>
      </c>
      <c r="C4725">
        <v>238</v>
      </c>
      <c r="D4725">
        <v>14526</v>
      </c>
      <c r="E4725"/>
      <c r="F4725" t="s">
        <v>104</v>
      </c>
      <c r="G4725">
        <v>2</v>
      </c>
      <c r="H4725">
        <v>29</v>
      </c>
      <c r="I4725" s="25">
        <v>646</v>
      </c>
      <c r="K4725" t="s">
        <v>98</v>
      </c>
      <c r="N4725" t="s">
        <v>44</v>
      </c>
      <c r="O4725">
        <v>222</v>
      </c>
      <c r="Q4725">
        <v>2</v>
      </c>
      <c r="R4725">
        <v>1</v>
      </c>
      <c r="S4725">
        <v>0</v>
      </c>
      <c r="T4725">
        <v>0</v>
      </c>
      <c r="U4725">
        <v>0</v>
      </c>
      <c r="V4725">
        <v>0</v>
      </c>
      <c r="W4725">
        <v>2</v>
      </c>
      <c r="X4725" s="21">
        <v>0</v>
      </c>
      <c r="Y4725" s="21">
        <v>0</v>
      </c>
      <c r="Z4725" s="21">
        <v>0</v>
      </c>
      <c r="AA4725" s="21">
        <v>0</v>
      </c>
      <c r="AB4725" s="21">
        <v>0</v>
      </c>
      <c r="AC4725" s="21">
        <v>0</v>
      </c>
      <c r="AD4725" s="21">
        <v>0</v>
      </c>
      <c r="AE4725" s="21">
        <v>0</v>
      </c>
      <c r="AF4725">
        <v>0</v>
      </c>
      <c r="AG4725">
        <v>0</v>
      </c>
      <c r="AH4725">
        <v>192</v>
      </c>
      <c r="AJ4725" t="s">
        <v>51</v>
      </c>
      <c r="AK4725" t="s">
        <v>95</v>
      </c>
      <c r="AL4725" t="s">
        <v>1547</v>
      </c>
      <c r="AP4725" t="s">
        <v>951</v>
      </c>
    </row>
    <row r="4726" spans="1:42">
      <c r="A4726" s="16">
        <v>43867</v>
      </c>
      <c r="B4726">
        <v>3</v>
      </c>
      <c r="C4726">
        <v>238</v>
      </c>
      <c r="D4726">
        <v>14526</v>
      </c>
      <c r="E4726"/>
      <c r="F4726" t="s">
        <v>104</v>
      </c>
      <c r="G4726">
        <v>2</v>
      </c>
      <c r="H4726">
        <v>30</v>
      </c>
      <c r="I4726" s="25">
        <v>608</v>
      </c>
      <c r="K4726" t="s">
        <v>98</v>
      </c>
      <c r="L4726" t="s">
        <v>114</v>
      </c>
      <c r="N4726" t="s">
        <v>40</v>
      </c>
      <c r="O4726">
        <v>158</v>
      </c>
      <c r="Q4726">
        <v>2</v>
      </c>
      <c r="R4726">
        <v>1</v>
      </c>
      <c r="S4726">
        <v>0</v>
      </c>
      <c r="T4726">
        <v>0</v>
      </c>
      <c r="U4726">
        <v>0</v>
      </c>
      <c r="V4726">
        <v>1</v>
      </c>
      <c r="W4726">
        <v>1</v>
      </c>
      <c r="X4726" s="21">
        <v>0</v>
      </c>
      <c r="Y4726" s="21">
        <v>0</v>
      </c>
      <c r="Z4726" s="21">
        <v>0</v>
      </c>
      <c r="AA4726" s="21">
        <v>0</v>
      </c>
      <c r="AB4726" s="21">
        <v>0</v>
      </c>
      <c r="AC4726" s="21">
        <v>0</v>
      </c>
      <c r="AD4726" s="21">
        <v>0</v>
      </c>
      <c r="AE4726" s="21">
        <v>0</v>
      </c>
      <c r="AF4726">
        <v>0</v>
      </c>
      <c r="AG4726">
        <v>0</v>
      </c>
      <c r="AH4726">
        <v>160</v>
      </c>
      <c r="AJ4726" t="s">
        <v>51</v>
      </c>
      <c r="AK4726" t="s">
        <v>95</v>
      </c>
      <c r="AP4726" t="s">
        <v>951</v>
      </c>
    </row>
    <row r="4727" spans="1:42">
      <c r="A4727" s="16">
        <v>43867</v>
      </c>
      <c r="B4727">
        <v>3</v>
      </c>
      <c r="C4727">
        <v>238</v>
      </c>
      <c r="D4727">
        <v>14526</v>
      </c>
      <c r="E4727"/>
      <c r="F4727" t="s">
        <v>104</v>
      </c>
      <c r="G4727">
        <v>2</v>
      </c>
      <c r="H4727">
        <v>31</v>
      </c>
      <c r="I4727" s="25">
        <v>612</v>
      </c>
      <c r="K4727" t="s">
        <v>98</v>
      </c>
      <c r="N4727" t="s">
        <v>44</v>
      </c>
      <c r="O4727">
        <v>238</v>
      </c>
      <c r="Q4727">
        <v>6</v>
      </c>
      <c r="R4727">
        <v>1</v>
      </c>
      <c r="S4727">
        <v>0</v>
      </c>
      <c r="T4727">
        <v>0</v>
      </c>
      <c r="U4727">
        <v>3</v>
      </c>
      <c r="V4727">
        <v>2</v>
      </c>
      <c r="W4727">
        <v>1</v>
      </c>
      <c r="X4727" s="21">
        <v>0</v>
      </c>
      <c r="Y4727" s="21">
        <v>0</v>
      </c>
      <c r="Z4727" s="21">
        <v>0</v>
      </c>
      <c r="AA4727" s="21">
        <v>0</v>
      </c>
      <c r="AB4727" s="21">
        <v>0</v>
      </c>
      <c r="AC4727" s="21">
        <v>0</v>
      </c>
      <c r="AD4727" s="21">
        <v>0</v>
      </c>
      <c r="AE4727" s="21">
        <v>0</v>
      </c>
      <c r="AF4727">
        <v>0</v>
      </c>
      <c r="AG4727">
        <v>0</v>
      </c>
      <c r="AH4727">
        <v>320</v>
      </c>
      <c r="AJ4727" t="s">
        <v>51</v>
      </c>
      <c r="AK4727" t="s">
        <v>95</v>
      </c>
      <c r="AL4727" t="s">
        <v>1548</v>
      </c>
      <c r="AP4727" t="s">
        <v>951</v>
      </c>
    </row>
    <row r="4728" spans="1:42">
      <c r="A4728" s="16">
        <v>43867</v>
      </c>
      <c r="B4728">
        <v>3</v>
      </c>
      <c r="C4728">
        <v>238</v>
      </c>
      <c r="D4728">
        <v>14526</v>
      </c>
      <c r="E4728"/>
      <c r="F4728" t="s">
        <v>104</v>
      </c>
      <c r="G4728">
        <v>2</v>
      </c>
      <c r="H4728">
        <v>32</v>
      </c>
      <c r="I4728" s="25">
        <v>940</v>
      </c>
      <c r="K4728" t="s">
        <v>49</v>
      </c>
      <c r="L4728" t="s">
        <v>114</v>
      </c>
      <c r="N4728" t="s">
        <v>40</v>
      </c>
      <c r="O4728">
        <v>190</v>
      </c>
      <c r="Q4728">
        <v>3</v>
      </c>
      <c r="R4728">
        <v>1</v>
      </c>
      <c r="S4728">
        <v>0</v>
      </c>
      <c r="T4728">
        <v>0</v>
      </c>
      <c r="U4728">
        <v>0</v>
      </c>
      <c r="V4728">
        <v>0</v>
      </c>
      <c r="W4728">
        <v>3</v>
      </c>
      <c r="X4728" s="21">
        <v>0</v>
      </c>
      <c r="Y4728" s="21">
        <v>0</v>
      </c>
      <c r="Z4728" s="21">
        <v>0</v>
      </c>
      <c r="AA4728" s="21">
        <v>0</v>
      </c>
      <c r="AB4728" s="21">
        <v>0</v>
      </c>
      <c r="AC4728" s="21">
        <v>0</v>
      </c>
      <c r="AD4728" s="21">
        <v>0</v>
      </c>
      <c r="AE4728" s="21">
        <v>0</v>
      </c>
      <c r="AF4728">
        <v>0</v>
      </c>
      <c r="AG4728">
        <v>0</v>
      </c>
      <c r="AH4728">
        <v>288</v>
      </c>
      <c r="AJ4728" t="s">
        <v>51</v>
      </c>
      <c r="AK4728" t="s">
        <v>95</v>
      </c>
      <c r="AL4728" t="s">
        <v>1549</v>
      </c>
      <c r="AP4728" t="s">
        <v>951</v>
      </c>
    </row>
    <row r="4729" spans="1:42">
      <c r="A4729" s="16">
        <v>43867</v>
      </c>
      <c r="B4729">
        <v>3</v>
      </c>
      <c r="C4729">
        <v>238</v>
      </c>
      <c r="D4729">
        <v>14526</v>
      </c>
      <c r="E4729"/>
      <c r="F4729" t="s">
        <v>104</v>
      </c>
      <c r="G4729">
        <v>2</v>
      </c>
      <c r="H4729">
        <v>33</v>
      </c>
      <c r="I4729" s="25">
        <v>920</v>
      </c>
      <c r="K4729" t="s">
        <v>49</v>
      </c>
      <c r="N4729" t="s">
        <v>44</v>
      </c>
      <c r="O4729">
        <v>491</v>
      </c>
      <c r="Q4729">
        <v>6</v>
      </c>
      <c r="R4729">
        <v>1</v>
      </c>
      <c r="S4729">
        <v>0</v>
      </c>
      <c r="T4729">
        <v>0</v>
      </c>
      <c r="U4729">
        <v>0</v>
      </c>
      <c r="V4729">
        <v>2</v>
      </c>
      <c r="W4729">
        <v>4</v>
      </c>
      <c r="X4729" s="21">
        <v>0</v>
      </c>
      <c r="Y4729" s="21">
        <v>0</v>
      </c>
      <c r="Z4729" s="21">
        <v>0</v>
      </c>
      <c r="AA4729" s="21">
        <v>0</v>
      </c>
      <c r="AB4729" s="21">
        <v>0</v>
      </c>
      <c r="AC4729" s="21">
        <v>0</v>
      </c>
      <c r="AD4729" s="21">
        <v>0</v>
      </c>
      <c r="AE4729" s="21">
        <v>0</v>
      </c>
      <c r="AF4729">
        <v>0</v>
      </c>
      <c r="AG4729">
        <v>0</v>
      </c>
      <c r="AH4729">
        <v>512</v>
      </c>
      <c r="AJ4729" t="s">
        <v>51</v>
      </c>
      <c r="AK4729" t="s">
        <v>95</v>
      </c>
      <c r="AL4729" t="s">
        <v>1550</v>
      </c>
      <c r="AP4729" t="s">
        <v>951</v>
      </c>
    </row>
    <row r="4730" spans="1:42">
      <c r="A4730" s="16">
        <v>43867</v>
      </c>
      <c r="B4730">
        <v>3</v>
      </c>
      <c r="C4730">
        <v>238</v>
      </c>
      <c r="D4730">
        <v>14526</v>
      </c>
      <c r="E4730"/>
      <c r="F4730" t="s">
        <v>104</v>
      </c>
      <c r="G4730">
        <v>2</v>
      </c>
      <c r="H4730">
        <v>34</v>
      </c>
      <c r="I4730" s="25">
        <v>930</v>
      </c>
      <c r="K4730" t="s">
        <v>49</v>
      </c>
      <c r="N4730" t="s">
        <v>44</v>
      </c>
      <c r="O4730">
        <v>116</v>
      </c>
      <c r="Q4730">
        <v>2</v>
      </c>
      <c r="R4730">
        <v>1</v>
      </c>
      <c r="S4730">
        <v>0</v>
      </c>
      <c r="T4730">
        <v>0</v>
      </c>
      <c r="U4730">
        <v>1</v>
      </c>
      <c r="V4730">
        <v>0</v>
      </c>
      <c r="W4730">
        <v>1</v>
      </c>
      <c r="X4730" s="21">
        <v>0</v>
      </c>
      <c r="Y4730" s="21">
        <v>0</v>
      </c>
      <c r="Z4730" s="21">
        <v>0</v>
      </c>
      <c r="AA4730" s="21">
        <v>0</v>
      </c>
      <c r="AB4730" s="21">
        <v>0</v>
      </c>
      <c r="AC4730" s="21">
        <v>0</v>
      </c>
      <c r="AD4730" s="21">
        <v>0</v>
      </c>
      <c r="AE4730" s="21">
        <v>0</v>
      </c>
      <c r="AF4730">
        <v>0</v>
      </c>
      <c r="AG4730">
        <v>0</v>
      </c>
      <c r="AH4730">
        <v>128</v>
      </c>
      <c r="AJ4730" t="s">
        <v>51</v>
      </c>
      <c r="AK4730" t="s">
        <v>95</v>
      </c>
      <c r="AP4730" t="s">
        <v>951</v>
      </c>
    </row>
    <row r="4731" spans="1:42">
      <c r="A4731" s="16">
        <v>43867</v>
      </c>
      <c r="B4731">
        <v>3</v>
      </c>
      <c r="C4731">
        <v>238</v>
      </c>
      <c r="D4731">
        <v>14526</v>
      </c>
      <c r="E4731"/>
      <c r="F4731" t="s">
        <v>104</v>
      </c>
      <c r="G4731">
        <v>2</v>
      </c>
      <c r="H4731">
        <v>35</v>
      </c>
      <c r="I4731" s="25">
        <v>919</v>
      </c>
      <c r="K4731" t="s">
        <v>49</v>
      </c>
      <c r="M4731" t="s">
        <v>95</v>
      </c>
      <c r="N4731" t="s">
        <v>44</v>
      </c>
      <c r="O4731">
        <v>167</v>
      </c>
      <c r="Q4731">
        <v>1</v>
      </c>
      <c r="R4731">
        <v>1</v>
      </c>
      <c r="S4731">
        <v>0</v>
      </c>
      <c r="T4731">
        <v>0</v>
      </c>
      <c r="U4731">
        <v>1</v>
      </c>
      <c r="V4731">
        <v>0</v>
      </c>
      <c r="W4731">
        <v>0</v>
      </c>
      <c r="X4731" s="21">
        <v>0</v>
      </c>
      <c r="Y4731" s="21">
        <v>0</v>
      </c>
      <c r="Z4731" s="21">
        <v>0</v>
      </c>
      <c r="AA4731" s="21">
        <v>0</v>
      </c>
      <c r="AB4731" s="21">
        <v>0</v>
      </c>
      <c r="AC4731" s="21">
        <v>0</v>
      </c>
      <c r="AD4731" s="21">
        <v>0</v>
      </c>
      <c r="AE4731" s="21">
        <v>0</v>
      </c>
      <c r="AF4731">
        <v>0</v>
      </c>
      <c r="AG4731">
        <v>0</v>
      </c>
      <c r="AH4731">
        <v>32</v>
      </c>
      <c r="AJ4731" t="s">
        <v>51</v>
      </c>
      <c r="AK4731" t="s">
        <v>52</v>
      </c>
      <c r="AP4731" t="s">
        <v>951</v>
      </c>
    </row>
    <row r="4732" spans="1:42">
      <c r="A4732" s="16">
        <v>43867</v>
      </c>
      <c r="B4732">
        <v>3</v>
      </c>
      <c r="C4732">
        <v>238</v>
      </c>
      <c r="D4732">
        <v>14526</v>
      </c>
      <c r="E4732"/>
      <c r="F4732" t="s">
        <v>104</v>
      </c>
      <c r="G4732">
        <v>2</v>
      </c>
      <c r="H4732">
        <v>36</v>
      </c>
      <c r="I4732" s="25">
        <v>935</v>
      </c>
      <c r="K4732" t="s">
        <v>49</v>
      </c>
      <c r="N4732" t="s">
        <v>44</v>
      </c>
      <c r="O4732">
        <v>136</v>
      </c>
      <c r="Q4732">
        <v>1</v>
      </c>
      <c r="R4732">
        <v>1</v>
      </c>
      <c r="S4732">
        <v>0</v>
      </c>
      <c r="T4732">
        <v>0</v>
      </c>
      <c r="U4732">
        <v>0</v>
      </c>
      <c r="V4732">
        <v>0</v>
      </c>
      <c r="W4732">
        <v>1</v>
      </c>
      <c r="X4732" s="21">
        <v>0</v>
      </c>
      <c r="Y4732" s="21">
        <v>0</v>
      </c>
      <c r="Z4732" s="21">
        <v>0</v>
      </c>
      <c r="AA4732" s="21">
        <v>0</v>
      </c>
      <c r="AB4732" s="21">
        <v>0</v>
      </c>
      <c r="AC4732" s="21">
        <v>0</v>
      </c>
      <c r="AD4732" s="21">
        <v>0</v>
      </c>
      <c r="AE4732" s="21">
        <v>0</v>
      </c>
      <c r="AF4732">
        <v>0</v>
      </c>
      <c r="AG4732">
        <v>0</v>
      </c>
      <c r="AH4732">
        <v>96</v>
      </c>
      <c r="AJ4732" t="s">
        <v>51</v>
      </c>
      <c r="AK4732" t="s">
        <v>52</v>
      </c>
      <c r="AP4732" t="s">
        <v>951</v>
      </c>
    </row>
    <row r="4733" spans="1:42">
      <c r="A4733" s="16">
        <v>43867</v>
      </c>
      <c r="B4733">
        <v>3</v>
      </c>
      <c r="C4733">
        <v>238</v>
      </c>
      <c r="D4733">
        <v>14526</v>
      </c>
      <c r="E4733"/>
      <c r="F4733" t="s">
        <v>104</v>
      </c>
      <c r="G4733">
        <v>2</v>
      </c>
      <c r="H4733">
        <v>37</v>
      </c>
      <c r="I4733" s="25">
        <v>970</v>
      </c>
      <c r="K4733" t="s">
        <v>49</v>
      </c>
      <c r="N4733" t="s">
        <v>44</v>
      </c>
      <c r="O4733">
        <v>27</v>
      </c>
      <c r="Q4733">
        <v>1</v>
      </c>
      <c r="R4733">
        <v>1</v>
      </c>
      <c r="S4733">
        <v>0</v>
      </c>
      <c r="T4733">
        <v>0</v>
      </c>
      <c r="U4733">
        <v>1</v>
      </c>
      <c r="V4733">
        <v>0</v>
      </c>
      <c r="W4733">
        <v>0</v>
      </c>
      <c r="X4733" s="21">
        <v>0</v>
      </c>
      <c r="Y4733" s="21">
        <v>0</v>
      </c>
      <c r="Z4733" s="21">
        <v>0</v>
      </c>
      <c r="AA4733" s="21">
        <v>0</v>
      </c>
      <c r="AB4733" s="21">
        <v>0</v>
      </c>
      <c r="AC4733" s="21">
        <v>0</v>
      </c>
      <c r="AD4733" s="21">
        <v>0</v>
      </c>
      <c r="AE4733" s="21">
        <v>0</v>
      </c>
      <c r="AF4733">
        <v>0</v>
      </c>
      <c r="AG4733">
        <v>0</v>
      </c>
      <c r="AH4733">
        <v>32</v>
      </c>
      <c r="AJ4733" t="s">
        <v>51</v>
      </c>
      <c r="AK4733" t="s">
        <v>95</v>
      </c>
      <c r="AP4733" t="s">
        <v>951</v>
      </c>
    </row>
    <row r="4734" spans="1:42">
      <c r="A4734" s="16">
        <v>43867</v>
      </c>
      <c r="B4734">
        <v>3</v>
      </c>
      <c r="C4734">
        <v>238</v>
      </c>
      <c r="D4734">
        <v>14526</v>
      </c>
      <c r="E4734"/>
      <c r="F4734" t="s">
        <v>104</v>
      </c>
      <c r="G4734">
        <v>2</v>
      </c>
      <c r="H4734">
        <v>38</v>
      </c>
      <c r="I4734" s="25">
        <v>952</v>
      </c>
      <c r="K4734" t="s">
        <v>49</v>
      </c>
      <c r="N4734" t="s">
        <v>44</v>
      </c>
      <c r="O4734">
        <v>153</v>
      </c>
      <c r="Q4734">
        <v>3</v>
      </c>
      <c r="R4734">
        <v>1</v>
      </c>
      <c r="S4734">
        <v>0</v>
      </c>
      <c r="T4734">
        <v>0</v>
      </c>
      <c r="U4734">
        <v>1</v>
      </c>
      <c r="V4734">
        <v>0</v>
      </c>
      <c r="W4734">
        <v>2</v>
      </c>
      <c r="X4734" s="21">
        <v>0</v>
      </c>
      <c r="Y4734" s="21">
        <v>0</v>
      </c>
      <c r="Z4734" s="21">
        <v>0</v>
      </c>
      <c r="AA4734" s="21">
        <v>0</v>
      </c>
      <c r="AB4734" s="21">
        <v>0</v>
      </c>
      <c r="AC4734" s="21">
        <v>0</v>
      </c>
      <c r="AD4734" s="21">
        <v>0</v>
      </c>
      <c r="AE4734" s="21">
        <v>0</v>
      </c>
      <c r="AF4734">
        <v>0</v>
      </c>
      <c r="AG4734">
        <v>0</v>
      </c>
      <c r="AH4734">
        <v>224</v>
      </c>
      <c r="AJ4734" t="s">
        <v>51</v>
      </c>
      <c r="AK4734" t="s">
        <v>95</v>
      </c>
      <c r="AP4734" t="s">
        <v>951</v>
      </c>
    </row>
    <row r="4735" spans="1:42">
      <c r="A4735" s="16">
        <v>43867</v>
      </c>
      <c r="B4735">
        <v>3</v>
      </c>
      <c r="C4735">
        <v>238</v>
      </c>
      <c r="D4735">
        <v>14526</v>
      </c>
      <c r="E4735"/>
      <c r="F4735" t="s">
        <v>104</v>
      </c>
      <c r="G4735">
        <v>2</v>
      </c>
      <c r="H4735">
        <v>39</v>
      </c>
      <c r="I4735" s="25">
        <v>965</v>
      </c>
      <c r="K4735" t="s">
        <v>49</v>
      </c>
      <c r="M4735" t="s">
        <v>95</v>
      </c>
      <c r="N4735" t="s">
        <v>44</v>
      </c>
      <c r="O4735">
        <v>257</v>
      </c>
      <c r="Q4735">
        <v>3</v>
      </c>
      <c r="R4735">
        <v>1</v>
      </c>
      <c r="S4735">
        <v>0</v>
      </c>
      <c r="T4735">
        <v>0</v>
      </c>
      <c r="U4735">
        <v>0</v>
      </c>
      <c r="V4735">
        <v>3</v>
      </c>
      <c r="W4735">
        <v>0</v>
      </c>
      <c r="X4735" s="21">
        <v>0</v>
      </c>
      <c r="Y4735" s="21">
        <v>0</v>
      </c>
      <c r="Z4735" s="21">
        <v>0</v>
      </c>
      <c r="AA4735" s="21">
        <v>0</v>
      </c>
      <c r="AB4735" s="21">
        <v>0</v>
      </c>
      <c r="AC4735" s="21">
        <v>0</v>
      </c>
      <c r="AD4735" s="21">
        <v>0</v>
      </c>
      <c r="AE4735" s="21">
        <v>0</v>
      </c>
      <c r="AF4735">
        <v>0</v>
      </c>
      <c r="AG4735">
        <v>0</v>
      </c>
      <c r="AH4735">
        <v>192</v>
      </c>
      <c r="AJ4735" t="s">
        <v>51</v>
      </c>
      <c r="AK4735" t="s">
        <v>95</v>
      </c>
      <c r="AP4735" t="s">
        <v>951</v>
      </c>
    </row>
    <row r="4736" spans="1:42">
      <c r="A4736" s="16">
        <v>43867</v>
      </c>
      <c r="B4736">
        <v>3</v>
      </c>
      <c r="C4736">
        <v>238</v>
      </c>
      <c r="D4736">
        <v>14526</v>
      </c>
      <c r="E4736"/>
      <c r="F4736" t="s">
        <v>104</v>
      </c>
      <c r="G4736">
        <v>2</v>
      </c>
      <c r="H4736">
        <v>40</v>
      </c>
      <c r="I4736" s="25">
        <v>969</v>
      </c>
      <c r="K4736" t="s">
        <v>49</v>
      </c>
      <c r="N4736" t="s">
        <v>44</v>
      </c>
      <c r="O4736">
        <v>69</v>
      </c>
      <c r="Q4736">
        <v>1</v>
      </c>
      <c r="R4736">
        <v>1</v>
      </c>
      <c r="S4736">
        <v>0</v>
      </c>
      <c r="T4736">
        <v>0</v>
      </c>
      <c r="U4736">
        <v>1</v>
      </c>
      <c r="V4736">
        <v>0</v>
      </c>
      <c r="W4736">
        <v>0</v>
      </c>
      <c r="X4736" s="21">
        <v>0</v>
      </c>
      <c r="Y4736" s="21">
        <v>0</v>
      </c>
      <c r="Z4736" s="21">
        <v>0</v>
      </c>
      <c r="AA4736" s="21">
        <v>0</v>
      </c>
      <c r="AB4736" s="21">
        <v>0</v>
      </c>
      <c r="AC4736" s="21">
        <v>0</v>
      </c>
      <c r="AD4736" s="21">
        <v>0</v>
      </c>
      <c r="AE4736" s="21">
        <v>0</v>
      </c>
      <c r="AF4736">
        <v>0</v>
      </c>
      <c r="AG4736">
        <v>0</v>
      </c>
      <c r="AH4736">
        <v>32</v>
      </c>
      <c r="AJ4736" t="s">
        <v>51</v>
      </c>
      <c r="AK4736" t="s">
        <v>95</v>
      </c>
      <c r="AP4736" t="s">
        <v>951</v>
      </c>
    </row>
    <row r="4737" spans="1:42">
      <c r="A4737" s="16">
        <v>43867</v>
      </c>
      <c r="B4737">
        <v>3</v>
      </c>
      <c r="C4737">
        <v>238</v>
      </c>
      <c r="D4737">
        <v>14526</v>
      </c>
      <c r="E4737"/>
      <c r="F4737" t="s">
        <v>104</v>
      </c>
      <c r="G4737">
        <v>2</v>
      </c>
      <c r="H4737">
        <v>41</v>
      </c>
      <c r="I4737" s="25">
        <v>974</v>
      </c>
      <c r="K4737" t="s">
        <v>49</v>
      </c>
      <c r="N4737" t="s">
        <v>44</v>
      </c>
      <c r="O4737">
        <v>75</v>
      </c>
      <c r="Q4737">
        <v>2</v>
      </c>
      <c r="R4737">
        <v>1</v>
      </c>
      <c r="S4737">
        <v>0</v>
      </c>
      <c r="T4737">
        <v>0</v>
      </c>
      <c r="U4737">
        <v>1</v>
      </c>
      <c r="V4737">
        <v>0</v>
      </c>
      <c r="W4737">
        <v>1</v>
      </c>
      <c r="X4737" s="21">
        <v>0</v>
      </c>
      <c r="Y4737" s="21">
        <v>0</v>
      </c>
      <c r="Z4737" s="21">
        <v>0</v>
      </c>
      <c r="AA4737" s="21">
        <v>0</v>
      </c>
      <c r="AB4737" s="21">
        <v>0</v>
      </c>
      <c r="AC4737">
        <v>0</v>
      </c>
      <c r="AD4737" s="21">
        <v>0</v>
      </c>
      <c r="AE4737" s="21">
        <v>0</v>
      </c>
      <c r="AF4737">
        <v>0</v>
      </c>
      <c r="AG4737">
        <v>0</v>
      </c>
      <c r="AH4737">
        <v>128</v>
      </c>
      <c r="AJ4737" t="s">
        <v>51</v>
      </c>
      <c r="AK4737" t="s">
        <v>95</v>
      </c>
      <c r="AP4737" t="s">
        <v>951</v>
      </c>
    </row>
    <row r="4738" spans="1:42">
      <c r="A4738" s="16">
        <v>43867</v>
      </c>
      <c r="B4738">
        <v>3</v>
      </c>
      <c r="C4738">
        <v>238</v>
      </c>
      <c r="D4738">
        <v>14526</v>
      </c>
      <c r="E4738"/>
      <c r="F4738" t="s">
        <v>104</v>
      </c>
      <c r="G4738">
        <v>2</v>
      </c>
      <c r="H4738">
        <v>42</v>
      </c>
      <c r="I4738" s="25" t="s">
        <v>1079</v>
      </c>
      <c r="K4738" t="s">
        <v>49</v>
      </c>
      <c r="N4738" t="s">
        <v>44</v>
      </c>
      <c r="O4738">
        <v>282</v>
      </c>
      <c r="Q4738">
        <v>2</v>
      </c>
      <c r="R4738">
        <v>1</v>
      </c>
      <c r="S4738">
        <v>0</v>
      </c>
      <c r="T4738">
        <v>0</v>
      </c>
      <c r="U4738">
        <v>0</v>
      </c>
      <c r="V4738">
        <v>0</v>
      </c>
      <c r="W4738">
        <v>2</v>
      </c>
      <c r="X4738" s="21">
        <v>0</v>
      </c>
      <c r="Y4738" s="21">
        <v>0</v>
      </c>
      <c r="Z4738" s="21">
        <v>0</v>
      </c>
      <c r="AA4738" s="21">
        <v>0</v>
      </c>
      <c r="AB4738" s="21">
        <v>0</v>
      </c>
      <c r="AC4738" s="21">
        <v>0</v>
      </c>
      <c r="AD4738" s="21">
        <v>0</v>
      </c>
      <c r="AE4738" s="21">
        <v>0</v>
      </c>
      <c r="AF4738">
        <v>0</v>
      </c>
      <c r="AG4738">
        <v>0</v>
      </c>
      <c r="AH4738">
        <v>192</v>
      </c>
      <c r="AJ4738" t="s">
        <v>51</v>
      </c>
      <c r="AK4738" t="s">
        <v>52</v>
      </c>
      <c r="AL4738" t="s">
        <v>1551</v>
      </c>
      <c r="AP4738" t="s">
        <v>951</v>
      </c>
    </row>
    <row r="4739" spans="1:42">
      <c r="A4739" s="16">
        <v>43867</v>
      </c>
      <c r="B4739">
        <v>3</v>
      </c>
      <c r="C4739">
        <v>238</v>
      </c>
      <c r="D4739">
        <v>14526</v>
      </c>
      <c r="E4739"/>
      <c r="F4739" t="s">
        <v>104</v>
      </c>
      <c r="G4739">
        <v>2</v>
      </c>
      <c r="H4739">
        <v>43</v>
      </c>
      <c r="I4739" s="25">
        <v>1000</v>
      </c>
      <c r="K4739" t="s">
        <v>49</v>
      </c>
      <c r="N4739" t="s">
        <v>44</v>
      </c>
      <c r="O4739">
        <v>122</v>
      </c>
      <c r="Q4739">
        <v>3</v>
      </c>
      <c r="R4739">
        <v>1</v>
      </c>
      <c r="S4739">
        <v>0</v>
      </c>
      <c r="T4739">
        <v>0</v>
      </c>
      <c r="U4739">
        <v>3</v>
      </c>
      <c r="V4739">
        <v>0</v>
      </c>
      <c r="W4739">
        <v>0</v>
      </c>
      <c r="X4739" s="21">
        <v>0</v>
      </c>
      <c r="Y4739" s="21">
        <v>0</v>
      </c>
      <c r="Z4739" s="21">
        <v>0</v>
      </c>
      <c r="AA4739" s="21">
        <v>0</v>
      </c>
      <c r="AB4739" s="21">
        <v>0</v>
      </c>
      <c r="AC4739" s="21">
        <v>0</v>
      </c>
      <c r="AD4739" s="21">
        <v>0</v>
      </c>
      <c r="AE4739" s="21">
        <v>0</v>
      </c>
      <c r="AF4739">
        <v>0</v>
      </c>
      <c r="AG4739">
        <v>0</v>
      </c>
      <c r="AH4739">
        <v>96</v>
      </c>
      <c r="AJ4739" t="s">
        <v>51</v>
      </c>
      <c r="AK4739" t="s">
        <v>95</v>
      </c>
      <c r="AL4739" t="s">
        <v>1552</v>
      </c>
      <c r="AP4739" t="s">
        <v>951</v>
      </c>
    </row>
    <row r="4740" spans="1:42">
      <c r="A4740" s="16">
        <v>43867</v>
      </c>
      <c r="B4740">
        <v>3</v>
      </c>
      <c r="C4740">
        <v>238</v>
      </c>
      <c r="D4740">
        <v>14526</v>
      </c>
      <c r="E4740"/>
      <c r="F4740" t="s">
        <v>104</v>
      </c>
      <c r="G4740">
        <v>2</v>
      </c>
      <c r="H4740">
        <v>44</v>
      </c>
      <c r="I4740" s="25">
        <v>1034</v>
      </c>
      <c r="K4740" t="s">
        <v>49</v>
      </c>
      <c r="N4740" t="s">
        <v>44</v>
      </c>
      <c r="O4740">
        <v>114</v>
      </c>
      <c r="Q4740">
        <v>1</v>
      </c>
      <c r="R4740">
        <v>1</v>
      </c>
      <c r="S4740">
        <v>0</v>
      </c>
      <c r="T4740">
        <v>0</v>
      </c>
      <c r="U4740">
        <v>0</v>
      </c>
      <c r="V4740">
        <v>0</v>
      </c>
      <c r="W4740">
        <v>1</v>
      </c>
      <c r="X4740" s="21">
        <v>0</v>
      </c>
      <c r="Y4740" s="21">
        <v>0</v>
      </c>
      <c r="Z4740" s="21">
        <v>0</v>
      </c>
      <c r="AA4740" s="21">
        <v>0</v>
      </c>
      <c r="AB4740" s="21">
        <v>0</v>
      </c>
      <c r="AC4740" s="21">
        <v>0</v>
      </c>
      <c r="AD4740" s="21">
        <v>0</v>
      </c>
      <c r="AE4740" s="21">
        <v>0</v>
      </c>
      <c r="AF4740">
        <v>0</v>
      </c>
      <c r="AG4740">
        <v>0</v>
      </c>
      <c r="AH4740">
        <v>96</v>
      </c>
      <c r="AJ4740" t="s">
        <v>51</v>
      </c>
      <c r="AK4740" t="s">
        <v>52</v>
      </c>
      <c r="AL4740" t="s">
        <v>1534</v>
      </c>
      <c r="AP4740" t="s">
        <v>951</v>
      </c>
    </row>
    <row r="4741" spans="1:42">
      <c r="A4741" s="16">
        <v>43867</v>
      </c>
      <c r="B4741">
        <v>3</v>
      </c>
      <c r="C4741">
        <v>238</v>
      </c>
      <c r="D4741">
        <v>14526</v>
      </c>
      <c r="E4741"/>
      <c r="F4741" t="s">
        <v>104</v>
      </c>
      <c r="G4741">
        <v>2</v>
      </c>
      <c r="H4741">
        <v>45</v>
      </c>
      <c r="I4741" s="25">
        <v>1025</v>
      </c>
      <c r="K4741" t="s">
        <v>49</v>
      </c>
      <c r="M4741" t="s">
        <v>95</v>
      </c>
      <c r="N4741" t="s">
        <v>44</v>
      </c>
      <c r="O4741">
        <v>183</v>
      </c>
      <c r="Q4741">
        <v>2</v>
      </c>
      <c r="R4741">
        <v>1</v>
      </c>
      <c r="S4741">
        <v>0</v>
      </c>
      <c r="T4741">
        <v>0</v>
      </c>
      <c r="U4741">
        <v>1</v>
      </c>
      <c r="V4741">
        <v>0</v>
      </c>
      <c r="W4741">
        <v>1</v>
      </c>
      <c r="X4741" s="21">
        <v>0</v>
      </c>
      <c r="Y4741" s="21">
        <v>0</v>
      </c>
      <c r="Z4741" s="21">
        <v>0</v>
      </c>
      <c r="AA4741" s="21">
        <v>0</v>
      </c>
      <c r="AB4741" s="21">
        <v>0</v>
      </c>
      <c r="AC4741" s="21">
        <v>0</v>
      </c>
      <c r="AD4741" s="21">
        <v>0</v>
      </c>
      <c r="AE4741" s="21">
        <v>0</v>
      </c>
      <c r="AF4741">
        <v>0</v>
      </c>
      <c r="AG4741">
        <v>0</v>
      </c>
      <c r="AH4741">
        <v>128</v>
      </c>
      <c r="AJ4741" t="s">
        <v>51</v>
      </c>
      <c r="AK4741" t="s">
        <v>52</v>
      </c>
      <c r="AL4741" t="s">
        <v>1553</v>
      </c>
      <c r="AP4741" t="s">
        <v>951</v>
      </c>
    </row>
    <row r="4742" spans="1:42">
      <c r="A4742" s="16">
        <v>43867</v>
      </c>
      <c r="B4742">
        <v>3</v>
      </c>
      <c r="C4742">
        <v>238</v>
      </c>
      <c r="D4742">
        <v>14526</v>
      </c>
      <c r="E4742"/>
      <c r="F4742" t="s">
        <v>104</v>
      </c>
      <c r="G4742">
        <v>2</v>
      </c>
      <c r="H4742">
        <v>46</v>
      </c>
      <c r="I4742" s="25">
        <v>1035</v>
      </c>
      <c r="K4742" t="s">
        <v>49</v>
      </c>
      <c r="N4742" t="s">
        <v>44</v>
      </c>
      <c r="O4742">
        <v>262</v>
      </c>
      <c r="Q4742">
        <v>2</v>
      </c>
      <c r="R4742">
        <v>1</v>
      </c>
      <c r="S4742">
        <v>0</v>
      </c>
      <c r="T4742">
        <v>0</v>
      </c>
      <c r="U4742">
        <v>0</v>
      </c>
      <c r="V4742">
        <v>1</v>
      </c>
      <c r="W4742">
        <v>1</v>
      </c>
      <c r="X4742" s="21">
        <v>0</v>
      </c>
      <c r="Y4742" s="21">
        <v>0</v>
      </c>
      <c r="Z4742" s="21">
        <v>0</v>
      </c>
      <c r="AA4742" s="21">
        <v>0</v>
      </c>
      <c r="AB4742" s="21">
        <v>0</v>
      </c>
      <c r="AC4742" s="21">
        <v>0</v>
      </c>
      <c r="AD4742" s="21">
        <v>0</v>
      </c>
      <c r="AE4742" s="21">
        <v>0</v>
      </c>
      <c r="AF4742">
        <v>0</v>
      </c>
      <c r="AG4742">
        <v>0</v>
      </c>
      <c r="AH4742">
        <v>160</v>
      </c>
      <c r="AJ4742" t="s">
        <v>51</v>
      </c>
      <c r="AK4742" t="s">
        <v>52</v>
      </c>
      <c r="AL4742" t="s">
        <v>1543</v>
      </c>
      <c r="AP4742" t="s">
        <v>951</v>
      </c>
    </row>
    <row r="4743" spans="1:42">
      <c r="A4743" s="16">
        <v>43867</v>
      </c>
      <c r="B4743">
        <v>3</v>
      </c>
      <c r="C4743">
        <v>238</v>
      </c>
      <c r="D4743">
        <v>14526</v>
      </c>
      <c r="E4743"/>
      <c r="F4743" t="s">
        <v>104</v>
      </c>
      <c r="G4743">
        <v>2</v>
      </c>
      <c r="H4743">
        <v>47</v>
      </c>
      <c r="I4743" s="25">
        <v>1054</v>
      </c>
      <c r="K4743" t="s">
        <v>49</v>
      </c>
      <c r="N4743" t="s">
        <v>44</v>
      </c>
      <c r="O4743">
        <v>271</v>
      </c>
      <c r="Q4743">
        <v>2</v>
      </c>
      <c r="R4743">
        <v>1</v>
      </c>
      <c r="S4743">
        <v>0</v>
      </c>
      <c r="T4743">
        <v>0</v>
      </c>
      <c r="U4743">
        <v>1</v>
      </c>
      <c r="V4743">
        <v>0</v>
      </c>
      <c r="W4743">
        <v>1</v>
      </c>
      <c r="X4743" s="21">
        <v>0</v>
      </c>
      <c r="Y4743" s="21">
        <v>0</v>
      </c>
      <c r="Z4743" s="21">
        <v>0</v>
      </c>
      <c r="AA4743" s="21">
        <v>0</v>
      </c>
      <c r="AB4743" s="21">
        <v>0</v>
      </c>
      <c r="AC4743" s="21">
        <v>0</v>
      </c>
      <c r="AD4743" s="21">
        <v>0</v>
      </c>
      <c r="AE4743" s="21">
        <v>0</v>
      </c>
      <c r="AF4743">
        <v>0</v>
      </c>
      <c r="AG4743">
        <v>0</v>
      </c>
      <c r="AH4743">
        <v>128</v>
      </c>
      <c r="AJ4743" t="s">
        <v>51</v>
      </c>
      <c r="AK4743" t="s">
        <v>52</v>
      </c>
      <c r="AL4743" t="s">
        <v>1554</v>
      </c>
      <c r="AP4743" t="s">
        <v>951</v>
      </c>
    </row>
    <row r="4744" spans="1:42">
      <c r="A4744" s="16">
        <v>43867</v>
      </c>
      <c r="B4744">
        <v>3</v>
      </c>
      <c r="C4744">
        <v>238</v>
      </c>
      <c r="D4744">
        <v>14526</v>
      </c>
      <c r="E4744"/>
      <c r="F4744" t="s">
        <v>104</v>
      </c>
      <c r="G4744">
        <v>2</v>
      </c>
      <c r="H4744">
        <v>48</v>
      </c>
      <c r="I4744" s="25">
        <v>1062</v>
      </c>
      <c r="K4744" t="s">
        <v>49</v>
      </c>
      <c r="N4744" t="s">
        <v>44</v>
      </c>
      <c r="O4744">
        <v>175</v>
      </c>
      <c r="Q4744">
        <v>2</v>
      </c>
      <c r="R4744">
        <v>1</v>
      </c>
      <c r="S4744">
        <v>0</v>
      </c>
      <c r="T4744">
        <v>0</v>
      </c>
      <c r="U4744">
        <v>1</v>
      </c>
      <c r="V4744">
        <v>0</v>
      </c>
      <c r="W4744">
        <v>1</v>
      </c>
      <c r="X4744" s="21">
        <v>0</v>
      </c>
      <c r="Y4744" s="21">
        <v>0</v>
      </c>
      <c r="Z4744" s="21">
        <v>0</v>
      </c>
      <c r="AA4744" s="21">
        <v>0</v>
      </c>
      <c r="AB4744" s="21">
        <v>0</v>
      </c>
      <c r="AC4744">
        <v>0</v>
      </c>
      <c r="AD4744" s="21">
        <v>0</v>
      </c>
      <c r="AE4744" s="21">
        <v>0</v>
      </c>
      <c r="AF4744">
        <v>0</v>
      </c>
      <c r="AG4744">
        <v>0</v>
      </c>
      <c r="AH4744">
        <v>128</v>
      </c>
      <c r="AJ4744" t="s">
        <v>51</v>
      </c>
      <c r="AK4744" t="s">
        <v>52</v>
      </c>
      <c r="AL4744" t="s">
        <v>1405</v>
      </c>
      <c r="AP4744" t="s">
        <v>951</v>
      </c>
    </row>
    <row r="4745" spans="1:42">
      <c r="A4745" s="16">
        <v>43867</v>
      </c>
      <c r="B4745">
        <v>3</v>
      </c>
      <c r="C4745">
        <v>238</v>
      </c>
      <c r="D4745">
        <v>14526</v>
      </c>
      <c r="E4745"/>
      <c r="F4745" t="s">
        <v>104</v>
      </c>
      <c r="G4745">
        <v>2</v>
      </c>
      <c r="H4745">
        <v>49</v>
      </c>
      <c r="I4745" s="25">
        <v>1065</v>
      </c>
      <c r="K4745" t="s">
        <v>49</v>
      </c>
      <c r="N4745" t="s">
        <v>44</v>
      </c>
      <c r="O4745">
        <v>241</v>
      </c>
      <c r="Q4745">
        <v>3</v>
      </c>
      <c r="R4745">
        <v>1</v>
      </c>
      <c r="S4745">
        <v>0</v>
      </c>
      <c r="T4745">
        <v>0</v>
      </c>
      <c r="U4745">
        <v>0</v>
      </c>
      <c r="V4745">
        <v>1</v>
      </c>
      <c r="W4745">
        <v>3</v>
      </c>
      <c r="X4745" s="21">
        <v>0</v>
      </c>
      <c r="Y4745" s="21">
        <v>0</v>
      </c>
      <c r="Z4745" s="21">
        <v>0</v>
      </c>
      <c r="AA4745" s="21">
        <v>0</v>
      </c>
      <c r="AB4745" s="21">
        <v>0</v>
      </c>
      <c r="AC4745" s="21">
        <v>0</v>
      </c>
      <c r="AD4745" s="21">
        <v>0</v>
      </c>
      <c r="AE4745" s="21">
        <v>0</v>
      </c>
      <c r="AF4745">
        <v>0</v>
      </c>
      <c r="AG4745">
        <v>0</v>
      </c>
      <c r="AH4745">
        <v>256</v>
      </c>
      <c r="AJ4745" t="s">
        <v>51</v>
      </c>
      <c r="AK4745" t="s">
        <v>52</v>
      </c>
      <c r="AL4745" t="s">
        <v>1555</v>
      </c>
      <c r="AP4745" t="s">
        <v>951</v>
      </c>
    </row>
    <row r="4746" spans="1:42">
      <c r="A4746" s="16">
        <v>43867</v>
      </c>
      <c r="B4746">
        <v>3</v>
      </c>
      <c r="C4746">
        <v>238</v>
      </c>
      <c r="D4746">
        <v>14526</v>
      </c>
      <c r="E4746"/>
      <c r="F4746" t="s">
        <v>104</v>
      </c>
      <c r="G4746">
        <v>2</v>
      </c>
      <c r="H4746">
        <v>50</v>
      </c>
      <c r="I4746" s="25">
        <v>1029</v>
      </c>
      <c r="K4746" t="s">
        <v>74</v>
      </c>
      <c r="N4746" t="s">
        <v>44</v>
      </c>
      <c r="O4746">
        <v>301</v>
      </c>
      <c r="Q4746">
        <v>6</v>
      </c>
      <c r="R4746">
        <v>1</v>
      </c>
      <c r="S4746">
        <v>0</v>
      </c>
      <c r="T4746">
        <v>0</v>
      </c>
      <c r="U4746">
        <v>1</v>
      </c>
      <c r="V4746">
        <v>2</v>
      </c>
      <c r="W4746">
        <v>3</v>
      </c>
      <c r="X4746" s="21">
        <v>0</v>
      </c>
      <c r="Y4746" s="21">
        <v>0</v>
      </c>
      <c r="Z4746" s="21">
        <v>0</v>
      </c>
      <c r="AA4746" s="21">
        <v>0</v>
      </c>
      <c r="AB4746" s="21">
        <v>0</v>
      </c>
      <c r="AC4746" s="21">
        <v>0</v>
      </c>
      <c r="AD4746" s="21">
        <v>0</v>
      </c>
      <c r="AE4746" s="21">
        <v>0</v>
      </c>
      <c r="AF4746">
        <v>0</v>
      </c>
      <c r="AG4746">
        <v>0</v>
      </c>
      <c r="AH4746">
        <v>448</v>
      </c>
      <c r="AJ4746" t="s">
        <v>51</v>
      </c>
      <c r="AK4746" t="s">
        <v>95</v>
      </c>
      <c r="AL4746" t="s">
        <v>1556</v>
      </c>
      <c r="AP4746" t="s">
        <v>951</v>
      </c>
    </row>
    <row r="4747" spans="1:42">
      <c r="A4747" s="16">
        <v>43867</v>
      </c>
      <c r="B4747">
        <v>3</v>
      </c>
      <c r="C4747">
        <v>238</v>
      </c>
      <c r="D4747">
        <v>14526</v>
      </c>
      <c r="E4747"/>
      <c r="F4747" t="s">
        <v>104</v>
      </c>
      <c r="G4747">
        <v>2</v>
      </c>
      <c r="H4747">
        <v>51</v>
      </c>
      <c r="I4747" s="25">
        <v>1015</v>
      </c>
      <c r="K4747" t="s">
        <v>74</v>
      </c>
      <c r="N4747" t="s">
        <v>44</v>
      </c>
      <c r="O4747">
        <v>93</v>
      </c>
      <c r="Q4747">
        <v>2</v>
      </c>
      <c r="R4747">
        <v>1</v>
      </c>
      <c r="S4747">
        <v>0</v>
      </c>
      <c r="T4747">
        <v>0</v>
      </c>
      <c r="U4747">
        <v>1</v>
      </c>
      <c r="V4747">
        <v>0</v>
      </c>
      <c r="W4747">
        <v>1</v>
      </c>
      <c r="X4747" s="21">
        <v>0</v>
      </c>
      <c r="Y4747" s="21">
        <v>0</v>
      </c>
      <c r="Z4747" s="21">
        <v>0</v>
      </c>
      <c r="AA4747" s="21">
        <v>0</v>
      </c>
      <c r="AB4747" s="21">
        <v>0</v>
      </c>
      <c r="AC4747" s="21">
        <v>0</v>
      </c>
      <c r="AD4747" s="21">
        <v>0</v>
      </c>
      <c r="AE4747" s="21">
        <v>0</v>
      </c>
      <c r="AF4747">
        <v>0</v>
      </c>
      <c r="AG4747">
        <v>0</v>
      </c>
      <c r="AH4747">
        <v>128</v>
      </c>
      <c r="AJ4747" t="s">
        <v>51</v>
      </c>
      <c r="AK4747" t="s">
        <v>35</v>
      </c>
      <c r="AL4747" t="s">
        <v>1557</v>
      </c>
      <c r="AP4747" t="s">
        <v>951</v>
      </c>
    </row>
    <row r="4748" spans="1:42">
      <c r="A4748" s="16">
        <v>43867</v>
      </c>
      <c r="B4748">
        <v>3</v>
      </c>
      <c r="C4748">
        <v>238</v>
      </c>
      <c r="D4748">
        <v>14526</v>
      </c>
      <c r="E4748"/>
      <c r="F4748" t="s">
        <v>104</v>
      </c>
      <c r="G4748">
        <v>2</v>
      </c>
      <c r="H4748">
        <v>52</v>
      </c>
      <c r="I4748" s="25">
        <v>990</v>
      </c>
      <c r="K4748" t="s">
        <v>414</v>
      </c>
      <c r="N4748" t="s">
        <v>44</v>
      </c>
      <c r="O4748">
        <v>275</v>
      </c>
      <c r="Q4748">
        <v>6</v>
      </c>
      <c r="R4748">
        <v>1</v>
      </c>
      <c r="S4748">
        <v>0</v>
      </c>
      <c r="T4748">
        <v>0</v>
      </c>
      <c r="U4748">
        <v>0</v>
      </c>
      <c r="V4748">
        <v>6</v>
      </c>
      <c r="W4748">
        <v>0</v>
      </c>
      <c r="X4748" s="21">
        <v>0</v>
      </c>
      <c r="Y4748" s="21">
        <v>0</v>
      </c>
      <c r="Z4748" s="21">
        <v>0</v>
      </c>
      <c r="AA4748" s="21">
        <v>0</v>
      </c>
      <c r="AB4748" s="21">
        <v>0</v>
      </c>
      <c r="AC4748" s="21">
        <v>0</v>
      </c>
      <c r="AD4748" s="21">
        <v>0</v>
      </c>
      <c r="AE4748" s="21">
        <v>0</v>
      </c>
      <c r="AF4748">
        <v>0</v>
      </c>
      <c r="AG4748">
        <v>0</v>
      </c>
      <c r="AH4748">
        <v>384</v>
      </c>
      <c r="AJ4748" t="s">
        <v>51</v>
      </c>
      <c r="AK4748" t="s">
        <v>95</v>
      </c>
      <c r="AL4748" t="s">
        <v>1557</v>
      </c>
      <c r="AP4748" t="s">
        <v>951</v>
      </c>
    </row>
    <row r="4749" spans="1:42">
      <c r="A4749" s="16">
        <v>43867</v>
      </c>
      <c r="B4749">
        <v>3</v>
      </c>
      <c r="C4749">
        <v>238</v>
      </c>
      <c r="D4749">
        <v>14526</v>
      </c>
      <c r="E4749"/>
      <c r="F4749" t="s">
        <v>104</v>
      </c>
      <c r="G4749">
        <v>2</v>
      </c>
      <c r="H4749">
        <v>53</v>
      </c>
      <c r="I4749" s="25">
        <v>909</v>
      </c>
      <c r="K4749" t="s">
        <v>74</v>
      </c>
      <c r="N4749" t="s">
        <v>44</v>
      </c>
      <c r="O4749">
        <v>193</v>
      </c>
      <c r="Q4749">
        <v>4</v>
      </c>
      <c r="R4749">
        <v>1</v>
      </c>
      <c r="S4749">
        <v>0</v>
      </c>
      <c r="T4749">
        <v>0</v>
      </c>
      <c r="U4749">
        <v>0</v>
      </c>
      <c r="V4749">
        <v>4</v>
      </c>
      <c r="W4749">
        <v>0</v>
      </c>
      <c r="X4749" s="21">
        <v>0</v>
      </c>
      <c r="Y4749" s="21">
        <v>0</v>
      </c>
      <c r="Z4749" s="21">
        <v>0</v>
      </c>
      <c r="AA4749" s="21">
        <v>0</v>
      </c>
      <c r="AB4749" s="21">
        <v>0</v>
      </c>
      <c r="AC4749" s="21">
        <v>0</v>
      </c>
      <c r="AD4749" s="21">
        <v>0</v>
      </c>
      <c r="AE4749" s="21">
        <v>0</v>
      </c>
      <c r="AF4749">
        <v>0</v>
      </c>
      <c r="AG4749">
        <v>0</v>
      </c>
      <c r="AH4749">
        <v>384</v>
      </c>
      <c r="AJ4749" t="s">
        <v>51</v>
      </c>
      <c r="AK4749" t="s">
        <v>95</v>
      </c>
      <c r="AL4749" t="s">
        <v>1557</v>
      </c>
      <c r="AP4749" t="s">
        <v>951</v>
      </c>
    </row>
    <row r="4750" spans="1:42">
      <c r="A4750" s="16">
        <v>43867</v>
      </c>
      <c r="B4750">
        <v>3</v>
      </c>
      <c r="C4750">
        <v>238</v>
      </c>
      <c r="D4750">
        <v>14526</v>
      </c>
      <c r="E4750"/>
      <c r="F4750" t="s">
        <v>104</v>
      </c>
      <c r="G4750">
        <v>2</v>
      </c>
      <c r="H4750">
        <v>54</v>
      </c>
      <c r="I4750" s="25">
        <v>910</v>
      </c>
      <c r="K4750" t="s">
        <v>74</v>
      </c>
      <c r="N4750" t="s">
        <v>44</v>
      </c>
      <c r="O4750">
        <v>97</v>
      </c>
      <c r="Q4750">
        <v>1</v>
      </c>
      <c r="R4750">
        <v>1</v>
      </c>
      <c r="S4750">
        <v>0</v>
      </c>
      <c r="T4750">
        <v>0</v>
      </c>
      <c r="U4750">
        <v>0</v>
      </c>
      <c r="V4750">
        <v>0</v>
      </c>
      <c r="W4750">
        <v>1</v>
      </c>
      <c r="X4750" s="21">
        <v>0</v>
      </c>
      <c r="Y4750" s="21">
        <v>0</v>
      </c>
      <c r="Z4750" s="21">
        <v>0</v>
      </c>
      <c r="AA4750" s="21">
        <v>0</v>
      </c>
      <c r="AB4750" s="21">
        <v>0</v>
      </c>
      <c r="AC4750" s="21">
        <v>0</v>
      </c>
      <c r="AD4750" s="21">
        <v>0</v>
      </c>
      <c r="AE4750" s="21">
        <v>0</v>
      </c>
      <c r="AF4750">
        <v>0</v>
      </c>
      <c r="AG4750">
        <v>0</v>
      </c>
      <c r="AH4750">
        <v>96</v>
      </c>
      <c r="AJ4750" t="s">
        <v>51</v>
      </c>
      <c r="AK4750" t="s">
        <v>95</v>
      </c>
      <c r="AP4750" t="s">
        <v>951</v>
      </c>
    </row>
    <row r="4751" spans="1:42">
      <c r="A4751" s="16">
        <v>43867</v>
      </c>
      <c r="B4751">
        <v>3</v>
      </c>
      <c r="C4751">
        <v>238</v>
      </c>
      <c r="D4751">
        <v>14526</v>
      </c>
      <c r="E4751"/>
      <c r="F4751" t="s">
        <v>104</v>
      </c>
      <c r="G4751">
        <v>2</v>
      </c>
      <c r="H4751">
        <v>55</v>
      </c>
      <c r="I4751" s="25">
        <v>901</v>
      </c>
      <c r="K4751" t="s">
        <v>420</v>
      </c>
      <c r="N4751" t="s">
        <v>44</v>
      </c>
      <c r="O4751">
        <v>124</v>
      </c>
      <c r="Q4751">
        <v>3</v>
      </c>
      <c r="R4751">
        <v>1</v>
      </c>
      <c r="S4751">
        <v>0</v>
      </c>
      <c r="T4751">
        <v>0</v>
      </c>
      <c r="U4751">
        <v>1</v>
      </c>
      <c r="V4751">
        <v>2</v>
      </c>
      <c r="W4751">
        <v>0</v>
      </c>
      <c r="X4751" s="21">
        <v>0</v>
      </c>
      <c r="Y4751" s="21">
        <v>0</v>
      </c>
      <c r="Z4751" s="21">
        <v>0</v>
      </c>
      <c r="AA4751" s="21">
        <v>0</v>
      </c>
      <c r="AB4751" s="21">
        <v>0</v>
      </c>
      <c r="AC4751" s="21">
        <v>0</v>
      </c>
      <c r="AD4751" s="21">
        <v>0</v>
      </c>
      <c r="AE4751" s="21">
        <v>0</v>
      </c>
      <c r="AF4751">
        <v>0</v>
      </c>
      <c r="AG4751">
        <v>0</v>
      </c>
      <c r="AH4751">
        <v>160</v>
      </c>
      <c r="AJ4751" t="s">
        <v>51</v>
      </c>
      <c r="AK4751" t="s">
        <v>95</v>
      </c>
      <c r="AP4751" t="s">
        <v>951</v>
      </c>
    </row>
    <row r="4752" spans="1:42">
      <c r="A4752" s="16">
        <v>43867</v>
      </c>
      <c r="B4752">
        <v>3</v>
      </c>
      <c r="C4752">
        <v>238</v>
      </c>
      <c r="D4752">
        <v>14526</v>
      </c>
      <c r="E4752"/>
      <c r="F4752" t="s">
        <v>104</v>
      </c>
      <c r="G4752">
        <v>2</v>
      </c>
      <c r="H4752">
        <v>56</v>
      </c>
      <c r="I4752" s="25">
        <v>924</v>
      </c>
      <c r="K4752" t="s">
        <v>74</v>
      </c>
      <c r="N4752" t="s">
        <v>44</v>
      </c>
      <c r="O4752">
        <v>121</v>
      </c>
      <c r="Q4752">
        <v>1</v>
      </c>
      <c r="R4752">
        <v>1</v>
      </c>
      <c r="S4752">
        <v>0</v>
      </c>
      <c r="T4752">
        <v>0</v>
      </c>
      <c r="U4752">
        <v>0</v>
      </c>
      <c r="V4752">
        <v>0</v>
      </c>
      <c r="W4752">
        <v>1</v>
      </c>
      <c r="X4752" s="21">
        <v>0</v>
      </c>
      <c r="Y4752" s="21">
        <v>0</v>
      </c>
      <c r="Z4752" s="21">
        <v>0</v>
      </c>
      <c r="AA4752" s="21">
        <v>0</v>
      </c>
      <c r="AB4752" s="21">
        <v>0</v>
      </c>
      <c r="AC4752" s="21">
        <v>0</v>
      </c>
      <c r="AD4752" s="21">
        <v>0</v>
      </c>
      <c r="AE4752" s="21">
        <v>0</v>
      </c>
      <c r="AF4752">
        <v>0</v>
      </c>
      <c r="AG4752">
        <v>0</v>
      </c>
      <c r="AH4752">
        <v>96</v>
      </c>
      <c r="AJ4752" t="s">
        <v>51</v>
      </c>
      <c r="AK4752" t="s">
        <v>95</v>
      </c>
      <c r="AL4752" t="s">
        <v>1558</v>
      </c>
      <c r="AP4752" t="s">
        <v>951</v>
      </c>
    </row>
    <row r="4753" spans="1:42">
      <c r="A4753" s="16">
        <v>43867</v>
      </c>
      <c r="B4753">
        <v>3</v>
      </c>
      <c r="C4753">
        <v>238</v>
      </c>
      <c r="D4753">
        <v>14526</v>
      </c>
      <c r="E4753"/>
      <c r="F4753" t="s">
        <v>104</v>
      </c>
      <c r="G4753">
        <v>2</v>
      </c>
      <c r="H4753">
        <v>57</v>
      </c>
      <c r="I4753" s="25">
        <v>1086</v>
      </c>
      <c r="K4753" t="s">
        <v>53</v>
      </c>
      <c r="N4753" t="s">
        <v>44</v>
      </c>
      <c r="O4753">
        <v>155</v>
      </c>
      <c r="Q4753">
        <v>2</v>
      </c>
      <c r="R4753">
        <v>1</v>
      </c>
      <c r="S4753">
        <v>0</v>
      </c>
      <c r="T4753">
        <v>0</v>
      </c>
      <c r="U4753">
        <v>0</v>
      </c>
      <c r="V4753">
        <v>0</v>
      </c>
      <c r="W4753">
        <v>2</v>
      </c>
      <c r="X4753" s="21">
        <v>0</v>
      </c>
      <c r="Y4753" s="21">
        <v>0</v>
      </c>
      <c r="Z4753" s="21">
        <v>0</v>
      </c>
      <c r="AA4753" s="21">
        <v>0</v>
      </c>
      <c r="AB4753" s="21">
        <v>0</v>
      </c>
      <c r="AC4753" s="21">
        <v>0</v>
      </c>
      <c r="AD4753" s="21">
        <v>0</v>
      </c>
      <c r="AE4753" s="21">
        <v>0</v>
      </c>
      <c r="AF4753">
        <v>0</v>
      </c>
      <c r="AG4753">
        <v>0</v>
      </c>
      <c r="AH4753">
        <v>192</v>
      </c>
      <c r="AJ4753" t="s">
        <v>51</v>
      </c>
      <c r="AK4753" t="s">
        <v>95</v>
      </c>
      <c r="AL4753" t="s">
        <v>1541</v>
      </c>
      <c r="AP4753" t="s">
        <v>951</v>
      </c>
    </row>
    <row r="4754" spans="1:42">
      <c r="A4754" s="16">
        <v>43867</v>
      </c>
      <c r="B4754">
        <v>3</v>
      </c>
      <c r="C4754">
        <v>238</v>
      </c>
      <c r="D4754">
        <v>14526</v>
      </c>
      <c r="E4754"/>
      <c r="F4754" t="s">
        <v>104</v>
      </c>
      <c r="G4754">
        <v>2</v>
      </c>
      <c r="H4754">
        <v>58</v>
      </c>
      <c r="I4754" s="25">
        <v>1080</v>
      </c>
      <c r="K4754" t="s">
        <v>53</v>
      </c>
      <c r="N4754" t="s">
        <v>44</v>
      </c>
      <c r="O4754">
        <v>289</v>
      </c>
      <c r="Q4754">
        <v>2</v>
      </c>
      <c r="R4754">
        <v>1</v>
      </c>
      <c r="S4754">
        <v>0</v>
      </c>
      <c r="T4754">
        <v>0</v>
      </c>
      <c r="U4754">
        <v>1</v>
      </c>
      <c r="V4754">
        <v>0</v>
      </c>
      <c r="W4754">
        <v>1</v>
      </c>
      <c r="X4754" s="21">
        <v>0</v>
      </c>
      <c r="Y4754" s="21">
        <v>0</v>
      </c>
      <c r="Z4754" s="21">
        <v>0</v>
      </c>
      <c r="AA4754" s="21">
        <v>0</v>
      </c>
      <c r="AB4754" s="21">
        <v>0</v>
      </c>
      <c r="AC4754" s="21">
        <v>0</v>
      </c>
      <c r="AD4754" s="21">
        <v>0</v>
      </c>
      <c r="AE4754" s="21">
        <v>0</v>
      </c>
      <c r="AF4754">
        <v>0</v>
      </c>
      <c r="AG4754">
        <v>0</v>
      </c>
      <c r="AH4754">
        <v>128</v>
      </c>
      <c r="AJ4754" t="s">
        <v>51</v>
      </c>
      <c r="AK4754" t="s">
        <v>95</v>
      </c>
      <c r="AL4754" t="s">
        <v>1559</v>
      </c>
      <c r="AP4754" t="s">
        <v>951</v>
      </c>
    </row>
    <row r="4755" spans="1:42">
      <c r="A4755" s="16">
        <v>43867</v>
      </c>
      <c r="B4755">
        <v>3</v>
      </c>
      <c r="C4755">
        <v>238</v>
      </c>
      <c r="D4755">
        <v>14526</v>
      </c>
      <c r="E4755"/>
      <c r="F4755" t="s">
        <v>104</v>
      </c>
      <c r="G4755">
        <v>2</v>
      </c>
      <c r="H4755">
        <v>59</v>
      </c>
      <c r="I4755" s="25">
        <v>1050</v>
      </c>
      <c r="K4755" t="s">
        <v>53</v>
      </c>
      <c r="N4755" t="s">
        <v>44</v>
      </c>
      <c r="O4755">
        <v>440</v>
      </c>
      <c r="Q4755">
        <v>3</v>
      </c>
      <c r="R4755">
        <v>1</v>
      </c>
      <c r="S4755">
        <v>0</v>
      </c>
      <c r="T4755">
        <v>0</v>
      </c>
      <c r="U4755">
        <v>0</v>
      </c>
      <c r="V4755">
        <v>1</v>
      </c>
      <c r="W4755">
        <v>2</v>
      </c>
      <c r="X4755" s="21">
        <v>0</v>
      </c>
      <c r="Y4755" s="21">
        <v>0</v>
      </c>
      <c r="Z4755" s="21">
        <v>0</v>
      </c>
      <c r="AA4755" s="21">
        <v>0</v>
      </c>
      <c r="AB4755" s="21">
        <v>0</v>
      </c>
      <c r="AC4755" s="21">
        <v>0</v>
      </c>
      <c r="AD4755" s="21">
        <v>0</v>
      </c>
      <c r="AE4755" s="21">
        <v>0</v>
      </c>
      <c r="AF4755">
        <v>0</v>
      </c>
      <c r="AG4755">
        <v>0</v>
      </c>
      <c r="AH4755">
        <v>256</v>
      </c>
      <c r="AJ4755" t="s">
        <v>51</v>
      </c>
      <c r="AK4755" t="s">
        <v>95</v>
      </c>
      <c r="AL4755" t="s">
        <v>1560</v>
      </c>
      <c r="AP4755" t="s">
        <v>951</v>
      </c>
    </row>
    <row r="4756" spans="1:42">
      <c r="A4756" s="16">
        <v>43867</v>
      </c>
      <c r="B4756">
        <v>3</v>
      </c>
      <c r="C4756">
        <v>238</v>
      </c>
      <c r="D4756">
        <v>14526</v>
      </c>
      <c r="E4756"/>
      <c r="F4756" t="s">
        <v>104</v>
      </c>
      <c r="G4756">
        <v>2</v>
      </c>
      <c r="H4756">
        <v>60</v>
      </c>
      <c r="I4756" s="25">
        <v>1020</v>
      </c>
      <c r="K4756" t="s">
        <v>53</v>
      </c>
      <c r="N4756" t="s">
        <v>44</v>
      </c>
      <c r="O4756">
        <v>202</v>
      </c>
      <c r="Q4756">
        <v>3</v>
      </c>
      <c r="R4756">
        <v>1</v>
      </c>
      <c r="S4756">
        <v>0</v>
      </c>
      <c r="T4756">
        <v>0</v>
      </c>
      <c r="U4756">
        <v>0</v>
      </c>
      <c r="V4756">
        <v>1</v>
      </c>
      <c r="W4756">
        <v>2</v>
      </c>
      <c r="X4756" s="21">
        <v>0</v>
      </c>
      <c r="Y4756" s="21">
        <v>0</v>
      </c>
      <c r="Z4756" s="21">
        <v>0</v>
      </c>
      <c r="AA4756" s="21">
        <v>0</v>
      </c>
      <c r="AB4756" s="21">
        <v>0</v>
      </c>
      <c r="AC4756" s="21">
        <v>0</v>
      </c>
      <c r="AD4756" s="21">
        <v>0</v>
      </c>
      <c r="AE4756" s="21">
        <v>0</v>
      </c>
      <c r="AF4756">
        <v>0</v>
      </c>
      <c r="AG4756">
        <v>0</v>
      </c>
      <c r="AH4756">
        <v>256</v>
      </c>
      <c r="AJ4756" t="s">
        <v>51</v>
      </c>
      <c r="AK4756" t="s">
        <v>95</v>
      </c>
      <c r="AL4756" t="s">
        <v>1561</v>
      </c>
      <c r="AP4756" t="s">
        <v>951</v>
      </c>
    </row>
    <row r="4757" spans="1:42">
      <c r="A4757" s="16">
        <v>43867</v>
      </c>
      <c r="B4757">
        <v>3</v>
      </c>
      <c r="C4757">
        <v>238</v>
      </c>
      <c r="D4757">
        <v>14526</v>
      </c>
      <c r="E4757"/>
      <c r="F4757" t="s">
        <v>104</v>
      </c>
      <c r="G4757">
        <v>2</v>
      </c>
      <c r="H4757">
        <v>61</v>
      </c>
      <c r="I4757" s="25">
        <v>1030</v>
      </c>
      <c r="K4757" t="s">
        <v>53</v>
      </c>
      <c r="N4757" t="s">
        <v>44</v>
      </c>
      <c r="O4757">
        <v>150</v>
      </c>
      <c r="Q4757">
        <v>2</v>
      </c>
      <c r="R4757">
        <v>1</v>
      </c>
      <c r="S4757">
        <v>0</v>
      </c>
      <c r="T4757">
        <v>0</v>
      </c>
      <c r="U4757">
        <v>0</v>
      </c>
      <c r="V4757">
        <v>0</v>
      </c>
      <c r="W4757">
        <v>2</v>
      </c>
      <c r="X4757" s="21">
        <v>0</v>
      </c>
      <c r="Y4757" s="21">
        <v>0</v>
      </c>
      <c r="Z4757" s="21">
        <v>0</v>
      </c>
      <c r="AA4757" s="21">
        <v>0</v>
      </c>
      <c r="AB4757" s="21">
        <v>0</v>
      </c>
      <c r="AC4757" s="21">
        <v>0</v>
      </c>
      <c r="AD4757" s="21">
        <v>0</v>
      </c>
      <c r="AE4757" s="21">
        <v>0</v>
      </c>
      <c r="AF4757">
        <v>0</v>
      </c>
      <c r="AG4757">
        <v>0</v>
      </c>
      <c r="AH4757">
        <v>192</v>
      </c>
      <c r="AJ4757" t="s">
        <v>51</v>
      </c>
      <c r="AK4757" t="s">
        <v>95</v>
      </c>
      <c r="AP4757" t="s">
        <v>951</v>
      </c>
    </row>
    <row r="4758" spans="1:42">
      <c r="A4758" s="16">
        <v>43867</v>
      </c>
      <c r="B4758">
        <v>3</v>
      </c>
      <c r="C4758">
        <v>238</v>
      </c>
      <c r="D4758">
        <v>14526</v>
      </c>
      <c r="E4758"/>
      <c r="F4758" t="s">
        <v>104</v>
      </c>
      <c r="G4758">
        <v>2</v>
      </c>
      <c r="H4758">
        <v>62</v>
      </c>
      <c r="I4758" s="25">
        <v>1002</v>
      </c>
      <c r="K4758" t="s">
        <v>53</v>
      </c>
      <c r="N4758" t="s">
        <v>44</v>
      </c>
      <c r="O4758">
        <v>68</v>
      </c>
      <c r="Q4758">
        <v>2</v>
      </c>
      <c r="R4758">
        <v>1</v>
      </c>
      <c r="S4758">
        <v>0</v>
      </c>
      <c r="T4758">
        <v>0</v>
      </c>
      <c r="U4758">
        <v>1</v>
      </c>
      <c r="V4758">
        <v>0</v>
      </c>
      <c r="W4758">
        <v>1</v>
      </c>
      <c r="X4758" s="21">
        <v>0</v>
      </c>
      <c r="Y4758" s="21">
        <v>0</v>
      </c>
      <c r="Z4758" s="21">
        <v>0</v>
      </c>
      <c r="AA4758" s="21">
        <v>0</v>
      </c>
      <c r="AB4758" s="21">
        <v>0</v>
      </c>
      <c r="AC4758" s="21">
        <v>0</v>
      </c>
      <c r="AD4758" s="21">
        <v>0</v>
      </c>
      <c r="AE4758" s="21">
        <v>0</v>
      </c>
      <c r="AF4758">
        <v>0</v>
      </c>
      <c r="AG4758">
        <v>0</v>
      </c>
      <c r="AH4758">
        <v>128</v>
      </c>
      <c r="AJ4758" t="s">
        <v>51</v>
      </c>
      <c r="AK4758" t="s">
        <v>95</v>
      </c>
      <c r="AP4758" t="s">
        <v>951</v>
      </c>
    </row>
    <row r="4759" spans="1:42">
      <c r="A4759" s="16">
        <v>43867</v>
      </c>
      <c r="B4759">
        <v>3</v>
      </c>
      <c r="C4759">
        <v>238</v>
      </c>
      <c r="D4759">
        <v>14526</v>
      </c>
      <c r="E4759"/>
      <c r="F4759" t="s">
        <v>104</v>
      </c>
      <c r="G4759">
        <v>2</v>
      </c>
      <c r="H4759">
        <v>63</v>
      </c>
      <c r="I4759" s="25">
        <v>1003</v>
      </c>
      <c r="K4759" t="s">
        <v>53</v>
      </c>
      <c r="N4759" t="s">
        <v>44</v>
      </c>
      <c r="O4759">
        <v>180</v>
      </c>
      <c r="Q4759">
        <v>2</v>
      </c>
      <c r="R4759">
        <v>1</v>
      </c>
      <c r="S4759">
        <v>0</v>
      </c>
      <c r="T4759">
        <v>0</v>
      </c>
      <c r="U4759">
        <v>0</v>
      </c>
      <c r="V4759">
        <v>0</v>
      </c>
      <c r="W4759">
        <v>1</v>
      </c>
      <c r="X4759" s="21">
        <v>0</v>
      </c>
      <c r="Y4759" s="21">
        <v>0</v>
      </c>
      <c r="Z4759" s="21">
        <v>0</v>
      </c>
      <c r="AA4759" s="21">
        <v>0</v>
      </c>
      <c r="AB4759" s="21">
        <v>0</v>
      </c>
      <c r="AC4759" s="21">
        <v>0</v>
      </c>
      <c r="AD4759" s="21">
        <v>0</v>
      </c>
      <c r="AE4759" s="21">
        <v>0</v>
      </c>
      <c r="AF4759">
        <v>0</v>
      </c>
      <c r="AG4759">
        <v>0</v>
      </c>
      <c r="AH4759">
        <v>160</v>
      </c>
      <c r="AJ4759" t="s">
        <v>51</v>
      </c>
      <c r="AK4759" t="s">
        <v>95</v>
      </c>
      <c r="AL4759" t="s">
        <v>1562</v>
      </c>
      <c r="AP4759" t="s">
        <v>951</v>
      </c>
    </row>
    <row r="4760" spans="1:42">
      <c r="A4760" s="16">
        <v>43867</v>
      </c>
      <c r="B4760">
        <v>3</v>
      </c>
      <c r="C4760">
        <v>238</v>
      </c>
      <c r="D4760">
        <v>14526</v>
      </c>
      <c r="E4760"/>
      <c r="F4760" t="s">
        <v>104</v>
      </c>
      <c r="G4760">
        <v>2</v>
      </c>
      <c r="H4760">
        <v>64</v>
      </c>
      <c r="I4760" s="25">
        <v>970</v>
      </c>
      <c r="K4760" t="s">
        <v>53</v>
      </c>
      <c r="L4760" t="s">
        <v>141</v>
      </c>
      <c r="M4760" t="s">
        <v>95</v>
      </c>
      <c r="N4760" t="s">
        <v>42</v>
      </c>
      <c r="O4760">
        <v>197</v>
      </c>
      <c r="Q4760">
        <v>3</v>
      </c>
      <c r="R4760">
        <v>1</v>
      </c>
      <c r="S4760">
        <v>0</v>
      </c>
      <c r="T4760">
        <v>0</v>
      </c>
      <c r="U4760">
        <v>1</v>
      </c>
      <c r="V4760">
        <v>1</v>
      </c>
      <c r="W4760">
        <v>1</v>
      </c>
      <c r="X4760" s="21">
        <v>0</v>
      </c>
      <c r="Y4760" s="21">
        <v>0</v>
      </c>
      <c r="Z4760" s="21">
        <v>0</v>
      </c>
      <c r="AA4760" s="21">
        <v>0</v>
      </c>
      <c r="AB4760" s="21">
        <v>0</v>
      </c>
      <c r="AC4760" s="21">
        <v>0</v>
      </c>
      <c r="AD4760" s="21">
        <v>0</v>
      </c>
      <c r="AE4760" s="21">
        <v>0</v>
      </c>
      <c r="AF4760">
        <v>0</v>
      </c>
      <c r="AG4760">
        <v>0</v>
      </c>
      <c r="AH4760">
        <v>192</v>
      </c>
      <c r="AJ4760" t="s">
        <v>51</v>
      </c>
      <c r="AK4760" t="s">
        <v>52</v>
      </c>
      <c r="AP4760" t="s">
        <v>951</v>
      </c>
    </row>
    <row r="4761" spans="1:42">
      <c r="A4761" s="16">
        <v>43867</v>
      </c>
      <c r="B4761">
        <v>3</v>
      </c>
      <c r="C4761">
        <v>238</v>
      </c>
      <c r="D4761">
        <v>14526</v>
      </c>
      <c r="E4761"/>
      <c r="F4761" t="s">
        <v>104</v>
      </c>
      <c r="G4761">
        <v>2</v>
      </c>
      <c r="H4761">
        <v>65</v>
      </c>
      <c r="I4761" s="25">
        <v>956</v>
      </c>
      <c r="K4761" t="s">
        <v>53</v>
      </c>
      <c r="N4761" t="s">
        <v>44</v>
      </c>
      <c r="O4761">
        <v>68</v>
      </c>
      <c r="Q4761">
        <v>1</v>
      </c>
      <c r="R4761">
        <v>1</v>
      </c>
      <c r="S4761">
        <v>0</v>
      </c>
      <c r="T4761">
        <v>0</v>
      </c>
      <c r="U4761">
        <v>0</v>
      </c>
      <c r="V4761">
        <v>0</v>
      </c>
      <c r="W4761">
        <v>1</v>
      </c>
      <c r="X4761" s="21">
        <v>0</v>
      </c>
      <c r="Y4761" s="21">
        <v>0</v>
      </c>
      <c r="Z4761" s="21">
        <v>0</v>
      </c>
      <c r="AA4761" s="21">
        <v>0</v>
      </c>
      <c r="AB4761" s="21">
        <v>0</v>
      </c>
      <c r="AC4761" s="21">
        <v>0</v>
      </c>
      <c r="AD4761" s="21">
        <v>0</v>
      </c>
      <c r="AE4761" s="21">
        <v>0</v>
      </c>
      <c r="AF4761">
        <v>0</v>
      </c>
      <c r="AG4761">
        <v>0</v>
      </c>
      <c r="AH4761">
        <v>96</v>
      </c>
      <c r="AJ4761" t="s">
        <v>51</v>
      </c>
      <c r="AK4761" t="s">
        <v>52</v>
      </c>
      <c r="AP4761" t="s">
        <v>951</v>
      </c>
    </row>
    <row r="4762" spans="1:42">
      <c r="A4762" s="16">
        <v>43867</v>
      </c>
      <c r="B4762">
        <v>3</v>
      </c>
      <c r="C4762">
        <v>238</v>
      </c>
      <c r="D4762">
        <v>14526</v>
      </c>
      <c r="E4762"/>
      <c r="F4762" t="s">
        <v>104</v>
      </c>
      <c r="G4762">
        <v>2</v>
      </c>
      <c r="H4762">
        <v>66</v>
      </c>
      <c r="I4762" s="25">
        <v>949</v>
      </c>
      <c r="K4762" t="s">
        <v>53</v>
      </c>
      <c r="M4762" t="s">
        <v>95</v>
      </c>
      <c r="N4762" t="s">
        <v>44</v>
      </c>
      <c r="O4762">
        <v>217</v>
      </c>
      <c r="Q4762">
        <v>1</v>
      </c>
      <c r="R4762">
        <v>1</v>
      </c>
      <c r="S4762">
        <v>0</v>
      </c>
      <c r="T4762">
        <v>0</v>
      </c>
      <c r="U4762">
        <v>0</v>
      </c>
      <c r="V4762">
        <v>0</v>
      </c>
      <c r="W4762">
        <v>1</v>
      </c>
      <c r="X4762" s="21">
        <v>0</v>
      </c>
      <c r="Y4762" s="21">
        <v>0</v>
      </c>
      <c r="Z4762" s="21">
        <v>0</v>
      </c>
      <c r="AA4762" s="21">
        <v>0</v>
      </c>
      <c r="AB4762" s="21">
        <v>0</v>
      </c>
      <c r="AC4762" s="21">
        <v>0</v>
      </c>
      <c r="AD4762" s="21">
        <v>0</v>
      </c>
      <c r="AE4762" s="21">
        <v>0</v>
      </c>
      <c r="AF4762">
        <v>0</v>
      </c>
      <c r="AG4762">
        <v>0</v>
      </c>
      <c r="AH4762">
        <v>96</v>
      </c>
      <c r="AJ4762" t="s">
        <v>51</v>
      </c>
      <c r="AK4762" t="s">
        <v>95</v>
      </c>
      <c r="AL4762" t="s">
        <v>1563</v>
      </c>
      <c r="AP4762" t="s">
        <v>951</v>
      </c>
    </row>
    <row r="4763" spans="1:42">
      <c r="A4763" s="16">
        <v>43867</v>
      </c>
      <c r="B4763">
        <v>3</v>
      </c>
      <c r="C4763">
        <v>238</v>
      </c>
      <c r="D4763">
        <v>14526</v>
      </c>
      <c r="E4763"/>
      <c r="F4763" t="s">
        <v>104</v>
      </c>
      <c r="G4763">
        <v>2</v>
      </c>
      <c r="H4763">
        <v>67</v>
      </c>
      <c r="I4763" s="25">
        <v>908</v>
      </c>
      <c r="K4763" t="s">
        <v>53</v>
      </c>
      <c r="N4763" t="s">
        <v>44</v>
      </c>
      <c r="O4763">
        <v>75</v>
      </c>
      <c r="Q4763">
        <v>1</v>
      </c>
      <c r="R4763">
        <v>1</v>
      </c>
      <c r="S4763">
        <v>0</v>
      </c>
      <c r="T4763">
        <v>0</v>
      </c>
      <c r="U4763">
        <v>0</v>
      </c>
      <c r="V4763">
        <v>0</v>
      </c>
      <c r="W4763">
        <v>1</v>
      </c>
      <c r="X4763" s="21">
        <v>0</v>
      </c>
      <c r="Y4763" s="21">
        <v>0</v>
      </c>
      <c r="Z4763" s="21">
        <v>0</v>
      </c>
      <c r="AA4763" s="21">
        <v>0</v>
      </c>
      <c r="AB4763" s="21">
        <v>0</v>
      </c>
      <c r="AC4763" s="21">
        <v>0</v>
      </c>
      <c r="AD4763" s="21">
        <v>0</v>
      </c>
      <c r="AE4763" s="21">
        <v>0</v>
      </c>
      <c r="AF4763">
        <v>0</v>
      </c>
      <c r="AG4763">
        <v>0</v>
      </c>
      <c r="AH4763">
        <v>96</v>
      </c>
      <c r="AJ4763" t="s">
        <v>51</v>
      </c>
      <c r="AK4763" t="s">
        <v>95</v>
      </c>
      <c r="AP4763" t="s">
        <v>951</v>
      </c>
    </row>
    <row r="4764" spans="1:42">
      <c r="A4764" s="16">
        <v>43867</v>
      </c>
      <c r="B4764">
        <v>3</v>
      </c>
      <c r="C4764">
        <v>238</v>
      </c>
      <c r="D4764">
        <v>14526</v>
      </c>
      <c r="E4764"/>
      <c r="F4764" t="s">
        <v>104</v>
      </c>
      <c r="G4764">
        <v>2</v>
      </c>
      <c r="H4764">
        <v>68</v>
      </c>
      <c r="I4764" s="25">
        <v>930</v>
      </c>
      <c r="K4764" t="s">
        <v>53</v>
      </c>
      <c r="N4764" t="s">
        <v>44</v>
      </c>
      <c r="O4764">
        <v>552</v>
      </c>
      <c r="Q4764">
        <v>6</v>
      </c>
      <c r="R4764">
        <v>1</v>
      </c>
      <c r="S4764">
        <v>0</v>
      </c>
      <c r="T4764">
        <v>0</v>
      </c>
      <c r="U4764">
        <v>0</v>
      </c>
      <c r="V4764">
        <v>3</v>
      </c>
      <c r="W4764">
        <v>3</v>
      </c>
      <c r="X4764" s="21">
        <v>0</v>
      </c>
      <c r="Y4764" s="21">
        <v>0</v>
      </c>
      <c r="Z4764" s="21">
        <v>0</v>
      </c>
      <c r="AA4764" s="21">
        <v>0</v>
      </c>
      <c r="AB4764" s="21">
        <v>0</v>
      </c>
      <c r="AC4764" s="21">
        <v>0</v>
      </c>
      <c r="AD4764" s="21">
        <v>0</v>
      </c>
      <c r="AE4764" s="21">
        <v>0</v>
      </c>
      <c r="AF4764">
        <v>0</v>
      </c>
      <c r="AG4764">
        <v>0</v>
      </c>
      <c r="AH4764">
        <v>480</v>
      </c>
      <c r="AJ4764" t="s">
        <v>51</v>
      </c>
      <c r="AK4764" t="s">
        <v>52</v>
      </c>
      <c r="AP4764" t="s">
        <v>951</v>
      </c>
    </row>
    <row r="4765" spans="1:42">
      <c r="A4765" s="16">
        <v>43867</v>
      </c>
      <c r="B4765">
        <v>3</v>
      </c>
      <c r="C4765">
        <v>238</v>
      </c>
      <c r="D4765">
        <v>14526</v>
      </c>
      <c r="E4765"/>
      <c r="F4765" t="s">
        <v>104</v>
      </c>
      <c r="G4765">
        <v>2</v>
      </c>
      <c r="H4765">
        <v>69</v>
      </c>
      <c r="I4765" s="25">
        <v>875</v>
      </c>
      <c r="K4765" t="s">
        <v>53</v>
      </c>
      <c r="N4765" t="s">
        <v>44</v>
      </c>
      <c r="O4765">
        <v>181</v>
      </c>
      <c r="Q4765">
        <v>2</v>
      </c>
      <c r="R4765">
        <v>1</v>
      </c>
      <c r="S4765">
        <v>0</v>
      </c>
      <c r="T4765">
        <v>0</v>
      </c>
      <c r="U4765">
        <v>0</v>
      </c>
      <c r="V4765">
        <v>1</v>
      </c>
      <c r="W4765">
        <v>1</v>
      </c>
      <c r="X4765" s="21">
        <v>0</v>
      </c>
      <c r="Y4765" s="21">
        <v>0</v>
      </c>
      <c r="Z4765" s="21">
        <v>0</v>
      </c>
      <c r="AA4765" s="21">
        <v>0</v>
      </c>
      <c r="AB4765" s="21">
        <v>0</v>
      </c>
      <c r="AC4765" s="21">
        <v>0</v>
      </c>
      <c r="AD4765" s="21">
        <v>0</v>
      </c>
      <c r="AE4765" s="21">
        <v>0</v>
      </c>
      <c r="AF4765">
        <v>0</v>
      </c>
      <c r="AG4765">
        <v>0</v>
      </c>
      <c r="AH4765">
        <v>160</v>
      </c>
      <c r="AJ4765" t="s">
        <v>51</v>
      </c>
      <c r="AK4765" t="s">
        <v>95</v>
      </c>
      <c r="AL4765" t="s">
        <v>618</v>
      </c>
      <c r="AP4765" t="s">
        <v>951</v>
      </c>
    </row>
    <row r="4766" spans="1:42">
      <c r="A4766" s="16">
        <v>43867</v>
      </c>
      <c r="B4766">
        <v>3</v>
      </c>
      <c r="C4766">
        <v>238</v>
      </c>
      <c r="D4766">
        <v>14526</v>
      </c>
      <c r="E4766"/>
      <c r="F4766" t="s">
        <v>104</v>
      </c>
      <c r="G4766">
        <v>2</v>
      </c>
      <c r="H4766">
        <v>70</v>
      </c>
      <c r="I4766" s="25">
        <v>868</v>
      </c>
      <c r="K4766" t="s">
        <v>53</v>
      </c>
      <c r="M4766" t="s">
        <v>95</v>
      </c>
      <c r="N4766" t="s">
        <v>44</v>
      </c>
      <c r="O4766">
        <v>370</v>
      </c>
      <c r="Q4766">
        <v>2</v>
      </c>
      <c r="R4766">
        <v>1</v>
      </c>
      <c r="S4766">
        <v>0</v>
      </c>
      <c r="T4766">
        <v>0</v>
      </c>
      <c r="U4766">
        <v>0</v>
      </c>
      <c r="V4766">
        <v>1</v>
      </c>
      <c r="W4766">
        <v>1</v>
      </c>
      <c r="X4766" s="21">
        <v>0</v>
      </c>
      <c r="Y4766" s="21">
        <v>0</v>
      </c>
      <c r="Z4766" s="21">
        <v>0</v>
      </c>
      <c r="AA4766" s="21">
        <v>0</v>
      </c>
      <c r="AB4766" s="21">
        <v>0</v>
      </c>
      <c r="AC4766" s="21">
        <v>0</v>
      </c>
      <c r="AD4766" s="21">
        <v>0</v>
      </c>
      <c r="AE4766" s="21">
        <v>0</v>
      </c>
      <c r="AF4766">
        <v>0</v>
      </c>
      <c r="AG4766">
        <v>0</v>
      </c>
      <c r="AH4766">
        <v>160</v>
      </c>
      <c r="AJ4766" t="s">
        <v>51</v>
      </c>
      <c r="AK4766" t="s">
        <v>95</v>
      </c>
      <c r="AL4766" t="s">
        <v>1564</v>
      </c>
      <c r="AP4766" t="s">
        <v>951</v>
      </c>
    </row>
    <row r="4767" spans="1:42">
      <c r="A4767" s="16">
        <v>43867</v>
      </c>
      <c r="B4767">
        <v>3</v>
      </c>
      <c r="C4767">
        <v>238</v>
      </c>
      <c r="D4767">
        <v>14526</v>
      </c>
      <c r="E4767"/>
      <c r="F4767" t="s">
        <v>104</v>
      </c>
      <c r="G4767">
        <v>2</v>
      </c>
      <c r="H4767">
        <v>71</v>
      </c>
      <c r="I4767" s="25">
        <v>840</v>
      </c>
      <c r="K4767" t="s">
        <v>53</v>
      </c>
      <c r="N4767" t="s">
        <v>44</v>
      </c>
      <c r="O4767">
        <v>88</v>
      </c>
      <c r="Q4767">
        <v>2</v>
      </c>
      <c r="R4767">
        <v>1</v>
      </c>
      <c r="S4767">
        <v>0</v>
      </c>
      <c r="T4767">
        <v>0</v>
      </c>
      <c r="U4767">
        <v>0</v>
      </c>
      <c r="V4767">
        <v>2</v>
      </c>
      <c r="W4767">
        <v>0</v>
      </c>
      <c r="X4767" s="21">
        <v>0</v>
      </c>
      <c r="Y4767" s="21">
        <v>0</v>
      </c>
      <c r="Z4767" s="21">
        <v>0</v>
      </c>
      <c r="AA4767" s="21">
        <v>0</v>
      </c>
      <c r="AB4767" s="21">
        <v>0</v>
      </c>
      <c r="AC4767" s="21">
        <v>0</v>
      </c>
      <c r="AD4767" s="21">
        <v>0</v>
      </c>
      <c r="AE4767" s="21">
        <v>0</v>
      </c>
      <c r="AF4767">
        <v>0</v>
      </c>
      <c r="AG4767">
        <v>0</v>
      </c>
      <c r="AH4767">
        <v>128</v>
      </c>
      <c r="AJ4767" t="s">
        <v>51</v>
      </c>
      <c r="AK4767" t="s">
        <v>95</v>
      </c>
      <c r="AP4767" t="s">
        <v>951</v>
      </c>
    </row>
    <row r="4768" spans="1:42">
      <c r="A4768" s="16">
        <v>43867</v>
      </c>
      <c r="B4768">
        <v>3</v>
      </c>
      <c r="C4768">
        <v>238</v>
      </c>
      <c r="D4768">
        <v>14526</v>
      </c>
      <c r="E4768"/>
      <c r="F4768" t="s">
        <v>104</v>
      </c>
      <c r="G4768">
        <v>2</v>
      </c>
      <c r="H4768">
        <v>72</v>
      </c>
      <c r="I4768" s="25">
        <v>851</v>
      </c>
      <c r="K4768" t="s">
        <v>53</v>
      </c>
      <c r="N4768" t="s">
        <v>44</v>
      </c>
      <c r="O4768">
        <v>462</v>
      </c>
      <c r="Q4768">
        <v>4</v>
      </c>
      <c r="R4768">
        <v>1</v>
      </c>
      <c r="S4768">
        <v>0</v>
      </c>
      <c r="T4768">
        <v>0</v>
      </c>
      <c r="U4768">
        <v>0</v>
      </c>
      <c r="V4768">
        <v>1</v>
      </c>
      <c r="W4768">
        <v>3</v>
      </c>
      <c r="X4768" s="21">
        <v>0</v>
      </c>
      <c r="Y4768" s="21">
        <v>0</v>
      </c>
      <c r="Z4768" s="21">
        <v>0</v>
      </c>
      <c r="AA4768" s="21">
        <v>0</v>
      </c>
      <c r="AB4768" s="21">
        <v>0</v>
      </c>
      <c r="AC4768" s="21">
        <v>0</v>
      </c>
      <c r="AD4768" s="21">
        <v>0</v>
      </c>
      <c r="AE4768" s="21">
        <v>0</v>
      </c>
      <c r="AF4768">
        <v>0</v>
      </c>
      <c r="AG4768">
        <v>0</v>
      </c>
      <c r="AH4768">
        <v>192</v>
      </c>
      <c r="AJ4768" t="s">
        <v>51</v>
      </c>
      <c r="AK4768" t="s">
        <v>52</v>
      </c>
      <c r="AL4768" t="s">
        <v>1565</v>
      </c>
      <c r="AP4768" t="s">
        <v>951</v>
      </c>
    </row>
    <row r="4769" spans="1:42">
      <c r="A4769" s="16">
        <v>43872</v>
      </c>
      <c r="B4769">
        <v>2</v>
      </c>
      <c r="C4769">
        <v>216</v>
      </c>
      <c r="D4769">
        <v>14656</v>
      </c>
      <c r="E4769" t="s">
        <v>112</v>
      </c>
      <c r="F4769" t="s">
        <v>104</v>
      </c>
      <c r="G4769">
        <v>2</v>
      </c>
      <c r="H4769">
        <v>1</v>
      </c>
      <c r="I4769" s="25">
        <v>2730</v>
      </c>
      <c r="K4769" t="s">
        <v>631</v>
      </c>
      <c r="L4769" t="s">
        <v>114</v>
      </c>
      <c r="N4769" t="s">
        <v>42</v>
      </c>
      <c r="O4769">
        <v>91</v>
      </c>
      <c r="Q4769">
        <v>2</v>
      </c>
      <c r="R4769">
        <v>1</v>
      </c>
      <c r="S4769">
        <v>0</v>
      </c>
      <c r="T4769">
        <v>0</v>
      </c>
      <c r="U4769">
        <v>0</v>
      </c>
      <c r="V4769">
        <v>1</v>
      </c>
      <c r="W4769">
        <v>1</v>
      </c>
      <c r="X4769" s="21">
        <v>0</v>
      </c>
      <c r="Y4769" s="21">
        <v>0</v>
      </c>
      <c r="Z4769" s="21">
        <v>0</v>
      </c>
      <c r="AA4769" s="21">
        <v>0</v>
      </c>
      <c r="AB4769" s="21">
        <v>0</v>
      </c>
      <c r="AC4769" s="21">
        <v>0</v>
      </c>
      <c r="AD4769" s="21">
        <v>0</v>
      </c>
      <c r="AE4769" s="21">
        <v>0</v>
      </c>
      <c r="AF4769">
        <v>0</v>
      </c>
      <c r="AG4769">
        <v>0</v>
      </c>
      <c r="AH4769">
        <v>160</v>
      </c>
      <c r="AJ4769" t="s">
        <v>51</v>
      </c>
      <c r="AK4769" t="s">
        <v>95</v>
      </c>
      <c r="AP4769" t="s">
        <v>951</v>
      </c>
    </row>
    <row r="4770" spans="1:42">
      <c r="A4770" s="16">
        <v>43872</v>
      </c>
      <c r="B4770">
        <v>2</v>
      </c>
      <c r="C4770">
        <v>216</v>
      </c>
      <c r="D4770">
        <v>14656</v>
      </c>
      <c r="E4770" t="s">
        <v>112</v>
      </c>
      <c r="F4770" t="s">
        <v>104</v>
      </c>
      <c r="G4770">
        <v>2</v>
      </c>
      <c r="H4770">
        <v>2</v>
      </c>
      <c r="I4770" s="25">
        <v>2716</v>
      </c>
      <c r="K4770" t="s">
        <v>631</v>
      </c>
      <c r="N4770" t="s">
        <v>44</v>
      </c>
      <c r="O4770">
        <v>170</v>
      </c>
      <c r="Q4770">
        <v>2</v>
      </c>
      <c r="R4770">
        <v>1</v>
      </c>
      <c r="S4770">
        <v>0</v>
      </c>
      <c r="T4770">
        <v>0</v>
      </c>
      <c r="U4770">
        <v>1</v>
      </c>
      <c r="V4770">
        <v>1</v>
      </c>
      <c r="W4770">
        <v>0</v>
      </c>
      <c r="X4770" s="21">
        <v>0</v>
      </c>
      <c r="Y4770" s="21">
        <v>0</v>
      </c>
      <c r="Z4770" s="21">
        <v>0</v>
      </c>
      <c r="AA4770" s="21">
        <v>0</v>
      </c>
      <c r="AB4770" s="21">
        <v>0</v>
      </c>
      <c r="AC4770" s="21">
        <v>0</v>
      </c>
      <c r="AD4770" s="21">
        <v>0</v>
      </c>
      <c r="AE4770" s="21">
        <v>0</v>
      </c>
      <c r="AF4770">
        <v>0</v>
      </c>
      <c r="AG4770">
        <v>0</v>
      </c>
      <c r="AH4770">
        <v>96</v>
      </c>
      <c r="AJ4770" t="s">
        <v>51</v>
      </c>
      <c r="AK4770" t="s">
        <v>95</v>
      </c>
      <c r="AP4770" t="s">
        <v>951</v>
      </c>
    </row>
    <row r="4771" spans="1:42">
      <c r="A4771" s="16">
        <v>43872</v>
      </c>
      <c r="B4771">
        <v>2</v>
      </c>
      <c r="C4771">
        <v>216</v>
      </c>
      <c r="D4771">
        <v>14656</v>
      </c>
      <c r="E4771" t="s">
        <v>112</v>
      </c>
      <c r="F4771" t="s">
        <v>104</v>
      </c>
      <c r="G4771">
        <v>2</v>
      </c>
      <c r="H4771">
        <v>3</v>
      </c>
      <c r="I4771" s="25">
        <v>2715</v>
      </c>
      <c r="K4771" t="s">
        <v>631</v>
      </c>
      <c r="L4771" t="s">
        <v>141</v>
      </c>
      <c r="M4771" t="s">
        <v>95</v>
      </c>
      <c r="N4771" t="s">
        <v>42</v>
      </c>
      <c r="O4771">
        <v>163</v>
      </c>
      <c r="Q4771">
        <v>2</v>
      </c>
      <c r="R4771">
        <v>1</v>
      </c>
      <c r="S4771">
        <v>0</v>
      </c>
      <c r="T4771">
        <v>0</v>
      </c>
      <c r="U4771">
        <v>1</v>
      </c>
      <c r="V4771">
        <v>1</v>
      </c>
      <c r="W4771">
        <v>0</v>
      </c>
      <c r="X4771" s="21">
        <v>0</v>
      </c>
      <c r="Y4771" s="21">
        <v>0</v>
      </c>
      <c r="Z4771" s="21">
        <v>0</v>
      </c>
      <c r="AA4771" s="21">
        <v>0</v>
      </c>
      <c r="AB4771" s="21">
        <v>0</v>
      </c>
      <c r="AC4771" s="21">
        <v>0</v>
      </c>
      <c r="AD4771" s="21">
        <v>0</v>
      </c>
      <c r="AE4771" s="21">
        <v>0</v>
      </c>
      <c r="AF4771">
        <v>0</v>
      </c>
      <c r="AG4771">
        <v>0</v>
      </c>
      <c r="AH4771">
        <v>96</v>
      </c>
      <c r="AJ4771" t="s">
        <v>51</v>
      </c>
      <c r="AK4771" t="s">
        <v>95</v>
      </c>
      <c r="AL4771" t="s">
        <v>1374</v>
      </c>
      <c r="AP4771" t="s">
        <v>951</v>
      </c>
    </row>
    <row r="4772" spans="1:42">
      <c r="A4772" s="16">
        <v>43872</v>
      </c>
      <c r="B4772">
        <v>2</v>
      </c>
      <c r="C4772">
        <v>216</v>
      </c>
      <c r="D4772">
        <v>14656</v>
      </c>
      <c r="E4772" t="s">
        <v>112</v>
      </c>
      <c r="F4772" t="s">
        <v>104</v>
      </c>
      <c r="G4772">
        <v>2</v>
      </c>
      <c r="H4772">
        <v>4</v>
      </c>
      <c r="I4772" s="25">
        <v>2719</v>
      </c>
      <c r="K4772" t="s">
        <v>631</v>
      </c>
      <c r="L4772" t="s">
        <v>114</v>
      </c>
      <c r="N4772" t="s">
        <v>40</v>
      </c>
      <c r="O4772">
        <v>25</v>
      </c>
      <c r="Q4772">
        <v>2</v>
      </c>
      <c r="R4772">
        <v>1</v>
      </c>
      <c r="S4772">
        <v>0</v>
      </c>
      <c r="T4772">
        <v>0</v>
      </c>
      <c r="U4772">
        <v>1</v>
      </c>
      <c r="V4772">
        <v>1</v>
      </c>
      <c r="W4772">
        <v>0</v>
      </c>
      <c r="X4772" s="21">
        <v>0</v>
      </c>
      <c r="Y4772" s="21">
        <v>0</v>
      </c>
      <c r="Z4772" s="21">
        <v>0</v>
      </c>
      <c r="AA4772" s="21">
        <v>0</v>
      </c>
      <c r="AB4772" s="21">
        <v>0</v>
      </c>
      <c r="AC4772" s="21">
        <v>0</v>
      </c>
      <c r="AD4772" s="21">
        <v>0</v>
      </c>
      <c r="AE4772" s="21">
        <v>0</v>
      </c>
      <c r="AF4772">
        <v>0</v>
      </c>
      <c r="AG4772">
        <v>0</v>
      </c>
      <c r="AH4772">
        <v>96</v>
      </c>
      <c r="AJ4772" t="s">
        <v>51</v>
      </c>
      <c r="AK4772" t="s">
        <v>95</v>
      </c>
      <c r="AP4772" t="s">
        <v>951</v>
      </c>
    </row>
    <row r="4773" spans="1:42">
      <c r="A4773" s="16">
        <v>43872</v>
      </c>
      <c r="B4773">
        <v>2</v>
      </c>
      <c r="C4773">
        <v>216</v>
      </c>
      <c r="D4773">
        <v>14656</v>
      </c>
      <c r="E4773" t="s">
        <v>112</v>
      </c>
      <c r="F4773" t="s">
        <v>104</v>
      </c>
      <c r="G4773">
        <v>2</v>
      </c>
      <c r="H4773">
        <v>5</v>
      </c>
      <c r="I4773" s="25">
        <v>2725</v>
      </c>
      <c r="K4773" t="s">
        <v>631</v>
      </c>
      <c r="L4773" t="s">
        <v>114</v>
      </c>
      <c r="N4773" t="s">
        <v>40</v>
      </c>
      <c r="O4773">
        <v>157</v>
      </c>
      <c r="Q4773">
        <v>5</v>
      </c>
      <c r="R4773">
        <v>1</v>
      </c>
      <c r="S4773">
        <v>0</v>
      </c>
      <c r="T4773">
        <v>0</v>
      </c>
      <c r="U4773">
        <v>2</v>
      </c>
      <c r="V4773">
        <v>2</v>
      </c>
      <c r="W4773">
        <v>1</v>
      </c>
      <c r="X4773" s="21">
        <v>0</v>
      </c>
      <c r="Y4773" s="21">
        <v>0</v>
      </c>
      <c r="Z4773" s="21">
        <v>0</v>
      </c>
      <c r="AA4773" s="21">
        <v>0</v>
      </c>
      <c r="AB4773" s="21">
        <v>0</v>
      </c>
      <c r="AC4773" s="21">
        <v>0</v>
      </c>
      <c r="AD4773" s="21">
        <v>0</v>
      </c>
      <c r="AE4773" s="21">
        <v>0</v>
      </c>
      <c r="AF4773">
        <v>0</v>
      </c>
      <c r="AG4773">
        <v>0</v>
      </c>
      <c r="AH4773">
        <v>288</v>
      </c>
      <c r="AJ4773" t="s">
        <v>51</v>
      </c>
      <c r="AK4773" t="s">
        <v>95</v>
      </c>
      <c r="AP4773" t="s">
        <v>951</v>
      </c>
    </row>
    <row r="4774" spans="1:42">
      <c r="A4774" s="16">
        <v>43872</v>
      </c>
      <c r="B4774">
        <v>2</v>
      </c>
      <c r="C4774">
        <v>216</v>
      </c>
      <c r="D4774">
        <v>14656</v>
      </c>
      <c r="E4774" t="s">
        <v>112</v>
      </c>
      <c r="F4774" t="s">
        <v>104</v>
      </c>
      <c r="G4774">
        <v>2</v>
      </c>
      <c r="H4774">
        <v>6</v>
      </c>
      <c r="I4774" s="25">
        <v>1327</v>
      </c>
      <c r="K4774" t="s">
        <v>324</v>
      </c>
      <c r="L4774" t="s">
        <v>141</v>
      </c>
      <c r="N4774" t="s">
        <v>40</v>
      </c>
      <c r="O4774">
        <v>181</v>
      </c>
      <c r="Q4774">
        <v>4</v>
      </c>
      <c r="R4774">
        <v>1</v>
      </c>
      <c r="S4774">
        <v>0</v>
      </c>
      <c r="T4774">
        <v>0</v>
      </c>
      <c r="U4774">
        <v>1</v>
      </c>
      <c r="V4774">
        <v>3</v>
      </c>
      <c r="W4774">
        <v>0</v>
      </c>
      <c r="X4774" s="21">
        <v>0</v>
      </c>
      <c r="Y4774" s="21">
        <v>0</v>
      </c>
      <c r="Z4774" s="21">
        <v>0</v>
      </c>
      <c r="AA4774" s="21">
        <v>0</v>
      </c>
      <c r="AB4774" s="21">
        <v>0</v>
      </c>
      <c r="AC4774" s="21">
        <v>0</v>
      </c>
      <c r="AD4774" s="21">
        <v>0</v>
      </c>
      <c r="AE4774" s="21">
        <v>0</v>
      </c>
      <c r="AF4774">
        <v>0</v>
      </c>
      <c r="AG4774">
        <v>0</v>
      </c>
      <c r="AH4774">
        <v>224</v>
      </c>
      <c r="AJ4774" t="s">
        <v>51</v>
      </c>
      <c r="AK4774" t="s">
        <v>95</v>
      </c>
      <c r="AP4774" t="s">
        <v>951</v>
      </c>
    </row>
    <row r="4775" spans="1:42">
      <c r="A4775" s="16">
        <v>43872</v>
      </c>
      <c r="B4775">
        <v>2</v>
      </c>
      <c r="C4775">
        <v>216</v>
      </c>
      <c r="D4775">
        <v>14656</v>
      </c>
      <c r="E4775" t="s">
        <v>112</v>
      </c>
      <c r="F4775" t="s">
        <v>104</v>
      </c>
      <c r="G4775">
        <v>2</v>
      </c>
      <c r="H4775">
        <v>7</v>
      </c>
      <c r="I4775" s="25">
        <v>2905</v>
      </c>
      <c r="K4775" t="s">
        <v>415</v>
      </c>
      <c r="L4775" t="s">
        <v>141</v>
      </c>
      <c r="N4775" t="s">
        <v>40</v>
      </c>
      <c r="O4775">
        <v>157</v>
      </c>
      <c r="Q4775">
        <v>1</v>
      </c>
      <c r="R4775">
        <v>1</v>
      </c>
      <c r="S4775">
        <v>0</v>
      </c>
      <c r="T4775">
        <v>0</v>
      </c>
      <c r="U4775">
        <v>0</v>
      </c>
      <c r="V4775">
        <v>0</v>
      </c>
      <c r="W4775">
        <v>1</v>
      </c>
      <c r="X4775" s="21">
        <v>0</v>
      </c>
      <c r="Y4775" s="21">
        <v>0</v>
      </c>
      <c r="Z4775" s="21">
        <v>0</v>
      </c>
      <c r="AA4775" s="21">
        <v>0</v>
      </c>
      <c r="AB4775" s="21">
        <v>0</v>
      </c>
      <c r="AC4775" s="21">
        <v>0</v>
      </c>
      <c r="AD4775" s="21">
        <v>0</v>
      </c>
      <c r="AE4775" s="21">
        <v>0</v>
      </c>
      <c r="AF4775">
        <v>0</v>
      </c>
      <c r="AG4775">
        <v>0</v>
      </c>
      <c r="AH4775">
        <v>96</v>
      </c>
      <c r="AJ4775" t="s">
        <v>51</v>
      </c>
      <c r="AK4775" t="s">
        <v>95</v>
      </c>
      <c r="AL4775" t="s">
        <v>1490</v>
      </c>
      <c r="AP4775" t="s">
        <v>951</v>
      </c>
    </row>
    <row r="4776" spans="1:42">
      <c r="A4776" s="16">
        <v>43872</v>
      </c>
      <c r="B4776">
        <v>2</v>
      </c>
      <c r="C4776">
        <v>216</v>
      </c>
      <c r="D4776">
        <v>14656</v>
      </c>
      <c r="E4776" t="s">
        <v>112</v>
      </c>
      <c r="F4776" t="s">
        <v>104</v>
      </c>
      <c r="G4776">
        <v>2</v>
      </c>
      <c r="H4776">
        <v>8</v>
      </c>
      <c r="I4776" s="25">
        <v>2945</v>
      </c>
      <c r="K4776" t="s">
        <v>415</v>
      </c>
      <c r="N4776" t="s">
        <v>44</v>
      </c>
      <c r="O4776">
        <v>248</v>
      </c>
      <c r="Q4776">
        <v>4</v>
      </c>
      <c r="R4776">
        <v>1</v>
      </c>
      <c r="S4776">
        <v>0</v>
      </c>
      <c r="T4776">
        <v>0</v>
      </c>
      <c r="U4776">
        <v>2</v>
      </c>
      <c r="V4776">
        <v>0</v>
      </c>
      <c r="W4776">
        <v>2</v>
      </c>
      <c r="X4776" s="21">
        <v>0</v>
      </c>
      <c r="Y4776" s="21">
        <v>0</v>
      </c>
      <c r="Z4776" s="21">
        <v>0</v>
      </c>
      <c r="AA4776" s="21">
        <v>0</v>
      </c>
      <c r="AB4776" s="21">
        <v>0</v>
      </c>
      <c r="AC4776" s="21">
        <v>0</v>
      </c>
      <c r="AD4776" s="21">
        <v>0</v>
      </c>
      <c r="AE4776" s="21">
        <v>0</v>
      </c>
      <c r="AF4776">
        <v>0</v>
      </c>
      <c r="AG4776">
        <v>0</v>
      </c>
      <c r="AH4776">
        <v>256</v>
      </c>
      <c r="AJ4776" t="s">
        <v>51</v>
      </c>
      <c r="AK4776" t="s">
        <v>95</v>
      </c>
      <c r="AP4776" t="s">
        <v>951</v>
      </c>
    </row>
    <row r="4777" spans="1:42">
      <c r="A4777" s="16">
        <v>43872</v>
      </c>
      <c r="B4777">
        <v>2</v>
      </c>
      <c r="C4777">
        <v>216</v>
      </c>
      <c r="D4777">
        <v>14656</v>
      </c>
      <c r="E4777" t="s">
        <v>112</v>
      </c>
      <c r="F4777" t="s">
        <v>104</v>
      </c>
      <c r="G4777">
        <v>2</v>
      </c>
      <c r="H4777">
        <v>9</v>
      </c>
      <c r="I4777" s="25">
        <v>2925</v>
      </c>
      <c r="K4777" t="s">
        <v>415</v>
      </c>
      <c r="N4777" t="s">
        <v>44</v>
      </c>
      <c r="O4777">
        <v>221</v>
      </c>
      <c r="Q4777">
        <v>4</v>
      </c>
      <c r="R4777">
        <v>1</v>
      </c>
      <c r="S4777">
        <v>0</v>
      </c>
      <c r="T4777">
        <v>0</v>
      </c>
      <c r="U4777">
        <v>2</v>
      </c>
      <c r="V4777">
        <v>0</v>
      </c>
      <c r="W4777">
        <v>2</v>
      </c>
      <c r="X4777" s="21">
        <v>0</v>
      </c>
      <c r="Y4777" s="21">
        <v>0</v>
      </c>
      <c r="Z4777" s="21">
        <v>0</v>
      </c>
      <c r="AA4777" s="21">
        <v>0</v>
      </c>
      <c r="AB4777" s="21">
        <v>0</v>
      </c>
      <c r="AC4777" s="21">
        <v>0</v>
      </c>
      <c r="AD4777" s="21">
        <v>0</v>
      </c>
      <c r="AE4777" s="21">
        <v>0</v>
      </c>
      <c r="AF4777">
        <v>0</v>
      </c>
      <c r="AG4777">
        <v>0</v>
      </c>
      <c r="AH4777">
        <v>256</v>
      </c>
      <c r="AJ4777" t="s">
        <v>51</v>
      </c>
      <c r="AK4777" t="s">
        <v>95</v>
      </c>
      <c r="AL4777" t="s">
        <v>1566</v>
      </c>
      <c r="AP4777" t="s">
        <v>951</v>
      </c>
    </row>
    <row r="4778" spans="1:42">
      <c r="A4778" s="16">
        <v>43872</v>
      </c>
      <c r="B4778">
        <v>2</v>
      </c>
      <c r="C4778">
        <v>216</v>
      </c>
      <c r="D4778">
        <v>14656</v>
      </c>
      <c r="E4778" t="s">
        <v>112</v>
      </c>
      <c r="F4778" t="s">
        <v>104</v>
      </c>
      <c r="G4778">
        <v>2</v>
      </c>
      <c r="H4778">
        <v>10</v>
      </c>
      <c r="I4778" s="25">
        <v>2855</v>
      </c>
      <c r="K4778" t="s">
        <v>415</v>
      </c>
      <c r="N4778" t="s">
        <v>44</v>
      </c>
      <c r="O4778">
        <v>115</v>
      </c>
      <c r="Q4778">
        <v>2</v>
      </c>
      <c r="R4778">
        <v>1</v>
      </c>
      <c r="S4778">
        <v>0</v>
      </c>
      <c r="T4778">
        <v>0</v>
      </c>
      <c r="U4778">
        <v>1</v>
      </c>
      <c r="V4778">
        <v>0</v>
      </c>
      <c r="W4778">
        <v>1</v>
      </c>
      <c r="X4778" s="21">
        <v>0</v>
      </c>
      <c r="Y4778" s="21">
        <v>0</v>
      </c>
      <c r="Z4778" s="21">
        <v>0</v>
      </c>
      <c r="AA4778" s="21">
        <v>0</v>
      </c>
      <c r="AB4778" s="21">
        <v>0</v>
      </c>
      <c r="AC4778" s="21">
        <v>0</v>
      </c>
      <c r="AD4778" s="21">
        <v>0</v>
      </c>
      <c r="AE4778" s="21">
        <v>0</v>
      </c>
      <c r="AF4778">
        <v>0</v>
      </c>
      <c r="AG4778">
        <v>0</v>
      </c>
      <c r="AH4778">
        <v>128</v>
      </c>
      <c r="AJ4778" t="s">
        <v>51</v>
      </c>
      <c r="AK4778" t="s">
        <v>95</v>
      </c>
      <c r="AP4778" t="s">
        <v>951</v>
      </c>
    </row>
    <row r="4779" spans="1:42">
      <c r="A4779" s="16">
        <v>43872</v>
      </c>
      <c r="B4779">
        <v>2</v>
      </c>
      <c r="C4779">
        <v>216</v>
      </c>
      <c r="D4779">
        <v>14656</v>
      </c>
      <c r="E4779" t="s">
        <v>112</v>
      </c>
      <c r="F4779" t="s">
        <v>104</v>
      </c>
      <c r="G4779">
        <v>2</v>
      </c>
      <c r="H4779">
        <v>11</v>
      </c>
      <c r="I4779" s="25">
        <v>2845</v>
      </c>
      <c r="K4779" t="s">
        <v>415</v>
      </c>
      <c r="N4779" t="s">
        <v>44</v>
      </c>
      <c r="O4779">
        <v>125</v>
      </c>
      <c r="Q4779">
        <v>5</v>
      </c>
      <c r="R4779">
        <v>1</v>
      </c>
      <c r="S4779">
        <v>0</v>
      </c>
      <c r="T4779">
        <v>0</v>
      </c>
      <c r="U4779">
        <v>0</v>
      </c>
      <c r="V4779">
        <v>5</v>
      </c>
      <c r="W4779">
        <v>0</v>
      </c>
      <c r="X4779" s="21">
        <v>0</v>
      </c>
      <c r="Y4779" s="21">
        <v>0</v>
      </c>
      <c r="Z4779" s="21">
        <v>0</v>
      </c>
      <c r="AA4779" s="21">
        <v>0</v>
      </c>
      <c r="AB4779" s="21">
        <v>0</v>
      </c>
      <c r="AC4779" s="21">
        <v>0</v>
      </c>
      <c r="AD4779" s="21">
        <v>0</v>
      </c>
      <c r="AE4779" s="21">
        <v>0</v>
      </c>
      <c r="AF4779">
        <v>0</v>
      </c>
      <c r="AG4779">
        <v>0</v>
      </c>
      <c r="AH4779">
        <v>320</v>
      </c>
      <c r="AJ4779" t="s">
        <v>51</v>
      </c>
      <c r="AK4779" t="s">
        <v>95</v>
      </c>
      <c r="AP4779" t="s">
        <v>951</v>
      </c>
    </row>
    <row r="4780" spans="1:42">
      <c r="A4780" s="16">
        <v>43872</v>
      </c>
      <c r="B4780">
        <v>2</v>
      </c>
      <c r="C4780">
        <v>216</v>
      </c>
      <c r="D4780">
        <v>14656</v>
      </c>
      <c r="E4780" t="s">
        <v>112</v>
      </c>
      <c r="F4780" t="s">
        <v>104</v>
      </c>
      <c r="G4780">
        <v>2</v>
      </c>
      <c r="H4780">
        <v>12</v>
      </c>
      <c r="I4780" s="25">
        <v>1432</v>
      </c>
      <c r="K4780" t="s">
        <v>210</v>
      </c>
      <c r="N4780" t="s">
        <v>44</v>
      </c>
      <c r="O4780">
        <v>106</v>
      </c>
      <c r="Q4780">
        <v>1</v>
      </c>
      <c r="R4780">
        <v>1</v>
      </c>
      <c r="S4780">
        <v>0</v>
      </c>
      <c r="T4780">
        <v>0</v>
      </c>
      <c r="U4780">
        <v>0</v>
      </c>
      <c r="V4780">
        <v>0</v>
      </c>
      <c r="W4780">
        <v>1</v>
      </c>
      <c r="X4780" s="21">
        <v>0</v>
      </c>
      <c r="Y4780" s="21">
        <v>0</v>
      </c>
      <c r="Z4780" s="21">
        <v>0</v>
      </c>
      <c r="AA4780" s="21">
        <v>0</v>
      </c>
      <c r="AB4780" s="21">
        <v>0</v>
      </c>
      <c r="AC4780" s="21">
        <v>0</v>
      </c>
      <c r="AD4780" s="21">
        <v>0</v>
      </c>
      <c r="AE4780" s="21">
        <v>0</v>
      </c>
      <c r="AF4780">
        <v>0</v>
      </c>
      <c r="AG4780">
        <v>0</v>
      </c>
      <c r="AH4780">
        <v>96</v>
      </c>
      <c r="AJ4780" t="s">
        <v>51</v>
      </c>
      <c r="AK4780" t="s">
        <v>95</v>
      </c>
      <c r="AP4780" t="s">
        <v>951</v>
      </c>
    </row>
    <row r="4781" spans="1:42">
      <c r="A4781" s="16">
        <v>43872</v>
      </c>
      <c r="B4781">
        <v>2</v>
      </c>
      <c r="C4781">
        <v>216</v>
      </c>
      <c r="D4781">
        <v>14656</v>
      </c>
      <c r="E4781" t="s">
        <v>112</v>
      </c>
      <c r="F4781" t="s">
        <v>104</v>
      </c>
      <c r="G4781">
        <v>2</v>
      </c>
      <c r="H4781">
        <v>13</v>
      </c>
      <c r="I4781" s="25">
        <v>3054</v>
      </c>
      <c r="K4781" t="s">
        <v>595</v>
      </c>
      <c r="L4781" t="s">
        <v>141</v>
      </c>
      <c r="N4781" t="s">
        <v>44</v>
      </c>
      <c r="O4781">
        <v>137</v>
      </c>
      <c r="Q4781">
        <v>3</v>
      </c>
      <c r="R4781">
        <v>1</v>
      </c>
      <c r="S4781">
        <v>0</v>
      </c>
      <c r="T4781">
        <v>0</v>
      </c>
      <c r="U4781">
        <v>1</v>
      </c>
      <c r="V4781">
        <v>2</v>
      </c>
      <c r="W4781">
        <v>0</v>
      </c>
      <c r="X4781" s="21">
        <v>0</v>
      </c>
      <c r="Y4781" s="21">
        <v>0</v>
      </c>
      <c r="Z4781" s="21">
        <v>0</v>
      </c>
      <c r="AA4781" s="21">
        <v>0</v>
      </c>
      <c r="AB4781" s="21">
        <v>0</v>
      </c>
      <c r="AC4781" s="21">
        <v>0</v>
      </c>
      <c r="AD4781" s="21">
        <v>0</v>
      </c>
      <c r="AE4781" s="21">
        <v>0</v>
      </c>
      <c r="AF4781">
        <v>0</v>
      </c>
      <c r="AG4781">
        <v>0</v>
      </c>
      <c r="AH4781">
        <v>160</v>
      </c>
      <c r="AJ4781" t="s">
        <v>51</v>
      </c>
      <c r="AK4781" t="s">
        <v>52</v>
      </c>
      <c r="AL4781" t="s">
        <v>1567</v>
      </c>
      <c r="AP4781" t="s">
        <v>951</v>
      </c>
    </row>
    <row r="4782" spans="1:42">
      <c r="A4782" s="16">
        <v>43872</v>
      </c>
      <c r="B4782">
        <v>2</v>
      </c>
      <c r="C4782">
        <v>216</v>
      </c>
      <c r="D4782">
        <v>14656</v>
      </c>
      <c r="E4782" t="s">
        <v>112</v>
      </c>
      <c r="F4782" t="s">
        <v>104</v>
      </c>
      <c r="G4782">
        <v>2</v>
      </c>
      <c r="H4782">
        <v>14</v>
      </c>
      <c r="I4782" s="25">
        <v>1655</v>
      </c>
      <c r="K4782" t="s">
        <v>210</v>
      </c>
      <c r="L4782" t="s">
        <v>141</v>
      </c>
      <c r="N4782" t="s">
        <v>40</v>
      </c>
      <c r="O4782">
        <v>40</v>
      </c>
      <c r="Q4782">
        <v>2</v>
      </c>
      <c r="R4782">
        <v>1</v>
      </c>
      <c r="S4782">
        <v>0</v>
      </c>
      <c r="T4782">
        <v>0</v>
      </c>
      <c r="U4782">
        <v>1</v>
      </c>
      <c r="V4782">
        <v>1</v>
      </c>
      <c r="W4782">
        <v>0</v>
      </c>
      <c r="X4782" s="21">
        <v>0</v>
      </c>
      <c r="Y4782" s="21">
        <v>0</v>
      </c>
      <c r="Z4782" s="21">
        <v>0</v>
      </c>
      <c r="AA4782" s="21">
        <v>0</v>
      </c>
      <c r="AB4782" s="21">
        <v>0</v>
      </c>
      <c r="AC4782" s="21">
        <v>0</v>
      </c>
      <c r="AD4782" s="21">
        <v>0</v>
      </c>
      <c r="AE4782" s="21">
        <v>0</v>
      </c>
      <c r="AF4782">
        <v>0</v>
      </c>
      <c r="AG4782">
        <v>0</v>
      </c>
      <c r="AH4782">
        <v>96</v>
      </c>
      <c r="AJ4782" t="s">
        <v>51</v>
      </c>
      <c r="AK4782" t="s">
        <v>95</v>
      </c>
      <c r="AP4782" t="s">
        <v>951</v>
      </c>
    </row>
    <row r="4783" spans="1:42">
      <c r="A4783" s="16">
        <v>43872</v>
      </c>
      <c r="B4783">
        <v>2</v>
      </c>
      <c r="C4783">
        <v>216</v>
      </c>
      <c r="D4783">
        <v>14656</v>
      </c>
      <c r="E4783" t="s">
        <v>112</v>
      </c>
      <c r="F4783" t="s">
        <v>104</v>
      </c>
      <c r="G4783">
        <v>2</v>
      </c>
      <c r="H4783">
        <v>15</v>
      </c>
      <c r="I4783" s="25">
        <v>1641</v>
      </c>
      <c r="K4783" t="s">
        <v>210</v>
      </c>
      <c r="L4783" t="s">
        <v>141</v>
      </c>
      <c r="N4783" t="s">
        <v>40</v>
      </c>
      <c r="O4783">
        <v>78</v>
      </c>
      <c r="Q4783">
        <v>4</v>
      </c>
      <c r="R4783">
        <v>1</v>
      </c>
      <c r="S4783">
        <v>0</v>
      </c>
      <c r="T4783">
        <v>0</v>
      </c>
      <c r="U4783">
        <v>4</v>
      </c>
      <c r="V4783">
        <v>0</v>
      </c>
      <c r="W4783">
        <v>0</v>
      </c>
      <c r="X4783" s="21">
        <v>0</v>
      </c>
      <c r="Y4783" s="21">
        <v>0</v>
      </c>
      <c r="Z4783" s="21">
        <v>0</v>
      </c>
      <c r="AA4783" s="21">
        <v>0</v>
      </c>
      <c r="AB4783" s="21">
        <v>0</v>
      </c>
      <c r="AC4783" s="21">
        <v>0</v>
      </c>
      <c r="AD4783" s="21">
        <v>0</v>
      </c>
      <c r="AE4783" s="21">
        <v>0</v>
      </c>
      <c r="AF4783">
        <v>0</v>
      </c>
      <c r="AG4783">
        <v>0</v>
      </c>
      <c r="AH4783">
        <v>128</v>
      </c>
      <c r="AJ4783" t="s">
        <v>51</v>
      </c>
      <c r="AK4783" t="s">
        <v>95</v>
      </c>
      <c r="AL4783" t="s">
        <v>1568</v>
      </c>
      <c r="AP4783" t="s">
        <v>951</v>
      </c>
    </row>
    <row r="4784" spans="1:42">
      <c r="A4784" s="16">
        <v>43872</v>
      </c>
      <c r="B4784">
        <v>2</v>
      </c>
      <c r="C4784">
        <v>216</v>
      </c>
      <c r="D4784">
        <v>14656</v>
      </c>
      <c r="E4784" t="s">
        <v>112</v>
      </c>
      <c r="F4784" t="s">
        <v>104</v>
      </c>
      <c r="G4784">
        <v>2</v>
      </c>
      <c r="H4784">
        <v>16</v>
      </c>
      <c r="I4784" s="25">
        <v>1627</v>
      </c>
      <c r="K4784" t="s">
        <v>210</v>
      </c>
      <c r="L4784" t="s">
        <v>141</v>
      </c>
      <c r="N4784" t="s">
        <v>40</v>
      </c>
      <c r="O4784">
        <v>66</v>
      </c>
      <c r="Q4784">
        <v>2</v>
      </c>
      <c r="R4784">
        <v>1</v>
      </c>
      <c r="S4784">
        <v>0</v>
      </c>
      <c r="T4784">
        <v>0</v>
      </c>
      <c r="U4784">
        <v>1</v>
      </c>
      <c r="V4784">
        <v>1</v>
      </c>
      <c r="W4784">
        <v>0</v>
      </c>
      <c r="X4784" s="21">
        <v>0</v>
      </c>
      <c r="Y4784" s="21">
        <v>0</v>
      </c>
      <c r="Z4784" s="21">
        <v>0</v>
      </c>
      <c r="AA4784" s="21">
        <v>0</v>
      </c>
      <c r="AB4784" s="21">
        <v>0</v>
      </c>
      <c r="AC4784" s="21">
        <v>0</v>
      </c>
      <c r="AD4784" s="21">
        <v>0</v>
      </c>
      <c r="AE4784" s="21">
        <v>0</v>
      </c>
      <c r="AF4784">
        <v>0</v>
      </c>
      <c r="AG4784">
        <v>0</v>
      </c>
      <c r="AH4784">
        <v>96</v>
      </c>
      <c r="AJ4784" t="s">
        <v>51</v>
      </c>
      <c r="AK4784" t="s">
        <v>95</v>
      </c>
      <c r="AL4784" t="s">
        <v>1569</v>
      </c>
      <c r="AP4784" t="s">
        <v>951</v>
      </c>
    </row>
    <row r="4785" spans="1:42">
      <c r="A4785" s="16">
        <v>43872</v>
      </c>
      <c r="B4785">
        <v>2</v>
      </c>
      <c r="C4785">
        <v>216</v>
      </c>
      <c r="D4785">
        <v>14656</v>
      </c>
      <c r="E4785" t="s">
        <v>112</v>
      </c>
      <c r="F4785" t="s">
        <v>104</v>
      </c>
      <c r="G4785">
        <v>2</v>
      </c>
      <c r="H4785">
        <v>17</v>
      </c>
      <c r="I4785" s="25">
        <v>1599</v>
      </c>
      <c r="K4785" t="s">
        <v>210</v>
      </c>
      <c r="L4785" t="s">
        <v>141</v>
      </c>
      <c r="N4785" t="s">
        <v>40</v>
      </c>
      <c r="O4785">
        <v>47</v>
      </c>
      <c r="Q4785">
        <v>2</v>
      </c>
      <c r="R4785">
        <v>1</v>
      </c>
      <c r="S4785">
        <v>0</v>
      </c>
      <c r="T4785">
        <v>0</v>
      </c>
      <c r="U4785">
        <v>1</v>
      </c>
      <c r="V4785">
        <v>1</v>
      </c>
      <c r="W4785">
        <v>0</v>
      </c>
      <c r="X4785" s="21">
        <v>0</v>
      </c>
      <c r="Y4785" s="21">
        <v>0</v>
      </c>
      <c r="Z4785" s="21">
        <v>0</v>
      </c>
      <c r="AA4785" s="21">
        <v>0</v>
      </c>
      <c r="AB4785" s="21">
        <v>0</v>
      </c>
      <c r="AC4785" s="21">
        <v>0</v>
      </c>
      <c r="AD4785" s="21">
        <v>0</v>
      </c>
      <c r="AE4785" s="21">
        <v>0</v>
      </c>
      <c r="AF4785">
        <v>0</v>
      </c>
      <c r="AG4785">
        <v>0</v>
      </c>
      <c r="AH4785">
        <v>96</v>
      </c>
      <c r="AJ4785" t="s">
        <v>51</v>
      </c>
      <c r="AK4785" t="s">
        <v>52</v>
      </c>
      <c r="AP4785" t="s">
        <v>951</v>
      </c>
    </row>
    <row r="4786" spans="1:42">
      <c r="A4786" s="16">
        <v>43872</v>
      </c>
      <c r="B4786">
        <v>2</v>
      </c>
      <c r="C4786">
        <v>216</v>
      </c>
      <c r="D4786">
        <v>14656</v>
      </c>
      <c r="E4786" t="s">
        <v>112</v>
      </c>
      <c r="F4786" t="s">
        <v>104</v>
      </c>
      <c r="G4786">
        <v>2</v>
      </c>
      <c r="H4786">
        <v>18</v>
      </c>
      <c r="I4786" s="25">
        <v>1545</v>
      </c>
      <c r="K4786" t="s">
        <v>210</v>
      </c>
      <c r="N4786" t="s">
        <v>44</v>
      </c>
      <c r="O4786">
        <v>45</v>
      </c>
      <c r="Q4786">
        <v>3</v>
      </c>
      <c r="R4786">
        <v>1</v>
      </c>
      <c r="S4786">
        <v>0</v>
      </c>
      <c r="T4786">
        <v>0</v>
      </c>
      <c r="U4786">
        <v>3</v>
      </c>
      <c r="V4786">
        <v>0</v>
      </c>
      <c r="W4786">
        <v>0</v>
      </c>
      <c r="X4786" s="21">
        <v>0</v>
      </c>
      <c r="Y4786" s="21">
        <v>0</v>
      </c>
      <c r="Z4786" s="21">
        <v>0</v>
      </c>
      <c r="AA4786" s="21">
        <v>0</v>
      </c>
      <c r="AB4786" s="21">
        <v>0</v>
      </c>
      <c r="AC4786" s="21">
        <v>0</v>
      </c>
      <c r="AD4786" s="21">
        <v>0</v>
      </c>
      <c r="AE4786" s="21">
        <v>0</v>
      </c>
      <c r="AF4786">
        <v>0</v>
      </c>
      <c r="AG4786">
        <v>0</v>
      </c>
      <c r="AH4786">
        <v>96</v>
      </c>
      <c r="AJ4786" t="s">
        <v>51</v>
      </c>
      <c r="AK4786" t="s">
        <v>52</v>
      </c>
      <c r="AP4786" t="s">
        <v>951</v>
      </c>
    </row>
    <row r="4787" spans="1:42">
      <c r="A4787" s="16">
        <v>43872</v>
      </c>
      <c r="B4787">
        <v>2</v>
      </c>
      <c r="C4787">
        <v>216</v>
      </c>
      <c r="D4787">
        <v>14656</v>
      </c>
      <c r="E4787" t="s">
        <v>112</v>
      </c>
      <c r="F4787" t="s">
        <v>104</v>
      </c>
      <c r="G4787">
        <v>2</v>
      </c>
      <c r="H4787">
        <v>19</v>
      </c>
      <c r="I4787" s="25" t="s">
        <v>1570</v>
      </c>
      <c r="K4787" t="s">
        <v>415</v>
      </c>
      <c r="L4787" t="s">
        <v>141</v>
      </c>
      <c r="N4787" t="s">
        <v>42</v>
      </c>
      <c r="O4787">
        <v>231</v>
      </c>
      <c r="Q4787">
        <v>4</v>
      </c>
      <c r="R4787">
        <v>1</v>
      </c>
      <c r="S4787">
        <v>0</v>
      </c>
      <c r="T4787">
        <v>0</v>
      </c>
      <c r="U4787">
        <v>2</v>
      </c>
      <c r="V4787">
        <v>0</v>
      </c>
      <c r="W4787">
        <v>2</v>
      </c>
      <c r="X4787" s="21">
        <v>0</v>
      </c>
      <c r="Y4787" s="21">
        <v>0</v>
      </c>
      <c r="Z4787" s="21">
        <v>0</v>
      </c>
      <c r="AA4787" s="21">
        <v>0</v>
      </c>
      <c r="AB4787" s="21">
        <v>0</v>
      </c>
      <c r="AC4787" s="21">
        <v>0</v>
      </c>
      <c r="AD4787" s="21">
        <v>0</v>
      </c>
      <c r="AE4787" s="21">
        <v>0</v>
      </c>
      <c r="AF4787">
        <v>0</v>
      </c>
      <c r="AG4787">
        <v>0</v>
      </c>
      <c r="AH4787">
        <v>256</v>
      </c>
      <c r="AJ4787" t="s">
        <v>51</v>
      </c>
      <c r="AK4787" t="s">
        <v>52</v>
      </c>
      <c r="AP4787" t="s">
        <v>951</v>
      </c>
    </row>
    <row r="4788" spans="1:42">
      <c r="A4788" s="16">
        <v>43872</v>
      </c>
      <c r="B4788">
        <v>2</v>
      </c>
      <c r="C4788">
        <v>216</v>
      </c>
      <c r="D4788">
        <v>14656</v>
      </c>
      <c r="E4788" t="s">
        <v>112</v>
      </c>
      <c r="F4788" t="s">
        <v>104</v>
      </c>
      <c r="G4788">
        <v>2</v>
      </c>
      <c r="H4788">
        <v>20</v>
      </c>
      <c r="I4788" s="25">
        <v>2701</v>
      </c>
      <c r="K4788" t="s">
        <v>415</v>
      </c>
      <c r="N4788" t="s">
        <v>44</v>
      </c>
      <c r="O4788">
        <v>89</v>
      </c>
      <c r="Q4788">
        <v>1</v>
      </c>
      <c r="R4788">
        <v>1</v>
      </c>
      <c r="S4788">
        <v>0</v>
      </c>
      <c r="T4788">
        <v>0</v>
      </c>
      <c r="U4788">
        <v>0</v>
      </c>
      <c r="V4788">
        <v>1</v>
      </c>
      <c r="W4788">
        <v>0</v>
      </c>
      <c r="X4788" s="21">
        <v>0</v>
      </c>
      <c r="Y4788" s="21">
        <v>0</v>
      </c>
      <c r="Z4788" s="21">
        <v>0</v>
      </c>
      <c r="AA4788" s="21">
        <v>0</v>
      </c>
      <c r="AB4788" s="21">
        <v>0</v>
      </c>
      <c r="AC4788" s="21">
        <v>0</v>
      </c>
      <c r="AD4788" s="21">
        <v>0</v>
      </c>
      <c r="AE4788" s="21">
        <v>0</v>
      </c>
      <c r="AF4788">
        <v>0</v>
      </c>
      <c r="AG4788">
        <v>0</v>
      </c>
      <c r="AH4788">
        <v>64</v>
      </c>
      <c r="AJ4788" t="s">
        <v>51</v>
      </c>
      <c r="AK4788" t="s">
        <v>35</v>
      </c>
      <c r="AL4788" t="s">
        <v>1571</v>
      </c>
      <c r="AP4788" t="s">
        <v>951</v>
      </c>
    </row>
    <row r="4789" spans="1:42">
      <c r="A4789" s="16">
        <v>43872</v>
      </c>
      <c r="B4789">
        <v>2</v>
      </c>
      <c r="C4789">
        <v>216</v>
      </c>
      <c r="D4789">
        <v>14656</v>
      </c>
      <c r="E4789" t="s">
        <v>112</v>
      </c>
      <c r="F4789" t="s">
        <v>104</v>
      </c>
      <c r="G4789">
        <v>2</v>
      </c>
      <c r="H4789">
        <v>21</v>
      </c>
      <c r="I4789" s="25">
        <v>1548</v>
      </c>
      <c r="K4789" t="s">
        <v>213</v>
      </c>
      <c r="N4789" t="s">
        <v>44</v>
      </c>
      <c r="O4789">
        <v>70</v>
      </c>
      <c r="Q4789">
        <v>1</v>
      </c>
      <c r="R4789">
        <v>1</v>
      </c>
      <c r="S4789">
        <v>0</v>
      </c>
      <c r="T4789">
        <v>0</v>
      </c>
      <c r="U4789">
        <v>0</v>
      </c>
      <c r="V4789">
        <v>1</v>
      </c>
      <c r="W4789">
        <v>0</v>
      </c>
      <c r="X4789" s="21">
        <v>0</v>
      </c>
      <c r="Y4789" s="21">
        <v>0</v>
      </c>
      <c r="Z4789" s="21">
        <v>0</v>
      </c>
      <c r="AA4789" s="21">
        <v>0</v>
      </c>
      <c r="AB4789" s="21">
        <v>0</v>
      </c>
      <c r="AC4789" s="21">
        <v>0</v>
      </c>
      <c r="AD4789" s="21">
        <v>0</v>
      </c>
      <c r="AE4789" s="21">
        <v>0</v>
      </c>
      <c r="AF4789">
        <v>0</v>
      </c>
      <c r="AG4789">
        <v>0</v>
      </c>
      <c r="AH4789">
        <v>64</v>
      </c>
      <c r="AJ4789" t="s">
        <v>51</v>
      </c>
      <c r="AK4789" t="s">
        <v>35</v>
      </c>
      <c r="AP4789" t="s">
        <v>951</v>
      </c>
    </row>
    <row r="4790" spans="1:42">
      <c r="A4790" s="16">
        <v>43872</v>
      </c>
      <c r="B4790">
        <v>2</v>
      </c>
      <c r="C4790">
        <v>216</v>
      </c>
      <c r="D4790">
        <v>14656</v>
      </c>
      <c r="E4790" t="s">
        <v>112</v>
      </c>
      <c r="F4790" t="s">
        <v>104</v>
      </c>
      <c r="G4790">
        <v>2</v>
      </c>
      <c r="H4790">
        <v>22</v>
      </c>
      <c r="I4790" s="25">
        <v>1626</v>
      </c>
      <c r="K4790" t="s">
        <v>213</v>
      </c>
      <c r="L4790" t="s">
        <v>114</v>
      </c>
      <c r="N4790" t="s">
        <v>40</v>
      </c>
      <c r="O4790">
        <v>42</v>
      </c>
      <c r="Q4790">
        <v>3</v>
      </c>
      <c r="R4790">
        <v>1</v>
      </c>
      <c r="S4790">
        <v>2</v>
      </c>
      <c r="T4790">
        <v>0</v>
      </c>
      <c r="U4790">
        <v>1</v>
      </c>
      <c r="V4790">
        <v>0</v>
      </c>
      <c r="W4790">
        <v>0</v>
      </c>
      <c r="X4790" s="21">
        <v>0</v>
      </c>
      <c r="Y4790" s="21">
        <v>0</v>
      </c>
      <c r="Z4790" s="21">
        <v>0</v>
      </c>
      <c r="AA4790" s="21">
        <v>0</v>
      </c>
      <c r="AB4790" s="21">
        <v>0</v>
      </c>
      <c r="AC4790" s="21">
        <v>0</v>
      </c>
      <c r="AD4790" s="21">
        <v>0</v>
      </c>
      <c r="AE4790" s="21">
        <v>0</v>
      </c>
      <c r="AF4790">
        <v>0</v>
      </c>
      <c r="AG4790">
        <v>0</v>
      </c>
      <c r="AH4790">
        <v>64</v>
      </c>
      <c r="AJ4790" t="s">
        <v>51</v>
      </c>
      <c r="AK4790" t="s">
        <v>95</v>
      </c>
      <c r="AP4790" t="s">
        <v>951</v>
      </c>
    </row>
    <row r="4791" spans="1:42">
      <c r="A4791" s="16">
        <v>43872</v>
      </c>
      <c r="B4791">
        <v>2</v>
      </c>
      <c r="C4791">
        <v>216</v>
      </c>
      <c r="D4791">
        <v>14656</v>
      </c>
      <c r="E4791" t="s">
        <v>112</v>
      </c>
      <c r="F4791" t="s">
        <v>104</v>
      </c>
      <c r="G4791">
        <v>2</v>
      </c>
      <c r="H4791">
        <v>23</v>
      </c>
      <c r="I4791" s="25">
        <v>1622</v>
      </c>
      <c r="K4791" t="s">
        <v>213</v>
      </c>
      <c r="L4791" t="s">
        <v>114</v>
      </c>
      <c r="N4791" t="s">
        <v>40</v>
      </c>
      <c r="O4791">
        <v>72</v>
      </c>
      <c r="Q4791">
        <v>5</v>
      </c>
      <c r="R4791">
        <v>1</v>
      </c>
      <c r="S4791">
        <v>1</v>
      </c>
      <c r="T4791">
        <v>0</v>
      </c>
      <c r="U4791">
        <v>2</v>
      </c>
      <c r="V4791">
        <v>2</v>
      </c>
      <c r="W4791">
        <v>0</v>
      </c>
      <c r="X4791" s="21">
        <v>0</v>
      </c>
      <c r="Y4791" s="21">
        <v>0</v>
      </c>
      <c r="Z4791" s="21">
        <v>0</v>
      </c>
      <c r="AA4791" s="21">
        <v>0</v>
      </c>
      <c r="AB4791" s="21">
        <v>0</v>
      </c>
      <c r="AC4791" s="21">
        <v>0</v>
      </c>
      <c r="AD4791" s="21">
        <v>0</v>
      </c>
      <c r="AE4791" s="21">
        <v>0</v>
      </c>
      <c r="AF4791">
        <v>0</v>
      </c>
      <c r="AG4791">
        <v>0</v>
      </c>
      <c r="AH4791">
        <v>208</v>
      </c>
      <c r="AJ4791" t="s">
        <v>51</v>
      </c>
      <c r="AK4791" t="s">
        <v>35</v>
      </c>
      <c r="AP4791" t="s">
        <v>951</v>
      </c>
    </row>
    <row r="4792" spans="1:42">
      <c r="A4792" s="16">
        <v>43872</v>
      </c>
      <c r="B4792">
        <v>2</v>
      </c>
      <c r="C4792">
        <v>216</v>
      </c>
      <c r="D4792">
        <v>14656</v>
      </c>
      <c r="E4792" t="s">
        <v>112</v>
      </c>
      <c r="F4792" t="s">
        <v>104</v>
      </c>
      <c r="G4792">
        <v>2</v>
      </c>
      <c r="H4792">
        <v>24</v>
      </c>
      <c r="I4792" s="25" t="s">
        <v>1572</v>
      </c>
      <c r="K4792" t="s">
        <v>213</v>
      </c>
      <c r="L4792" t="s">
        <v>141</v>
      </c>
      <c r="M4792" t="s">
        <v>95</v>
      </c>
      <c r="N4792" t="s">
        <v>40</v>
      </c>
      <c r="O4792">
        <v>120</v>
      </c>
      <c r="Q4792">
        <v>5</v>
      </c>
      <c r="R4792">
        <v>1</v>
      </c>
      <c r="S4792">
        <v>2</v>
      </c>
      <c r="T4792">
        <v>0</v>
      </c>
      <c r="U4792">
        <v>2</v>
      </c>
      <c r="V4792">
        <v>1</v>
      </c>
      <c r="W4792">
        <v>0</v>
      </c>
      <c r="X4792" s="21">
        <v>0</v>
      </c>
      <c r="Y4792" s="21">
        <v>0</v>
      </c>
      <c r="Z4792" s="21">
        <v>0</v>
      </c>
      <c r="AA4792" s="21">
        <v>0</v>
      </c>
      <c r="AB4792" s="21">
        <v>0</v>
      </c>
      <c r="AC4792" s="21">
        <v>0</v>
      </c>
      <c r="AD4792" s="21">
        <v>0</v>
      </c>
      <c r="AE4792" s="21">
        <v>0</v>
      </c>
      <c r="AF4792">
        <v>0</v>
      </c>
      <c r="AG4792">
        <v>0</v>
      </c>
      <c r="AH4792">
        <v>160</v>
      </c>
      <c r="AJ4792" t="s">
        <v>51</v>
      </c>
      <c r="AK4792" t="s">
        <v>95</v>
      </c>
      <c r="AP4792" t="s">
        <v>951</v>
      </c>
    </row>
    <row r="4793" spans="1:42">
      <c r="A4793" s="16">
        <v>43872</v>
      </c>
      <c r="B4793">
        <v>2</v>
      </c>
      <c r="C4793">
        <v>216</v>
      </c>
      <c r="D4793">
        <v>14656</v>
      </c>
      <c r="E4793" t="s">
        <v>112</v>
      </c>
      <c r="F4793" t="s">
        <v>104</v>
      </c>
      <c r="G4793">
        <v>2</v>
      </c>
      <c r="H4793">
        <v>25</v>
      </c>
      <c r="I4793" s="25">
        <v>1648</v>
      </c>
      <c r="K4793" t="s">
        <v>213</v>
      </c>
      <c r="L4793" t="s">
        <v>114</v>
      </c>
      <c r="M4793" t="s">
        <v>95</v>
      </c>
      <c r="N4793" t="s">
        <v>40</v>
      </c>
      <c r="O4793">
        <v>72</v>
      </c>
      <c r="Q4793">
        <v>2</v>
      </c>
      <c r="R4793">
        <v>1</v>
      </c>
      <c r="S4793">
        <v>1</v>
      </c>
      <c r="T4793">
        <v>0</v>
      </c>
      <c r="U4793">
        <v>1</v>
      </c>
      <c r="V4793">
        <v>0</v>
      </c>
      <c r="W4793">
        <v>0</v>
      </c>
      <c r="X4793" s="21">
        <v>0</v>
      </c>
      <c r="Y4793" s="21">
        <v>0</v>
      </c>
      <c r="Z4793" s="21">
        <v>0</v>
      </c>
      <c r="AA4793" s="21">
        <v>0</v>
      </c>
      <c r="AB4793" s="21">
        <v>0</v>
      </c>
      <c r="AC4793" s="21">
        <v>0</v>
      </c>
      <c r="AD4793" s="21">
        <v>0</v>
      </c>
      <c r="AE4793" s="21">
        <v>0</v>
      </c>
      <c r="AF4793">
        <v>0</v>
      </c>
      <c r="AG4793">
        <v>0</v>
      </c>
      <c r="AH4793">
        <v>48</v>
      </c>
      <c r="AJ4793" t="s">
        <v>51</v>
      </c>
      <c r="AK4793" t="s">
        <v>95</v>
      </c>
      <c r="AL4793" t="s">
        <v>1573</v>
      </c>
      <c r="AP4793" t="s">
        <v>951</v>
      </c>
    </row>
    <row r="4794" spans="1:42">
      <c r="A4794" s="16">
        <v>43872</v>
      </c>
      <c r="B4794">
        <v>2</v>
      </c>
      <c r="C4794">
        <v>216</v>
      </c>
      <c r="D4794">
        <v>14656</v>
      </c>
      <c r="E4794" t="s">
        <v>112</v>
      </c>
      <c r="F4794" t="s">
        <v>104</v>
      </c>
      <c r="G4794">
        <v>2</v>
      </c>
      <c r="H4794">
        <v>26</v>
      </c>
      <c r="I4794" s="25">
        <v>1642</v>
      </c>
      <c r="K4794" t="s">
        <v>213</v>
      </c>
      <c r="L4794" t="s">
        <v>114</v>
      </c>
      <c r="N4794" t="s">
        <v>40</v>
      </c>
      <c r="O4794">
        <v>63</v>
      </c>
      <c r="Q4794">
        <v>4</v>
      </c>
      <c r="R4794">
        <v>1</v>
      </c>
      <c r="S4794">
        <v>1</v>
      </c>
      <c r="T4794">
        <v>0</v>
      </c>
      <c r="U4794">
        <v>2</v>
      </c>
      <c r="V4794">
        <v>1</v>
      </c>
      <c r="W4794">
        <v>0</v>
      </c>
      <c r="X4794" s="21">
        <v>0</v>
      </c>
      <c r="Y4794" s="21">
        <v>0</v>
      </c>
      <c r="Z4794" s="21">
        <v>0</v>
      </c>
      <c r="AA4794" s="21">
        <v>0</v>
      </c>
      <c r="AB4794" s="21">
        <v>0</v>
      </c>
      <c r="AC4794" s="21">
        <v>0</v>
      </c>
      <c r="AD4794" s="21">
        <v>0</v>
      </c>
      <c r="AE4794" s="21">
        <v>0</v>
      </c>
      <c r="AF4794">
        <v>0</v>
      </c>
      <c r="AG4794">
        <v>0</v>
      </c>
      <c r="AH4794">
        <v>144</v>
      </c>
      <c r="AJ4794" t="s">
        <v>51</v>
      </c>
      <c r="AK4794" t="s">
        <v>95</v>
      </c>
      <c r="AP4794" t="s">
        <v>951</v>
      </c>
    </row>
    <row r="4795" spans="1:42">
      <c r="A4795" s="16">
        <v>43872</v>
      </c>
      <c r="B4795">
        <v>2</v>
      </c>
      <c r="C4795">
        <v>216</v>
      </c>
      <c r="D4795">
        <v>14656</v>
      </c>
      <c r="E4795" t="s">
        <v>112</v>
      </c>
      <c r="F4795" t="s">
        <v>104</v>
      </c>
      <c r="G4795">
        <v>2</v>
      </c>
      <c r="H4795">
        <v>27</v>
      </c>
      <c r="I4795" s="25">
        <v>1654</v>
      </c>
      <c r="K4795" t="s">
        <v>213</v>
      </c>
      <c r="L4795" t="s">
        <v>114</v>
      </c>
      <c r="M4795" t="s">
        <v>95</v>
      </c>
      <c r="N4795" t="s">
        <v>40</v>
      </c>
      <c r="O4795">
        <v>55</v>
      </c>
      <c r="Q4795">
        <v>1</v>
      </c>
      <c r="R4795">
        <v>1</v>
      </c>
      <c r="S4795">
        <v>1</v>
      </c>
      <c r="T4795">
        <v>0</v>
      </c>
      <c r="U4795">
        <v>0</v>
      </c>
      <c r="V4795">
        <v>0</v>
      </c>
      <c r="W4795">
        <v>0</v>
      </c>
      <c r="X4795" s="21">
        <v>0</v>
      </c>
      <c r="Y4795" s="21">
        <v>0</v>
      </c>
      <c r="Z4795" s="21">
        <v>0</v>
      </c>
      <c r="AA4795" s="21">
        <v>0</v>
      </c>
      <c r="AB4795" s="21">
        <v>0</v>
      </c>
      <c r="AC4795" s="21">
        <v>0</v>
      </c>
      <c r="AD4795" s="21">
        <v>0</v>
      </c>
      <c r="AE4795" s="21">
        <v>0</v>
      </c>
      <c r="AF4795">
        <v>0</v>
      </c>
      <c r="AG4795">
        <v>0</v>
      </c>
      <c r="AH4795">
        <v>16</v>
      </c>
      <c r="AJ4795" t="s">
        <v>51</v>
      </c>
      <c r="AK4795" t="s">
        <v>95</v>
      </c>
      <c r="AP4795" t="s">
        <v>951</v>
      </c>
    </row>
    <row r="4796" spans="1:42">
      <c r="A4796" s="16">
        <v>43872</v>
      </c>
      <c r="B4796">
        <v>2</v>
      </c>
      <c r="C4796">
        <v>216</v>
      </c>
      <c r="D4796">
        <v>14656</v>
      </c>
      <c r="E4796" t="s">
        <v>112</v>
      </c>
      <c r="F4796" t="s">
        <v>104</v>
      </c>
      <c r="G4796">
        <v>2</v>
      </c>
      <c r="H4796">
        <v>28</v>
      </c>
      <c r="I4796" s="25">
        <v>0</v>
      </c>
      <c r="K4796" t="s">
        <v>1574</v>
      </c>
      <c r="L4796" t="s">
        <v>114</v>
      </c>
      <c r="N4796" t="s">
        <v>40</v>
      </c>
      <c r="O4796">
        <v>375</v>
      </c>
      <c r="Q4796">
        <v>15</v>
      </c>
      <c r="R4796">
        <v>1</v>
      </c>
      <c r="S4796">
        <v>4</v>
      </c>
      <c r="T4796">
        <v>0</v>
      </c>
      <c r="U4796">
        <v>11</v>
      </c>
      <c r="V4796">
        <v>0</v>
      </c>
      <c r="W4796">
        <v>0</v>
      </c>
      <c r="X4796" s="21">
        <v>0</v>
      </c>
      <c r="Y4796" s="21">
        <v>0</v>
      </c>
      <c r="Z4796" s="21">
        <v>0</v>
      </c>
      <c r="AA4796" s="21">
        <v>0</v>
      </c>
      <c r="AB4796" s="21">
        <v>0</v>
      </c>
      <c r="AC4796" s="21">
        <v>0</v>
      </c>
      <c r="AD4796" s="21">
        <v>0</v>
      </c>
      <c r="AE4796" s="21">
        <v>0</v>
      </c>
      <c r="AF4796">
        <v>0</v>
      </c>
      <c r="AG4796">
        <v>0</v>
      </c>
      <c r="AH4796">
        <v>416</v>
      </c>
      <c r="AJ4796" t="s">
        <v>51</v>
      </c>
      <c r="AK4796" t="s">
        <v>52</v>
      </c>
      <c r="AL4796" t="s">
        <v>1475</v>
      </c>
      <c r="AP4796" t="s">
        <v>951</v>
      </c>
    </row>
    <row r="4797" spans="1:42">
      <c r="A4797" s="16">
        <v>43872</v>
      </c>
      <c r="B4797">
        <v>2</v>
      </c>
      <c r="C4797">
        <v>216</v>
      </c>
      <c r="D4797">
        <v>14656</v>
      </c>
      <c r="E4797" t="s">
        <v>112</v>
      </c>
      <c r="F4797" t="s">
        <v>104</v>
      </c>
      <c r="G4797">
        <v>2</v>
      </c>
      <c r="H4797">
        <v>29</v>
      </c>
      <c r="I4797" s="25">
        <v>1670</v>
      </c>
      <c r="K4797" t="s">
        <v>213</v>
      </c>
      <c r="L4797" t="s">
        <v>141</v>
      </c>
      <c r="N4797" t="s">
        <v>40</v>
      </c>
      <c r="O4797">
        <v>36</v>
      </c>
      <c r="Q4797">
        <v>2</v>
      </c>
      <c r="R4797">
        <v>1</v>
      </c>
      <c r="S4797">
        <v>0</v>
      </c>
      <c r="T4797">
        <v>0</v>
      </c>
      <c r="U4797">
        <v>1</v>
      </c>
      <c r="V4797">
        <v>1</v>
      </c>
      <c r="W4797">
        <v>0</v>
      </c>
      <c r="X4797" s="21">
        <v>0</v>
      </c>
      <c r="Y4797" s="21">
        <v>0</v>
      </c>
      <c r="Z4797" s="21">
        <v>0</v>
      </c>
      <c r="AA4797" s="21">
        <v>0</v>
      </c>
      <c r="AB4797" s="21">
        <v>0</v>
      </c>
      <c r="AC4797" s="21">
        <v>0</v>
      </c>
      <c r="AD4797" s="21">
        <v>0</v>
      </c>
      <c r="AE4797" s="21">
        <v>0</v>
      </c>
      <c r="AF4797">
        <v>0</v>
      </c>
      <c r="AG4797">
        <v>0</v>
      </c>
      <c r="AH4797">
        <v>96</v>
      </c>
      <c r="AJ4797" t="s">
        <v>51</v>
      </c>
      <c r="AK4797" t="s">
        <v>95</v>
      </c>
      <c r="AP4797" t="s">
        <v>951</v>
      </c>
    </row>
    <row r="4798" spans="1:42">
      <c r="A4798" s="1">
        <v>43847</v>
      </c>
      <c r="B4798">
        <v>4</v>
      </c>
      <c r="C4798">
        <v>200</v>
      </c>
      <c r="D4798">
        <v>10218</v>
      </c>
      <c r="E4798" t="s">
        <v>37</v>
      </c>
      <c r="F4798" t="s">
        <v>90</v>
      </c>
      <c r="G4798">
        <v>2</v>
      </c>
      <c r="H4798">
        <v>1</v>
      </c>
      <c r="I4798" s="25">
        <v>120</v>
      </c>
      <c r="K4798" t="s">
        <v>394</v>
      </c>
      <c r="L4798" t="s">
        <v>114</v>
      </c>
      <c r="M4798" t="s">
        <v>52</v>
      </c>
      <c r="N4798" t="s">
        <v>40</v>
      </c>
      <c r="O4798">
        <v>58</v>
      </c>
      <c r="Q4798">
        <f>SUM(S4798:AE4798)</f>
        <v>2</v>
      </c>
      <c r="R4798">
        <v>1</v>
      </c>
      <c r="S4798">
        <v>0</v>
      </c>
      <c r="T4798">
        <v>0</v>
      </c>
      <c r="U4798">
        <v>0</v>
      </c>
      <c r="V4798">
        <v>0</v>
      </c>
      <c r="W4798">
        <v>2</v>
      </c>
      <c r="X4798" s="21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J4798" t="s">
        <v>51</v>
      </c>
      <c r="AK4798" t="s">
        <v>95</v>
      </c>
      <c r="AP4798" t="s">
        <v>541</v>
      </c>
    </row>
    <row r="4799" spans="1:42">
      <c r="A4799" s="1">
        <v>43847</v>
      </c>
      <c r="B4799">
        <v>4</v>
      </c>
      <c r="C4799">
        <v>200</v>
      </c>
      <c r="D4799">
        <v>10218</v>
      </c>
      <c r="E4799" t="s">
        <v>37</v>
      </c>
      <c r="F4799" t="s">
        <v>90</v>
      </c>
      <c r="G4799">
        <v>2</v>
      </c>
      <c r="H4799">
        <v>2</v>
      </c>
      <c r="I4799" s="25">
        <v>1168</v>
      </c>
      <c r="K4799" t="s">
        <v>394</v>
      </c>
      <c r="L4799" t="s">
        <v>114</v>
      </c>
      <c r="M4799" t="s">
        <v>52</v>
      </c>
      <c r="N4799" t="s">
        <v>40</v>
      </c>
      <c r="O4799">
        <v>57</v>
      </c>
      <c r="Q4799">
        <f t="shared" ref="Q4799:Q4859" si="74">SUM(S4799:AE4799)</f>
        <v>2</v>
      </c>
      <c r="R4799">
        <v>1</v>
      </c>
      <c r="S4799">
        <v>0</v>
      </c>
      <c r="T4799">
        <v>0</v>
      </c>
      <c r="U4799">
        <v>0</v>
      </c>
      <c r="V4799">
        <v>0</v>
      </c>
      <c r="W4799">
        <v>2</v>
      </c>
      <c r="X4799" s="21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J4799" t="s">
        <v>51</v>
      </c>
      <c r="AK4799" t="s">
        <v>95</v>
      </c>
      <c r="AP4799" t="s">
        <v>541</v>
      </c>
    </row>
    <row r="4800" spans="1:42">
      <c r="A4800" s="1">
        <v>43847</v>
      </c>
      <c r="B4800">
        <v>4</v>
      </c>
      <c r="C4800">
        <v>200</v>
      </c>
      <c r="D4800">
        <v>10218</v>
      </c>
      <c r="E4800" t="s">
        <v>37</v>
      </c>
      <c r="F4800" t="s">
        <v>90</v>
      </c>
      <c r="G4800">
        <v>2</v>
      </c>
      <c r="H4800">
        <v>3</v>
      </c>
      <c r="I4800" s="25">
        <v>1260</v>
      </c>
      <c r="K4800" t="s">
        <v>394</v>
      </c>
      <c r="L4800" t="s">
        <v>114</v>
      </c>
      <c r="M4800" t="s">
        <v>52</v>
      </c>
      <c r="N4800" t="s">
        <v>40</v>
      </c>
      <c r="O4800">
        <v>68</v>
      </c>
      <c r="Q4800">
        <f t="shared" si="74"/>
        <v>2</v>
      </c>
      <c r="R4800">
        <v>1</v>
      </c>
      <c r="S4800">
        <v>0</v>
      </c>
      <c r="T4800">
        <v>0</v>
      </c>
      <c r="U4800">
        <v>0</v>
      </c>
      <c r="V4800">
        <v>0</v>
      </c>
      <c r="W4800">
        <v>2</v>
      </c>
      <c r="X4800" s="21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J4800" t="s">
        <v>51</v>
      </c>
      <c r="AK4800" t="s">
        <v>95</v>
      </c>
      <c r="AP4800" t="s">
        <v>541</v>
      </c>
    </row>
    <row r="4801" spans="1:42">
      <c r="A4801" s="1">
        <v>43847</v>
      </c>
      <c r="B4801">
        <v>4</v>
      </c>
      <c r="C4801">
        <v>200</v>
      </c>
      <c r="D4801">
        <v>10218</v>
      </c>
      <c r="E4801" t="s">
        <v>37</v>
      </c>
      <c r="F4801" t="s">
        <v>90</v>
      </c>
      <c r="G4801">
        <v>2</v>
      </c>
      <c r="H4801">
        <v>4</v>
      </c>
      <c r="I4801" s="25">
        <v>1288</v>
      </c>
      <c r="K4801" t="s">
        <v>394</v>
      </c>
      <c r="L4801" t="s">
        <v>114</v>
      </c>
      <c r="M4801" t="s">
        <v>52</v>
      </c>
      <c r="N4801" t="s">
        <v>40</v>
      </c>
      <c r="O4801">
        <v>49</v>
      </c>
      <c r="Q4801">
        <f t="shared" si="74"/>
        <v>3</v>
      </c>
      <c r="R4801">
        <v>1</v>
      </c>
      <c r="S4801">
        <v>0</v>
      </c>
      <c r="T4801">
        <v>0</v>
      </c>
      <c r="U4801">
        <v>0</v>
      </c>
      <c r="V4801">
        <v>0</v>
      </c>
      <c r="W4801">
        <v>3</v>
      </c>
      <c r="X4801" s="2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J4801" t="s">
        <v>51</v>
      </c>
      <c r="AK4801" t="s">
        <v>95</v>
      </c>
      <c r="AP4801" t="s">
        <v>541</v>
      </c>
    </row>
    <row r="4802" spans="1:42">
      <c r="A4802" s="1">
        <v>43847</v>
      </c>
      <c r="B4802">
        <v>4</v>
      </c>
      <c r="C4802">
        <v>200</v>
      </c>
      <c r="D4802">
        <v>10218</v>
      </c>
      <c r="E4802" t="s">
        <v>37</v>
      </c>
      <c r="F4802" t="s">
        <v>90</v>
      </c>
      <c r="G4802">
        <v>2</v>
      </c>
      <c r="H4802">
        <v>5</v>
      </c>
      <c r="I4802" s="25">
        <v>1370</v>
      </c>
      <c r="K4802" t="s">
        <v>394</v>
      </c>
      <c r="L4802" t="s">
        <v>114</v>
      </c>
      <c r="M4802" t="s">
        <v>52</v>
      </c>
      <c r="N4802" t="s">
        <v>40</v>
      </c>
      <c r="O4802">
        <v>157</v>
      </c>
      <c r="Q4802">
        <f t="shared" si="74"/>
        <v>8</v>
      </c>
      <c r="R4802">
        <v>1</v>
      </c>
      <c r="S4802">
        <v>0</v>
      </c>
      <c r="T4802">
        <v>0</v>
      </c>
      <c r="U4802">
        <v>0</v>
      </c>
      <c r="V4802">
        <v>0</v>
      </c>
      <c r="W4802">
        <v>8</v>
      </c>
      <c r="X4802" s="21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J4802" t="s">
        <v>51</v>
      </c>
      <c r="AK4802" t="s">
        <v>95</v>
      </c>
      <c r="AP4802" t="s">
        <v>541</v>
      </c>
    </row>
    <row r="4803" spans="1:42">
      <c r="A4803" s="1">
        <v>43847</v>
      </c>
      <c r="B4803">
        <v>4</v>
      </c>
      <c r="C4803">
        <v>200</v>
      </c>
      <c r="D4803">
        <v>10218</v>
      </c>
      <c r="E4803" t="s">
        <v>37</v>
      </c>
      <c r="F4803" t="s">
        <v>90</v>
      </c>
      <c r="G4803">
        <v>2</v>
      </c>
      <c r="H4803">
        <v>6</v>
      </c>
      <c r="I4803" s="25">
        <v>1398</v>
      </c>
      <c r="K4803" t="s">
        <v>108</v>
      </c>
      <c r="L4803" t="s">
        <v>114</v>
      </c>
      <c r="M4803" t="s">
        <v>52</v>
      </c>
      <c r="N4803" t="s">
        <v>40</v>
      </c>
      <c r="O4803">
        <v>64</v>
      </c>
      <c r="Q4803">
        <f t="shared" si="74"/>
        <v>2</v>
      </c>
      <c r="R4803">
        <v>1</v>
      </c>
      <c r="S4803">
        <v>0</v>
      </c>
      <c r="T4803">
        <v>0</v>
      </c>
      <c r="U4803">
        <v>2</v>
      </c>
      <c r="V4803">
        <v>0</v>
      </c>
      <c r="W4803">
        <v>0</v>
      </c>
      <c r="X4803" s="21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1</v>
      </c>
      <c r="AG4803">
        <v>0</v>
      </c>
      <c r="AJ4803" t="s">
        <v>51</v>
      </c>
      <c r="AK4803" t="s">
        <v>95</v>
      </c>
      <c r="AP4803" t="s">
        <v>541</v>
      </c>
    </row>
    <row r="4804" spans="1:42">
      <c r="A4804" s="1">
        <v>43847</v>
      </c>
      <c r="B4804">
        <v>4</v>
      </c>
      <c r="C4804">
        <v>200</v>
      </c>
      <c r="D4804">
        <v>10218</v>
      </c>
      <c r="E4804" t="s">
        <v>37</v>
      </c>
      <c r="F4804" t="s">
        <v>90</v>
      </c>
      <c r="G4804">
        <v>2</v>
      </c>
      <c r="H4804">
        <v>7</v>
      </c>
      <c r="I4804" s="25">
        <v>138</v>
      </c>
      <c r="K4804" t="s">
        <v>108</v>
      </c>
      <c r="L4804" t="s">
        <v>114</v>
      </c>
      <c r="M4804" t="s">
        <v>52</v>
      </c>
      <c r="N4804" t="s">
        <v>40</v>
      </c>
      <c r="O4804">
        <v>52</v>
      </c>
      <c r="Q4804">
        <f t="shared" si="74"/>
        <v>2</v>
      </c>
      <c r="R4804">
        <v>1</v>
      </c>
      <c r="S4804">
        <v>0</v>
      </c>
      <c r="T4804">
        <v>0</v>
      </c>
      <c r="U4804">
        <v>0</v>
      </c>
      <c r="V4804">
        <v>0</v>
      </c>
      <c r="W4804">
        <v>2</v>
      </c>
      <c r="X4804" s="21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J4804" t="s">
        <v>51</v>
      </c>
      <c r="AK4804" t="s">
        <v>95</v>
      </c>
      <c r="AP4804" t="s">
        <v>541</v>
      </c>
    </row>
    <row r="4805" spans="1:42">
      <c r="A4805" s="1">
        <v>43847</v>
      </c>
      <c r="B4805">
        <v>4</v>
      </c>
      <c r="C4805">
        <v>200</v>
      </c>
      <c r="D4805">
        <v>10218</v>
      </c>
      <c r="E4805" t="s">
        <v>37</v>
      </c>
      <c r="F4805" t="s">
        <v>90</v>
      </c>
      <c r="G4805">
        <v>2</v>
      </c>
      <c r="H4805">
        <v>8</v>
      </c>
      <c r="I4805" s="25">
        <v>191</v>
      </c>
      <c r="K4805" t="s">
        <v>509</v>
      </c>
      <c r="L4805" t="s">
        <v>141</v>
      </c>
      <c r="M4805" t="s">
        <v>52</v>
      </c>
      <c r="N4805" t="s">
        <v>40</v>
      </c>
      <c r="O4805">
        <v>57</v>
      </c>
      <c r="Q4805">
        <f t="shared" si="74"/>
        <v>2</v>
      </c>
      <c r="R4805">
        <v>1</v>
      </c>
      <c r="S4805">
        <v>0</v>
      </c>
      <c r="T4805">
        <v>0</v>
      </c>
      <c r="U4805">
        <v>0</v>
      </c>
      <c r="V4805">
        <v>0</v>
      </c>
      <c r="W4805">
        <v>2</v>
      </c>
      <c r="X4805" s="21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J4805" t="s">
        <v>51</v>
      </c>
      <c r="AK4805" t="s">
        <v>95</v>
      </c>
      <c r="AP4805" t="s">
        <v>541</v>
      </c>
    </row>
    <row r="4806" spans="1:42">
      <c r="A4806" s="1">
        <v>43847</v>
      </c>
      <c r="B4806">
        <v>4</v>
      </c>
      <c r="C4806">
        <v>200</v>
      </c>
      <c r="D4806">
        <v>10218</v>
      </c>
      <c r="E4806" t="s">
        <v>37</v>
      </c>
      <c r="F4806" t="s">
        <v>90</v>
      </c>
      <c r="G4806">
        <v>2</v>
      </c>
      <c r="H4806">
        <v>9</v>
      </c>
      <c r="I4806" s="25">
        <v>101</v>
      </c>
      <c r="K4806" t="s">
        <v>394</v>
      </c>
      <c r="L4806" t="s">
        <v>141</v>
      </c>
      <c r="M4806" t="s">
        <v>52</v>
      </c>
      <c r="N4806" t="s">
        <v>40</v>
      </c>
      <c r="O4806">
        <v>40</v>
      </c>
      <c r="Q4806">
        <f t="shared" si="74"/>
        <v>2</v>
      </c>
      <c r="R4806">
        <v>1</v>
      </c>
      <c r="S4806">
        <v>0</v>
      </c>
      <c r="T4806">
        <v>0</v>
      </c>
      <c r="U4806">
        <v>1</v>
      </c>
      <c r="V4806">
        <v>1</v>
      </c>
      <c r="W4806">
        <v>0</v>
      </c>
      <c r="X4806" s="21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</v>
      </c>
      <c r="AG4806">
        <v>0</v>
      </c>
      <c r="AJ4806" t="s">
        <v>51</v>
      </c>
      <c r="AK4806" t="s">
        <v>95</v>
      </c>
      <c r="AP4806" t="s">
        <v>541</v>
      </c>
    </row>
    <row r="4807" spans="1:42">
      <c r="A4807" s="1">
        <v>43847</v>
      </c>
      <c r="B4807">
        <v>4</v>
      </c>
      <c r="C4807">
        <v>200</v>
      </c>
      <c r="D4807">
        <v>10218</v>
      </c>
      <c r="E4807" t="s">
        <v>37</v>
      </c>
      <c r="F4807" t="s">
        <v>90</v>
      </c>
      <c r="G4807">
        <v>2</v>
      </c>
      <c r="H4807">
        <v>10</v>
      </c>
      <c r="I4807" s="25">
        <v>1125</v>
      </c>
      <c r="K4807" t="s">
        <v>394</v>
      </c>
      <c r="L4807" t="s">
        <v>141</v>
      </c>
      <c r="M4807" t="s">
        <v>52</v>
      </c>
      <c r="N4807" t="s">
        <v>40</v>
      </c>
      <c r="O4807">
        <v>77</v>
      </c>
      <c r="Q4807">
        <f t="shared" si="74"/>
        <v>3</v>
      </c>
      <c r="R4807">
        <v>1</v>
      </c>
      <c r="S4807">
        <v>0</v>
      </c>
      <c r="T4807">
        <v>0</v>
      </c>
      <c r="U4807">
        <v>0</v>
      </c>
      <c r="V4807">
        <v>0</v>
      </c>
      <c r="W4807">
        <v>3</v>
      </c>
      <c r="X4807" s="21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1</v>
      </c>
      <c r="AG4807">
        <v>1</v>
      </c>
      <c r="AJ4807" t="s">
        <v>51</v>
      </c>
      <c r="AK4807" t="s">
        <v>95</v>
      </c>
      <c r="AP4807" t="s">
        <v>541</v>
      </c>
    </row>
    <row r="4808" spans="1:42">
      <c r="A4808" s="1">
        <v>43847</v>
      </c>
      <c r="B4808">
        <v>4</v>
      </c>
      <c r="C4808">
        <v>200</v>
      </c>
      <c r="D4808">
        <v>10218</v>
      </c>
      <c r="E4808" t="s">
        <v>37</v>
      </c>
      <c r="F4808" t="s">
        <v>90</v>
      </c>
      <c r="G4808">
        <v>2</v>
      </c>
      <c r="H4808">
        <v>11</v>
      </c>
      <c r="I4808" s="25">
        <v>1095</v>
      </c>
      <c r="K4808" t="s">
        <v>394</v>
      </c>
      <c r="L4808" t="s">
        <v>141</v>
      </c>
      <c r="M4808" t="s">
        <v>52</v>
      </c>
      <c r="N4808" t="s">
        <v>40</v>
      </c>
      <c r="O4808">
        <v>49</v>
      </c>
      <c r="Q4808">
        <f t="shared" si="74"/>
        <v>2</v>
      </c>
      <c r="R4808">
        <v>1</v>
      </c>
      <c r="S4808">
        <v>0</v>
      </c>
      <c r="T4808">
        <v>0</v>
      </c>
      <c r="U4808">
        <v>0</v>
      </c>
      <c r="V4808">
        <v>0</v>
      </c>
      <c r="W4808">
        <v>2</v>
      </c>
      <c r="X4808" s="21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J4808" t="s">
        <v>51</v>
      </c>
      <c r="AK4808" t="s">
        <v>95</v>
      </c>
      <c r="AP4808" t="s">
        <v>541</v>
      </c>
    </row>
    <row r="4809" spans="1:42">
      <c r="A4809" s="1">
        <v>43847</v>
      </c>
      <c r="B4809">
        <v>4</v>
      </c>
      <c r="C4809">
        <v>200</v>
      </c>
      <c r="D4809">
        <v>10218</v>
      </c>
      <c r="E4809" t="s">
        <v>37</v>
      </c>
      <c r="F4809" t="s">
        <v>90</v>
      </c>
      <c r="G4809">
        <v>2</v>
      </c>
      <c r="H4809">
        <v>12</v>
      </c>
      <c r="I4809" s="25">
        <v>1077</v>
      </c>
      <c r="K4809" t="s">
        <v>394</v>
      </c>
      <c r="L4809" t="s">
        <v>141</v>
      </c>
      <c r="M4809" t="s">
        <v>52</v>
      </c>
      <c r="N4809" t="s">
        <v>40</v>
      </c>
      <c r="O4809">
        <v>153</v>
      </c>
      <c r="Q4809">
        <f t="shared" si="74"/>
        <v>6</v>
      </c>
      <c r="R4809">
        <v>1</v>
      </c>
      <c r="S4809">
        <v>0</v>
      </c>
      <c r="T4809">
        <v>0</v>
      </c>
      <c r="U4809">
        <v>1</v>
      </c>
      <c r="V4809">
        <v>3</v>
      </c>
      <c r="W4809">
        <v>2</v>
      </c>
      <c r="X4809" s="21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J4809" t="s">
        <v>51</v>
      </c>
      <c r="AK4809" t="s">
        <v>95</v>
      </c>
      <c r="AP4809" t="s">
        <v>541</v>
      </c>
    </row>
    <row r="4810" spans="1:42">
      <c r="A4810" s="1">
        <v>43847</v>
      </c>
      <c r="B4810">
        <v>4</v>
      </c>
      <c r="C4810">
        <v>200</v>
      </c>
      <c r="D4810">
        <v>10218</v>
      </c>
      <c r="E4810" t="s">
        <v>37</v>
      </c>
      <c r="F4810" t="s">
        <v>90</v>
      </c>
      <c r="G4810">
        <v>2</v>
      </c>
      <c r="H4810">
        <v>13</v>
      </c>
      <c r="I4810" s="25">
        <v>1018</v>
      </c>
      <c r="K4810" t="s">
        <v>394</v>
      </c>
      <c r="L4810" t="s">
        <v>114</v>
      </c>
      <c r="M4810" t="s">
        <v>52</v>
      </c>
      <c r="N4810" t="s">
        <v>40</v>
      </c>
      <c r="O4810">
        <v>43</v>
      </c>
      <c r="Q4810">
        <f t="shared" si="74"/>
        <v>3</v>
      </c>
      <c r="R4810">
        <v>1</v>
      </c>
      <c r="S4810">
        <v>0</v>
      </c>
      <c r="T4810">
        <v>0</v>
      </c>
      <c r="U4810">
        <v>1</v>
      </c>
      <c r="V4810">
        <v>1</v>
      </c>
      <c r="W4810">
        <v>1</v>
      </c>
      <c r="X4810" s="21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J4810" t="s">
        <v>51</v>
      </c>
      <c r="AK4810" t="s">
        <v>95</v>
      </c>
      <c r="AP4810" t="s">
        <v>541</v>
      </c>
    </row>
    <row r="4811" spans="1:42">
      <c r="A4811" s="1">
        <v>43847</v>
      </c>
      <c r="B4811">
        <v>4</v>
      </c>
      <c r="C4811">
        <v>200</v>
      </c>
      <c r="D4811">
        <v>10218</v>
      </c>
      <c r="E4811" t="s">
        <v>37</v>
      </c>
      <c r="F4811" t="s">
        <v>90</v>
      </c>
      <c r="G4811">
        <v>2</v>
      </c>
      <c r="H4811">
        <v>14</v>
      </c>
      <c r="I4811" s="25">
        <v>1010</v>
      </c>
      <c r="K4811" t="s">
        <v>394</v>
      </c>
      <c r="L4811" t="s">
        <v>114</v>
      </c>
      <c r="M4811" t="s">
        <v>95</v>
      </c>
      <c r="N4811" t="s">
        <v>40</v>
      </c>
      <c r="O4811">
        <v>40</v>
      </c>
      <c r="Q4811">
        <f t="shared" si="74"/>
        <v>1</v>
      </c>
      <c r="R4811">
        <v>1</v>
      </c>
      <c r="S4811">
        <v>0</v>
      </c>
      <c r="T4811">
        <v>0</v>
      </c>
      <c r="U4811">
        <v>1</v>
      </c>
      <c r="V4811">
        <v>0</v>
      </c>
      <c r="W4811">
        <v>0</v>
      </c>
      <c r="X4811" s="2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J4811" t="s">
        <v>51</v>
      </c>
      <c r="AK4811" t="s">
        <v>95</v>
      </c>
      <c r="AP4811" t="s">
        <v>541</v>
      </c>
    </row>
    <row r="4812" spans="1:42">
      <c r="A4812" s="1">
        <v>43847</v>
      </c>
      <c r="B4812">
        <v>4</v>
      </c>
      <c r="C4812">
        <v>200</v>
      </c>
      <c r="D4812">
        <v>10218</v>
      </c>
      <c r="E4812" t="s">
        <v>37</v>
      </c>
      <c r="F4812" t="s">
        <v>90</v>
      </c>
      <c r="G4812">
        <v>2</v>
      </c>
      <c r="H4812">
        <v>15</v>
      </c>
      <c r="I4812" s="25">
        <v>110</v>
      </c>
      <c r="K4812" t="s">
        <v>390</v>
      </c>
      <c r="L4812" t="s">
        <v>114</v>
      </c>
      <c r="M4812" t="s">
        <v>52</v>
      </c>
      <c r="N4812" t="s">
        <v>40</v>
      </c>
      <c r="O4812">
        <v>186</v>
      </c>
      <c r="Q4812">
        <f t="shared" si="74"/>
        <v>9</v>
      </c>
      <c r="R4812">
        <v>1</v>
      </c>
      <c r="S4812">
        <v>0</v>
      </c>
      <c r="T4812">
        <v>0</v>
      </c>
      <c r="U4812">
        <v>1</v>
      </c>
      <c r="V4812">
        <v>0</v>
      </c>
      <c r="W4812">
        <v>8</v>
      </c>
      <c r="X4812" s="21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J4812" t="s">
        <v>51</v>
      </c>
      <c r="AK4812" t="s">
        <v>95</v>
      </c>
      <c r="AP4812" t="s">
        <v>541</v>
      </c>
    </row>
    <row r="4813" spans="1:42">
      <c r="A4813" s="1">
        <v>43847</v>
      </c>
      <c r="B4813">
        <v>4</v>
      </c>
      <c r="C4813">
        <v>200</v>
      </c>
      <c r="D4813">
        <v>10218</v>
      </c>
      <c r="E4813" t="s">
        <v>37</v>
      </c>
      <c r="F4813" t="s">
        <v>90</v>
      </c>
      <c r="G4813">
        <v>2</v>
      </c>
      <c r="H4813">
        <v>16</v>
      </c>
      <c r="I4813" s="25">
        <v>152</v>
      </c>
      <c r="K4813" t="s">
        <v>390</v>
      </c>
      <c r="L4813" t="s">
        <v>114</v>
      </c>
      <c r="M4813" t="s">
        <v>52</v>
      </c>
      <c r="N4813" t="s">
        <v>40</v>
      </c>
      <c r="O4813">
        <v>25</v>
      </c>
      <c r="Q4813">
        <f t="shared" si="74"/>
        <v>2</v>
      </c>
      <c r="R4813">
        <v>1</v>
      </c>
      <c r="S4813">
        <v>0</v>
      </c>
      <c r="T4813">
        <v>0</v>
      </c>
      <c r="U4813">
        <v>2</v>
      </c>
      <c r="V4813">
        <v>0</v>
      </c>
      <c r="W4813">
        <v>0</v>
      </c>
      <c r="X4813" s="21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J4813" t="s">
        <v>51</v>
      </c>
      <c r="AK4813" t="s">
        <v>95</v>
      </c>
      <c r="AP4813" t="s">
        <v>541</v>
      </c>
    </row>
    <row r="4814" spans="1:42">
      <c r="A4814" s="1">
        <v>43847</v>
      </c>
      <c r="B4814">
        <v>4</v>
      </c>
      <c r="C4814">
        <v>200</v>
      </c>
      <c r="D4814">
        <v>10218</v>
      </c>
      <c r="E4814" t="s">
        <v>37</v>
      </c>
      <c r="F4814" t="s">
        <v>90</v>
      </c>
      <c r="G4814">
        <v>2</v>
      </c>
      <c r="H4814">
        <v>17</v>
      </c>
      <c r="I4814" s="25">
        <v>174</v>
      </c>
      <c r="K4814" t="s">
        <v>390</v>
      </c>
      <c r="L4814" t="s">
        <v>114</v>
      </c>
      <c r="M4814" t="s">
        <v>52</v>
      </c>
      <c r="N4814" t="s">
        <v>40</v>
      </c>
      <c r="O4814">
        <v>46</v>
      </c>
      <c r="Q4814">
        <f t="shared" si="74"/>
        <v>2</v>
      </c>
      <c r="R4814">
        <v>1</v>
      </c>
      <c r="S4814">
        <v>0</v>
      </c>
      <c r="T4814">
        <v>0</v>
      </c>
      <c r="U4814">
        <v>2</v>
      </c>
      <c r="V4814">
        <v>0</v>
      </c>
      <c r="W4814">
        <v>0</v>
      </c>
      <c r="X4814" s="21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J4814" t="s">
        <v>51</v>
      </c>
      <c r="AK4814" t="s">
        <v>95</v>
      </c>
      <c r="AP4814" t="s">
        <v>541</v>
      </c>
    </row>
    <row r="4815" spans="1:42">
      <c r="A4815" s="1">
        <v>43847</v>
      </c>
      <c r="B4815">
        <v>4</v>
      </c>
      <c r="C4815">
        <v>200</v>
      </c>
      <c r="D4815">
        <v>10218</v>
      </c>
      <c r="E4815" t="s">
        <v>37</v>
      </c>
      <c r="F4815" t="s">
        <v>90</v>
      </c>
      <c r="G4815">
        <v>2</v>
      </c>
      <c r="H4815">
        <v>18</v>
      </c>
      <c r="I4815" s="25">
        <v>176</v>
      </c>
      <c r="K4815" t="s">
        <v>390</v>
      </c>
      <c r="L4815" t="s">
        <v>114</v>
      </c>
      <c r="M4815" t="s">
        <v>52</v>
      </c>
      <c r="N4815" t="s">
        <v>40</v>
      </c>
      <c r="O4815">
        <v>47</v>
      </c>
      <c r="Q4815">
        <f t="shared" si="74"/>
        <v>2</v>
      </c>
      <c r="R4815">
        <v>1</v>
      </c>
      <c r="S4815">
        <v>0</v>
      </c>
      <c r="T4815">
        <v>0</v>
      </c>
      <c r="U4815">
        <v>0</v>
      </c>
      <c r="V4815">
        <v>0</v>
      </c>
      <c r="W4815">
        <v>2</v>
      </c>
      <c r="X4815" s="21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J4815" t="s">
        <v>51</v>
      </c>
      <c r="AK4815" t="s">
        <v>95</v>
      </c>
      <c r="AP4815" t="s">
        <v>541</v>
      </c>
    </row>
    <row r="4816" spans="1:42">
      <c r="A4816" s="1">
        <v>43847</v>
      </c>
      <c r="B4816">
        <v>4</v>
      </c>
      <c r="C4816">
        <v>200</v>
      </c>
      <c r="D4816">
        <v>10218</v>
      </c>
      <c r="E4816" t="s">
        <v>37</v>
      </c>
      <c r="F4816" t="s">
        <v>90</v>
      </c>
      <c r="G4816">
        <v>2</v>
      </c>
      <c r="H4816">
        <v>19</v>
      </c>
      <c r="I4816" s="25">
        <v>143</v>
      </c>
      <c r="K4816" t="s">
        <v>390</v>
      </c>
      <c r="L4816" t="s">
        <v>141</v>
      </c>
      <c r="M4816" t="s">
        <v>52</v>
      </c>
      <c r="N4816" t="s">
        <v>40</v>
      </c>
      <c r="O4816">
        <v>52</v>
      </c>
      <c r="Q4816">
        <f t="shared" si="74"/>
        <v>2</v>
      </c>
      <c r="R4816">
        <v>1</v>
      </c>
      <c r="S4816">
        <v>0</v>
      </c>
      <c r="T4816">
        <v>0</v>
      </c>
      <c r="U4816">
        <v>0</v>
      </c>
      <c r="V4816">
        <v>0</v>
      </c>
      <c r="W4816">
        <v>2</v>
      </c>
      <c r="X4816" s="21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J4816" t="s">
        <v>51</v>
      </c>
      <c r="AK4816" t="s">
        <v>95</v>
      </c>
      <c r="AP4816" t="s">
        <v>541</v>
      </c>
    </row>
    <row r="4817" spans="1:42">
      <c r="A4817" s="1">
        <v>43847</v>
      </c>
      <c r="B4817">
        <v>4</v>
      </c>
      <c r="C4817">
        <v>200</v>
      </c>
      <c r="D4817">
        <v>10218</v>
      </c>
      <c r="E4817" t="s">
        <v>37</v>
      </c>
      <c r="F4817" t="s">
        <v>90</v>
      </c>
      <c r="G4817">
        <v>2</v>
      </c>
      <c r="H4817">
        <v>20</v>
      </c>
      <c r="I4817" s="25">
        <v>149</v>
      </c>
      <c r="K4817" t="s">
        <v>390</v>
      </c>
      <c r="L4817" t="s">
        <v>141</v>
      </c>
      <c r="M4817" t="s">
        <v>52</v>
      </c>
      <c r="N4817" t="s">
        <v>40</v>
      </c>
      <c r="O4817">
        <v>187</v>
      </c>
      <c r="Q4817">
        <f t="shared" si="74"/>
        <v>6</v>
      </c>
      <c r="R4817">
        <v>1</v>
      </c>
      <c r="S4817">
        <v>0</v>
      </c>
      <c r="T4817">
        <v>0</v>
      </c>
      <c r="U4817">
        <v>0</v>
      </c>
      <c r="V4817">
        <v>0</v>
      </c>
      <c r="W4817">
        <v>6</v>
      </c>
      <c r="X4817" s="21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J4817" t="s">
        <v>51</v>
      </c>
      <c r="AK4817" t="s">
        <v>52</v>
      </c>
      <c r="AP4817" t="s">
        <v>541</v>
      </c>
    </row>
    <row r="4818" spans="1:42">
      <c r="A4818" s="1">
        <v>43847</v>
      </c>
      <c r="B4818">
        <v>4</v>
      </c>
      <c r="C4818">
        <v>200</v>
      </c>
      <c r="D4818">
        <v>10218</v>
      </c>
      <c r="E4818" t="s">
        <v>37</v>
      </c>
      <c r="F4818" t="s">
        <v>90</v>
      </c>
      <c r="G4818">
        <v>2</v>
      </c>
      <c r="H4818">
        <v>21</v>
      </c>
      <c r="I4818" s="25">
        <v>123</v>
      </c>
      <c r="K4818" t="s">
        <v>390</v>
      </c>
      <c r="L4818" t="s">
        <v>141</v>
      </c>
      <c r="M4818" t="s">
        <v>52</v>
      </c>
      <c r="N4818" t="s">
        <v>40</v>
      </c>
      <c r="O4818">
        <v>238</v>
      </c>
      <c r="Q4818">
        <f t="shared" si="74"/>
        <v>3</v>
      </c>
      <c r="R4818">
        <v>1</v>
      </c>
      <c r="S4818">
        <v>0</v>
      </c>
      <c r="T4818">
        <v>0</v>
      </c>
      <c r="U4818">
        <v>0</v>
      </c>
      <c r="V4818">
        <v>0</v>
      </c>
      <c r="W4818">
        <v>3</v>
      </c>
      <c r="X4818" s="21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J4818" t="s">
        <v>51</v>
      </c>
      <c r="AK4818" t="s">
        <v>52</v>
      </c>
      <c r="AP4818" t="s">
        <v>541</v>
      </c>
    </row>
    <row r="4819" spans="1:42">
      <c r="A4819" s="1">
        <v>43847</v>
      </c>
      <c r="B4819">
        <v>4</v>
      </c>
      <c r="C4819">
        <v>200</v>
      </c>
      <c r="D4819">
        <v>10218</v>
      </c>
      <c r="E4819" t="s">
        <v>37</v>
      </c>
      <c r="F4819" t="s">
        <v>90</v>
      </c>
      <c r="G4819">
        <v>2</v>
      </c>
      <c r="H4819">
        <v>22</v>
      </c>
      <c r="I4819" s="25">
        <v>89</v>
      </c>
      <c r="K4819" t="s">
        <v>394</v>
      </c>
      <c r="L4819" t="s">
        <v>141</v>
      </c>
      <c r="M4819" t="s">
        <v>52</v>
      </c>
      <c r="N4819" t="s">
        <v>40</v>
      </c>
      <c r="O4819">
        <v>49</v>
      </c>
      <c r="Q4819">
        <f t="shared" si="74"/>
        <v>2</v>
      </c>
      <c r="R4819">
        <v>1</v>
      </c>
      <c r="S4819">
        <v>0</v>
      </c>
      <c r="T4819">
        <v>0</v>
      </c>
      <c r="U4819">
        <v>0</v>
      </c>
      <c r="V4819">
        <v>1</v>
      </c>
      <c r="W4819">
        <v>1</v>
      </c>
      <c r="X4819" s="21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J4819" t="s">
        <v>51</v>
      </c>
      <c r="AK4819" t="s">
        <v>52</v>
      </c>
      <c r="AP4819" t="s">
        <v>541</v>
      </c>
    </row>
    <row r="4820" spans="1:42">
      <c r="A4820" s="1">
        <v>43847</v>
      </c>
      <c r="B4820">
        <v>4</v>
      </c>
      <c r="C4820">
        <v>200</v>
      </c>
      <c r="D4820">
        <v>10218</v>
      </c>
      <c r="E4820" t="s">
        <v>37</v>
      </c>
      <c r="F4820" t="s">
        <v>90</v>
      </c>
      <c r="G4820">
        <v>2</v>
      </c>
      <c r="H4820">
        <v>23</v>
      </c>
      <c r="I4820" s="25">
        <v>971</v>
      </c>
      <c r="K4820" t="s">
        <v>394</v>
      </c>
      <c r="L4820" t="s">
        <v>141</v>
      </c>
      <c r="M4820" t="s">
        <v>95</v>
      </c>
      <c r="N4820" t="s">
        <v>40</v>
      </c>
      <c r="O4820">
        <v>254</v>
      </c>
      <c r="Q4820">
        <f t="shared" si="74"/>
        <v>7</v>
      </c>
      <c r="R4820">
        <v>1</v>
      </c>
      <c r="S4820">
        <v>0</v>
      </c>
      <c r="T4820">
        <v>0</v>
      </c>
      <c r="U4820">
        <v>0</v>
      </c>
      <c r="V4820">
        <v>0</v>
      </c>
      <c r="W4820">
        <v>7</v>
      </c>
      <c r="X4820" s="21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J4820" t="s">
        <v>51</v>
      </c>
      <c r="AK4820" t="s">
        <v>52</v>
      </c>
      <c r="AP4820" t="s">
        <v>541</v>
      </c>
    </row>
    <row r="4821" spans="1:42">
      <c r="A4821" s="1">
        <v>43847</v>
      </c>
      <c r="B4821">
        <v>4</v>
      </c>
      <c r="C4821">
        <v>200</v>
      </c>
      <c r="D4821">
        <v>10218</v>
      </c>
      <c r="E4821" t="s">
        <v>37</v>
      </c>
      <c r="F4821" t="s">
        <v>90</v>
      </c>
      <c r="G4821">
        <v>2</v>
      </c>
      <c r="H4821">
        <v>24</v>
      </c>
      <c r="I4821" s="25">
        <v>973</v>
      </c>
      <c r="K4821" t="s">
        <v>394</v>
      </c>
      <c r="L4821" t="s">
        <v>141</v>
      </c>
      <c r="M4821" t="s">
        <v>52</v>
      </c>
      <c r="N4821" t="s">
        <v>40</v>
      </c>
      <c r="O4821">
        <v>27</v>
      </c>
      <c r="Q4821">
        <f t="shared" si="74"/>
        <v>2</v>
      </c>
      <c r="R4821">
        <v>1</v>
      </c>
      <c r="S4821">
        <v>0</v>
      </c>
      <c r="T4821">
        <v>0</v>
      </c>
      <c r="U4821">
        <v>0</v>
      </c>
      <c r="V4821">
        <v>2</v>
      </c>
      <c r="W4821">
        <v>0</v>
      </c>
      <c r="X4821" s="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J4821" t="s">
        <v>51</v>
      </c>
      <c r="AK4821" t="s">
        <v>52</v>
      </c>
      <c r="AP4821" t="s">
        <v>541</v>
      </c>
    </row>
    <row r="4822" spans="1:42">
      <c r="A4822" s="1">
        <v>43847</v>
      </c>
      <c r="B4822">
        <v>4</v>
      </c>
      <c r="C4822">
        <v>200</v>
      </c>
      <c r="D4822">
        <v>10218</v>
      </c>
      <c r="E4822" t="s">
        <v>37</v>
      </c>
      <c r="F4822" t="s">
        <v>90</v>
      </c>
      <c r="G4822">
        <v>2</v>
      </c>
      <c r="H4822">
        <v>25</v>
      </c>
      <c r="I4822" s="25">
        <v>957</v>
      </c>
      <c r="K4822" t="s">
        <v>394</v>
      </c>
      <c r="L4822" t="s">
        <v>141</v>
      </c>
      <c r="M4822" t="s">
        <v>52</v>
      </c>
      <c r="N4822" t="s">
        <v>40</v>
      </c>
      <c r="O4822">
        <v>240</v>
      </c>
      <c r="Q4822">
        <f t="shared" si="74"/>
        <v>8</v>
      </c>
      <c r="R4822">
        <v>1</v>
      </c>
      <c r="S4822">
        <v>0</v>
      </c>
      <c r="T4822">
        <v>0</v>
      </c>
      <c r="U4822">
        <v>0</v>
      </c>
      <c r="V4822">
        <v>0</v>
      </c>
      <c r="W4822">
        <v>8</v>
      </c>
      <c r="X4822" s="21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J4822" t="s">
        <v>51</v>
      </c>
      <c r="AK4822" t="s">
        <v>52</v>
      </c>
      <c r="AP4822" t="s">
        <v>541</v>
      </c>
    </row>
    <row r="4823" spans="1:42">
      <c r="A4823" s="1">
        <v>43847</v>
      </c>
      <c r="B4823">
        <v>4</v>
      </c>
      <c r="C4823">
        <v>200</v>
      </c>
      <c r="D4823">
        <v>10218</v>
      </c>
      <c r="E4823" t="s">
        <v>37</v>
      </c>
      <c r="F4823" t="s">
        <v>90</v>
      </c>
      <c r="G4823">
        <v>2</v>
      </c>
      <c r="H4823">
        <v>26</v>
      </c>
      <c r="I4823" s="25">
        <v>165</v>
      </c>
      <c r="K4823" t="s">
        <v>501</v>
      </c>
      <c r="L4823" t="s">
        <v>141</v>
      </c>
      <c r="M4823" t="s">
        <v>52</v>
      </c>
      <c r="N4823" t="s">
        <v>40</v>
      </c>
      <c r="O4823">
        <v>75</v>
      </c>
      <c r="Q4823">
        <f t="shared" si="74"/>
        <v>4</v>
      </c>
      <c r="R4823">
        <v>1</v>
      </c>
      <c r="S4823">
        <v>0</v>
      </c>
      <c r="T4823">
        <v>0</v>
      </c>
      <c r="U4823">
        <v>0</v>
      </c>
      <c r="V4823">
        <v>4</v>
      </c>
      <c r="W4823">
        <v>0</v>
      </c>
      <c r="X4823" s="21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J4823" t="s">
        <v>51</v>
      </c>
      <c r="AK4823" t="s">
        <v>95</v>
      </c>
      <c r="AP4823" t="s">
        <v>541</v>
      </c>
    </row>
    <row r="4824" spans="1:42">
      <c r="A4824" s="1">
        <v>43847</v>
      </c>
      <c r="B4824">
        <v>4</v>
      </c>
      <c r="C4824">
        <v>200</v>
      </c>
      <c r="D4824">
        <v>10218</v>
      </c>
      <c r="E4824" t="s">
        <v>37</v>
      </c>
      <c r="F4824" t="s">
        <v>90</v>
      </c>
      <c r="G4824">
        <v>2</v>
      </c>
      <c r="H4824">
        <v>27</v>
      </c>
      <c r="I4824" s="25">
        <v>161</v>
      </c>
      <c r="K4824" t="s">
        <v>501</v>
      </c>
      <c r="L4824" t="s">
        <v>141</v>
      </c>
      <c r="M4824" t="s">
        <v>52</v>
      </c>
      <c r="N4824" t="s">
        <v>40</v>
      </c>
      <c r="O4824">
        <v>74</v>
      </c>
      <c r="Q4824">
        <f t="shared" si="74"/>
        <v>4</v>
      </c>
      <c r="R4824">
        <v>1</v>
      </c>
      <c r="S4824">
        <v>0</v>
      </c>
      <c r="T4824">
        <v>0</v>
      </c>
      <c r="U4824">
        <v>0</v>
      </c>
      <c r="V4824">
        <v>0</v>
      </c>
      <c r="W4824">
        <v>4</v>
      </c>
      <c r="X4824" s="21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J4824" t="s">
        <v>51</v>
      </c>
      <c r="AK4824" t="s">
        <v>95</v>
      </c>
      <c r="AP4824" t="s">
        <v>541</v>
      </c>
    </row>
    <row r="4825" spans="1:42">
      <c r="A4825" s="1">
        <v>43847</v>
      </c>
      <c r="B4825">
        <v>4</v>
      </c>
      <c r="C4825">
        <v>200</v>
      </c>
      <c r="D4825">
        <v>10218</v>
      </c>
      <c r="E4825" t="s">
        <v>37</v>
      </c>
      <c r="F4825" t="s">
        <v>90</v>
      </c>
      <c r="G4825">
        <v>2</v>
      </c>
      <c r="H4825">
        <v>28</v>
      </c>
      <c r="I4825" s="25">
        <v>55</v>
      </c>
      <c r="K4825" t="s">
        <v>71</v>
      </c>
      <c r="L4825" t="s">
        <v>141</v>
      </c>
      <c r="M4825" t="s">
        <v>52</v>
      </c>
      <c r="N4825" t="s">
        <v>40</v>
      </c>
      <c r="O4825">
        <v>60</v>
      </c>
      <c r="Q4825">
        <f t="shared" si="74"/>
        <v>2</v>
      </c>
      <c r="R4825">
        <v>1</v>
      </c>
      <c r="S4825">
        <v>0</v>
      </c>
      <c r="T4825">
        <v>0</v>
      </c>
      <c r="U4825">
        <v>0</v>
      </c>
      <c r="V4825">
        <v>0</v>
      </c>
      <c r="W4825">
        <v>2</v>
      </c>
      <c r="X4825" s="21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J4825" t="s">
        <v>51</v>
      </c>
      <c r="AK4825" t="s">
        <v>95</v>
      </c>
      <c r="AP4825" t="s">
        <v>541</v>
      </c>
    </row>
    <row r="4826" spans="1:42">
      <c r="A4826" s="1">
        <v>43847</v>
      </c>
      <c r="B4826">
        <v>4</v>
      </c>
      <c r="C4826">
        <v>200</v>
      </c>
      <c r="D4826">
        <v>10218</v>
      </c>
      <c r="E4826" t="s">
        <v>37</v>
      </c>
      <c r="F4826" t="s">
        <v>90</v>
      </c>
      <c r="G4826">
        <v>2</v>
      </c>
      <c r="H4826">
        <v>29</v>
      </c>
      <c r="I4826" s="25">
        <v>654</v>
      </c>
      <c r="K4826" t="s">
        <v>394</v>
      </c>
      <c r="L4826" t="s">
        <v>114</v>
      </c>
      <c r="M4826" t="s">
        <v>95</v>
      </c>
      <c r="N4826" t="s">
        <v>40</v>
      </c>
      <c r="O4826">
        <v>225</v>
      </c>
      <c r="Q4826">
        <f t="shared" si="74"/>
        <v>10</v>
      </c>
      <c r="R4826">
        <v>1</v>
      </c>
      <c r="S4826">
        <v>0</v>
      </c>
      <c r="T4826">
        <v>0</v>
      </c>
      <c r="U4826">
        <v>0</v>
      </c>
      <c r="V4826">
        <v>6</v>
      </c>
      <c r="W4826">
        <v>4</v>
      </c>
      <c r="X4826" s="21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J4826" t="s">
        <v>51</v>
      </c>
      <c r="AK4826" t="s">
        <v>95</v>
      </c>
      <c r="AP4826" t="s">
        <v>541</v>
      </c>
    </row>
    <row r="4827" spans="1:42">
      <c r="A4827" s="1">
        <v>43847</v>
      </c>
      <c r="B4827">
        <v>4</v>
      </c>
      <c r="C4827">
        <v>200</v>
      </c>
      <c r="D4827">
        <v>10218</v>
      </c>
      <c r="E4827" t="s">
        <v>37</v>
      </c>
      <c r="F4827" t="s">
        <v>90</v>
      </c>
      <c r="G4827">
        <v>2</v>
      </c>
      <c r="H4827">
        <v>30</v>
      </c>
      <c r="I4827" s="25">
        <v>5</v>
      </c>
      <c r="K4827" t="s">
        <v>389</v>
      </c>
      <c r="L4827" t="s">
        <v>141</v>
      </c>
      <c r="M4827" t="s">
        <v>52</v>
      </c>
      <c r="N4827" t="s">
        <v>40</v>
      </c>
      <c r="O4827">
        <v>282</v>
      </c>
      <c r="Q4827">
        <f t="shared" si="74"/>
        <v>12</v>
      </c>
      <c r="R4827">
        <v>1</v>
      </c>
      <c r="S4827">
        <v>0</v>
      </c>
      <c r="T4827">
        <v>0</v>
      </c>
      <c r="U4827">
        <v>0</v>
      </c>
      <c r="V4827">
        <v>0</v>
      </c>
      <c r="W4827">
        <v>12</v>
      </c>
      <c r="X4827" s="21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J4827" t="s">
        <v>51</v>
      </c>
      <c r="AK4827" t="s">
        <v>95</v>
      </c>
      <c r="AP4827" t="s">
        <v>541</v>
      </c>
    </row>
    <row r="4828" spans="1:42">
      <c r="A4828" s="1">
        <v>43847</v>
      </c>
      <c r="B4828">
        <v>4</v>
      </c>
      <c r="C4828">
        <v>200</v>
      </c>
      <c r="D4828">
        <v>10218</v>
      </c>
      <c r="E4828" t="s">
        <v>37</v>
      </c>
      <c r="F4828" t="s">
        <v>90</v>
      </c>
      <c r="G4828">
        <v>2</v>
      </c>
      <c r="H4828">
        <v>31</v>
      </c>
      <c r="I4828" s="25"/>
      <c r="K4828" t="s">
        <v>621</v>
      </c>
      <c r="M4828" t="s">
        <v>52</v>
      </c>
      <c r="N4828" t="s">
        <v>40</v>
      </c>
      <c r="O4828">
        <v>63</v>
      </c>
      <c r="Q4828">
        <f t="shared" si="74"/>
        <v>4</v>
      </c>
      <c r="R4828">
        <v>1</v>
      </c>
      <c r="S4828">
        <v>0</v>
      </c>
      <c r="T4828">
        <v>0</v>
      </c>
      <c r="U4828">
        <v>0</v>
      </c>
      <c r="V4828">
        <v>0</v>
      </c>
      <c r="W4828">
        <v>4</v>
      </c>
      <c r="X4828" s="21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J4828" t="s">
        <v>51</v>
      </c>
      <c r="AK4828" t="s">
        <v>95</v>
      </c>
      <c r="AP4828" t="s">
        <v>541</v>
      </c>
    </row>
    <row r="4829" spans="1:42">
      <c r="A4829" s="1">
        <v>43847</v>
      </c>
      <c r="B4829">
        <v>4</v>
      </c>
      <c r="C4829">
        <v>200</v>
      </c>
      <c r="D4829">
        <v>10218</v>
      </c>
      <c r="E4829" t="s">
        <v>37</v>
      </c>
      <c r="F4829" t="s">
        <v>90</v>
      </c>
      <c r="G4829">
        <v>2</v>
      </c>
      <c r="H4829">
        <v>32</v>
      </c>
      <c r="I4829" s="25">
        <v>731</v>
      </c>
      <c r="K4829" t="s">
        <v>73</v>
      </c>
      <c r="L4829" t="s">
        <v>141</v>
      </c>
      <c r="M4829" t="s">
        <v>52</v>
      </c>
      <c r="N4829" t="s">
        <v>40</v>
      </c>
      <c r="O4829">
        <v>160</v>
      </c>
      <c r="Q4829">
        <f t="shared" si="74"/>
        <v>7</v>
      </c>
      <c r="R4829">
        <v>1</v>
      </c>
      <c r="S4829">
        <v>0</v>
      </c>
      <c r="T4829">
        <v>0</v>
      </c>
      <c r="U4829">
        <v>0</v>
      </c>
      <c r="V4829">
        <v>0</v>
      </c>
      <c r="W4829">
        <v>7</v>
      </c>
      <c r="X4829" s="21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J4829" t="s">
        <v>51</v>
      </c>
      <c r="AK4829" t="s">
        <v>95</v>
      </c>
      <c r="AP4829" t="s">
        <v>541</v>
      </c>
    </row>
    <row r="4830" spans="1:42">
      <c r="A4830" s="1">
        <v>43847</v>
      </c>
      <c r="B4830">
        <v>4</v>
      </c>
      <c r="C4830">
        <v>200</v>
      </c>
      <c r="D4830">
        <v>10218</v>
      </c>
      <c r="E4830" t="s">
        <v>37</v>
      </c>
      <c r="F4830" t="s">
        <v>90</v>
      </c>
      <c r="G4830">
        <v>2</v>
      </c>
      <c r="H4830">
        <v>33</v>
      </c>
      <c r="I4830" s="25">
        <v>700</v>
      </c>
      <c r="K4830" t="s">
        <v>73</v>
      </c>
      <c r="L4830" t="s">
        <v>114</v>
      </c>
      <c r="M4830" t="s">
        <v>52</v>
      </c>
      <c r="N4830" t="s">
        <v>40</v>
      </c>
      <c r="O4830">
        <v>150</v>
      </c>
      <c r="Q4830">
        <f t="shared" si="74"/>
        <v>7</v>
      </c>
      <c r="R4830">
        <v>1</v>
      </c>
      <c r="S4830">
        <v>0</v>
      </c>
      <c r="T4830">
        <v>0</v>
      </c>
      <c r="U4830">
        <v>0</v>
      </c>
      <c r="V4830">
        <v>1</v>
      </c>
      <c r="W4830">
        <v>6</v>
      </c>
      <c r="X4830" s="21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J4830" t="s">
        <v>51</v>
      </c>
      <c r="AK4830" t="s">
        <v>95</v>
      </c>
      <c r="AP4830" t="s">
        <v>541</v>
      </c>
    </row>
    <row r="4831" spans="1:42">
      <c r="A4831" s="1">
        <v>43847</v>
      </c>
      <c r="B4831">
        <v>4</v>
      </c>
      <c r="C4831">
        <v>200</v>
      </c>
      <c r="D4831">
        <v>10218</v>
      </c>
      <c r="E4831" t="s">
        <v>37</v>
      </c>
      <c r="F4831" t="s">
        <v>90</v>
      </c>
      <c r="G4831">
        <v>2</v>
      </c>
      <c r="H4831">
        <v>34</v>
      </c>
      <c r="I4831" s="25">
        <v>580</v>
      </c>
      <c r="K4831" t="s">
        <v>380</v>
      </c>
      <c r="L4831" t="s">
        <v>114</v>
      </c>
      <c r="M4831" t="s">
        <v>52</v>
      </c>
      <c r="N4831" t="s">
        <v>40</v>
      </c>
      <c r="O4831">
        <v>87</v>
      </c>
      <c r="Q4831">
        <f t="shared" si="74"/>
        <v>4</v>
      </c>
      <c r="R4831">
        <v>1</v>
      </c>
      <c r="S4831">
        <v>0</v>
      </c>
      <c r="T4831">
        <v>0</v>
      </c>
      <c r="U4831">
        <v>2</v>
      </c>
      <c r="V4831">
        <v>0</v>
      </c>
      <c r="W4831">
        <v>2</v>
      </c>
      <c r="X4831" s="2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J4831" t="s">
        <v>51</v>
      </c>
      <c r="AK4831" t="s">
        <v>95</v>
      </c>
      <c r="AP4831" t="s">
        <v>541</v>
      </c>
    </row>
    <row r="4832" spans="1:42">
      <c r="A4832" s="1">
        <v>43847</v>
      </c>
      <c r="B4832">
        <v>4</v>
      </c>
      <c r="C4832">
        <v>200</v>
      </c>
      <c r="D4832">
        <v>10218</v>
      </c>
      <c r="E4832" t="s">
        <v>37</v>
      </c>
      <c r="F4832" t="s">
        <v>90</v>
      </c>
      <c r="G4832">
        <v>2</v>
      </c>
      <c r="H4832">
        <v>35</v>
      </c>
      <c r="I4832" s="25">
        <v>92</v>
      </c>
      <c r="K4832" t="s">
        <v>380</v>
      </c>
      <c r="L4832" t="s">
        <v>114</v>
      </c>
      <c r="M4832" t="s">
        <v>52</v>
      </c>
      <c r="N4832" t="s">
        <v>40</v>
      </c>
      <c r="O4832">
        <v>252</v>
      </c>
      <c r="Q4832">
        <f t="shared" si="74"/>
        <v>7</v>
      </c>
      <c r="R4832">
        <v>1</v>
      </c>
      <c r="S4832">
        <v>0</v>
      </c>
      <c r="T4832">
        <v>0</v>
      </c>
      <c r="U4832">
        <v>5</v>
      </c>
      <c r="V4832">
        <v>0</v>
      </c>
      <c r="W4832">
        <v>2</v>
      </c>
      <c r="X4832" s="21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J4832" t="s">
        <v>51</v>
      </c>
      <c r="AK4832" t="s">
        <v>95</v>
      </c>
      <c r="AP4832" t="s">
        <v>541</v>
      </c>
    </row>
    <row r="4833" spans="1:42">
      <c r="A4833" s="1">
        <v>43847</v>
      </c>
      <c r="B4833">
        <v>4</v>
      </c>
      <c r="C4833">
        <v>200</v>
      </c>
      <c r="D4833">
        <v>10218</v>
      </c>
      <c r="E4833" t="s">
        <v>37</v>
      </c>
      <c r="F4833" t="s">
        <v>90</v>
      </c>
      <c r="G4833">
        <v>2</v>
      </c>
      <c r="H4833">
        <v>36</v>
      </c>
      <c r="I4833" s="25">
        <v>122</v>
      </c>
      <c r="K4833" t="s">
        <v>500</v>
      </c>
      <c r="L4833" t="s">
        <v>114</v>
      </c>
      <c r="M4833" t="s">
        <v>95</v>
      </c>
      <c r="N4833" t="s">
        <v>40</v>
      </c>
      <c r="O4833">
        <v>510</v>
      </c>
      <c r="Q4833">
        <f t="shared" si="74"/>
        <v>24</v>
      </c>
      <c r="R4833">
        <v>1</v>
      </c>
      <c r="S4833">
        <v>0</v>
      </c>
      <c r="T4833">
        <v>0</v>
      </c>
      <c r="U4833">
        <v>0</v>
      </c>
      <c r="V4833">
        <v>0</v>
      </c>
      <c r="W4833">
        <v>24</v>
      </c>
      <c r="X4833" s="21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J4833" t="s">
        <v>51</v>
      </c>
      <c r="AK4833" t="s">
        <v>95</v>
      </c>
      <c r="AP4833" t="s">
        <v>541</v>
      </c>
    </row>
    <row r="4834" spans="1:42">
      <c r="A4834" s="1">
        <v>43847</v>
      </c>
      <c r="B4834">
        <v>4</v>
      </c>
      <c r="C4834">
        <v>200</v>
      </c>
      <c r="D4834">
        <v>10218</v>
      </c>
      <c r="E4834" t="s">
        <v>37</v>
      </c>
      <c r="F4834" t="s">
        <v>90</v>
      </c>
      <c r="G4834">
        <v>2</v>
      </c>
      <c r="H4834">
        <v>37</v>
      </c>
      <c r="I4834" s="25">
        <v>126</v>
      </c>
      <c r="K4834" t="s">
        <v>399</v>
      </c>
      <c r="L4834" t="s">
        <v>114</v>
      </c>
      <c r="M4834" t="s">
        <v>95</v>
      </c>
      <c r="N4834" t="s">
        <v>40</v>
      </c>
      <c r="O4834">
        <v>648</v>
      </c>
      <c r="Q4834">
        <f t="shared" si="74"/>
        <v>17</v>
      </c>
      <c r="R4834">
        <v>1</v>
      </c>
      <c r="S4834">
        <v>1</v>
      </c>
      <c r="T4834">
        <v>0</v>
      </c>
      <c r="U4834">
        <v>0</v>
      </c>
      <c r="V4834">
        <v>1</v>
      </c>
      <c r="W4834">
        <v>15</v>
      </c>
      <c r="X4834" s="21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J4834" t="s">
        <v>51</v>
      </c>
      <c r="AK4834" t="s">
        <v>95</v>
      </c>
      <c r="AP4834" t="s">
        <v>541</v>
      </c>
    </row>
    <row r="4835" spans="1:42">
      <c r="A4835" s="1">
        <v>43847</v>
      </c>
      <c r="B4835">
        <v>4</v>
      </c>
      <c r="C4835">
        <v>200</v>
      </c>
      <c r="D4835">
        <v>10218</v>
      </c>
      <c r="E4835" t="s">
        <v>37</v>
      </c>
      <c r="F4835" t="s">
        <v>90</v>
      </c>
      <c r="G4835">
        <v>2</v>
      </c>
      <c r="H4835">
        <v>38</v>
      </c>
      <c r="I4835" s="25">
        <v>100</v>
      </c>
      <c r="K4835" t="s">
        <v>399</v>
      </c>
      <c r="L4835" t="s">
        <v>114</v>
      </c>
      <c r="M4835" t="s">
        <v>52</v>
      </c>
      <c r="N4835" t="s">
        <v>40</v>
      </c>
      <c r="O4835">
        <v>360</v>
      </c>
      <c r="Q4835">
        <f t="shared" si="74"/>
        <v>11</v>
      </c>
      <c r="R4835">
        <v>1</v>
      </c>
      <c r="S4835">
        <v>0</v>
      </c>
      <c r="T4835">
        <v>0</v>
      </c>
      <c r="U4835">
        <v>0</v>
      </c>
      <c r="V4835">
        <v>0</v>
      </c>
      <c r="W4835">
        <v>11</v>
      </c>
      <c r="X4835" s="21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1</v>
      </c>
      <c r="AG4835">
        <v>0</v>
      </c>
      <c r="AJ4835" t="s">
        <v>51</v>
      </c>
      <c r="AK4835" t="s">
        <v>52</v>
      </c>
      <c r="AL4835" t="s">
        <v>622</v>
      </c>
      <c r="AP4835" t="s">
        <v>541</v>
      </c>
    </row>
    <row r="4836" spans="1:42">
      <c r="A4836" s="1">
        <v>43847</v>
      </c>
      <c r="B4836">
        <v>4</v>
      </c>
      <c r="C4836">
        <v>542</v>
      </c>
      <c r="D4836">
        <v>10226</v>
      </c>
      <c r="E4836" t="s">
        <v>37</v>
      </c>
      <c r="F4836" t="s">
        <v>520</v>
      </c>
      <c r="G4836">
        <v>2</v>
      </c>
      <c r="H4836">
        <v>1</v>
      </c>
      <c r="I4836" s="25">
        <v>551</v>
      </c>
      <c r="K4836" t="s">
        <v>389</v>
      </c>
      <c r="L4836" t="s">
        <v>141</v>
      </c>
      <c r="M4836" t="s">
        <v>52</v>
      </c>
      <c r="N4836" t="s">
        <v>44</v>
      </c>
      <c r="O4836">
        <v>380</v>
      </c>
      <c r="Q4836">
        <f t="shared" si="74"/>
        <v>1</v>
      </c>
      <c r="R4836">
        <v>1</v>
      </c>
      <c r="S4836">
        <v>0</v>
      </c>
      <c r="T4836">
        <v>0</v>
      </c>
      <c r="U4836">
        <v>0</v>
      </c>
      <c r="V4836">
        <v>0</v>
      </c>
      <c r="W4836">
        <v>0</v>
      </c>
      <c r="X4836" s="21">
        <v>0</v>
      </c>
      <c r="Y4836">
        <v>0</v>
      </c>
      <c r="Z4836">
        <v>0</v>
      </c>
      <c r="AA4836">
        <v>1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J4836" t="s">
        <v>51</v>
      </c>
      <c r="AK4836" t="s">
        <v>95</v>
      </c>
      <c r="AL4836" t="s">
        <v>1575</v>
      </c>
      <c r="AP4836" t="s">
        <v>541</v>
      </c>
    </row>
    <row r="4837" spans="1:42">
      <c r="A4837" s="1">
        <v>43847</v>
      </c>
      <c r="B4837">
        <v>4</v>
      </c>
      <c r="C4837">
        <v>542</v>
      </c>
      <c r="D4837">
        <v>10226</v>
      </c>
      <c r="E4837" t="s">
        <v>37</v>
      </c>
      <c r="F4837" t="s">
        <v>520</v>
      </c>
      <c r="G4837">
        <v>2</v>
      </c>
      <c r="H4837">
        <v>2</v>
      </c>
      <c r="I4837" s="25">
        <v>340</v>
      </c>
      <c r="K4837" t="s">
        <v>387</v>
      </c>
      <c r="L4837" t="s">
        <v>114</v>
      </c>
      <c r="M4837" t="s">
        <v>52</v>
      </c>
      <c r="N4837" t="s">
        <v>44</v>
      </c>
      <c r="O4837">
        <v>216</v>
      </c>
      <c r="Q4837">
        <f t="shared" si="74"/>
        <v>2</v>
      </c>
      <c r="R4837">
        <v>1</v>
      </c>
      <c r="S4837">
        <v>0</v>
      </c>
      <c r="T4837">
        <v>0</v>
      </c>
      <c r="U4837">
        <v>0</v>
      </c>
      <c r="V4837">
        <v>0</v>
      </c>
      <c r="W4837">
        <v>0</v>
      </c>
      <c r="X4837" s="21">
        <v>0</v>
      </c>
      <c r="Y4837">
        <v>0</v>
      </c>
      <c r="Z4837">
        <v>0</v>
      </c>
      <c r="AA4837">
        <v>2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J4837" t="s">
        <v>51</v>
      </c>
      <c r="AK4837" t="s">
        <v>95</v>
      </c>
      <c r="AL4837" t="s">
        <v>1576</v>
      </c>
      <c r="AP4837" t="s">
        <v>541</v>
      </c>
    </row>
    <row r="4838" spans="1:42">
      <c r="A4838" s="1">
        <v>43847</v>
      </c>
      <c r="B4838">
        <v>4</v>
      </c>
      <c r="C4838">
        <v>542</v>
      </c>
      <c r="D4838">
        <v>10226</v>
      </c>
      <c r="E4838" t="s">
        <v>37</v>
      </c>
      <c r="F4838" t="s">
        <v>520</v>
      </c>
      <c r="G4838">
        <v>2</v>
      </c>
      <c r="H4838">
        <v>3</v>
      </c>
      <c r="I4838" s="25">
        <v>333</v>
      </c>
      <c r="K4838" t="s">
        <v>387</v>
      </c>
      <c r="L4838" t="s">
        <v>141</v>
      </c>
      <c r="M4838" t="s">
        <v>52</v>
      </c>
      <c r="N4838" t="s">
        <v>44</v>
      </c>
      <c r="O4838">
        <v>174</v>
      </c>
      <c r="Q4838">
        <f t="shared" si="74"/>
        <v>1</v>
      </c>
      <c r="R4838">
        <v>1</v>
      </c>
      <c r="S4838">
        <v>0</v>
      </c>
      <c r="T4838">
        <v>0</v>
      </c>
      <c r="U4838">
        <v>0</v>
      </c>
      <c r="V4838">
        <v>0</v>
      </c>
      <c r="W4838">
        <v>0</v>
      </c>
      <c r="X4838" s="21">
        <v>0</v>
      </c>
      <c r="Y4838">
        <v>0</v>
      </c>
      <c r="Z4838">
        <v>0</v>
      </c>
      <c r="AA4838">
        <v>1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J4838" t="s">
        <v>51</v>
      </c>
      <c r="AK4838" t="s">
        <v>95</v>
      </c>
      <c r="AL4838" t="s">
        <v>1577</v>
      </c>
      <c r="AP4838" t="s">
        <v>541</v>
      </c>
    </row>
    <row r="4839" spans="1:42">
      <c r="A4839" s="1">
        <v>43847</v>
      </c>
      <c r="B4839">
        <v>4</v>
      </c>
      <c r="C4839">
        <v>542</v>
      </c>
      <c r="D4839">
        <v>10226</v>
      </c>
      <c r="E4839" t="s">
        <v>37</v>
      </c>
      <c r="F4839" t="s">
        <v>520</v>
      </c>
      <c r="G4839">
        <v>2</v>
      </c>
      <c r="H4839">
        <v>4</v>
      </c>
      <c r="I4839" s="25">
        <v>380</v>
      </c>
      <c r="K4839" t="s">
        <v>504</v>
      </c>
      <c r="L4839" t="s">
        <v>114</v>
      </c>
      <c r="M4839" t="s">
        <v>52</v>
      </c>
      <c r="N4839" t="s">
        <v>44</v>
      </c>
      <c r="O4839">
        <v>180</v>
      </c>
      <c r="Q4839">
        <f t="shared" si="74"/>
        <v>6</v>
      </c>
      <c r="R4839">
        <v>1</v>
      </c>
      <c r="S4839">
        <v>0</v>
      </c>
      <c r="T4839">
        <v>0</v>
      </c>
      <c r="U4839">
        <v>0</v>
      </c>
      <c r="V4839">
        <v>0</v>
      </c>
      <c r="W4839">
        <v>6</v>
      </c>
      <c r="X4839" s="21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J4839" t="s">
        <v>51</v>
      </c>
      <c r="AK4839" t="s">
        <v>95</v>
      </c>
      <c r="AL4839" t="s">
        <v>1578</v>
      </c>
      <c r="AP4839" t="s">
        <v>541</v>
      </c>
    </row>
    <row r="4840" spans="1:42">
      <c r="A4840" s="1">
        <v>43847</v>
      </c>
      <c r="B4840">
        <v>4</v>
      </c>
      <c r="C4840">
        <v>542</v>
      </c>
      <c r="D4840">
        <v>10226</v>
      </c>
      <c r="E4840" t="s">
        <v>37</v>
      </c>
      <c r="F4840" t="s">
        <v>520</v>
      </c>
      <c r="G4840">
        <v>2</v>
      </c>
      <c r="H4840">
        <v>5</v>
      </c>
      <c r="I4840" s="25">
        <v>211</v>
      </c>
      <c r="K4840" t="s">
        <v>107</v>
      </c>
      <c r="L4840" t="s">
        <v>141</v>
      </c>
      <c r="M4840" t="s">
        <v>52</v>
      </c>
      <c r="N4840" t="s">
        <v>44</v>
      </c>
      <c r="O4840">
        <v>58</v>
      </c>
      <c r="Q4840">
        <f t="shared" si="74"/>
        <v>0</v>
      </c>
      <c r="R4840">
        <v>1</v>
      </c>
      <c r="S4840">
        <v>0</v>
      </c>
      <c r="T4840">
        <v>0</v>
      </c>
      <c r="U4840">
        <v>0</v>
      </c>
      <c r="V4840">
        <v>0</v>
      </c>
      <c r="W4840">
        <v>0</v>
      </c>
      <c r="X4840" s="21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J4840" t="s">
        <v>51</v>
      </c>
      <c r="AK4840" t="s">
        <v>95</v>
      </c>
      <c r="AL4840" t="s">
        <v>1578</v>
      </c>
      <c r="AP4840" t="s">
        <v>541</v>
      </c>
    </row>
    <row r="4841" spans="1:42">
      <c r="A4841" s="1">
        <v>43847</v>
      </c>
      <c r="B4841">
        <v>4</v>
      </c>
      <c r="C4841">
        <v>542</v>
      </c>
      <c r="D4841">
        <v>10226</v>
      </c>
      <c r="E4841" t="s">
        <v>37</v>
      </c>
      <c r="F4841" t="s">
        <v>520</v>
      </c>
      <c r="G4841">
        <v>2</v>
      </c>
      <c r="H4841">
        <v>6</v>
      </c>
      <c r="I4841" s="25">
        <v>45</v>
      </c>
      <c r="K4841" t="s">
        <v>1579</v>
      </c>
      <c r="L4841" t="s">
        <v>141</v>
      </c>
      <c r="M4841" t="s">
        <v>52</v>
      </c>
      <c r="N4841" t="s">
        <v>44</v>
      </c>
      <c r="O4841">
        <v>162</v>
      </c>
      <c r="Q4841">
        <f t="shared" si="74"/>
        <v>1</v>
      </c>
      <c r="R4841">
        <v>1</v>
      </c>
      <c r="S4841">
        <v>0</v>
      </c>
      <c r="T4841">
        <v>0</v>
      </c>
      <c r="U4841">
        <v>0</v>
      </c>
      <c r="V4841">
        <v>0</v>
      </c>
      <c r="W4841">
        <v>0</v>
      </c>
      <c r="X4841" s="21">
        <v>0</v>
      </c>
      <c r="Y4841">
        <v>0</v>
      </c>
      <c r="Z4841">
        <v>0</v>
      </c>
      <c r="AA4841">
        <v>1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J4841" t="s">
        <v>51</v>
      </c>
      <c r="AK4841" t="s">
        <v>95</v>
      </c>
      <c r="AL4841" t="s">
        <v>611</v>
      </c>
      <c r="AP4841" t="s">
        <v>541</v>
      </c>
    </row>
    <row r="4842" spans="1:42">
      <c r="A4842" s="1">
        <v>43847</v>
      </c>
      <c r="B4842">
        <v>4</v>
      </c>
      <c r="C4842">
        <v>542</v>
      </c>
      <c r="D4842">
        <v>10226</v>
      </c>
      <c r="E4842" t="s">
        <v>37</v>
      </c>
      <c r="F4842" t="s">
        <v>520</v>
      </c>
      <c r="G4842">
        <v>2</v>
      </c>
      <c r="H4842">
        <v>7</v>
      </c>
      <c r="I4842" s="25" t="s">
        <v>1580</v>
      </c>
      <c r="K4842" t="s">
        <v>387</v>
      </c>
      <c r="L4842" t="s">
        <v>114</v>
      </c>
      <c r="M4842" t="s">
        <v>52</v>
      </c>
      <c r="N4842" t="s">
        <v>44</v>
      </c>
      <c r="O4842">
        <v>397</v>
      </c>
      <c r="Q4842">
        <f t="shared" si="74"/>
        <v>7</v>
      </c>
      <c r="R4842">
        <v>1</v>
      </c>
      <c r="S4842">
        <v>0</v>
      </c>
      <c r="T4842">
        <v>0</v>
      </c>
      <c r="U4842">
        <v>0</v>
      </c>
      <c r="V4842">
        <v>0</v>
      </c>
      <c r="W4842">
        <v>3</v>
      </c>
      <c r="X4842" s="21">
        <v>0</v>
      </c>
      <c r="Y4842">
        <v>1</v>
      </c>
      <c r="Z4842">
        <v>0</v>
      </c>
      <c r="AA4842">
        <v>3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J4842" t="s">
        <v>51</v>
      </c>
      <c r="AK4842" t="s">
        <v>95</v>
      </c>
      <c r="AL4842" t="s">
        <v>1581</v>
      </c>
      <c r="AP4842" t="s">
        <v>541</v>
      </c>
    </row>
    <row r="4843" spans="1:42">
      <c r="A4843" s="1">
        <v>43847</v>
      </c>
      <c r="B4843">
        <v>4</v>
      </c>
      <c r="C4843">
        <v>542</v>
      </c>
      <c r="D4843">
        <v>10226</v>
      </c>
      <c r="E4843" t="s">
        <v>37</v>
      </c>
      <c r="F4843" t="s">
        <v>520</v>
      </c>
      <c r="G4843">
        <v>2</v>
      </c>
      <c r="H4843">
        <v>8</v>
      </c>
      <c r="I4843" s="25">
        <v>0</v>
      </c>
      <c r="K4843" t="s">
        <v>1582</v>
      </c>
      <c r="M4843" t="s">
        <v>52</v>
      </c>
      <c r="N4843" t="s">
        <v>40</v>
      </c>
      <c r="O4843">
        <v>53</v>
      </c>
      <c r="Q4843">
        <f t="shared" si="74"/>
        <v>1</v>
      </c>
      <c r="R4843">
        <v>1</v>
      </c>
      <c r="S4843">
        <v>0</v>
      </c>
      <c r="T4843">
        <v>0</v>
      </c>
      <c r="U4843">
        <v>0</v>
      </c>
      <c r="V4843">
        <v>0</v>
      </c>
      <c r="W4843">
        <v>1</v>
      </c>
      <c r="X4843" s="21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J4843" t="s">
        <v>51</v>
      </c>
      <c r="AK4843" t="s">
        <v>95</v>
      </c>
      <c r="AP4843" t="s">
        <v>541</v>
      </c>
    </row>
    <row r="4844" spans="1:42">
      <c r="A4844" s="1">
        <v>43847</v>
      </c>
      <c r="B4844">
        <v>4</v>
      </c>
      <c r="C4844">
        <v>542</v>
      </c>
      <c r="D4844">
        <v>10226</v>
      </c>
      <c r="E4844" t="s">
        <v>37</v>
      </c>
      <c r="F4844" t="s">
        <v>520</v>
      </c>
      <c r="G4844">
        <v>2</v>
      </c>
      <c r="H4844">
        <v>9</v>
      </c>
      <c r="I4844" s="25" t="s">
        <v>1583</v>
      </c>
      <c r="K4844" t="s">
        <v>1584</v>
      </c>
      <c r="M4844" t="s">
        <v>52</v>
      </c>
      <c r="N4844" t="s">
        <v>40</v>
      </c>
      <c r="O4844">
        <v>114</v>
      </c>
      <c r="Q4844">
        <f t="shared" si="74"/>
        <v>3</v>
      </c>
      <c r="R4844">
        <v>1</v>
      </c>
      <c r="S4844">
        <v>0</v>
      </c>
      <c r="T4844">
        <v>0</v>
      </c>
      <c r="U4844">
        <v>0</v>
      </c>
      <c r="V4844">
        <v>0</v>
      </c>
      <c r="W4844">
        <v>3</v>
      </c>
      <c r="X4844" s="21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J4844" t="s">
        <v>51</v>
      </c>
      <c r="AK4844" t="s">
        <v>52</v>
      </c>
      <c r="AP4844" t="s">
        <v>541</v>
      </c>
    </row>
    <row r="4845" spans="1:42">
      <c r="A4845" s="1">
        <v>43847</v>
      </c>
      <c r="B4845">
        <v>4</v>
      </c>
      <c r="C4845">
        <v>542</v>
      </c>
      <c r="D4845">
        <v>10226</v>
      </c>
      <c r="E4845" t="s">
        <v>37</v>
      </c>
      <c r="F4845" t="s">
        <v>520</v>
      </c>
      <c r="G4845">
        <v>2</v>
      </c>
      <c r="H4845">
        <v>10</v>
      </c>
      <c r="I4845" s="25">
        <v>455</v>
      </c>
      <c r="K4845" t="s">
        <v>585</v>
      </c>
      <c r="L4845" t="s">
        <v>141</v>
      </c>
      <c r="M4845" t="s">
        <v>52</v>
      </c>
      <c r="N4845" t="s">
        <v>44</v>
      </c>
      <c r="O4845">
        <v>390</v>
      </c>
      <c r="Q4845">
        <f t="shared" si="74"/>
        <v>1</v>
      </c>
      <c r="R4845">
        <v>1</v>
      </c>
      <c r="S4845">
        <v>0</v>
      </c>
      <c r="T4845">
        <v>0</v>
      </c>
      <c r="U4845">
        <v>0</v>
      </c>
      <c r="V4845">
        <v>0</v>
      </c>
      <c r="W4845">
        <v>0</v>
      </c>
      <c r="X4845" s="21">
        <v>0</v>
      </c>
      <c r="Y4845">
        <v>1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J4845" t="s">
        <v>51</v>
      </c>
      <c r="AK4845" t="s">
        <v>95</v>
      </c>
      <c r="AP4845" t="s">
        <v>541</v>
      </c>
    </row>
    <row r="4846" spans="1:42">
      <c r="A4846" s="1">
        <v>43847</v>
      </c>
      <c r="B4846">
        <v>4</v>
      </c>
      <c r="C4846">
        <v>542</v>
      </c>
      <c r="D4846">
        <v>10226</v>
      </c>
      <c r="E4846" t="s">
        <v>37</v>
      </c>
      <c r="F4846" t="s">
        <v>520</v>
      </c>
      <c r="G4846">
        <v>2</v>
      </c>
      <c r="H4846">
        <v>11</v>
      </c>
      <c r="I4846" s="25">
        <v>150</v>
      </c>
      <c r="K4846" t="s">
        <v>324</v>
      </c>
      <c r="L4846" t="s">
        <v>114</v>
      </c>
      <c r="M4846" t="s">
        <v>52</v>
      </c>
      <c r="N4846" t="s">
        <v>44</v>
      </c>
      <c r="O4846">
        <v>0</v>
      </c>
      <c r="Q4846">
        <f t="shared" si="74"/>
        <v>1</v>
      </c>
      <c r="R4846">
        <v>1</v>
      </c>
      <c r="S4846">
        <v>0</v>
      </c>
      <c r="T4846">
        <v>0</v>
      </c>
      <c r="U4846">
        <v>0</v>
      </c>
      <c r="V4846">
        <v>0</v>
      </c>
      <c r="W4846">
        <v>0</v>
      </c>
      <c r="X4846" s="21">
        <v>0</v>
      </c>
      <c r="Y4846">
        <v>1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J4846" t="s">
        <v>51</v>
      </c>
      <c r="AK4846" t="s">
        <v>95</v>
      </c>
      <c r="AL4846" t="s">
        <v>1585</v>
      </c>
      <c r="AP4846" t="s">
        <v>541</v>
      </c>
    </row>
    <row r="4847" spans="1:42">
      <c r="A4847" s="1">
        <v>43847</v>
      </c>
      <c r="B4847">
        <v>4</v>
      </c>
      <c r="C4847">
        <v>542</v>
      </c>
      <c r="D4847">
        <v>10226</v>
      </c>
      <c r="E4847" t="s">
        <v>37</v>
      </c>
      <c r="F4847" t="s">
        <v>520</v>
      </c>
      <c r="G4847">
        <v>2</v>
      </c>
      <c r="H4847">
        <v>12</v>
      </c>
      <c r="I4847" s="25">
        <v>111</v>
      </c>
      <c r="K4847" t="s">
        <v>324</v>
      </c>
      <c r="L4847" t="s">
        <v>141</v>
      </c>
      <c r="M4847" t="s">
        <v>52</v>
      </c>
      <c r="N4847" t="s">
        <v>44</v>
      </c>
      <c r="O4847">
        <v>155</v>
      </c>
      <c r="Q4847">
        <f t="shared" si="74"/>
        <v>4</v>
      </c>
      <c r="R4847">
        <v>1</v>
      </c>
      <c r="S4847">
        <v>0</v>
      </c>
      <c r="T4847">
        <v>0</v>
      </c>
      <c r="U4847">
        <v>0</v>
      </c>
      <c r="V4847">
        <v>0</v>
      </c>
      <c r="W4847">
        <v>2</v>
      </c>
      <c r="X4847" s="21">
        <v>0</v>
      </c>
      <c r="Y4847">
        <v>0</v>
      </c>
      <c r="Z4847">
        <v>0</v>
      </c>
      <c r="AA4847">
        <v>2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J4847" t="s">
        <v>54</v>
      </c>
      <c r="AK4847" t="s">
        <v>52</v>
      </c>
      <c r="AP4847" t="s">
        <v>541</v>
      </c>
    </row>
    <row r="4848" spans="1:42">
      <c r="A4848" s="1">
        <v>43847</v>
      </c>
      <c r="B4848">
        <v>4</v>
      </c>
      <c r="C4848">
        <v>542</v>
      </c>
      <c r="D4848">
        <v>10226</v>
      </c>
      <c r="E4848" t="s">
        <v>37</v>
      </c>
      <c r="F4848" t="s">
        <v>520</v>
      </c>
      <c r="G4848">
        <v>2</v>
      </c>
      <c r="H4848">
        <v>13</v>
      </c>
      <c r="I4848" s="25">
        <v>240</v>
      </c>
      <c r="K4848" t="s">
        <v>210</v>
      </c>
      <c r="L4848" t="s">
        <v>114</v>
      </c>
      <c r="M4848" t="s">
        <v>52</v>
      </c>
      <c r="N4848" t="s">
        <v>40</v>
      </c>
      <c r="O4848">
        <v>313</v>
      </c>
      <c r="Q4848">
        <f t="shared" si="74"/>
        <v>13</v>
      </c>
      <c r="R4848">
        <v>1</v>
      </c>
      <c r="S4848">
        <v>0</v>
      </c>
      <c r="T4848">
        <v>0</v>
      </c>
      <c r="U4848">
        <v>0</v>
      </c>
      <c r="V4848">
        <v>0</v>
      </c>
      <c r="W4848">
        <v>12</v>
      </c>
      <c r="X4848" s="21">
        <v>0</v>
      </c>
      <c r="Y4848">
        <v>0</v>
      </c>
      <c r="Z4848">
        <v>0</v>
      </c>
      <c r="AA4848">
        <v>1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J4848" t="s">
        <v>51</v>
      </c>
      <c r="AK4848" t="s">
        <v>52</v>
      </c>
      <c r="AP4848" t="s">
        <v>541</v>
      </c>
    </row>
    <row r="4849" spans="1:42">
      <c r="A4849" s="1">
        <v>43847</v>
      </c>
      <c r="B4849">
        <v>4</v>
      </c>
      <c r="C4849">
        <v>542</v>
      </c>
      <c r="D4849">
        <v>10226</v>
      </c>
      <c r="E4849" t="s">
        <v>37</v>
      </c>
      <c r="F4849" t="s">
        <v>520</v>
      </c>
      <c r="G4849">
        <v>2</v>
      </c>
      <c r="H4849">
        <v>14</v>
      </c>
      <c r="I4849" s="25">
        <v>101</v>
      </c>
      <c r="K4849" t="s">
        <v>210</v>
      </c>
      <c r="L4849" t="s">
        <v>141</v>
      </c>
      <c r="M4849" t="s">
        <v>52</v>
      </c>
      <c r="N4849" t="s">
        <v>40</v>
      </c>
      <c r="O4849">
        <v>360</v>
      </c>
      <c r="Q4849">
        <f t="shared" si="74"/>
        <v>12</v>
      </c>
      <c r="R4849">
        <v>1</v>
      </c>
      <c r="S4849">
        <v>0</v>
      </c>
      <c r="T4849">
        <v>0</v>
      </c>
      <c r="U4849">
        <v>0</v>
      </c>
      <c r="V4849">
        <v>0</v>
      </c>
      <c r="W4849">
        <v>12</v>
      </c>
      <c r="X4849" s="21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J4849" t="s">
        <v>51</v>
      </c>
      <c r="AK4849" t="s">
        <v>95</v>
      </c>
      <c r="AP4849" t="s">
        <v>541</v>
      </c>
    </row>
    <row r="4850" spans="1:42">
      <c r="A4850" s="1">
        <v>43847</v>
      </c>
      <c r="B4850">
        <v>4</v>
      </c>
      <c r="C4850">
        <v>542</v>
      </c>
      <c r="D4850">
        <v>10226</v>
      </c>
      <c r="E4850" t="s">
        <v>37</v>
      </c>
      <c r="F4850" t="s">
        <v>520</v>
      </c>
      <c r="G4850">
        <v>2</v>
      </c>
      <c r="H4850">
        <v>15</v>
      </c>
      <c r="I4850" s="25">
        <v>1620</v>
      </c>
      <c r="K4850" t="s">
        <v>71</v>
      </c>
      <c r="L4850" t="s">
        <v>114</v>
      </c>
      <c r="M4850" t="s">
        <v>52</v>
      </c>
      <c r="N4850" t="s">
        <v>40</v>
      </c>
      <c r="O4850">
        <v>174</v>
      </c>
      <c r="Q4850">
        <f t="shared" si="74"/>
        <v>4</v>
      </c>
      <c r="R4850">
        <v>1</v>
      </c>
      <c r="S4850">
        <v>0</v>
      </c>
      <c r="T4850">
        <v>0</v>
      </c>
      <c r="U4850">
        <v>0</v>
      </c>
      <c r="V4850">
        <v>0</v>
      </c>
      <c r="W4850">
        <v>4</v>
      </c>
      <c r="X4850" s="21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J4850" t="s">
        <v>51</v>
      </c>
      <c r="AK4850" t="s">
        <v>95</v>
      </c>
      <c r="AL4850" t="s">
        <v>1586</v>
      </c>
      <c r="AP4850" t="s">
        <v>541</v>
      </c>
    </row>
    <row r="4851" spans="1:42">
      <c r="A4851" s="1">
        <v>43847</v>
      </c>
      <c r="B4851">
        <v>4</v>
      </c>
      <c r="C4851">
        <v>542</v>
      </c>
      <c r="D4851">
        <v>10226</v>
      </c>
      <c r="E4851" t="s">
        <v>37</v>
      </c>
      <c r="F4851" t="s">
        <v>520</v>
      </c>
      <c r="G4851">
        <v>2</v>
      </c>
      <c r="H4851">
        <v>16</v>
      </c>
      <c r="I4851" s="25">
        <v>400</v>
      </c>
      <c r="K4851" t="s">
        <v>384</v>
      </c>
      <c r="L4851" t="s">
        <v>114</v>
      </c>
      <c r="M4851" t="s">
        <v>52</v>
      </c>
      <c r="N4851" t="s">
        <v>44</v>
      </c>
      <c r="O4851">
        <v>340</v>
      </c>
      <c r="Q4851">
        <f t="shared" si="74"/>
        <v>4</v>
      </c>
      <c r="R4851">
        <v>1</v>
      </c>
      <c r="S4851">
        <v>0</v>
      </c>
      <c r="T4851">
        <v>0</v>
      </c>
      <c r="U4851">
        <v>0</v>
      </c>
      <c r="V4851">
        <v>0</v>
      </c>
      <c r="W4851">
        <v>4</v>
      </c>
      <c r="X4851" s="2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J4851" t="s">
        <v>51</v>
      </c>
      <c r="AK4851" t="s">
        <v>95</v>
      </c>
      <c r="AL4851" t="s">
        <v>1587</v>
      </c>
      <c r="AP4851" t="s">
        <v>541</v>
      </c>
    </row>
    <row r="4852" spans="1:42">
      <c r="A4852" s="1">
        <v>43847</v>
      </c>
      <c r="B4852">
        <v>4</v>
      </c>
      <c r="C4852">
        <v>542</v>
      </c>
      <c r="D4852">
        <v>10226</v>
      </c>
      <c r="E4852" t="s">
        <v>37</v>
      </c>
      <c r="F4852" t="s">
        <v>520</v>
      </c>
      <c r="G4852">
        <v>2</v>
      </c>
      <c r="H4852">
        <v>17</v>
      </c>
      <c r="I4852" s="25">
        <v>88</v>
      </c>
      <c r="K4852" t="s">
        <v>381</v>
      </c>
      <c r="L4852" t="s">
        <v>114</v>
      </c>
      <c r="M4852" t="s">
        <v>52</v>
      </c>
      <c r="N4852" t="s">
        <v>40</v>
      </c>
      <c r="O4852">
        <v>123</v>
      </c>
      <c r="Q4852">
        <f t="shared" si="74"/>
        <v>4</v>
      </c>
      <c r="R4852">
        <v>1</v>
      </c>
      <c r="S4852">
        <v>0</v>
      </c>
      <c r="T4852">
        <v>0</v>
      </c>
      <c r="U4852">
        <v>0</v>
      </c>
      <c r="V4852">
        <v>0</v>
      </c>
      <c r="W4852">
        <v>4</v>
      </c>
      <c r="X4852" s="21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J4852" t="s">
        <v>51</v>
      </c>
      <c r="AK4852" t="s">
        <v>95</v>
      </c>
      <c r="AP4852" t="s">
        <v>541</v>
      </c>
    </row>
    <row r="4853" spans="1:42">
      <c r="A4853" s="1">
        <v>43847</v>
      </c>
      <c r="B4853">
        <v>4</v>
      </c>
      <c r="C4853">
        <v>542</v>
      </c>
      <c r="D4853">
        <v>10226</v>
      </c>
      <c r="E4853" t="s">
        <v>37</v>
      </c>
      <c r="F4853" t="s">
        <v>520</v>
      </c>
      <c r="G4853">
        <v>2</v>
      </c>
      <c r="H4853">
        <v>18</v>
      </c>
      <c r="I4853" s="25">
        <v>301</v>
      </c>
      <c r="K4853" t="s">
        <v>1110</v>
      </c>
      <c r="L4853" t="s">
        <v>141</v>
      </c>
      <c r="M4853" t="s">
        <v>52</v>
      </c>
      <c r="N4853" t="s">
        <v>44</v>
      </c>
      <c r="O4853">
        <v>162</v>
      </c>
      <c r="Q4853">
        <f t="shared" si="74"/>
        <v>8</v>
      </c>
      <c r="R4853">
        <v>1</v>
      </c>
      <c r="S4853">
        <v>0</v>
      </c>
      <c r="T4853">
        <v>0</v>
      </c>
      <c r="U4853">
        <v>0</v>
      </c>
      <c r="V4853">
        <v>0</v>
      </c>
      <c r="W4853">
        <v>8</v>
      </c>
      <c r="X4853" s="21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J4853" t="s">
        <v>51</v>
      </c>
      <c r="AK4853" t="s">
        <v>95</v>
      </c>
      <c r="AL4853" t="s">
        <v>611</v>
      </c>
      <c r="AP4853" t="s">
        <v>541</v>
      </c>
    </row>
    <row r="4854" spans="1:42">
      <c r="A4854" s="1">
        <v>43847</v>
      </c>
      <c r="B4854">
        <v>4</v>
      </c>
      <c r="C4854">
        <v>542</v>
      </c>
      <c r="D4854">
        <v>10226</v>
      </c>
      <c r="E4854" t="s">
        <v>37</v>
      </c>
      <c r="F4854" t="s">
        <v>520</v>
      </c>
      <c r="G4854">
        <v>2</v>
      </c>
      <c r="H4854">
        <v>19</v>
      </c>
      <c r="I4854" s="25">
        <v>38</v>
      </c>
      <c r="K4854" t="s">
        <v>1110</v>
      </c>
      <c r="L4854" t="s">
        <v>114</v>
      </c>
      <c r="M4854" t="s">
        <v>52</v>
      </c>
      <c r="N4854" t="s">
        <v>44</v>
      </c>
      <c r="O4854">
        <v>174</v>
      </c>
      <c r="Q4854">
        <f t="shared" si="74"/>
        <v>5</v>
      </c>
      <c r="R4854">
        <v>1</v>
      </c>
      <c r="S4854">
        <v>0</v>
      </c>
      <c r="T4854">
        <v>0</v>
      </c>
      <c r="U4854">
        <v>0</v>
      </c>
      <c r="V4854">
        <v>0</v>
      </c>
      <c r="W4854">
        <v>5</v>
      </c>
      <c r="X4854" s="21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J4854" t="s">
        <v>51</v>
      </c>
      <c r="AK4854" t="s">
        <v>95</v>
      </c>
      <c r="AL4854" t="s">
        <v>611</v>
      </c>
      <c r="AP4854" t="s">
        <v>541</v>
      </c>
    </row>
    <row r="4855" spans="1:42">
      <c r="A4855" s="1">
        <v>43847</v>
      </c>
      <c r="B4855">
        <v>4</v>
      </c>
      <c r="C4855">
        <v>542</v>
      </c>
      <c r="D4855">
        <v>10226</v>
      </c>
      <c r="E4855" t="s">
        <v>37</v>
      </c>
      <c r="F4855" t="s">
        <v>520</v>
      </c>
      <c r="G4855">
        <v>2</v>
      </c>
      <c r="H4855">
        <v>20</v>
      </c>
      <c r="I4855" s="25">
        <v>403</v>
      </c>
      <c r="K4855" t="s">
        <v>393</v>
      </c>
      <c r="L4855" t="s">
        <v>141</v>
      </c>
      <c r="M4855" t="s">
        <v>52</v>
      </c>
      <c r="N4855" t="s">
        <v>44</v>
      </c>
      <c r="O4855">
        <v>242</v>
      </c>
      <c r="Q4855">
        <f t="shared" si="74"/>
        <v>8</v>
      </c>
      <c r="R4855">
        <v>1</v>
      </c>
      <c r="S4855">
        <v>0</v>
      </c>
      <c r="T4855">
        <v>0</v>
      </c>
      <c r="U4855">
        <v>0</v>
      </c>
      <c r="V4855">
        <v>0</v>
      </c>
      <c r="W4855">
        <v>8</v>
      </c>
      <c r="X4855" s="21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J4855" t="s">
        <v>51</v>
      </c>
      <c r="AK4855" t="s">
        <v>95</v>
      </c>
      <c r="AP4855" t="s">
        <v>541</v>
      </c>
    </row>
    <row r="4856" spans="1:42">
      <c r="A4856" s="1">
        <v>43847</v>
      </c>
      <c r="B4856">
        <v>4</v>
      </c>
      <c r="C4856">
        <v>542</v>
      </c>
      <c r="D4856">
        <v>10226</v>
      </c>
      <c r="E4856" t="s">
        <v>37</v>
      </c>
      <c r="F4856" t="s">
        <v>520</v>
      </c>
      <c r="G4856">
        <v>2</v>
      </c>
      <c r="H4856">
        <v>21</v>
      </c>
      <c r="I4856" s="25" t="s">
        <v>1588</v>
      </c>
      <c r="K4856" t="s">
        <v>473</v>
      </c>
      <c r="M4856" t="s">
        <v>52</v>
      </c>
      <c r="N4856" t="s">
        <v>44</v>
      </c>
      <c r="O4856">
        <v>417</v>
      </c>
      <c r="Q4856">
        <f t="shared" si="74"/>
        <v>3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X4856" s="21">
        <v>0</v>
      </c>
      <c r="Y4856">
        <v>3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J4856" t="s">
        <v>51</v>
      </c>
      <c r="AK4856" t="s">
        <v>95</v>
      </c>
      <c r="AP4856" t="s">
        <v>541</v>
      </c>
    </row>
    <row r="4857" spans="1:42">
      <c r="A4857" s="1">
        <v>43847</v>
      </c>
      <c r="B4857">
        <v>4</v>
      </c>
      <c r="C4857">
        <v>542</v>
      </c>
      <c r="D4857">
        <v>10226</v>
      </c>
      <c r="E4857" t="s">
        <v>37</v>
      </c>
      <c r="F4857" t="s">
        <v>520</v>
      </c>
      <c r="G4857">
        <v>2</v>
      </c>
      <c r="H4857">
        <v>22</v>
      </c>
      <c r="I4857" s="25">
        <v>188</v>
      </c>
      <c r="K4857" t="s">
        <v>473</v>
      </c>
      <c r="L4857" t="s">
        <v>114</v>
      </c>
      <c r="M4857" t="s">
        <v>52</v>
      </c>
      <c r="N4857" t="s">
        <v>44</v>
      </c>
      <c r="O4857">
        <v>332</v>
      </c>
      <c r="Q4857">
        <f t="shared" si="74"/>
        <v>3</v>
      </c>
      <c r="R4857">
        <v>1</v>
      </c>
      <c r="S4857">
        <v>0</v>
      </c>
      <c r="T4857">
        <v>0</v>
      </c>
      <c r="U4857">
        <v>0</v>
      </c>
      <c r="V4857">
        <v>0</v>
      </c>
      <c r="W4857">
        <v>1</v>
      </c>
      <c r="X4857" s="21">
        <v>0</v>
      </c>
      <c r="Y4857">
        <v>2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J4857" t="s">
        <v>51</v>
      </c>
      <c r="AK4857" t="s">
        <v>95</v>
      </c>
      <c r="AP4857" t="s">
        <v>541</v>
      </c>
    </row>
    <row r="4858" spans="1:42">
      <c r="A4858" s="1">
        <v>43847</v>
      </c>
      <c r="B4858">
        <v>4</v>
      </c>
      <c r="C4858">
        <v>542</v>
      </c>
      <c r="D4858">
        <v>10226</v>
      </c>
      <c r="E4858" t="s">
        <v>37</v>
      </c>
      <c r="F4858" t="s">
        <v>520</v>
      </c>
      <c r="G4858">
        <v>2</v>
      </c>
      <c r="H4858">
        <v>23</v>
      </c>
      <c r="I4858" s="25">
        <v>230</v>
      </c>
      <c r="K4858" t="s">
        <v>535</v>
      </c>
      <c r="L4858" t="s">
        <v>114</v>
      </c>
      <c r="M4858" t="s">
        <v>52</v>
      </c>
      <c r="N4858" t="s">
        <v>44</v>
      </c>
      <c r="O4858">
        <v>205</v>
      </c>
      <c r="Q4858">
        <f t="shared" si="74"/>
        <v>4</v>
      </c>
      <c r="R4858">
        <v>1</v>
      </c>
      <c r="S4858">
        <v>0</v>
      </c>
      <c r="T4858">
        <v>0</v>
      </c>
      <c r="U4858">
        <v>0</v>
      </c>
      <c r="V4858">
        <v>0</v>
      </c>
      <c r="W4858">
        <v>2</v>
      </c>
      <c r="X4858" s="21">
        <v>0</v>
      </c>
      <c r="Y4858">
        <v>2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J4858" t="s">
        <v>51</v>
      </c>
      <c r="AK4858" t="s">
        <v>95</v>
      </c>
      <c r="AL4858" t="s">
        <v>1589</v>
      </c>
      <c r="AP4858" t="s">
        <v>541</v>
      </c>
    </row>
    <row r="4859" spans="1:42">
      <c r="A4859" s="1">
        <v>43847</v>
      </c>
      <c r="B4859">
        <v>4</v>
      </c>
      <c r="C4859">
        <v>542</v>
      </c>
      <c r="D4859">
        <v>10226</v>
      </c>
      <c r="E4859" t="s">
        <v>37</v>
      </c>
      <c r="F4859" t="s">
        <v>520</v>
      </c>
      <c r="G4859">
        <v>2</v>
      </c>
      <c r="H4859">
        <v>24</v>
      </c>
      <c r="I4859" s="25">
        <v>420</v>
      </c>
      <c r="K4859" t="s">
        <v>535</v>
      </c>
      <c r="L4859" t="s">
        <v>114</v>
      </c>
      <c r="M4859" t="s">
        <v>52</v>
      </c>
      <c r="N4859" t="s">
        <v>44</v>
      </c>
      <c r="O4859">
        <v>180</v>
      </c>
      <c r="Q4859">
        <f t="shared" si="74"/>
        <v>5</v>
      </c>
      <c r="R4859">
        <v>1</v>
      </c>
      <c r="S4859">
        <v>0</v>
      </c>
      <c r="T4859">
        <v>0</v>
      </c>
      <c r="U4859">
        <v>0</v>
      </c>
      <c r="V4859">
        <v>0</v>
      </c>
      <c r="W4859">
        <v>5</v>
      </c>
      <c r="X4859" s="21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J4859" t="s">
        <v>51</v>
      </c>
      <c r="AK4859" t="s">
        <v>95</v>
      </c>
      <c r="AL4859" t="s">
        <v>1590</v>
      </c>
      <c r="AP4859" t="s">
        <v>541</v>
      </c>
    </row>
    <row r="4860" spans="1:42">
      <c r="A4860" s="13">
        <v>43860</v>
      </c>
      <c r="B4860">
        <v>4</v>
      </c>
      <c r="C4860">
        <v>215</v>
      </c>
      <c r="D4860">
        <v>14445</v>
      </c>
      <c r="E4860" t="s">
        <v>112</v>
      </c>
      <c r="F4860" t="s">
        <v>104</v>
      </c>
      <c r="G4860">
        <v>4</v>
      </c>
      <c r="H4860">
        <v>1</v>
      </c>
      <c r="I4860" s="25">
        <v>2090</v>
      </c>
      <c r="K4860" t="s">
        <v>596</v>
      </c>
      <c r="L4860" t="s">
        <v>114</v>
      </c>
      <c r="M4860" t="s">
        <v>52</v>
      </c>
      <c r="N4860" t="s">
        <v>40</v>
      </c>
      <c r="O4860">
        <v>137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1</v>
      </c>
      <c r="X4860" s="21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J4860" t="s">
        <v>54</v>
      </c>
      <c r="AK4860" t="s">
        <v>95</v>
      </c>
      <c r="AP4860" t="s">
        <v>541</v>
      </c>
    </row>
    <row r="4861" spans="1:42">
      <c r="A4861" s="13">
        <v>43860</v>
      </c>
      <c r="B4861">
        <v>4</v>
      </c>
      <c r="C4861">
        <v>215</v>
      </c>
      <c r="D4861">
        <v>14445</v>
      </c>
      <c r="E4861" t="s">
        <v>112</v>
      </c>
      <c r="F4861" t="s">
        <v>104</v>
      </c>
      <c r="G4861">
        <v>4</v>
      </c>
      <c r="H4861">
        <v>2</v>
      </c>
      <c r="I4861" s="25">
        <v>2001</v>
      </c>
      <c r="K4861" t="s">
        <v>596</v>
      </c>
      <c r="L4861" t="s">
        <v>141</v>
      </c>
      <c r="M4861" t="s">
        <v>52</v>
      </c>
      <c r="N4861" t="s">
        <v>40</v>
      </c>
      <c r="O4861">
        <v>226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9</v>
      </c>
      <c r="X4861" s="2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J4861" t="s">
        <v>54</v>
      </c>
      <c r="AK4861" t="s">
        <v>95</v>
      </c>
      <c r="AP4861" t="s">
        <v>541</v>
      </c>
    </row>
    <row r="4862" spans="1:42">
      <c r="A4862" s="13">
        <v>43860</v>
      </c>
      <c r="B4862">
        <v>4</v>
      </c>
      <c r="C4862">
        <v>215</v>
      </c>
      <c r="D4862">
        <v>14445</v>
      </c>
      <c r="E4862" t="s">
        <v>112</v>
      </c>
      <c r="F4862" t="s">
        <v>104</v>
      </c>
      <c r="G4862">
        <v>4</v>
      </c>
      <c r="H4862">
        <v>3</v>
      </c>
      <c r="I4862" s="25">
        <v>1910</v>
      </c>
      <c r="K4862" t="s">
        <v>156</v>
      </c>
      <c r="L4862" t="s">
        <v>114</v>
      </c>
      <c r="M4862" t="s">
        <v>52</v>
      </c>
      <c r="N4862" t="s">
        <v>44</v>
      </c>
      <c r="O4862">
        <v>107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</v>
      </c>
      <c r="X4862" s="21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J4862" t="s">
        <v>54</v>
      </c>
      <c r="AK4862" t="s">
        <v>95</v>
      </c>
      <c r="AL4862" t="s">
        <v>611</v>
      </c>
      <c r="AP4862" t="s">
        <v>541</v>
      </c>
    </row>
    <row r="4863" spans="1:42">
      <c r="A4863" s="13">
        <v>43860</v>
      </c>
      <c r="B4863">
        <v>4</v>
      </c>
      <c r="C4863">
        <v>215</v>
      </c>
      <c r="D4863">
        <v>14445</v>
      </c>
      <c r="E4863" t="s">
        <v>112</v>
      </c>
      <c r="F4863" t="s">
        <v>104</v>
      </c>
      <c r="G4863">
        <v>4</v>
      </c>
      <c r="H4863">
        <v>4</v>
      </c>
      <c r="I4863" s="25">
        <v>1915</v>
      </c>
      <c r="K4863" t="s">
        <v>119</v>
      </c>
      <c r="L4863" t="s">
        <v>141</v>
      </c>
      <c r="M4863" t="s">
        <v>95</v>
      </c>
      <c r="N4863" t="s">
        <v>44</v>
      </c>
      <c r="O4863">
        <v>125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1</v>
      </c>
      <c r="X4863" s="21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J4863" t="s">
        <v>54</v>
      </c>
      <c r="AK4863" t="s">
        <v>95</v>
      </c>
      <c r="AL4863" t="s">
        <v>611</v>
      </c>
      <c r="AP4863" t="s">
        <v>541</v>
      </c>
    </row>
    <row r="4864" spans="1:42">
      <c r="A4864" s="13">
        <v>43860</v>
      </c>
      <c r="B4864">
        <v>4</v>
      </c>
      <c r="C4864">
        <v>215</v>
      </c>
      <c r="D4864">
        <v>14445</v>
      </c>
      <c r="E4864" t="s">
        <v>112</v>
      </c>
      <c r="F4864" t="s">
        <v>104</v>
      </c>
      <c r="G4864">
        <v>4</v>
      </c>
      <c r="H4864">
        <v>5</v>
      </c>
      <c r="I4864" s="25">
        <v>1907</v>
      </c>
      <c r="K4864" t="s">
        <v>119</v>
      </c>
      <c r="L4864" t="s">
        <v>141</v>
      </c>
      <c r="M4864" t="s">
        <v>52</v>
      </c>
      <c r="N4864" t="s">
        <v>40</v>
      </c>
      <c r="O4864">
        <v>90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2</v>
      </c>
      <c r="X4864" s="21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J4864" t="s">
        <v>54</v>
      </c>
      <c r="AK4864" t="s">
        <v>95</v>
      </c>
      <c r="AP4864" t="s">
        <v>541</v>
      </c>
    </row>
    <row r="4865" spans="1:42">
      <c r="A4865" s="13">
        <v>43860</v>
      </c>
      <c r="B4865">
        <v>4</v>
      </c>
      <c r="C4865">
        <v>215</v>
      </c>
      <c r="D4865">
        <v>14445</v>
      </c>
      <c r="E4865" t="s">
        <v>112</v>
      </c>
      <c r="F4865" t="s">
        <v>104</v>
      </c>
      <c r="G4865">
        <v>4</v>
      </c>
      <c r="H4865">
        <v>6</v>
      </c>
      <c r="I4865" s="25">
        <v>1938</v>
      </c>
      <c r="K4865" t="s">
        <v>119</v>
      </c>
      <c r="L4865" t="s">
        <v>114</v>
      </c>
      <c r="M4865" t="s">
        <v>52</v>
      </c>
      <c r="N4865" t="s">
        <v>40</v>
      </c>
      <c r="O4865">
        <v>49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1</v>
      </c>
      <c r="V4865">
        <v>1</v>
      </c>
      <c r="W4865">
        <v>0</v>
      </c>
      <c r="X4865" s="21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J4865" t="s">
        <v>54</v>
      </c>
      <c r="AK4865" t="s">
        <v>95</v>
      </c>
      <c r="AP4865" t="s">
        <v>541</v>
      </c>
    </row>
    <row r="4866" spans="1:42">
      <c r="A4866" s="13">
        <v>43860</v>
      </c>
      <c r="B4866">
        <v>4</v>
      </c>
      <c r="C4866">
        <v>215</v>
      </c>
      <c r="D4866">
        <v>14445</v>
      </c>
      <c r="E4866" t="s">
        <v>112</v>
      </c>
      <c r="F4866" t="s">
        <v>104</v>
      </c>
      <c r="G4866">
        <v>4</v>
      </c>
      <c r="H4866">
        <v>7</v>
      </c>
      <c r="I4866" s="25">
        <v>1944</v>
      </c>
      <c r="K4866" t="s">
        <v>119</v>
      </c>
      <c r="L4866" t="s">
        <v>114</v>
      </c>
      <c r="M4866" t="s">
        <v>52</v>
      </c>
      <c r="N4866" t="s">
        <v>40</v>
      </c>
      <c r="O4866">
        <v>37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2</v>
      </c>
      <c r="X4866" s="21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J4866" t="s">
        <v>54</v>
      </c>
      <c r="AK4866" t="s">
        <v>95</v>
      </c>
      <c r="AP4866" t="s">
        <v>541</v>
      </c>
    </row>
    <row r="4867" spans="1:42">
      <c r="A4867" s="13">
        <v>43860</v>
      </c>
      <c r="B4867">
        <v>4</v>
      </c>
      <c r="C4867">
        <v>215</v>
      </c>
      <c r="D4867">
        <v>14445</v>
      </c>
      <c r="E4867" t="s">
        <v>112</v>
      </c>
      <c r="F4867" t="s">
        <v>104</v>
      </c>
      <c r="G4867">
        <v>4</v>
      </c>
      <c r="H4867">
        <v>8</v>
      </c>
      <c r="I4867" s="25">
        <v>1945</v>
      </c>
      <c r="K4867" t="s">
        <v>119</v>
      </c>
      <c r="L4867" t="s">
        <v>141</v>
      </c>
      <c r="M4867" t="s">
        <v>95</v>
      </c>
      <c r="N4867" t="s">
        <v>40</v>
      </c>
      <c r="O4867">
        <v>52</v>
      </c>
      <c r="P4867">
        <v>0</v>
      </c>
      <c r="Q4867">
        <v>0</v>
      </c>
      <c r="R4867">
        <v>0</v>
      </c>
      <c r="S4867">
        <v>1</v>
      </c>
      <c r="T4867">
        <v>0</v>
      </c>
      <c r="U4867">
        <v>0</v>
      </c>
      <c r="V4867">
        <v>1</v>
      </c>
      <c r="W4867">
        <v>0</v>
      </c>
      <c r="X4867" s="21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J4867" t="s">
        <v>54</v>
      </c>
      <c r="AK4867" t="s">
        <v>95</v>
      </c>
      <c r="AP4867" t="s">
        <v>541</v>
      </c>
    </row>
    <row r="4868" spans="1:42">
      <c r="A4868" s="13">
        <v>43860</v>
      </c>
      <c r="B4868">
        <v>4</v>
      </c>
      <c r="C4868">
        <v>215</v>
      </c>
      <c r="D4868">
        <v>14445</v>
      </c>
      <c r="E4868" t="s">
        <v>112</v>
      </c>
      <c r="F4868" t="s">
        <v>104</v>
      </c>
      <c r="G4868">
        <v>4</v>
      </c>
      <c r="H4868">
        <v>9</v>
      </c>
      <c r="I4868" s="25">
        <v>1949</v>
      </c>
      <c r="K4868" t="s">
        <v>119</v>
      </c>
      <c r="L4868" t="s">
        <v>141</v>
      </c>
      <c r="M4868" t="s">
        <v>52</v>
      </c>
      <c r="N4868" t="s">
        <v>44</v>
      </c>
      <c r="O4868">
        <v>147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1</v>
      </c>
      <c r="W4868">
        <v>0</v>
      </c>
      <c r="X4868" s="21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J4868" t="s">
        <v>54</v>
      </c>
      <c r="AK4868" t="s">
        <v>95</v>
      </c>
      <c r="AL4868" t="s">
        <v>611</v>
      </c>
      <c r="AP4868" t="s">
        <v>541</v>
      </c>
    </row>
    <row r="4869" spans="1:42">
      <c r="A4869" s="13">
        <v>43860</v>
      </c>
      <c r="B4869">
        <v>4</v>
      </c>
      <c r="C4869">
        <v>215</v>
      </c>
      <c r="D4869">
        <v>14445</v>
      </c>
      <c r="E4869" t="s">
        <v>112</v>
      </c>
      <c r="F4869" t="s">
        <v>104</v>
      </c>
      <c r="G4869">
        <v>4</v>
      </c>
      <c r="H4869">
        <v>10</v>
      </c>
      <c r="I4869" s="25">
        <v>1961</v>
      </c>
      <c r="K4869" t="s">
        <v>119</v>
      </c>
      <c r="L4869" t="s">
        <v>141</v>
      </c>
      <c r="M4869" t="s">
        <v>52</v>
      </c>
      <c r="N4869" t="s">
        <v>40</v>
      </c>
      <c r="O4869">
        <v>33</v>
      </c>
      <c r="P4869">
        <v>0</v>
      </c>
      <c r="Q4869">
        <v>0</v>
      </c>
      <c r="R4869">
        <v>0</v>
      </c>
      <c r="S4869">
        <v>1</v>
      </c>
      <c r="T4869">
        <v>0</v>
      </c>
      <c r="U4869">
        <v>1</v>
      </c>
      <c r="V4869">
        <v>0</v>
      </c>
      <c r="W4869">
        <v>0</v>
      </c>
      <c r="X4869" s="21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J4869" t="s">
        <v>54</v>
      </c>
      <c r="AK4869" t="s">
        <v>95</v>
      </c>
      <c r="AP4869" t="s">
        <v>541</v>
      </c>
    </row>
    <row r="4870" spans="1:42">
      <c r="A4870" s="13">
        <v>43860</v>
      </c>
      <c r="B4870">
        <v>4</v>
      </c>
      <c r="C4870">
        <v>215</v>
      </c>
      <c r="D4870">
        <v>14445</v>
      </c>
      <c r="E4870" t="s">
        <v>112</v>
      </c>
      <c r="F4870" t="s">
        <v>104</v>
      </c>
      <c r="G4870">
        <v>4</v>
      </c>
      <c r="H4870">
        <v>11</v>
      </c>
      <c r="I4870" s="25" t="s">
        <v>1591</v>
      </c>
      <c r="K4870" t="s">
        <v>119</v>
      </c>
      <c r="L4870" t="s">
        <v>141</v>
      </c>
      <c r="M4870" t="s">
        <v>52</v>
      </c>
      <c r="N4870" t="s">
        <v>44</v>
      </c>
      <c r="O4870">
        <v>182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1</v>
      </c>
      <c r="V4870">
        <v>1</v>
      </c>
      <c r="W4870">
        <v>0</v>
      </c>
      <c r="X4870" s="21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J4870" t="s">
        <v>54</v>
      </c>
      <c r="AK4870" t="s">
        <v>95</v>
      </c>
      <c r="AL4870" t="s">
        <v>611</v>
      </c>
      <c r="AP4870" t="s">
        <v>541</v>
      </c>
    </row>
    <row r="4871" spans="1:42">
      <c r="A4871" s="13">
        <v>43860</v>
      </c>
      <c r="B4871">
        <v>4</v>
      </c>
      <c r="C4871">
        <v>215</v>
      </c>
      <c r="D4871">
        <v>14445</v>
      </c>
      <c r="E4871" t="s">
        <v>112</v>
      </c>
      <c r="F4871" t="s">
        <v>104</v>
      </c>
      <c r="G4871">
        <v>4</v>
      </c>
      <c r="H4871">
        <v>12</v>
      </c>
      <c r="I4871" s="25">
        <v>1972</v>
      </c>
      <c r="K4871" t="s">
        <v>119</v>
      </c>
      <c r="L4871" t="s">
        <v>114</v>
      </c>
      <c r="M4871" t="s">
        <v>52</v>
      </c>
      <c r="N4871" t="s">
        <v>44</v>
      </c>
      <c r="O4871">
        <v>137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1</v>
      </c>
      <c r="V4871">
        <v>1</v>
      </c>
      <c r="W4871">
        <v>0</v>
      </c>
      <c r="X4871" s="2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J4871" t="s">
        <v>54</v>
      </c>
      <c r="AK4871" t="s">
        <v>95</v>
      </c>
      <c r="AL4871" t="s">
        <v>1592</v>
      </c>
      <c r="AP4871" t="s">
        <v>541</v>
      </c>
    </row>
    <row r="4872" spans="1:42">
      <c r="A4872" s="13">
        <v>43860</v>
      </c>
      <c r="B4872">
        <v>4</v>
      </c>
      <c r="C4872">
        <v>215</v>
      </c>
      <c r="D4872">
        <v>14445</v>
      </c>
      <c r="E4872" t="s">
        <v>112</v>
      </c>
      <c r="F4872" t="s">
        <v>104</v>
      </c>
      <c r="G4872">
        <v>4</v>
      </c>
      <c r="H4872">
        <v>13</v>
      </c>
      <c r="I4872" s="25">
        <v>1970</v>
      </c>
      <c r="K4872" t="s">
        <v>119</v>
      </c>
      <c r="L4872" t="s">
        <v>114</v>
      </c>
      <c r="M4872" t="s">
        <v>52</v>
      </c>
      <c r="N4872" t="s">
        <v>44</v>
      </c>
      <c r="O4872">
        <v>88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1</v>
      </c>
      <c r="W4872">
        <v>0</v>
      </c>
      <c r="X4872" s="21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J4872" t="s">
        <v>54</v>
      </c>
      <c r="AK4872" t="s">
        <v>95</v>
      </c>
      <c r="AL4872" t="s">
        <v>1592</v>
      </c>
      <c r="AP4872" t="s">
        <v>541</v>
      </c>
    </row>
    <row r="4873" spans="1:42">
      <c r="A4873" s="13">
        <v>43860</v>
      </c>
      <c r="B4873">
        <v>4</v>
      </c>
      <c r="C4873">
        <v>215</v>
      </c>
      <c r="D4873">
        <v>14445</v>
      </c>
      <c r="E4873" t="s">
        <v>112</v>
      </c>
      <c r="F4873" t="s">
        <v>104</v>
      </c>
      <c r="G4873">
        <v>4</v>
      </c>
      <c r="H4873">
        <v>14</v>
      </c>
      <c r="I4873" s="25">
        <v>1975</v>
      </c>
      <c r="K4873" t="s">
        <v>119</v>
      </c>
      <c r="L4873" t="s">
        <v>141</v>
      </c>
      <c r="M4873" t="s">
        <v>95</v>
      </c>
      <c r="N4873" t="s">
        <v>40</v>
      </c>
      <c r="O4873">
        <v>56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2</v>
      </c>
      <c r="V4873">
        <v>0</v>
      </c>
      <c r="W4873">
        <v>0</v>
      </c>
      <c r="X4873" s="21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J4873" t="s">
        <v>54</v>
      </c>
      <c r="AK4873" t="s">
        <v>95</v>
      </c>
      <c r="AP4873" t="s">
        <v>541</v>
      </c>
    </row>
    <row r="4874" spans="1:42">
      <c r="A4874" s="13">
        <v>43860</v>
      </c>
      <c r="B4874">
        <v>4</v>
      </c>
      <c r="C4874">
        <v>215</v>
      </c>
      <c r="D4874">
        <v>14445</v>
      </c>
      <c r="E4874" t="s">
        <v>112</v>
      </c>
      <c r="F4874" t="s">
        <v>104</v>
      </c>
      <c r="G4874">
        <v>4</v>
      </c>
      <c r="H4874">
        <v>15</v>
      </c>
      <c r="I4874" s="25">
        <v>2800</v>
      </c>
      <c r="K4874" t="s">
        <v>119</v>
      </c>
      <c r="L4874" t="s">
        <v>114</v>
      </c>
      <c r="M4874" t="s">
        <v>52</v>
      </c>
      <c r="N4874" t="s">
        <v>40</v>
      </c>
      <c r="O4874">
        <v>70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 s="21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J4874" t="s">
        <v>54</v>
      </c>
      <c r="AK4874" t="s">
        <v>95</v>
      </c>
      <c r="AL4874" t="s">
        <v>649</v>
      </c>
      <c r="AP4874" t="s">
        <v>541</v>
      </c>
    </row>
    <row r="4875" spans="1:42">
      <c r="A4875" s="13">
        <v>43860</v>
      </c>
      <c r="B4875">
        <v>4</v>
      </c>
      <c r="C4875">
        <v>215</v>
      </c>
      <c r="D4875">
        <v>14445</v>
      </c>
      <c r="E4875" t="s">
        <v>112</v>
      </c>
      <c r="F4875" t="s">
        <v>104</v>
      </c>
      <c r="G4875">
        <v>4</v>
      </c>
      <c r="H4875">
        <v>16</v>
      </c>
      <c r="I4875" s="25">
        <v>1832</v>
      </c>
      <c r="K4875" t="s">
        <v>156</v>
      </c>
      <c r="L4875" t="s">
        <v>114</v>
      </c>
      <c r="M4875" t="s">
        <v>52</v>
      </c>
      <c r="N4875" t="s">
        <v>40</v>
      </c>
      <c r="O4875">
        <v>60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1</v>
      </c>
      <c r="V4875">
        <v>1</v>
      </c>
      <c r="W4875">
        <v>0</v>
      </c>
      <c r="X4875" s="21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J4875" t="s">
        <v>54</v>
      </c>
      <c r="AK4875" t="s">
        <v>95</v>
      </c>
      <c r="AP4875" t="s">
        <v>541</v>
      </c>
    </row>
    <row r="4876" spans="1:42">
      <c r="A4876" s="13">
        <v>43860</v>
      </c>
      <c r="B4876">
        <v>4</v>
      </c>
      <c r="C4876">
        <v>215</v>
      </c>
      <c r="D4876">
        <v>14445</v>
      </c>
      <c r="E4876" t="s">
        <v>112</v>
      </c>
      <c r="F4876" t="s">
        <v>104</v>
      </c>
      <c r="G4876">
        <v>4</v>
      </c>
      <c r="H4876">
        <v>17</v>
      </c>
      <c r="I4876" s="25">
        <v>1846</v>
      </c>
      <c r="K4876" t="s">
        <v>156</v>
      </c>
      <c r="L4876" t="s">
        <v>114</v>
      </c>
      <c r="M4876" t="s">
        <v>52</v>
      </c>
      <c r="N4876" t="s">
        <v>40</v>
      </c>
      <c r="O4876">
        <v>38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2</v>
      </c>
      <c r="X4876" s="21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J4876" t="s">
        <v>54</v>
      </c>
      <c r="AK4876" t="s">
        <v>95</v>
      </c>
      <c r="AP4876" t="s">
        <v>541</v>
      </c>
    </row>
    <row r="4877" spans="1:42">
      <c r="A4877" s="13">
        <v>43860</v>
      </c>
      <c r="B4877">
        <v>4</v>
      </c>
      <c r="C4877">
        <v>215</v>
      </c>
      <c r="D4877">
        <v>14445</v>
      </c>
      <c r="E4877" t="s">
        <v>112</v>
      </c>
      <c r="F4877" t="s">
        <v>104</v>
      </c>
      <c r="G4877">
        <v>4</v>
      </c>
      <c r="H4877">
        <v>18</v>
      </c>
      <c r="I4877" s="25">
        <v>1880</v>
      </c>
      <c r="K4877" t="s">
        <v>156</v>
      </c>
      <c r="L4877" t="s">
        <v>114</v>
      </c>
      <c r="M4877" t="s">
        <v>52</v>
      </c>
      <c r="N4877" t="s">
        <v>40</v>
      </c>
      <c r="O4877">
        <v>19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 s="21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J4877" t="s">
        <v>54</v>
      </c>
      <c r="AK4877" t="s">
        <v>95</v>
      </c>
      <c r="AL4877" t="s">
        <v>649</v>
      </c>
      <c r="AP4877" t="s">
        <v>541</v>
      </c>
    </row>
    <row r="4878" spans="1:42">
      <c r="A4878" s="13">
        <v>43860</v>
      </c>
      <c r="B4878">
        <v>4</v>
      </c>
      <c r="C4878">
        <v>215</v>
      </c>
      <c r="D4878">
        <v>14445</v>
      </c>
      <c r="E4878" t="s">
        <v>112</v>
      </c>
      <c r="F4878" t="s">
        <v>104</v>
      </c>
      <c r="G4878">
        <v>4</v>
      </c>
      <c r="H4878">
        <v>19</v>
      </c>
      <c r="I4878" s="25">
        <v>1900</v>
      </c>
      <c r="K4878" t="s">
        <v>156</v>
      </c>
      <c r="L4878" t="s">
        <v>114</v>
      </c>
      <c r="M4878" t="s">
        <v>52</v>
      </c>
      <c r="N4878" t="s">
        <v>40</v>
      </c>
      <c r="O4878">
        <v>54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1</v>
      </c>
      <c r="W4878">
        <v>0</v>
      </c>
      <c r="X4878" s="21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J4878" t="s">
        <v>54</v>
      </c>
      <c r="AK4878" t="s">
        <v>95</v>
      </c>
      <c r="AL4878" t="s">
        <v>649</v>
      </c>
      <c r="AP4878" t="s">
        <v>541</v>
      </c>
    </row>
    <row r="4879" spans="1:42">
      <c r="A4879" s="13">
        <v>43860</v>
      </c>
      <c r="B4879">
        <v>4</v>
      </c>
      <c r="C4879">
        <v>215</v>
      </c>
      <c r="D4879">
        <v>14445</v>
      </c>
      <c r="E4879" t="s">
        <v>112</v>
      </c>
      <c r="F4879" t="s">
        <v>104</v>
      </c>
      <c r="G4879">
        <v>4</v>
      </c>
      <c r="H4879">
        <v>20</v>
      </c>
      <c r="I4879" s="25">
        <v>1934</v>
      </c>
      <c r="K4879" t="s">
        <v>156</v>
      </c>
      <c r="L4879" t="s">
        <v>114</v>
      </c>
      <c r="M4879" t="s">
        <v>52</v>
      </c>
      <c r="N4879" t="s">
        <v>40</v>
      </c>
      <c r="O4879">
        <v>33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2</v>
      </c>
      <c r="V4879">
        <v>0</v>
      </c>
      <c r="W4879">
        <v>0</v>
      </c>
      <c r="X4879" s="21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J4879" t="s">
        <v>54</v>
      </c>
      <c r="AK4879" t="s">
        <v>95</v>
      </c>
      <c r="AP4879" t="s">
        <v>541</v>
      </c>
    </row>
    <row r="4880" spans="1:42">
      <c r="A4880" s="13">
        <v>43860</v>
      </c>
      <c r="B4880">
        <v>4</v>
      </c>
      <c r="C4880">
        <v>215</v>
      </c>
      <c r="D4880">
        <v>14445</v>
      </c>
      <c r="E4880" t="s">
        <v>112</v>
      </c>
      <c r="F4880" t="s">
        <v>104</v>
      </c>
      <c r="G4880">
        <v>4</v>
      </c>
      <c r="H4880">
        <v>21</v>
      </c>
      <c r="I4880" s="25">
        <v>1944</v>
      </c>
      <c r="K4880" t="s">
        <v>156</v>
      </c>
      <c r="L4880" t="s">
        <v>114</v>
      </c>
      <c r="M4880" t="s">
        <v>52</v>
      </c>
      <c r="N4880" t="s">
        <v>40</v>
      </c>
      <c r="O4880">
        <v>90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1</v>
      </c>
      <c r="W4880">
        <v>2</v>
      </c>
      <c r="X4880" s="21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J4880" t="s">
        <v>54</v>
      </c>
      <c r="AK4880" t="s">
        <v>95</v>
      </c>
      <c r="AP4880" t="s">
        <v>541</v>
      </c>
    </row>
    <row r="4881" spans="1:42">
      <c r="A4881" s="13">
        <v>43860</v>
      </c>
      <c r="B4881">
        <v>4</v>
      </c>
      <c r="C4881">
        <v>215</v>
      </c>
      <c r="D4881">
        <v>14445</v>
      </c>
      <c r="E4881" t="s">
        <v>112</v>
      </c>
      <c r="F4881" t="s">
        <v>104</v>
      </c>
      <c r="G4881">
        <v>4</v>
      </c>
      <c r="H4881">
        <v>22</v>
      </c>
      <c r="I4881" s="25">
        <v>1960</v>
      </c>
      <c r="K4881" t="s">
        <v>156</v>
      </c>
      <c r="L4881" t="s">
        <v>114</v>
      </c>
      <c r="M4881" t="s">
        <v>52</v>
      </c>
      <c r="N4881" t="s">
        <v>40</v>
      </c>
      <c r="O4881">
        <v>39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1</v>
      </c>
      <c r="V4881">
        <v>0</v>
      </c>
      <c r="W4881">
        <v>0</v>
      </c>
      <c r="X4881" s="2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J4881" t="s">
        <v>54</v>
      </c>
      <c r="AK4881" t="s">
        <v>95</v>
      </c>
      <c r="AP4881" t="s">
        <v>541</v>
      </c>
    </row>
    <row r="4882" spans="1:42">
      <c r="A4882" s="13">
        <v>43860</v>
      </c>
      <c r="B4882">
        <v>4</v>
      </c>
      <c r="C4882">
        <v>215</v>
      </c>
      <c r="D4882">
        <v>14445</v>
      </c>
      <c r="E4882" t="s">
        <v>112</v>
      </c>
      <c r="F4882" t="s">
        <v>104</v>
      </c>
      <c r="G4882">
        <v>4</v>
      </c>
      <c r="H4882">
        <v>23</v>
      </c>
      <c r="I4882" s="25">
        <v>1978</v>
      </c>
      <c r="K4882" t="s">
        <v>156</v>
      </c>
      <c r="L4882" t="s">
        <v>114</v>
      </c>
      <c r="M4882" t="s">
        <v>52</v>
      </c>
      <c r="N4882" t="s">
        <v>40</v>
      </c>
      <c r="O4882">
        <v>29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2</v>
      </c>
      <c r="V4882">
        <v>0</v>
      </c>
      <c r="W4882">
        <v>0</v>
      </c>
      <c r="X4882" s="21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J4882" t="s">
        <v>54</v>
      </c>
      <c r="AK4882" t="s">
        <v>95</v>
      </c>
      <c r="AP4882" t="s">
        <v>541</v>
      </c>
    </row>
    <row r="4883" spans="1:42">
      <c r="A4883" s="13">
        <v>43860</v>
      </c>
      <c r="B4883">
        <v>4</v>
      </c>
      <c r="C4883">
        <v>215</v>
      </c>
      <c r="D4883">
        <v>14445</v>
      </c>
      <c r="E4883" t="s">
        <v>112</v>
      </c>
      <c r="F4883" t="s">
        <v>104</v>
      </c>
      <c r="G4883">
        <v>4</v>
      </c>
      <c r="H4883">
        <v>24</v>
      </c>
      <c r="I4883" s="25">
        <v>3000</v>
      </c>
      <c r="K4883" t="s">
        <v>596</v>
      </c>
      <c r="L4883" t="s">
        <v>114</v>
      </c>
      <c r="M4883" t="s">
        <v>52</v>
      </c>
      <c r="N4883" t="s">
        <v>40</v>
      </c>
      <c r="O4883">
        <v>21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 s="21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J4883" t="s">
        <v>54</v>
      </c>
      <c r="AK4883" t="s">
        <v>95</v>
      </c>
      <c r="AL4883" t="s">
        <v>649</v>
      </c>
      <c r="AP4883" t="s">
        <v>541</v>
      </c>
    </row>
    <row r="4884" spans="1:42">
      <c r="A4884" s="13">
        <v>43860</v>
      </c>
      <c r="B4884">
        <v>4</v>
      </c>
      <c r="C4884">
        <v>215</v>
      </c>
      <c r="D4884">
        <v>14445</v>
      </c>
      <c r="E4884" t="s">
        <v>112</v>
      </c>
      <c r="F4884" t="s">
        <v>104</v>
      </c>
      <c r="G4884">
        <v>4</v>
      </c>
      <c r="H4884">
        <v>25</v>
      </c>
      <c r="I4884" s="25">
        <v>3001</v>
      </c>
      <c r="K4884" t="s">
        <v>596</v>
      </c>
      <c r="L4884" t="s">
        <v>141</v>
      </c>
      <c r="M4884" t="s">
        <v>52</v>
      </c>
      <c r="N4884" t="s">
        <v>40</v>
      </c>
      <c r="O4884">
        <v>127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2</v>
      </c>
      <c r="W4884">
        <v>1</v>
      </c>
      <c r="X4884" s="21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J4884" t="s">
        <v>54</v>
      </c>
      <c r="AK4884" t="s">
        <v>95</v>
      </c>
      <c r="AP4884" t="s">
        <v>541</v>
      </c>
    </row>
    <row r="4885" spans="1:42">
      <c r="A4885" s="13">
        <v>43860</v>
      </c>
      <c r="B4885">
        <v>4</v>
      </c>
      <c r="C4885">
        <v>215</v>
      </c>
      <c r="D4885">
        <v>14445</v>
      </c>
      <c r="E4885" t="s">
        <v>112</v>
      </c>
      <c r="F4885" t="s">
        <v>104</v>
      </c>
      <c r="G4885">
        <v>4</v>
      </c>
      <c r="H4885">
        <v>26</v>
      </c>
      <c r="I4885" s="25">
        <v>1977</v>
      </c>
      <c r="K4885" t="s">
        <v>156</v>
      </c>
      <c r="L4885" t="s">
        <v>141</v>
      </c>
      <c r="M4885" t="s">
        <v>52</v>
      </c>
      <c r="N4885" t="s">
        <v>40</v>
      </c>
      <c r="O4885">
        <v>31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1</v>
      </c>
      <c r="V4885">
        <v>0</v>
      </c>
      <c r="W4885">
        <v>0</v>
      </c>
      <c r="X4885" s="21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J4885" t="s">
        <v>54</v>
      </c>
      <c r="AK4885" t="s">
        <v>95</v>
      </c>
      <c r="AP4885" t="s">
        <v>541</v>
      </c>
    </row>
    <row r="4886" spans="1:42">
      <c r="A4886" s="13">
        <v>43860</v>
      </c>
      <c r="B4886">
        <v>4</v>
      </c>
      <c r="C4886">
        <v>215</v>
      </c>
      <c r="D4886">
        <v>14445</v>
      </c>
      <c r="E4886" t="s">
        <v>112</v>
      </c>
      <c r="F4886" t="s">
        <v>104</v>
      </c>
      <c r="G4886">
        <v>4</v>
      </c>
      <c r="H4886">
        <v>27</v>
      </c>
      <c r="I4886" s="25">
        <v>1909</v>
      </c>
      <c r="K4886" t="s">
        <v>156</v>
      </c>
      <c r="L4886" t="s">
        <v>141</v>
      </c>
      <c r="M4886" t="s">
        <v>52</v>
      </c>
      <c r="N4886" t="s">
        <v>40</v>
      </c>
      <c r="O4886">
        <v>81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4</v>
      </c>
      <c r="X4886" s="21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J4886" t="s">
        <v>54</v>
      </c>
      <c r="AK4886" t="s">
        <v>95</v>
      </c>
      <c r="AP4886" t="s">
        <v>541</v>
      </c>
    </row>
    <row r="4887" spans="1:42">
      <c r="A4887" s="13">
        <v>43860</v>
      </c>
      <c r="B4887">
        <v>4</v>
      </c>
      <c r="C4887">
        <v>215</v>
      </c>
      <c r="D4887">
        <v>14445</v>
      </c>
      <c r="E4887" t="s">
        <v>112</v>
      </c>
      <c r="F4887" t="s">
        <v>104</v>
      </c>
      <c r="G4887">
        <v>4</v>
      </c>
      <c r="H4887">
        <v>28</v>
      </c>
      <c r="I4887" s="25">
        <v>1901</v>
      </c>
      <c r="K4887" t="s">
        <v>156</v>
      </c>
      <c r="L4887" t="s">
        <v>141</v>
      </c>
      <c r="M4887" t="s">
        <v>52</v>
      </c>
      <c r="N4887" t="s">
        <v>40</v>
      </c>
      <c r="O4887">
        <v>44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2</v>
      </c>
      <c r="V4887">
        <v>0</v>
      </c>
      <c r="W4887">
        <v>0</v>
      </c>
      <c r="X4887" s="21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J4887" t="s">
        <v>54</v>
      </c>
      <c r="AK4887" t="s">
        <v>95</v>
      </c>
      <c r="AL4887" t="s">
        <v>649</v>
      </c>
      <c r="AP4887" t="s">
        <v>541</v>
      </c>
    </row>
    <row r="4888" spans="1:42">
      <c r="A4888" s="13">
        <v>43860</v>
      </c>
      <c r="B4888">
        <v>4</v>
      </c>
      <c r="C4888">
        <v>215</v>
      </c>
      <c r="D4888">
        <v>14445</v>
      </c>
      <c r="E4888" t="s">
        <v>112</v>
      </c>
      <c r="F4888" t="s">
        <v>104</v>
      </c>
      <c r="G4888">
        <v>4</v>
      </c>
      <c r="H4888">
        <v>29</v>
      </c>
      <c r="I4888" s="25">
        <v>1891</v>
      </c>
      <c r="K4888" t="s">
        <v>156</v>
      </c>
      <c r="L4888" t="s">
        <v>141</v>
      </c>
      <c r="M4888" t="s">
        <v>52</v>
      </c>
      <c r="N4888" t="s">
        <v>40</v>
      </c>
      <c r="O4888">
        <v>84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2</v>
      </c>
      <c r="X4888" s="21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J4888" t="s">
        <v>54</v>
      </c>
      <c r="AK4888" t="s">
        <v>95</v>
      </c>
      <c r="AL4888" t="s">
        <v>649</v>
      </c>
      <c r="AP4888" t="s">
        <v>541</v>
      </c>
    </row>
    <row r="4889" spans="1:42">
      <c r="A4889" s="13">
        <v>43860</v>
      </c>
      <c r="B4889">
        <v>4</v>
      </c>
      <c r="C4889">
        <v>215</v>
      </c>
      <c r="D4889">
        <v>14445</v>
      </c>
      <c r="E4889" t="s">
        <v>112</v>
      </c>
      <c r="F4889" t="s">
        <v>104</v>
      </c>
      <c r="G4889">
        <v>4</v>
      </c>
      <c r="H4889">
        <v>30</v>
      </c>
      <c r="I4889" s="25">
        <v>1863</v>
      </c>
      <c r="K4889" t="s">
        <v>156</v>
      </c>
      <c r="L4889" t="s">
        <v>141</v>
      </c>
      <c r="M4889" t="s">
        <v>52</v>
      </c>
      <c r="N4889" t="s">
        <v>40</v>
      </c>
      <c r="O4889">
        <v>35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2</v>
      </c>
      <c r="V4889">
        <v>0</v>
      </c>
      <c r="W4889">
        <v>0</v>
      </c>
      <c r="X4889" s="21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J4889" t="s">
        <v>54</v>
      </c>
      <c r="AK4889" t="s">
        <v>95</v>
      </c>
      <c r="AP4889" t="s">
        <v>541</v>
      </c>
    </row>
    <row r="4890" spans="1:42">
      <c r="A4890" s="13">
        <v>43860</v>
      </c>
      <c r="B4890">
        <v>4</v>
      </c>
      <c r="C4890">
        <v>215</v>
      </c>
      <c r="D4890">
        <v>14445</v>
      </c>
      <c r="E4890" t="s">
        <v>112</v>
      </c>
      <c r="F4890" t="s">
        <v>104</v>
      </c>
      <c r="G4890">
        <v>4</v>
      </c>
      <c r="H4890">
        <v>31</v>
      </c>
      <c r="I4890" s="25">
        <v>1815</v>
      </c>
      <c r="K4890" t="s">
        <v>156</v>
      </c>
      <c r="L4890" t="s">
        <v>141</v>
      </c>
      <c r="M4890" t="s">
        <v>52</v>
      </c>
      <c r="N4890" t="s">
        <v>40</v>
      </c>
      <c r="O4890">
        <v>56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1</v>
      </c>
      <c r="V4890">
        <v>2</v>
      </c>
      <c r="W4890">
        <v>0</v>
      </c>
      <c r="X4890" s="21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J4890" t="s">
        <v>54</v>
      </c>
      <c r="AK4890" t="s">
        <v>95</v>
      </c>
      <c r="AP4890" t="s">
        <v>541</v>
      </c>
    </row>
    <row r="4891" spans="1:42">
      <c r="A4891" s="13">
        <v>43860</v>
      </c>
      <c r="B4891">
        <v>4</v>
      </c>
      <c r="C4891">
        <v>215</v>
      </c>
      <c r="D4891">
        <v>14445</v>
      </c>
      <c r="E4891" t="s">
        <v>112</v>
      </c>
      <c r="F4891" t="s">
        <v>104</v>
      </c>
      <c r="G4891">
        <v>4</v>
      </c>
      <c r="H4891">
        <v>32</v>
      </c>
      <c r="I4891" s="25">
        <v>1815</v>
      </c>
      <c r="K4891" t="s">
        <v>156</v>
      </c>
      <c r="L4891" t="s">
        <v>141</v>
      </c>
      <c r="M4891" t="s">
        <v>52</v>
      </c>
      <c r="N4891" t="s">
        <v>44</v>
      </c>
      <c r="O4891">
        <v>248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2</v>
      </c>
      <c r="X4891" s="2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J4891" t="s">
        <v>54</v>
      </c>
      <c r="AK4891" t="s">
        <v>95</v>
      </c>
      <c r="AL4891" t="s">
        <v>1593</v>
      </c>
      <c r="AP4891" t="s">
        <v>541</v>
      </c>
    </row>
    <row r="4892" spans="1:42">
      <c r="A4892" s="13">
        <v>43860</v>
      </c>
      <c r="B4892">
        <v>4</v>
      </c>
      <c r="C4892">
        <v>215</v>
      </c>
      <c r="D4892">
        <v>14445</v>
      </c>
      <c r="E4892" t="s">
        <v>112</v>
      </c>
      <c r="F4892" t="s">
        <v>104</v>
      </c>
      <c r="G4892">
        <v>4</v>
      </c>
      <c r="H4892">
        <v>33</v>
      </c>
      <c r="I4892" s="25">
        <v>1801</v>
      </c>
      <c r="K4892" t="s">
        <v>156</v>
      </c>
      <c r="L4892" t="s">
        <v>141</v>
      </c>
      <c r="M4892" t="s">
        <v>52</v>
      </c>
      <c r="N4892" t="s">
        <v>40</v>
      </c>
      <c r="O4892">
        <v>29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 s="21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J4892" t="s">
        <v>54</v>
      </c>
      <c r="AK4892" t="s">
        <v>95</v>
      </c>
      <c r="AL4892" t="s">
        <v>649</v>
      </c>
      <c r="AP4892" t="s">
        <v>541</v>
      </c>
    </row>
    <row r="4893" spans="1:42">
      <c r="A4893" s="13">
        <v>43860</v>
      </c>
      <c r="B4893">
        <v>4</v>
      </c>
      <c r="C4893">
        <v>215</v>
      </c>
      <c r="D4893">
        <v>14445</v>
      </c>
      <c r="E4893" t="s">
        <v>112</v>
      </c>
      <c r="F4893" t="s">
        <v>104</v>
      </c>
      <c r="G4893">
        <v>4</v>
      </c>
      <c r="H4893">
        <v>34</v>
      </c>
      <c r="I4893" s="25">
        <v>3200</v>
      </c>
      <c r="K4893" t="s">
        <v>596</v>
      </c>
      <c r="L4893" t="s">
        <v>114</v>
      </c>
      <c r="M4893" t="s">
        <v>52</v>
      </c>
      <c r="N4893" t="s">
        <v>40</v>
      </c>
      <c r="O4893">
        <v>22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 s="21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J4893" t="s">
        <v>54</v>
      </c>
      <c r="AK4893" t="s">
        <v>95</v>
      </c>
      <c r="AL4893" t="s">
        <v>649</v>
      </c>
      <c r="AP4893" t="s">
        <v>541</v>
      </c>
    </row>
    <row r="4894" spans="1:42">
      <c r="A4894" s="13">
        <v>43860</v>
      </c>
      <c r="B4894">
        <v>4</v>
      </c>
      <c r="C4894">
        <v>215</v>
      </c>
      <c r="D4894">
        <v>14445</v>
      </c>
      <c r="E4894" t="s">
        <v>112</v>
      </c>
      <c r="F4894" t="s">
        <v>104</v>
      </c>
      <c r="G4894">
        <v>4</v>
      </c>
      <c r="H4894">
        <v>35</v>
      </c>
      <c r="I4894" s="25">
        <v>1873</v>
      </c>
      <c r="K4894" t="s">
        <v>210</v>
      </c>
      <c r="L4894" t="s">
        <v>141</v>
      </c>
      <c r="M4894" t="s">
        <v>52</v>
      </c>
      <c r="N4894" t="s">
        <v>40</v>
      </c>
      <c r="O4894">
        <v>28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2</v>
      </c>
      <c r="W4894">
        <v>0</v>
      </c>
      <c r="X4894" s="21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J4894" t="s">
        <v>54</v>
      </c>
      <c r="AK4894" t="s">
        <v>95</v>
      </c>
      <c r="AP4894" t="s">
        <v>541</v>
      </c>
    </row>
    <row r="4895" spans="1:42">
      <c r="A4895" s="13">
        <v>43860</v>
      </c>
      <c r="B4895">
        <v>4</v>
      </c>
      <c r="C4895">
        <v>215</v>
      </c>
      <c r="D4895">
        <v>14445</v>
      </c>
      <c r="E4895" t="s">
        <v>112</v>
      </c>
      <c r="F4895" t="s">
        <v>104</v>
      </c>
      <c r="G4895">
        <v>4</v>
      </c>
      <c r="H4895">
        <v>36</v>
      </c>
      <c r="I4895" s="25">
        <v>1863</v>
      </c>
      <c r="K4895" t="s">
        <v>210</v>
      </c>
      <c r="L4895" t="s">
        <v>141</v>
      </c>
      <c r="M4895" t="s">
        <v>52</v>
      </c>
      <c r="N4895" t="s">
        <v>40</v>
      </c>
      <c r="O4895">
        <v>101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8</v>
      </c>
      <c r="V4895">
        <v>0</v>
      </c>
      <c r="W4895">
        <v>0</v>
      </c>
      <c r="X4895" s="21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J4895" t="s">
        <v>54</v>
      </c>
      <c r="AK4895" t="s">
        <v>95</v>
      </c>
      <c r="AP4895" t="s">
        <v>541</v>
      </c>
    </row>
    <row r="4896" spans="1:42">
      <c r="A4896" s="13">
        <v>43860</v>
      </c>
      <c r="B4896">
        <v>4</v>
      </c>
      <c r="C4896">
        <v>215</v>
      </c>
      <c r="D4896">
        <v>14445</v>
      </c>
      <c r="E4896" t="s">
        <v>112</v>
      </c>
      <c r="F4896" t="s">
        <v>104</v>
      </c>
      <c r="G4896">
        <v>4</v>
      </c>
      <c r="H4896">
        <v>37</v>
      </c>
      <c r="I4896" s="25">
        <v>1853</v>
      </c>
      <c r="K4896" t="s">
        <v>210</v>
      </c>
      <c r="L4896" t="s">
        <v>141</v>
      </c>
      <c r="M4896" t="s">
        <v>52</v>
      </c>
      <c r="N4896" t="s">
        <v>40</v>
      </c>
      <c r="O4896">
        <v>29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1</v>
      </c>
      <c r="W4896">
        <v>0</v>
      </c>
      <c r="X4896" s="21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J4896" t="s">
        <v>54</v>
      </c>
      <c r="AK4896" t="s">
        <v>95</v>
      </c>
      <c r="AP4896" t="s">
        <v>541</v>
      </c>
    </row>
    <row r="4897" spans="1:42">
      <c r="A4897" s="13">
        <v>43860</v>
      </c>
      <c r="B4897">
        <v>4</v>
      </c>
      <c r="C4897">
        <v>215</v>
      </c>
      <c r="D4897">
        <v>14445</v>
      </c>
      <c r="E4897" t="s">
        <v>112</v>
      </c>
      <c r="F4897" t="s">
        <v>104</v>
      </c>
      <c r="G4897">
        <v>4</v>
      </c>
      <c r="H4897">
        <v>38</v>
      </c>
      <c r="I4897" s="25">
        <v>1841</v>
      </c>
      <c r="K4897" t="s">
        <v>210</v>
      </c>
      <c r="L4897" t="s">
        <v>141</v>
      </c>
      <c r="M4897" t="s">
        <v>52</v>
      </c>
      <c r="N4897" t="s">
        <v>40</v>
      </c>
      <c r="O4897">
        <v>47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2</v>
      </c>
      <c r="W4897">
        <v>0</v>
      </c>
      <c r="X4897" s="21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J4897" t="s">
        <v>54</v>
      </c>
      <c r="AK4897" t="s">
        <v>95</v>
      </c>
      <c r="AP4897" t="s">
        <v>541</v>
      </c>
    </row>
    <row r="4898" spans="1:42">
      <c r="A4898" s="13">
        <v>43860</v>
      </c>
      <c r="B4898">
        <v>4</v>
      </c>
      <c r="C4898">
        <v>215</v>
      </c>
      <c r="D4898">
        <v>14445</v>
      </c>
      <c r="E4898" t="s">
        <v>112</v>
      </c>
      <c r="F4898" t="s">
        <v>104</v>
      </c>
      <c r="G4898">
        <v>4</v>
      </c>
      <c r="H4898">
        <v>39</v>
      </c>
      <c r="I4898" s="25">
        <v>1839</v>
      </c>
      <c r="K4898" t="s">
        <v>210</v>
      </c>
      <c r="L4898" t="s">
        <v>141</v>
      </c>
      <c r="M4898" t="s">
        <v>52</v>
      </c>
      <c r="N4898" t="s">
        <v>40</v>
      </c>
      <c r="O4898">
        <v>29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1</v>
      </c>
      <c r="W4898">
        <v>0</v>
      </c>
      <c r="X4898" s="21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J4898" t="s">
        <v>54</v>
      </c>
      <c r="AK4898" t="s">
        <v>95</v>
      </c>
      <c r="AP4898" t="s">
        <v>541</v>
      </c>
    </row>
    <row r="4899" spans="1:42">
      <c r="A4899" s="13">
        <v>43860</v>
      </c>
      <c r="B4899">
        <v>4</v>
      </c>
      <c r="C4899">
        <v>215</v>
      </c>
      <c r="D4899">
        <v>14445</v>
      </c>
      <c r="E4899" t="s">
        <v>112</v>
      </c>
      <c r="F4899" t="s">
        <v>104</v>
      </c>
      <c r="G4899">
        <v>4</v>
      </c>
      <c r="H4899">
        <v>40</v>
      </c>
      <c r="I4899" s="25">
        <v>1863</v>
      </c>
      <c r="K4899" t="s">
        <v>210</v>
      </c>
      <c r="L4899" t="s">
        <v>141</v>
      </c>
      <c r="M4899" t="s">
        <v>52</v>
      </c>
      <c r="N4899" t="s">
        <v>44</v>
      </c>
      <c r="O4899">
        <v>76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1</v>
      </c>
      <c r="W4899">
        <v>0</v>
      </c>
      <c r="X4899" s="21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J4899" t="s">
        <v>54</v>
      </c>
      <c r="AK4899" t="s">
        <v>95</v>
      </c>
      <c r="AL4899" t="s">
        <v>611</v>
      </c>
      <c r="AP4899" t="s">
        <v>541</v>
      </c>
    </row>
    <row r="4900" spans="1:42">
      <c r="A4900" s="13">
        <v>43860</v>
      </c>
      <c r="B4900">
        <v>4</v>
      </c>
      <c r="C4900">
        <v>215</v>
      </c>
      <c r="D4900">
        <v>14445</v>
      </c>
      <c r="E4900" t="s">
        <v>112</v>
      </c>
      <c r="F4900" t="s">
        <v>104</v>
      </c>
      <c r="G4900">
        <v>4</v>
      </c>
      <c r="H4900">
        <v>41</v>
      </c>
      <c r="I4900" s="25">
        <v>1857</v>
      </c>
      <c r="K4900" t="s">
        <v>210</v>
      </c>
      <c r="L4900" t="s">
        <v>141</v>
      </c>
      <c r="M4900" t="s">
        <v>52</v>
      </c>
      <c r="N4900" t="s">
        <v>44</v>
      </c>
      <c r="O4900">
        <v>115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1</v>
      </c>
      <c r="W4900">
        <v>0</v>
      </c>
      <c r="X4900" s="21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J4900" t="s">
        <v>54</v>
      </c>
      <c r="AK4900" t="s">
        <v>95</v>
      </c>
      <c r="AL4900" t="s">
        <v>611</v>
      </c>
      <c r="AP4900" t="s">
        <v>541</v>
      </c>
    </row>
    <row r="4901" spans="1:42">
      <c r="A4901" s="13">
        <v>43860</v>
      </c>
      <c r="B4901">
        <v>4</v>
      </c>
      <c r="C4901">
        <v>215</v>
      </c>
      <c r="D4901">
        <v>14445</v>
      </c>
      <c r="E4901" t="s">
        <v>112</v>
      </c>
      <c r="F4901" t="s">
        <v>104</v>
      </c>
      <c r="G4901">
        <v>4</v>
      </c>
      <c r="H4901">
        <v>42</v>
      </c>
      <c r="I4901" s="25">
        <v>1825</v>
      </c>
      <c r="K4901" t="s">
        <v>210</v>
      </c>
      <c r="L4901" t="s">
        <v>141</v>
      </c>
      <c r="M4901" t="s">
        <v>52</v>
      </c>
      <c r="N4901" t="s">
        <v>44</v>
      </c>
      <c r="O4901">
        <v>135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1</v>
      </c>
      <c r="W4901">
        <v>1</v>
      </c>
      <c r="X4901" s="2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J4901" t="s">
        <v>54</v>
      </c>
      <c r="AK4901" t="s">
        <v>95</v>
      </c>
      <c r="AL4901" t="s">
        <v>611</v>
      </c>
      <c r="AP4901" t="s">
        <v>541</v>
      </c>
    </row>
    <row r="4902" spans="1:42">
      <c r="A4902" s="13">
        <v>43860</v>
      </c>
      <c r="B4902">
        <v>4</v>
      </c>
      <c r="C4902">
        <v>215</v>
      </c>
      <c r="D4902">
        <v>14445</v>
      </c>
      <c r="E4902" t="s">
        <v>112</v>
      </c>
      <c r="F4902" t="s">
        <v>104</v>
      </c>
      <c r="G4902">
        <v>4</v>
      </c>
      <c r="H4902">
        <v>43</v>
      </c>
      <c r="I4902" s="25">
        <v>3125</v>
      </c>
      <c r="K4902" t="s">
        <v>588</v>
      </c>
      <c r="L4902" t="s">
        <v>141</v>
      </c>
      <c r="M4902" t="s">
        <v>52</v>
      </c>
      <c r="N4902" t="s">
        <v>40</v>
      </c>
      <c r="O4902">
        <v>53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1</v>
      </c>
      <c r="W4902">
        <v>0</v>
      </c>
      <c r="X4902" s="21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J4902" t="s">
        <v>54</v>
      </c>
      <c r="AK4902" t="s">
        <v>52</v>
      </c>
      <c r="AP4902" t="s">
        <v>541</v>
      </c>
    </row>
    <row r="4903" spans="1:42">
      <c r="A4903" s="13">
        <v>43860</v>
      </c>
      <c r="B4903">
        <v>4</v>
      </c>
      <c r="C4903">
        <v>215</v>
      </c>
      <c r="D4903">
        <v>14445</v>
      </c>
      <c r="E4903" t="s">
        <v>112</v>
      </c>
      <c r="F4903" t="s">
        <v>104</v>
      </c>
      <c r="G4903">
        <v>4</v>
      </c>
      <c r="H4903">
        <v>44</v>
      </c>
      <c r="I4903" s="25">
        <v>3125</v>
      </c>
      <c r="K4903" t="s">
        <v>588</v>
      </c>
      <c r="L4903" t="s">
        <v>141</v>
      </c>
      <c r="M4903" t="s">
        <v>52</v>
      </c>
      <c r="N4903" t="s">
        <v>44</v>
      </c>
      <c r="O4903">
        <v>106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1</v>
      </c>
      <c r="W4903">
        <v>0</v>
      </c>
      <c r="X4903" s="21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J4903" t="s">
        <v>54</v>
      </c>
      <c r="AK4903" t="s">
        <v>52</v>
      </c>
      <c r="AL4903" t="s">
        <v>590</v>
      </c>
      <c r="AP4903" t="s">
        <v>541</v>
      </c>
    </row>
    <row r="4904" spans="1:42">
      <c r="A4904" s="13">
        <v>43860</v>
      </c>
      <c r="B4904">
        <v>4</v>
      </c>
      <c r="C4904">
        <v>215</v>
      </c>
      <c r="D4904">
        <v>14445</v>
      </c>
      <c r="E4904" t="s">
        <v>112</v>
      </c>
      <c r="F4904" t="s">
        <v>104</v>
      </c>
      <c r="G4904">
        <v>4</v>
      </c>
      <c r="H4904">
        <v>45</v>
      </c>
      <c r="I4904" s="25">
        <v>3121</v>
      </c>
      <c r="K4904" t="s">
        <v>588</v>
      </c>
      <c r="L4904" t="s">
        <v>141</v>
      </c>
      <c r="M4904" t="s">
        <v>52</v>
      </c>
      <c r="N4904" t="s">
        <v>40</v>
      </c>
      <c r="O4904">
        <v>33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2</v>
      </c>
      <c r="W4904">
        <v>0</v>
      </c>
      <c r="X4904" s="21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J4904" t="s">
        <v>54</v>
      </c>
      <c r="AK4904" t="s">
        <v>52</v>
      </c>
      <c r="AP4904" t="s">
        <v>541</v>
      </c>
    </row>
    <row r="4905" spans="1:42">
      <c r="A4905" s="13">
        <v>43860</v>
      </c>
      <c r="B4905">
        <v>4</v>
      </c>
      <c r="C4905">
        <v>215</v>
      </c>
      <c r="D4905">
        <v>14445</v>
      </c>
      <c r="E4905" t="s">
        <v>112</v>
      </c>
      <c r="F4905" t="s">
        <v>104</v>
      </c>
      <c r="G4905">
        <v>4</v>
      </c>
      <c r="H4905">
        <v>46</v>
      </c>
      <c r="I4905" s="25">
        <v>3035</v>
      </c>
      <c r="K4905" t="s">
        <v>588</v>
      </c>
      <c r="L4905" t="s">
        <v>141</v>
      </c>
      <c r="M4905" t="s">
        <v>52</v>
      </c>
      <c r="N4905" t="s">
        <v>40</v>
      </c>
      <c r="O4905">
        <v>29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2</v>
      </c>
      <c r="W4905">
        <v>0</v>
      </c>
      <c r="X4905" s="21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J4905" t="s">
        <v>54</v>
      </c>
      <c r="AK4905" t="s">
        <v>52</v>
      </c>
      <c r="AP4905" t="s">
        <v>541</v>
      </c>
    </row>
    <row r="4906" spans="1:42">
      <c r="A4906" s="13">
        <v>43860</v>
      </c>
      <c r="B4906">
        <v>4</v>
      </c>
      <c r="C4906">
        <v>215</v>
      </c>
      <c r="D4906">
        <v>14445</v>
      </c>
      <c r="E4906" t="s">
        <v>112</v>
      </c>
      <c r="F4906" t="s">
        <v>104</v>
      </c>
      <c r="G4906">
        <v>4</v>
      </c>
      <c r="H4906">
        <v>47</v>
      </c>
      <c r="I4906" s="25">
        <v>3006</v>
      </c>
      <c r="K4906" t="s">
        <v>588</v>
      </c>
      <c r="L4906" t="s">
        <v>114</v>
      </c>
      <c r="M4906" t="s">
        <v>52</v>
      </c>
      <c r="N4906" t="s">
        <v>40</v>
      </c>
      <c r="O4906">
        <v>105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6</v>
      </c>
      <c r="V4906">
        <v>2</v>
      </c>
      <c r="W4906">
        <v>0</v>
      </c>
      <c r="X4906" s="21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J4906" t="s">
        <v>54</v>
      </c>
      <c r="AK4906" t="s">
        <v>52</v>
      </c>
      <c r="AP4906" t="s">
        <v>541</v>
      </c>
    </row>
    <row r="4907" spans="1:42">
      <c r="A4907" s="13">
        <v>43860</v>
      </c>
      <c r="B4907">
        <v>4</v>
      </c>
      <c r="C4907">
        <v>215</v>
      </c>
      <c r="D4907">
        <v>14445</v>
      </c>
      <c r="E4907" t="s">
        <v>112</v>
      </c>
      <c r="F4907" t="s">
        <v>104</v>
      </c>
      <c r="G4907">
        <v>4</v>
      </c>
      <c r="H4907">
        <v>48</v>
      </c>
      <c r="I4907" s="25">
        <v>3900</v>
      </c>
      <c r="K4907" t="s">
        <v>588</v>
      </c>
      <c r="L4907" t="s">
        <v>114</v>
      </c>
      <c r="M4907" t="s">
        <v>52</v>
      </c>
      <c r="N4907" t="s">
        <v>40</v>
      </c>
      <c r="O4907">
        <v>29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2</v>
      </c>
      <c r="V4907">
        <v>0</v>
      </c>
      <c r="W4907">
        <v>0</v>
      </c>
      <c r="X4907" s="21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J4907" t="s">
        <v>54</v>
      </c>
      <c r="AK4907" t="s">
        <v>52</v>
      </c>
      <c r="AP4907" t="s">
        <v>541</v>
      </c>
    </row>
    <row r="4908" spans="1:42">
      <c r="A4908" s="13">
        <v>43860</v>
      </c>
      <c r="B4908">
        <v>4</v>
      </c>
      <c r="C4908">
        <v>215</v>
      </c>
      <c r="D4908">
        <v>14445</v>
      </c>
      <c r="E4908" t="s">
        <v>112</v>
      </c>
      <c r="F4908" t="s">
        <v>104</v>
      </c>
      <c r="G4908">
        <v>4</v>
      </c>
      <c r="H4908">
        <v>49</v>
      </c>
      <c r="I4908" s="25">
        <v>2800</v>
      </c>
      <c r="K4908" t="s">
        <v>588</v>
      </c>
      <c r="L4908" t="s">
        <v>114</v>
      </c>
      <c r="M4908" t="s">
        <v>52</v>
      </c>
      <c r="N4908" t="s">
        <v>40</v>
      </c>
      <c r="O4908">
        <v>50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 s="21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J4908" t="s">
        <v>54</v>
      </c>
      <c r="AK4908" t="s">
        <v>52</v>
      </c>
      <c r="AL4908" t="s">
        <v>649</v>
      </c>
      <c r="AP4908" t="s">
        <v>541</v>
      </c>
    </row>
    <row r="4909" spans="1:42">
      <c r="A4909" s="13">
        <v>43860</v>
      </c>
      <c r="B4909">
        <v>4</v>
      </c>
      <c r="C4909">
        <v>215</v>
      </c>
      <c r="D4909">
        <v>14445</v>
      </c>
      <c r="E4909" t="s">
        <v>112</v>
      </c>
      <c r="F4909" t="s">
        <v>104</v>
      </c>
      <c r="G4909">
        <v>4</v>
      </c>
      <c r="H4909">
        <v>50</v>
      </c>
      <c r="I4909" s="25">
        <v>2808</v>
      </c>
      <c r="K4909" t="s">
        <v>588</v>
      </c>
      <c r="L4909" t="s">
        <v>114</v>
      </c>
      <c r="M4909" t="s">
        <v>52</v>
      </c>
      <c r="N4909" t="s">
        <v>40</v>
      </c>
      <c r="O4909">
        <v>52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2</v>
      </c>
      <c r="V4909">
        <v>0</v>
      </c>
      <c r="W4909">
        <v>0</v>
      </c>
      <c r="X4909" s="21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J4909" t="s">
        <v>54</v>
      </c>
      <c r="AK4909" t="s">
        <v>52</v>
      </c>
      <c r="AP4909" t="s">
        <v>541</v>
      </c>
    </row>
    <row r="4910" spans="1:42">
      <c r="A4910" s="13">
        <v>43860</v>
      </c>
      <c r="B4910">
        <v>4</v>
      </c>
      <c r="C4910">
        <v>215</v>
      </c>
      <c r="D4910">
        <v>14445</v>
      </c>
      <c r="E4910" t="s">
        <v>112</v>
      </c>
      <c r="F4910" t="s">
        <v>104</v>
      </c>
      <c r="G4910">
        <v>4</v>
      </c>
      <c r="H4910">
        <v>51</v>
      </c>
      <c r="I4910" s="25">
        <v>2814</v>
      </c>
      <c r="K4910" t="s">
        <v>588</v>
      </c>
      <c r="L4910" t="s">
        <v>114</v>
      </c>
      <c r="M4910" t="s">
        <v>52</v>
      </c>
      <c r="N4910" t="s">
        <v>40</v>
      </c>
      <c r="O4910">
        <v>67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3</v>
      </c>
      <c r="V4910">
        <v>0</v>
      </c>
      <c r="W4910">
        <v>0</v>
      </c>
      <c r="X4910" s="21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J4910" t="s">
        <v>54</v>
      </c>
      <c r="AK4910" t="s">
        <v>52</v>
      </c>
      <c r="AP4910" t="s">
        <v>541</v>
      </c>
    </row>
    <row r="4911" spans="1:42">
      <c r="A4911" s="13">
        <v>43860</v>
      </c>
      <c r="B4911">
        <v>4</v>
      </c>
      <c r="C4911">
        <v>215</v>
      </c>
      <c r="D4911">
        <v>14445</v>
      </c>
      <c r="E4911" t="s">
        <v>112</v>
      </c>
      <c r="F4911" t="s">
        <v>104</v>
      </c>
      <c r="G4911">
        <v>4</v>
      </c>
      <c r="H4911">
        <v>52</v>
      </c>
      <c r="I4911" s="25">
        <v>2816</v>
      </c>
      <c r="K4911" t="s">
        <v>588</v>
      </c>
      <c r="L4911" t="s">
        <v>114</v>
      </c>
      <c r="M4911" t="s">
        <v>52</v>
      </c>
      <c r="N4911" t="s">
        <v>40</v>
      </c>
      <c r="O4911">
        <v>61</v>
      </c>
      <c r="P4911">
        <v>0</v>
      </c>
      <c r="Q4911">
        <v>0</v>
      </c>
      <c r="R4911">
        <v>0</v>
      </c>
      <c r="S4911">
        <v>1</v>
      </c>
      <c r="T4911">
        <v>0</v>
      </c>
      <c r="U4911">
        <v>3</v>
      </c>
      <c r="V4911">
        <v>0</v>
      </c>
      <c r="W4911">
        <v>0</v>
      </c>
      <c r="X4911" s="2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J4911" t="s">
        <v>54</v>
      </c>
      <c r="AK4911" t="s">
        <v>52</v>
      </c>
      <c r="AP4911" t="s">
        <v>541</v>
      </c>
    </row>
    <row r="4912" spans="1:42">
      <c r="A4912" s="13">
        <v>43860</v>
      </c>
      <c r="B4912">
        <v>4</v>
      </c>
      <c r="C4912">
        <v>215</v>
      </c>
      <c r="D4912">
        <v>14445</v>
      </c>
      <c r="E4912" t="s">
        <v>112</v>
      </c>
      <c r="F4912" t="s">
        <v>104</v>
      </c>
      <c r="G4912">
        <v>4</v>
      </c>
      <c r="H4912">
        <v>53</v>
      </c>
      <c r="I4912" s="25">
        <v>2922</v>
      </c>
      <c r="K4912" t="s">
        <v>588</v>
      </c>
      <c r="L4912" t="s">
        <v>114</v>
      </c>
      <c r="M4912" t="s">
        <v>52</v>
      </c>
      <c r="N4912" t="s">
        <v>40</v>
      </c>
      <c r="O4912">
        <v>123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4</v>
      </c>
      <c r="V4912">
        <v>1</v>
      </c>
      <c r="W4912">
        <v>0</v>
      </c>
      <c r="X4912" s="21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J4912" t="s">
        <v>54</v>
      </c>
      <c r="AK4912" t="s">
        <v>52</v>
      </c>
      <c r="AP4912" t="s">
        <v>541</v>
      </c>
    </row>
    <row r="4913" spans="1:42">
      <c r="A4913" s="13">
        <v>43860</v>
      </c>
      <c r="B4913">
        <v>4</v>
      </c>
      <c r="C4913">
        <v>215</v>
      </c>
      <c r="D4913">
        <v>14445</v>
      </c>
      <c r="E4913" t="s">
        <v>112</v>
      </c>
      <c r="F4913" t="s">
        <v>104</v>
      </c>
      <c r="G4913">
        <v>4</v>
      </c>
      <c r="H4913">
        <v>54</v>
      </c>
      <c r="I4913" s="25">
        <v>2926</v>
      </c>
      <c r="K4913" t="s">
        <v>588</v>
      </c>
      <c r="L4913" t="s">
        <v>114</v>
      </c>
      <c r="M4913" t="s">
        <v>52</v>
      </c>
      <c r="N4913" t="s">
        <v>40</v>
      </c>
      <c r="O4913">
        <v>71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4</v>
      </c>
      <c r="V4913">
        <v>0</v>
      </c>
      <c r="W4913">
        <v>0</v>
      </c>
      <c r="X4913" s="21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J4913" t="s">
        <v>54</v>
      </c>
      <c r="AK4913" t="s">
        <v>52</v>
      </c>
      <c r="AP4913" t="s">
        <v>541</v>
      </c>
    </row>
    <row r="4914" spans="1:42">
      <c r="A4914" s="13">
        <v>43860</v>
      </c>
      <c r="B4914">
        <v>4</v>
      </c>
      <c r="C4914">
        <v>215</v>
      </c>
      <c r="D4914">
        <v>14445</v>
      </c>
      <c r="E4914" t="s">
        <v>112</v>
      </c>
      <c r="F4914" t="s">
        <v>104</v>
      </c>
      <c r="G4914">
        <v>4</v>
      </c>
      <c r="H4914">
        <v>55</v>
      </c>
      <c r="I4914" s="25">
        <v>2924</v>
      </c>
      <c r="K4914" t="s">
        <v>588</v>
      </c>
      <c r="L4914" t="s">
        <v>114</v>
      </c>
      <c r="M4914" t="s">
        <v>52</v>
      </c>
      <c r="N4914" t="s">
        <v>44</v>
      </c>
      <c r="O4914">
        <v>129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1</v>
      </c>
      <c r="W4914">
        <v>0</v>
      </c>
      <c r="X4914" s="21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J4914" t="s">
        <v>54</v>
      </c>
      <c r="AK4914" t="s">
        <v>52</v>
      </c>
      <c r="AL4914" t="s">
        <v>612</v>
      </c>
      <c r="AP4914" t="s">
        <v>541</v>
      </c>
    </row>
    <row r="4915" spans="1:42">
      <c r="A4915" s="13">
        <v>43860</v>
      </c>
      <c r="B4915">
        <v>4</v>
      </c>
      <c r="C4915">
        <v>215</v>
      </c>
      <c r="D4915">
        <v>14445</v>
      </c>
      <c r="E4915" t="s">
        <v>112</v>
      </c>
      <c r="F4915" t="s">
        <v>104</v>
      </c>
      <c r="G4915">
        <v>4</v>
      </c>
      <c r="H4915">
        <v>56</v>
      </c>
      <c r="I4915" s="25">
        <v>2944</v>
      </c>
      <c r="K4915" t="s">
        <v>588</v>
      </c>
      <c r="L4915" t="s">
        <v>114</v>
      </c>
      <c r="M4915" t="s">
        <v>52</v>
      </c>
      <c r="N4915" t="s">
        <v>40</v>
      </c>
      <c r="O4915">
        <v>46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2</v>
      </c>
      <c r="W4915">
        <v>0</v>
      </c>
      <c r="X4915" s="21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J4915" t="s">
        <v>54</v>
      </c>
      <c r="AK4915" t="s">
        <v>52</v>
      </c>
      <c r="AP4915" t="s">
        <v>541</v>
      </c>
    </row>
    <row r="4916" spans="1:42">
      <c r="A4916" s="13">
        <v>43860</v>
      </c>
      <c r="B4916">
        <v>4</v>
      </c>
      <c r="C4916">
        <v>215</v>
      </c>
      <c r="D4916">
        <v>14445</v>
      </c>
      <c r="E4916" t="s">
        <v>112</v>
      </c>
      <c r="F4916" t="s">
        <v>104</v>
      </c>
      <c r="G4916">
        <v>4</v>
      </c>
      <c r="H4916">
        <v>57</v>
      </c>
      <c r="I4916" s="25">
        <v>2948</v>
      </c>
      <c r="K4916" t="s">
        <v>588</v>
      </c>
      <c r="L4916" t="s">
        <v>114</v>
      </c>
      <c r="M4916" t="s">
        <v>52</v>
      </c>
      <c r="N4916" t="s">
        <v>40</v>
      </c>
      <c r="O4916">
        <v>32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1</v>
      </c>
      <c r="V4916">
        <v>1</v>
      </c>
      <c r="W4916">
        <v>0</v>
      </c>
      <c r="X4916" s="21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J4916" t="s">
        <v>54</v>
      </c>
      <c r="AK4916" t="s">
        <v>52</v>
      </c>
      <c r="AP4916" t="s">
        <v>541</v>
      </c>
    </row>
    <row r="4917" spans="1:42">
      <c r="A4917" s="13">
        <v>43860</v>
      </c>
      <c r="B4917">
        <v>4</v>
      </c>
      <c r="C4917">
        <v>215</v>
      </c>
      <c r="D4917">
        <v>14445</v>
      </c>
      <c r="E4917" t="s">
        <v>112</v>
      </c>
      <c r="F4917" t="s">
        <v>104</v>
      </c>
      <c r="G4917">
        <v>4</v>
      </c>
      <c r="H4917">
        <v>58</v>
      </c>
      <c r="I4917" s="25">
        <v>2960</v>
      </c>
      <c r="K4917" t="s">
        <v>588</v>
      </c>
      <c r="L4917" t="s">
        <v>114</v>
      </c>
      <c r="M4917" t="s">
        <v>52</v>
      </c>
      <c r="N4917" t="s">
        <v>40</v>
      </c>
      <c r="O4917">
        <v>37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1</v>
      </c>
      <c r="V4917">
        <v>1</v>
      </c>
      <c r="W4917">
        <v>0</v>
      </c>
      <c r="X4917" s="21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J4917" t="s">
        <v>54</v>
      </c>
      <c r="AK4917" t="s">
        <v>52</v>
      </c>
      <c r="AP4917" t="s">
        <v>541</v>
      </c>
    </row>
    <row r="4918" spans="1:42">
      <c r="A4918" s="13">
        <v>43860</v>
      </c>
      <c r="B4918">
        <v>4</v>
      </c>
      <c r="C4918">
        <v>215</v>
      </c>
      <c r="D4918">
        <v>14445</v>
      </c>
      <c r="E4918" t="s">
        <v>112</v>
      </c>
      <c r="F4918" t="s">
        <v>104</v>
      </c>
      <c r="G4918">
        <v>4</v>
      </c>
      <c r="H4918">
        <v>59</v>
      </c>
      <c r="I4918" s="25">
        <v>3002</v>
      </c>
      <c r="K4918" t="s">
        <v>588</v>
      </c>
      <c r="L4918" t="s">
        <v>114</v>
      </c>
      <c r="M4918" t="s">
        <v>52</v>
      </c>
      <c r="N4918" t="s">
        <v>40</v>
      </c>
      <c r="O4918">
        <v>75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2</v>
      </c>
      <c r="V4918">
        <v>0</v>
      </c>
      <c r="W4918">
        <v>0</v>
      </c>
      <c r="X4918" s="21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J4918" t="s">
        <v>54</v>
      </c>
      <c r="AK4918" t="s">
        <v>52</v>
      </c>
      <c r="AP4918" t="s">
        <v>541</v>
      </c>
    </row>
    <row r="4919" spans="1:42">
      <c r="A4919" s="13">
        <v>43860</v>
      </c>
      <c r="B4919">
        <v>4</v>
      </c>
      <c r="C4919">
        <v>215</v>
      </c>
      <c r="D4919">
        <v>14445</v>
      </c>
      <c r="E4919" t="s">
        <v>112</v>
      </c>
      <c r="F4919" t="s">
        <v>104</v>
      </c>
      <c r="G4919">
        <v>4</v>
      </c>
      <c r="H4919">
        <v>60</v>
      </c>
      <c r="I4919" s="25">
        <v>3016</v>
      </c>
      <c r="K4919" t="s">
        <v>588</v>
      </c>
      <c r="L4919" t="s">
        <v>114</v>
      </c>
      <c r="M4919" t="s">
        <v>52</v>
      </c>
      <c r="N4919" t="s">
        <v>40</v>
      </c>
      <c r="O4919">
        <v>28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2</v>
      </c>
      <c r="V4919">
        <v>0</v>
      </c>
      <c r="W4919">
        <v>0</v>
      </c>
      <c r="X4919" s="21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J4919" t="s">
        <v>54</v>
      </c>
      <c r="AK4919" t="s">
        <v>52</v>
      </c>
      <c r="AP4919" t="s">
        <v>541</v>
      </c>
    </row>
    <row r="4920" spans="1:42">
      <c r="A4920" s="13">
        <v>43860</v>
      </c>
      <c r="B4920">
        <v>4</v>
      </c>
      <c r="C4920">
        <v>215</v>
      </c>
      <c r="D4920">
        <v>14445</v>
      </c>
      <c r="E4920" t="s">
        <v>112</v>
      </c>
      <c r="F4920" t="s">
        <v>104</v>
      </c>
      <c r="G4920">
        <v>4</v>
      </c>
      <c r="H4920">
        <v>61</v>
      </c>
      <c r="I4920" s="25">
        <v>3020</v>
      </c>
      <c r="K4920" t="s">
        <v>588</v>
      </c>
      <c r="L4920" t="s">
        <v>114</v>
      </c>
      <c r="M4920" t="s">
        <v>52</v>
      </c>
      <c r="N4920" t="s">
        <v>40</v>
      </c>
      <c r="O4920">
        <v>18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  <c r="X4920" s="21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J4920" t="s">
        <v>54</v>
      </c>
      <c r="AK4920" t="s">
        <v>52</v>
      </c>
      <c r="AP4920" t="s">
        <v>541</v>
      </c>
    </row>
    <row r="4921" spans="1:42">
      <c r="A4921" s="13">
        <v>43860</v>
      </c>
      <c r="B4921">
        <v>4</v>
      </c>
      <c r="C4921">
        <v>215</v>
      </c>
      <c r="D4921">
        <v>14445</v>
      </c>
      <c r="E4921" t="s">
        <v>112</v>
      </c>
      <c r="F4921" t="s">
        <v>104</v>
      </c>
      <c r="G4921">
        <v>4</v>
      </c>
      <c r="H4921">
        <v>62</v>
      </c>
      <c r="I4921" s="25">
        <v>3028</v>
      </c>
      <c r="K4921" t="s">
        <v>588</v>
      </c>
      <c r="L4921" t="s">
        <v>114</v>
      </c>
      <c r="M4921" t="s">
        <v>52</v>
      </c>
      <c r="N4921" t="s">
        <v>40</v>
      </c>
      <c r="O4921">
        <v>97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5</v>
      </c>
      <c r="V4921">
        <v>0</v>
      </c>
      <c r="W4921">
        <v>0</v>
      </c>
      <c r="X4921" s="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J4921" t="s">
        <v>54</v>
      </c>
      <c r="AK4921" t="s">
        <v>52</v>
      </c>
      <c r="AP4921" t="s">
        <v>541</v>
      </c>
    </row>
    <row r="4922" spans="1:42">
      <c r="A4922" s="13">
        <v>43860</v>
      </c>
      <c r="B4922">
        <v>4</v>
      </c>
      <c r="C4922">
        <v>215</v>
      </c>
      <c r="D4922">
        <v>14445</v>
      </c>
      <c r="E4922" t="s">
        <v>112</v>
      </c>
      <c r="F4922" t="s">
        <v>104</v>
      </c>
      <c r="G4922">
        <v>4</v>
      </c>
      <c r="H4922">
        <v>63</v>
      </c>
      <c r="I4922" s="25">
        <v>3110</v>
      </c>
      <c r="K4922" t="s">
        <v>588</v>
      </c>
      <c r="L4922" t="s">
        <v>114</v>
      </c>
      <c r="M4922" t="s">
        <v>52</v>
      </c>
      <c r="N4922" t="s">
        <v>44</v>
      </c>
      <c r="O4922">
        <v>114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3</v>
      </c>
      <c r="W4922">
        <v>0</v>
      </c>
      <c r="X4922" s="21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J4922" t="s">
        <v>54</v>
      </c>
      <c r="AK4922" t="s">
        <v>52</v>
      </c>
      <c r="AL4922" t="s">
        <v>611</v>
      </c>
      <c r="AP4922" t="s">
        <v>541</v>
      </c>
    </row>
    <row r="4923" spans="1:42">
      <c r="A4923" s="13">
        <v>43860</v>
      </c>
      <c r="B4923">
        <v>4</v>
      </c>
      <c r="C4923">
        <v>215</v>
      </c>
      <c r="D4923">
        <v>14445</v>
      </c>
      <c r="E4923" t="s">
        <v>112</v>
      </c>
      <c r="F4923" t="s">
        <v>104</v>
      </c>
      <c r="G4923">
        <v>4</v>
      </c>
      <c r="H4923">
        <v>64</v>
      </c>
      <c r="I4923" s="25" t="s">
        <v>1594</v>
      </c>
      <c r="K4923" t="s">
        <v>588</v>
      </c>
      <c r="L4923" t="s">
        <v>114</v>
      </c>
      <c r="M4923" t="s">
        <v>52</v>
      </c>
      <c r="N4923" t="s">
        <v>44</v>
      </c>
      <c r="O4923">
        <v>90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2</v>
      </c>
      <c r="W4923">
        <v>0</v>
      </c>
      <c r="X4923" s="21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J4923" t="s">
        <v>54</v>
      </c>
      <c r="AK4923" t="s">
        <v>52</v>
      </c>
      <c r="AL4923" t="s">
        <v>611</v>
      </c>
      <c r="AP4923" t="s">
        <v>541</v>
      </c>
    </row>
    <row r="4924" spans="1:42">
      <c r="A4924" s="13">
        <v>43860</v>
      </c>
      <c r="B4924">
        <v>4</v>
      </c>
      <c r="C4924">
        <v>215</v>
      </c>
      <c r="D4924">
        <v>14445</v>
      </c>
      <c r="E4924" t="s">
        <v>112</v>
      </c>
      <c r="F4924" t="s">
        <v>104</v>
      </c>
      <c r="G4924">
        <v>4</v>
      </c>
      <c r="H4924">
        <v>65</v>
      </c>
      <c r="I4924" s="25">
        <v>3138</v>
      </c>
      <c r="K4924" t="s">
        <v>588</v>
      </c>
      <c r="L4924" t="s">
        <v>114</v>
      </c>
      <c r="M4924" t="s">
        <v>52</v>
      </c>
      <c r="N4924" t="s">
        <v>40</v>
      </c>
      <c r="O4924">
        <v>43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1</v>
      </c>
      <c r="V4924">
        <v>1</v>
      </c>
      <c r="W4924">
        <v>0</v>
      </c>
      <c r="X4924" s="21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J4924" t="s">
        <v>54</v>
      </c>
      <c r="AK4924" t="s">
        <v>52</v>
      </c>
      <c r="AP4924" t="s">
        <v>541</v>
      </c>
    </row>
    <row r="4925" spans="1:42">
      <c r="A4925" s="13">
        <v>43860</v>
      </c>
      <c r="B4925">
        <v>4</v>
      </c>
      <c r="C4925">
        <v>215</v>
      </c>
      <c r="D4925">
        <v>14445</v>
      </c>
      <c r="E4925" t="s">
        <v>112</v>
      </c>
      <c r="F4925" t="s">
        <v>104</v>
      </c>
      <c r="G4925">
        <v>4</v>
      </c>
      <c r="H4925">
        <v>67</v>
      </c>
      <c r="I4925" s="25">
        <v>1800</v>
      </c>
      <c r="K4925" t="s">
        <v>588</v>
      </c>
      <c r="L4925" t="s">
        <v>114</v>
      </c>
      <c r="M4925" t="s">
        <v>52</v>
      </c>
      <c r="N4925" t="s">
        <v>40</v>
      </c>
      <c r="O4925">
        <v>59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2</v>
      </c>
      <c r="X4925" s="21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J4925" t="s">
        <v>51</v>
      </c>
      <c r="AK4925" t="s">
        <v>52</v>
      </c>
      <c r="AP4925" t="s">
        <v>541</v>
      </c>
    </row>
    <row r="4926" spans="1:42">
      <c r="A4926" s="13">
        <v>43860</v>
      </c>
      <c r="B4926">
        <v>4</v>
      </c>
      <c r="C4926">
        <v>215</v>
      </c>
      <c r="D4926">
        <v>14445</v>
      </c>
      <c r="E4926" t="s">
        <v>112</v>
      </c>
      <c r="F4926" t="s">
        <v>104</v>
      </c>
      <c r="G4926">
        <v>4</v>
      </c>
      <c r="H4926">
        <v>68</v>
      </c>
      <c r="I4926" s="25">
        <v>1824</v>
      </c>
      <c r="K4926" t="s">
        <v>588</v>
      </c>
      <c r="L4926" t="s">
        <v>114</v>
      </c>
      <c r="M4926" t="s">
        <v>52</v>
      </c>
      <c r="N4926" t="s">
        <v>40</v>
      </c>
      <c r="O4926">
        <v>54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2</v>
      </c>
      <c r="W4926">
        <v>0</v>
      </c>
      <c r="X4926" s="21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J4926" t="s">
        <v>51</v>
      </c>
      <c r="AK4926" t="s">
        <v>52</v>
      </c>
      <c r="AP4926" t="s">
        <v>541</v>
      </c>
    </row>
    <row r="4927" spans="1:42">
      <c r="A4927" s="13">
        <v>43860</v>
      </c>
      <c r="B4927">
        <v>4</v>
      </c>
      <c r="C4927">
        <v>215</v>
      </c>
      <c r="D4927">
        <v>14445</v>
      </c>
      <c r="E4927" t="s">
        <v>112</v>
      </c>
      <c r="F4927" t="s">
        <v>104</v>
      </c>
      <c r="G4927">
        <v>4</v>
      </c>
      <c r="H4927">
        <v>69</v>
      </c>
      <c r="I4927" s="25">
        <v>1832</v>
      </c>
      <c r="K4927" t="s">
        <v>588</v>
      </c>
      <c r="L4927" t="s">
        <v>114</v>
      </c>
      <c r="M4927" t="s">
        <v>52</v>
      </c>
      <c r="N4927" t="s">
        <v>40</v>
      </c>
      <c r="O4927">
        <v>59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1</v>
      </c>
      <c r="V4927">
        <v>2</v>
      </c>
      <c r="W4927">
        <v>0</v>
      </c>
      <c r="X4927" s="21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J4927" t="s">
        <v>51</v>
      </c>
      <c r="AK4927" t="s">
        <v>52</v>
      </c>
      <c r="AP4927" t="s">
        <v>541</v>
      </c>
    </row>
    <row r="4928" spans="1:42">
      <c r="A4928" s="13">
        <v>43860</v>
      </c>
      <c r="B4928">
        <v>4</v>
      </c>
      <c r="C4928">
        <v>215</v>
      </c>
      <c r="D4928">
        <v>14445</v>
      </c>
      <c r="E4928" t="s">
        <v>112</v>
      </c>
      <c r="F4928" t="s">
        <v>104</v>
      </c>
      <c r="G4928">
        <v>4</v>
      </c>
      <c r="H4928">
        <v>70</v>
      </c>
      <c r="I4928" s="25">
        <v>1840</v>
      </c>
      <c r="K4928" t="s">
        <v>588</v>
      </c>
      <c r="L4928" t="s">
        <v>114</v>
      </c>
      <c r="M4928" t="s">
        <v>52</v>
      </c>
      <c r="N4928" t="s">
        <v>44</v>
      </c>
      <c r="O4928">
        <v>125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1</v>
      </c>
      <c r="V4928">
        <v>0</v>
      </c>
      <c r="W4928">
        <v>1</v>
      </c>
      <c r="X4928" s="21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J4928" t="s">
        <v>51</v>
      </c>
      <c r="AK4928" t="s">
        <v>52</v>
      </c>
      <c r="AP4928" t="s">
        <v>541</v>
      </c>
    </row>
    <row r="4929" spans="1:42">
      <c r="A4929" s="13">
        <v>43860</v>
      </c>
      <c r="B4929">
        <v>4</v>
      </c>
      <c r="C4929">
        <v>215</v>
      </c>
      <c r="D4929">
        <v>14445</v>
      </c>
      <c r="E4929" t="s">
        <v>112</v>
      </c>
      <c r="F4929" t="s">
        <v>104</v>
      </c>
      <c r="G4929">
        <v>4</v>
      </c>
      <c r="H4929">
        <v>71</v>
      </c>
      <c r="I4929" s="25">
        <v>1856</v>
      </c>
      <c r="K4929" t="s">
        <v>588</v>
      </c>
      <c r="L4929" t="s">
        <v>114</v>
      </c>
      <c r="M4929" t="s">
        <v>52</v>
      </c>
      <c r="N4929" t="s">
        <v>40</v>
      </c>
      <c r="O4929">
        <v>165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6</v>
      </c>
      <c r="V4929">
        <v>1</v>
      </c>
      <c r="W4929">
        <v>0</v>
      </c>
      <c r="X4929" s="21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J4929" t="s">
        <v>51</v>
      </c>
      <c r="AK4929" t="s">
        <v>52</v>
      </c>
      <c r="AP4929" t="s">
        <v>541</v>
      </c>
    </row>
    <row r="4930" spans="1:42">
      <c r="A4930" s="13">
        <v>43860</v>
      </c>
      <c r="B4930">
        <v>4</v>
      </c>
      <c r="C4930">
        <v>215</v>
      </c>
      <c r="D4930">
        <v>14445</v>
      </c>
      <c r="E4930" t="s">
        <v>112</v>
      </c>
      <c r="F4930" t="s">
        <v>104</v>
      </c>
      <c r="G4930">
        <v>4</v>
      </c>
      <c r="H4930">
        <v>72</v>
      </c>
      <c r="I4930" s="25">
        <v>1864</v>
      </c>
      <c r="K4930" t="s">
        <v>588</v>
      </c>
      <c r="L4930" t="s">
        <v>114</v>
      </c>
      <c r="M4930" t="s">
        <v>52</v>
      </c>
      <c r="N4930" t="s">
        <v>44</v>
      </c>
      <c r="O4930">
        <v>174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2</v>
      </c>
      <c r="W4930">
        <v>0</v>
      </c>
      <c r="X4930" s="21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J4930" t="s">
        <v>51</v>
      </c>
      <c r="AK4930" t="s">
        <v>52</v>
      </c>
      <c r="AP4930" t="s">
        <v>541</v>
      </c>
    </row>
    <row r="4931" spans="1:42">
      <c r="A4931" s="13">
        <v>43860</v>
      </c>
      <c r="B4931">
        <v>4</v>
      </c>
      <c r="C4931">
        <v>215</v>
      </c>
      <c r="D4931">
        <v>14445</v>
      </c>
      <c r="E4931" t="s">
        <v>112</v>
      </c>
      <c r="F4931" t="s">
        <v>104</v>
      </c>
      <c r="G4931">
        <v>4</v>
      </c>
      <c r="H4931">
        <v>73</v>
      </c>
      <c r="I4931" s="25">
        <v>1892</v>
      </c>
      <c r="K4931" t="s">
        <v>588</v>
      </c>
      <c r="L4931" t="s">
        <v>114</v>
      </c>
      <c r="M4931" t="s">
        <v>52</v>
      </c>
      <c r="N4931" t="s">
        <v>40</v>
      </c>
      <c r="O4931">
        <v>73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2</v>
      </c>
      <c r="W4931">
        <v>0</v>
      </c>
      <c r="X4931" s="2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J4931" t="s">
        <v>51</v>
      </c>
      <c r="AK4931" t="s">
        <v>52</v>
      </c>
      <c r="AP4931" t="s">
        <v>541</v>
      </c>
    </row>
    <row r="4932" spans="1:42">
      <c r="A4932" s="13">
        <v>43860</v>
      </c>
      <c r="B4932">
        <v>4</v>
      </c>
      <c r="C4932">
        <v>215</v>
      </c>
      <c r="D4932">
        <v>14445</v>
      </c>
      <c r="E4932" t="s">
        <v>112</v>
      </c>
      <c r="F4932" t="s">
        <v>104</v>
      </c>
      <c r="G4932">
        <v>4</v>
      </c>
      <c r="H4932">
        <v>74</v>
      </c>
      <c r="I4932" s="25">
        <v>1801</v>
      </c>
      <c r="K4932" t="s">
        <v>119</v>
      </c>
      <c r="L4932" t="s">
        <v>141</v>
      </c>
      <c r="M4932" t="s">
        <v>52</v>
      </c>
      <c r="N4932" t="s">
        <v>40</v>
      </c>
      <c r="O4932">
        <v>57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1</v>
      </c>
      <c r="V4932">
        <v>0</v>
      </c>
      <c r="W4932">
        <v>2</v>
      </c>
      <c r="X4932" s="21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J4932" t="s">
        <v>51</v>
      </c>
      <c r="AK4932" t="s">
        <v>52</v>
      </c>
      <c r="AP4932" t="s">
        <v>541</v>
      </c>
    </row>
    <row r="4933" spans="1:42">
      <c r="A4933" s="13">
        <v>43860</v>
      </c>
      <c r="B4933">
        <v>4</v>
      </c>
      <c r="C4933">
        <v>215</v>
      </c>
      <c r="D4933">
        <v>14445</v>
      </c>
      <c r="E4933" t="s">
        <v>112</v>
      </c>
      <c r="F4933" t="s">
        <v>104</v>
      </c>
      <c r="G4933">
        <v>4</v>
      </c>
      <c r="H4933">
        <v>75</v>
      </c>
      <c r="I4933" s="25">
        <v>1800</v>
      </c>
      <c r="K4933" t="s">
        <v>585</v>
      </c>
      <c r="L4933" t="s">
        <v>114</v>
      </c>
      <c r="M4933" t="s">
        <v>52</v>
      </c>
      <c r="N4933" t="s">
        <v>40</v>
      </c>
      <c r="O4933">
        <v>50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1</v>
      </c>
      <c r="V4933">
        <v>0</v>
      </c>
      <c r="W4933">
        <v>1</v>
      </c>
      <c r="X4933" s="21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J4933" t="s">
        <v>51</v>
      </c>
      <c r="AK4933" t="s">
        <v>52</v>
      </c>
      <c r="AP4933" t="s">
        <v>541</v>
      </c>
    </row>
    <row r="4934" spans="1:42">
      <c r="A4934" s="13">
        <v>43860</v>
      </c>
      <c r="B4934">
        <v>4</v>
      </c>
      <c r="C4934">
        <v>215</v>
      </c>
      <c r="D4934">
        <v>14445</v>
      </c>
      <c r="E4934" t="s">
        <v>112</v>
      </c>
      <c r="F4934" t="s">
        <v>104</v>
      </c>
      <c r="G4934">
        <v>4</v>
      </c>
      <c r="H4934">
        <v>76</v>
      </c>
      <c r="I4934" s="25">
        <v>1874</v>
      </c>
      <c r="K4934" t="s">
        <v>585</v>
      </c>
      <c r="L4934" t="s">
        <v>114</v>
      </c>
      <c r="M4934" t="s">
        <v>52</v>
      </c>
      <c r="N4934" t="s">
        <v>44</v>
      </c>
      <c r="O4934">
        <v>77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1</v>
      </c>
      <c r="W4934">
        <v>0</v>
      </c>
      <c r="X4934" s="21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J4934" t="s">
        <v>51</v>
      </c>
      <c r="AK4934" t="s">
        <v>52</v>
      </c>
      <c r="AL4934" t="s">
        <v>611</v>
      </c>
      <c r="AP4934" t="s">
        <v>541</v>
      </c>
    </row>
    <row r="4935" spans="1:42">
      <c r="A4935" s="13">
        <v>43860</v>
      </c>
      <c r="B4935">
        <v>4</v>
      </c>
      <c r="C4935">
        <v>215</v>
      </c>
      <c r="D4935">
        <v>14445</v>
      </c>
      <c r="E4935" t="s">
        <v>112</v>
      </c>
      <c r="F4935" t="s">
        <v>104</v>
      </c>
      <c r="G4935">
        <v>4</v>
      </c>
      <c r="H4935">
        <v>77</v>
      </c>
      <c r="I4935" s="25">
        <v>1880</v>
      </c>
      <c r="K4935" t="s">
        <v>585</v>
      </c>
      <c r="L4935" t="s">
        <v>114</v>
      </c>
      <c r="M4935" t="s">
        <v>52</v>
      </c>
      <c r="N4935" t="s">
        <v>44</v>
      </c>
      <c r="O4935">
        <v>112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1</v>
      </c>
      <c r="W4935">
        <v>0</v>
      </c>
      <c r="X4935" s="21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J4935" t="s">
        <v>51</v>
      </c>
      <c r="AK4935" t="s">
        <v>52</v>
      </c>
      <c r="AL4935" t="s">
        <v>611</v>
      </c>
      <c r="AP4935" t="s">
        <v>541</v>
      </c>
    </row>
    <row r="4936" spans="1:42">
      <c r="A4936" s="13">
        <v>43860</v>
      </c>
      <c r="B4936">
        <v>4</v>
      </c>
      <c r="C4936">
        <v>215</v>
      </c>
      <c r="D4936">
        <v>14445</v>
      </c>
      <c r="E4936" t="s">
        <v>112</v>
      </c>
      <c r="F4936" t="s">
        <v>104</v>
      </c>
      <c r="G4936">
        <v>4</v>
      </c>
      <c r="H4936">
        <v>78</v>
      </c>
      <c r="I4936" s="25">
        <v>1900</v>
      </c>
      <c r="K4936" t="s">
        <v>585</v>
      </c>
      <c r="L4936" t="s">
        <v>114</v>
      </c>
      <c r="M4936" t="s">
        <v>52</v>
      </c>
      <c r="N4936" t="s">
        <v>40</v>
      </c>
      <c r="O4936">
        <v>82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3</v>
      </c>
      <c r="V4936">
        <v>0</v>
      </c>
      <c r="W4936">
        <v>0</v>
      </c>
      <c r="X4936" s="21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J4936" t="s">
        <v>51</v>
      </c>
      <c r="AK4936" t="s">
        <v>52</v>
      </c>
      <c r="AP4936" t="s">
        <v>541</v>
      </c>
    </row>
    <row r="4937" spans="1:42">
      <c r="A4937" s="13">
        <v>43860</v>
      </c>
      <c r="B4937">
        <v>4</v>
      </c>
      <c r="C4937">
        <v>215</v>
      </c>
      <c r="D4937">
        <v>14445</v>
      </c>
      <c r="E4937" t="s">
        <v>112</v>
      </c>
      <c r="F4937" t="s">
        <v>104</v>
      </c>
      <c r="G4937">
        <v>4</v>
      </c>
      <c r="H4937">
        <v>79</v>
      </c>
      <c r="I4937" s="25">
        <v>1930</v>
      </c>
      <c r="K4937" t="s">
        <v>585</v>
      </c>
      <c r="L4937" t="s">
        <v>114</v>
      </c>
      <c r="M4937" t="s">
        <v>52</v>
      </c>
      <c r="N4937" t="s">
        <v>40</v>
      </c>
      <c r="O4937">
        <v>37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1</v>
      </c>
      <c r="V4937">
        <v>1</v>
      </c>
      <c r="W4937">
        <v>0</v>
      </c>
      <c r="X4937" s="21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J4937" t="s">
        <v>51</v>
      </c>
      <c r="AK4937" t="s">
        <v>52</v>
      </c>
      <c r="AP4937" t="s">
        <v>541</v>
      </c>
    </row>
    <row r="4938" spans="1:42">
      <c r="A4938" s="13">
        <v>43860</v>
      </c>
      <c r="B4938">
        <v>4</v>
      </c>
      <c r="C4938">
        <v>215</v>
      </c>
      <c r="D4938">
        <v>14445</v>
      </c>
      <c r="E4938" t="s">
        <v>112</v>
      </c>
      <c r="F4938" t="s">
        <v>104</v>
      </c>
      <c r="G4938">
        <v>4</v>
      </c>
      <c r="H4938">
        <v>80</v>
      </c>
      <c r="I4938" s="25">
        <v>2000</v>
      </c>
      <c r="K4938" t="s">
        <v>585</v>
      </c>
      <c r="L4938" t="s">
        <v>114</v>
      </c>
      <c r="M4938" t="s">
        <v>52</v>
      </c>
      <c r="N4938" t="s">
        <v>40</v>
      </c>
      <c r="O4938">
        <v>40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2</v>
      </c>
      <c r="X4938" s="21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J4938" t="s">
        <v>51</v>
      </c>
      <c r="AK4938" t="s">
        <v>52</v>
      </c>
      <c r="AP4938" t="s">
        <v>541</v>
      </c>
    </row>
    <row r="4939" spans="1:42">
      <c r="A4939" s="13">
        <v>43860</v>
      </c>
      <c r="B4939">
        <v>4</v>
      </c>
      <c r="C4939">
        <v>215</v>
      </c>
      <c r="D4939">
        <v>14445</v>
      </c>
      <c r="E4939" t="s">
        <v>112</v>
      </c>
      <c r="F4939" t="s">
        <v>104</v>
      </c>
      <c r="G4939">
        <v>4</v>
      </c>
      <c r="H4939">
        <v>81</v>
      </c>
      <c r="I4939" s="25">
        <v>2739</v>
      </c>
      <c r="K4939" t="s">
        <v>588</v>
      </c>
      <c r="L4939" t="s">
        <v>141</v>
      </c>
      <c r="M4939" t="s">
        <v>52</v>
      </c>
      <c r="N4939" t="s">
        <v>40</v>
      </c>
      <c r="O4939">
        <v>84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2</v>
      </c>
      <c r="V4939">
        <v>0</v>
      </c>
      <c r="W4939">
        <v>2</v>
      </c>
      <c r="X4939" s="21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J4939" t="s">
        <v>54</v>
      </c>
      <c r="AK4939" t="s">
        <v>52</v>
      </c>
      <c r="AP4939" t="s">
        <v>541</v>
      </c>
    </row>
    <row r="4940" spans="1:42">
      <c r="A4940" s="13">
        <v>43860</v>
      </c>
      <c r="B4940">
        <v>4</v>
      </c>
      <c r="C4940">
        <v>215</v>
      </c>
      <c r="D4940">
        <v>14445</v>
      </c>
      <c r="E4940" t="s">
        <v>112</v>
      </c>
      <c r="F4940" t="s">
        <v>104</v>
      </c>
      <c r="G4940">
        <v>4</v>
      </c>
      <c r="H4940">
        <v>82</v>
      </c>
      <c r="I4940" s="25">
        <v>2751</v>
      </c>
      <c r="K4940" t="s">
        <v>588</v>
      </c>
      <c r="L4940" t="s">
        <v>141</v>
      </c>
      <c r="M4940" t="s">
        <v>52</v>
      </c>
      <c r="N4940" t="s">
        <v>44</v>
      </c>
      <c r="O4940">
        <v>78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1</v>
      </c>
      <c r="X4940" s="21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J4940" t="s">
        <v>54</v>
      </c>
      <c r="AK4940" t="s">
        <v>52</v>
      </c>
      <c r="AL4940" t="s">
        <v>618</v>
      </c>
      <c r="AP4940" t="s">
        <v>541</v>
      </c>
    </row>
    <row r="4941" spans="1:42">
      <c r="A4941" s="13">
        <v>43860</v>
      </c>
      <c r="B4941">
        <v>4</v>
      </c>
      <c r="C4941">
        <v>215</v>
      </c>
      <c r="D4941">
        <v>14445</v>
      </c>
      <c r="E4941" t="s">
        <v>112</v>
      </c>
      <c r="F4941" t="s">
        <v>104</v>
      </c>
      <c r="G4941">
        <v>4</v>
      </c>
      <c r="H4941">
        <v>83</v>
      </c>
      <c r="I4941" s="25">
        <v>2665</v>
      </c>
      <c r="K4941" t="s">
        <v>588</v>
      </c>
      <c r="L4941" t="s">
        <v>141</v>
      </c>
      <c r="M4941" t="s">
        <v>52</v>
      </c>
      <c r="N4941" t="s">
        <v>44</v>
      </c>
      <c r="O4941">
        <v>85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1</v>
      </c>
      <c r="W4941">
        <v>0</v>
      </c>
      <c r="X4941" s="2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J4941" t="s">
        <v>54</v>
      </c>
      <c r="AK4941" t="s">
        <v>52</v>
      </c>
      <c r="AL4941" t="s">
        <v>618</v>
      </c>
      <c r="AP4941" t="s">
        <v>541</v>
      </c>
    </row>
    <row r="4942" spans="1:42">
      <c r="A4942" s="13">
        <v>43860</v>
      </c>
      <c r="B4942">
        <v>4</v>
      </c>
      <c r="C4942">
        <v>215</v>
      </c>
      <c r="D4942">
        <v>14445</v>
      </c>
      <c r="E4942" t="s">
        <v>112</v>
      </c>
      <c r="F4942" t="s">
        <v>104</v>
      </c>
      <c r="G4942">
        <v>4</v>
      </c>
      <c r="H4942">
        <v>84</v>
      </c>
      <c r="I4942" s="25">
        <v>2665</v>
      </c>
      <c r="K4942" t="s">
        <v>588</v>
      </c>
      <c r="L4942" t="s">
        <v>141</v>
      </c>
      <c r="M4942" t="s">
        <v>52</v>
      </c>
      <c r="N4942" t="s">
        <v>40</v>
      </c>
      <c r="O4942">
        <v>42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1</v>
      </c>
      <c r="V4942">
        <v>0</v>
      </c>
      <c r="W4942">
        <v>0</v>
      </c>
      <c r="X4942" s="21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J4942" t="s">
        <v>54</v>
      </c>
      <c r="AK4942" t="s">
        <v>52</v>
      </c>
      <c r="AP4942" t="s">
        <v>541</v>
      </c>
    </row>
    <row r="4943" spans="1:42">
      <c r="A4943" s="13">
        <v>43860</v>
      </c>
      <c r="B4943">
        <v>4</v>
      </c>
      <c r="C4943">
        <v>215</v>
      </c>
      <c r="D4943">
        <v>14445</v>
      </c>
      <c r="E4943" t="s">
        <v>112</v>
      </c>
      <c r="F4943" t="s">
        <v>104</v>
      </c>
      <c r="G4943">
        <v>4</v>
      </c>
      <c r="H4943">
        <v>85</v>
      </c>
      <c r="I4943" s="25">
        <v>3016</v>
      </c>
      <c r="K4943" t="s">
        <v>588</v>
      </c>
      <c r="L4943" t="s">
        <v>114</v>
      </c>
      <c r="M4943" t="s">
        <v>52</v>
      </c>
      <c r="N4943" t="s">
        <v>40</v>
      </c>
      <c r="O4943">
        <v>47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1</v>
      </c>
      <c r="V4943">
        <v>0</v>
      </c>
      <c r="W4943">
        <v>1</v>
      </c>
      <c r="X4943" s="21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J4943" t="s">
        <v>54</v>
      </c>
      <c r="AK4943" t="s">
        <v>52</v>
      </c>
      <c r="AP4943" t="s">
        <v>541</v>
      </c>
    </row>
    <row r="4944" spans="1:42">
      <c r="A4944" s="13">
        <v>43860</v>
      </c>
      <c r="B4944">
        <v>4</v>
      </c>
      <c r="C4944">
        <v>215</v>
      </c>
      <c r="D4944">
        <v>14445</v>
      </c>
      <c r="E4944" t="s">
        <v>112</v>
      </c>
      <c r="F4944" t="s">
        <v>104</v>
      </c>
      <c r="G4944">
        <v>4</v>
      </c>
      <c r="H4944">
        <v>86</v>
      </c>
      <c r="I4944" s="25">
        <v>1919</v>
      </c>
      <c r="K4944" t="s">
        <v>585</v>
      </c>
      <c r="L4944" t="s">
        <v>141</v>
      </c>
      <c r="M4944" t="s">
        <v>52</v>
      </c>
      <c r="N4944" t="s">
        <v>40</v>
      </c>
      <c r="O4944">
        <v>69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3</v>
      </c>
      <c r="V4944">
        <v>1</v>
      </c>
      <c r="W4944">
        <v>0</v>
      </c>
      <c r="X4944" s="21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J4944" t="s">
        <v>51</v>
      </c>
      <c r="AK4944" t="s">
        <v>52</v>
      </c>
      <c r="AP4944" t="s">
        <v>541</v>
      </c>
    </row>
    <row r="4945" spans="1:42">
      <c r="A4945" s="13">
        <v>43860</v>
      </c>
      <c r="B4945">
        <v>4</v>
      </c>
      <c r="C4945">
        <v>215</v>
      </c>
      <c r="D4945">
        <v>14445</v>
      </c>
      <c r="E4945" t="s">
        <v>112</v>
      </c>
      <c r="F4945" t="s">
        <v>104</v>
      </c>
      <c r="G4945">
        <v>4</v>
      </c>
      <c r="H4945">
        <v>87</v>
      </c>
      <c r="I4945" s="25">
        <v>1913</v>
      </c>
      <c r="K4945" t="s">
        <v>585</v>
      </c>
      <c r="L4945" t="s">
        <v>141</v>
      </c>
      <c r="M4945" t="s">
        <v>52</v>
      </c>
      <c r="N4945" t="s">
        <v>40</v>
      </c>
      <c r="O4945">
        <v>84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4</v>
      </c>
      <c r="V4945">
        <v>1</v>
      </c>
      <c r="W4945">
        <v>0</v>
      </c>
      <c r="X4945" s="21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J4945" t="s">
        <v>51</v>
      </c>
      <c r="AK4945" t="s">
        <v>52</v>
      </c>
      <c r="AP4945" t="s">
        <v>541</v>
      </c>
    </row>
    <row r="4946" spans="1:42">
      <c r="A4946" s="13">
        <v>43860</v>
      </c>
      <c r="B4946">
        <v>4</v>
      </c>
      <c r="C4946">
        <v>215</v>
      </c>
      <c r="D4946">
        <v>14445</v>
      </c>
      <c r="E4946" t="s">
        <v>112</v>
      </c>
      <c r="F4946" t="s">
        <v>104</v>
      </c>
      <c r="G4946">
        <v>4</v>
      </c>
      <c r="H4946">
        <v>88</v>
      </c>
      <c r="I4946" s="25">
        <v>1909</v>
      </c>
      <c r="K4946" t="s">
        <v>585</v>
      </c>
      <c r="L4946" t="s">
        <v>141</v>
      </c>
      <c r="M4946" t="s">
        <v>52</v>
      </c>
      <c r="N4946" t="s">
        <v>40</v>
      </c>
      <c r="O4946">
        <v>97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4</v>
      </c>
      <c r="V4946">
        <v>0</v>
      </c>
      <c r="W4946">
        <v>0</v>
      </c>
      <c r="X4946" s="21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J4946" t="s">
        <v>51</v>
      </c>
      <c r="AK4946" t="s">
        <v>52</v>
      </c>
      <c r="AP4946" t="s">
        <v>541</v>
      </c>
    </row>
    <row r="4947" spans="1:42">
      <c r="A4947" s="13">
        <v>43860</v>
      </c>
      <c r="B4947">
        <v>4</v>
      </c>
      <c r="C4947">
        <v>215</v>
      </c>
      <c r="D4947">
        <v>14445</v>
      </c>
      <c r="E4947" t="s">
        <v>112</v>
      </c>
      <c r="F4947" t="s">
        <v>104</v>
      </c>
      <c r="G4947">
        <v>4</v>
      </c>
      <c r="H4947">
        <v>89</v>
      </c>
      <c r="I4947" s="25">
        <v>1849</v>
      </c>
      <c r="K4947" t="s">
        <v>585</v>
      </c>
      <c r="L4947" t="s">
        <v>141</v>
      </c>
      <c r="M4947" t="s">
        <v>52</v>
      </c>
      <c r="N4947" t="s">
        <v>44</v>
      </c>
      <c r="O4947">
        <v>71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1</v>
      </c>
      <c r="X4947" s="21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J4947" t="s">
        <v>51</v>
      </c>
      <c r="AK4947" t="s">
        <v>52</v>
      </c>
      <c r="AL4947" t="s">
        <v>611</v>
      </c>
      <c r="AP4947" t="s">
        <v>541</v>
      </c>
    </row>
    <row r="4948" spans="1:42">
      <c r="A4948" s="13">
        <v>43860</v>
      </c>
      <c r="B4948">
        <v>4</v>
      </c>
      <c r="C4948">
        <v>215</v>
      </c>
      <c r="D4948">
        <v>14445</v>
      </c>
      <c r="E4948" t="s">
        <v>112</v>
      </c>
      <c r="F4948" t="s">
        <v>104</v>
      </c>
      <c r="G4948">
        <v>4</v>
      </c>
      <c r="H4948">
        <v>90</v>
      </c>
      <c r="I4948" s="25">
        <v>1851</v>
      </c>
      <c r="K4948" t="s">
        <v>585</v>
      </c>
      <c r="L4948" t="s">
        <v>141</v>
      </c>
      <c r="M4948" t="s">
        <v>52</v>
      </c>
      <c r="N4948" t="s">
        <v>44</v>
      </c>
      <c r="O4948">
        <v>67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1</v>
      </c>
      <c r="X4948" s="21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J4948" t="s">
        <v>51</v>
      </c>
      <c r="AK4948" t="s">
        <v>52</v>
      </c>
      <c r="AL4948" t="s">
        <v>611</v>
      </c>
      <c r="AP4948" t="s">
        <v>541</v>
      </c>
    </row>
    <row r="4949" spans="1:42">
      <c r="A4949" s="13">
        <v>43860</v>
      </c>
      <c r="B4949">
        <v>4</v>
      </c>
      <c r="C4949">
        <v>215</v>
      </c>
      <c r="D4949">
        <v>14445</v>
      </c>
      <c r="E4949" t="s">
        <v>112</v>
      </c>
      <c r="F4949" t="s">
        <v>104</v>
      </c>
      <c r="G4949">
        <v>4</v>
      </c>
      <c r="H4949">
        <v>91</v>
      </c>
      <c r="I4949" s="25">
        <v>1835</v>
      </c>
      <c r="K4949" t="s">
        <v>585</v>
      </c>
      <c r="L4949" t="s">
        <v>141</v>
      </c>
      <c r="M4949" t="s">
        <v>52</v>
      </c>
      <c r="N4949" t="s">
        <v>44</v>
      </c>
      <c r="O4949">
        <v>126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1</v>
      </c>
      <c r="X4949" s="21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J4949" t="s">
        <v>51</v>
      </c>
      <c r="AK4949" t="s">
        <v>52</v>
      </c>
      <c r="AP4949" t="s">
        <v>541</v>
      </c>
    </row>
    <row r="4950" spans="1:42">
      <c r="A4950" s="13">
        <v>43860</v>
      </c>
      <c r="B4950">
        <v>4</v>
      </c>
      <c r="C4950">
        <v>215</v>
      </c>
      <c r="D4950">
        <v>14445</v>
      </c>
      <c r="E4950" t="s">
        <v>112</v>
      </c>
      <c r="F4950" t="s">
        <v>104</v>
      </c>
      <c r="G4950">
        <v>4</v>
      </c>
      <c r="H4950">
        <v>92</v>
      </c>
      <c r="I4950" s="25">
        <v>1827</v>
      </c>
      <c r="K4950" t="s">
        <v>585</v>
      </c>
      <c r="L4950" t="s">
        <v>141</v>
      </c>
      <c r="M4950" t="s">
        <v>52</v>
      </c>
      <c r="N4950" t="s">
        <v>40</v>
      </c>
      <c r="O4950">
        <v>29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2</v>
      </c>
      <c r="W4950">
        <v>0</v>
      </c>
      <c r="X4950" s="21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J4950" t="s">
        <v>51</v>
      </c>
      <c r="AK4950" t="s">
        <v>52</v>
      </c>
      <c r="AP4950" t="s">
        <v>541</v>
      </c>
    </row>
    <row r="4951" spans="1:42">
      <c r="A4951" s="13">
        <v>43860</v>
      </c>
      <c r="B4951">
        <v>4</v>
      </c>
      <c r="C4951">
        <v>215</v>
      </c>
      <c r="D4951">
        <v>14445</v>
      </c>
      <c r="E4951" t="s">
        <v>112</v>
      </c>
      <c r="F4951" t="s">
        <v>104</v>
      </c>
      <c r="G4951">
        <v>4</v>
      </c>
      <c r="H4951">
        <v>93</v>
      </c>
      <c r="I4951" s="25">
        <v>1815</v>
      </c>
      <c r="K4951" t="s">
        <v>585</v>
      </c>
      <c r="L4951" t="s">
        <v>141</v>
      </c>
      <c r="M4951" t="s">
        <v>52</v>
      </c>
      <c r="N4951" t="s">
        <v>40</v>
      </c>
      <c r="O4951">
        <v>57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3</v>
      </c>
      <c r="V4951">
        <v>1</v>
      </c>
      <c r="W4951">
        <v>0</v>
      </c>
      <c r="X4951" s="2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J4951" t="s">
        <v>51</v>
      </c>
      <c r="AK4951" t="s">
        <v>52</v>
      </c>
      <c r="AP4951" t="s">
        <v>541</v>
      </c>
    </row>
    <row r="4952" spans="1:42">
      <c r="A4952" s="13">
        <v>43860</v>
      </c>
      <c r="B4952">
        <v>4</v>
      </c>
      <c r="C4952">
        <v>215</v>
      </c>
      <c r="D4952">
        <v>14445</v>
      </c>
      <c r="E4952" t="s">
        <v>112</v>
      </c>
      <c r="F4952" t="s">
        <v>104</v>
      </c>
      <c r="G4952">
        <v>4</v>
      </c>
      <c r="H4952">
        <v>94</v>
      </c>
      <c r="I4952" s="25">
        <v>2711</v>
      </c>
      <c r="K4952" t="s">
        <v>595</v>
      </c>
      <c r="L4952" t="s">
        <v>141</v>
      </c>
      <c r="M4952" t="s">
        <v>52</v>
      </c>
      <c r="N4952" t="s">
        <v>44</v>
      </c>
      <c r="O4952">
        <v>188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1</v>
      </c>
      <c r="X4952" s="21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J4952" t="s">
        <v>54</v>
      </c>
      <c r="AK4952" t="s">
        <v>52</v>
      </c>
      <c r="AL4952" t="s">
        <v>590</v>
      </c>
      <c r="AP4952" t="s">
        <v>541</v>
      </c>
    </row>
    <row r="4953" spans="1:42">
      <c r="A4953" s="13">
        <v>43860</v>
      </c>
      <c r="B4953">
        <v>4</v>
      </c>
      <c r="C4953">
        <v>215</v>
      </c>
      <c r="D4953">
        <v>14445</v>
      </c>
      <c r="E4953" t="s">
        <v>112</v>
      </c>
      <c r="F4953" t="s">
        <v>104</v>
      </c>
      <c r="G4953">
        <v>4</v>
      </c>
      <c r="H4953">
        <v>95</v>
      </c>
      <c r="I4953" s="25">
        <v>1900</v>
      </c>
      <c r="K4953" t="s">
        <v>595</v>
      </c>
      <c r="L4953" t="s">
        <v>114</v>
      </c>
      <c r="M4953" t="s">
        <v>52</v>
      </c>
      <c r="N4953" t="s">
        <v>44</v>
      </c>
      <c r="O4953">
        <v>78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1</v>
      </c>
      <c r="W4953">
        <v>0</v>
      </c>
      <c r="X4953" s="21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J4953" t="s">
        <v>54</v>
      </c>
      <c r="AK4953" t="s">
        <v>52</v>
      </c>
      <c r="AL4953" t="s">
        <v>611</v>
      </c>
      <c r="AP4953" t="s">
        <v>541</v>
      </c>
    </row>
    <row r="4954" spans="1:42">
      <c r="A4954" s="13">
        <v>43860</v>
      </c>
      <c r="B4954">
        <v>4</v>
      </c>
      <c r="C4954">
        <v>215</v>
      </c>
      <c r="D4954">
        <v>14445</v>
      </c>
      <c r="E4954" t="s">
        <v>112</v>
      </c>
      <c r="F4954" t="s">
        <v>104</v>
      </c>
      <c r="G4954">
        <v>4</v>
      </c>
      <c r="H4954">
        <v>96</v>
      </c>
      <c r="I4954" s="25">
        <v>2040</v>
      </c>
      <c r="K4954" t="s">
        <v>595</v>
      </c>
      <c r="L4954" t="s">
        <v>114</v>
      </c>
      <c r="M4954" t="s">
        <v>52</v>
      </c>
      <c r="N4954" t="s">
        <v>44</v>
      </c>
      <c r="O4954">
        <v>237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1</v>
      </c>
      <c r="X4954" s="21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J4954" t="s">
        <v>54</v>
      </c>
      <c r="AK4954" t="s">
        <v>52</v>
      </c>
      <c r="AL4954" t="s">
        <v>590</v>
      </c>
      <c r="AP4954" t="s">
        <v>541</v>
      </c>
    </row>
    <row r="4955" spans="1:42">
      <c r="A4955" s="13">
        <v>43860</v>
      </c>
      <c r="B4955">
        <v>4</v>
      </c>
      <c r="C4955">
        <v>215</v>
      </c>
      <c r="D4955">
        <v>14445</v>
      </c>
      <c r="E4955" t="s">
        <v>112</v>
      </c>
      <c r="F4955" t="s">
        <v>104</v>
      </c>
      <c r="G4955">
        <v>4</v>
      </c>
      <c r="H4955">
        <v>97</v>
      </c>
      <c r="I4955" s="25">
        <v>2141</v>
      </c>
      <c r="K4955" t="s">
        <v>605</v>
      </c>
      <c r="L4955" t="s">
        <v>141</v>
      </c>
      <c r="M4955" t="s">
        <v>52</v>
      </c>
      <c r="N4955" t="s">
        <v>44</v>
      </c>
      <c r="O4955">
        <v>135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1</v>
      </c>
      <c r="X4955" s="21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J4955" t="s">
        <v>51</v>
      </c>
      <c r="AK4955" t="s">
        <v>52</v>
      </c>
      <c r="AL4955" t="s">
        <v>618</v>
      </c>
      <c r="AP4955" t="s">
        <v>541</v>
      </c>
    </row>
    <row r="4956" spans="1:42">
      <c r="A4956" s="13">
        <v>43860</v>
      </c>
      <c r="B4956">
        <v>4</v>
      </c>
      <c r="C4956">
        <v>215</v>
      </c>
      <c r="D4956">
        <v>14445</v>
      </c>
      <c r="E4956" t="s">
        <v>112</v>
      </c>
      <c r="F4956" t="s">
        <v>104</v>
      </c>
      <c r="G4956">
        <v>4</v>
      </c>
      <c r="H4956">
        <v>98</v>
      </c>
      <c r="I4956" s="25">
        <v>2137</v>
      </c>
      <c r="K4956" t="s">
        <v>605</v>
      </c>
      <c r="L4956" t="s">
        <v>141</v>
      </c>
      <c r="M4956" t="s">
        <v>52</v>
      </c>
      <c r="N4956" t="s">
        <v>44</v>
      </c>
      <c r="O4956">
        <v>97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1</v>
      </c>
      <c r="X4956" s="21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J4956" t="s">
        <v>51</v>
      </c>
      <c r="AK4956" t="s">
        <v>52</v>
      </c>
      <c r="AL4956" t="s">
        <v>612</v>
      </c>
      <c r="AP4956" t="s">
        <v>541</v>
      </c>
    </row>
    <row r="4957" spans="1:42">
      <c r="A4957" s="13">
        <v>43860</v>
      </c>
      <c r="B4957">
        <v>4</v>
      </c>
      <c r="C4957">
        <v>215</v>
      </c>
      <c r="D4957">
        <v>14445</v>
      </c>
      <c r="E4957" t="s">
        <v>112</v>
      </c>
      <c r="F4957" t="s">
        <v>104</v>
      </c>
      <c r="G4957">
        <v>4</v>
      </c>
      <c r="H4957">
        <v>99</v>
      </c>
      <c r="I4957" s="25">
        <v>2083</v>
      </c>
      <c r="K4957" t="s">
        <v>605</v>
      </c>
      <c r="L4957" t="s">
        <v>141</v>
      </c>
      <c r="M4957" t="s">
        <v>52</v>
      </c>
      <c r="N4957" t="s">
        <v>40</v>
      </c>
      <c r="O4957">
        <v>66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3</v>
      </c>
      <c r="V4957">
        <v>0</v>
      </c>
      <c r="W4957">
        <v>0</v>
      </c>
      <c r="X4957" s="21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J4957" t="s">
        <v>51</v>
      </c>
      <c r="AK4957" t="s">
        <v>52</v>
      </c>
      <c r="AP4957" t="s">
        <v>541</v>
      </c>
    </row>
    <row r="4958" spans="1:42">
      <c r="A4958" s="13">
        <v>43860</v>
      </c>
      <c r="B4958">
        <v>4</v>
      </c>
      <c r="C4958">
        <v>215</v>
      </c>
      <c r="D4958">
        <v>14445</v>
      </c>
      <c r="E4958" t="s">
        <v>112</v>
      </c>
      <c r="F4958" t="s">
        <v>104</v>
      </c>
      <c r="G4958">
        <v>4</v>
      </c>
      <c r="H4958">
        <v>100</v>
      </c>
      <c r="I4958" s="25">
        <v>2023</v>
      </c>
      <c r="K4958" t="s">
        <v>605</v>
      </c>
      <c r="L4958" t="s">
        <v>141</v>
      </c>
      <c r="M4958" t="s">
        <v>52</v>
      </c>
      <c r="N4958" t="s">
        <v>40</v>
      </c>
      <c r="O4958">
        <v>144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4</v>
      </c>
      <c r="V4958">
        <v>1</v>
      </c>
      <c r="W4958">
        <v>1</v>
      </c>
      <c r="X4958" s="21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J4958" t="s">
        <v>51</v>
      </c>
      <c r="AK4958" t="s">
        <v>52</v>
      </c>
      <c r="AP4958" t="s">
        <v>541</v>
      </c>
    </row>
    <row r="4959" spans="1:42">
      <c r="A4959" s="13">
        <v>43860</v>
      </c>
      <c r="B4959">
        <v>4</v>
      </c>
      <c r="C4959">
        <v>215</v>
      </c>
      <c r="D4959">
        <v>14445</v>
      </c>
      <c r="E4959" t="s">
        <v>112</v>
      </c>
      <c r="F4959" t="s">
        <v>104</v>
      </c>
      <c r="G4959">
        <v>4</v>
      </c>
      <c r="H4959">
        <v>101</v>
      </c>
      <c r="I4959" s="25">
        <v>2001</v>
      </c>
      <c r="K4959" t="s">
        <v>605</v>
      </c>
      <c r="L4959" t="s">
        <v>141</v>
      </c>
      <c r="M4959" t="s">
        <v>52</v>
      </c>
      <c r="N4959" t="s">
        <v>40</v>
      </c>
      <c r="O4959">
        <v>31</v>
      </c>
      <c r="P4959">
        <v>0</v>
      </c>
      <c r="Q4959">
        <v>0</v>
      </c>
      <c r="R4959">
        <v>0</v>
      </c>
      <c r="S4959">
        <v>1</v>
      </c>
      <c r="T4959">
        <v>0</v>
      </c>
      <c r="U4959">
        <v>0</v>
      </c>
      <c r="V4959">
        <v>1</v>
      </c>
      <c r="W4959">
        <v>0</v>
      </c>
      <c r="X4959" s="21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J4959" t="s">
        <v>51</v>
      </c>
      <c r="AK4959" t="s">
        <v>52</v>
      </c>
      <c r="AP4959" t="s">
        <v>541</v>
      </c>
    </row>
    <row r="4960" spans="1:42">
      <c r="A4960" s="13">
        <v>43860</v>
      </c>
      <c r="B4960">
        <v>4</v>
      </c>
      <c r="C4960">
        <v>215</v>
      </c>
      <c r="D4960">
        <v>14445</v>
      </c>
      <c r="E4960" t="s">
        <v>112</v>
      </c>
      <c r="F4960" t="s">
        <v>104</v>
      </c>
      <c r="G4960">
        <v>4</v>
      </c>
      <c r="H4960">
        <v>102</v>
      </c>
      <c r="I4960" s="25">
        <v>1999</v>
      </c>
      <c r="K4960" t="s">
        <v>185</v>
      </c>
      <c r="L4960" t="s">
        <v>141</v>
      </c>
      <c r="M4960" t="s">
        <v>52</v>
      </c>
      <c r="N4960" t="s">
        <v>44</v>
      </c>
      <c r="O4960">
        <v>141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1</v>
      </c>
      <c r="W4960">
        <v>1</v>
      </c>
      <c r="X4960" s="21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J4960" t="s">
        <v>51</v>
      </c>
      <c r="AK4960" t="s">
        <v>52</v>
      </c>
      <c r="AL4960" t="s">
        <v>611</v>
      </c>
      <c r="AP4960" t="s">
        <v>541</v>
      </c>
    </row>
    <row r="4961" spans="1:42">
      <c r="A4961" s="13">
        <v>43860</v>
      </c>
      <c r="B4961">
        <v>4</v>
      </c>
      <c r="C4961">
        <v>215</v>
      </c>
      <c r="D4961">
        <v>14445</v>
      </c>
      <c r="E4961" t="s">
        <v>112</v>
      </c>
      <c r="F4961" t="s">
        <v>104</v>
      </c>
      <c r="G4961">
        <v>4</v>
      </c>
      <c r="H4961">
        <v>103</v>
      </c>
      <c r="I4961" s="25">
        <v>1981</v>
      </c>
      <c r="K4961" t="s">
        <v>185</v>
      </c>
      <c r="L4961" t="s">
        <v>141</v>
      </c>
      <c r="M4961" t="s">
        <v>52</v>
      </c>
      <c r="N4961" t="s">
        <v>40</v>
      </c>
      <c r="O4961">
        <v>21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1</v>
      </c>
      <c r="V4961">
        <v>0</v>
      </c>
      <c r="W4961">
        <v>0</v>
      </c>
      <c r="X4961" s="2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J4961" t="s">
        <v>51</v>
      </c>
      <c r="AK4961" t="s">
        <v>52</v>
      </c>
      <c r="AP4961" t="s">
        <v>541</v>
      </c>
    </row>
    <row r="4962" spans="1:42">
      <c r="A4962" s="13">
        <v>43860</v>
      </c>
      <c r="B4962">
        <v>4</v>
      </c>
      <c r="C4962">
        <v>215</v>
      </c>
      <c r="D4962">
        <v>14445</v>
      </c>
      <c r="E4962" t="s">
        <v>112</v>
      </c>
      <c r="F4962" t="s">
        <v>104</v>
      </c>
      <c r="G4962">
        <v>4</v>
      </c>
      <c r="H4962">
        <v>104</v>
      </c>
      <c r="I4962" s="25">
        <v>1905</v>
      </c>
      <c r="K4962" t="s">
        <v>185</v>
      </c>
      <c r="L4962" t="s">
        <v>141</v>
      </c>
      <c r="M4962" t="s">
        <v>52</v>
      </c>
      <c r="N4962" t="s">
        <v>40</v>
      </c>
      <c r="O4962">
        <v>240</v>
      </c>
      <c r="P4962">
        <v>0</v>
      </c>
      <c r="Q4962">
        <v>0</v>
      </c>
      <c r="R4962">
        <v>0</v>
      </c>
      <c r="S4962">
        <v>1</v>
      </c>
      <c r="T4962">
        <v>0</v>
      </c>
      <c r="U4962">
        <v>3</v>
      </c>
      <c r="V4962">
        <v>0</v>
      </c>
      <c r="W4962">
        <v>0</v>
      </c>
      <c r="X4962" s="21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18</v>
      </c>
      <c r="AJ4962" t="s">
        <v>51</v>
      </c>
      <c r="AK4962" t="s">
        <v>52</v>
      </c>
      <c r="AP4962" t="s">
        <v>541</v>
      </c>
    </row>
    <row r="4963" spans="1:42">
      <c r="A4963" s="13">
        <v>43860</v>
      </c>
      <c r="B4963">
        <v>4</v>
      </c>
      <c r="C4963">
        <v>215</v>
      </c>
      <c r="D4963">
        <v>14445</v>
      </c>
      <c r="E4963" t="s">
        <v>112</v>
      </c>
      <c r="F4963" t="s">
        <v>104</v>
      </c>
      <c r="G4963">
        <v>4</v>
      </c>
      <c r="H4963">
        <v>105</v>
      </c>
      <c r="I4963" s="25">
        <v>2415</v>
      </c>
      <c r="K4963" t="s">
        <v>595</v>
      </c>
      <c r="L4963" t="s">
        <v>141</v>
      </c>
      <c r="M4963" t="s">
        <v>52</v>
      </c>
      <c r="N4963" t="s">
        <v>40</v>
      </c>
      <c r="O4963">
        <v>133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2</v>
      </c>
      <c r="V4963">
        <v>0</v>
      </c>
      <c r="W4963">
        <v>1</v>
      </c>
      <c r="X4963" s="21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J4963" t="s">
        <v>51</v>
      </c>
      <c r="AK4963" t="s">
        <v>52</v>
      </c>
      <c r="AP4963" t="s">
        <v>541</v>
      </c>
    </row>
    <row r="4964" spans="1:42">
      <c r="A4964" s="13">
        <v>43860</v>
      </c>
      <c r="B4964">
        <v>4</v>
      </c>
      <c r="C4964">
        <v>215</v>
      </c>
      <c r="D4964">
        <v>14445</v>
      </c>
      <c r="E4964" t="s">
        <v>112</v>
      </c>
      <c r="F4964" t="s">
        <v>104</v>
      </c>
      <c r="G4964">
        <v>4</v>
      </c>
      <c r="H4964">
        <v>106</v>
      </c>
      <c r="I4964" s="25">
        <v>2405</v>
      </c>
      <c r="K4964" t="s">
        <v>595</v>
      </c>
      <c r="L4964" t="s">
        <v>141</v>
      </c>
      <c r="M4964" t="s">
        <v>52</v>
      </c>
      <c r="N4964" t="s">
        <v>44</v>
      </c>
      <c r="O4964">
        <v>67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1</v>
      </c>
      <c r="X4964" s="21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J4964" t="s">
        <v>51</v>
      </c>
      <c r="AK4964" t="s">
        <v>52</v>
      </c>
      <c r="AL4964" t="s">
        <v>590</v>
      </c>
      <c r="AP4964" t="s">
        <v>541</v>
      </c>
    </row>
    <row r="4965" spans="1:42">
      <c r="A4965" s="13">
        <v>43860</v>
      </c>
      <c r="B4965">
        <v>4</v>
      </c>
      <c r="C4965">
        <v>215</v>
      </c>
      <c r="D4965">
        <v>14445</v>
      </c>
      <c r="E4965" t="s">
        <v>112</v>
      </c>
      <c r="F4965" t="s">
        <v>104</v>
      </c>
      <c r="G4965">
        <v>4</v>
      </c>
      <c r="H4965">
        <v>107</v>
      </c>
      <c r="I4965" s="25">
        <v>2400</v>
      </c>
      <c r="K4965" t="s">
        <v>595</v>
      </c>
      <c r="L4965" t="s">
        <v>114</v>
      </c>
      <c r="M4965" t="s">
        <v>52</v>
      </c>
      <c r="N4965" t="s">
        <v>40</v>
      </c>
      <c r="O4965">
        <v>33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1</v>
      </c>
      <c r="X4965" s="21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J4965" t="s">
        <v>51</v>
      </c>
      <c r="AK4965" t="s">
        <v>52</v>
      </c>
      <c r="AL4965" t="s">
        <v>611</v>
      </c>
      <c r="AP4965" t="s">
        <v>541</v>
      </c>
    </row>
    <row r="4966" spans="1:42">
      <c r="A4966" s="13">
        <v>43860</v>
      </c>
      <c r="B4966">
        <v>4</v>
      </c>
      <c r="C4966">
        <v>215</v>
      </c>
      <c r="D4966">
        <v>14445</v>
      </c>
      <c r="E4966" t="s">
        <v>112</v>
      </c>
      <c r="F4966" t="s">
        <v>104</v>
      </c>
      <c r="G4966">
        <v>4</v>
      </c>
      <c r="H4966">
        <v>108</v>
      </c>
      <c r="I4966" s="25">
        <v>2010</v>
      </c>
      <c r="K4966" t="s">
        <v>595</v>
      </c>
      <c r="L4966" t="s">
        <v>114</v>
      </c>
      <c r="M4966" t="s">
        <v>52</v>
      </c>
      <c r="N4966" t="s">
        <v>44</v>
      </c>
      <c r="O4966">
        <v>189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1</v>
      </c>
      <c r="X4966" s="21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J4966" t="s">
        <v>51</v>
      </c>
      <c r="AK4966" t="s">
        <v>52</v>
      </c>
      <c r="AL4966" t="s">
        <v>611</v>
      </c>
      <c r="AP4966" t="s">
        <v>541</v>
      </c>
    </row>
    <row r="4967" spans="1:42">
      <c r="A4967" s="13">
        <v>43860</v>
      </c>
      <c r="B4967">
        <v>4</v>
      </c>
      <c r="C4967">
        <v>215</v>
      </c>
      <c r="D4967">
        <v>14445</v>
      </c>
      <c r="E4967" t="s">
        <v>112</v>
      </c>
      <c r="F4967" t="s">
        <v>104</v>
      </c>
      <c r="G4967">
        <v>4</v>
      </c>
      <c r="H4967">
        <v>109</v>
      </c>
      <c r="I4967" s="25">
        <v>2120</v>
      </c>
      <c r="K4967" t="s">
        <v>595</v>
      </c>
      <c r="L4967" t="s">
        <v>114</v>
      </c>
      <c r="M4967" t="s">
        <v>52</v>
      </c>
      <c r="N4967" t="s">
        <v>44</v>
      </c>
      <c r="O4967">
        <v>187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1</v>
      </c>
      <c r="W4967">
        <v>1</v>
      </c>
      <c r="X4967" s="21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J4967" t="s">
        <v>51</v>
      </c>
      <c r="AK4967" t="s">
        <v>52</v>
      </c>
      <c r="AL4967" t="s">
        <v>611</v>
      </c>
      <c r="AP4967" t="s">
        <v>541</v>
      </c>
    </row>
    <row r="4968" spans="1:42">
      <c r="A4968" s="13">
        <v>43860</v>
      </c>
      <c r="B4968">
        <v>4</v>
      </c>
      <c r="C4968">
        <v>215</v>
      </c>
      <c r="D4968">
        <v>14445</v>
      </c>
      <c r="E4968" t="s">
        <v>112</v>
      </c>
      <c r="F4968" t="s">
        <v>104</v>
      </c>
      <c r="G4968">
        <v>4</v>
      </c>
      <c r="H4968">
        <v>110</v>
      </c>
      <c r="I4968" s="25">
        <v>2160</v>
      </c>
      <c r="K4968" t="s">
        <v>595</v>
      </c>
      <c r="L4968" t="s">
        <v>114</v>
      </c>
      <c r="M4968" t="s">
        <v>52</v>
      </c>
      <c r="N4968" t="s">
        <v>44</v>
      </c>
      <c r="O4968">
        <v>87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1</v>
      </c>
      <c r="X4968" s="21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J4968" t="s">
        <v>51</v>
      </c>
      <c r="AK4968" t="s">
        <v>52</v>
      </c>
      <c r="AL4968" t="s">
        <v>611</v>
      </c>
      <c r="AP4968" t="s">
        <v>541</v>
      </c>
    </row>
    <row r="4969" spans="1:42">
      <c r="A4969" s="13">
        <v>43860</v>
      </c>
      <c r="B4969">
        <v>4</v>
      </c>
      <c r="C4969">
        <v>215</v>
      </c>
      <c r="D4969">
        <v>14445</v>
      </c>
      <c r="E4969" t="s">
        <v>112</v>
      </c>
      <c r="F4969" t="s">
        <v>104</v>
      </c>
      <c r="G4969">
        <v>4</v>
      </c>
      <c r="H4969">
        <v>111</v>
      </c>
      <c r="I4969" s="25">
        <v>2172</v>
      </c>
      <c r="K4969" t="s">
        <v>595</v>
      </c>
      <c r="L4969" t="s">
        <v>114</v>
      </c>
      <c r="M4969" t="s">
        <v>52</v>
      </c>
      <c r="N4969" t="s">
        <v>44</v>
      </c>
      <c r="O4969">
        <v>101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1</v>
      </c>
      <c r="X4969" s="21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J4969" t="s">
        <v>51</v>
      </c>
      <c r="AK4969" t="s">
        <v>52</v>
      </c>
      <c r="AL4969" t="s">
        <v>611</v>
      </c>
      <c r="AP4969" t="s">
        <v>541</v>
      </c>
    </row>
    <row r="4970" spans="1:42">
      <c r="A4970" s="13">
        <v>43860</v>
      </c>
      <c r="B4970">
        <v>4</v>
      </c>
      <c r="C4970">
        <v>215</v>
      </c>
      <c r="D4970">
        <v>14445</v>
      </c>
      <c r="E4970" t="s">
        <v>112</v>
      </c>
      <c r="F4970" t="s">
        <v>104</v>
      </c>
      <c r="G4970">
        <v>4</v>
      </c>
      <c r="H4970">
        <v>112</v>
      </c>
      <c r="I4970" s="25">
        <v>2190</v>
      </c>
      <c r="K4970" t="s">
        <v>595</v>
      </c>
      <c r="L4970" t="s">
        <v>114</v>
      </c>
      <c r="M4970" t="s">
        <v>52</v>
      </c>
      <c r="N4970" t="s">
        <v>44</v>
      </c>
      <c r="O4970">
        <v>82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1</v>
      </c>
      <c r="W4970">
        <v>0</v>
      </c>
      <c r="X4970" s="21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J4970" t="s">
        <v>51</v>
      </c>
      <c r="AK4970" t="s">
        <v>52</v>
      </c>
      <c r="AL4970" t="s">
        <v>611</v>
      </c>
      <c r="AP4970" t="s">
        <v>541</v>
      </c>
    </row>
    <row r="4971" spans="1:42">
      <c r="A4971" s="13">
        <v>43860</v>
      </c>
      <c r="B4971">
        <v>4</v>
      </c>
      <c r="C4971">
        <v>215</v>
      </c>
      <c r="D4971">
        <v>14445</v>
      </c>
      <c r="E4971" t="s">
        <v>112</v>
      </c>
      <c r="F4971" t="s">
        <v>104</v>
      </c>
      <c r="G4971">
        <v>4</v>
      </c>
      <c r="H4971">
        <v>113</v>
      </c>
      <c r="I4971" s="25">
        <v>2105</v>
      </c>
      <c r="K4971" t="s">
        <v>185</v>
      </c>
      <c r="L4971" t="s">
        <v>141</v>
      </c>
      <c r="M4971" t="s">
        <v>52</v>
      </c>
      <c r="N4971" t="s">
        <v>44</v>
      </c>
      <c r="O4971">
        <v>81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1</v>
      </c>
      <c r="X4971" s="2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J4971" t="s">
        <v>54</v>
      </c>
      <c r="AK4971" t="s">
        <v>52</v>
      </c>
      <c r="AL4971" t="s">
        <v>611</v>
      </c>
      <c r="AP4971" t="s">
        <v>541</v>
      </c>
    </row>
    <row r="4972" spans="1:42">
      <c r="A4972" s="13">
        <v>43860</v>
      </c>
      <c r="B4972">
        <v>4</v>
      </c>
      <c r="C4972">
        <v>215</v>
      </c>
      <c r="D4972">
        <v>14445</v>
      </c>
      <c r="E4972" t="s">
        <v>112</v>
      </c>
      <c r="F4972" t="s">
        <v>104</v>
      </c>
      <c r="G4972">
        <v>4</v>
      </c>
      <c r="H4972">
        <v>114</v>
      </c>
      <c r="I4972" s="25">
        <v>1977</v>
      </c>
      <c r="K4972" t="s">
        <v>605</v>
      </c>
      <c r="L4972" t="s">
        <v>141</v>
      </c>
      <c r="M4972" t="s">
        <v>52</v>
      </c>
      <c r="N4972" t="s">
        <v>40</v>
      </c>
      <c r="O4972">
        <v>32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2</v>
      </c>
      <c r="V4972">
        <v>0</v>
      </c>
      <c r="W4972">
        <v>0</v>
      </c>
      <c r="X4972" s="21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J4972" t="s">
        <v>54</v>
      </c>
      <c r="AK4972" t="s">
        <v>52</v>
      </c>
      <c r="AP4972" t="s">
        <v>541</v>
      </c>
    </row>
    <row r="4973" spans="1:42">
      <c r="A4973" s="13">
        <v>43860</v>
      </c>
      <c r="B4973">
        <v>4</v>
      </c>
      <c r="C4973">
        <v>215</v>
      </c>
      <c r="D4973">
        <v>14445</v>
      </c>
      <c r="E4973" t="s">
        <v>112</v>
      </c>
      <c r="F4973" t="s">
        <v>104</v>
      </c>
      <c r="G4973">
        <v>4</v>
      </c>
      <c r="H4973">
        <v>115</v>
      </c>
      <c r="I4973" s="25">
        <v>1965</v>
      </c>
      <c r="K4973" t="s">
        <v>605</v>
      </c>
      <c r="L4973" t="s">
        <v>141</v>
      </c>
      <c r="M4973" t="s">
        <v>52</v>
      </c>
      <c r="N4973" t="s">
        <v>40</v>
      </c>
      <c r="O4973">
        <v>90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4</v>
      </c>
      <c r="V4973">
        <v>0</v>
      </c>
      <c r="W4973">
        <v>0</v>
      </c>
      <c r="X4973" s="21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J4973" t="s">
        <v>54</v>
      </c>
      <c r="AK4973" t="s">
        <v>52</v>
      </c>
      <c r="AP4973" t="s">
        <v>541</v>
      </c>
    </row>
    <row r="4974" spans="1:42">
      <c r="A4974" s="13">
        <v>43860</v>
      </c>
      <c r="B4974">
        <v>4</v>
      </c>
      <c r="C4974">
        <v>215</v>
      </c>
      <c r="D4974">
        <v>14445</v>
      </c>
      <c r="E4974" t="s">
        <v>112</v>
      </c>
      <c r="F4974" t="s">
        <v>104</v>
      </c>
      <c r="G4974">
        <v>4</v>
      </c>
      <c r="H4974">
        <v>116</v>
      </c>
      <c r="I4974" s="25">
        <v>1966</v>
      </c>
      <c r="K4974" t="s">
        <v>605</v>
      </c>
      <c r="L4974" t="s">
        <v>114</v>
      </c>
      <c r="M4974" t="s">
        <v>52</v>
      </c>
      <c r="N4974" t="s">
        <v>44</v>
      </c>
      <c r="O4974">
        <v>134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</v>
      </c>
      <c r="X4974" s="21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J4974" t="s">
        <v>54</v>
      </c>
      <c r="AK4974" t="s">
        <v>52</v>
      </c>
      <c r="AL4974" t="s">
        <v>611</v>
      </c>
      <c r="AP4974" t="s">
        <v>541</v>
      </c>
    </row>
    <row r="4975" spans="1:42">
      <c r="A4975" s="13">
        <v>43860</v>
      </c>
      <c r="B4975">
        <v>4</v>
      </c>
      <c r="C4975">
        <v>215</v>
      </c>
      <c r="D4975">
        <v>14445</v>
      </c>
      <c r="E4975" t="s">
        <v>112</v>
      </c>
      <c r="F4975" t="s">
        <v>104</v>
      </c>
      <c r="G4975">
        <v>4</v>
      </c>
      <c r="H4975">
        <v>117</v>
      </c>
      <c r="I4975" s="25">
        <v>1945</v>
      </c>
      <c r="K4975" t="s">
        <v>605</v>
      </c>
      <c r="L4975" t="s">
        <v>141</v>
      </c>
      <c r="M4975" t="s">
        <v>52</v>
      </c>
      <c r="N4975" t="s">
        <v>40</v>
      </c>
      <c r="O4975">
        <v>48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2</v>
      </c>
      <c r="V4975">
        <v>0</v>
      </c>
      <c r="W4975">
        <v>0</v>
      </c>
      <c r="X4975" s="21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J4975" t="s">
        <v>54</v>
      </c>
      <c r="AK4975" t="s">
        <v>52</v>
      </c>
      <c r="AP4975" t="s">
        <v>541</v>
      </c>
    </row>
    <row r="4976" spans="1:42">
      <c r="A4976" s="13">
        <v>43860</v>
      </c>
      <c r="B4976">
        <v>4</v>
      </c>
      <c r="C4976">
        <v>215</v>
      </c>
      <c r="D4976">
        <v>14445</v>
      </c>
      <c r="E4976" t="s">
        <v>112</v>
      </c>
      <c r="F4976" t="s">
        <v>104</v>
      </c>
      <c r="G4976">
        <v>4</v>
      </c>
      <c r="H4976">
        <v>118</v>
      </c>
      <c r="I4976" s="25">
        <v>1966</v>
      </c>
      <c r="K4976" t="s">
        <v>647</v>
      </c>
      <c r="L4976" t="s">
        <v>114</v>
      </c>
      <c r="M4976" t="s">
        <v>52</v>
      </c>
      <c r="N4976" t="s">
        <v>40</v>
      </c>
      <c r="O4976">
        <v>85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1</v>
      </c>
      <c r="X4976" s="21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J4976" t="s">
        <v>54</v>
      </c>
      <c r="AK4976" t="s">
        <v>52</v>
      </c>
      <c r="AP4976" t="s">
        <v>541</v>
      </c>
    </row>
    <row r="4977" spans="1:42">
      <c r="A4977" s="13">
        <v>43860</v>
      </c>
      <c r="B4977">
        <v>4</v>
      </c>
      <c r="C4977">
        <v>215</v>
      </c>
      <c r="D4977">
        <v>14445</v>
      </c>
      <c r="E4977" t="s">
        <v>112</v>
      </c>
      <c r="F4977" t="s">
        <v>104</v>
      </c>
      <c r="G4977">
        <v>4</v>
      </c>
      <c r="H4977">
        <v>119</v>
      </c>
      <c r="I4977" s="25">
        <v>1965</v>
      </c>
      <c r="K4977" t="s">
        <v>647</v>
      </c>
      <c r="L4977" t="s">
        <v>141</v>
      </c>
      <c r="M4977" t="s">
        <v>52</v>
      </c>
      <c r="N4977" t="s">
        <v>44</v>
      </c>
      <c r="O4977">
        <v>208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</v>
      </c>
      <c r="X4977" s="21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J4977" t="s">
        <v>54</v>
      </c>
      <c r="AK4977" t="s">
        <v>52</v>
      </c>
      <c r="AL4977" t="s">
        <v>611</v>
      </c>
      <c r="AP4977" t="s">
        <v>541</v>
      </c>
    </row>
    <row r="4978" spans="1:42">
      <c r="A4978" s="13">
        <v>43860</v>
      </c>
      <c r="B4978">
        <v>4</v>
      </c>
      <c r="C4978">
        <v>215</v>
      </c>
      <c r="D4978">
        <v>14445</v>
      </c>
      <c r="E4978" t="s">
        <v>112</v>
      </c>
      <c r="F4978" t="s">
        <v>104</v>
      </c>
      <c r="G4978">
        <v>4</v>
      </c>
      <c r="H4978">
        <v>120</v>
      </c>
      <c r="I4978" s="25">
        <v>1994</v>
      </c>
      <c r="K4978" t="s">
        <v>647</v>
      </c>
      <c r="L4978" t="s">
        <v>114</v>
      </c>
      <c r="M4978" t="s">
        <v>52</v>
      </c>
      <c r="N4978" t="s">
        <v>40</v>
      </c>
      <c r="O4978">
        <v>46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1</v>
      </c>
      <c r="V4978">
        <v>1</v>
      </c>
      <c r="W4978">
        <v>0</v>
      </c>
      <c r="X4978" s="21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J4978" t="s">
        <v>54</v>
      </c>
      <c r="AK4978" t="s">
        <v>52</v>
      </c>
      <c r="AP4978" t="s">
        <v>541</v>
      </c>
    </row>
    <row r="4979" spans="1:42">
      <c r="A4979" s="13">
        <v>43860</v>
      </c>
      <c r="B4979">
        <v>4</v>
      </c>
      <c r="C4979">
        <v>215</v>
      </c>
      <c r="D4979">
        <v>14445</v>
      </c>
      <c r="E4979" t="s">
        <v>112</v>
      </c>
      <c r="F4979" t="s">
        <v>104</v>
      </c>
      <c r="G4979">
        <v>4</v>
      </c>
      <c r="H4979">
        <v>121</v>
      </c>
      <c r="I4979" s="25">
        <v>2342</v>
      </c>
      <c r="K4979" t="s">
        <v>595</v>
      </c>
      <c r="L4979" t="s">
        <v>114</v>
      </c>
      <c r="M4979" t="s">
        <v>52</v>
      </c>
      <c r="N4979" t="s">
        <v>40</v>
      </c>
      <c r="O4979">
        <v>72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1</v>
      </c>
      <c r="X4979" s="21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J4979" t="s">
        <v>54</v>
      </c>
      <c r="AK4979" t="s">
        <v>52</v>
      </c>
      <c r="AP4979" t="s">
        <v>541</v>
      </c>
    </row>
    <row r="4980" spans="1:42">
      <c r="A4980" s="13">
        <v>43860</v>
      </c>
      <c r="B4980">
        <v>4</v>
      </c>
      <c r="C4980">
        <v>215</v>
      </c>
      <c r="D4980">
        <v>14445</v>
      </c>
      <c r="E4980" t="s">
        <v>112</v>
      </c>
      <c r="F4980" t="s">
        <v>104</v>
      </c>
      <c r="G4980">
        <v>4</v>
      </c>
      <c r="H4980">
        <v>122</v>
      </c>
      <c r="I4980" s="25">
        <v>2336</v>
      </c>
      <c r="K4980" t="s">
        <v>595</v>
      </c>
      <c r="L4980" t="s">
        <v>114</v>
      </c>
      <c r="M4980" t="s">
        <v>52</v>
      </c>
      <c r="N4980" t="s">
        <v>40</v>
      </c>
      <c r="O4980">
        <v>87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2</v>
      </c>
      <c r="V4980">
        <v>0</v>
      </c>
      <c r="W4980">
        <v>0</v>
      </c>
      <c r="X4980" s="21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J4980" t="s">
        <v>54</v>
      </c>
      <c r="AK4980" t="s">
        <v>52</v>
      </c>
      <c r="AP4980" t="s">
        <v>541</v>
      </c>
    </row>
    <row r="4981" spans="1:42">
      <c r="A4981" s="13">
        <v>43860</v>
      </c>
      <c r="B4981">
        <v>4</v>
      </c>
      <c r="C4981">
        <v>215</v>
      </c>
      <c r="D4981">
        <v>14445</v>
      </c>
      <c r="E4981" t="s">
        <v>112</v>
      </c>
      <c r="F4981" t="s">
        <v>104</v>
      </c>
      <c r="G4981">
        <v>4</v>
      </c>
      <c r="H4981">
        <v>123</v>
      </c>
      <c r="I4981" s="25">
        <v>2333</v>
      </c>
      <c r="K4981" t="s">
        <v>595</v>
      </c>
      <c r="L4981" t="s">
        <v>141</v>
      </c>
      <c r="M4981" t="s">
        <v>52</v>
      </c>
      <c r="N4981" t="s">
        <v>44</v>
      </c>
      <c r="O4981">
        <v>122</v>
      </c>
      <c r="P4981">
        <v>0</v>
      </c>
      <c r="Q4981">
        <v>0</v>
      </c>
      <c r="R4981">
        <v>0</v>
      </c>
      <c r="S4981">
        <v>1</v>
      </c>
      <c r="T4981">
        <v>0</v>
      </c>
      <c r="U4981">
        <v>0</v>
      </c>
      <c r="V4981">
        <v>1</v>
      </c>
      <c r="W4981">
        <v>0</v>
      </c>
      <c r="X4981" s="2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J4981" t="s">
        <v>54</v>
      </c>
      <c r="AK4981" t="s">
        <v>52</v>
      </c>
      <c r="AL4981" t="s">
        <v>611</v>
      </c>
      <c r="AP4981" t="s">
        <v>541</v>
      </c>
    </row>
    <row r="4982" spans="1:42">
      <c r="A4982" s="13">
        <v>43860</v>
      </c>
      <c r="B4982">
        <v>4</v>
      </c>
      <c r="C4982">
        <v>215</v>
      </c>
      <c r="D4982">
        <v>14445</v>
      </c>
      <c r="E4982" t="s">
        <v>112</v>
      </c>
      <c r="F4982" t="s">
        <v>104</v>
      </c>
      <c r="G4982">
        <v>4</v>
      </c>
      <c r="H4982">
        <v>124</v>
      </c>
      <c r="I4982" s="25">
        <v>2348</v>
      </c>
      <c r="K4982" t="s">
        <v>595</v>
      </c>
      <c r="L4982" t="s">
        <v>114</v>
      </c>
      <c r="M4982" t="s">
        <v>52</v>
      </c>
      <c r="N4982" t="s">
        <v>40</v>
      </c>
      <c r="O4982">
        <v>68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1</v>
      </c>
      <c r="W4982">
        <v>0</v>
      </c>
      <c r="X4982" s="21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J4982" t="s">
        <v>54</v>
      </c>
      <c r="AK4982" t="s">
        <v>52</v>
      </c>
      <c r="AP4982" t="s">
        <v>541</v>
      </c>
    </row>
    <row r="4983" spans="1:42">
      <c r="A4983" s="13">
        <v>43860</v>
      </c>
      <c r="B4983">
        <v>4</v>
      </c>
      <c r="C4983">
        <v>215</v>
      </c>
      <c r="D4983">
        <v>14445</v>
      </c>
      <c r="E4983" t="s">
        <v>112</v>
      </c>
      <c r="F4983" t="s">
        <v>104</v>
      </c>
      <c r="G4983">
        <v>4</v>
      </c>
      <c r="H4983">
        <v>125</v>
      </c>
      <c r="I4983" s="25">
        <v>2342</v>
      </c>
      <c r="K4983" t="s">
        <v>595</v>
      </c>
      <c r="L4983" t="s">
        <v>114</v>
      </c>
      <c r="M4983" t="s">
        <v>52</v>
      </c>
      <c r="N4983" t="s">
        <v>44</v>
      </c>
      <c r="O4983">
        <v>54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1</v>
      </c>
      <c r="W4983">
        <v>0</v>
      </c>
      <c r="X4983" s="21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J4983" t="s">
        <v>54</v>
      </c>
      <c r="AK4983" t="s">
        <v>52</v>
      </c>
      <c r="AL4983" t="s">
        <v>611</v>
      </c>
      <c r="AP4983" t="s">
        <v>541</v>
      </c>
    </row>
    <row r="4984" spans="1:42">
      <c r="A4984" s="13">
        <v>43864</v>
      </c>
      <c r="B4984">
        <v>1</v>
      </c>
      <c r="C4984">
        <v>315</v>
      </c>
      <c r="D4984">
        <v>10375</v>
      </c>
      <c r="E4984" t="s">
        <v>37</v>
      </c>
      <c r="F4984" t="s">
        <v>38</v>
      </c>
      <c r="G4984">
        <v>1</v>
      </c>
      <c r="H4984">
        <v>1</v>
      </c>
      <c r="I4984" s="25">
        <v>201</v>
      </c>
      <c r="K4984" t="s">
        <v>415</v>
      </c>
      <c r="L4984" t="s">
        <v>141</v>
      </c>
      <c r="M4984" t="s">
        <v>52</v>
      </c>
      <c r="N4984" t="s">
        <v>44</v>
      </c>
      <c r="O4984">
        <v>133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6</v>
      </c>
      <c r="X4984" s="21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J4984" t="s">
        <v>54</v>
      </c>
      <c r="AK4984" t="s">
        <v>95</v>
      </c>
      <c r="AP4984" t="s">
        <v>541</v>
      </c>
    </row>
    <row r="4985" spans="1:42">
      <c r="A4985" s="13">
        <v>43864</v>
      </c>
      <c r="B4985">
        <v>1</v>
      </c>
      <c r="C4985">
        <v>315</v>
      </c>
      <c r="D4985">
        <v>10375</v>
      </c>
      <c r="E4985" t="s">
        <v>37</v>
      </c>
      <c r="F4985" t="s">
        <v>38</v>
      </c>
      <c r="G4985">
        <v>1</v>
      </c>
      <c r="H4985">
        <v>2</v>
      </c>
      <c r="I4985" s="25">
        <v>1700</v>
      </c>
      <c r="K4985" t="s">
        <v>56</v>
      </c>
      <c r="L4985" t="s">
        <v>114</v>
      </c>
      <c r="M4985" t="s">
        <v>52</v>
      </c>
      <c r="N4985" t="s">
        <v>40</v>
      </c>
      <c r="O4985">
        <v>37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1</v>
      </c>
      <c r="V4985">
        <v>0</v>
      </c>
      <c r="W4985">
        <v>0</v>
      </c>
      <c r="X4985" s="21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J4985" t="s">
        <v>54</v>
      </c>
      <c r="AK4985" t="s">
        <v>95</v>
      </c>
      <c r="AP4985" t="s">
        <v>541</v>
      </c>
    </row>
    <row r="4986" spans="1:42">
      <c r="A4986" s="13">
        <v>43864</v>
      </c>
      <c r="B4986">
        <v>1</v>
      </c>
      <c r="C4986">
        <v>315</v>
      </c>
      <c r="D4986">
        <v>10375</v>
      </c>
      <c r="E4986" t="s">
        <v>37</v>
      </c>
      <c r="F4986" t="s">
        <v>38</v>
      </c>
      <c r="G4986">
        <v>1</v>
      </c>
      <c r="H4986">
        <v>3</v>
      </c>
      <c r="I4986" s="25">
        <v>1688</v>
      </c>
      <c r="K4986" t="s">
        <v>69</v>
      </c>
      <c r="L4986" t="s">
        <v>114</v>
      </c>
      <c r="M4986" t="s">
        <v>52</v>
      </c>
      <c r="N4986" t="s">
        <v>40</v>
      </c>
      <c r="O4986">
        <v>76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2</v>
      </c>
      <c r="X4986" s="21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J4986" t="s">
        <v>54</v>
      </c>
      <c r="AK4986" t="s">
        <v>52</v>
      </c>
      <c r="AL4986" t="s">
        <v>611</v>
      </c>
      <c r="AP4986" t="s">
        <v>541</v>
      </c>
    </row>
    <row r="4987" spans="1:42">
      <c r="A4987" s="13">
        <v>43864</v>
      </c>
      <c r="B4987">
        <v>1</v>
      </c>
      <c r="C4987">
        <v>315</v>
      </c>
      <c r="D4987">
        <v>10375</v>
      </c>
      <c r="E4987" t="s">
        <v>37</v>
      </c>
      <c r="F4987" t="s">
        <v>38</v>
      </c>
      <c r="G4987">
        <v>1</v>
      </c>
      <c r="H4987">
        <v>4</v>
      </c>
      <c r="I4987" s="25">
        <v>1705</v>
      </c>
      <c r="K4987" t="s">
        <v>69</v>
      </c>
      <c r="L4987" t="s">
        <v>141</v>
      </c>
      <c r="M4987" t="s">
        <v>52</v>
      </c>
      <c r="N4987" t="s">
        <v>40</v>
      </c>
      <c r="O4987">
        <v>40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2</v>
      </c>
      <c r="W4987">
        <v>0</v>
      </c>
      <c r="X4987" s="21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J4987" t="s">
        <v>54</v>
      </c>
      <c r="AK4987" t="s">
        <v>52</v>
      </c>
      <c r="AP4987" t="s">
        <v>541</v>
      </c>
    </row>
    <row r="4988" spans="1:42">
      <c r="A4988" s="13">
        <v>43864</v>
      </c>
      <c r="B4988">
        <v>1</v>
      </c>
      <c r="C4988">
        <v>315</v>
      </c>
      <c r="D4988">
        <v>10375</v>
      </c>
      <c r="E4988" t="s">
        <v>37</v>
      </c>
      <c r="F4988" t="s">
        <v>38</v>
      </c>
      <c r="G4988">
        <v>1</v>
      </c>
      <c r="H4988">
        <v>5</v>
      </c>
      <c r="I4988" s="25">
        <v>600</v>
      </c>
      <c r="K4988" t="s">
        <v>1092</v>
      </c>
      <c r="L4988" t="s">
        <v>114</v>
      </c>
      <c r="M4988" t="s">
        <v>52</v>
      </c>
      <c r="N4988" t="s">
        <v>40</v>
      </c>
      <c r="O4988">
        <v>82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3</v>
      </c>
      <c r="W4988">
        <v>0</v>
      </c>
      <c r="X4988" s="21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J4988" t="s">
        <v>51</v>
      </c>
      <c r="AK4988" t="s">
        <v>95</v>
      </c>
      <c r="AL4988" t="s">
        <v>45</v>
      </c>
      <c r="AP4988" t="s">
        <v>541</v>
      </c>
    </row>
    <row r="4989" spans="1:42">
      <c r="A4989" s="13">
        <v>43864</v>
      </c>
      <c r="B4989">
        <v>1</v>
      </c>
      <c r="C4989">
        <v>315</v>
      </c>
      <c r="D4989">
        <v>10375</v>
      </c>
      <c r="E4989" t="s">
        <v>37</v>
      </c>
      <c r="F4989" t="s">
        <v>38</v>
      </c>
      <c r="G4989">
        <v>1</v>
      </c>
      <c r="H4989">
        <v>6</v>
      </c>
      <c r="I4989" s="25">
        <v>600</v>
      </c>
      <c r="K4989" t="s">
        <v>1092</v>
      </c>
      <c r="L4989" t="s">
        <v>114</v>
      </c>
      <c r="M4989" t="s">
        <v>52</v>
      </c>
      <c r="N4989" t="s">
        <v>40</v>
      </c>
      <c r="O4989">
        <v>75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1</v>
      </c>
      <c r="W4989">
        <v>0</v>
      </c>
      <c r="X4989" s="21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J4989" t="s">
        <v>51</v>
      </c>
      <c r="AK4989" t="s">
        <v>95</v>
      </c>
      <c r="AL4989" t="s">
        <v>45</v>
      </c>
      <c r="AP4989" t="s">
        <v>541</v>
      </c>
    </row>
    <row r="4990" spans="1:42">
      <c r="A4990" s="13">
        <v>43864</v>
      </c>
      <c r="B4990">
        <v>1</v>
      </c>
      <c r="C4990">
        <v>315</v>
      </c>
      <c r="D4990">
        <v>10375</v>
      </c>
      <c r="E4990" t="s">
        <v>37</v>
      </c>
      <c r="F4990" t="s">
        <v>38</v>
      </c>
      <c r="G4990">
        <v>1</v>
      </c>
      <c r="H4990">
        <v>7</v>
      </c>
      <c r="I4990" s="25">
        <v>600</v>
      </c>
      <c r="K4990" t="s">
        <v>1092</v>
      </c>
      <c r="L4990" t="s">
        <v>114</v>
      </c>
      <c r="M4990" t="s">
        <v>52</v>
      </c>
      <c r="N4990" t="s">
        <v>40</v>
      </c>
      <c r="O4990">
        <v>368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2</v>
      </c>
      <c r="V4990">
        <v>5</v>
      </c>
      <c r="W4990">
        <v>0</v>
      </c>
      <c r="X4990" s="21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J4990" t="s">
        <v>51</v>
      </c>
      <c r="AK4990" t="s">
        <v>95</v>
      </c>
      <c r="AL4990" t="s">
        <v>1595</v>
      </c>
      <c r="AP4990" t="s">
        <v>541</v>
      </c>
    </row>
    <row r="4991" spans="1:42">
      <c r="A4991" s="13">
        <v>43864</v>
      </c>
      <c r="B4991">
        <v>1</v>
      </c>
      <c r="C4991">
        <v>315</v>
      </c>
      <c r="D4991">
        <v>10375</v>
      </c>
      <c r="E4991" t="s">
        <v>37</v>
      </c>
      <c r="F4991" t="s">
        <v>38</v>
      </c>
      <c r="G4991">
        <v>1</v>
      </c>
      <c r="H4991">
        <v>8</v>
      </c>
      <c r="I4991" s="25">
        <v>1600</v>
      </c>
      <c r="K4991" t="s">
        <v>74</v>
      </c>
      <c r="L4991" t="s">
        <v>114</v>
      </c>
      <c r="M4991" t="s">
        <v>52</v>
      </c>
      <c r="N4991" t="s">
        <v>40</v>
      </c>
      <c r="O4991">
        <v>43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1</v>
      </c>
      <c r="X4991" s="2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J4991" t="s">
        <v>51</v>
      </c>
      <c r="AK4991" t="s">
        <v>95</v>
      </c>
      <c r="AP4991" t="s">
        <v>541</v>
      </c>
    </row>
    <row r="4992" spans="1:42">
      <c r="A4992" s="13">
        <v>43864</v>
      </c>
      <c r="B4992">
        <v>1</v>
      </c>
      <c r="C4992">
        <v>315</v>
      </c>
      <c r="D4992">
        <v>10375</v>
      </c>
      <c r="E4992" t="s">
        <v>37</v>
      </c>
      <c r="F4992" t="s">
        <v>38</v>
      </c>
      <c r="G4992">
        <v>1</v>
      </c>
      <c r="H4992">
        <v>9</v>
      </c>
      <c r="I4992" s="25">
        <v>1800</v>
      </c>
      <c r="K4992" t="s">
        <v>53</v>
      </c>
      <c r="L4992" t="s">
        <v>114</v>
      </c>
      <c r="M4992" t="s">
        <v>52</v>
      </c>
      <c r="N4992" t="s">
        <v>40</v>
      </c>
      <c r="O4992">
        <v>47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2</v>
      </c>
      <c r="W4992">
        <v>0</v>
      </c>
      <c r="X4992" s="21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J4992" t="s">
        <v>54</v>
      </c>
      <c r="AK4992" t="s">
        <v>95</v>
      </c>
      <c r="AP4992" t="s">
        <v>541</v>
      </c>
    </row>
    <row r="4993" spans="1:42">
      <c r="A4993" s="13">
        <v>43864</v>
      </c>
      <c r="B4993">
        <v>1</v>
      </c>
      <c r="C4993">
        <v>315</v>
      </c>
      <c r="D4993">
        <v>10375</v>
      </c>
      <c r="E4993" t="s">
        <v>37</v>
      </c>
      <c r="F4993" t="s">
        <v>38</v>
      </c>
      <c r="G4993">
        <v>1</v>
      </c>
      <c r="H4993">
        <v>10</v>
      </c>
      <c r="I4993" s="25">
        <v>1746</v>
      </c>
      <c r="K4993" t="s">
        <v>599</v>
      </c>
      <c r="L4993" t="s">
        <v>114</v>
      </c>
      <c r="M4993" t="s">
        <v>52</v>
      </c>
      <c r="N4993" t="s">
        <v>40</v>
      </c>
      <c r="O4993">
        <v>187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1</v>
      </c>
      <c r="W4993">
        <v>4</v>
      </c>
      <c r="X4993" s="21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J4993" t="s">
        <v>54</v>
      </c>
      <c r="AK4993" t="s">
        <v>95</v>
      </c>
      <c r="AP4993" t="s">
        <v>541</v>
      </c>
    </row>
    <row r="4994" spans="1:42">
      <c r="A4994" s="13">
        <v>43864</v>
      </c>
      <c r="B4994">
        <v>1</v>
      </c>
      <c r="C4994">
        <v>315</v>
      </c>
      <c r="D4994">
        <v>10375</v>
      </c>
      <c r="E4994" t="s">
        <v>37</v>
      </c>
      <c r="F4994" t="s">
        <v>38</v>
      </c>
      <c r="G4994">
        <v>1</v>
      </c>
      <c r="H4994">
        <v>12</v>
      </c>
      <c r="I4994" s="25">
        <v>1800</v>
      </c>
      <c r="K4994" t="s">
        <v>605</v>
      </c>
      <c r="L4994" t="s">
        <v>114</v>
      </c>
      <c r="M4994" t="s">
        <v>52</v>
      </c>
      <c r="N4994" t="s">
        <v>40</v>
      </c>
      <c r="O4994">
        <v>137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2</v>
      </c>
      <c r="X4994" s="21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J4994" t="s">
        <v>51</v>
      </c>
      <c r="AK4994" t="s">
        <v>52</v>
      </c>
      <c r="AP4994" t="s">
        <v>541</v>
      </c>
    </row>
    <row r="4995" spans="1:42">
      <c r="A4995" s="13">
        <v>43864</v>
      </c>
      <c r="B4995">
        <v>1</v>
      </c>
      <c r="C4995">
        <v>315</v>
      </c>
      <c r="D4995">
        <v>10375</v>
      </c>
      <c r="E4995" t="s">
        <v>37</v>
      </c>
      <c r="F4995" t="s">
        <v>38</v>
      </c>
      <c r="G4995">
        <v>1</v>
      </c>
      <c r="H4995">
        <v>14</v>
      </c>
      <c r="I4995" s="25">
        <v>1775</v>
      </c>
      <c r="K4995" t="s">
        <v>156</v>
      </c>
      <c r="L4995" t="s">
        <v>141</v>
      </c>
      <c r="M4995" t="s">
        <v>52</v>
      </c>
      <c r="N4995" t="s">
        <v>40</v>
      </c>
      <c r="O4995">
        <v>43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2</v>
      </c>
      <c r="W4995">
        <v>0</v>
      </c>
      <c r="X4995" s="21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J4995" t="s">
        <v>51</v>
      </c>
      <c r="AK4995" t="s">
        <v>52</v>
      </c>
      <c r="AP4995" t="s">
        <v>541</v>
      </c>
    </row>
    <row r="4996" spans="1:42">
      <c r="A4996" s="13">
        <v>43864</v>
      </c>
      <c r="B4996">
        <v>1</v>
      </c>
      <c r="C4996">
        <v>315</v>
      </c>
      <c r="D4996">
        <v>10375</v>
      </c>
      <c r="E4996" t="s">
        <v>37</v>
      </c>
      <c r="F4996" t="s">
        <v>38</v>
      </c>
      <c r="G4996">
        <v>1</v>
      </c>
      <c r="H4996">
        <v>15</v>
      </c>
      <c r="I4996" s="25">
        <v>1709</v>
      </c>
      <c r="K4996" t="s">
        <v>156</v>
      </c>
      <c r="L4996" t="s">
        <v>141</v>
      </c>
      <c r="M4996" t="s">
        <v>52</v>
      </c>
      <c r="N4996" t="s">
        <v>40</v>
      </c>
      <c r="O4996">
        <v>15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1</v>
      </c>
      <c r="W4996">
        <v>0</v>
      </c>
      <c r="X4996" s="21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J4996" t="s">
        <v>51</v>
      </c>
      <c r="AK4996" t="s">
        <v>52</v>
      </c>
      <c r="AP4996" t="s">
        <v>541</v>
      </c>
    </row>
    <row r="4997" spans="1:42">
      <c r="A4997" s="13">
        <v>43864</v>
      </c>
      <c r="B4997">
        <v>1</v>
      </c>
      <c r="C4997">
        <v>315</v>
      </c>
      <c r="D4997">
        <v>10375</v>
      </c>
      <c r="E4997" t="s">
        <v>37</v>
      </c>
      <c r="F4997" t="s">
        <v>38</v>
      </c>
      <c r="G4997">
        <v>1</v>
      </c>
      <c r="H4997">
        <v>16</v>
      </c>
      <c r="I4997" s="25">
        <v>1424</v>
      </c>
      <c r="K4997" t="s">
        <v>210</v>
      </c>
      <c r="L4997" t="s">
        <v>141</v>
      </c>
      <c r="M4997" t="s">
        <v>52</v>
      </c>
      <c r="N4997" t="s">
        <v>40</v>
      </c>
      <c r="O4997">
        <v>69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3</v>
      </c>
      <c r="W4997">
        <v>0</v>
      </c>
      <c r="X4997" s="21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J4997" t="s">
        <v>54</v>
      </c>
      <c r="AK4997" t="s">
        <v>52</v>
      </c>
      <c r="AP4997" t="s">
        <v>541</v>
      </c>
    </row>
    <row r="4998" spans="1:42">
      <c r="A4998" s="13">
        <v>43864</v>
      </c>
      <c r="B4998">
        <v>1</v>
      </c>
      <c r="C4998">
        <v>315</v>
      </c>
      <c r="D4998">
        <v>10375</v>
      </c>
      <c r="E4998" t="s">
        <v>37</v>
      </c>
      <c r="F4998" t="s">
        <v>38</v>
      </c>
      <c r="G4998">
        <v>1</v>
      </c>
      <c r="H4998">
        <v>17</v>
      </c>
      <c r="I4998" s="25">
        <v>1400</v>
      </c>
      <c r="K4998" t="s">
        <v>1122</v>
      </c>
      <c r="L4998" t="s">
        <v>114</v>
      </c>
      <c r="M4998" t="s">
        <v>52</v>
      </c>
      <c r="N4998" t="s">
        <v>40</v>
      </c>
      <c r="O4998">
        <v>86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4</v>
      </c>
      <c r="W4998">
        <v>0</v>
      </c>
      <c r="X4998" s="21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J4998" t="s">
        <v>54</v>
      </c>
      <c r="AK4998" t="s">
        <v>52</v>
      </c>
      <c r="AP4998" t="s">
        <v>541</v>
      </c>
    </row>
    <row r="4999" spans="1:42">
      <c r="A4999" s="13">
        <v>43864</v>
      </c>
      <c r="B4999">
        <v>1</v>
      </c>
      <c r="C4999">
        <v>315</v>
      </c>
      <c r="D4999">
        <v>10375</v>
      </c>
      <c r="E4999" t="s">
        <v>37</v>
      </c>
      <c r="F4999" t="s">
        <v>38</v>
      </c>
      <c r="G4999">
        <v>1</v>
      </c>
      <c r="H4999">
        <v>18</v>
      </c>
      <c r="I4999" s="25">
        <v>3301</v>
      </c>
      <c r="K4999" t="s">
        <v>1489</v>
      </c>
      <c r="L4999" t="s">
        <v>141</v>
      </c>
      <c r="M4999" t="s">
        <v>52</v>
      </c>
      <c r="N4999" t="s">
        <v>40</v>
      </c>
      <c r="O4999">
        <v>43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1</v>
      </c>
      <c r="V4999">
        <v>1</v>
      </c>
      <c r="W4999">
        <v>0</v>
      </c>
      <c r="X4999" s="21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J4999" t="s">
        <v>51</v>
      </c>
      <c r="AK4999" t="s">
        <v>95</v>
      </c>
      <c r="AP4999" t="s">
        <v>541</v>
      </c>
    </row>
    <row r="5000" spans="1:42">
      <c r="A5000" s="13">
        <v>43864</v>
      </c>
      <c r="B5000">
        <v>1</v>
      </c>
      <c r="C5000">
        <v>315</v>
      </c>
      <c r="D5000">
        <v>10375</v>
      </c>
      <c r="E5000" t="s">
        <v>37</v>
      </c>
      <c r="F5000" t="s">
        <v>38</v>
      </c>
      <c r="G5000">
        <v>1</v>
      </c>
      <c r="H5000">
        <v>19</v>
      </c>
      <c r="I5000" s="25">
        <v>2018</v>
      </c>
      <c r="K5000" t="s">
        <v>210</v>
      </c>
      <c r="L5000" t="s">
        <v>114</v>
      </c>
      <c r="M5000" t="s">
        <v>52</v>
      </c>
      <c r="N5000" t="s">
        <v>40</v>
      </c>
      <c r="O5000">
        <v>35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1</v>
      </c>
      <c r="V5000">
        <v>0</v>
      </c>
      <c r="W5000">
        <v>0</v>
      </c>
      <c r="X5000" s="21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J5000" t="s">
        <v>51</v>
      </c>
      <c r="AK5000" t="s">
        <v>95</v>
      </c>
      <c r="AP5000" t="s">
        <v>541</v>
      </c>
    </row>
    <row r="5001" spans="1:42">
      <c r="A5001" s="13">
        <v>43864</v>
      </c>
      <c r="B5001">
        <v>1</v>
      </c>
      <c r="C5001">
        <v>315</v>
      </c>
      <c r="D5001">
        <v>10375</v>
      </c>
      <c r="E5001" t="s">
        <v>37</v>
      </c>
      <c r="F5001" t="s">
        <v>38</v>
      </c>
      <c r="G5001">
        <v>1</v>
      </c>
      <c r="H5001">
        <v>20</v>
      </c>
      <c r="I5001" s="25">
        <v>2036</v>
      </c>
      <c r="K5001" t="s">
        <v>210</v>
      </c>
      <c r="L5001" t="s">
        <v>114</v>
      </c>
      <c r="M5001" t="s">
        <v>52</v>
      </c>
      <c r="N5001" t="s">
        <v>40</v>
      </c>
      <c r="O5001">
        <v>35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1</v>
      </c>
      <c r="V5001">
        <v>0</v>
      </c>
      <c r="W5001">
        <v>0</v>
      </c>
      <c r="X5001" s="2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J5001" t="s">
        <v>51</v>
      </c>
      <c r="AK5001" t="s">
        <v>95</v>
      </c>
      <c r="AP5001" t="s">
        <v>541</v>
      </c>
    </row>
    <row r="5002" spans="1:42">
      <c r="A5002" s="13">
        <v>43864</v>
      </c>
      <c r="B5002">
        <v>1</v>
      </c>
      <c r="C5002">
        <v>315</v>
      </c>
      <c r="D5002">
        <v>10375</v>
      </c>
      <c r="E5002" t="s">
        <v>37</v>
      </c>
      <c r="F5002" t="s">
        <v>38</v>
      </c>
      <c r="G5002">
        <v>1</v>
      </c>
      <c r="H5002">
        <v>21</v>
      </c>
      <c r="I5002" s="25">
        <v>3322</v>
      </c>
      <c r="K5002" t="s">
        <v>909</v>
      </c>
      <c r="L5002" t="s">
        <v>114</v>
      </c>
      <c r="M5002" t="s">
        <v>52</v>
      </c>
      <c r="N5002" t="s">
        <v>40</v>
      </c>
      <c r="O5002">
        <v>43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2</v>
      </c>
      <c r="W5002">
        <v>0</v>
      </c>
      <c r="X5002" s="21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J5002" t="s">
        <v>51</v>
      </c>
      <c r="AK5002" t="s">
        <v>52</v>
      </c>
      <c r="AP5002" t="s">
        <v>541</v>
      </c>
    </row>
    <row r="5003" spans="1:42">
      <c r="A5003" s="13">
        <v>43864</v>
      </c>
      <c r="B5003">
        <v>1</v>
      </c>
      <c r="C5003">
        <v>315</v>
      </c>
      <c r="D5003">
        <v>10375</v>
      </c>
      <c r="E5003" t="s">
        <v>37</v>
      </c>
      <c r="F5003" t="s">
        <v>38</v>
      </c>
      <c r="G5003">
        <v>1</v>
      </c>
      <c r="H5003">
        <v>22</v>
      </c>
      <c r="I5003" s="25">
        <v>2030</v>
      </c>
      <c r="K5003" t="s">
        <v>324</v>
      </c>
      <c r="L5003" t="s">
        <v>114</v>
      </c>
      <c r="M5003" t="s">
        <v>52</v>
      </c>
      <c r="N5003" t="s">
        <v>40</v>
      </c>
      <c r="O5003">
        <v>37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1</v>
      </c>
      <c r="V5003">
        <v>0</v>
      </c>
      <c r="W5003">
        <v>0</v>
      </c>
      <c r="X5003" s="21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J5003" t="s">
        <v>51</v>
      </c>
      <c r="AK5003" t="s">
        <v>52</v>
      </c>
      <c r="AP5003" t="s">
        <v>541</v>
      </c>
    </row>
    <row r="5004" spans="1:42">
      <c r="A5004" s="13">
        <v>43864</v>
      </c>
      <c r="B5004">
        <v>1</v>
      </c>
      <c r="C5004">
        <v>315</v>
      </c>
      <c r="D5004">
        <v>10375</v>
      </c>
      <c r="E5004" t="s">
        <v>37</v>
      </c>
      <c r="F5004" t="s">
        <v>38</v>
      </c>
      <c r="G5004">
        <v>1</v>
      </c>
      <c r="H5004">
        <v>23</v>
      </c>
      <c r="I5004" s="25">
        <v>2076</v>
      </c>
      <c r="K5004" t="s">
        <v>324</v>
      </c>
      <c r="L5004" t="s">
        <v>114</v>
      </c>
      <c r="M5004" t="s">
        <v>52</v>
      </c>
      <c r="N5004" t="s">
        <v>40</v>
      </c>
      <c r="O5004">
        <v>48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2</v>
      </c>
      <c r="V5004">
        <v>0</v>
      </c>
      <c r="W5004">
        <v>0</v>
      </c>
      <c r="X5004" s="21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J5004" t="s">
        <v>51</v>
      </c>
      <c r="AK5004" t="s">
        <v>52</v>
      </c>
      <c r="AP5004" t="s">
        <v>541</v>
      </c>
    </row>
    <row r="5005" spans="1:42">
      <c r="A5005" s="13">
        <v>43864</v>
      </c>
      <c r="B5005">
        <v>1</v>
      </c>
      <c r="C5005">
        <v>315</v>
      </c>
      <c r="D5005">
        <v>10375</v>
      </c>
      <c r="E5005" t="s">
        <v>37</v>
      </c>
      <c r="F5005" t="s">
        <v>38</v>
      </c>
      <c r="G5005">
        <v>1</v>
      </c>
      <c r="H5005">
        <v>24</v>
      </c>
      <c r="I5005" s="25">
        <v>2080</v>
      </c>
      <c r="K5005" t="s">
        <v>324</v>
      </c>
      <c r="L5005" t="s">
        <v>114</v>
      </c>
      <c r="M5005" t="s">
        <v>52</v>
      </c>
      <c r="N5005" t="s">
        <v>40</v>
      </c>
      <c r="O5005">
        <v>65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2</v>
      </c>
      <c r="V5005">
        <v>0</v>
      </c>
      <c r="W5005">
        <v>0</v>
      </c>
      <c r="X5005" s="21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J5005" t="s">
        <v>51</v>
      </c>
      <c r="AK5005" t="s">
        <v>52</v>
      </c>
      <c r="AP5005" t="s">
        <v>541</v>
      </c>
    </row>
    <row r="5006" spans="1:42">
      <c r="A5006" s="13">
        <v>43864</v>
      </c>
      <c r="B5006">
        <v>1</v>
      </c>
      <c r="C5006">
        <v>315</v>
      </c>
      <c r="D5006">
        <v>10375</v>
      </c>
      <c r="E5006" t="s">
        <v>37</v>
      </c>
      <c r="F5006" t="s">
        <v>38</v>
      </c>
      <c r="G5006">
        <v>1</v>
      </c>
      <c r="H5006">
        <v>25</v>
      </c>
      <c r="I5006" s="25">
        <v>2120</v>
      </c>
      <c r="K5006" t="s">
        <v>324</v>
      </c>
      <c r="L5006" t="s">
        <v>114</v>
      </c>
      <c r="M5006" t="s">
        <v>52</v>
      </c>
      <c r="N5006" t="s">
        <v>40</v>
      </c>
      <c r="O5006">
        <v>62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1</v>
      </c>
      <c r="V5006">
        <v>2</v>
      </c>
      <c r="W5006">
        <v>0</v>
      </c>
      <c r="X5006" s="21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J5006" t="s">
        <v>51</v>
      </c>
      <c r="AK5006" t="s">
        <v>52</v>
      </c>
      <c r="AP5006" t="s">
        <v>541</v>
      </c>
    </row>
    <row r="5007" spans="1:42">
      <c r="A5007" s="13">
        <v>43864</v>
      </c>
      <c r="B5007">
        <v>1</v>
      </c>
      <c r="C5007">
        <v>315</v>
      </c>
      <c r="D5007">
        <v>10375</v>
      </c>
      <c r="E5007" t="s">
        <v>37</v>
      </c>
      <c r="F5007" t="s">
        <v>38</v>
      </c>
      <c r="G5007">
        <v>1</v>
      </c>
      <c r="H5007">
        <v>26</v>
      </c>
      <c r="I5007" s="25">
        <v>2128</v>
      </c>
      <c r="K5007" t="s">
        <v>324</v>
      </c>
      <c r="L5007" t="s">
        <v>114</v>
      </c>
      <c r="M5007" t="s">
        <v>52</v>
      </c>
      <c r="N5007" t="s">
        <v>40</v>
      </c>
      <c r="O5007">
        <v>47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2</v>
      </c>
      <c r="W5007">
        <v>0</v>
      </c>
      <c r="X5007" s="21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J5007" t="s">
        <v>51</v>
      </c>
      <c r="AK5007" t="s">
        <v>52</v>
      </c>
      <c r="AP5007" t="s">
        <v>541</v>
      </c>
    </row>
    <row r="5008" spans="1:42">
      <c r="A5008" s="13">
        <v>43864</v>
      </c>
      <c r="B5008">
        <v>1</v>
      </c>
      <c r="C5008">
        <v>315</v>
      </c>
      <c r="D5008">
        <v>10375</v>
      </c>
      <c r="E5008" t="s">
        <v>37</v>
      </c>
      <c r="F5008" t="s">
        <v>38</v>
      </c>
      <c r="G5008">
        <v>1</v>
      </c>
      <c r="H5008">
        <v>27</v>
      </c>
      <c r="I5008" s="25">
        <v>2150</v>
      </c>
      <c r="K5008" t="s">
        <v>324</v>
      </c>
      <c r="L5008" t="s">
        <v>114</v>
      </c>
      <c r="M5008" t="s">
        <v>52</v>
      </c>
      <c r="N5008" t="s">
        <v>40</v>
      </c>
      <c r="O5008">
        <v>140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2</v>
      </c>
      <c r="V5008">
        <v>2</v>
      </c>
      <c r="W5008">
        <v>0</v>
      </c>
      <c r="X5008" s="21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J5008" t="s">
        <v>51</v>
      </c>
      <c r="AK5008" t="s">
        <v>52</v>
      </c>
      <c r="AP5008" t="s">
        <v>541</v>
      </c>
    </row>
    <row r="5009" spans="1:42">
      <c r="A5009" s="13">
        <v>43864</v>
      </c>
      <c r="B5009">
        <v>1</v>
      </c>
      <c r="C5009">
        <v>315</v>
      </c>
      <c r="D5009">
        <v>10375</v>
      </c>
      <c r="E5009" t="s">
        <v>37</v>
      </c>
      <c r="F5009" t="s">
        <v>38</v>
      </c>
      <c r="G5009">
        <v>1</v>
      </c>
      <c r="H5009">
        <v>28</v>
      </c>
      <c r="I5009" s="25">
        <v>2234</v>
      </c>
      <c r="K5009" t="s">
        <v>324</v>
      </c>
      <c r="L5009" t="s">
        <v>114</v>
      </c>
      <c r="M5009" t="s">
        <v>52</v>
      </c>
      <c r="N5009" t="s">
        <v>40</v>
      </c>
      <c r="O5009">
        <v>34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1</v>
      </c>
      <c r="W5009">
        <v>0</v>
      </c>
      <c r="X5009" s="21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J5009" t="s">
        <v>51</v>
      </c>
      <c r="AK5009" t="s">
        <v>52</v>
      </c>
      <c r="AP5009" t="s">
        <v>541</v>
      </c>
    </row>
    <row r="5010" spans="1:42">
      <c r="A5010" s="13">
        <v>43864</v>
      </c>
      <c r="B5010">
        <v>1</v>
      </c>
      <c r="C5010">
        <v>315</v>
      </c>
      <c r="D5010">
        <v>10375</v>
      </c>
      <c r="E5010" t="s">
        <v>37</v>
      </c>
      <c r="F5010" t="s">
        <v>38</v>
      </c>
      <c r="G5010">
        <v>1</v>
      </c>
      <c r="H5010">
        <v>29</v>
      </c>
      <c r="I5010" s="25">
        <v>2250</v>
      </c>
      <c r="K5010" t="s">
        <v>324</v>
      </c>
      <c r="L5010" t="s">
        <v>114</v>
      </c>
      <c r="M5010" t="s">
        <v>52</v>
      </c>
      <c r="N5010" t="s">
        <v>40</v>
      </c>
      <c r="O5010">
        <v>103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3</v>
      </c>
      <c r="W5010">
        <v>0</v>
      </c>
      <c r="X5010" s="21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J5010" t="s">
        <v>51</v>
      </c>
      <c r="AK5010" t="s">
        <v>52</v>
      </c>
      <c r="AP5010" t="s">
        <v>541</v>
      </c>
    </row>
    <row r="5011" spans="1:42">
      <c r="A5011" s="13">
        <v>43864</v>
      </c>
      <c r="B5011">
        <v>1</v>
      </c>
      <c r="C5011">
        <v>315</v>
      </c>
      <c r="D5011">
        <v>10375</v>
      </c>
      <c r="E5011" t="s">
        <v>37</v>
      </c>
      <c r="F5011" t="s">
        <v>38</v>
      </c>
      <c r="G5011">
        <v>1</v>
      </c>
      <c r="H5011">
        <v>30</v>
      </c>
      <c r="I5011" s="25">
        <v>2272</v>
      </c>
      <c r="K5011" t="s">
        <v>324</v>
      </c>
      <c r="L5011" t="s">
        <v>114</v>
      </c>
      <c r="M5011" t="s">
        <v>52</v>
      </c>
      <c r="N5011" t="s">
        <v>40</v>
      </c>
      <c r="O5011">
        <v>72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1</v>
      </c>
      <c r="V5011">
        <v>2</v>
      </c>
      <c r="W5011">
        <v>0</v>
      </c>
      <c r="X5011" s="2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J5011" t="s">
        <v>51</v>
      </c>
      <c r="AK5011" t="s">
        <v>52</v>
      </c>
      <c r="AP5011" t="s">
        <v>541</v>
      </c>
    </row>
    <row r="5012" spans="1:42">
      <c r="A5012" s="13">
        <v>43864</v>
      </c>
      <c r="B5012">
        <v>1</v>
      </c>
      <c r="C5012">
        <v>315</v>
      </c>
      <c r="D5012">
        <v>10375</v>
      </c>
      <c r="E5012" t="s">
        <v>37</v>
      </c>
      <c r="F5012" t="s">
        <v>38</v>
      </c>
      <c r="G5012">
        <v>1</v>
      </c>
      <c r="H5012">
        <v>31</v>
      </c>
      <c r="I5012" s="25">
        <v>3249</v>
      </c>
      <c r="K5012" t="s">
        <v>175</v>
      </c>
      <c r="L5012" t="s">
        <v>141</v>
      </c>
      <c r="M5012" t="s">
        <v>95</v>
      </c>
      <c r="N5012" t="s">
        <v>40</v>
      </c>
      <c r="O5012">
        <v>151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2</v>
      </c>
      <c r="V5012">
        <v>3</v>
      </c>
      <c r="W5012">
        <v>0</v>
      </c>
      <c r="X5012" s="21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J5012" t="s">
        <v>51</v>
      </c>
      <c r="AK5012" t="s">
        <v>95</v>
      </c>
      <c r="AP5012" t="s">
        <v>541</v>
      </c>
    </row>
    <row r="5013" spans="1:42">
      <c r="A5013" s="13">
        <v>43864</v>
      </c>
      <c r="B5013">
        <v>1</v>
      </c>
      <c r="C5013">
        <v>315</v>
      </c>
      <c r="D5013">
        <v>10375</v>
      </c>
      <c r="E5013" t="s">
        <v>37</v>
      </c>
      <c r="F5013" t="s">
        <v>38</v>
      </c>
      <c r="G5013">
        <v>1</v>
      </c>
      <c r="H5013">
        <v>32</v>
      </c>
      <c r="I5013" s="25">
        <v>2420</v>
      </c>
      <c r="K5013" t="s">
        <v>210</v>
      </c>
      <c r="L5013" t="s">
        <v>114</v>
      </c>
      <c r="M5013" t="s">
        <v>52</v>
      </c>
      <c r="N5013" t="s">
        <v>40</v>
      </c>
      <c r="O5013">
        <v>33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1</v>
      </c>
      <c r="V5013">
        <v>0</v>
      </c>
      <c r="W5013">
        <v>0</v>
      </c>
      <c r="X5013" s="21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J5013" t="s">
        <v>51</v>
      </c>
      <c r="AK5013" t="s">
        <v>52</v>
      </c>
      <c r="AP5013" t="s">
        <v>541</v>
      </c>
    </row>
    <row r="5014" spans="1:42">
      <c r="A5014" s="13">
        <v>43864</v>
      </c>
      <c r="B5014">
        <v>1</v>
      </c>
      <c r="C5014">
        <v>315</v>
      </c>
      <c r="D5014">
        <v>10375</v>
      </c>
      <c r="E5014" t="s">
        <v>37</v>
      </c>
      <c r="F5014" t="s">
        <v>38</v>
      </c>
      <c r="G5014">
        <v>1</v>
      </c>
      <c r="H5014">
        <v>33</v>
      </c>
      <c r="I5014" s="25">
        <v>3247</v>
      </c>
      <c r="K5014" t="s">
        <v>256</v>
      </c>
      <c r="L5014" t="s">
        <v>141</v>
      </c>
      <c r="M5014" t="s">
        <v>95</v>
      </c>
      <c r="N5014" t="s">
        <v>40</v>
      </c>
      <c r="O5014">
        <v>52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X5014" s="21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J5014" t="s">
        <v>51</v>
      </c>
      <c r="AK5014" t="s">
        <v>52</v>
      </c>
      <c r="AP5014" t="s">
        <v>541</v>
      </c>
    </row>
    <row r="5015" spans="1:42">
      <c r="A5015" s="13">
        <v>43864</v>
      </c>
      <c r="B5015">
        <v>1</v>
      </c>
      <c r="C5015">
        <v>315</v>
      </c>
      <c r="D5015">
        <v>10375</v>
      </c>
      <c r="E5015" t="s">
        <v>37</v>
      </c>
      <c r="F5015" t="s">
        <v>38</v>
      </c>
      <c r="G5015">
        <v>1</v>
      </c>
      <c r="H5015">
        <v>34</v>
      </c>
      <c r="I5015" s="25">
        <v>2383</v>
      </c>
      <c r="K5015" t="s">
        <v>324</v>
      </c>
      <c r="L5015" t="s">
        <v>141</v>
      </c>
      <c r="M5015" t="s">
        <v>52</v>
      </c>
      <c r="N5015" t="s">
        <v>40</v>
      </c>
      <c r="O5015">
        <v>81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2</v>
      </c>
      <c r="W5015">
        <v>0</v>
      </c>
      <c r="X5015" s="21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J5015" t="s">
        <v>51</v>
      </c>
      <c r="AK5015" t="s">
        <v>52</v>
      </c>
      <c r="AP5015" t="s">
        <v>541</v>
      </c>
    </row>
    <row r="5016" spans="1:42">
      <c r="A5016" s="13">
        <v>43864</v>
      </c>
      <c r="B5016">
        <v>1</v>
      </c>
      <c r="C5016">
        <v>315</v>
      </c>
      <c r="D5016">
        <v>10375</v>
      </c>
      <c r="E5016" t="s">
        <v>37</v>
      </c>
      <c r="F5016" t="s">
        <v>38</v>
      </c>
      <c r="G5016">
        <v>1</v>
      </c>
      <c r="H5016">
        <v>35</v>
      </c>
      <c r="I5016" s="25">
        <v>2359</v>
      </c>
      <c r="K5016" t="s">
        <v>324</v>
      </c>
      <c r="L5016" t="s">
        <v>141</v>
      </c>
      <c r="M5016" t="s">
        <v>52</v>
      </c>
      <c r="N5016" t="s">
        <v>40</v>
      </c>
      <c r="O5016">
        <v>88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1</v>
      </c>
      <c r="W5016">
        <v>0</v>
      </c>
      <c r="X5016" s="21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J5016" t="s">
        <v>51</v>
      </c>
      <c r="AK5016" t="s">
        <v>52</v>
      </c>
      <c r="AP5016" t="s">
        <v>541</v>
      </c>
    </row>
    <row r="5017" spans="1:42">
      <c r="A5017" s="13">
        <v>43864</v>
      </c>
      <c r="B5017">
        <v>1</v>
      </c>
      <c r="C5017">
        <v>315</v>
      </c>
      <c r="D5017">
        <v>10375</v>
      </c>
      <c r="E5017" t="s">
        <v>37</v>
      </c>
      <c r="F5017" t="s">
        <v>38</v>
      </c>
      <c r="G5017">
        <v>1</v>
      </c>
      <c r="H5017">
        <v>36</v>
      </c>
      <c r="I5017" s="25">
        <v>2333</v>
      </c>
      <c r="K5017" t="s">
        <v>324</v>
      </c>
      <c r="L5017" t="s">
        <v>141</v>
      </c>
      <c r="M5017" t="s">
        <v>52</v>
      </c>
      <c r="N5017" t="s">
        <v>40</v>
      </c>
      <c r="O5017">
        <v>151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4</v>
      </c>
      <c r="W5017">
        <v>0</v>
      </c>
      <c r="X5017" s="21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J5017" t="s">
        <v>51</v>
      </c>
      <c r="AK5017" t="s">
        <v>52</v>
      </c>
      <c r="AP5017" t="s">
        <v>541</v>
      </c>
    </row>
    <row r="5018" spans="1:42">
      <c r="A5018" s="13">
        <v>43864</v>
      </c>
      <c r="B5018">
        <v>1</v>
      </c>
      <c r="C5018">
        <v>315</v>
      </c>
      <c r="D5018">
        <v>10375</v>
      </c>
      <c r="E5018" t="s">
        <v>37</v>
      </c>
      <c r="F5018" t="s">
        <v>38</v>
      </c>
      <c r="G5018">
        <v>1</v>
      </c>
      <c r="H5018">
        <v>37</v>
      </c>
      <c r="I5018" s="25">
        <v>2261</v>
      </c>
      <c r="K5018" t="s">
        <v>324</v>
      </c>
      <c r="L5018" t="s">
        <v>141</v>
      </c>
      <c r="M5018" t="s">
        <v>52</v>
      </c>
      <c r="N5018" t="s">
        <v>40</v>
      </c>
      <c r="O5018">
        <v>89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3</v>
      </c>
      <c r="W5018">
        <v>0</v>
      </c>
      <c r="X5018" s="21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J5018" t="s">
        <v>51</v>
      </c>
      <c r="AK5018" t="s">
        <v>52</v>
      </c>
      <c r="AP5018" t="s">
        <v>541</v>
      </c>
    </row>
    <row r="5019" spans="1:42">
      <c r="A5019" s="13">
        <v>43864</v>
      </c>
      <c r="B5019">
        <v>1</v>
      </c>
      <c r="C5019">
        <v>315</v>
      </c>
      <c r="D5019">
        <v>10375</v>
      </c>
      <c r="E5019" t="s">
        <v>37</v>
      </c>
      <c r="F5019" t="s">
        <v>38</v>
      </c>
      <c r="G5019">
        <v>1</v>
      </c>
      <c r="H5019">
        <v>38</v>
      </c>
      <c r="I5019" s="25">
        <v>2233</v>
      </c>
      <c r="K5019" t="s">
        <v>324</v>
      </c>
      <c r="L5019" t="s">
        <v>141</v>
      </c>
      <c r="M5019" t="s">
        <v>52</v>
      </c>
      <c r="N5019" t="s">
        <v>40</v>
      </c>
      <c r="O5019">
        <v>72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2</v>
      </c>
      <c r="W5019">
        <v>0</v>
      </c>
      <c r="X5019" s="21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J5019" t="s">
        <v>51</v>
      </c>
      <c r="AK5019" t="s">
        <v>52</v>
      </c>
      <c r="AP5019" t="s">
        <v>541</v>
      </c>
    </row>
    <row r="5020" spans="1:42">
      <c r="A5020" s="13">
        <v>43864</v>
      </c>
      <c r="B5020">
        <v>1</v>
      </c>
      <c r="C5020">
        <v>315</v>
      </c>
      <c r="D5020">
        <v>10375</v>
      </c>
      <c r="E5020" t="s">
        <v>37</v>
      </c>
      <c r="F5020" t="s">
        <v>38</v>
      </c>
      <c r="G5020">
        <v>1</v>
      </c>
      <c r="H5020">
        <v>39</v>
      </c>
      <c r="I5020" s="25">
        <v>2203</v>
      </c>
      <c r="K5020" t="s">
        <v>324</v>
      </c>
      <c r="L5020" t="s">
        <v>141</v>
      </c>
      <c r="M5020" t="s">
        <v>52</v>
      </c>
      <c r="N5020" t="s">
        <v>40</v>
      </c>
      <c r="O5020">
        <v>72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3</v>
      </c>
      <c r="W5020">
        <v>0</v>
      </c>
      <c r="X5020" s="21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J5020" t="s">
        <v>51</v>
      </c>
      <c r="AK5020" t="s">
        <v>52</v>
      </c>
      <c r="AP5020" t="s">
        <v>541</v>
      </c>
    </row>
    <row r="5021" spans="1:42">
      <c r="A5021" s="13">
        <v>43864</v>
      </c>
      <c r="B5021">
        <v>1</v>
      </c>
      <c r="C5021">
        <v>315</v>
      </c>
      <c r="D5021">
        <v>10375</v>
      </c>
      <c r="E5021" t="s">
        <v>37</v>
      </c>
      <c r="F5021" t="s">
        <v>38</v>
      </c>
      <c r="G5021">
        <v>1</v>
      </c>
      <c r="H5021">
        <v>40</v>
      </c>
      <c r="I5021" s="25">
        <v>2100</v>
      </c>
      <c r="K5021" t="s">
        <v>324</v>
      </c>
      <c r="L5021" t="s">
        <v>114</v>
      </c>
      <c r="M5021" t="s">
        <v>52</v>
      </c>
      <c r="N5021" t="s">
        <v>40</v>
      </c>
      <c r="O5021">
        <v>35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1</v>
      </c>
      <c r="W5021">
        <v>0</v>
      </c>
      <c r="X5021" s="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J5021" t="s">
        <v>51</v>
      </c>
      <c r="AK5021" t="s">
        <v>52</v>
      </c>
      <c r="AP5021" t="s">
        <v>541</v>
      </c>
    </row>
    <row r="5022" spans="1:42">
      <c r="A5022" s="13">
        <v>43864</v>
      </c>
      <c r="B5022">
        <v>1</v>
      </c>
      <c r="C5022">
        <v>315</v>
      </c>
      <c r="D5022">
        <v>10375</v>
      </c>
      <c r="E5022" t="s">
        <v>37</v>
      </c>
      <c r="F5022" t="s">
        <v>38</v>
      </c>
      <c r="G5022">
        <v>1</v>
      </c>
      <c r="H5022">
        <v>41</v>
      </c>
      <c r="I5022" s="25">
        <v>2141</v>
      </c>
      <c r="K5022" t="s">
        <v>324</v>
      </c>
      <c r="L5022" t="s">
        <v>141</v>
      </c>
      <c r="M5022" t="s">
        <v>52</v>
      </c>
      <c r="N5022" t="s">
        <v>40</v>
      </c>
      <c r="O5022">
        <v>44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2</v>
      </c>
      <c r="W5022">
        <v>0</v>
      </c>
      <c r="X5022" s="21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J5022" t="s">
        <v>51</v>
      </c>
      <c r="AK5022" t="s">
        <v>52</v>
      </c>
      <c r="AP5022" t="s">
        <v>541</v>
      </c>
    </row>
    <row r="5023" spans="1:42">
      <c r="A5023" s="13">
        <v>43864</v>
      </c>
      <c r="B5023">
        <v>1</v>
      </c>
      <c r="C5023">
        <v>315</v>
      </c>
      <c r="D5023">
        <v>10375</v>
      </c>
      <c r="E5023" t="s">
        <v>37</v>
      </c>
      <c r="F5023" t="s">
        <v>38</v>
      </c>
      <c r="G5023">
        <v>1</v>
      </c>
      <c r="H5023">
        <v>42</v>
      </c>
      <c r="I5023" s="25">
        <v>2109</v>
      </c>
      <c r="K5023" t="s">
        <v>324</v>
      </c>
      <c r="L5023" t="s">
        <v>141</v>
      </c>
      <c r="M5023" t="s">
        <v>52</v>
      </c>
      <c r="N5023" t="s">
        <v>40</v>
      </c>
      <c r="O5023">
        <v>44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1</v>
      </c>
      <c r="V5023">
        <v>1</v>
      </c>
      <c r="W5023">
        <v>0</v>
      </c>
      <c r="X5023" s="21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J5023" t="s">
        <v>51</v>
      </c>
      <c r="AK5023" t="s">
        <v>52</v>
      </c>
      <c r="AP5023" t="s">
        <v>541</v>
      </c>
    </row>
    <row r="5024" spans="1:42">
      <c r="A5024" s="13">
        <v>43864</v>
      </c>
      <c r="B5024">
        <v>1</v>
      </c>
      <c r="C5024">
        <v>315</v>
      </c>
      <c r="D5024">
        <v>10375</v>
      </c>
      <c r="E5024" t="s">
        <v>37</v>
      </c>
      <c r="F5024" t="s">
        <v>38</v>
      </c>
      <c r="G5024">
        <v>1</v>
      </c>
      <c r="H5024">
        <v>43</v>
      </c>
      <c r="I5024" s="25">
        <v>3337</v>
      </c>
      <c r="K5024" t="s">
        <v>113</v>
      </c>
      <c r="L5024" t="s">
        <v>141</v>
      </c>
      <c r="M5024" t="s">
        <v>52</v>
      </c>
      <c r="N5024" t="s">
        <v>40</v>
      </c>
      <c r="O5024">
        <v>49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2</v>
      </c>
      <c r="W5024">
        <v>0</v>
      </c>
      <c r="X5024" s="21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J5024" t="s">
        <v>51</v>
      </c>
      <c r="AK5024" t="s">
        <v>52</v>
      </c>
      <c r="AP5024" t="s">
        <v>541</v>
      </c>
    </row>
    <row r="5025" spans="1:42">
      <c r="A5025" s="13">
        <v>43864</v>
      </c>
      <c r="B5025">
        <v>1</v>
      </c>
      <c r="C5025">
        <v>315</v>
      </c>
      <c r="D5025">
        <v>10375</v>
      </c>
      <c r="E5025" t="s">
        <v>37</v>
      </c>
      <c r="F5025" t="s">
        <v>38</v>
      </c>
      <c r="G5025">
        <v>1</v>
      </c>
      <c r="H5025">
        <v>44</v>
      </c>
      <c r="I5025" s="25">
        <v>3321</v>
      </c>
      <c r="K5025" t="s">
        <v>113</v>
      </c>
      <c r="L5025" t="s">
        <v>141</v>
      </c>
      <c r="M5025" t="s">
        <v>52</v>
      </c>
      <c r="N5025" t="s">
        <v>40</v>
      </c>
      <c r="O5025">
        <v>35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1</v>
      </c>
      <c r="V5025">
        <v>0</v>
      </c>
      <c r="W5025">
        <v>0</v>
      </c>
      <c r="X5025" s="21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J5025" t="s">
        <v>51</v>
      </c>
      <c r="AK5025" t="s">
        <v>52</v>
      </c>
      <c r="AP5025" t="s">
        <v>541</v>
      </c>
    </row>
    <row r="5026" spans="1:42">
      <c r="A5026" s="13">
        <v>43864</v>
      </c>
      <c r="B5026">
        <v>1</v>
      </c>
      <c r="C5026">
        <v>315</v>
      </c>
      <c r="D5026">
        <v>10375</v>
      </c>
      <c r="E5026" t="s">
        <v>37</v>
      </c>
      <c r="F5026" t="s">
        <v>38</v>
      </c>
      <c r="G5026">
        <v>1</v>
      </c>
      <c r="H5026">
        <v>45</v>
      </c>
      <c r="I5026" s="25">
        <v>2228</v>
      </c>
      <c r="K5026" t="s">
        <v>210</v>
      </c>
      <c r="L5026" t="s">
        <v>114</v>
      </c>
      <c r="M5026" t="s">
        <v>52</v>
      </c>
      <c r="N5026" t="s">
        <v>40</v>
      </c>
      <c r="O5026">
        <v>54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2</v>
      </c>
      <c r="W5026">
        <v>0</v>
      </c>
      <c r="X5026" s="21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J5026" t="s">
        <v>51</v>
      </c>
      <c r="AK5026" t="s">
        <v>52</v>
      </c>
      <c r="AP5026" t="s">
        <v>541</v>
      </c>
    </row>
    <row r="5027" spans="1:42">
      <c r="A5027" s="13">
        <v>43864</v>
      </c>
      <c r="B5027">
        <v>1</v>
      </c>
      <c r="C5027">
        <v>315</v>
      </c>
      <c r="D5027">
        <v>10375</v>
      </c>
      <c r="E5027" t="s">
        <v>37</v>
      </c>
      <c r="F5027" t="s">
        <v>38</v>
      </c>
      <c r="G5027">
        <v>1</v>
      </c>
      <c r="H5027">
        <v>46</v>
      </c>
      <c r="I5027" s="25">
        <v>2274</v>
      </c>
      <c r="K5027" t="s">
        <v>210</v>
      </c>
      <c r="L5027" t="s">
        <v>114</v>
      </c>
      <c r="M5027" t="s">
        <v>52</v>
      </c>
      <c r="N5027" t="s">
        <v>40</v>
      </c>
      <c r="O5027">
        <v>37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1</v>
      </c>
      <c r="W5027">
        <v>0</v>
      </c>
      <c r="X5027" s="21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J5027" t="s">
        <v>51</v>
      </c>
      <c r="AK5027" t="s">
        <v>52</v>
      </c>
      <c r="AP5027" t="s">
        <v>541</v>
      </c>
    </row>
    <row r="5028" spans="1:42">
      <c r="A5028" s="13">
        <v>43864</v>
      </c>
      <c r="B5028">
        <v>1</v>
      </c>
      <c r="C5028">
        <v>315</v>
      </c>
      <c r="D5028">
        <v>10375</v>
      </c>
      <c r="E5028" t="s">
        <v>37</v>
      </c>
      <c r="F5028" t="s">
        <v>38</v>
      </c>
      <c r="G5028">
        <v>1</v>
      </c>
      <c r="H5028">
        <v>47</v>
      </c>
      <c r="I5028" s="25">
        <v>2095</v>
      </c>
      <c r="K5028" t="s">
        <v>324</v>
      </c>
      <c r="L5028" t="s">
        <v>141</v>
      </c>
      <c r="M5028" t="s">
        <v>52</v>
      </c>
      <c r="N5028" t="s">
        <v>40</v>
      </c>
      <c r="O5028">
        <v>34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1</v>
      </c>
      <c r="V5028">
        <v>0</v>
      </c>
      <c r="W5028">
        <v>0</v>
      </c>
      <c r="X5028" s="21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J5028" t="s">
        <v>51</v>
      </c>
      <c r="AK5028" t="s">
        <v>52</v>
      </c>
      <c r="AP5028" t="s">
        <v>541</v>
      </c>
    </row>
    <row r="5029" spans="1:42">
      <c r="A5029" s="13">
        <v>43864</v>
      </c>
      <c r="B5029">
        <v>1</v>
      </c>
      <c r="C5029">
        <v>315</v>
      </c>
      <c r="D5029">
        <v>10375</v>
      </c>
      <c r="E5029" t="s">
        <v>37</v>
      </c>
      <c r="F5029" t="s">
        <v>38</v>
      </c>
      <c r="G5029">
        <v>1</v>
      </c>
      <c r="H5029">
        <v>48</v>
      </c>
      <c r="I5029" s="25">
        <v>2075</v>
      </c>
      <c r="K5029" t="s">
        <v>324</v>
      </c>
      <c r="L5029" t="s">
        <v>141</v>
      </c>
      <c r="M5029" t="s">
        <v>52</v>
      </c>
      <c r="N5029" t="s">
        <v>40</v>
      </c>
      <c r="O5029">
        <v>27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1</v>
      </c>
      <c r="W5029">
        <v>0</v>
      </c>
      <c r="X5029" s="21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J5029" t="s">
        <v>51</v>
      </c>
      <c r="AK5029" t="s">
        <v>52</v>
      </c>
      <c r="AP5029" t="s">
        <v>541</v>
      </c>
    </row>
    <row r="5030" spans="1:42">
      <c r="A5030" s="13">
        <v>43864</v>
      </c>
      <c r="B5030">
        <v>1</v>
      </c>
      <c r="C5030">
        <v>315</v>
      </c>
      <c r="D5030">
        <v>10375</v>
      </c>
      <c r="E5030" t="s">
        <v>37</v>
      </c>
      <c r="F5030" t="s">
        <v>38</v>
      </c>
      <c r="G5030">
        <v>1</v>
      </c>
      <c r="H5030">
        <v>49</v>
      </c>
      <c r="I5030" s="25">
        <v>2031</v>
      </c>
      <c r="K5030" t="s">
        <v>324</v>
      </c>
      <c r="L5030" t="s">
        <v>141</v>
      </c>
      <c r="M5030" t="s">
        <v>52</v>
      </c>
      <c r="N5030" t="s">
        <v>40</v>
      </c>
      <c r="O5030">
        <v>48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2</v>
      </c>
      <c r="W5030">
        <v>0</v>
      </c>
      <c r="X5030" s="21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J5030" t="s">
        <v>51</v>
      </c>
      <c r="AK5030" t="s">
        <v>52</v>
      </c>
      <c r="AP5030" t="s">
        <v>541</v>
      </c>
    </row>
    <row r="5031" spans="1:42">
      <c r="A5031" s="13">
        <v>43864</v>
      </c>
      <c r="B5031">
        <v>1</v>
      </c>
      <c r="C5031">
        <v>315</v>
      </c>
      <c r="D5031">
        <v>10375</v>
      </c>
      <c r="E5031" t="s">
        <v>37</v>
      </c>
      <c r="F5031" t="s">
        <v>38</v>
      </c>
      <c r="G5031">
        <v>1</v>
      </c>
      <c r="H5031">
        <v>50</v>
      </c>
      <c r="I5031" s="25">
        <v>3349</v>
      </c>
      <c r="K5031" t="s">
        <v>909</v>
      </c>
      <c r="L5031" t="s">
        <v>141</v>
      </c>
      <c r="M5031" t="s">
        <v>52</v>
      </c>
      <c r="N5031" t="s">
        <v>40</v>
      </c>
      <c r="O5031">
        <v>83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3</v>
      </c>
      <c r="W5031">
        <v>0</v>
      </c>
      <c r="X5031" s="2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J5031" t="s">
        <v>51</v>
      </c>
      <c r="AK5031" t="s">
        <v>52</v>
      </c>
      <c r="AP5031" t="s">
        <v>541</v>
      </c>
    </row>
    <row r="5032" spans="1:42">
      <c r="A5032" s="13">
        <v>43864</v>
      </c>
      <c r="B5032">
        <v>1</v>
      </c>
      <c r="C5032">
        <v>315</v>
      </c>
      <c r="D5032">
        <v>10375</v>
      </c>
      <c r="E5032" t="s">
        <v>37</v>
      </c>
      <c r="F5032" t="s">
        <v>38</v>
      </c>
      <c r="G5032">
        <v>1</v>
      </c>
      <c r="H5032">
        <v>51</v>
      </c>
      <c r="I5032" s="25">
        <v>2100</v>
      </c>
      <c r="K5032" t="s">
        <v>210</v>
      </c>
      <c r="L5032" t="s">
        <v>114</v>
      </c>
      <c r="M5032" t="s">
        <v>52</v>
      </c>
      <c r="N5032" t="s">
        <v>40</v>
      </c>
      <c r="O5032">
        <v>96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3</v>
      </c>
      <c r="W5032">
        <v>0</v>
      </c>
      <c r="X5032" s="21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J5032" t="s">
        <v>51</v>
      </c>
      <c r="AK5032" t="s">
        <v>52</v>
      </c>
      <c r="AP5032" t="s">
        <v>541</v>
      </c>
    </row>
    <row r="5033" spans="1:42">
      <c r="A5033" s="13">
        <v>43864</v>
      </c>
      <c r="B5033">
        <v>1</v>
      </c>
      <c r="C5033">
        <v>315</v>
      </c>
      <c r="D5033">
        <v>10375</v>
      </c>
      <c r="E5033" t="s">
        <v>37</v>
      </c>
      <c r="F5033" t="s">
        <v>38</v>
      </c>
      <c r="G5033">
        <v>1</v>
      </c>
      <c r="H5033">
        <v>52</v>
      </c>
      <c r="I5033" s="25">
        <v>3330</v>
      </c>
      <c r="K5033" t="s">
        <v>113</v>
      </c>
      <c r="L5033" t="s">
        <v>114</v>
      </c>
      <c r="M5033" t="s">
        <v>52</v>
      </c>
      <c r="N5033" t="s">
        <v>40</v>
      </c>
      <c r="O5033">
        <v>43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2</v>
      </c>
      <c r="W5033">
        <v>0</v>
      </c>
      <c r="X5033" s="21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J5033" t="s">
        <v>51</v>
      </c>
      <c r="AK5033" t="s">
        <v>52</v>
      </c>
      <c r="AP5033" t="s">
        <v>541</v>
      </c>
    </row>
    <row r="5034" spans="1:42">
      <c r="A5034" s="13">
        <v>43864</v>
      </c>
      <c r="B5034">
        <v>1</v>
      </c>
      <c r="C5034">
        <v>315</v>
      </c>
      <c r="D5034">
        <v>10375</v>
      </c>
      <c r="E5034" t="s">
        <v>37</v>
      </c>
      <c r="F5034" t="s">
        <v>38</v>
      </c>
      <c r="G5034">
        <v>1</v>
      </c>
      <c r="H5034">
        <v>53</v>
      </c>
      <c r="I5034" s="25">
        <v>3350</v>
      </c>
      <c r="K5034" t="s">
        <v>113</v>
      </c>
      <c r="L5034" t="s">
        <v>114</v>
      </c>
      <c r="M5034" t="s">
        <v>52</v>
      </c>
      <c r="N5034" t="s">
        <v>40</v>
      </c>
      <c r="O5034">
        <v>104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4</v>
      </c>
      <c r="W5034">
        <v>0</v>
      </c>
      <c r="X5034" s="21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J5034" t="s">
        <v>51</v>
      </c>
      <c r="AK5034" t="s">
        <v>52</v>
      </c>
      <c r="AP5034" t="s">
        <v>541</v>
      </c>
    </row>
    <row r="5035" spans="1:42">
      <c r="A5035" s="13">
        <v>43864</v>
      </c>
      <c r="B5035">
        <v>1</v>
      </c>
      <c r="C5035">
        <v>315</v>
      </c>
      <c r="D5035">
        <v>10375</v>
      </c>
      <c r="E5035" t="s">
        <v>37</v>
      </c>
      <c r="F5035" t="s">
        <v>38</v>
      </c>
      <c r="G5035">
        <v>1</v>
      </c>
      <c r="H5035">
        <v>54</v>
      </c>
      <c r="I5035" s="25">
        <v>2552</v>
      </c>
      <c r="K5035" t="s">
        <v>210</v>
      </c>
      <c r="L5035" t="s">
        <v>114</v>
      </c>
      <c r="M5035" t="s">
        <v>52</v>
      </c>
      <c r="N5035" t="s">
        <v>40</v>
      </c>
      <c r="O5035">
        <v>137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2</v>
      </c>
      <c r="V5035">
        <v>1</v>
      </c>
      <c r="W5035">
        <v>0</v>
      </c>
      <c r="X5035" s="21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J5035" t="s">
        <v>51</v>
      </c>
      <c r="AK5035" t="s">
        <v>52</v>
      </c>
      <c r="AP5035" t="s">
        <v>541</v>
      </c>
    </row>
    <row r="5036" spans="1:42">
      <c r="A5036" s="13">
        <v>43864</v>
      </c>
      <c r="B5036">
        <v>1</v>
      </c>
      <c r="C5036">
        <v>315</v>
      </c>
      <c r="D5036">
        <v>10375</v>
      </c>
      <c r="E5036" t="s">
        <v>37</v>
      </c>
      <c r="F5036" t="s">
        <v>38</v>
      </c>
      <c r="G5036">
        <v>1</v>
      </c>
      <c r="H5036">
        <v>55</v>
      </c>
      <c r="I5036" s="25">
        <v>640</v>
      </c>
      <c r="K5036" t="s">
        <v>102</v>
      </c>
      <c r="L5036" t="s">
        <v>114</v>
      </c>
      <c r="M5036" t="s">
        <v>52</v>
      </c>
      <c r="N5036" t="s">
        <v>44</v>
      </c>
      <c r="O5036">
        <v>107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1</v>
      </c>
      <c r="V5036">
        <v>2</v>
      </c>
      <c r="W5036">
        <v>0</v>
      </c>
      <c r="X5036" s="21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J5036" t="s">
        <v>51</v>
      </c>
      <c r="AK5036" t="s">
        <v>52</v>
      </c>
      <c r="AP5036" t="s">
        <v>541</v>
      </c>
    </row>
    <row r="5037" spans="1:42">
      <c r="A5037" s="13">
        <v>43864</v>
      </c>
      <c r="B5037">
        <v>1</v>
      </c>
      <c r="C5037">
        <v>315</v>
      </c>
      <c r="D5037">
        <v>10375</v>
      </c>
      <c r="E5037" t="s">
        <v>37</v>
      </c>
      <c r="F5037" t="s">
        <v>38</v>
      </c>
      <c r="G5037">
        <v>1</v>
      </c>
      <c r="H5037">
        <v>56</v>
      </c>
      <c r="I5037" s="25">
        <v>1859</v>
      </c>
      <c r="K5037" t="s">
        <v>913</v>
      </c>
      <c r="L5037" t="s">
        <v>141</v>
      </c>
      <c r="M5037" t="s">
        <v>52</v>
      </c>
      <c r="N5037" t="s">
        <v>40</v>
      </c>
      <c r="O5037">
        <v>130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2</v>
      </c>
      <c r="V5037">
        <v>1</v>
      </c>
      <c r="W5037">
        <v>0</v>
      </c>
      <c r="X5037" s="21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J5037" t="s">
        <v>51</v>
      </c>
      <c r="AK5037" t="s">
        <v>52</v>
      </c>
      <c r="AP5037" t="s">
        <v>541</v>
      </c>
    </row>
    <row r="5038" spans="1:42">
      <c r="A5038" s="13">
        <v>43864</v>
      </c>
      <c r="B5038">
        <v>1</v>
      </c>
      <c r="C5038">
        <v>315</v>
      </c>
      <c r="D5038">
        <v>10375</v>
      </c>
      <c r="E5038" t="s">
        <v>37</v>
      </c>
      <c r="F5038" t="s">
        <v>38</v>
      </c>
      <c r="G5038">
        <v>1</v>
      </c>
      <c r="H5038">
        <v>57</v>
      </c>
      <c r="I5038" s="25">
        <v>1825</v>
      </c>
      <c r="K5038" t="s">
        <v>913</v>
      </c>
      <c r="L5038" t="s">
        <v>141</v>
      </c>
      <c r="M5038" t="s">
        <v>52</v>
      </c>
      <c r="N5038" t="s">
        <v>40</v>
      </c>
      <c r="O5038">
        <v>60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1</v>
      </c>
      <c r="W5038">
        <v>0</v>
      </c>
      <c r="X5038" s="21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J5038" t="s">
        <v>51</v>
      </c>
      <c r="AK5038" t="s">
        <v>52</v>
      </c>
      <c r="AP5038" t="s">
        <v>541</v>
      </c>
    </row>
    <row r="5039" spans="1:42">
      <c r="A5039" s="13">
        <v>43866</v>
      </c>
      <c r="B5039">
        <v>3</v>
      </c>
      <c r="C5039">
        <v>221</v>
      </c>
      <c r="D5039">
        <v>14450</v>
      </c>
      <c r="E5039" t="s">
        <v>112</v>
      </c>
      <c r="F5039" t="s">
        <v>104</v>
      </c>
      <c r="G5039">
        <v>4</v>
      </c>
      <c r="H5039">
        <v>1</v>
      </c>
      <c r="I5039" s="25">
        <v>2002</v>
      </c>
      <c r="K5039" t="s">
        <v>828</v>
      </c>
      <c r="L5039" t="s">
        <v>114</v>
      </c>
      <c r="M5039" t="s">
        <v>52</v>
      </c>
      <c r="N5039" t="s">
        <v>44</v>
      </c>
      <c r="O5039">
        <v>75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1</v>
      </c>
      <c r="X5039" s="21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J5039" t="s">
        <v>54</v>
      </c>
      <c r="AK5039" t="s">
        <v>52</v>
      </c>
      <c r="AL5039" t="s">
        <v>612</v>
      </c>
      <c r="AP5039" t="s">
        <v>541</v>
      </c>
    </row>
    <row r="5040" spans="1:42">
      <c r="A5040" s="13">
        <v>43866</v>
      </c>
      <c r="B5040">
        <v>3</v>
      </c>
      <c r="C5040">
        <v>221</v>
      </c>
      <c r="D5040">
        <v>14450</v>
      </c>
      <c r="E5040" t="s">
        <v>112</v>
      </c>
      <c r="F5040" t="s">
        <v>104</v>
      </c>
      <c r="G5040">
        <v>4</v>
      </c>
      <c r="H5040">
        <v>2</v>
      </c>
      <c r="I5040" s="25">
        <v>2016</v>
      </c>
      <c r="K5040" t="s">
        <v>828</v>
      </c>
      <c r="L5040" t="s">
        <v>114</v>
      </c>
      <c r="M5040" t="s">
        <v>52</v>
      </c>
      <c r="N5040" t="s">
        <v>44</v>
      </c>
      <c r="O5040">
        <v>49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1</v>
      </c>
      <c r="X5040" s="21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J5040" t="s">
        <v>54</v>
      </c>
      <c r="AK5040" t="s">
        <v>52</v>
      </c>
      <c r="AL5040" t="s">
        <v>611</v>
      </c>
      <c r="AP5040" t="s">
        <v>541</v>
      </c>
    </row>
    <row r="5041" spans="1:42">
      <c r="A5041" s="13">
        <v>43866</v>
      </c>
      <c r="B5041">
        <v>3</v>
      </c>
      <c r="C5041">
        <v>221</v>
      </c>
      <c r="D5041">
        <v>14450</v>
      </c>
      <c r="E5041" t="s">
        <v>112</v>
      </c>
      <c r="F5041" t="s">
        <v>104</v>
      </c>
      <c r="G5041">
        <v>4</v>
      </c>
      <c r="H5041">
        <v>3</v>
      </c>
      <c r="I5041" s="25">
        <v>2028</v>
      </c>
      <c r="K5041" t="s">
        <v>828</v>
      </c>
      <c r="L5041" t="s">
        <v>114</v>
      </c>
      <c r="M5041" t="s">
        <v>52</v>
      </c>
      <c r="N5041" t="s">
        <v>44</v>
      </c>
      <c r="O5041">
        <v>125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2</v>
      </c>
      <c r="X5041" s="2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J5041" t="s">
        <v>54</v>
      </c>
      <c r="AK5041" t="s">
        <v>52</v>
      </c>
      <c r="AL5041" t="s">
        <v>611</v>
      </c>
      <c r="AP5041" t="s">
        <v>541</v>
      </c>
    </row>
    <row r="5042" spans="1:42">
      <c r="A5042" s="13">
        <v>43866</v>
      </c>
      <c r="B5042">
        <v>3</v>
      </c>
      <c r="C5042">
        <v>221</v>
      </c>
      <c r="D5042">
        <v>14450</v>
      </c>
      <c r="E5042" t="s">
        <v>112</v>
      </c>
      <c r="F5042" t="s">
        <v>104</v>
      </c>
      <c r="G5042">
        <v>4</v>
      </c>
      <c r="H5042">
        <v>4</v>
      </c>
      <c r="I5042" s="25">
        <v>1234</v>
      </c>
      <c r="K5042" t="s">
        <v>148</v>
      </c>
      <c r="L5042" t="s">
        <v>114</v>
      </c>
      <c r="M5042" t="s">
        <v>52</v>
      </c>
      <c r="N5042" t="s">
        <v>44</v>
      </c>
      <c r="O5042">
        <v>183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1</v>
      </c>
      <c r="V5042">
        <v>1</v>
      </c>
      <c r="W5042">
        <v>0</v>
      </c>
      <c r="X5042" s="21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J5042" t="s">
        <v>54</v>
      </c>
      <c r="AK5042" t="s">
        <v>52</v>
      </c>
      <c r="AL5042" t="s">
        <v>612</v>
      </c>
      <c r="AP5042" t="s">
        <v>541</v>
      </c>
    </row>
    <row r="5043" spans="1:42">
      <c r="A5043" s="13">
        <v>43866</v>
      </c>
      <c r="B5043">
        <v>3</v>
      </c>
      <c r="C5043">
        <v>221</v>
      </c>
      <c r="D5043">
        <v>14450</v>
      </c>
      <c r="E5043" t="s">
        <v>112</v>
      </c>
      <c r="F5043" t="s">
        <v>104</v>
      </c>
      <c r="G5043">
        <v>4</v>
      </c>
      <c r="H5043">
        <v>5</v>
      </c>
      <c r="I5043" s="25">
        <v>1240</v>
      </c>
      <c r="K5043" t="s">
        <v>148</v>
      </c>
      <c r="L5043" t="s">
        <v>114</v>
      </c>
      <c r="M5043" t="s">
        <v>52</v>
      </c>
      <c r="N5043" t="s">
        <v>40</v>
      </c>
      <c r="O5043">
        <v>90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4</v>
      </c>
      <c r="V5043">
        <v>0</v>
      </c>
      <c r="W5043">
        <v>0</v>
      </c>
      <c r="X5043" s="21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J5043" t="s">
        <v>54</v>
      </c>
      <c r="AK5043" t="s">
        <v>52</v>
      </c>
      <c r="AP5043" t="s">
        <v>541</v>
      </c>
    </row>
    <row r="5044" spans="1:42">
      <c r="A5044" s="13">
        <v>43866</v>
      </c>
      <c r="B5044">
        <v>3</v>
      </c>
      <c r="C5044">
        <v>221</v>
      </c>
      <c r="D5044">
        <v>14450</v>
      </c>
      <c r="E5044" t="s">
        <v>112</v>
      </c>
      <c r="F5044" t="s">
        <v>104</v>
      </c>
      <c r="G5044">
        <v>4</v>
      </c>
      <c r="H5044">
        <v>6</v>
      </c>
      <c r="I5044" s="25">
        <v>1254</v>
      </c>
      <c r="K5044" t="s">
        <v>148</v>
      </c>
      <c r="L5044" t="s">
        <v>114</v>
      </c>
      <c r="M5044" t="s">
        <v>52</v>
      </c>
      <c r="N5044" t="s">
        <v>42</v>
      </c>
      <c r="O5044">
        <v>194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1</v>
      </c>
      <c r="V5044">
        <v>1</v>
      </c>
      <c r="W5044">
        <v>0</v>
      </c>
      <c r="X5044" s="21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J5044" t="s">
        <v>54</v>
      </c>
      <c r="AK5044" t="s">
        <v>52</v>
      </c>
      <c r="AL5044" t="s">
        <v>612</v>
      </c>
      <c r="AP5044" t="s">
        <v>541</v>
      </c>
    </row>
    <row r="5045" spans="1:42">
      <c r="A5045" s="13">
        <v>43866</v>
      </c>
      <c r="B5045">
        <v>3</v>
      </c>
      <c r="C5045">
        <v>221</v>
      </c>
      <c r="D5045">
        <v>14450</v>
      </c>
      <c r="E5045" t="s">
        <v>112</v>
      </c>
      <c r="F5045" t="s">
        <v>104</v>
      </c>
      <c r="G5045">
        <v>4</v>
      </c>
      <c r="H5045">
        <v>7</v>
      </c>
      <c r="I5045" s="25">
        <v>1298</v>
      </c>
      <c r="K5045" t="s">
        <v>148</v>
      </c>
      <c r="L5045" t="s">
        <v>114</v>
      </c>
      <c r="M5045" t="s">
        <v>52</v>
      </c>
      <c r="N5045" t="s">
        <v>40</v>
      </c>
      <c r="O5045">
        <v>42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1</v>
      </c>
      <c r="V5045">
        <v>1</v>
      </c>
      <c r="W5045">
        <v>0</v>
      </c>
      <c r="X5045" s="21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J5045" t="s">
        <v>54</v>
      </c>
      <c r="AK5045" t="s">
        <v>52</v>
      </c>
      <c r="AP5045" t="s">
        <v>541</v>
      </c>
    </row>
    <row r="5046" spans="1:42">
      <c r="A5046" s="13">
        <v>43866</v>
      </c>
      <c r="B5046">
        <v>3</v>
      </c>
      <c r="C5046">
        <v>221</v>
      </c>
      <c r="D5046">
        <v>14450</v>
      </c>
      <c r="E5046" t="s">
        <v>112</v>
      </c>
      <c r="F5046" t="s">
        <v>104</v>
      </c>
      <c r="G5046">
        <v>4</v>
      </c>
      <c r="H5046">
        <v>8</v>
      </c>
      <c r="I5046" s="25">
        <v>2420</v>
      </c>
      <c r="K5046" t="s">
        <v>420</v>
      </c>
      <c r="L5046" t="s">
        <v>114</v>
      </c>
      <c r="M5046" t="s">
        <v>52</v>
      </c>
      <c r="N5046" t="s">
        <v>40</v>
      </c>
      <c r="O5046">
        <v>68</v>
      </c>
      <c r="P5046">
        <v>0</v>
      </c>
      <c r="Q5046">
        <v>0</v>
      </c>
      <c r="R5046">
        <v>0</v>
      </c>
      <c r="S5046">
        <v>1</v>
      </c>
      <c r="T5046">
        <v>0</v>
      </c>
      <c r="U5046">
        <v>0</v>
      </c>
      <c r="V5046">
        <v>2</v>
      </c>
      <c r="W5046">
        <v>0</v>
      </c>
      <c r="X5046" s="21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J5046" t="s">
        <v>51</v>
      </c>
      <c r="AK5046" t="s">
        <v>52</v>
      </c>
      <c r="AP5046" t="s">
        <v>541</v>
      </c>
    </row>
    <row r="5047" spans="1:42">
      <c r="A5047" s="13">
        <v>43866</v>
      </c>
      <c r="B5047">
        <v>3</v>
      </c>
      <c r="C5047">
        <v>221</v>
      </c>
      <c r="D5047">
        <v>14450</v>
      </c>
      <c r="E5047" t="s">
        <v>112</v>
      </c>
      <c r="F5047" t="s">
        <v>104</v>
      </c>
      <c r="G5047">
        <v>4</v>
      </c>
      <c r="H5047">
        <v>9</v>
      </c>
      <c r="I5047" s="25">
        <v>2424</v>
      </c>
      <c r="K5047" t="s">
        <v>420</v>
      </c>
      <c r="L5047" t="s">
        <v>114</v>
      </c>
      <c r="M5047" t="s">
        <v>52</v>
      </c>
      <c r="N5047" t="s">
        <v>40</v>
      </c>
      <c r="O5047">
        <v>51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3</v>
      </c>
      <c r="V5047">
        <v>0</v>
      </c>
      <c r="W5047">
        <v>0</v>
      </c>
      <c r="X5047" s="21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J5047" t="s">
        <v>51</v>
      </c>
      <c r="AK5047" t="s">
        <v>52</v>
      </c>
      <c r="AP5047" t="s">
        <v>541</v>
      </c>
    </row>
    <row r="5048" spans="1:42">
      <c r="A5048" s="13">
        <v>43866</v>
      </c>
      <c r="B5048">
        <v>3</v>
      </c>
      <c r="C5048">
        <v>221</v>
      </c>
      <c r="D5048">
        <v>14450</v>
      </c>
      <c r="E5048" t="s">
        <v>112</v>
      </c>
      <c r="F5048" t="s">
        <v>104</v>
      </c>
      <c r="G5048">
        <v>4</v>
      </c>
      <c r="H5048">
        <v>10</v>
      </c>
      <c r="I5048" s="25">
        <v>2442</v>
      </c>
      <c r="K5048" t="s">
        <v>420</v>
      </c>
      <c r="L5048" t="s">
        <v>114</v>
      </c>
      <c r="M5048" t="s">
        <v>52</v>
      </c>
      <c r="N5048" t="s">
        <v>40</v>
      </c>
      <c r="O5048">
        <v>57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1</v>
      </c>
      <c r="V5048">
        <v>2</v>
      </c>
      <c r="W5048">
        <v>0</v>
      </c>
      <c r="X5048" s="21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J5048" t="s">
        <v>54</v>
      </c>
      <c r="AK5048" t="s">
        <v>52</v>
      </c>
      <c r="AP5048" t="s">
        <v>541</v>
      </c>
    </row>
    <row r="5049" spans="1:42">
      <c r="A5049" s="13">
        <v>43866</v>
      </c>
      <c r="B5049">
        <v>3</v>
      </c>
      <c r="C5049">
        <v>221</v>
      </c>
      <c r="D5049">
        <v>14450</v>
      </c>
      <c r="E5049" t="s">
        <v>112</v>
      </c>
      <c r="F5049" t="s">
        <v>104</v>
      </c>
      <c r="G5049">
        <v>4</v>
      </c>
      <c r="H5049">
        <v>11</v>
      </c>
      <c r="I5049" s="25">
        <v>2256</v>
      </c>
      <c r="K5049" t="s">
        <v>828</v>
      </c>
      <c r="L5049" t="s">
        <v>114</v>
      </c>
      <c r="M5049" t="s">
        <v>52</v>
      </c>
      <c r="N5049" t="s">
        <v>40</v>
      </c>
      <c r="O5049">
        <v>57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2</v>
      </c>
      <c r="V5049">
        <v>0</v>
      </c>
      <c r="W5049">
        <v>0</v>
      </c>
      <c r="X5049" s="21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J5049" t="s">
        <v>54</v>
      </c>
      <c r="AK5049" t="s">
        <v>52</v>
      </c>
      <c r="AP5049" t="s">
        <v>541</v>
      </c>
    </row>
    <row r="5050" spans="1:42">
      <c r="A5050" s="13">
        <v>43866</v>
      </c>
      <c r="B5050">
        <v>3</v>
      </c>
      <c r="C5050">
        <v>221</v>
      </c>
      <c r="D5050">
        <v>14450</v>
      </c>
      <c r="E5050" t="s">
        <v>112</v>
      </c>
      <c r="F5050" t="s">
        <v>104</v>
      </c>
      <c r="G5050">
        <v>4</v>
      </c>
      <c r="H5050">
        <v>12</v>
      </c>
      <c r="I5050" s="25">
        <v>2300</v>
      </c>
      <c r="K5050" t="s">
        <v>828</v>
      </c>
      <c r="L5050" t="s">
        <v>114</v>
      </c>
      <c r="M5050" t="s">
        <v>52</v>
      </c>
      <c r="N5050" t="s">
        <v>40</v>
      </c>
      <c r="O5050">
        <v>19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 s="21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J5050" t="s">
        <v>54</v>
      </c>
      <c r="AK5050" t="s">
        <v>52</v>
      </c>
      <c r="AL5050" t="s">
        <v>649</v>
      </c>
      <c r="AP5050" t="s">
        <v>541</v>
      </c>
    </row>
    <row r="5051" spans="1:42">
      <c r="A5051" s="13">
        <v>43866</v>
      </c>
      <c r="B5051">
        <v>3</v>
      </c>
      <c r="C5051">
        <v>221</v>
      </c>
      <c r="D5051">
        <v>14450</v>
      </c>
      <c r="E5051" t="s">
        <v>112</v>
      </c>
      <c r="F5051" t="s">
        <v>104</v>
      </c>
      <c r="G5051">
        <v>4</v>
      </c>
      <c r="H5051">
        <v>13</v>
      </c>
      <c r="I5051" s="25">
        <v>2310</v>
      </c>
      <c r="K5051" t="s">
        <v>828</v>
      </c>
      <c r="L5051" t="s">
        <v>114</v>
      </c>
      <c r="M5051" t="s">
        <v>52</v>
      </c>
      <c r="N5051" t="s">
        <v>44</v>
      </c>
      <c r="O5051">
        <v>145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1</v>
      </c>
      <c r="X5051" s="2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J5051" t="s">
        <v>54</v>
      </c>
      <c r="AK5051" t="s">
        <v>52</v>
      </c>
      <c r="AL5051" t="s">
        <v>611</v>
      </c>
      <c r="AP5051" t="s">
        <v>541</v>
      </c>
    </row>
    <row r="5052" spans="1:42">
      <c r="A5052" s="13">
        <v>43866</v>
      </c>
      <c r="B5052">
        <v>3</v>
      </c>
      <c r="C5052">
        <v>221</v>
      </c>
      <c r="D5052">
        <v>14450</v>
      </c>
      <c r="E5052" t="s">
        <v>112</v>
      </c>
      <c r="F5052" t="s">
        <v>104</v>
      </c>
      <c r="G5052">
        <v>4</v>
      </c>
      <c r="H5052">
        <v>14</v>
      </c>
      <c r="I5052" s="25">
        <v>2398</v>
      </c>
      <c r="K5052" t="s">
        <v>828</v>
      </c>
      <c r="L5052" t="s">
        <v>114</v>
      </c>
      <c r="M5052" t="s">
        <v>52</v>
      </c>
      <c r="N5052" t="s">
        <v>40</v>
      </c>
      <c r="O5052">
        <v>36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 s="21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J5052" t="s">
        <v>54</v>
      </c>
      <c r="AK5052" t="s">
        <v>52</v>
      </c>
      <c r="AL5052" t="s">
        <v>649</v>
      </c>
      <c r="AP5052" t="s">
        <v>541</v>
      </c>
    </row>
    <row r="5053" spans="1:42">
      <c r="A5053" s="13">
        <v>43866</v>
      </c>
      <c r="B5053">
        <v>3</v>
      </c>
      <c r="C5053">
        <v>221</v>
      </c>
      <c r="D5053">
        <v>14450</v>
      </c>
      <c r="E5053" t="s">
        <v>112</v>
      </c>
      <c r="F5053" t="s">
        <v>104</v>
      </c>
      <c r="G5053">
        <v>4</v>
      </c>
      <c r="H5053">
        <v>15</v>
      </c>
      <c r="I5053" s="25">
        <v>1080</v>
      </c>
      <c r="K5053" t="s">
        <v>324</v>
      </c>
      <c r="L5053" t="s">
        <v>114</v>
      </c>
      <c r="M5053" t="s">
        <v>52</v>
      </c>
      <c r="N5053" t="s">
        <v>40</v>
      </c>
      <c r="O5053">
        <v>136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2</v>
      </c>
      <c r="W5053">
        <v>5</v>
      </c>
      <c r="X5053" s="21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J5053" t="s">
        <v>51</v>
      </c>
      <c r="AK5053" t="s">
        <v>52</v>
      </c>
      <c r="AP5053" t="s">
        <v>541</v>
      </c>
    </row>
    <row r="5054" spans="1:42">
      <c r="A5054" s="13">
        <v>43866</v>
      </c>
      <c r="B5054">
        <v>3</v>
      </c>
      <c r="C5054">
        <v>221</v>
      </c>
      <c r="D5054">
        <v>14450</v>
      </c>
      <c r="E5054" t="s">
        <v>112</v>
      </c>
      <c r="F5054" t="s">
        <v>104</v>
      </c>
      <c r="G5054">
        <v>4</v>
      </c>
      <c r="H5054">
        <v>16</v>
      </c>
      <c r="I5054" s="25">
        <v>1080</v>
      </c>
      <c r="K5054" t="s">
        <v>862</v>
      </c>
      <c r="L5054" t="s">
        <v>114</v>
      </c>
      <c r="M5054" t="s">
        <v>52</v>
      </c>
      <c r="N5054" t="s">
        <v>44</v>
      </c>
      <c r="O5054">
        <v>144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1</v>
      </c>
      <c r="V5054">
        <v>0</v>
      </c>
      <c r="W5054">
        <v>1</v>
      </c>
      <c r="X5054" s="21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J5054" t="s">
        <v>54</v>
      </c>
      <c r="AK5054" t="s">
        <v>52</v>
      </c>
      <c r="AL5054" t="s">
        <v>1595</v>
      </c>
      <c r="AP5054" t="s">
        <v>541</v>
      </c>
    </row>
    <row r="5055" spans="1:42">
      <c r="A5055" s="13">
        <v>43866</v>
      </c>
      <c r="B5055">
        <v>3</v>
      </c>
      <c r="C5055">
        <v>221</v>
      </c>
      <c r="D5055">
        <v>14450</v>
      </c>
      <c r="E5055" t="s">
        <v>112</v>
      </c>
      <c r="F5055" t="s">
        <v>104</v>
      </c>
      <c r="G5055">
        <v>4</v>
      </c>
      <c r="H5055">
        <v>17</v>
      </c>
      <c r="I5055" s="25">
        <v>1090</v>
      </c>
      <c r="K5055" t="s">
        <v>862</v>
      </c>
      <c r="L5055" t="s">
        <v>114</v>
      </c>
      <c r="M5055" t="s">
        <v>52</v>
      </c>
      <c r="N5055" t="s">
        <v>44</v>
      </c>
      <c r="O5055">
        <v>157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1</v>
      </c>
      <c r="V5055">
        <v>0</v>
      </c>
      <c r="W5055">
        <v>1</v>
      </c>
      <c r="X5055" s="21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J5055" t="s">
        <v>54</v>
      </c>
      <c r="AK5055" t="s">
        <v>52</v>
      </c>
      <c r="AL5055" t="s">
        <v>1596</v>
      </c>
      <c r="AP5055" t="s">
        <v>541</v>
      </c>
    </row>
    <row r="5056" spans="1:42">
      <c r="A5056" s="13">
        <v>43866</v>
      </c>
      <c r="B5056">
        <v>3</v>
      </c>
      <c r="C5056">
        <v>221</v>
      </c>
      <c r="D5056">
        <v>14450</v>
      </c>
      <c r="E5056" t="s">
        <v>112</v>
      </c>
      <c r="F5056" t="s">
        <v>104</v>
      </c>
      <c r="G5056">
        <v>4</v>
      </c>
      <c r="H5056">
        <v>18</v>
      </c>
      <c r="I5056" s="25">
        <v>2920</v>
      </c>
      <c r="K5056" t="s">
        <v>414</v>
      </c>
      <c r="L5056" t="s">
        <v>114</v>
      </c>
      <c r="M5056" t="s">
        <v>52</v>
      </c>
      <c r="N5056" t="s">
        <v>44</v>
      </c>
      <c r="O5056">
        <v>129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4</v>
      </c>
      <c r="V5056">
        <v>0</v>
      </c>
      <c r="W5056">
        <v>0</v>
      </c>
      <c r="X5056" s="21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J5056" t="s">
        <v>54</v>
      </c>
      <c r="AK5056" t="s">
        <v>52</v>
      </c>
      <c r="AL5056" t="s">
        <v>611</v>
      </c>
      <c r="AP5056" t="s">
        <v>541</v>
      </c>
    </row>
    <row r="5057" spans="1:42">
      <c r="A5057" s="13">
        <v>43866</v>
      </c>
      <c r="B5057">
        <v>3</v>
      </c>
      <c r="C5057">
        <v>221</v>
      </c>
      <c r="D5057">
        <v>14450</v>
      </c>
      <c r="E5057" t="s">
        <v>112</v>
      </c>
      <c r="F5057" t="s">
        <v>104</v>
      </c>
      <c r="G5057">
        <v>4</v>
      </c>
      <c r="H5057">
        <v>19</v>
      </c>
      <c r="I5057" s="25">
        <v>2936</v>
      </c>
      <c r="K5057" t="s">
        <v>414</v>
      </c>
      <c r="L5057" t="s">
        <v>114</v>
      </c>
      <c r="M5057" t="s">
        <v>52</v>
      </c>
      <c r="N5057" t="s">
        <v>44</v>
      </c>
      <c r="O5057">
        <v>94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1</v>
      </c>
      <c r="V5057">
        <v>0</v>
      </c>
      <c r="W5057">
        <v>1</v>
      </c>
      <c r="X5057" s="21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J5057" t="s">
        <v>54</v>
      </c>
      <c r="AK5057" t="s">
        <v>52</v>
      </c>
      <c r="AL5057" t="s">
        <v>611</v>
      </c>
      <c r="AP5057" t="s">
        <v>541</v>
      </c>
    </row>
    <row r="5058" spans="1:42">
      <c r="A5058" s="13">
        <v>43866</v>
      </c>
      <c r="B5058">
        <v>3</v>
      </c>
      <c r="C5058">
        <v>221</v>
      </c>
      <c r="D5058">
        <v>14450</v>
      </c>
      <c r="E5058" t="s">
        <v>112</v>
      </c>
      <c r="F5058" t="s">
        <v>104</v>
      </c>
      <c r="G5058">
        <v>4</v>
      </c>
      <c r="H5058">
        <v>20</v>
      </c>
      <c r="I5058" s="25">
        <v>2942</v>
      </c>
      <c r="K5058" t="s">
        <v>414</v>
      </c>
      <c r="L5058" t="s">
        <v>114</v>
      </c>
      <c r="M5058" t="s">
        <v>52</v>
      </c>
      <c r="N5058" t="s">
        <v>40</v>
      </c>
      <c r="O5058">
        <v>37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2</v>
      </c>
      <c r="V5058">
        <v>0</v>
      </c>
      <c r="W5058">
        <v>0</v>
      </c>
      <c r="X5058" s="21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J5058" t="s">
        <v>54</v>
      </c>
      <c r="AK5058" t="s">
        <v>52</v>
      </c>
      <c r="AP5058" t="s">
        <v>541</v>
      </c>
    </row>
    <row r="5059" spans="1:42">
      <c r="A5059" s="13">
        <v>43866</v>
      </c>
      <c r="B5059">
        <v>3</v>
      </c>
      <c r="C5059">
        <v>221</v>
      </c>
      <c r="D5059">
        <v>14450</v>
      </c>
      <c r="E5059" t="s">
        <v>112</v>
      </c>
      <c r="F5059" t="s">
        <v>104</v>
      </c>
      <c r="G5059">
        <v>4</v>
      </c>
      <c r="H5059">
        <v>21</v>
      </c>
      <c r="I5059" s="25">
        <v>3050</v>
      </c>
      <c r="K5059" t="s">
        <v>414</v>
      </c>
      <c r="L5059" t="s">
        <v>114</v>
      </c>
      <c r="M5059" t="s">
        <v>52</v>
      </c>
      <c r="N5059" t="s">
        <v>40</v>
      </c>
      <c r="O5059">
        <v>32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2</v>
      </c>
      <c r="W5059">
        <v>0</v>
      </c>
      <c r="X5059" s="21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J5059" t="s">
        <v>54</v>
      </c>
      <c r="AK5059" t="s">
        <v>52</v>
      </c>
      <c r="AP5059" t="s">
        <v>541</v>
      </c>
    </row>
    <row r="5060" spans="1:42">
      <c r="A5060" s="13">
        <v>43866</v>
      </c>
      <c r="B5060">
        <v>3</v>
      </c>
      <c r="C5060">
        <v>221</v>
      </c>
      <c r="D5060">
        <v>14450</v>
      </c>
      <c r="E5060" t="s">
        <v>112</v>
      </c>
      <c r="F5060" t="s">
        <v>104</v>
      </c>
      <c r="G5060">
        <v>4</v>
      </c>
      <c r="H5060">
        <v>22</v>
      </c>
      <c r="I5060" s="25">
        <v>3046</v>
      </c>
      <c r="K5060" t="s">
        <v>414</v>
      </c>
      <c r="L5060" t="s">
        <v>114</v>
      </c>
      <c r="M5060" t="s">
        <v>52</v>
      </c>
      <c r="N5060" t="s">
        <v>40</v>
      </c>
      <c r="O5060">
        <v>34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1</v>
      </c>
      <c r="V5060">
        <v>1</v>
      </c>
      <c r="W5060">
        <v>0</v>
      </c>
      <c r="X5060" s="21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J5060" t="s">
        <v>54</v>
      </c>
      <c r="AK5060" t="s">
        <v>52</v>
      </c>
      <c r="AP5060" t="s">
        <v>541</v>
      </c>
    </row>
    <row r="5061" spans="1:42">
      <c r="A5061" s="13">
        <v>43866</v>
      </c>
      <c r="B5061">
        <v>3</v>
      </c>
      <c r="C5061">
        <v>221</v>
      </c>
      <c r="D5061">
        <v>14450</v>
      </c>
      <c r="E5061" t="s">
        <v>112</v>
      </c>
      <c r="F5061" t="s">
        <v>104</v>
      </c>
      <c r="G5061">
        <v>4</v>
      </c>
      <c r="H5061">
        <v>23</v>
      </c>
      <c r="I5061" s="25">
        <v>3058</v>
      </c>
      <c r="K5061" t="s">
        <v>414</v>
      </c>
      <c r="L5061" t="s">
        <v>114</v>
      </c>
      <c r="M5061" t="s">
        <v>52</v>
      </c>
      <c r="N5061" t="s">
        <v>44</v>
      </c>
      <c r="O5061">
        <v>70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1</v>
      </c>
      <c r="X5061" s="2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J5061" t="s">
        <v>54</v>
      </c>
      <c r="AK5061" t="s">
        <v>52</v>
      </c>
      <c r="AL5061" t="s">
        <v>611</v>
      </c>
      <c r="AP5061" t="s">
        <v>541</v>
      </c>
    </row>
    <row r="5062" spans="1:42">
      <c r="A5062" s="13">
        <v>43866</v>
      </c>
      <c r="B5062">
        <v>3</v>
      </c>
      <c r="C5062">
        <v>221</v>
      </c>
      <c r="D5062">
        <v>14450</v>
      </c>
      <c r="E5062" t="s">
        <v>112</v>
      </c>
      <c r="F5062" t="s">
        <v>104</v>
      </c>
      <c r="G5062">
        <v>4</v>
      </c>
      <c r="H5062">
        <v>24</v>
      </c>
      <c r="I5062" s="25">
        <v>3250</v>
      </c>
      <c r="K5062" t="s">
        <v>415</v>
      </c>
      <c r="L5062" t="s">
        <v>114</v>
      </c>
      <c r="M5062" t="s">
        <v>52</v>
      </c>
      <c r="N5062" t="s">
        <v>40</v>
      </c>
      <c r="O5062">
        <v>57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2</v>
      </c>
      <c r="W5062">
        <v>0</v>
      </c>
      <c r="X5062" s="21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J5062" t="s">
        <v>54</v>
      </c>
      <c r="AK5062" t="s">
        <v>52</v>
      </c>
      <c r="AL5062" t="s">
        <v>1597</v>
      </c>
      <c r="AP5062" t="s">
        <v>541</v>
      </c>
    </row>
    <row r="5063" spans="1:42">
      <c r="A5063" s="13">
        <v>43866</v>
      </c>
      <c r="B5063">
        <v>3</v>
      </c>
      <c r="C5063">
        <v>221</v>
      </c>
      <c r="D5063">
        <v>14450</v>
      </c>
      <c r="E5063" t="s">
        <v>112</v>
      </c>
      <c r="F5063" t="s">
        <v>104</v>
      </c>
      <c r="G5063">
        <v>4</v>
      </c>
      <c r="H5063">
        <v>25</v>
      </c>
      <c r="I5063" s="25">
        <v>890</v>
      </c>
      <c r="K5063" t="s">
        <v>906</v>
      </c>
      <c r="L5063" t="s">
        <v>114</v>
      </c>
      <c r="M5063" t="s">
        <v>52</v>
      </c>
      <c r="N5063" t="s">
        <v>40</v>
      </c>
      <c r="O5063">
        <v>26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1</v>
      </c>
      <c r="W5063">
        <v>0</v>
      </c>
      <c r="X5063" s="21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J5063" t="s">
        <v>54</v>
      </c>
      <c r="AK5063" t="s">
        <v>52</v>
      </c>
      <c r="AP5063" t="s">
        <v>541</v>
      </c>
    </row>
    <row r="5064" spans="1:42">
      <c r="A5064" s="13">
        <v>43866</v>
      </c>
      <c r="B5064">
        <v>3</v>
      </c>
      <c r="C5064">
        <v>221</v>
      </c>
      <c r="D5064">
        <v>14450</v>
      </c>
      <c r="E5064" t="s">
        <v>112</v>
      </c>
      <c r="F5064" t="s">
        <v>104</v>
      </c>
      <c r="G5064">
        <v>4</v>
      </c>
      <c r="H5064">
        <v>26</v>
      </c>
      <c r="I5064" s="25">
        <v>900</v>
      </c>
      <c r="K5064" t="s">
        <v>570</v>
      </c>
      <c r="L5064" t="s">
        <v>114</v>
      </c>
      <c r="M5064" t="s">
        <v>52</v>
      </c>
      <c r="N5064" t="s">
        <v>40</v>
      </c>
      <c r="O5064">
        <v>76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1</v>
      </c>
      <c r="W5064">
        <v>2</v>
      </c>
      <c r="X5064" s="21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J5064" t="s">
        <v>51</v>
      </c>
      <c r="AK5064" t="s">
        <v>95</v>
      </c>
      <c r="AP5064" t="s">
        <v>541</v>
      </c>
    </row>
    <row r="5065" spans="1:42">
      <c r="A5065" s="13">
        <v>43866</v>
      </c>
      <c r="B5065">
        <v>3</v>
      </c>
      <c r="C5065">
        <v>221</v>
      </c>
      <c r="D5065">
        <v>14450</v>
      </c>
      <c r="E5065" t="s">
        <v>112</v>
      </c>
      <c r="F5065" t="s">
        <v>104</v>
      </c>
      <c r="G5065">
        <v>4</v>
      </c>
      <c r="H5065">
        <v>27</v>
      </c>
      <c r="I5065" s="25">
        <v>900</v>
      </c>
      <c r="K5065" t="s">
        <v>570</v>
      </c>
      <c r="L5065" t="s">
        <v>114</v>
      </c>
      <c r="M5065" t="s">
        <v>52</v>
      </c>
      <c r="N5065" t="s">
        <v>40</v>
      </c>
      <c r="O5065">
        <v>135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4</v>
      </c>
      <c r="W5065">
        <v>0</v>
      </c>
      <c r="X5065" s="21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2</v>
      </c>
      <c r="AG5065">
        <v>0</v>
      </c>
      <c r="AJ5065" t="s">
        <v>51</v>
      </c>
      <c r="AK5065" t="s">
        <v>95</v>
      </c>
      <c r="AP5065" t="s">
        <v>541</v>
      </c>
    </row>
    <row r="5066" spans="1:42">
      <c r="A5066" s="13">
        <v>43866</v>
      </c>
      <c r="B5066">
        <v>3</v>
      </c>
      <c r="C5066">
        <v>221</v>
      </c>
      <c r="D5066">
        <v>14450</v>
      </c>
      <c r="E5066" t="s">
        <v>112</v>
      </c>
      <c r="F5066" t="s">
        <v>104</v>
      </c>
      <c r="G5066">
        <v>4</v>
      </c>
      <c r="H5066">
        <v>28</v>
      </c>
      <c r="I5066" s="25">
        <v>1000</v>
      </c>
      <c r="K5066" t="s">
        <v>570</v>
      </c>
      <c r="L5066" t="s">
        <v>114</v>
      </c>
      <c r="M5066" t="s">
        <v>52</v>
      </c>
      <c r="N5066" t="s">
        <v>40</v>
      </c>
      <c r="O5066">
        <v>21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 s="21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J5066" t="s">
        <v>51</v>
      </c>
      <c r="AK5066" t="s">
        <v>95</v>
      </c>
      <c r="AL5066" t="s">
        <v>649</v>
      </c>
      <c r="AP5066" t="s">
        <v>541</v>
      </c>
    </row>
    <row r="5067" spans="1:42">
      <c r="A5067" s="13">
        <v>43866</v>
      </c>
      <c r="B5067">
        <v>3</v>
      </c>
      <c r="C5067">
        <v>221</v>
      </c>
      <c r="D5067">
        <v>14450</v>
      </c>
      <c r="E5067" t="s">
        <v>112</v>
      </c>
      <c r="F5067" t="s">
        <v>104</v>
      </c>
      <c r="G5067">
        <v>4</v>
      </c>
      <c r="H5067">
        <v>29</v>
      </c>
      <c r="I5067" s="25">
        <v>1050</v>
      </c>
      <c r="K5067" t="s">
        <v>570</v>
      </c>
      <c r="L5067" t="s">
        <v>114</v>
      </c>
      <c r="M5067" t="s">
        <v>52</v>
      </c>
      <c r="N5067" t="s">
        <v>44</v>
      </c>
      <c r="O5067">
        <v>200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1</v>
      </c>
      <c r="W5067">
        <v>6</v>
      </c>
      <c r="X5067" s="21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J5067" t="s">
        <v>51</v>
      </c>
      <c r="AK5067" t="s">
        <v>95</v>
      </c>
      <c r="AP5067" t="s">
        <v>541</v>
      </c>
    </row>
    <row r="5068" spans="1:42">
      <c r="A5068" s="13">
        <v>43866</v>
      </c>
      <c r="B5068">
        <v>3</v>
      </c>
      <c r="C5068">
        <v>221</v>
      </c>
      <c r="D5068">
        <v>14450</v>
      </c>
      <c r="E5068" t="s">
        <v>112</v>
      </c>
      <c r="F5068" t="s">
        <v>104</v>
      </c>
      <c r="G5068">
        <v>4</v>
      </c>
      <c r="H5068">
        <v>30</v>
      </c>
      <c r="I5068" s="25">
        <v>2900</v>
      </c>
      <c r="K5068" t="s">
        <v>415</v>
      </c>
      <c r="L5068" t="s">
        <v>114</v>
      </c>
      <c r="M5068" t="s">
        <v>52</v>
      </c>
      <c r="N5068" t="s">
        <v>40</v>
      </c>
      <c r="O5068">
        <v>14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 s="21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J5068" t="s">
        <v>54</v>
      </c>
      <c r="AK5068" t="s">
        <v>95</v>
      </c>
      <c r="AL5068" t="s">
        <v>649</v>
      </c>
      <c r="AP5068" t="s">
        <v>541</v>
      </c>
    </row>
    <row r="5069" spans="1:42">
      <c r="A5069" s="13">
        <v>43866</v>
      </c>
      <c r="B5069">
        <v>3</v>
      </c>
      <c r="C5069">
        <v>221</v>
      </c>
      <c r="D5069">
        <v>14450</v>
      </c>
      <c r="E5069" t="s">
        <v>112</v>
      </c>
      <c r="F5069" t="s">
        <v>104</v>
      </c>
      <c r="G5069">
        <v>4</v>
      </c>
      <c r="H5069">
        <v>31</v>
      </c>
      <c r="I5069" s="25">
        <v>2900</v>
      </c>
      <c r="K5069" t="s">
        <v>415</v>
      </c>
      <c r="L5069" t="s">
        <v>114</v>
      </c>
      <c r="M5069" t="s">
        <v>52</v>
      </c>
      <c r="N5069" t="s">
        <v>40</v>
      </c>
      <c r="O5069">
        <v>15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 s="21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J5069" t="s">
        <v>54</v>
      </c>
      <c r="AK5069" t="s">
        <v>95</v>
      </c>
      <c r="AL5069" t="s">
        <v>649</v>
      </c>
      <c r="AP5069" t="s">
        <v>541</v>
      </c>
    </row>
    <row r="5070" spans="1:42">
      <c r="A5070" s="13">
        <v>43866</v>
      </c>
      <c r="B5070">
        <v>3</v>
      </c>
      <c r="C5070">
        <v>221</v>
      </c>
      <c r="D5070">
        <v>14450</v>
      </c>
      <c r="E5070" t="s">
        <v>112</v>
      </c>
      <c r="F5070" t="s">
        <v>104</v>
      </c>
      <c r="G5070">
        <v>4</v>
      </c>
      <c r="H5070">
        <v>32</v>
      </c>
      <c r="I5070" s="25">
        <v>1150</v>
      </c>
      <c r="K5070" t="s">
        <v>862</v>
      </c>
      <c r="L5070" t="s">
        <v>114</v>
      </c>
      <c r="M5070" t="s">
        <v>52</v>
      </c>
      <c r="N5070" t="s">
        <v>44</v>
      </c>
      <c r="O5070">
        <v>172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8</v>
      </c>
      <c r="W5070">
        <v>0</v>
      </c>
      <c r="X5070" s="21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J5070" t="s">
        <v>51</v>
      </c>
      <c r="AK5070" t="s">
        <v>52</v>
      </c>
      <c r="AL5070" t="s">
        <v>1598</v>
      </c>
      <c r="AP5070" t="s">
        <v>541</v>
      </c>
    </row>
    <row r="5071" spans="1:42">
      <c r="A5071" s="13">
        <v>43866</v>
      </c>
      <c r="B5071">
        <v>3</v>
      </c>
      <c r="C5071">
        <v>221</v>
      </c>
      <c r="D5071">
        <v>14450</v>
      </c>
      <c r="E5071" t="s">
        <v>112</v>
      </c>
      <c r="F5071" t="s">
        <v>104</v>
      </c>
      <c r="G5071">
        <v>4</v>
      </c>
      <c r="H5071">
        <v>33</v>
      </c>
      <c r="I5071" s="25">
        <v>1999</v>
      </c>
      <c r="K5071" t="s">
        <v>414</v>
      </c>
      <c r="L5071" t="s">
        <v>141</v>
      </c>
      <c r="M5071" t="s">
        <v>52</v>
      </c>
      <c r="N5071" t="s">
        <v>40</v>
      </c>
      <c r="O5071">
        <v>15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 s="2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J5071" t="s">
        <v>54</v>
      </c>
      <c r="AK5071" t="s">
        <v>52</v>
      </c>
      <c r="AL5071" t="s">
        <v>649</v>
      </c>
      <c r="AP5071" t="s">
        <v>541</v>
      </c>
    </row>
    <row r="5072" spans="1:42">
      <c r="A5072" s="13">
        <v>43866</v>
      </c>
      <c r="B5072">
        <v>3</v>
      </c>
      <c r="C5072">
        <v>221</v>
      </c>
      <c r="D5072">
        <v>14450</v>
      </c>
      <c r="E5072" t="s">
        <v>112</v>
      </c>
      <c r="F5072" t="s">
        <v>104</v>
      </c>
      <c r="G5072">
        <v>4</v>
      </c>
      <c r="H5072">
        <v>34</v>
      </c>
      <c r="I5072" s="25">
        <v>2901</v>
      </c>
      <c r="K5072" t="s">
        <v>414</v>
      </c>
      <c r="L5072" t="s">
        <v>141</v>
      </c>
      <c r="M5072" t="s">
        <v>52</v>
      </c>
      <c r="N5072" t="s">
        <v>40</v>
      </c>
      <c r="O5072">
        <v>20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 s="21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J5072" t="s">
        <v>54</v>
      </c>
      <c r="AK5072" t="s">
        <v>52</v>
      </c>
      <c r="AL5072" t="s">
        <v>649</v>
      </c>
      <c r="AP5072" t="s">
        <v>541</v>
      </c>
    </row>
    <row r="5073" spans="1:42">
      <c r="A5073" s="13">
        <v>43866</v>
      </c>
      <c r="B5073">
        <v>3</v>
      </c>
      <c r="C5073">
        <v>221</v>
      </c>
      <c r="D5073">
        <v>14450</v>
      </c>
      <c r="E5073" t="s">
        <v>112</v>
      </c>
      <c r="F5073" t="s">
        <v>104</v>
      </c>
      <c r="G5073">
        <v>4</v>
      </c>
      <c r="H5073">
        <v>35</v>
      </c>
      <c r="I5073" s="25">
        <v>3110</v>
      </c>
      <c r="K5073" t="s">
        <v>415</v>
      </c>
      <c r="L5073" t="s">
        <v>114</v>
      </c>
      <c r="M5073" t="s">
        <v>52</v>
      </c>
      <c r="N5073" t="s">
        <v>40</v>
      </c>
      <c r="O5073">
        <v>11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 s="21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J5073" t="s">
        <v>54</v>
      </c>
      <c r="AK5073" t="s">
        <v>52</v>
      </c>
      <c r="AL5073" t="s">
        <v>649</v>
      </c>
      <c r="AP5073" t="s">
        <v>541</v>
      </c>
    </row>
    <row r="5074" spans="1:42">
      <c r="A5074" s="13">
        <v>43866</v>
      </c>
      <c r="B5074">
        <v>3</v>
      </c>
      <c r="C5074">
        <v>221</v>
      </c>
      <c r="D5074">
        <v>14450</v>
      </c>
      <c r="E5074" t="s">
        <v>112</v>
      </c>
      <c r="F5074" t="s">
        <v>104</v>
      </c>
      <c r="G5074">
        <v>4</v>
      </c>
      <c r="H5074">
        <v>36</v>
      </c>
      <c r="I5074" s="25">
        <v>1051</v>
      </c>
      <c r="K5074" t="s">
        <v>570</v>
      </c>
      <c r="L5074" t="s">
        <v>141</v>
      </c>
      <c r="M5074" t="s">
        <v>52</v>
      </c>
      <c r="N5074" t="s">
        <v>40</v>
      </c>
      <c r="O5074">
        <v>12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 s="21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J5074" t="s">
        <v>51</v>
      </c>
      <c r="AK5074" t="s">
        <v>52</v>
      </c>
      <c r="AL5074" t="s">
        <v>649</v>
      </c>
      <c r="AP5074" t="s">
        <v>541</v>
      </c>
    </row>
    <row r="5075" spans="1:42">
      <c r="A5075" s="13">
        <v>43866</v>
      </c>
      <c r="B5075">
        <v>3</v>
      </c>
      <c r="C5075">
        <v>221</v>
      </c>
      <c r="D5075">
        <v>14450</v>
      </c>
      <c r="E5075" t="s">
        <v>112</v>
      </c>
      <c r="F5075" t="s">
        <v>104</v>
      </c>
      <c r="G5075">
        <v>4</v>
      </c>
      <c r="H5075">
        <v>37</v>
      </c>
      <c r="I5075" s="25">
        <v>3099</v>
      </c>
      <c r="K5075" t="s">
        <v>414</v>
      </c>
      <c r="L5075" t="s">
        <v>141</v>
      </c>
      <c r="M5075" t="s">
        <v>52</v>
      </c>
      <c r="N5075" t="s">
        <v>40</v>
      </c>
      <c r="O5075">
        <v>22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 s="21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J5075" t="s">
        <v>54</v>
      </c>
      <c r="AK5075" t="s">
        <v>52</v>
      </c>
      <c r="AL5075" t="s">
        <v>649</v>
      </c>
      <c r="AP5075" t="s">
        <v>541</v>
      </c>
    </row>
    <row r="5076" spans="1:42">
      <c r="A5076" s="13">
        <v>43866</v>
      </c>
      <c r="B5076">
        <v>3</v>
      </c>
      <c r="C5076">
        <v>221</v>
      </c>
      <c r="D5076">
        <v>14450</v>
      </c>
      <c r="E5076" t="s">
        <v>112</v>
      </c>
      <c r="F5076" t="s">
        <v>104</v>
      </c>
      <c r="G5076">
        <v>4</v>
      </c>
      <c r="H5076">
        <v>38</v>
      </c>
      <c r="I5076" s="25">
        <v>2960</v>
      </c>
      <c r="K5076" t="s">
        <v>414</v>
      </c>
      <c r="L5076" t="s">
        <v>114</v>
      </c>
      <c r="M5076" t="s">
        <v>52</v>
      </c>
      <c r="N5076" t="s">
        <v>44</v>
      </c>
      <c r="O5076">
        <v>46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1</v>
      </c>
      <c r="X5076" s="21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J5076" t="s">
        <v>51</v>
      </c>
      <c r="AK5076" t="s">
        <v>52</v>
      </c>
      <c r="AL5076" t="s">
        <v>611</v>
      </c>
      <c r="AP5076" t="s">
        <v>541</v>
      </c>
    </row>
    <row r="5077" spans="1:42">
      <c r="A5077" s="13">
        <v>43866</v>
      </c>
      <c r="B5077">
        <v>3</v>
      </c>
      <c r="C5077">
        <v>221</v>
      </c>
      <c r="D5077">
        <v>14450</v>
      </c>
      <c r="E5077" t="s">
        <v>112</v>
      </c>
      <c r="F5077" t="s">
        <v>104</v>
      </c>
      <c r="G5077">
        <v>4</v>
      </c>
      <c r="H5077">
        <v>39</v>
      </c>
      <c r="I5077" s="25">
        <v>2728</v>
      </c>
      <c r="K5077" t="s">
        <v>828</v>
      </c>
      <c r="L5077" t="s">
        <v>114</v>
      </c>
      <c r="M5077" t="s">
        <v>52</v>
      </c>
      <c r="N5077" t="s">
        <v>44</v>
      </c>
      <c r="O5077">
        <v>249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3</v>
      </c>
      <c r="W5077">
        <v>3</v>
      </c>
      <c r="X5077" s="21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J5077" t="s">
        <v>54</v>
      </c>
      <c r="AK5077" t="s">
        <v>95</v>
      </c>
      <c r="AL5077" t="s">
        <v>611</v>
      </c>
      <c r="AP5077" t="s">
        <v>541</v>
      </c>
    </row>
    <row r="5078" spans="1:42">
      <c r="A5078" s="13">
        <v>43866</v>
      </c>
      <c r="B5078">
        <v>3</v>
      </c>
      <c r="C5078">
        <v>221</v>
      </c>
      <c r="D5078">
        <v>14450</v>
      </c>
      <c r="E5078" t="s">
        <v>112</v>
      </c>
      <c r="F5078" t="s">
        <v>104</v>
      </c>
      <c r="G5078">
        <v>4</v>
      </c>
      <c r="H5078">
        <v>40</v>
      </c>
      <c r="I5078" s="25">
        <v>800</v>
      </c>
      <c r="K5078" t="s">
        <v>570</v>
      </c>
      <c r="L5078" t="s">
        <v>114</v>
      </c>
      <c r="M5078" t="s">
        <v>52</v>
      </c>
      <c r="N5078" t="s">
        <v>40</v>
      </c>
      <c r="O5078">
        <v>109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5</v>
      </c>
      <c r="W5078">
        <v>0</v>
      </c>
      <c r="X5078" s="21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J5078" t="s">
        <v>54</v>
      </c>
      <c r="AK5078" t="s">
        <v>95</v>
      </c>
      <c r="AP5078" t="s">
        <v>541</v>
      </c>
    </row>
    <row r="5079" spans="1:42">
      <c r="A5079" s="13">
        <v>43866</v>
      </c>
      <c r="B5079">
        <v>3</v>
      </c>
      <c r="C5079">
        <v>221</v>
      </c>
      <c r="D5079">
        <v>14450</v>
      </c>
      <c r="E5079" t="s">
        <v>112</v>
      </c>
      <c r="F5079" t="s">
        <v>104</v>
      </c>
      <c r="G5079">
        <v>4</v>
      </c>
      <c r="H5079">
        <v>41</v>
      </c>
      <c r="I5079" s="25">
        <v>900</v>
      </c>
      <c r="K5079" t="s">
        <v>1122</v>
      </c>
      <c r="L5079" t="s">
        <v>114</v>
      </c>
      <c r="M5079" t="s">
        <v>52</v>
      </c>
      <c r="N5079" t="s">
        <v>44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1</v>
      </c>
      <c r="W5079">
        <v>1</v>
      </c>
      <c r="X5079" s="21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J5079" t="s">
        <v>51</v>
      </c>
      <c r="AK5079" t="s">
        <v>95</v>
      </c>
      <c r="AL5079" t="s">
        <v>611</v>
      </c>
      <c r="AP5079" t="s">
        <v>541</v>
      </c>
    </row>
    <row r="5080" spans="1:42">
      <c r="A5080" s="13">
        <v>43866</v>
      </c>
      <c r="B5080">
        <v>3</v>
      </c>
      <c r="C5080">
        <v>221</v>
      </c>
      <c r="D5080">
        <v>14450</v>
      </c>
      <c r="E5080" t="s">
        <v>112</v>
      </c>
      <c r="F5080" t="s">
        <v>104</v>
      </c>
      <c r="G5080">
        <v>4</v>
      </c>
      <c r="H5080">
        <v>42</v>
      </c>
      <c r="I5080" s="25">
        <v>910</v>
      </c>
      <c r="K5080" t="s">
        <v>1122</v>
      </c>
      <c r="L5080" t="s">
        <v>114</v>
      </c>
      <c r="M5080" t="s">
        <v>52</v>
      </c>
      <c r="N5080" t="s">
        <v>44</v>
      </c>
      <c r="O5080">
        <v>115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2</v>
      </c>
      <c r="V5080">
        <v>0</v>
      </c>
      <c r="W5080">
        <v>0</v>
      </c>
      <c r="X5080" s="21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J5080" t="s">
        <v>51</v>
      </c>
      <c r="AK5080" t="s">
        <v>95</v>
      </c>
      <c r="AL5080" t="s">
        <v>611</v>
      </c>
      <c r="AP5080" t="s">
        <v>541</v>
      </c>
    </row>
    <row r="5081" spans="1:42">
      <c r="A5081" s="13">
        <v>43866</v>
      </c>
      <c r="B5081">
        <v>3</v>
      </c>
      <c r="C5081">
        <v>221</v>
      </c>
      <c r="D5081">
        <v>14450</v>
      </c>
      <c r="E5081" t="s">
        <v>112</v>
      </c>
      <c r="F5081" t="s">
        <v>104</v>
      </c>
      <c r="G5081">
        <v>4</v>
      </c>
      <c r="H5081">
        <v>43</v>
      </c>
      <c r="I5081" s="25">
        <v>930</v>
      </c>
      <c r="K5081" t="s">
        <v>1122</v>
      </c>
      <c r="L5081" t="s">
        <v>114</v>
      </c>
      <c r="M5081" t="s">
        <v>52</v>
      </c>
      <c r="N5081" t="s">
        <v>44</v>
      </c>
      <c r="O5081">
        <v>96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1</v>
      </c>
      <c r="V5081">
        <v>1</v>
      </c>
      <c r="W5081">
        <v>0</v>
      </c>
      <c r="X5081" s="2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J5081" t="s">
        <v>51</v>
      </c>
      <c r="AK5081" t="s">
        <v>95</v>
      </c>
      <c r="AL5081" t="s">
        <v>611</v>
      </c>
      <c r="AP5081" t="s">
        <v>541</v>
      </c>
    </row>
    <row r="5082" spans="1:42">
      <c r="A5082" s="13">
        <v>43866</v>
      </c>
      <c r="B5082">
        <v>3</v>
      </c>
      <c r="C5082">
        <v>221</v>
      </c>
      <c r="D5082">
        <v>14450</v>
      </c>
      <c r="E5082" t="s">
        <v>112</v>
      </c>
      <c r="F5082" t="s">
        <v>104</v>
      </c>
      <c r="G5082">
        <v>4</v>
      </c>
      <c r="H5082">
        <v>44</v>
      </c>
      <c r="I5082" s="25">
        <v>940</v>
      </c>
      <c r="K5082" t="s">
        <v>1122</v>
      </c>
      <c r="L5082" t="s">
        <v>114</v>
      </c>
      <c r="M5082" t="s">
        <v>52</v>
      </c>
      <c r="N5082" t="s">
        <v>44</v>
      </c>
      <c r="O5082">
        <v>222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1</v>
      </c>
      <c r="V5082">
        <v>0</v>
      </c>
      <c r="W5082">
        <v>2</v>
      </c>
      <c r="X5082" s="21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J5082" t="s">
        <v>51</v>
      </c>
      <c r="AK5082" t="s">
        <v>95</v>
      </c>
      <c r="AL5082" t="s">
        <v>611</v>
      </c>
      <c r="AP5082" t="s">
        <v>541</v>
      </c>
    </row>
    <row r="5083" spans="1:42">
      <c r="A5083" s="13">
        <v>43866</v>
      </c>
      <c r="B5083">
        <v>3</v>
      </c>
      <c r="C5083">
        <v>221</v>
      </c>
      <c r="D5083">
        <v>14450</v>
      </c>
      <c r="E5083" t="s">
        <v>112</v>
      </c>
      <c r="F5083" t="s">
        <v>104</v>
      </c>
      <c r="G5083">
        <v>4</v>
      </c>
      <c r="H5083">
        <v>45</v>
      </c>
      <c r="I5083" s="25">
        <v>960</v>
      </c>
      <c r="K5083" t="s">
        <v>1122</v>
      </c>
      <c r="L5083" t="s">
        <v>114</v>
      </c>
      <c r="M5083" t="s">
        <v>52</v>
      </c>
      <c r="N5083" t="s">
        <v>44</v>
      </c>
      <c r="O5083">
        <v>117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1</v>
      </c>
      <c r="V5083">
        <v>0</v>
      </c>
      <c r="W5083">
        <v>1</v>
      </c>
      <c r="X5083" s="21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J5083" t="s">
        <v>51</v>
      </c>
      <c r="AK5083" t="s">
        <v>95</v>
      </c>
      <c r="AL5083" t="s">
        <v>611</v>
      </c>
      <c r="AP5083" t="s">
        <v>541</v>
      </c>
    </row>
    <row r="5084" spans="1:42">
      <c r="A5084" s="13">
        <v>43866</v>
      </c>
      <c r="B5084">
        <v>3</v>
      </c>
      <c r="C5084">
        <v>221</v>
      </c>
      <c r="D5084">
        <v>14450</v>
      </c>
      <c r="E5084" t="s">
        <v>112</v>
      </c>
      <c r="F5084" t="s">
        <v>104</v>
      </c>
      <c r="G5084">
        <v>4</v>
      </c>
      <c r="H5084">
        <v>46</v>
      </c>
      <c r="I5084" s="25">
        <v>970</v>
      </c>
      <c r="K5084" t="s">
        <v>1122</v>
      </c>
      <c r="L5084" t="s">
        <v>114</v>
      </c>
      <c r="M5084" t="s">
        <v>52</v>
      </c>
      <c r="N5084" t="s">
        <v>44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1</v>
      </c>
      <c r="V5084">
        <v>0</v>
      </c>
      <c r="W5084">
        <v>1</v>
      </c>
      <c r="X5084" s="21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J5084" t="s">
        <v>51</v>
      </c>
      <c r="AK5084" t="s">
        <v>95</v>
      </c>
      <c r="AL5084" t="s">
        <v>611</v>
      </c>
      <c r="AP5084" t="s">
        <v>541</v>
      </c>
    </row>
    <row r="5085" spans="1:42">
      <c r="A5085" s="13">
        <v>43866</v>
      </c>
      <c r="B5085">
        <v>3</v>
      </c>
      <c r="C5085">
        <v>221</v>
      </c>
      <c r="D5085">
        <v>14450</v>
      </c>
      <c r="E5085" t="s">
        <v>112</v>
      </c>
      <c r="F5085" t="s">
        <v>104</v>
      </c>
      <c r="G5085">
        <v>4</v>
      </c>
      <c r="H5085">
        <v>47</v>
      </c>
      <c r="I5085" s="25">
        <v>990</v>
      </c>
      <c r="K5085" t="s">
        <v>1122</v>
      </c>
      <c r="L5085" t="s">
        <v>114</v>
      </c>
      <c r="M5085" t="s">
        <v>52</v>
      </c>
      <c r="N5085" t="s">
        <v>44</v>
      </c>
      <c r="O5085">
        <v>191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4</v>
      </c>
      <c r="X5085" s="21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J5085" t="s">
        <v>51</v>
      </c>
      <c r="AK5085" t="s">
        <v>95</v>
      </c>
      <c r="AL5085" t="s">
        <v>611</v>
      </c>
      <c r="AP5085" t="s">
        <v>541</v>
      </c>
    </row>
    <row r="5086" spans="1:42">
      <c r="A5086" s="13">
        <v>43866</v>
      </c>
      <c r="B5086">
        <v>3</v>
      </c>
      <c r="C5086">
        <v>221</v>
      </c>
      <c r="D5086">
        <v>14450</v>
      </c>
      <c r="E5086" t="s">
        <v>112</v>
      </c>
      <c r="F5086" t="s">
        <v>104</v>
      </c>
      <c r="G5086">
        <v>4</v>
      </c>
      <c r="H5086">
        <v>48</v>
      </c>
      <c r="I5086" s="25">
        <v>977</v>
      </c>
      <c r="K5086" t="s">
        <v>570</v>
      </c>
      <c r="L5086" t="s">
        <v>141</v>
      </c>
      <c r="M5086" t="s">
        <v>52</v>
      </c>
      <c r="N5086" t="s">
        <v>40</v>
      </c>
      <c r="O5086">
        <v>42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2</v>
      </c>
      <c r="V5086">
        <v>2</v>
      </c>
      <c r="W5086">
        <v>0</v>
      </c>
      <c r="X5086" s="21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J5086" t="s">
        <v>51</v>
      </c>
      <c r="AK5086" t="s">
        <v>52</v>
      </c>
      <c r="AP5086" t="s">
        <v>541</v>
      </c>
    </row>
    <row r="5087" spans="1:42">
      <c r="A5087" s="13">
        <v>43866</v>
      </c>
      <c r="B5087">
        <v>3</v>
      </c>
      <c r="C5087">
        <v>221</v>
      </c>
      <c r="D5087">
        <v>14450</v>
      </c>
      <c r="E5087" t="s">
        <v>112</v>
      </c>
      <c r="F5087" t="s">
        <v>104</v>
      </c>
      <c r="G5087">
        <v>4</v>
      </c>
      <c r="H5087">
        <v>49</v>
      </c>
      <c r="I5087" s="25">
        <v>900</v>
      </c>
      <c r="K5087" t="s">
        <v>570</v>
      </c>
      <c r="L5087" t="s">
        <v>114</v>
      </c>
      <c r="M5087" t="s">
        <v>52</v>
      </c>
      <c r="N5087" t="s">
        <v>40</v>
      </c>
      <c r="O5087">
        <v>104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3</v>
      </c>
      <c r="W5087">
        <v>0</v>
      </c>
      <c r="X5087" s="21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J5087" t="s">
        <v>51</v>
      </c>
      <c r="AK5087" t="s">
        <v>95</v>
      </c>
      <c r="AP5087" t="s">
        <v>541</v>
      </c>
    </row>
    <row r="5088" spans="1:42">
      <c r="A5088" s="13">
        <v>43866</v>
      </c>
      <c r="B5088">
        <v>3</v>
      </c>
      <c r="C5088">
        <v>221</v>
      </c>
      <c r="D5088">
        <v>14450</v>
      </c>
      <c r="E5088" t="s">
        <v>112</v>
      </c>
      <c r="F5088" t="s">
        <v>104</v>
      </c>
      <c r="G5088">
        <v>4</v>
      </c>
      <c r="H5088">
        <v>50</v>
      </c>
      <c r="I5088" s="25">
        <v>1275</v>
      </c>
      <c r="K5088" t="s">
        <v>213</v>
      </c>
      <c r="L5088" t="s">
        <v>141</v>
      </c>
      <c r="M5088" t="s">
        <v>52</v>
      </c>
      <c r="N5088" t="s">
        <v>44</v>
      </c>
      <c r="O5088">
        <v>148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1</v>
      </c>
      <c r="W5088">
        <v>2</v>
      </c>
      <c r="X5088" s="21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J5088" t="s">
        <v>54</v>
      </c>
      <c r="AK5088" t="s">
        <v>52</v>
      </c>
      <c r="AL5088" t="s">
        <v>611</v>
      </c>
      <c r="AP5088" t="s">
        <v>541</v>
      </c>
    </row>
    <row r="5089" spans="1:42">
      <c r="A5089" s="13">
        <v>43866</v>
      </c>
      <c r="B5089">
        <v>3</v>
      </c>
      <c r="C5089">
        <v>221</v>
      </c>
      <c r="D5089">
        <v>14450</v>
      </c>
      <c r="E5089" t="s">
        <v>112</v>
      </c>
      <c r="F5089" t="s">
        <v>104</v>
      </c>
      <c r="G5089">
        <v>4</v>
      </c>
      <c r="H5089">
        <v>51</v>
      </c>
      <c r="I5089" s="25">
        <v>1201</v>
      </c>
      <c r="K5089" t="s">
        <v>213</v>
      </c>
      <c r="L5089" t="s">
        <v>141</v>
      </c>
      <c r="M5089" t="s">
        <v>52</v>
      </c>
      <c r="N5089" t="s">
        <v>40</v>
      </c>
      <c r="O5089">
        <v>41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</v>
      </c>
      <c r="X5089" s="21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J5089" t="s">
        <v>54</v>
      </c>
      <c r="AK5089" t="s">
        <v>52</v>
      </c>
      <c r="AP5089" t="s">
        <v>541</v>
      </c>
    </row>
    <row r="5090" spans="1:42">
      <c r="A5090" s="13">
        <v>43866</v>
      </c>
      <c r="B5090">
        <v>3</v>
      </c>
      <c r="C5090">
        <v>221</v>
      </c>
      <c r="D5090">
        <v>14450</v>
      </c>
      <c r="E5090" t="s">
        <v>112</v>
      </c>
      <c r="F5090" t="s">
        <v>104</v>
      </c>
      <c r="G5090">
        <v>4</v>
      </c>
      <c r="H5090">
        <v>52</v>
      </c>
      <c r="I5090" s="25">
        <v>2115</v>
      </c>
      <c r="K5090" t="s">
        <v>828</v>
      </c>
      <c r="L5090" t="s">
        <v>141</v>
      </c>
      <c r="M5090" t="s">
        <v>52</v>
      </c>
      <c r="N5090" t="s">
        <v>40</v>
      </c>
      <c r="O5090">
        <v>42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1</v>
      </c>
      <c r="W5090">
        <v>0</v>
      </c>
      <c r="X5090" s="21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J5090" t="s">
        <v>51</v>
      </c>
      <c r="AK5090" t="s">
        <v>52</v>
      </c>
      <c r="AP5090" t="s">
        <v>541</v>
      </c>
    </row>
    <row r="5091" spans="1:42">
      <c r="A5091" s="13">
        <v>43866</v>
      </c>
      <c r="B5091">
        <v>3</v>
      </c>
      <c r="C5091">
        <v>221</v>
      </c>
      <c r="D5091">
        <v>14450</v>
      </c>
      <c r="E5091" t="s">
        <v>112</v>
      </c>
      <c r="F5091" t="s">
        <v>104</v>
      </c>
      <c r="G5091">
        <v>4</v>
      </c>
      <c r="H5091">
        <v>53</v>
      </c>
      <c r="I5091" s="25">
        <v>2111</v>
      </c>
      <c r="K5091" t="s">
        <v>828</v>
      </c>
      <c r="L5091" t="s">
        <v>141</v>
      </c>
      <c r="M5091" t="s">
        <v>52</v>
      </c>
      <c r="N5091" t="s">
        <v>44</v>
      </c>
      <c r="O5091">
        <v>156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1</v>
      </c>
      <c r="W5091">
        <v>2</v>
      </c>
      <c r="X5091" s="2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J5091" t="s">
        <v>51</v>
      </c>
      <c r="AK5091" t="s">
        <v>52</v>
      </c>
      <c r="AP5091" t="s">
        <v>541</v>
      </c>
    </row>
    <row r="5092" spans="1:42">
      <c r="A5092" s="13">
        <v>43866</v>
      </c>
      <c r="B5092">
        <v>3</v>
      </c>
      <c r="C5092">
        <v>221</v>
      </c>
      <c r="D5092">
        <v>14450</v>
      </c>
      <c r="E5092" t="s">
        <v>112</v>
      </c>
      <c r="F5092" t="s">
        <v>104</v>
      </c>
      <c r="G5092">
        <v>4</v>
      </c>
      <c r="H5092">
        <v>54</v>
      </c>
      <c r="I5092" s="25">
        <v>2001</v>
      </c>
      <c r="K5092" t="s">
        <v>828</v>
      </c>
      <c r="L5092" t="s">
        <v>141</v>
      </c>
      <c r="M5092" t="s">
        <v>52</v>
      </c>
      <c r="N5092" t="s">
        <v>40</v>
      </c>
      <c r="O5092">
        <v>23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 s="21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J5092" t="s">
        <v>51</v>
      </c>
      <c r="AK5092" t="s">
        <v>52</v>
      </c>
      <c r="AL5092" t="s">
        <v>649</v>
      </c>
      <c r="AP5092" t="s">
        <v>541</v>
      </c>
    </row>
    <row r="5093" spans="1:42">
      <c r="A5093" s="13">
        <v>43866</v>
      </c>
      <c r="B5093">
        <v>3</v>
      </c>
      <c r="C5093">
        <v>221</v>
      </c>
      <c r="D5093">
        <v>14450</v>
      </c>
      <c r="E5093" t="s">
        <v>112</v>
      </c>
      <c r="F5093" t="s">
        <v>104</v>
      </c>
      <c r="G5093">
        <v>4</v>
      </c>
      <c r="H5093">
        <v>55</v>
      </c>
      <c r="I5093" s="25" t="s">
        <v>1599</v>
      </c>
      <c r="K5093" t="s">
        <v>1600</v>
      </c>
      <c r="L5093" t="s">
        <v>114</v>
      </c>
      <c r="M5093" t="s">
        <v>52</v>
      </c>
      <c r="N5093" t="s">
        <v>40</v>
      </c>
      <c r="O5093">
        <v>205</v>
      </c>
      <c r="P5093">
        <v>0</v>
      </c>
      <c r="Q5093">
        <v>0</v>
      </c>
      <c r="R5093">
        <v>0</v>
      </c>
      <c r="S5093">
        <v>1</v>
      </c>
      <c r="T5093">
        <v>0</v>
      </c>
      <c r="U5093">
        <v>2</v>
      </c>
      <c r="V5093">
        <v>0</v>
      </c>
      <c r="W5093">
        <v>0</v>
      </c>
      <c r="X5093" s="21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J5093" t="s">
        <v>54</v>
      </c>
      <c r="AK5093" t="s">
        <v>95</v>
      </c>
      <c r="AP5093" t="s">
        <v>541</v>
      </c>
    </row>
    <row r="5094" spans="1:42">
      <c r="A5094" s="13">
        <v>43866</v>
      </c>
      <c r="B5094">
        <v>3</v>
      </c>
      <c r="C5094">
        <v>221</v>
      </c>
      <c r="D5094">
        <v>14450</v>
      </c>
      <c r="E5094" t="s">
        <v>112</v>
      </c>
      <c r="F5094" t="s">
        <v>104</v>
      </c>
      <c r="G5094">
        <v>4</v>
      </c>
      <c r="H5094">
        <v>56</v>
      </c>
      <c r="I5094" s="25" t="s">
        <v>1601</v>
      </c>
      <c r="K5094" t="s">
        <v>420</v>
      </c>
      <c r="M5094" t="s">
        <v>52</v>
      </c>
      <c r="N5094" t="s">
        <v>40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1</v>
      </c>
      <c r="W5094">
        <v>2</v>
      </c>
      <c r="X5094" s="21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J5094" t="s">
        <v>54</v>
      </c>
      <c r="AK5094" t="s">
        <v>95</v>
      </c>
      <c r="AP5094" t="s">
        <v>541</v>
      </c>
    </row>
    <row r="5095" spans="1:42">
      <c r="A5095" s="13">
        <v>43866</v>
      </c>
      <c r="B5095">
        <v>3</v>
      </c>
      <c r="C5095">
        <v>221</v>
      </c>
      <c r="D5095">
        <v>14450</v>
      </c>
      <c r="E5095" t="s">
        <v>112</v>
      </c>
      <c r="F5095" t="s">
        <v>104</v>
      </c>
      <c r="G5095">
        <v>4</v>
      </c>
      <c r="H5095">
        <v>57</v>
      </c>
      <c r="I5095" s="25">
        <v>128</v>
      </c>
      <c r="K5095" t="s">
        <v>148</v>
      </c>
      <c r="L5095" t="s">
        <v>114</v>
      </c>
      <c r="M5095" t="s">
        <v>52</v>
      </c>
      <c r="N5095" t="s">
        <v>40</v>
      </c>
      <c r="O5095">
        <v>36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1</v>
      </c>
      <c r="V5095">
        <v>1</v>
      </c>
      <c r="W5095">
        <v>0</v>
      </c>
      <c r="X5095" s="21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J5095" t="s">
        <v>51</v>
      </c>
      <c r="AK5095" t="s">
        <v>95</v>
      </c>
      <c r="AP5095" t="s">
        <v>541</v>
      </c>
    </row>
    <row r="5096" spans="1:42">
      <c r="A5096" s="13">
        <v>43866</v>
      </c>
      <c r="B5096">
        <v>3</v>
      </c>
      <c r="C5096">
        <v>221</v>
      </c>
      <c r="D5096">
        <v>14450</v>
      </c>
      <c r="E5096" t="s">
        <v>112</v>
      </c>
      <c r="F5096" t="s">
        <v>104</v>
      </c>
      <c r="G5096">
        <v>4</v>
      </c>
      <c r="H5096">
        <v>58</v>
      </c>
      <c r="I5096" s="25">
        <v>1277</v>
      </c>
      <c r="K5096" t="s">
        <v>148</v>
      </c>
      <c r="L5096" t="s">
        <v>141</v>
      </c>
      <c r="M5096" t="s">
        <v>52</v>
      </c>
      <c r="N5096" t="s">
        <v>40</v>
      </c>
      <c r="O5096">
        <v>45</v>
      </c>
      <c r="P5096">
        <v>0</v>
      </c>
      <c r="Q5096">
        <v>0</v>
      </c>
      <c r="R5096">
        <v>0</v>
      </c>
      <c r="S5096">
        <v>2</v>
      </c>
      <c r="T5096">
        <v>0</v>
      </c>
      <c r="U5096">
        <v>0</v>
      </c>
      <c r="V5096">
        <v>0</v>
      </c>
      <c r="W5096">
        <v>0</v>
      </c>
      <c r="X5096" s="21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J5096" t="s">
        <v>54</v>
      </c>
      <c r="AK5096" t="s">
        <v>95</v>
      </c>
      <c r="AP5096" t="s">
        <v>541</v>
      </c>
    </row>
    <row r="5097" spans="1:42">
      <c r="A5097" s="13">
        <v>43866</v>
      </c>
      <c r="B5097">
        <v>3</v>
      </c>
      <c r="C5097">
        <v>221</v>
      </c>
      <c r="D5097">
        <v>14450</v>
      </c>
      <c r="E5097" t="s">
        <v>112</v>
      </c>
      <c r="F5097" t="s">
        <v>104</v>
      </c>
      <c r="G5097">
        <v>4</v>
      </c>
      <c r="H5097">
        <v>59</v>
      </c>
      <c r="I5097" s="25">
        <v>1247</v>
      </c>
      <c r="K5097" t="s">
        <v>148</v>
      </c>
      <c r="L5097" t="s">
        <v>141</v>
      </c>
      <c r="M5097" t="s">
        <v>52</v>
      </c>
      <c r="N5097" t="s">
        <v>40</v>
      </c>
      <c r="O5097">
        <v>47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2</v>
      </c>
      <c r="W5097">
        <v>0</v>
      </c>
      <c r="X5097" s="21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J5097" t="s">
        <v>54</v>
      </c>
      <c r="AK5097" t="s">
        <v>95</v>
      </c>
      <c r="AP5097" t="s">
        <v>541</v>
      </c>
    </row>
    <row r="5098" spans="1:42">
      <c r="A5098" s="13">
        <v>43866</v>
      </c>
      <c r="B5098">
        <v>3</v>
      </c>
      <c r="C5098">
        <v>221</v>
      </c>
      <c r="D5098">
        <v>14450</v>
      </c>
      <c r="E5098" t="s">
        <v>112</v>
      </c>
      <c r="F5098" t="s">
        <v>104</v>
      </c>
      <c r="G5098">
        <v>4</v>
      </c>
      <c r="H5098">
        <v>60</v>
      </c>
      <c r="I5098" s="25">
        <v>1267</v>
      </c>
      <c r="K5098" t="s">
        <v>148</v>
      </c>
      <c r="L5098" t="s">
        <v>141</v>
      </c>
      <c r="M5098" t="s">
        <v>52</v>
      </c>
      <c r="N5098" t="s">
        <v>44</v>
      </c>
      <c r="O5098">
        <v>95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1</v>
      </c>
      <c r="W5098">
        <v>1</v>
      </c>
      <c r="X5098" s="21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J5098" t="s">
        <v>54</v>
      </c>
      <c r="AK5098" t="s">
        <v>95</v>
      </c>
      <c r="AL5098" t="s">
        <v>611</v>
      </c>
      <c r="AP5098" t="s">
        <v>541</v>
      </c>
    </row>
    <row r="5099" spans="1:42">
      <c r="A5099" s="13">
        <v>43866</v>
      </c>
      <c r="B5099">
        <v>3</v>
      </c>
      <c r="C5099">
        <v>221</v>
      </c>
      <c r="D5099">
        <v>14450</v>
      </c>
      <c r="E5099" t="s">
        <v>112</v>
      </c>
      <c r="F5099" t="s">
        <v>104</v>
      </c>
      <c r="G5099">
        <v>4</v>
      </c>
      <c r="H5099">
        <v>61</v>
      </c>
      <c r="I5099" s="25">
        <v>1261</v>
      </c>
      <c r="K5099" t="s">
        <v>148</v>
      </c>
      <c r="L5099" t="s">
        <v>141</v>
      </c>
      <c r="M5099" t="s">
        <v>52</v>
      </c>
      <c r="N5099" t="s">
        <v>40</v>
      </c>
      <c r="O5099">
        <v>25</v>
      </c>
      <c r="P5099">
        <v>0</v>
      </c>
      <c r="Q5099">
        <v>0</v>
      </c>
      <c r="R5099">
        <v>0</v>
      </c>
      <c r="S5099">
        <v>1</v>
      </c>
      <c r="T5099">
        <v>0</v>
      </c>
      <c r="U5099">
        <v>0</v>
      </c>
      <c r="V5099">
        <v>0</v>
      </c>
      <c r="W5099">
        <v>0</v>
      </c>
      <c r="X5099" s="21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J5099" t="s">
        <v>54</v>
      </c>
      <c r="AK5099" t="s">
        <v>95</v>
      </c>
      <c r="AP5099" t="s">
        <v>541</v>
      </c>
    </row>
    <row r="5100" spans="1:42">
      <c r="A5100" s="13">
        <v>43866</v>
      </c>
      <c r="B5100">
        <v>3</v>
      </c>
      <c r="C5100">
        <v>221</v>
      </c>
      <c r="D5100">
        <v>14450</v>
      </c>
      <c r="E5100" t="s">
        <v>112</v>
      </c>
      <c r="F5100" t="s">
        <v>104</v>
      </c>
      <c r="G5100">
        <v>4</v>
      </c>
      <c r="H5100">
        <v>62</v>
      </c>
      <c r="I5100" s="25">
        <v>1235</v>
      </c>
      <c r="K5100" t="s">
        <v>148</v>
      </c>
      <c r="L5100" t="s">
        <v>141</v>
      </c>
      <c r="M5100" t="s">
        <v>52</v>
      </c>
      <c r="N5100" t="s">
        <v>44</v>
      </c>
      <c r="O5100">
        <v>87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1</v>
      </c>
      <c r="X5100" s="21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J5100" t="s">
        <v>54</v>
      </c>
      <c r="AK5100" t="s">
        <v>95</v>
      </c>
      <c r="AL5100" t="s">
        <v>611</v>
      </c>
      <c r="AP5100" t="s">
        <v>541</v>
      </c>
    </row>
    <row r="5101" spans="1:42">
      <c r="A5101" s="13">
        <v>43866</v>
      </c>
      <c r="B5101">
        <v>3</v>
      </c>
      <c r="C5101">
        <v>221</v>
      </c>
      <c r="D5101">
        <v>14450</v>
      </c>
      <c r="E5101" t="s">
        <v>112</v>
      </c>
      <c r="F5101" t="s">
        <v>104</v>
      </c>
      <c r="G5101">
        <v>4</v>
      </c>
      <c r="H5101">
        <v>63</v>
      </c>
      <c r="I5101" s="25">
        <v>1245</v>
      </c>
      <c r="K5101" t="s">
        <v>148</v>
      </c>
      <c r="L5101" t="s">
        <v>141</v>
      </c>
      <c r="M5101" t="s">
        <v>52</v>
      </c>
      <c r="N5101" t="s">
        <v>44</v>
      </c>
      <c r="O5101">
        <v>59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1</v>
      </c>
      <c r="W5101">
        <v>1</v>
      </c>
      <c r="X5101" s="2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J5101" t="s">
        <v>54</v>
      </c>
      <c r="AK5101" t="s">
        <v>95</v>
      </c>
      <c r="AL5101" t="s">
        <v>611</v>
      </c>
      <c r="AP5101" t="s">
        <v>541</v>
      </c>
    </row>
    <row r="5102" spans="1:42">
      <c r="A5102" s="13">
        <v>43866</v>
      </c>
      <c r="B5102">
        <v>3</v>
      </c>
      <c r="C5102">
        <v>221</v>
      </c>
      <c r="D5102">
        <v>14450</v>
      </c>
      <c r="E5102" t="s">
        <v>112</v>
      </c>
      <c r="F5102" t="s">
        <v>104</v>
      </c>
      <c r="G5102">
        <v>4</v>
      </c>
      <c r="H5102">
        <v>64</v>
      </c>
      <c r="I5102" s="25">
        <v>1205</v>
      </c>
      <c r="K5102" t="s">
        <v>148</v>
      </c>
      <c r="L5102" t="s">
        <v>141</v>
      </c>
      <c r="M5102" t="s">
        <v>52</v>
      </c>
      <c r="N5102" t="s">
        <v>40</v>
      </c>
      <c r="O5102">
        <v>35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1</v>
      </c>
      <c r="V5102">
        <v>1</v>
      </c>
      <c r="W5102">
        <v>0</v>
      </c>
      <c r="X5102" s="21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J5102" t="s">
        <v>54</v>
      </c>
      <c r="AK5102" t="s">
        <v>95</v>
      </c>
      <c r="AP5102" t="s">
        <v>541</v>
      </c>
    </row>
    <row r="5103" spans="1:42">
      <c r="A5103" s="13">
        <v>43866</v>
      </c>
      <c r="B5103">
        <v>3</v>
      </c>
      <c r="C5103">
        <v>221</v>
      </c>
      <c r="D5103">
        <v>14450</v>
      </c>
      <c r="E5103" t="s">
        <v>112</v>
      </c>
      <c r="F5103" t="s">
        <v>104</v>
      </c>
      <c r="G5103">
        <v>4</v>
      </c>
      <c r="H5103">
        <v>65</v>
      </c>
      <c r="I5103" s="25">
        <v>1183</v>
      </c>
      <c r="K5103" t="s">
        <v>148</v>
      </c>
      <c r="L5103" t="s">
        <v>141</v>
      </c>
      <c r="M5103" t="s">
        <v>52</v>
      </c>
      <c r="N5103" t="s">
        <v>44</v>
      </c>
      <c r="O5103">
        <v>64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4</v>
      </c>
      <c r="V5103">
        <v>0</v>
      </c>
      <c r="W5103">
        <v>0</v>
      </c>
      <c r="X5103" s="21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J5103" t="s">
        <v>51</v>
      </c>
      <c r="AK5103" t="s">
        <v>95</v>
      </c>
      <c r="AL5103" t="s">
        <v>612</v>
      </c>
      <c r="AP5103" t="s">
        <v>541</v>
      </c>
    </row>
    <row r="5104" spans="1:42">
      <c r="A5104" s="13">
        <v>43866</v>
      </c>
      <c r="B5104">
        <v>3</v>
      </c>
      <c r="C5104">
        <v>221</v>
      </c>
      <c r="D5104">
        <v>14450</v>
      </c>
      <c r="E5104" t="s">
        <v>112</v>
      </c>
      <c r="F5104" t="s">
        <v>104</v>
      </c>
      <c r="G5104">
        <v>4</v>
      </c>
      <c r="H5104">
        <v>66</v>
      </c>
      <c r="I5104" s="25">
        <v>1171</v>
      </c>
      <c r="K5104" t="s">
        <v>148</v>
      </c>
      <c r="L5104" t="s">
        <v>141</v>
      </c>
      <c r="M5104" t="s">
        <v>52</v>
      </c>
      <c r="N5104" t="s">
        <v>44</v>
      </c>
      <c r="O5104">
        <v>56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2</v>
      </c>
      <c r="V5104">
        <v>0</v>
      </c>
      <c r="W5104">
        <v>2</v>
      </c>
      <c r="X5104" s="21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J5104" t="s">
        <v>51</v>
      </c>
      <c r="AK5104" t="s">
        <v>95</v>
      </c>
      <c r="AL5104" t="s">
        <v>612</v>
      </c>
      <c r="AP5104" t="s">
        <v>541</v>
      </c>
    </row>
    <row r="5105" spans="1:42">
      <c r="A5105" s="13">
        <v>43866</v>
      </c>
      <c r="B5105">
        <v>3</v>
      </c>
      <c r="C5105">
        <v>221</v>
      </c>
      <c r="D5105">
        <v>14450</v>
      </c>
      <c r="E5105" t="s">
        <v>112</v>
      </c>
      <c r="F5105" t="s">
        <v>104</v>
      </c>
      <c r="G5105">
        <v>4</v>
      </c>
      <c r="H5105">
        <v>67</v>
      </c>
      <c r="I5105" s="25">
        <v>1180</v>
      </c>
      <c r="K5105" t="s">
        <v>148</v>
      </c>
      <c r="L5105" t="s">
        <v>114</v>
      </c>
      <c r="M5105" t="s">
        <v>95</v>
      </c>
      <c r="N5105" t="s">
        <v>44</v>
      </c>
      <c r="O5105">
        <v>85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</v>
      </c>
      <c r="X5105" s="21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J5105" t="s">
        <v>51</v>
      </c>
      <c r="AK5105" t="s">
        <v>95</v>
      </c>
      <c r="AL5105" t="s">
        <v>611</v>
      </c>
      <c r="AP5105" t="s">
        <v>541</v>
      </c>
    </row>
    <row r="5106" spans="1:42">
      <c r="A5106" s="13">
        <v>43866</v>
      </c>
      <c r="B5106">
        <v>3</v>
      </c>
      <c r="C5106">
        <v>221</v>
      </c>
      <c r="D5106">
        <v>14450</v>
      </c>
      <c r="E5106" t="s">
        <v>112</v>
      </c>
      <c r="F5106" t="s">
        <v>104</v>
      </c>
      <c r="G5106">
        <v>4</v>
      </c>
      <c r="H5106">
        <v>68</v>
      </c>
      <c r="I5106" s="25">
        <v>1164</v>
      </c>
      <c r="K5106" t="s">
        <v>148</v>
      </c>
      <c r="L5106" t="s">
        <v>114</v>
      </c>
      <c r="M5106" t="s">
        <v>95</v>
      </c>
      <c r="N5106" t="s">
        <v>44</v>
      </c>
      <c r="O5106">
        <v>91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2</v>
      </c>
      <c r="W5106">
        <v>0</v>
      </c>
      <c r="X5106" s="21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J5106" t="s">
        <v>51</v>
      </c>
      <c r="AK5106" t="s">
        <v>95</v>
      </c>
      <c r="AL5106" t="s">
        <v>612</v>
      </c>
      <c r="AP5106" t="s">
        <v>541</v>
      </c>
    </row>
    <row r="5107" spans="1:42">
      <c r="A5107" s="13">
        <v>43866</v>
      </c>
      <c r="B5107">
        <v>3</v>
      </c>
      <c r="C5107">
        <v>221</v>
      </c>
      <c r="D5107">
        <v>14450</v>
      </c>
      <c r="E5107" t="s">
        <v>112</v>
      </c>
      <c r="F5107" t="s">
        <v>104</v>
      </c>
      <c r="G5107">
        <v>4</v>
      </c>
      <c r="H5107">
        <v>69</v>
      </c>
      <c r="I5107" s="25">
        <v>1147</v>
      </c>
      <c r="K5107" t="s">
        <v>148</v>
      </c>
      <c r="L5107" t="s">
        <v>141</v>
      </c>
      <c r="M5107" t="s">
        <v>95</v>
      </c>
      <c r="N5107" t="s">
        <v>44</v>
      </c>
      <c r="O5107">
        <v>168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3</v>
      </c>
      <c r="V5107">
        <v>0</v>
      </c>
      <c r="W5107">
        <v>0</v>
      </c>
      <c r="X5107" s="21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J5107" t="s">
        <v>51</v>
      </c>
      <c r="AK5107" t="s">
        <v>95</v>
      </c>
      <c r="AL5107" t="s">
        <v>612</v>
      </c>
      <c r="AP5107" t="s">
        <v>541</v>
      </c>
    </row>
    <row r="5108" spans="1:42">
      <c r="A5108" s="13">
        <v>43866</v>
      </c>
      <c r="B5108">
        <v>3</v>
      </c>
      <c r="C5108">
        <v>221</v>
      </c>
      <c r="D5108">
        <v>14450</v>
      </c>
      <c r="E5108" t="s">
        <v>112</v>
      </c>
      <c r="F5108" t="s">
        <v>104</v>
      </c>
      <c r="G5108">
        <v>4</v>
      </c>
      <c r="H5108">
        <v>70</v>
      </c>
      <c r="I5108" s="25">
        <v>1101</v>
      </c>
      <c r="K5108" t="s">
        <v>148</v>
      </c>
      <c r="L5108" t="s">
        <v>141</v>
      </c>
      <c r="M5108" t="s">
        <v>52</v>
      </c>
      <c r="N5108" t="s">
        <v>40</v>
      </c>
      <c r="O5108">
        <v>28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 s="21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J5108" t="s">
        <v>54</v>
      </c>
      <c r="AK5108" t="s">
        <v>95</v>
      </c>
      <c r="AL5108" t="s">
        <v>649</v>
      </c>
      <c r="AP5108" t="s">
        <v>541</v>
      </c>
    </row>
    <row r="5109" spans="1:42">
      <c r="A5109" s="13">
        <v>43866</v>
      </c>
      <c r="B5109">
        <v>3</v>
      </c>
      <c r="C5109">
        <v>221</v>
      </c>
      <c r="D5109">
        <v>14450</v>
      </c>
      <c r="E5109" t="s">
        <v>112</v>
      </c>
      <c r="F5109" t="s">
        <v>104</v>
      </c>
      <c r="G5109">
        <v>4</v>
      </c>
      <c r="H5109">
        <v>71</v>
      </c>
      <c r="I5109" s="25">
        <v>1120</v>
      </c>
      <c r="K5109" t="s">
        <v>156</v>
      </c>
      <c r="L5109" t="s">
        <v>114</v>
      </c>
      <c r="M5109" t="s">
        <v>52</v>
      </c>
      <c r="N5109" t="s">
        <v>44</v>
      </c>
      <c r="O5109">
        <v>234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2</v>
      </c>
      <c r="W5109">
        <v>0</v>
      </c>
      <c r="X5109" s="21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J5109" t="s">
        <v>54</v>
      </c>
      <c r="AK5109" t="s">
        <v>52</v>
      </c>
      <c r="AL5109" t="s">
        <v>1602</v>
      </c>
      <c r="AP5109" t="s">
        <v>541</v>
      </c>
    </row>
    <row r="5110" spans="1:42">
      <c r="A5110" s="13">
        <v>43866</v>
      </c>
      <c r="B5110">
        <v>3</v>
      </c>
      <c r="C5110">
        <v>221</v>
      </c>
      <c r="D5110">
        <v>14450</v>
      </c>
      <c r="E5110" t="s">
        <v>112</v>
      </c>
      <c r="F5110" t="s">
        <v>104</v>
      </c>
      <c r="G5110">
        <v>4</v>
      </c>
      <c r="H5110">
        <v>72</v>
      </c>
      <c r="I5110" s="25">
        <v>1150</v>
      </c>
      <c r="K5110" t="s">
        <v>156</v>
      </c>
      <c r="L5110" t="s">
        <v>114</v>
      </c>
      <c r="M5110" t="s">
        <v>52</v>
      </c>
      <c r="N5110" t="s">
        <v>44</v>
      </c>
      <c r="O5110">
        <v>241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3</v>
      </c>
      <c r="X5110" s="21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J5110" t="s">
        <v>54</v>
      </c>
      <c r="AK5110" t="s">
        <v>52</v>
      </c>
      <c r="AL5110" t="s">
        <v>611</v>
      </c>
      <c r="AP5110" t="s">
        <v>541</v>
      </c>
    </row>
    <row r="5111" spans="1:42">
      <c r="A5111" s="13">
        <v>43866</v>
      </c>
      <c r="B5111">
        <v>3</v>
      </c>
      <c r="C5111">
        <v>221</v>
      </c>
      <c r="D5111">
        <v>14450</v>
      </c>
      <c r="E5111" t="s">
        <v>112</v>
      </c>
      <c r="F5111" t="s">
        <v>104</v>
      </c>
      <c r="G5111">
        <v>4</v>
      </c>
      <c r="H5111">
        <v>73</v>
      </c>
      <c r="I5111" s="25">
        <v>2140</v>
      </c>
      <c r="K5111" t="s">
        <v>828</v>
      </c>
      <c r="L5111" t="s">
        <v>114</v>
      </c>
      <c r="M5111" t="s">
        <v>52</v>
      </c>
      <c r="N5111" t="s">
        <v>44</v>
      </c>
      <c r="O5111">
        <v>121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1</v>
      </c>
      <c r="V5111">
        <v>0</v>
      </c>
      <c r="W5111">
        <v>2</v>
      </c>
      <c r="X5111" s="2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J5111" t="s">
        <v>54</v>
      </c>
      <c r="AK5111" t="s">
        <v>52</v>
      </c>
      <c r="AL5111" t="s">
        <v>611</v>
      </c>
      <c r="AP5111" t="s">
        <v>541</v>
      </c>
    </row>
    <row r="5112" spans="1:42">
      <c r="A5112" s="13">
        <v>43866</v>
      </c>
      <c r="B5112">
        <v>3</v>
      </c>
      <c r="C5112">
        <v>221</v>
      </c>
      <c r="D5112">
        <v>14450</v>
      </c>
      <c r="E5112" t="s">
        <v>112</v>
      </c>
      <c r="F5112" t="s">
        <v>104</v>
      </c>
      <c r="G5112">
        <v>4</v>
      </c>
      <c r="H5112">
        <v>74</v>
      </c>
      <c r="I5112" s="25">
        <v>2150</v>
      </c>
      <c r="K5112" t="s">
        <v>828</v>
      </c>
      <c r="L5112" t="s">
        <v>114</v>
      </c>
      <c r="M5112" t="s">
        <v>52</v>
      </c>
      <c r="N5112" t="s">
        <v>44</v>
      </c>
      <c r="O5112">
        <v>50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1</v>
      </c>
      <c r="X5112" s="21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J5112" t="s">
        <v>54</v>
      </c>
      <c r="AK5112" t="s">
        <v>52</v>
      </c>
      <c r="AL5112" t="s">
        <v>590</v>
      </c>
      <c r="AP5112" t="s">
        <v>541</v>
      </c>
    </row>
    <row r="5113" spans="1:42">
      <c r="A5113" s="13">
        <v>43866</v>
      </c>
      <c r="B5113">
        <v>3</v>
      </c>
      <c r="C5113">
        <v>221</v>
      </c>
      <c r="D5113">
        <v>14450</v>
      </c>
      <c r="E5113" t="s">
        <v>112</v>
      </c>
      <c r="F5113" t="s">
        <v>104</v>
      </c>
      <c r="G5113">
        <v>4</v>
      </c>
      <c r="H5113">
        <v>75</v>
      </c>
      <c r="I5113" s="25">
        <v>1172</v>
      </c>
      <c r="K5113" t="s">
        <v>213</v>
      </c>
      <c r="L5113" t="s">
        <v>114</v>
      </c>
      <c r="M5113" t="s">
        <v>52</v>
      </c>
      <c r="N5113" t="s">
        <v>44</v>
      </c>
      <c r="O5113">
        <v>181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3</v>
      </c>
      <c r="V5113">
        <v>1</v>
      </c>
      <c r="W5113">
        <v>0</v>
      </c>
      <c r="X5113" s="21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J5113" t="s">
        <v>54</v>
      </c>
      <c r="AK5113" t="s">
        <v>52</v>
      </c>
      <c r="AP5113" t="s">
        <v>541</v>
      </c>
    </row>
    <row r="5114" spans="1:42">
      <c r="A5114" s="13">
        <v>43866</v>
      </c>
      <c r="B5114">
        <v>3</v>
      </c>
      <c r="C5114">
        <v>221</v>
      </c>
      <c r="D5114">
        <v>14450</v>
      </c>
      <c r="E5114" t="s">
        <v>112</v>
      </c>
      <c r="F5114" t="s">
        <v>104</v>
      </c>
      <c r="G5114">
        <v>4</v>
      </c>
      <c r="H5114">
        <v>76</v>
      </c>
      <c r="I5114" s="25">
        <v>2240</v>
      </c>
      <c r="K5114" t="s">
        <v>828</v>
      </c>
      <c r="L5114" t="s">
        <v>114</v>
      </c>
      <c r="M5114" t="s">
        <v>52</v>
      </c>
      <c r="N5114" t="s">
        <v>40</v>
      </c>
      <c r="O5114">
        <v>43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1</v>
      </c>
      <c r="V5114">
        <v>0</v>
      </c>
      <c r="W5114">
        <v>0</v>
      </c>
      <c r="X5114" s="21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J5114" t="s">
        <v>54</v>
      </c>
      <c r="AK5114" t="s">
        <v>52</v>
      </c>
      <c r="AP5114" t="s">
        <v>541</v>
      </c>
    </row>
    <row r="5115" spans="1:42">
      <c r="A5115" s="13">
        <v>43866</v>
      </c>
      <c r="B5115">
        <v>3</v>
      </c>
      <c r="C5115">
        <v>221</v>
      </c>
      <c r="D5115">
        <v>14450</v>
      </c>
      <c r="E5115" t="s">
        <v>112</v>
      </c>
      <c r="F5115" t="s">
        <v>104</v>
      </c>
      <c r="G5115">
        <v>4</v>
      </c>
      <c r="H5115">
        <v>77</v>
      </c>
      <c r="I5115" s="25">
        <v>1150</v>
      </c>
      <c r="K5115" t="s">
        <v>210</v>
      </c>
      <c r="L5115" t="s">
        <v>114</v>
      </c>
      <c r="M5115" t="s">
        <v>52</v>
      </c>
      <c r="N5115" t="s">
        <v>40</v>
      </c>
      <c r="O5115">
        <v>42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2</v>
      </c>
      <c r="X5115" s="21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J5115" t="s">
        <v>54</v>
      </c>
      <c r="AK5115" t="s">
        <v>52</v>
      </c>
      <c r="AP5115" t="s">
        <v>541</v>
      </c>
    </row>
    <row r="5116" spans="1:42">
      <c r="A5116" s="13">
        <v>43866</v>
      </c>
      <c r="B5116">
        <v>3</v>
      </c>
      <c r="C5116">
        <v>221</v>
      </c>
      <c r="D5116">
        <v>14450</v>
      </c>
      <c r="E5116" t="s">
        <v>112</v>
      </c>
      <c r="F5116" t="s">
        <v>104</v>
      </c>
      <c r="G5116">
        <v>4</v>
      </c>
      <c r="H5116">
        <v>78</v>
      </c>
      <c r="I5116" s="25">
        <v>1188</v>
      </c>
      <c r="K5116" t="s">
        <v>210</v>
      </c>
      <c r="L5116" t="s">
        <v>114</v>
      </c>
      <c r="M5116" t="s">
        <v>52</v>
      </c>
      <c r="N5116" t="s">
        <v>40</v>
      </c>
      <c r="O5116">
        <v>32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2</v>
      </c>
      <c r="V5116">
        <v>0</v>
      </c>
      <c r="W5116">
        <v>0</v>
      </c>
      <c r="X5116" s="21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J5116" t="s">
        <v>54</v>
      </c>
      <c r="AK5116" t="s">
        <v>52</v>
      </c>
      <c r="AP5116" t="s">
        <v>541</v>
      </c>
    </row>
    <row r="5117" spans="1:42">
      <c r="A5117" s="13">
        <v>43866</v>
      </c>
      <c r="B5117">
        <v>3</v>
      </c>
      <c r="C5117">
        <v>221</v>
      </c>
      <c r="D5117">
        <v>14450</v>
      </c>
      <c r="E5117" t="s">
        <v>112</v>
      </c>
      <c r="F5117" t="s">
        <v>104</v>
      </c>
      <c r="G5117">
        <v>4</v>
      </c>
      <c r="H5117">
        <v>79</v>
      </c>
      <c r="I5117" s="25" t="s">
        <v>1603</v>
      </c>
      <c r="K5117" t="s">
        <v>420</v>
      </c>
      <c r="L5117" t="s">
        <v>114</v>
      </c>
      <c r="M5117" t="s">
        <v>52</v>
      </c>
      <c r="N5117" t="s">
        <v>40</v>
      </c>
      <c r="O5117">
        <v>55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2</v>
      </c>
      <c r="V5117">
        <v>0</v>
      </c>
      <c r="W5117">
        <v>0</v>
      </c>
      <c r="X5117" s="21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J5117" t="s">
        <v>54</v>
      </c>
      <c r="AK5117" t="s">
        <v>52</v>
      </c>
      <c r="AP5117" t="s">
        <v>541</v>
      </c>
    </row>
    <row r="5118" spans="1:42">
      <c r="A5118" s="13">
        <v>43866</v>
      </c>
      <c r="B5118">
        <v>3</v>
      </c>
      <c r="C5118">
        <v>221</v>
      </c>
      <c r="D5118">
        <v>14450</v>
      </c>
      <c r="E5118" t="s">
        <v>112</v>
      </c>
      <c r="F5118" t="s">
        <v>104</v>
      </c>
      <c r="G5118">
        <v>4</v>
      </c>
      <c r="H5118">
        <v>80</v>
      </c>
      <c r="I5118" s="25">
        <v>2632</v>
      </c>
      <c r="K5118" t="s">
        <v>420</v>
      </c>
      <c r="L5118" t="s">
        <v>114</v>
      </c>
      <c r="M5118" t="s">
        <v>52</v>
      </c>
      <c r="N5118" t="s">
        <v>44</v>
      </c>
      <c r="O5118">
        <v>158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1</v>
      </c>
      <c r="W5118">
        <v>1</v>
      </c>
      <c r="X5118" s="21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J5118" t="s">
        <v>54</v>
      </c>
      <c r="AK5118" t="s">
        <v>52</v>
      </c>
      <c r="AL5118" t="s">
        <v>611</v>
      </c>
      <c r="AP5118" t="s">
        <v>541</v>
      </c>
    </row>
    <row r="5119" spans="1:42">
      <c r="A5119" s="13">
        <v>43866</v>
      </c>
      <c r="B5119">
        <v>3</v>
      </c>
      <c r="C5119">
        <v>221</v>
      </c>
      <c r="D5119">
        <v>14450</v>
      </c>
      <c r="E5119" t="s">
        <v>112</v>
      </c>
      <c r="F5119" t="s">
        <v>104</v>
      </c>
      <c r="G5119">
        <v>4</v>
      </c>
      <c r="H5119">
        <v>81</v>
      </c>
      <c r="I5119" s="25" t="s">
        <v>1604</v>
      </c>
      <c r="K5119" t="s">
        <v>420</v>
      </c>
      <c r="L5119" t="s">
        <v>114</v>
      </c>
      <c r="M5119" t="s">
        <v>52</v>
      </c>
      <c r="N5119" t="s">
        <v>40</v>
      </c>
      <c r="O5119">
        <v>146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2</v>
      </c>
      <c r="V5119">
        <v>1</v>
      </c>
      <c r="W5119">
        <v>0</v>
      </c>
      <c r="X5119" s="21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1</v>
      </c>
      <c r="AJ5119" t="s">
        <v>54</v>
      </c>
      <c r="AK5119" t="s">
        <v>52</v>
      </c>
      <c r="AL5119" t="s">
        <v>649</v>
      </c>
      <c r="AP5119" t="s">
        <v>541</v>
      </c>
    </row>
    <row r="5120" spans="1:42">
      <c r="A5120" s="13">
        <v>43866</v>
      </c>
      <c r="B5120">
        <v>3</v>
      </c>
      <c r="C5120">
        <v>221</v>
      </c>
      <c r="D5120">
        <v>14450</v>
      </c>
      <c r="E5120" t="s">
        <v>112</v>
      </c>
      <c r="F5120" t="s">
        <v>104</v>
      </c>
      <c r="G5120">
        <v>4</v>
      </c>
      <c r="H5120">
        <v>82</v>
      </c>
      <c r="I5120" s="25">
        <v>2701</v>
      </c>
      <c r="K5120" t="s">
        <v>420</v>
      </c>
      <c r="L5120" t="s">
        <v>141</v>
      </c>
      <c r="M5120" t="s">
        <v>52</v>
      </c>
      <c r="N5120" t="s">
        <v>44</v>
      </c>
      <c r="O5120">
        <v>101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1</v>
      </c>
      <c r="V5120">
        <v>0</v>
      </c>
      <c r="W5120">
        <v>1</v>
      </c>
      <c r="X5120" s="21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J5120" t="s">
        <v>54</v>
      </c>
      <c r="AK5120" t="s">
        <v>52</v>
      </c>
      <c r="AP5120" t="s">
        <v>541</v>
      </c>
    </row>
    <row r="5121" spans="1:42">
      <c r="A5121" s="13">
        <v>43866</v>
      </c>
      <c r="B5121">
        <v>3</v>
      </c>
      <c r="C5121">
        <v>221</v>
      </c>
      <c r="D5121">
        <v>14450</v>
      </c>
      <c r="E5121" t="s">
        <v>112</v>
      </c>
      <c r="F5121" t="s">
        <v>104</v>
      </c>
      <c r="G5121">
        <v>4</v>
      </c>
      <c r="H5121">
        <v>83</v>
      </c>
      <c r="I5121" s="25">
        <v>2603</v>
      </c>
      <c r="K5121" t="s">
        <v>420</v>
      </c>
      <c r="L5121" t="s">
        <v>141</v>
      </c>
      <c r="M5121" t="s">
        <v>52</v>
      </c>
      <c r="N5121" t="s">
        <v>40</v>
      </c>
      <c r="O5121">
        <v>53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X5121" s="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J5121" t="s">
        <v>51</v>
      </c>
      <c r="AK5121" t="s">
        <v>52</v>
      </c>
      <c r="AP5121" t="s">
        <v>541</v>
      </c>
    </row>
    <row r="5122" spans="1:42">
      <c r="A5122" s="13">
        <v>43866</v>
      </c>
      <c r="B5122">
        <v>3</v>
      </c>
      <c r="C5122">
        <v>221</v>
      </c>
      <c r="D5122">
        <v>14450</v>
      </c>
      <c r="E5122" t="s">
        <v>112</v>
      </c>
      <c r="F5122" t="s">
        <v>104</v>
      </c>
      <c r="G5122">
        <v>4</v>
      </c>
      <c r="H5122">
        <v>84</v>
      </c>
      <c r="I5122" s="25">
        <v>1234</v>
      </c>
      <c r="K5122" t="s">
        <v>210</v>
      </c>
      <c r="L5122" t="s">
        <v>114</v>
      </c>
      <c r="M5122" t="s">
        <v>52</v>
      </c>
      <c r="N5122" t="s">
        <v>44</v>
      </c>
      <c r="O5122">
        <v>97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1</v>
      </c>
      <c r="V5122">
        <v>1</v>
      </c>
      <c r="W5122">
        <v>0</v>
      </c>
      <c r="X5122" s="21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J5122" t="s">
        <v>54</v>
      </c>
      <c r="AK5122" t="s">
        <v>52</v>
      </c>
      <c r="AL5122" t="s">
        <v>590</v>
      </c>
      <c r="AP5122" t="s">
        <v>541</v>
      </c>
    </row>
    <row r="5123" spans="1:42">
      <c r="A5123" s="13">
        <v>43866</v>
      </c>
      <c r="B5123">
        <v>3</v>
      </c>
      <c r="C5123">
        <v>221</v>
      </c>
      <c r="D5123">
        <v>14450</v>
      </c>
      <c r="E5123" t="s">
        <v>112</v>
      </c>
      <c r="F5123" t="s">
        <v>104</v>
      </c>
      <c r="G5123">
        <v>4</v>
      </c>
      <c r="H5123">
        <v>85</v>
      </c>
      <c r="I5123" s="25">
        <v>1240</v>
      </c>
      <c r="K5123" t="s">
        <v>210</v>
      </c>
      <c r="L5123" t="s">
        <v>114</v>
      </c>
      <c r="M5123" t="s">
        <v>52</v>
      </c>
      <c r="N5123" t="s">
        <v>42</v>
      </c>
      <c r="O5123">
        <v>112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1</v>
      </c>
      <c r="V5123">
        <v>1</v>
      </c>
      <c r="W5123">
        <v>0</v>
      </c>
      <c r="X5123" s="21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J5123" t="s">
        <v>54</v>
      </c>
      <c r="AK5123" t="s">
        <v>52</v>
      </c>
      <c r="AL5123" t="s">
        <v>611</v>
      </c>
      <c r="AP5123" t="s">
        <v>541</v>
      </c>
    </row>
    <row r="5124" spans="1:42">
      <c r="A5124" s="13">
        <v>43866</v>
      </c>
      <c r="B5124">
        <v>3</v>
      </c>
      <c r="C5124">
        <v>221</v>
      </c>
      <c r="D5124">
        <v>14450</v>
      </c>
      <c r="E5124" t="s">
        <v>112</v>
      </c>
      <c r="F5124" t="s">
        <v>104</v>
      </c>
      <c r="G5124">
        <v>4</v>
      </c>
      <c r="H5124">
        <v>86</v>
      </c>
      <c r="I5124" s="25" t="s">
        <v>1605</v>
      </c>
      <c r="K5124" t="s">
        <v>210</v>
      </c>
      <c r="L5124" t="s">
        <v>114</v>
      </c>
      <c r="M5124" t="s">
        <v>52</v>
      </c>
      <c r="N5124" t="s">
        <v>40</v>
      </c>
      <c r="O5124">
        <v>76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2</v>
      </c>
      <c r="V5124">
        <v>0</v>
      </c>
      <c r="W5124">
        <v>1</v>
      </c>
      <c r="X5124" s="21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J5124" t="s">
        <v>54</v>
      </c>
      <c r="AK5124" t="s">
        <v>52</v>
      </c>
      <c r="AP5124" t="s">
        <v>541</v>
      </c>
    </row>
    <row r="5125" spans="1:42">
      <c r="A5125" s="13">
        <v>43866</v>
      </c>
      <c r="B5125">
        <v>3</v>
      </c>
      <c r="C5125">
        <v>221</v>
      </c>
      <c r="D5125">
        <v>14450</v>
      </c>
      <c r="E5125" t="s">
        <v>112</v>
      </c>
      <c r="F5125" t="s">
        <v>104</v>
      </c>
      <c r="G5125">
        <v>4</v>
      </c>
      <c r="H5125">
        <v>87</v>
      </c>
      <c r="I5125" s="25">
        <v>1266</v>
      </c>
      <c r="K5125" t="s">
        <v>210</v>
      </c>
      <c r="L5125" t="s">
        <v>114</v>
      </c>
      <c r="M5125" t="s">
        <v>52</v>
      </c>
      <c r="N5125" t="s">
        <v>40</v>
      </c>
      <c r="O5125">
        <v>33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1</v>
      </c>
      <c r="V5125">
        <v>0</v>
      </c>
      <c r="W5125">
        <v>1</v>
      </c>
      <c r="X5125" s="21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J5125" t="s">
        <v>54</v>
      </c>
      <c r="AK5125" t="s">
        <v>52</v>
      </c>
      <c r="AP5125" t="s">
        <v>541</v>
      </c>
    </row>
    <row r="5126" spans="1:42">
      <c r="A5126" s="13">
        <v>43866</v>
      </c>
      <c r="B5126">
        <v>3</v>
      </c>
      <c r="C5126">
        <v>221</v>
      </c>
      <c r="D5126">
        <v>14450</v>
      </c>
      <c r="E5126" t="s">
        <v>112</v>
      </c>
      <c r="F5126" t="s">
        <v>104</v>
      </c>
      <c r="G5126">
        <v>4</v>
      </c>
      <c r="H5126">
        <v>88</v>
      </c>
      <c r="I5126" s="25">
        <v>1268</v>
      </c>
      <c r="K5126" t="s">
        <v>210</v>
      </c>
      <c r="L5126" t="s">
        <v>114</v>
      </c>
      <c r="M5126" t="s">
        <v>52</v>
      </c>
      <c r="N5126" t="s">
        <v>44</v>
      </c>
      <c r="O5126">
        <v>155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1</v>
      </c>
      <c r="V5126">
        <v>0</v>
      </c>
      <c r="W5126">
        <v>1</v>
      </c>
      <c r="X5126" s="21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J5126" t="s">
        <v>54</v>
      </c>
      <c r="AK5126" t="s">
        <v>52</v>
      </c>
      <c r="AL5126" t="s">
        <v>590</v>
      </c>
      <c r="AP5126" t="s">
        <v>541</v>
      </c>
    </row>
    <row r="5127" spans="1:42">
      <c r="A5127" s="13">
        <v>43866</v>
      </c>
      <c r="B5127">
        <v>3</v>
      </c>
      <c r="C5127">
        <v>221</v>
      </c>
      <c r="D5127">
        <v>14450</v>
      </c>
      <c r="E5127" t="s">
        <v>112</v>
      </c>
      <c r="F5127" t="s">
        <v>104</v>
      </c>
      <c r="G5127">
        <v>4</v>
      </c>
      <c r="H5127">
        <v>89</v>
      </c>
      <c r="I5127" s="25">
        <v>1280</v>
      </c>
      <c r="K5127" t="s">
        <v>210</v>
      </c>
      <c r="L5127" t="s">
        <v>114</v>
      </c>
      <c r="M5127" t="s">
        <v>52</v>
      </c>
      <c r="N5127" t="s">
        <v>44</v>
      </c>
      <c r="O5127">
        <v>125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</v>
      </c>
      <c r="V5127">
        <v>0</v>
      </c>
      <c r="W5127">
        <v>1</v>
      </c>
      <c r="X5127" s="21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J5127" t="s">
        <v>54</v>
      </c>
      <c r="AK5127" t="s">
        <v>52</v>
      </c>
      <c r="AL5127" t="s">
        <v>611</v>
      </c>
      <c r="AP5127" t="s">
        <v>541</v>
      </c>
    </row>
    <row r="5128" spans="1:42">
      <c r="A5128" s="13">
        <v>43866</v>
      </c>
      <c r="B5128">
        <v>3</v>
      </c>
      <c r="C5128">
        <v>221</v>
      </c>
      <c r="D5128">
        <v>14450</v>
      </c>
      <c r="E5128" t="s">
        <v>112</v>
      </c>
      <c r="F5128" t="s">
        <v>104</v>
      </c>
      <c r="G5128">
        <v>4</v>
      </c>
      <c r="H5128">
        <v>90</v>
      </c>
      <c r="I5128" s="25">
        <v>1304</v>
      </c>
      <c r="K5128" t="s">
        <v>210</v>
      </c>
      <c r="L5128" t="s">
        <v>114</v>
      </c>
      <c r="M5128" t="s">
        <v>52</v>
      </c>
      <c r="N5128" t="s">
        <v>44</v>
      </c>
      <c r="O5128">
        <v>140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1</v>
      </c>
      <c r="V5128">
        <v>0</v>
      </c>
      <c r="W5128">
        <v>1</v>
      </c>
      <c r="X5128" s="21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J5128" t="s">
        <v>54</v>
      </c>
      <c r="AK5128" t="s">
        <v>52</v>
      </c>
      <c r="AP5128" t="s">
        <v>541</v>
      </c>
    </row>
    <row r="5129" spans="1:42">
      <c r="A5129" s="13">
        <v>43866</v>
      </c>
      <c r="B5129">
        <v>3</v>
      </c>
      <c r="C5129">
        <v>221</v>
      </c>
      <c r="D5129">
        <v>14450</v>
      </c>
      <c r="E5129" t="s">
        <v>112</v>
      </c>
      <c r="F5129" t="s">
        <v>104</v>
      </c>
      <c r="G5129">
        <v>4</v>
      </c>
      <c r="H5129">
        <v>91</v>
      </c>
      <c r="I5129" s="25">
        <v>1257</v>
      </c>
      <c r="K5129" t="s">
        <v>324</v>
      </c>
      <c r="L5129" t="s">
        <v>141</v>
      </c>
      <c r="M5129" t="s">
        <v>52</v>
      </c>
      <c r="N5129" t="s">
        <v>44</v>
      </c>
      <c r="O5129">
        <v>75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2</v>
      </c>
      <c r="V5129">
        <v>1</v>
      </c>
      <c r="W5129">
        <v>0</v>
      </c>
      <c r="X5129" s="21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J5129" t="s">
        <v>54</v>
      </c>
      <c r="AK5129" t="s">
        <v>52</v>
      </c>
      <c r="AL5129" t="s">
        <v>611</v>
      </c>
      <c r="AP5129" t="s">
        <v>541</v>
      </c>
    </row>
    <row r="5130" spans="1:42">
      <c r="A5130" s="13">
        <v>43866</v>
      </c>
      <c r="B5130">
        <v>3</v>
      </c>
      <c r="C5130">
        <v>221</v>
      </c>
      <c r="D5130">
        <v>14450</v>
      </c>
      <c r="E5130" t="s">
        <v>112</v>
      </c>
      <c r="F5130" t="s">
        <v>104</v>
      </c>
      <c r="G5130">
        <v>4</v>
      </c>
      <c r="H5130">
        <v>92</v>
      </c>
      <c r="I5130" s="25">
        <v>1247</v>
      </c>
      <c r="K5130" t="s">
        <v>324</v>
      </c>
      <c r="L5130" t="s">
        <v>141</v>
      </c>
      <c r="M5130" t="s">
        <v>52</v>
      </c>
      <c r="N5130" t="s">
        <v>44</v>
      </c>
      <c r="O5130">
        <v>87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1</v>
      </c>
      <c r="V5130">
        <v>0</v>
      </c>
      <c r="W5130">
        <v>1</v>
      </c>
      <c r="X5130" s="21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J5130" t="s">
        <v>54</v>
      </c>
      <c r="AK5130" t="s">
        <v>52</v>
      </c>
      <c r="AL5130" t="s">
        <v>611</v>
      </c>
      <c r="AP5130" t="s">
        <v>541</v>
      </c>
    </row>
    <row r="5131" spans="1:42">
      <c r="A5131" s="13">
        <v>43866</v>
      </c>
      <c r="B5131">
        <v>3</v>
      </c>
      <c r="C5131">
        <v>221</v>
      </c>
      <c r="D5131">
        <v>14450</v>
      </c>
      <c r="E5131" t="s">
        <v>112</v>
      </c>
      <c r="F5131" t="s">
        <v>104</v>
      </c>
      <c r="G5131">
        <v>4</v>
      </c>
      <c r="H5131">
        <v>93</v>
      </c>
      <c r="I5131" s="25">
        <v>1237</v>
      </c>
      <c r="K5131" t="s">
        <v>324</v>
      </c>
      <c r="L5131" t="s">
        <v>141</v>
      </c>
      <c r="M5131" t="s">
        <v>52</v>
      </c>
      <c r="N5131" t="s">
        <v>44</v>
      </c>
      <c r="O5131">
        <v>124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1</v>
      </c>
      <c r="W5131">
        <v>0</v>
      </c>
      <c r="X5131" s="2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J5131" t="s">
        <v>54</v>
      </c>
      <c r="AK5131" t="s">
        <v>52</v>
      </c>
      <c r="AL5131" t="s">
        <v>611</v>
      </c>
      <c r="AP5131" t="s">
        <v>541</v>
      </c>
    </row>
    <row r="5132" spans="1:42">
      <c r="A5132" s="13">
        <v>43866</v>
      </c>
      <c r="B5132">
        <v>3</v>
      </c>
      <c r="C5132">
        <v>221</v>
      </c>
      <c r="D5132">
        <v>14450</v>
      </c>
      <c r="E5132" t="s">
        <v>112</v>
      </c>
      <c r="F5132" t="s">
        <v>104</v>
      </c>
      <c r="G5132">
        <v>4</v>
      </c>
      <c r="H5132">
        <v>94</v>
      </c>
      <c r="I5132" s="25">
        <v>1229</v>
      </c>
      <c r="K5132" t="s">
        <v>324</v>
      </c>
      <c r="L5132" t="s">
        <v>141</v>
      </c>
      <c r="M5132" t="s">
        <v>52</v>
      </c>
      <c r="N5132" t="s">
        <v>44</v>
      </c>
      <c r="O5132">
        <v>165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2</v>
      </c>
      <c r="X5132" s="21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J5132" t="s">
        <v>54</v>
      </c>
      <c r="AK5132" t="s">
        <v>52</v>
      </c>
      <c r="AL5132" t="s">
        <v>611</v>
      </c>
      <c r="AP5132" t="s">
        <v>541</v>
      </c>
    </row>
    <row r="5133" spans="1:42">
      <c r="A5133" s="13">
        <v>43866</v>
      </c>
      <c r="B5133">
        <v>3</v>
      </c>
      <c r="C5133">
        <v>221</v>
      </c>
      <c r="D5133">
        <v>14450</v>
      </c>
      <c r="E5133" t="s">
        <v>112</v>
      </c>
      <c r="F5133" t="s">
        <v>104</v>
      </c>
      <c r="G5133">
        <v>4</v>
      </c>
      <c r="H5133">
        <v>95</v>
      </c>
      <c r="I5133" s="25">
        <v>1207</v>
      </c>
      <c r="K5133" t="s">
        <v>324</v>
      </c>
      <c r="L5133" t="s">
        <v>141</v>
      </c>
      <c r="M5133" t="s">
        <v>52</v>
      </c>
      <c r="N5133" t="s">
        <v>44</v>
      </c>
      <c r="O5133">
        <v>151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1</v>
      </c>
      <c r="V5133">
        <v>2</v>
      </c>
      <c r="W5133">
        <v>0</v>
      </c>
      <c r="X5133" s="21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J5133" t="s">
        <v>54</v>
      </c>
      <c r="AK5133" t="s">
        <v>52</v>
      </c>
      <c r="AL5133" t="s">
        <v>1602</v>
      </c>
      <c r="AP5133" t="s">
        <v>541</v>
      </c>
    </row>
    <row r="5134" spans="1:42">
      <c r="A5134" s="13">
        <v>43866</v>
      </c>
      <c r="B5134">
        <v>3</v>
      </c>
      <c r="C5134">
        <v>221</v>
      </c>
      <c r="D5134">
        <v>14450</v>
      </c>
      <c r="E5134" t="s">
        <v>112</v>
      </c>
      <c r="F5134" t="s">
        <v>104</v>
      </c>
      <c r="G5134">
        <v>4</v>
      </c>
      <c r="H5134">
        <v>96</v>
      </c>
      <c r="I5134" s="25">
        <v>2757</v>
      </c>
      <c r="K5134" t="s">
        <v>414</v>
      </c>
      <c r="L5134" t="s">
        <v>141</v>
      </c>
      <c r="M5134" t="s">
        <v>52</v>
      </c>
      <c r="N5134" t="s">
        <v>44</v>
      </c>
      <c r="O5134">
        <v>165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1</v>
      </c>
      <c r="V5134">
        <v>0</v>
      </c>
      <c r="W5134">
        <v>1</v>
      </c>
      <c r="X5134" s="21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J5134" t="s">
        <v>54</v>
      </c>
      <c r="AK5134" t="s">
        <v>52</v>
      </c>
      <c r="AL5134" t="s">
        <v>611</v>
      </c>
      <c r="AP5134" t="s">
        <v>541</v>
      </c>
    </row>
    <row r="5135" spans="1:42">
      <c r="A5135" s="13">
        <v>43866</v>
      </c>
      <c r="B5135">
        <v>3</v>
      </c>
      <c r="C5135">
        <v>221</v>
      </c>
      <c r="D5135">
        <v>14450</v>
      </c>
      <c r="E5135" t="s">
        <v>112</v>
      </c>
      <c r="F5135" t="s">
        <v>104</v>
      </c>
      <c r="G5135">
        <v>4</v>
      </c>
      <c r="H5135">
        <v>97</v>
      </c>
      <c r="I5135" s="25">
        <v>2737</v>
      </c>
      <c r="K5135" t="s">
        <v>414</v>
      </c>
      <c r="L5135" t="s">
        <v>141</v>
      </c>
      <c r="M5135" t="s">
        <v>52</v>
      </c>
      <c r="N5135" t="s">
        <v>44</v>
      </c>
      <c r="O5135">
        <v>143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1</v>
      </c>
      <c r="V5135">
        <v>1</v>
      </c>
      <c r="W5135">
        <v>0</v>
      </c>
      <c r="X5135" s="21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J5135" t="s">
        <v>54</v>
      </c>
      <c r="AK5135" t="s">
        <v>52</v>
      </c>
      <c r="AL5135" t="s">
        <v>611</v>
      </c>
      <c r="AP5135" t="s">
        <v>541</v>
      </c>
    </row>
    <row r="5136" spans="1:42">
      <c r="A5136" s="13">
        <v>43866</v>
      </c>
      <c r="B5136">
        <v>3</v>
      </c>
      <c r="C5136">
        <v>221</v>
      </c>
      <c r="D5136">
        <v>14450</v>
      </c>
      <c r="E5136" t="s">
        <v>112</v>
      </c>
      <c r="F5136" t="s">
        <v>104</v>
      </c>
      <c r="G5136">
        <v>4</v>
      </c>
      <c r="H5136">
        <v>98</v>
      </c>
      <c r="I5136" s="25">
        <v>2700</v>
      </c>
      <c r="K5136" t="s">
        <v>414</v>
      </c>
      <c r="L5136" t="s">
        <v>114</v>
      </c>
      <c r="M5136" t="s">
        <v>52</v>
      </c>
      <c r="N5136" t="s">
        <v>40</v>
      </c>
      <c r="O5136">
        <v>17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 s="21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J5136" t="s">
        <v>54</v>
      </c>
      <c r="AK5136" t="s">
        <v>52</v>
      </c>
      <c r="AL5136" t="s">
        <v>649</v>
      </c>
      <c r="AP5136" t="s">
        <v>541</v>
      </c>
    </row>
    <row r="5137" spans="1:42">
      <c r="A5137" s="13">
        <v>43866</v>
      </c>
      <c r="B5137">
        <v>3</v>
      </c>
      <c r="C5137">
        <v>221</v>
      </c>
      <c r="D5137">
        <v>14450</v>
      </c>
      <c r="E5137" t="s">
        <v>112</v>
      </c>
      <c r="F5137" t="s">
        <v>104</v>
      </c>
      <c r="G5137">
        <v>4</v>
      </c>
      <c r="H5137">
        <v>99</v>
      </c>
      <c r="I5137" s="25">
        <v>655</v>
      </c>
      <c r="K5137" t="s">
        <v>414</v>
      </c>
      <c r="L5137" t="s">
        <v>141</v>
      </c>
      <c r="M5137" t="s">
        <v>52</v>
      </c>
      <c r="N5137" t="s">
        <v>44</v>
      </c>
      <c r="O5137">
        <v>124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1</v>
      </c>
      <c r="W5137">
        <v>1</v>
      </c>
      <c r="X5137" s="21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J5137" t="s">
        <v>54</v>
      </c>
      <c r="AK5137" t="s">
        <v>52</v>
      </c>
      <c r="AL5137" t="s">
        <v>611</v>
      </c>
      <c r="AP5137" t="s">
        <v>541</v>
      </c>
    </row>
    <row r="5138" spans="1:42">
      <c r="A5138" s="13">
        <v>43866</v>
      </c>
      <c r="B5138">
        <v>3</v>
      </c>
      <c r="C5138">
        <v>221</v>
      </c>
      <c r="D5138">
        <v>14450</v>
      </c>
      <c r="E5138" t="s">
        <v>112</v>
      </c>
      <c r="F5138" t="s">
        <v>104</v>
      </c>
      <c r="G5138">
        <v>4</v>
      </c>
      <c r="H5138">
        <v>100</v>
      </c>
      <c r="I5138" s="25">
        <v>2641</v>
      </c>
      <c r="K5138" t="s">
        <v>414</v>
      </c>
      <c r="L5138" t="s">
        <v>141</v>
      </c>
      <c r="M5138" t="s">
        <v>52</v>
      </c>
      <c r="N5138" t="s">
        <v>44</v>
      </c>
      <c r="O5138">
        <v>111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1</v>
      </c>
      <c r="V5138">
        <v>0</v>
      </c>
      <c r="W5138">
        <v>1</v>
      </c>
      <c r="X5138" s="21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J5138" t="s">
        <v>54</v>
      </c>
      <c r="AK5138" t="s">
        <v>52</v>
      </c>
      <c r="AL5138" t="s">
        <v>611</v>
      </c>
      <c r="AP5138" t="s">
        <v>541</v>
      </c>
    </row>
    <row r="5139" spans="1:42">
      <c r="A5139" s="13">
        <v>43866</v>
      </c>
      <c r="B5139">
        <v>3</v>
      </c>
      <c r="C5139">
        <v>221</v>
      </c>
      <c r="D5139">
        <v>14450</v>
      </c>
      <c r="E5139" t="s">
        <v>112</v>
      </c>
      <c r="F5139" t="s">
        <v>104</v>
      </c>
      <c r="G5139">
        <v>4</v>
      </c>
      <c r="H5139">
        <v>101</v>
      </c>
      <c r="I5139" s="25">
        <v>1400</v>
      </c>
      <c r="K5139" t="s">
        <v>213</v>
      </c>
      <c r="L5139" t="s">
        <v>114</v>
      </c>
      <c r="M5139" t="s">
        <v>52</v>
      </c>
      <c r="N5139" t="s">
        <v>44</v>
      </c>
      <c r="O5139">
        <v>110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1</v>
      </c>
      <c r="W5139">
        <v>2</v>
      </c>
      <c r="X5139" s="21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J5139" t="s">
        <v>54</v>
      </c>
      <c r="AK5139" t="s">
        <v>95</v>
      </c>
      <c r="AL5139" t="s">
        <v>1606</v>
      </c>
      <c r="AP5139" t="s">
        <v>541</v>
      </c>
    </row>
    <row r="5140" spans="1:42">
      <c r="A5140" s="13">
        <v>43866</v>
      </c>
      <c r="B5140">
        <v>3</v>
      </c>
      <c r="C5140">
        <v>221</v>
      </c>
      <c r="D5140">
        <v>14450</v>
      </c>
      <c r="E5140" t="s">
        <v>112</v>
      </c>
      <c r="F5140" t="s">
        <v>104</v>
      </c>
      <c r="G5140">
        <v>4</v>
      </c>
      <c r="H5140">
        <v>102</v>
      </c>
      <c r="I5140" s="25">
        <v>275</v>
      </c>
      <c r="K5140" t="s">
        <v>415</v>
      </c>
      <c r="L5140" t="s">
        <v>141</v>
      </c>
      <c r="M5140" t="s">
        <v>52</v>
      </c>
      <c r="N5140" t="s">
        <v>44</v>
      </c>
      <c r="O5140">
        <v>75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1</v>
      </c>
      <c r="V5140">
        <v>0</v>
      </c>
      <c r="W5140">
        <v>0</v>
      </c>
      <c r="X5140" s="21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J5140" t="s">
        <v>54</v>
      </c>
      <c r="AK5140" t="s">
        <v>52</v>
      </c>
      <c r="AL5140" t="s">
        <v>611</v>
      </c>
      <c r="AP5140" t="s">
        <v>541</v>
      </c>
    </row>
    <row r="5141" spans="1:42">
      <c r="A5141" s="13">
        <v>43866</v>
      </c>
      <c r="B5141">
        <v>3</v>
      </c>
      <c r="C5141">
        <v>221</v>
      </c>
      <c r="D5141">
        <v>14450</v>
      </c>
      <c r="E5141" t="s">
        <v>112</v>
      </c>
      <c r="F5141" t="s">
        <v>104</v>
      </c>
      <c r="G5141">
        <v>4</v>
      </c>
      <c r="H5141">
        <v>103</v>
      </c>
      <c r="I5141" s="25">
        <v>1299</v>
      </c>
      <c r="K5141" t="s">
        <v>210</v>
      </c>
      <c r="L5141" t="s">
        <v>141</v>
      </c>
      <c r="M5141" t="s">
        <v>52</v>
      </c>
      <c r="N5141" t="s">
        <v>44</v>
      </c>
      <c r="O5141">
        <v>151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1</v>
      </c>
      <c r="V5141">
        <v>0</v>
      </c>
      <c r="W5141">
        <v>2</v>
      </c>
      <c r="X5141" s="2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J5141" t="s">
        <v>54</v>
      </c>
      <c r="AK5141" t="s">
        <v>52</v>
      </c>
      <c r="AL5141" t="s">
        <v>616</v>
      </c>
      <c r="AP5141" t="s">
        <v>541</v>
      </c>
    </row>
    <row r="5142" spans="1:42">
      <c r="A5142" s="13">
        <v>43866</v>
      </c>
      <c r="B5142">
        <v>3</v>
      </c>
      <c r="C5142">
        <v>221</v>
      </c>
      <c r="D5142">
        <v>14450</v>
      </c>
      <c r="E5142" t="s">
        <v>112</v>
      </c>
      <c r="F5142" t="s">
        <v>104</v>
      </c>
      <c r="G5142">
        <v>4</v>
      </c>
      <c r="H5142">
        <v>104</v>
      </c>
      <c r="I5142" s="25">
        <v>1289</v>
      </c>
      <c r="K5142" t="s">
        <v>210</v>
      </c>
      <c r="L5142" t="s">
        <v>141</v>
      </c>
      <c r="M5142" t="s">
        <v>52</v>
      </c>
      <c r="N5142" t="s">
        <v>40</v>
      </c>
      <c r="O5142">
        <v>31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1</v>
      </c>
      <c r="W5142">
        <v>0</v>
      </c>
      <c r="X5142" s="21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J5142" t="s">
        <v>54</v>
      </c>
      <c r="AK5142" t="s">
        <v>95</v>
      </c>
      <c r="AP5142" t="s">
        <v>541</v>
      </c>
    </row>
    <row r="5143" spans="1:42">
      <c r="A5143" s="13">
        <v>43866</v>
      </c>
      <c r="B5143">
        <v>3</v>
      </c>
      <c r="C5143">
        <v>221</v>
      </c>
      <c r="D5143">
        <v>14450</v>
      </c>
      <c r="E5143" t="s">
        <v>112</v>
      </c>
      <c r="F5143" t="s">
        <v>104</v>
      </c>
      <c r="G5143">
        <v>4</v>
      </c>
      <c r="H5143">
        <v>105</v>
      </c>
      <c r="I5143" s="25" t="s">
        <v>1607</v>
      </c>
      <c r="K5143" t="s">
        <v>210</v>
      </c>
      <c r="L5143" t="s">
        <v>141</v>
      </c>
      <c r="M5143" t="s">
        <v>52</v>
      </c>
      <c r="N5143" t="s">
        <v>40</v>
      </c>
      <c r="O5143">
        <v>107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2</v>
      </c>
      <c r="V5143">
        <v>2</v>
      </c>
      <c r="W5143">
        <v>0</v>
      </c>
      <c r="X5143" s="21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J5143" t="s">
        <v>54</v>
      </c>
      <c r="AK5143" t="s">
        <v>95</v>
      </c>
      <c r="AP5143" t="s">
        <v>541</v>
      </c>
    </row>
    <row r="5144" spans="1:42">
      <c r="A5144" s="13">
        <v>43866</v>
      </c>
      <c r="B5144">
        <v>3</v>
      </c>
      <c r="C5144">
        <v>221</v>
      </c>
      <c r="D5144">
        <v>14450</v>
      </c>
      <c r="E5144" t="s">
        <v>112</v>
      </c>
      <c r="F5144" t="s">
        <v>104</v>
      </c>
      <c r="G5144">
        <v>4</v>
      </c>
      <c r="H5144">
        <v>106</v>
      </c>
      <c r="I5144" s="25" t="s">
        <v>1608</v>
      </c>
      <c r="K5144" t="s">
        <v>210</v>
      </c>
      <c r="L5144" t="s">
        <v>141</v>
      </c>
      <c r="M5144" t="s">
        <v>52</v>
      </c>
      <c r="N5144" t="s">
        <v>40</v>
      </c>
      <c r="O5144">
        <v>109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1</v>
      </c>
      <c r="V5144">
        <v>3</v>
      </c>
      <c r="W5144">
        <v>0</v>
      </c>
      <c r="X5144" s="21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J5144" t="s">
        <v>54</v>
      </c>
      <c r="AK5144" t="s">
        <v>95</v>
      </c>
      <c r="AP5144" t="s">
        <v>541</v>
      </c>
    </row>
    <row r="5145" spans="1:42">
      <c r="A5145" s="13">
        <v>43866</v>
      </c>
      <c r="B5145">
        <v>3</v>
      </c>
      <c r="C5145">
        <v>221</v>
      </c>
      <c r="D5145">
        <v>14450</v>
      </c>
      <c r="E5145" t="s">
        <v>112</v>
      </c>
      <c r="F5145" t="s">
        <v>104</v>
      </c>
      <c r="G5145">
        <v>4</v>
      </c>
      <c r="H5145">
        <v>107</v>
      </c>
      <c r="I5145" s="25" t="s">
        <v>1609</v>
      </c>
      <c r="K5145" t="s">
        <v>210</v>
      </c>
      <c r="L5145" t="s">
        <v>141</v>
      </c>
      <c r="M5145" t="s">
        <v>52</v>
      </c>
      <c r="N5145" t="s">
        <v>40</v>
      </c>
      <c r="P5145">
        <v>0</v>
      </c>
      <c r="Q5145">
        <v>0</v>
      </c>
      <c r="R5145">
        <v>0</v>
      </c>
      <c r="S5145">
        <v>1</v>
      </c>
      <c r="T5145">
        <v>0</v>
      </c>
      <c r="U5145">
        <v>1</v>
      </c>
      <c r="V5145">
        <v>2</v>
      </c>
      <c r="W5145">
        <v>0</v>
      </c>
      <c r="X5145" s="21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J5145" t="s">
        <v>54</v>
      </c>
      <c r="AK5145" t="s">
        <v>95</v>
      </c>
      <c r="AP5145" t="s">
        <v>541</v>
      </c>
    </row>
    <row r="5146" spans="1:42">
      <c r="A5146" s="13">
        <v>43866</v>
      </c>
      <c r="B5146">
        <v>3</v>
      </c>
      <c r="C5146">
        <v>221</v>
      </c>
      <c r="D5146">
        <v>14450</v>
      </c>
      <c r="E5146" t="s">
        <v>112</v>
      </c>
      <c r="F5146" t="s">
        <v>104</v>
      </c>
      <c r="G5146">
        <v>4</v>
      </c>
      <c r="H5146">
        <v>108</v>
      </c>
      <c r="I5146" s="25">
        <v>2565</v>
      </c>
      <c r="K5146" t="s">
        <v>420</v>
      </c>
      <c r="L5146" t="s">
        <v>141</v>
      </c>
      <c r="M5146" t="s">
        <v>52</v>
      </c>
      <c r="N5146" t="s">
        <v>44</v>
      </c>
      <c r="O5146">
        <v>74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1</v>
      </c>
      <c r="W5146">
        <v>0</v>
      </c>
      <c r="X5146" s="21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J5146" t="s">
        <v>54</v>
      </c>
      <c r="AK5146" t="s">
        <v>95</v>
      </c>
      <c r="AL5146" t="s">
        <v>1610</v>
      </c>
      <c r="AP5146" t="s">
        <v>541</v>
      </c>
    </row>
    <row r="5147" spans="1:42">
      <c r="A5147" s="13">
        <v>43866</v>
      </c>
      <c r="B5147">
        <v>3</v>
      </c>
      <c r="C5147">
        <v>221</v>
      </c>
      <c r="D5147">
        <v>14450</v>
      </c>
      <c r="E5147" t="s">
        <v>112</v>
      </c>
      <c r="F5147" t="s">
        <v>104</v>
      </c>
      <c r="G5147">
        <v>4</v>
      </c>
      <c r="H5147">
        <v>109</v>
      </c>
      <c r="I5147" s="25">
        <v>2543</v>
      </c>
      <c r="K5147" t="s">
        <v>420</v>
      </c>
      <c r="L5147" t="s">
        <v>141</v>
      </c>
      <c r="M5147" t="s">
        <v>52</v>
      </c>
      <c r="N5147" t="s">
        <v>40</v>
      </c>
      <c r="O5147">
        <v>46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1</v>
      </c>
      <c r="V5147">
        <v>1</v>
      </c>
      <c r="W5147">
        <v>0</v>
      </c>
      <c r="X5147" s="21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J5147" t="s">
        <v>51</v>
      </c>
      <c r="AK5147" t="s">
        <v>52</v>
      </c>
      <c r="AP5147" t="s">
        <v>541</v>
      </c>
    </row>
    <row r="5148" spans="1:42">
      <c r="A5148" s="13">
        <v>43866</v>
      </c>
      <c r="B5148">
        <v>3</v>
      </c>
      <c r="C5148">
        <v>221</v>
      </c>
      <c r="D5148">
        <v>14450</v>
      </c>
      <c r="E5148" t="s">
        <v>112</v>
      </c>
      <c r="F5148" t="s">
        <v>104</v>
      </c>
      <c r="G5148">
        <v>4</v>
      </c>
      <c r="H5148">
        <v>110</v>
      </c>
      <c r="I5148" s="25">
        <v>2537</v>
      </c>
      <c r="K5148" t="s">
        <v>420</v>
      </c>
      <c r="L5148" t="s">
        <v>141</v>
      </c>
      <c r="M5148" t="s">
        <v>52</v>
      </c>
      <c r="N5148" t="s">
        <v>44</v>
      </c>
      <c r="O5148">
        <v>111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2</v>
      </c>
      <c r="V5148">
        <v>0</v>
      </c>
      <c r="W5148">
        <v>0</v>
      </c>
      <c r="X5148" s="21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J5148" t="s">
        <v>51</v>
      </c>
      <c r="AK5148" t="s">
        <v>52</v>
      </c>
      <c r="AL5148" t="s">
        <v>611</v>
      </c>
      <c r="AP5148" t="s">
        <v>541</v>
      </c>
    </row>
    <row r="5149" spans="1:42">
      <c r="A5149" s="13">
        <v>43866</v>
      </c>
      <c r="B5149">
        <v>3</v>
      </c>
      <c r="C5149">
        <v>221</v>
      </c>
      <c r="D5149">
        <v>14450</v>
      </c>
      <c r="E5149" t="s">
        <v>112</v>
      </c>
      <c r="F5149" t="s">
        <v>104</v>
      </c>
      <c r="G5149">
        <v>4</v>
      </c>
      <c r="H5149">
        <v>111</v>
      </c>
      <c r="I5149" s="25">
        <v>2525</v>
      </c>
      <c r="K5149" t="s">
        <v>420</v>
      </c>
      <c r="L5149" t="s">
        <v>141</v>
      </c>
      <c r="M5149" t="s">
        <v>52</v>
      </c>
      <c r="N5149" t="s">
        <v>40</v>
      </c>
      <c r="O5149">
        <v>37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1</v>
      </c>
      <c r="V5149">
        <v>1</v>
      </c>
      <c r="W5149">
        <v>0</v>
      </c>
      <c r="X5149" s="21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J5149" t="s">
        <v>51</v>
      </c>
      <c r="AK5149" t="s">
        <v>52</v>
      </c>
      <c r="AP5149" t="s">
        <v>541</v>
      </c>
    </row>
    <row r="5150" spans="1:42">
      <c r="A5150" s="13">
        <v>43866</v>
      </c>
      <c r="B5150">
        <v>3</v>
      </c>
      <c r="C5150">
        <v>221</v>
      </c>
      <c r="D5150">
        <v>14450</v>
      </c>
      <c r="E5150" t="s">
        <v>112</v>
      </c>
      <c r="F5150" t="s">
        <v>104</v>
      </c>
      <c r="G5150">
        <v>4</v>
      </c>
      <c r="H5150">
        <v>112</v>
      </c>
      <c r="I5150" s="25">
        <v>2505</v>
      </c>
      <c r="K5150" t="s">
        <v>420</v>
      </c>
      <c r="L5150" t="s">
        <v>141</v>
      </c>
      <c r="M5150" t="s">
        <v>52</v>
      </c>
      <c r="N5150" t="s">
        <v>42</v>
      </c>
      <c r="O5150">
        <v>145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3</v>
      </c>
      <c r="V5150">
        <v>0</v>
      </c>
      <c r="W5150">
        <v>0</v>
      </c>
      <c r="X5150" s="21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J5150" t="s">
        <v>51</v>
      </c>
      <c r="AK5150" t="s">
        <v>52</v>
      </c>
      <c r="AL5150" t="s">
        <v>611</v>
      </c>
      <c r="AP5150" t="s">
        <v>541</v>
      </c>
    </row>
    <row r="5151" spans="1:42">
      <c r="A5151" s="13">
        <v>43866</v>
      </c>
      <c r="B5151">
        <v>3</v>
      </c>
      <c r="C5151">
        <v>221</v>
      </c>
      <c r="D5151">
        <v>14450</v>
      </c>
      <c r="E5151" t="s">
        <v>112</v>
      </c>
      <c r="F5151" t="s">
        <v>104</v>
      </c>
      <c r="G5151">
        <v>4</v>
      </c>
      <c r="H5151">
        <v>113</v>
      </c>
      <c r="I5151" s="25">
        <v>1324</v>
      </c>
      <c r="K5151" t="s">
        <v>213</v>
      </c>
      <c r="L5151" t="s">
        <v>114</v>
      </c>
      <c r="M5151" t="s">
        <v>52</v>
      </c>
      <c r="N5151" t="s">
        <v>44</v>
      </c>
      <c r="O5151">
        <v>105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 s="2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2</v>
      </c>
      <c r="AJ5151" t="s">
        <v>54</v>
      </c>
      <c r="AK5151" t="s">
        <v>52</v>
      </c>
      <c r="AL5151" t="s">
        <v>612</v>
      </c>
      <c r="AP5151" t="s">
        <v>541</v>
      </c>
    </row>
    <row r="5152" spans="1:42">
      <c r="A5152" s="13">
        <v>43866</v>
      </c>
      <c r="B5152">
        <v>3</v>
      </c>
      <c r="C5152">
        <v>221</v>
      </c>
      <c r="D5152">
        <v>14450</v>
      </c>
      <c r="E5152" t="s">
        <v>112</v>
      </c>
      <c r="F5152" t="s">
        <v>104</v>
      </c>
      <c r="G5152">
        <v>4</v>
      </c>
      <c r="H5152">
        <v>114</v>
      </c>
      <c r="I5152" s="25" t="s">
        <v>1611</v>
      </c>
      <c r="K5152" t="s">
        <v>213</v>
      </c>
      <c r="L5152" t="s">
        <v>114</v>
      </c>
      <c r="M5152" t="s">
        <v>52</v>
      </c>
      <c r="N5152" t="s">
        <v>40</v>
      </c>
      <c r="O5152">
        <v>38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1</v>
      </c>
      <c r="W5152">
        <v>0</v>
      </c>
      <c r="X5152" s="21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J5152" t="s">
        <v>54</v>
      </c>
      <c r="AK5152" t="s">
        <v>52</v>
      </c>
      <c r="AP5152" t="s">
        <v>541</v>
      </c>
    </row>
    <row r="5153" spans="1:42">
      <c r="A5153" s="13">
        <v>43866</v>
      </c>
      <c r="B5153">
        <v>3</v>
      </c>
      <c r="C5153">
        <v>221</v>
      </c>
      <c r="D5153">
        <v>14450</v>
      </c>
      <c r="E5153" t="s">
        <v>112</v>
      </c>
      <c r="F5153" t="s">
        <v>104</v>
      </c>
      <c r="G5153">
        <v>4</v>
      </c>
      <c r="H5153">
        <v>115</v>
      </c>
      <c r="I5153" s="25" t="s">
        <v>1612</v>
      </c>
      <c r="K5153" t="s">
        <v>213</v>
      </c>
      <c r="L5153" t="s">
        <v>114</v>
      </c>
      <c r="M5153" t="s">
        <v>52</v>
      </c>
      <c r="N5153" t="s">
        <v>40</v>
      </c>
      <c r="O5153">
        <v>78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3</v>
      </c>
      <c r="V5153">
        <v>1</v>
      </c>
      <c r="W5153">
        <v>0</v>
      </c>
      <c r="X5153" s="21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J5153" t="s">
        <v>54</v>
      </c>
      <c r="AK5153" t="s">
        <v>52</v>
      </c>
      <c r="AP5153" t="s">
        <v>541</v>
      </c>
    </row>
    <row r="5154" spans="1:42">
      <c r="A5154" s="13">
        <v>43866</v>
      </c>
      <c r="B5154">
        <v>3</v>
      </c>
      <c r="C5154">
        <v>221</v>
      </c>
      <c r="D5154">
        <v>14450</v>
      </c>
      <c r="E5154" t="s">
        <v>112</v>
      </c>
      <c r="F5154" t="s">
        <v>104</v>
      </c>
      <c r="G5154">
        <v>4</v>
      </c>
      <c r="H5154">
        <v>116</v>
      </c>
      <c r="I5154" s="25">
        <v>2539</v>
      </c>
      <c r="K5154" t="s">
        <v>414</v>
      </c>
      <c r="L5154" t="s">
        <v>141</v>
      </c>
      <c r="M5154" t="s">
        <v>52</v>
      </c>
      <c r="N5154" t="s">
        <v>44</v>
      </c>
      <c r="O5154">
        <v>82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1</v>
      </c>
      <c r="V5154">
        <v>0</v>
      </c>
      <c r="W5154">
        <v>1</v>
      </c>
      <c r="X5154" s="21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J5154" t="s">
        <v>51</v>
      </c>
      <c r="AK5154" t="s">
        <v>52</v>
      </c>
      <c r="AL5154" t="s">
        <v>612</v>
      </c>
      <c r="AP5154" t="s">
        <v>541</v>
      </c>
    </row>
    <row r="5155" spans="1:42">
      <c r="A5155" s="13">
        <v>43866</v>
      </c>
      <c r="B5155">
        <v>3</v>
      </c>
      <c r="C5155">
        <v>221</v>
      </c>
      <c r="D5155">
        <v>14450</v>
      </c>
      <c r="E5155" t="s">
        <v>112</v>
      </c>
      <c r="F5155" t="s">
        <v>104</v>
      </c>
      <c r="G5155">
        <v>4</v>
      </c>
      <c r="H5155">
        <v>117</v>
      </c>
      <c r="I5155" s="25">
        <v>2642</v>
      </c>
      <c r="K5155" t="s">
        <v>415</v>
      </c>
      <c r="L5155" t="s">
        <v>114</v>
      </c>
      <c r="M5155" t="s">
        <v>52</v>
      </c>
      <c r="N5155" t="s">
        <v>44</v>
      </c>
      <c r="O5155">
        <v>117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1</v>
      </c>
      <c r="V5155">
        <v>1</v>
      </c>
      <c r="W5155">
        <v>0</v>
      </c>
      <c r="X5155" s="21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J5155" t="s">
        <v>54</v>
      </c>
      <c r="AK5155" t="s">
        <v>52</v>
      </c>
      <c r="AL5155" t="s">
        <v>1613</v>
      </c>
      <c r="AP5155" t="s">
        <v>541</v>
      </c>
    </row>
    <row r="5156" spans="1:42">
      <c r="A5156" s="13">
        <v>43866</v>
      </c>
      <c r="B5156">
        <v>3</v>
      </c>
      <c r="C5156">
        <v>221</v>
      </c>
      <c r="D5156">
        <v>14450</v>
      </c>
      <c r="E5156" t="s">
        <v>112</v>
      </c>
      <c r="F5156" t="s">
        <v>104</v>
      </c>
      <c r="G5156">
        <v>4</v>
      </c>
      <c r="H5156">
        <v>118</v>
      </c>
      <c r="I5156" s="25">
        <v>1369</v>
      </c>
      <c r="K5156" t="s">
        <v>213</v>
      </c>
      <c r="L5156" t="s">
        <v>141</v>
      </c>
      <c r="M5156" t="s">
        <v>52</v>
      </c>
      <c r="N5156" t="s">
        <v>40</v>
      </c>
      <c r="O5156">
        <v>34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1</v>
      </c>
      <c r="X5156" s="21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J5156" t="s">
        <v>54</v>
      </c>
      <c r="AK5156" t="s">
        <v>95</v>
      </c>
      <c r="AP5156" t="s">
        <v>541</v>
      </c>
    </row>
    <row r="5157" spans="1:42">
      <c r="A5157" s="13">
        <v>43866</v>
      </c>
      <c r="B5157">
        <v>3</v>
      </c>
      <c r="C5157">
        <v>221</v>
      </c>
      <c r="D5157">
        <v>14450</v>
      </c>
      <c r="E5157" t="s">
        <v>112</v>
      </c>
      <c r="F5157" t="s">
        <v>104</v>
      </c>
      <c r="G5157">
        <v>4</v>
      </c>
      <c r="H5157">
        <v>119</v>
      </c>
      <c r="I5157" s="25" t="s">
        <v>1614</v>
      </c>
      <c r="K5157" t="s">
        <v>213</v>
      </c>
      <c r="L5157" t="s">
        <v>141</v>
      </c>
      <c r="M5157" t="s">
        <v>52</v>
      </c>
      <c r="N5157" t="s">
        <v>40</v>
      </c>
      <c r="O5157">
        <v>96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3</v>
      </c>
      <c r="V5157">
        <v>2</v>
      </c>
      <c r="W5157">
        <v>0</v>
      </c>
      <c r="X5157" s="21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J5157" t="s">
        <v>54</v>
      </c>
      <c r="AK5157" t="s">
        <v>95</v>
      </c>
      <c r="AP5157" t="s">
        <v>541</v>
      </c>
    </row>
    <row r="5158" spans="1:42">
      <c r="A5158" s="13">
        <v>43866</v>
      </c>
      <c r="B5158">
        <v>3</v>
      </c>
      <c r="C5158">
        <v>221</v>
      </c>
      <c r="D5158">
        <v>14450</v>
      </c>
      <c r="E5158" t="s">
        <v>112</v>
      </c>
      <c r="F5158" t="s">
        <v>104</v>
      </c>
      <c r="G5158">
        <v>4</v>
      </c>
      <c r="H5158">
        <v>120</v>
      </c>
      <c r="I5158" s="25">
        <v>1357</v>
      </c>
      <c r="K5158" t="s">
        <v>213</v>
      </c>
      <c r="L5158" t="s">
        <v>141</v>
      </c>
      <c r="M5158" t="s">
        <v>52</v>
      </c>
      <c r="N5158" t="s">
        <v>40</v>
      </c>
      <c r="O5158">
        <v>31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1</v>
      </c>
      <c r="V5158">
        <v>0</v>
      </c>
      <c r="W5158">
        <v>0</v>
      </c>
      <c r="X5158" s="21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J5158" t="s">
        <v>54</v>
      </c>
      <c r="AK5158" t="s">
        <v>95</v>
      </c>
      <c r="AP5158" t="s">
        <v>541</v>
      </c>
    </row>
    <row r="5159" spans="1:42">
      <c r="A5159" s="13">
        <v>43866</v>
      </c>
      <c r="B5159">
        <v>3</v>
      </c>
      <c r="C5159">
        <v>221</v>
      </c>
      <c r="D5159">
        <v>14450</v>
      </c>
      <c r="E5159" t="s">
        <v>112</v>
      </c>
      <c r="F5159" t="s">
        <v>104</v>
      </c>
      <c r="G5159">
        <v>4</v>
      </c>
      <c r="H5159">
        <v>121</v>
      </c>
      <c r="I5159" s="25" t="s">
        <v>1615</v>
      </c>
      <c r="K5159" t="s">
        <v>213</v>
      </c>
      <c r="L5159" t="s">
        <v>141</v>
      </c>
      <c r="M5159" t="s">
        <v>52</v>
      </c>
      <c r="N5159" t="s">
        <v>40</v>
      </c>
      <c r="O5159">
        <v>77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3</v>
      </c>
      <c r="V5159">
        <v>1</v>
      </c>
      <c r="W5159">
        <v>0</v>
      </c>
      <c r="X5159" s="21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J5159" t="s">
        <v>54</v>
      </c>
      <c r="AK5159" t="s">
        <v>95</v>
      </c>
      <c r="AP5159" t="s">
        <v>541</v>
      </c>
    </row>
    <row r="5160" spans="1:42">
      <c r="A5160" s="13">
        <v>43866</v>
      </c>
      <c r="B5160">
        <v>3</v>
      </c>
      <c r="C5160">
        <v>221</v>
      </c>
      <c r="D5160">
        <v>14450</v>
      </c>
      <c r="E5160" t="s">
        <v>112</v>
      </c>
      <c r="F5160" t="s">
        <v>104</v>
      </c>
      <c r="G5160">
        <v>4</v>
      </c>
      <c r="H5160">
        <v>122</v>
      </c>
      <c r="I5160" s="25" t="s">
        <v>1616</v>
      </c>
      <c r="K5160" t="s">
        <v>213</v>
      </c>
      <c r="L5160" t="s">
        <v>141</v>
      </c>
      <c r="M5160" t="s">
        <v>52</v>
      </c>
      <c r="N5160" t="s">
        <v>40</v>
      </c>
      <c r="O5160">
        <v>38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1</v>
      </c>
      <c r="V5160">
        <v>1</v>
      </c>
      <c r="W5160">
        <v>0</v>
      </c>
      <c r="X5160" s="21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J5160" t="s">
        <v>54</v>
      </c>
      <c r="AK5160" t="s">
        <v>95</v>
      </c>
      <c r="AP5160" t="s">
        <v>541</v>
      </c>
    </row>
    <row r="5161" spans="1:42">
      <c r="A5161" s="13">
        <v>43866</v>
      </c>
      <c r="B5161">
        <v>3</v>
      </c>
      <c r="C5161">
        <v>221</v>
      </c>
      <c r="D5161">
        <v>14450</v>
      </c>
      <c r="E5161" t="s">
        <v>112</v>
      </c>
      <c r="F5161" t="s">
        <v>104</v>
      </c>
      <c r="G5161">
        <v>4</v>
      </c>
      <c r="H5161">
        <v>123</v>
      </c>
      <c r="I5161" s="25">
        <v>1349</v>
      </c>
      <c r="K5161" t="s">
        <v>213</v>
      </c>
      <c r="L5161" t="s">
        <v>141</v>
      </c>
      <c r="M5161" t="s">
        <v>52</v>
      </c>
      <c r="N5161" t="s">
        <v>44</v>
      </c>
      <c r="O5161">
        <v>124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1</v>
      </c>
      <c r="V5161">
        <v>1</v>
      </c>
      <c r="W5161">
        <v>0</v>
      </c>
      <c r="X5161" s="2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J5161" t="s">
        <v>54</v>
      </c>
      <c r="AK5161" t="s">
        <v>95</v>
      </c>
      <c r="AL5161" t="s">
        <v>612</v>
      </c>
      <c r="AP5161" t="s">
        <v>541</v>
      </c>
    </row>
    <row r="5162" spans="1:42">
      <c r="A5162" s="13">
        <v>43866</v>
      </c>
      <c r="B5162">
        <v>3</v>
      </c>
      <c r="C5162">
        <v>221</v>
      </c>
      <c r="D5162">
        <v>14450</v>
      </c>
      <c r="E5162" t="s">
        <v>112</v>
      </c>
      <c r="F5162" t="s">
        <v>104</v>
      </c>
      <c r="G5162">
        <v>4</v>
      </c>
      <c r="H5162">
        <v>124</v>
      </c>
      <c r="I5162" s="25" t="s">
        <v>1617</v>
      </c>
      <c r="K5162" t="s">
        <v>213</v>
      </c>
      <c r="L5162" t="s">
        <v>141</v>
      </c>
      <c r="M5162" t="s">
        <v>52</v>
      </c>
      <c r="N5162" t="s">
        <v>40</v>
      </c>
      <c r="O5162">
        <v>39</v>
      </c>
      <c r="P5162">
        <v>0</v>
      </c>
      <c r="Q5162">
        <v>0</v>
      </c>
      <c r="R5162">
        <v>0</v>
      </c>
      <c r="S5162">
        <v>1</v>
      </c>
      <c r="T5162">
        <v>0</v>
      </c>
      <c r="U5162">
        <v>0</v>
      </c>
      <c r="V5162">
        <v>1</v>
      </c>
      <c r="W5162">
        <v>0</v>
      </c>
      <c r="X5162" s="21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J5162" t="s">
        <v>54</v>
      </c>
      <c r="AK5162" t="s">
        <v>95</v>
      </c>
      <c r="AP5162" t="s">
        <v>541</v>
      </c>
    </row>
    <row r="5163" spans="1:42">
      <c r="A5163" s="13">
        <v>43866</v>
      </c>
      <c r="B5163">
        <v>3</v>
      </c>
      <c r="C5163">
        <v>221</v>
      </c>
      <c r="D5163">
        <v>14450</v>
      </c>
      <c r="E5163" t="s">
        <v>112</v>
      </c>
      <c r="F5163" t="s">
        <v>104</v>
      </c>
      <c r="G5163">
        <v>4</v>
      </c>
      <c r="H5163">
        <v>125</v>
      </c>
      <c r="I5163" s="25">
        <v>1325</v>
      </c>
      <c r="K5163" t="s">
        <v>213</v>
      </c>
      <c r="L5163" t="s">
        <v>141</v>
      </c>
      <c r="M5163" t="s">
        <v>52</v>
      </c>
      <c r="N5163" t="s">
        <v>44</v>
      </c>
      <c r="O5163">
        <v>161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1</v>
      </c>
      <c r="V5163">
        <v>2</v>
      </c>
      <c r="W5163">
        <v>0</v>
      </c>
      <c r="X5163" s="21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J5163" t="s">
        <v>54</v>
      </c>
      <c r="AK5163" t="s">
        <v>95</v>
      </c>
      <c r="AL5163" t="s">
        <v>612</v>
      </c>
      <c r="AP5163" t="s">
        <v>541</v>
      </c>
    </row>
    <row r="5164" spans="1:42">
      <c r="A5164" s="13">
        <v>43866</v>
      </c>
      <c r="B5164">
        <v>3</v>
      </c>
      <c r="C5164">
        <v>221</v>
      </c>
      <c r="D5164">
        <v>14450</v>
      </c>
      <c r="E5164" t="s">
        <v>112</v>
      </c>
      <c r="F5164" t="s">
        <v>104</v>
      </c>
      <c r="G5164">
        <v>4</v>
      </c>
      <c r="H5164">
        <v>126</v>
      </c>
      <c r="I5164" s="25">
        <v>2459</v>
      </c>
      <c r="K5164" t="s">
        <v>420</v>
      </c>
      <c r="L5164" t="s">
        <v>141</v>
      </c>
      <c r="M5164" t="s">
        <v>52</v>
      </c>
      <c r="N5164" t="s">
        <v>44</v>
      </c>
      <c r="O5164">
        <v>117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1</v>
      </c>
      <c r="V5164">
        <v>1</v>
      </c>
      <c r="W5164">
        <v>1</v>
      </c>
      <c r="X5164" s="21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J5164" t="s">
        <v>54</v>
      </c>
      <c r="AK5164" t="s">
        <v>95</v>
      </c>
      <c r="AL5164" t="s">
        <v>1618</v>
      </c>
      <c r="AP5164" t="s">
        <v>541</v>
      </c>
    </row>
    <row r="5165" spans="1:42">
      <c r="A5165" s="13">
        <v>43866</v>
      </c>
      <c r="B5165">
        <v>3</v>
      </c>
      <c r="C5165">
        <v>221</v>
      </c>
      <c r="D5165">
        <v>14450</v>
      </c>
      <c r="E5165" t="s">
        <v>112</v>
      </c>
      <c r="F5165" t="s">
        <v>104</v>
      </c>
      <c r="G5165">
        <v>4</v>
      </c>
      <c r="H5165">
        <v>127</v>
      </c>
      <c r="I5165" s="25">
        <v>2453</v>
      </c>
      <c r="K5165" t="s">
        <v>420</v>
      </c>
      <c r="L5165" t="s">
        <v>141</v>
      </c>
      <c r="M5165" t="s">
        <v>52</v>
      </c>
      <c r="N5165" t="s">
        <v>40</v>
      </c>
      <c r="O5165">
        <v>27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1</v>
      </c>
      <c r="V5165">
        <v>1</v>
      </c>
      <c r="W5165">
        <v>0</v>
      </c>
      <c r="X5165" s="21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J5165" t="s">
        <v>51</v>
      </c>
      <c r="AK5165" t="s">
        <v>52</v>
      </c>
      <c r="AP5165" t="s">
        <v>541</v>
      </c>
    </row>
    <row r="5166" spans="1:42">
      <c r="A5166" s="13">
        <v>43866</v>
      </c>
      <c r="B5166">
        <v>3</v>
      </c>
      <c r="C5166">
        <v>221</v>
      </c>
      <c r="D5166">
        <v>14450</v>
      </c>
      <c r="E5166" t="s">
        <v>112</v>
      </c>
      <c r="F5166" t="s">
        <v>104</v>
      </c>
      <c r="G5166">
        <v>4</v>
      </c>
      <c r="H5166">
        <v>128</v>
      </c>
      <c r="I5166" s="25">
        <v>2453</v>
      </c>
      <c r="K5166" t="s">
        <v>420</v>
      </c>
      <c r="L5166" t="s">
        <v>141</v>
      </c>
      <c r="M5166" t="s">
        <v>52</v>
      </c>
      <c r="N5166" t="s">
        <v>42</v>
      </c>
      <c r="O5166">
        <v>137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2</v>
      </c>
      <c r="V5166">
        <v>1</v>
      </c>
      <c r="W5166">
        <v>1</v>
      </c>
      <c r="X5166" s="21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J5166" t="s">
        <v>51</v>
      </c>
      <c r="AK5166" t="s">
        <v>52</v>
      </c>
      <c r="AL5166" t="s">
        <v>1619</v>
      </c>
      <c r="AP5166" t="s">
        <v>541</v>
      </c>
    </row>
    <row r="5167" spans="1:42">
      <c r="A5167" s="13">
        <v>43866</v>
      </c>
      <c r="B5167">
        <v>3</v>
      </c>
      <c r="C5167">
        <v>221</v>
      </c>
      <c r="D5167">
        <v>14450</v>
      </c>
      <c r="E5167" t="s">
        <v>112</v>
      </c>
      <c r="F5167" t="s">
        <v>104</v>
      </c>
      <c r="G5167">
        <v>4</v>
      </c>
      <c r="H5167">
        <v>129</v>
      </c>
      <c r="I5167" s="25">
        <v>2425</v>
      </c>
      <c r="K5167" t="s">
        <v>420</v>
      </c>
      <c r="L5167" t="s">
        <v>141</v>
      </c>
      <c r="M5167" t="s">
        <v>52</v>
      </c>
      <c r="N5167" t="s">
        <v>42</v>
      </c>
      <c r="O5167">
        <v>153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2</v>
      </c>
      <c r="V5167">
        <v>1</v>
      </c>
      <c r="W5167">
        <v>1</v>
      </c>
      <c r="X5167" s="21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J5167" t="s">
        <v>51</v>
      </c>
      <c r="AK5167" t="s">
        <v>52</v>
      </c>
      <c r="AL5167" t="s">
        <v>1619</v>
      </c>
      <c r="AP5167" t="s">
        <v>541</v>
      </c>
    </row>
    <row r="5168" spans="1:42">
      <c r="A5168" s="13">
        <v>43866</v>
      </c>
      <c r="B5168">
        <v>3</v>
      </c>
      <c r="C5168">
        <v>221</v>
      </c>
      <c r="D5168">
        <v>14450</v>
      </c>
      <c r="E5168" t="s">
        <v>112</v>
      </c>
      <c r="F5168" t="s">
        <v>104</v>
      </c>
      <c r="G5168">
        <v>4</v>
      </c>
      <c r="H5168">
        <v>130</v>
      </c>
      <c r="I5168" s="25">
        <v>1385</v>
      </c>
      <c r="K5168" t="s">
        <v>213</v>
      </c>
      <c r="L5168" t="s">
        <v>141</v>
      </c>
      <c r="M5168" t="s">
        <v>52</v>
      </c>
      <c r="N5168" t="s">
        <v>44</v>
      </c>
      <c r="O5168">
        <v>128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1</v>
      </c>
      <c r="W5168">
        <v>1</v>
      </c>
      <c r="X5168" s="21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J5168" t="s">
        <v>51</v>
      </c>
      <c r="AK5168" t="s">
        <v>52</v>
      </c>
      <c r="AL5168" t="s">
        <v>1620</v>
      </c>
      <c r="AP5168" t="s">
        <v>541</v>
      </c>
    </row>
    <row r="5169" spans="1:42">
      <c r="A5169" s="13">
        <v>43866</v>
      </c>
      <c r="B5169">
        <v>3</v>
      </c>
      <c r="C5169">
        <v>221</v>
      </c>
      <c r="D5169">
        <v>14450</v>
      </c>
      <c r="E5169" t="s">
        <v>112</v>
      </c>
      <c r="F5169" t="s">
        <v>104</v>
      </c>
      <c r="G5169">
        <v>4</v>
      </c>
      <c r="H5169">
        <v>131</v>
      </c>
      <c r="I5169" s="25">
        <v>1380</v>
      </c>
      <c r="K5169" t="s">
        <v>213</v>
      </c>
      <c r="L5169" t="s">
        <v>114</v>
      </c>
      <c r="M5169" t="s">
        <v>52</v>
      </c>
      <c r="N5169" t="s">
        <v>44</v>
      </c>
      <c r="O5169">
        <v>51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1</v>
      </c>
      <c r="W5169">
        <v>0</v>
      </c>
      <c r="X5169" s="21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J5169" t="s">
        <v>51</v>
      </c>
      <c r="AK5169" t="s">
        <v>52</v>
      </c>
      <c r="AL5169" t="s">
        <v>1621</v>
      </c>
      <c r="AP5169" t="s">
        <v>541</v>
      </c>
    </row>
    <row r="5170" spans="1:42">
      <c r="A5170" s="13">
        <v>43866</v>
      </c>
      <c r="B5170">
        <v>3</v>
      </c>
      <c r="C5170">
        <v>221</v>
      </c>
      <c r="D5170">
        <v>14450</v>
      </c>
      <c r="E5170" t="s">
        <v>112</v>
      </c>
      <c r="F5170" t="s">
        <v>104</v>
      </c>
      <c r="G5170">
        <v>4</v>
      </c>
      <c r="H5170">
        <v>132</v>
      </c>
      <c r="I5170" s="25">
        <v>2700</v>
      </c>
      <c r="K5170" t="s">
        <v>414</v>
      </c>
      <c r="L5170" t="s">
        <v>114</v>
      </c>
      <c r="M5170" t="s">
        <v>52</v>
      </c>
      <c r="N5170" t="s">
        <v>44</v>
      </c>
      <c r="O5170">
        <v>84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1</v>
      </c>
      <c r="W5170">
        <v>1</v>
      </c>
      <c r="X5170" s="21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J5170" t="s">
        <v>51</v>
      </c>
      <c r="AK5170" t="s">
        <v>52</v>
      </c>
      <c r="AL5170" t="s">
        <v>611</v>
      </c>
      <c r="AP5170" t="s">
        <v>541</v>
      </c>
    </row>
    <row r="5171" spans="1:42">
      <c r="A5171" s="13">
        <v>43866</v>
      </c>
      <c r="B5171">
        <v>3</v>
      </c>
      <c r="C5171">
        <v>221</v>
      </c>
      <c r="D5171">
        <v>14450</v>
      </c>
      <c r="E5171" t="s">
        <v>112</v>
      </c>
      <c r="F5171" t="s">
        <v>104</v>
      </c>
      <c r="G5171">
        <v>4</v>
      </c>
      <c r="H5171">
        <v>133</v>
      </c>
      <c r="I5171" s="25">
        <v>2750</v>
      </c>
      <c r="K5171" t="s">
        <v>414</v>
      </c>
      <c r="L5171" t="s">
        <v>114</v>
      </c>
      <c r="M5171" t="s">
        <v>52</v>
      </c>
      <c r="N5171" t="s">
        <v>44</v>
      </c>
      <c r="O5171">
        <v>183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1</v>
      </c>
      <c r="V5171">
        <v>1</v>
      </c>
      <c r="W5171">
        <v>0</v>
      </c>
      <c r="X5171" s="2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J5171" t="s">
        <v>54</v>
      </c>
      <c r="AK5171" t="s">
        <v>52</v>
      </c>
      <c r="AL5171" t="s">
        <v>616</v>
      </c>
      <c r="AP5171" t="s">
        <v>541</v>
      </c>
    </row>
    <row r="5172" spans="1:42">
      <c r="A5172" s="13">
        <v>43866</v>
      </c>
      <c r="B5172">
        <v>3</v>
      </c>
      <c r="C5172">
        <v>221</v>
      </c>
      <c r="D5172">
        <v>14450</v>
      </c>
      <c r="E5172" t="s">
        <v>112</v>
      </c>
      <c r="F5172" t="s">
        <v>104</v>
      </c>
      <c r="G5172">
        <v>4</v>
      </c>
      <c r="H5172">
        <v>134</v>
      </c>
      <c r="I5172" s="25">
        <v>2760</v>
      </c>
      <c r="K5172" t="s">
        <v>414</v>
      </c>
      <c r="L5172" t="s">
        <v>114</v>
      </c>
      <c r="M5172" t="s">
        <v>52</v>
      </c>
      <c r="N5172" t="s">
        <v>44</v>
      </c>
      <c r="O5172">
        <v>74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1</v>
      </c>
      <c r="V5172">
        <v>0</v>
      </c>
      <c r="W5172">
        <v>1</v>
      </c>
      <c r="X5172" s="21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J5172" t="s">
        <v>54</v>
      </c>
      <c r="AK5172" t="s">
        <v>52</v>
      </c>
      <c r="AL5172" t="s">
        <v>1622</v>
      </c>
      <c r="AP5172" t="s">
        <v>541</v>
      </c>
    </row>
    <row r="5173" spans="1:42" ht="15.75" customHeight="1">
      <c r="A5173" s="13">
        <v>43866</v>
      </c>
      <c r="B5173">
        <v>3</v>
      </c>
      <c r="C5173">
        <v>221</v>
      </c>
      <c r="D5173">
        <v>14450</v>
      </c>
      <c r="E5173" t="s">
        <v>112</v>
      </c>
      <c r="F5173" t="s">
        <v>104</v>
      </c>
      <c r="G5173">
        <v>4</v>
      </c>
      <c r="H5173">
        <v>135</v>
      </c>
      <c r="I5173" s="25">
        <v>1175</v>
      </c>
      <c r="K5173" t="s">
        <v>324</v>
      </c>
      <c r="L5173" t="s">
        <v>141</v>
      </c>
      <c r="M5173" t="s">
        <v>52</v>
      </c>
      <c r="N5173" t="s">
        <v>44</v>
      </c>
      <c r="O5173">
        <v>132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1</v>
      </c>
      <c r="W5173">
        <v>2</v>
      </c>
      <c r="X5173" s="21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J5173" t="s">
        <v>54</v>
      </c>
      <c r="AK5173" t="s">
        <v>52</v>
      </c>
      <c r="AL5173" t="s">
        <v>641</v>
      </c>
      <c r="AP5173" t="s">
        <v>541</v>
      </c>
    </row>
    <row r="5174" spans="1:42">
      <c r="A5174" s="13">
        <v>43867</v>
      </c>
      <c r="B5174">
        <v>4</v>
      </c>
      <c r="C5174">
        <v>221</v>
      </c>
      <c r="D5174">
        <v>14450</v>
      </c>
      <c r="E5174" t="s">
        <v>112</v>
      </c>
      <c r="F5174" t="s">
        <v>104</v>
      </c>
      <c r="G5174">
        <v>4</v>
      </c>
      <c r="H5174">
        <v>1</v>
      </c>
      <c r="I5174" s="25">
        <v>2049</v>
      </c>
      <c r="K5174" t="s">
        <v>828</v>
      </c>
      <c r="L5174" t="s">
        <v>141</v>
      </c>
      <c r="M5174" t="s">
        <v>52</v>
      </c>
      <c r="N5174" t="s">
        <v>42</v>
      </c>
      <c r="O5174">
        <v>134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1</v>
      </c>
      <c r="V5174">
        <v>0</v>
      </c>
      <c r="W5174">
        <v>1</v>
      </c>
      <c r="X5174" s="21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J5174" t="s">
        <v>54</v>
      </c>
      <c r="AK5174" t="s">
        <v>52</v>
      </c>
      <c r="AL5174" t="s">
        <v>1623</v>
      </c>
      <c r="AP5174" t="s">
        <v>541</v>
      </c>
    </row>
    <row r="5175" spans="1:42">
      <c r="A5175" s="13">
        <v>43867</v>
      </c>
      <c r="B5175">
        <v>4</v>
      </c>
      <c r="C5175">
        <v>221</v>
      </c>
      <c r="D5175">
        <v>14450</v>
      </c>
      <c r="E5175" t="s">
        <v>112</v>
      </c>
      <c r="F5175" t="s">
        <v>104</v>
      </c>
      <c r="G5175">
        <v>4</v>
      </c>
      <c r="H5175">
        <v>2</v>
      </c>
      <c r="I5175" s="25">
        <v>2041</v>
      </c>
      <c r="K5175" t="s">
        <v>828</v>
      </c>
      <c r="L5175" t="s">
        <v>141</v>
      </c>
      <c r="M5175" t="s">
        <v>52</v>
      </c>
      <c r="N5175" t="s">
        <v>44</v>
      </c>
      <c r="O5175">
        <v>134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1</v>
      </c>
      <c r="V5175">
        <v>0</v>
      </c>
      <c r="W5175">
        <v>2</v>
      </c>
      <c r="X5175" s="21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J5175" t="s">
        <v>54</v>
      </c>
      <c r="AK5175" t="s">
        <v>52</v>
      </c>
      <c r="AL5175" t="s">
        <v>590</v>
      </c>
      <c r="AP5175" t="s">
        <v>541</v>
      </c>
    </row>
    <row r="5176" spans="1:42">
      <c r="A5176" s="13">
        <v>43867</v>
      </c>
      <c r="B5176">
        <v>4</v>
      </c>
      <c r="C5176">
        <v>221</v>
      </c>
      <c r="D5176">
        <v>14450</v>
      </c>
      <c r="E5176" t="s">
        <v>112</v>
      </c>
      <c r="F5176" t="s">
        <v>104</v>
      </c>
      <c r="G5176">
        <v>4</v>
      </c>
      <c r="H5176">
        <v>3</v>
      </c>
      <c r="I5176" s="25">
        <v>2057</v>
      </c>
      <c r="K5176" t="s">
        <v>828</v>
      </c>
      <c r="L5176" t="s">
        <v>141</v>
      </c>
      <c r="M5176" t="s">
        <v>52</v>
      </c>
      <c r="N5176" t="s">
        <v>44</v>
      </c>
      <c r="O5176">
        <v>82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1</v>
      </c>
      <c r="X5176" s="21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J5176" t="s">
        <v>54</v>
      </c>
      <c r="AK5176" t="s">
        <v>52</v>
      </c>
      <c r="AL5176" t="s">
        <v>1623</v>
      </c>
      <c r="AP5176" t="s">
        <v>541</v>
      </c>
    </row>
    <row r="5177" spans="1:42">
      <c r="A5177" s="13">
        <v>43867</v>
      </c>
      <c r="B5177">
        <v>4</v>
      </c>
      <c r="C5177">
        <v>221</v>
      </c>
      <c r="D5177">
        <v>14450</v>
      </c>
      <c r="E5177" t="s">
        <v>112</v>
      </c>
      <c r="F5177" t="s">
        <v>104</v>
      </c>
      <c r="G5177">
        <v>4</v>
      </c>
      <c r="H5177">
        <v>4</v>
      </c>
      <c r="I5177" s="25">
        <v>2027</v>
      </c>
      <c r="K5177" t="s">
        <v>828</v>
      </c>
      <c r="L5177" t="s">
        <v>141</v>
      </c>
      <c r="M5177" t="s">
        <v>52</v>
      </c>
      <c r="N5177" t="s">
        <v>44</v>
      </c>
      <c r="O5177">
        <v>47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</v>
      </c>
      <c r="X5177" s="21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J5177" t="s">
        <v>54</v>
      </c>
      <c r="AK5177" t="s">
        <v>52</v>
      </c>
      <c r="AL5177" t="s">
        <v>1623</v>
      </c>
      <c r="AP5177" t="s">
        <v>541</v>
      </c>
    </row>
    <row r="5178" spans="1:42">
      <c r="A5178" s="13">
        <v>43867</v>
      </c>
      <c r="B5178">
        <v>4</v>
      </c>
      <c r="C5178">
        <v>221</v>
      </c>
      <c r="D5178">
        <v>14450</v>
      </c>
      <c r="E5178" t="s">
        <v>112</v>
      </c>
      <c r="F5178" t="s">
        <v>104</v>
      </c>
      <c r="G5178">
        <v>4</v>
      </c>
      <c r="H5178">
        <v>5</v>
      </c>
      <c r="I5178" s="25">
        <v>1100</v>
      </c>
      <c r="K5178" t="s">
        <v>156</v>
      </c>
      <c r="L5178" t="s">
        <v>114</v>
      </c>
      <c r="M5178" t="s">
        <v>52</v>
      </c>
      <c r="N5178" t="s">
        <v>40</v>
      </c>
      <c r="O5178">
        <v>18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 s="21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J5178" t="s">
        <v>51</v>
      </c>
      <c r="AK5178" t="s">
        <v>52</v>
      </c>
      <c r="AL5178" t="s">
        <v>649</v>
      </c>
      <c r="AP5178" t="s">
        <v>541</v>
      </c>
    </row>
    <row r="5179" spans="1:42">
      <c r="A5179" s="13">
        <v>43867</v>
      </c>
      <c r="B5179">
        <v>4</v>
      </c>
      <c r="C5179">
        <v>221</v>
      </c>
      <c r="D5179">
        <v>14450</v>
      </c>
      <c r="E5179" t="s">
        <v>112</v>
      </c>
      <c r="F5179" t="s">
        <v>104</v>
      </c>
      <c r="G5179">
        <v>4</v>
      </c>
      <c r="H5179">
        <v>6</v>
      </c>
      <c r="I5179" s="25">
        <v>1132</v>
      </c>
      <c r="K5179" t="s">
        <v>156</v>
      </c>
      <c r="L5179" t="s">
        <v>114</v>
      </c>
      <c r="M5179" t="s">
        <v>52</v>
      </c>
      <c r="N5179" t="s">
        <v>42</v>
      </c>
      <c r="O5179">
        <v>59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2</v>
      </c>
      <c r="V5179">
        <v>0</v>
      </c>
      <c r="W5179">
        <v>0</v>
      </c>
      <c r="X5179" s="21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J5179" t="s">
        <v>54</v>
      </c>
      <c r="AK5179" t="s">
        <v>52</v>
      </c>
      <c r="AP5179" t="s">
        <v>541</v>
      </c>
    </row>
    <row r="5180" spans="1:42">
      <c r="A5180" s="13">
        <v>43867</v>
      </c>
      <c r="B5180">
        <v>4</v>
      </c>
      <c r="C5180">
        <v>221</v>
      </c>
      <c r="D5180">
        <v>14450</v>
      </c>
      <c r="E5180" t="s">
        <v>112</v>
      </c>
      <c r="F5180" t="s">
        <v>104</v>
      </c>
      <c r="G5180">
        <v>4</v>
      </c>
      <c r="H5180">
        <v>7</v>
      </c>
      <c r="I5180" s="25">
        <v>1150</v>
      </c>
      <c r="K5180" t="s">
        <v>156</v>
      </c>
      <c r="L5180" t="s">
        <v>114</v>
      </c>
      <c r="M5180" t="s">
        <v>52</v>
      </c>
      <c r="N5180" t="s">
        <v>44</v>
      </c>
      <c r="O5180">
        <v>125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3</v>
      </c>
      <c r="X5180" s="21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J5180" t="s">
        <v>54</v>
      </c>
      <c r="AK5180" t="s">
        <v>52</v>
      </c>
      <c r="AP5180" t="s">
        <v>541</v>
      </c>
    </row>
    <row r="5181" spans="1:42">
      <c r="A5181" s="13">
        <v>43867</v>
      </c>
      <c r="B5181">
        <v>4</v>
      </c>
      <c r="C5181">
        <v>221</v>
      </c>
      <c r="D5181">
        <v>14450</v>
      </c>
      <c r="E5181" t="s">
        <v>112</v>
      </c>
      <c r="F5181" t="s">
        <v>104</v>
      </c>
      <c r="G5181">
        <v>4</v>
      </c>
      <c r="H5181">
        <v>8</v>
      </c>
      <c r="I5181" s="25">
        <v>10</v>
      </c>
      <c r="K5181" t="s">
        <v>1624</v>
      </c>
      <c r="L5181" t="s">
        <v>114</v>
      </c>
      <c r="M5181" t="s">
        <v>52</v>
      </c>
      <c r="N5181" t="s">
        <v>40</v>
      </c>
      <c r="O5181">
        <v>34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1</v>
      </c>
      <c r="V5181">
        <v>1</v>
      </c>
      <c r="W5181">
        <v>0</v>
      </c>
      <c r="X5181" s="2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J5181" t="s">
        <v>54</v>
      </c>
      <c r="AK5181" t="s">
        <v>52</v>
      </c>
      <c r="AP5181" t="s">
        <v>541</v>
      </c>
    </row>
    <row r="5182" spans="1:42">
      <c r="A5182" s="13">
        <v>43867</v>
      </c>
      <c r="B5182">
        <v>4</v>
      </c>
      <c r="C5182">
        <v>221</v>
      </c>
      <c r="D5182">
        <v>14450</v>
      </c>
      <c r="E5182" t="s">
        <v>112</v>
      </c>
      <c r="F5182" t="s">
        <v>104</v>
      </c>
      <c r="G5182">
        <v>4</v>
      </c>
      <c r="H5182">
        <v>9</v>
      </c>
      <c r="I5182" s="25">
        <v>2038</v>
      </c>
      <c r="K5182" t="s">
        <v>828</v>
      </c>
      <c r="L5182" t="s">
        <v>114</v>
      </c>
      <c r="M5182" t="s">
        <v>52</v>
      </c>
      <c r="N5182" t="s">
        <v>40</v>
      </c>
      <c r="O5182">
        <v>38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2</v>
      </c>
      <c r="V5182">
        <v>0</v>
      </c>
      <c r="W5182">
        <v>0</v>
      </c>
      <c r="X5182" s="21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J5182" t="s">
        <v>54</v>
      </c>
      <c r="AK5182" t="s">
        <v>52</v>
      </c>
      <c r="AP5182" t="s">
        <v>541</v>
      </c>
    </row>
    <row r="5183" spans="1:42">
      <c r="A5183" s="13">
        <v>43867</v>
      </c>
      <c r="B5183">
        <v>4</v>
      </c>
      <c r="C5183">
        <v>221</v>
      </c>
      <c r="D5183">
        <v>14450</v>
      </c>
      <c r="E5183" t="s">
        <v>112</v>
      </c>
      <c r="F5183" t="s">
        <v>104</v>
      </c>
      <c r="G5183">
        <v>4</v>
      </c>
      <c r="H5183">
        <v>10</v>
      </c>
      <c r="I5183" s="25">
        <v>2040</v>
      </c>
      <c r="K5183" t="s">
        <v>828</v>
      </c>
      <c r="L5183" t="s">
        <v>114</v>
      </c>
      <c r="M5183" t="s">
        <v>52</v>
      </c>
      <c r="N5183" t="s">
        <v>40</v>
      </c>
      <c r="O5183">
        <v>41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2</v>
      </c>
      <c r="V5183">
        <v>0</v>
      </c>
      <c r="W5183">
        <v>0</v>
      </c>
      <c r="X5183" s="21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J5183" t="s">
        <v>54</v>
      </c>
      <c r="AK5183" t="s">
        <v>52</v>
      </c>
      <c r="AP5183" t="s">
        <v>541</v>
      </c>
    </row>
    <row r="5184" spans="1:42">
      <c r="A5184" s="13">
        <v>43867</v>
      </c>
      <c r="B5184">
        <v>4</v>
      </c>
      <c r="C5184">
        <v>221</v>
      </c>
      <c r="D5184">
        <v>14450</v>
      </c>
      <c r="E5184" t="s">
        <v>112</v>
      </c>
      <c r="F5184" t="s">
        <v>104</v>
      </c>
      <c r="G5184">
        <v>4</v>
      </c>
      <c r="H5184">
        <v>11</v>
      </c>
      <c r="I5184" s="25">
        <v>2112</v>
      </c>
      <c r="K5184" t="s">
        <v>828</v>
      </c>
      <c r="L5184" t="s">
        <v>114</v>
      </c>
      <c r="M5184" t="s">
        <v>52</v>
      </c>
      <c r="N5184" t="s">
        <v>44</v>
      </c>
      <c r="O5184">
        <v>62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1</v>
      </c>
      <c r="X5184" s="21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J5184" t="s">
        <v>54</v>
      </c>
      <c r="AK5184" t="s">
        <v>52</v>
      </c>
      <c r="AL5184" t="s">
        <v>590</v>
      </c>
      <c r="AP5184" t="s">
        <v>541</v>
      </c>
    </row>
    <row r="5185" spans="1:42">
      <c r="A5185" s="13">
        <v>43867</v>
      </c>
      <c r="B5185">
        <v>4</v>
      </c>
      <c r="C5185">
        <v>221</v>
      </c>
      <c r="D5185">
        <v>14450</v>
      </c>
      <c r="E5185" t="s">
        <v>112</v>
      </c>
      <c r="F5185" t="s">
        <v>104</v>
      </c>
      <c r="G5185">
        <v>4</v>
      </c>
      <c r="H5185">
        <v>12</v>
      </c>
      <c r="I5185" s="25">
        <v>2164</v>
      </c>
      <c r="K5185" t="s">
        <v>828</v>
      </c>
      <c r="L5185" t="s">
        <v>114</v>
      </c>
      <c r="M5185" t="s">
        <v>52</v>
      </c>
      <c r="N5185" t="s">
        <v>44</v>
      </c>
      <c r="O5185">
        <v>144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1</v>
      </c>
      <c r="X5185" s="21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J5185" t="s">
        <v>51</v>
      </c>
      <c r="AK5185" t="s">
        <v>52</v>
      </c>
      <c r="AL5185" t="s">
        <v>1623</v>
      </c>
      <c r="AP5185" t="s">
        <v>541</v>
      </c>
    </row>
    <row r="5186" spans="1:42">
      <c r="A5186" s="13">
        <v>43867</v>
      </c>
      <c r="B5186">
        <v>4</v>
      </c>
      <c r="C5186">
        <v>221</v>
      </c>
      <c r="D5186">
        <v>14450</v>
      </c>
      <c r="E5186" t="s">
        <v>112</v>
      </c>
      <c r="F5186" t="s">
        <v>104</v>
      </c>
      <c r="G5186">
        <v>4</v>
      </c>
      <c r="H5186">
        <v>13</v>
      </c>
      <c r="I5186" s="25">
        <v>1275</v>
      </c>
      <c r="K5186" t="s">
        <v>213</v>
      </c>
      <c r="L5186" t="s">
        <v>141</v>
      </c>
      <c r="M5186" t="s">
        <v>52</v>
      </c>
      <c r="N5186" t="s">
        <v>44</v>
      </c>
      <c r="O5186">
        <v>96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2</v>
      </c>
      <c r="X5186" s="21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J5186" t="s">
        <v>54</v>
      </c>
      <c r="AK5186" t="s">
        <v>52</v>
      </c>
      <c r="AL5186" t="s">
        <v>641</v>
      </c>
      <c r="AP5186" t="s">
        <v>541</v>
      </c>
    </row>
    <row r="5187" spans="1:42">
      <c r="A5187" s="13">
        <v>43867</v>
      </c>
      <c r="B5187">
        <v>4</v>
      </c>
      <c r="C5187">
        <v>221</v>
      </c>
      <c r="D5187">
        <v>14450</v>
      </c>
      <c r="E5187" t="s">
        <v>112</v>
      </c>
      <c r="F5187" t="s">
        <v>104</v>
      </c>
      <c r="G5187">
        <v>4</v>
      </c>
      <c r="H5187">
        <v>14</v>
      </c>
      <c r="I5187" s="25">
        <v>1221</v>
      </c>
      <c r="K5187" t="s">
        <v>213</v>
      </c>
      <c r="L5187" t="s">
        <v>141</v>
      </c>
      <c r="M5187" t="s">
        <v>52</v>
      </c>
      <c r="N5187" t="s">
        <v>44</v>
      </c>
      <c r="O5187">
        <v>113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2</v>
      </c>
      <c r="X5187" s="21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J5187" t="s">
        <v>54</v>
      </c>
      <c r="AK5187" t="s">
        <v>52</v>
      </c>
      <c r="AL5187" t="s">
        <v>641</v>
      </c>
      <c r="AP5187" t="s">
        <v>541</v>
      </c>
    </row>
    <row r="5188" spans="1:42">
      <c r="A5188" s="13">
        <v>43867</v>
      </c>
      <c r="B5188">
        <v>4</v>
      </c>
      <c r="C5188">
        <v>221</v>
      </c>
      <c r="D5188">
        <v>14450</v>
      </c>
      <c r="E5188" t="s">
        <v>112</v>
      </c>
      <c r="F5188" t="s">
        <v>104</v>
      </c>
      <c r="G5188">
        <v>4</v>
      </c>
      <c r="H5188">
        <v>15</v>
      </c>
      <c r="I5188" s="25">
        <v>2200</v>
      </c>
      <c r="K5188" t="s">
        <v>828</v>
      </c>
      <c r="L5188" t="s">
        <v>114</v>
      </c>
      <c r="M5188" t="s">
        <v>52</v>
      </c>
      <c r="N5188" t="s">
        <v>40</v>
      </c>
      <c r="O5188">
        <v>16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 s="21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J5188" t="s">
        <v>51</v>
      </c>
      <c r="AK5188" t="s">
        <v>52</v>
      </c>
      <c r="AL5188" t="s">
        <v>649</v>
      </c>
      <c r="AP5188" t="s">
        <v>541</v>
      </c>
    </row>
    <row r="5189" spans="1:42">
      <c r="A5189" s="13">
        <v>43867</v>
      </c>
      <c r="B5189">
        <v>4</v>
      </c>
      <c r="C5189">
        <v>221</v>
      </c>
      <c r="D5189">
        <v>14450</v>
      </c>
      <c r="E5189" t="s">
        <v>112</v>
      </c>
      <c r="F5189" t="s">
        <v>104</v>
      </c>
      <c r="G5189">
        <v>4</v>
      </c>
      <c r="H5189">
        <v>16</v>
      </c>
      <c r="I5189" s="25">
        <v>2300</v>
      </c>
      <c r="K5189" t="s">
        <v>828</v>
      </c>
      <c r="L5189" t="s">
        <v>114</v>
      </c>
      <c r="M5189" t="s">
        <v>95</v>
      </c>
      <c r="N5189" t="s">
        <v>40</v>
      </c>
      <c r="O5189">
        <v>48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 s="21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J5189" t="s">
        <v>51</v>
      </c>
      <c r="AK5189" t="s">
        <v>52</v>
      </c>
      <c r="AL5189" t="s">
        <v>1625</v>
      </c>
      <c r="AP5189" t="s">
        <v>541</v>
      </c>
    </row>
    <row r="5190" spans="1:42">
      <c r="A5190" s="13">
        <v>43867</v>
      </c>
      <c r="B5190">
        <v>4</v>
      </c>
      <c r="C5190">
        <v>221</v>
      </c>
      <c r="D5190">
        <v>14450</v>
      </c>
      <c r="E5190" t="s">
        <v>112</v>
      </c>
      <c r="F5190" t="s">
        <v>104</v>
      </c>
      <c r="G5190">
        <v>4</v>
      </c>
      <c r="H5190">
        <v>17</v>
      </c>
      <c r="I5190" s="25">
        <v>2400</v>
      </c>
      <c r="K5190" t="s">
        <v>828</v>
      </c>
      <c r="L5190" t="s">
        <v>114</v>
      </c>
      <c r="M5190" t="s">
        <v>52</v>
      </c>
      <c r="N5190" t="s">
        <v>40</v>
      </c>
      <c r="O5190">
        <v>18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 s="21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J5190" t="s">
        <v>54</v>
      </c>
      <c r="AK5190" t="s">
        <v>52</v>
      </c>
      <c r="AL5190" t="s">
        <v>649</v>
      </c>
      <c r="AP5190" t="s">
        <v>541</v>
      </c>
    </row>
    <row r="5191" spans="1:42">
      <c r="A5191" s="13">
        <v>43867</v>
      </c>
      <c r="B5191">
        <v>4</v>
      </c>
      <c r="C5191">
        <v>221</v>
      </c>
      <c r="D5191">
        <v>14450</v>
      </c>
      <c r="E5191" t="s">
        <v>112</v>
      </c>
      <c r="F5191" t="s">
        <v>104</v>
      </c>
      <c r="G5191">
        <v>4</v>
      </c>
      <c r="H5191">
        <v>18</v>
      </c>
      <c r="I5191" s="25">
        <v>1000</v>
      </c>
      <c r="K5191" t="s">
        <v>324</v>
      </c>
      <c r="L5191" t="s">
        <v>114</v>
      </c>
      <c r="M5191" t="s">
        <v>52</v>
      </c>
      <c r="N5191" t="s">
        <v>44</v>
      </c>
      <c r="O5191">
        <v>91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3</v>
      </c>
      <c r="X5191" s="2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J5191" t="s">
        <v>54</v>
      </c>
      <c r="AK5191" t="s">
        <v>52</v>
      </c>
      <c r="AL5191" t="s">
        <v>1626</v>
      </c>
      <c r="AP5191" t="s">
        <v>541</v>
      </c>
    </row>
    <row r="5192" spans="1:42">
      <c r="A5192" s="13">
        <v>43867</v>
      </c>
      <c r="B5192">
        <v>4</v>
      </c>
      <c r="C5192">
        <v>221</v>
      </c>
      <c r="D5192">
        <v>14450</v>
      </c>
      <c r="E5192" t="s">
        <v>112</v>
      </c>
      <c r="F5192" t="s">
        <v>104</v>
      </c>
      <c r="G5192">
        <v>4</v>
      </c>
      <c r="H5192">
        <v>19</v>
      </c>
      <c r="I5192" s="25">
        <v>2126</v>
      </c>
      <c r="K5192" t="s">
        <v>828</v>
      </c>
      <c r="L5192" t="s">
        <v>114</v>
      </c>
      <c r="M5192" t="s">
        <v>52</v>
      </c>
      <c r="N5192" t="s">
        <v>40</v>
      </c>
      <c r="O5192">
        <v>95</v>
      </c>
      <c r="P5192">
        <v>0</v>
      </c>
      <c r="Q5192">
        <v>0</v>
      </c>
      <c r="R5192">
        <v>0</v>
      </c>
      <c r="S5192">
        <v>1</v>
      </c>
      <c r="T5192">
        <v>0</v>
      </c>
      <c r="U5192">
        <v>5</v>
      </c>
      <c r="V5192">
        <v>0</v>
      </c>
      <c r="W5192">
        <v>1</v>
      </c>
      <c r="X5192" s="21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1</v>
      </c>
      <c r="AJ5192" t="s">
        <v>54</v>
      </c>
      <c r="AK5192" t="s">
        <v>52</v>
      </c>
      <c r="AP5192" t="s">
        <v>541</v>
      </c>
    </row>
    <row r="5193" spans="1:42">
      <c r="A5193" s="13">
        <v>43867</v>
      </c>
      <c r="B5193">
        <v>4</v>
      </c>
      <c r="C5193">
        <v>221</v>
      </c>
      <c r="D5193">
        <v>14450</v>
      </c>
      <c r="E5193" t="s">
        <v>112</v>
      </c>
      <c r="F5193" t="s">
        <v>104</v>
      </c>
      <c r="G5193">
        <v>4</v>
      </c>
      <c r="H5193">
        <v>20</v>
      </c>
      <c r="I5193" s="25">
        <v>2632</v>
      </c>
      <c r="K5193" t="s">
        <v>828</v>
      </c>
      <c r="L5193" t="s">
        <v>114</v>
      </c>
      <c r="M5193" t="s">
        <v>52</v>
      </c>
      <c r="N5193" t="s">
        <v>40</v>
      </c>
      <c r="O5193">
        <v>43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2</v>
      </c>
      <c r="X5193" s="21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J5193" t="s">
        <v>54</v>
      </c>
      <c r="AK5193" t="s">
        <v>52</v>
      </c>
      <c r="AP5193" t="s">
        <v>541</v>
      </c>
    </row>
    <row r="5194" spans="1:42">
      <c r="A5194" s="13">
        <v>43867</v>
      </c>
      <c r="B5194">
        <v>4</v>
      </c>
      <c r="C5194">
        <v>221</v>
      </c>
      <c r="D5194">
        <v>14450</v>
      </c>
      <c r="E5194" t="s">
        <v>112</v>
      </c>
      <c r="F5194" t="s">
        <v>104</v>
      </c>
      <c r="G5194">
        <v>4</v>
      </c>
      <c r="H5194">
        <v>21</v>
      </c>
      <c r="I5194" s="25">
        <v>2646</v>
      </c>
      <c r="K5194" t="s">
        <v>828</v>
      </c>
      <c r="L5194" t="s">
        <v>114</v>
      </c>
      <c r="M5194" t="s">
        <v>52</v>
      </c>
      <c r="N5194" t="s">
        <v>40</v>
      </c>
      <c r="O5194">
        <v>33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1</v>
      </c>
      <c r="X5194" s="21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J5194" t="s">
        <v>54</v>
      </c>
      <c r="AK5194" t="s">
        <v>52</v>
      </c>
      <c r="AP5194" t="s">
        <v>541</v>
      </c>
    </row>
    <row r="5195" spans="1:42">
      <c r="A5195" s="13">
        <v>43867</v>
      </c>
      <c r="B5195">
        <v>4</v>
      </c>
      <c r="C5195">
        <v>221</v>
      </c>
      <c r="D5195">
        <v>14450</v>
      </c>
      <c r="E5195" t="s">
        <v>112</v>
      </c>
      <c r="F5195" t="s">
        <v>104</v>
      </c>
      <c r="G5195">
        <v>4</v>
      </c>
      <c r="H5195">
        <v>22</v>
      </c>
      <c r="I5195" s="25">
        <v>2706</v>
      </c>
      <c r="K5195" t="s">
        <v>828</v>
      </c>
      <c r="L5195" t="s">
        <v>114</v>
      </c>
      <c r="M5195" t="s">
        <v>52</v>
      </c>
      <c r="N5195" t="s">
        <v>40</v>
      </c>
      <c r="O5195">
        <v>97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2</v>
      </c>
      <c r="V5195">
        <v>3</v>
      </c>
      <c r="W5195">
        <v>0</v>
      </c>
      <c r="X5195" s="21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J5195" t="s">
        <v>54</v>
      </c>
      <c r="AK5195" t="s">
        <v>52</v>
      </c>
      <c r="AP5195" t="s">
        <v>541</v>
      </c>
    </row>
    <row r="5196" spans="1:42">
      <c r="A5196" s="13">
        <v>43867</v>
      </c>
      <c r="B5196">
        <v>4</v>
      </c>
      <c r="C5196">
        <v>221</v>
      </c>
      <c r="D5196">
        <v>14450</v>
      </c>
      <c r="E5196" t="s">
        <v>112</v>
      </c>
      <c r="F5196" t="s">
        <v>104</v>
      </c>
      <c r="G5196">
        <v>4</v>
      </c>
      <c r="H5196">
        <v>23</v>
      </c>
      <c r="I5196" s="25">
        <v>2720</v>
      </c>
      <c r="K5196" t="s">
        <v>828</v>
      </c>
      <c r="L5196" t="s">
        <v>114</v>
      </c>
      <c r="M5196" t="s">
        <v>52</v>
      </c>
      <c r="N5196" t="s">
        <v>44</v>
      </c>
      <c r="O5196">
        <v>73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2</v>
      </c>
      <c r="V5196">
        <v>0</v>
      </c>
      <c r="W5196">
        <v>0</v>
      </c>
      <c r="X5196" s="21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J5196" t="s">
        <v>54</v>
      </c>
      <c r="AK5196" t="s">
        <v>52</v>
      </c>
      <c r="AL5196" t="s">
        <v>611</v>
      </c>
      <c r="AP5196" t="s">
        <v>541</v>
      </c>
    </row>
    <row r="5197" spans="1:42">
      <c r="A5197" s="13">
        <v>43867</v>
      </c>
      <c r="B5197">
        <v>4</v>
      </c>
      <c r="C5197">
        <v>221</v>
      </c>
      <c r="D5197">
        <v>14450</v>
      </c>
      <c r="E5197" t="s">
        <v>112</v>
      </c>
      <c r="F5197" t="s">
        <v>104</v>
      </c>
      <c r="G5197">
        <v>4</v>
      </c>
      <c r="H5197">
        <v>24</v>
      </c>
      <c r="I5197" s="25">
        <v>890</v>
      </c>
      <c r="K5197" t="s">
        <v>906</v>
      </c>
      <c r="L5197" t="s">
        <v>114</v>
      </c>
      <c r="M5197" t="s">
        <v>52</v>
      </c>
      <c r="N5197" t="s">
        <v>40</v>
      </c>
      <c r="O5197">
        <v>19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1</v>
      </c>
      <c r="W5197">
        <v>0</v>
      </c>
      <c r="X5197" s="21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J5197" t="s">
        <v>51</v>
      </c>
      <c r="AK5197" t="s">
        <v>95</v>
      </c>
      <c r="AP5197" t="s">
        <v>541</v>
      </c>
    </row>
    <row r="5198" spans="1:42">
      <c r="A5198" s="13">
        <v>43867</v>
      </c>
      <c r="B5198">
        <v>4</v>
      </c>
      <c r="C5198">
        <v>221</v>
      </c>
      <c r="D5198">
        <v>14450</v>
      </c>
      <c r="E5198" t="s">
        <v>112</v>
      </c>
      <c r="F5198" t="s">
        <v>104</v>
      </c>
      <c r="G5198">
        <v>4</v>
      </c>
      <c r="H5198">
        <v>25</v>
      </c>
      <c r="I5198" s="25">
        <v>3250</v>
      </c>
      <c r="K5198" t="s">
        <v>415</v>
      </c>
      <c r="L5198" t="s">
        <v>114</v>
      </c>
      <c r="M5198" t="s">
        <v>52</v>
      </c>
      <c r="N5198" t="s">
        <v>40</v>
      </c>
      <c r="O5198">
        <v>36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1</v>
      </c>
      <c r="W5198">
        <v>0</v>
      </c>
      <c r="X5198" s="21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J5198" t="s">
        <v>51</v>
      </c>
      <c r="AK5198" t="s">
        <v>95</v>
      </c>
      <c r="AL5198" t="s">
        <v>1597</v>
      </c>
      <c r="AP5198" t="s">
        <v>541</v>
      </c>
    </row>
    <row r="5199" spans="1:42">
      <c r="A5199" s="13">
        <v>43867</v>
      </c>
      <c r="B5199">
        <v>4</v>
      </c>
      <c r="C5199">
        <v>221</v>
      </c>
      <c r="D5199">
        <v>14450</v>
      </c>
      <c r="E5199" t="s">
        <v>112</v>
      </c>
      <c r="F5199" t="s">
        <v>104</v>
      </c>
      <c r="G5199">
        <v>4</v>
      </c>
      <c r="H5199">
        <v>26</v>
      </c>
      <c r="I5199" s="25">
        <v>90</v>
      </c>
      <c r="K5199" t="s">
        <v>570</v>
      </c>
      <c r="L5199" t="s">
        <v>114</v>
      </c>
      <c r="M5199" t="s">
        <v>52</v>
      </c>
      <c r="N5199" t="s">
        <v>40</v>
      </c>
      <c r="O5199">
        <v>40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2</v>
      </c>
      <c r="W5199">
        <v>0</v>
      </c>
      <c r="X5199" s="21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J5199" t="s">
        <v>51</v>
      </c>
      <c r="AK5199" t="s">
        <v>95</v>
      </c>
      <c r="AL5199" t="s">
        <v>1597</v>
      </c>
      <c r="AP5199" t="s">
        <v>541</v>
      </c>
    </row>
    <row r="5200" spans="1:42">
      <c r="A5200" s="13">
        <v>43867</v>
      </c>
      <c r="B5200">
        <v>4</v>
      </c>
      <c r="C5200">
        <v>221</v>
      </c>
      <c r="D5200">
        <v>14450</v>
      </c>
      <c r="E5200" t="s">
        <v>112</v>
      </c>
      <c r="F5200" t="s">
        <v>104</v>
      </c>
      <c r="G5200">
        <v>4</v>
      </c>
      <c r="H5200">
        <v>27</v>
      </c>
      <c r="I5200" s="25">
        <v>799</v>
      </c>
      <c r="K5200" t="s">
        <v>906</v>
      </c>
      <c r="L5200" t="s">
        <v>141</v>
      </c>
      <c r="M5200" t="s">
        <v>52</v>
      </c>
      <c r="N5200" t="s">
        <v>40</v>
      </c>
      <c r="O5200">
        <v>52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1</v>
      </c>
      <c r="X5200" s="21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J5200" t="s">
        <v>51</v>
      </c>
      <c r="AK5200" t="s">
        <v>95</v>
      </c>
      <c r="AL5200" t="s">
        <v>649</v>
      </c>
      <c r="AP5200" t="s">
        <v>541</v>
      </c>
    </row>
    <row r="5201" spans="1:42">
      <c r="A5201" s="13">
        <v>43867</v>
      </c>
      <c r="B5201">
        <v>4</v>
      </c>
      <c r="C5201">
        <v>221</v>
      </c>
      <c r="D5201">
        <v>14450</v>
      </c>
      <c r="E5201" t="s">
        <v>112</v>
      </c>
      <c r="F5201" t="s">
        <v>104</v>
      </c>
      <c r="G5201">
        <v>4</v>
      </c>
      <c r="H5201">
        <v>28</v>
      </c>
      <c r="I5201" s="25">
        <v>781</v>
      </c>
      <c r="K5201" t="s">
        <v>906</v>
      </c>
      <c r="L5201" t="s">
        <v>141</v>
      </c>
      <c r="M5201" t="s">
        <v>52</v>
      </c>
      <c r="N5201" t="s">
        <v>40</v>
      </c>
      <c r="O5201">
        <v>52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1</v>
      </c>
      <c r="V5201">
        <v>0</v>
      </c>
      <c r="W5201">
        <v>1</v>
      </c>
      <c r="X5201" s="2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J5201" t="s">
        <v>51</v>
      </c>
      <c r="AK5201" t="s">
        <v>95</v>
      </c>
      <c r="AP5201" t="s">
        <v>541</v>
      </c>
    </row>
    <row r="5202" spans="1:42">
      <c r="A5202" s="13">
        <v>43867</v>
      </c>
      <c r="B5202">
        <v>4</v>
      </c>
      <c r="C5202">
        <v>221</v>
      </c>
      <c r="D5202">
        <v>14450</v>
      </c>
      <c r="E5202" t="s">
        <v>112</v>
      </c>
      <c r="F5202" t="s">
        <v>104</v>
      </c>
      <c r="G5202">
        <v>4</v>
      </c>
      <c r="H5202">
        <v>29</v>
      </c>
      <c r="I5202" s="25">
        <v>757</v>
      </c>
      <c r="K5202" t="s">
        <v>906</v>
      </c>
      <c r="L5202" t="s">
        <v>141</v>
      </c>
      <c r="M5202" t="s">
        <v>52</v>
      </c>
      <c r="N5202" t="s">
        <v>42</v>
      </c>
      <c r="O5202">
        <v>110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2</v>
      </c>
      <c r="V5202">
        <v>0</v>
      </c>
      <c r="W5202">
        <v>0</v>
      </c>
      <c r="X5202" s="21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J5202" t="s">
        <v>51</v>
      </c>
      <c r="AK5202" t="s">
        <v>95</v>
      </c>
      <c r="AL5202" t="s">
        <v>641</v>
      </c>
      <c r="AP5202" t="s">
        <v>541</v>
      </c>
    </row>
    <row r="5203" spans="1:42">
      <c r="A5203" s="13">
        <v>43867</v>
      </c>
      <c r="B5203">
        <v>4</v>
      </c>
      <c r="C5203">
        <v>221</v>
      </c>
      <c r="D5203">
        <v>14450</v>
      </c>
      <c r="E5203" t="s">
        <v>112</v>
      </c>
      <c r="F5203" t="s">
        <v>104</v>
      </c>
      <c r="G5203">
        <v>4</v>
      </c>
      <c r="H5203">
        <v>30</v>
      </c>
      <c r="I5203" s="25">
        <v>2765</v>
      </c>
      <c r="K5203" t="s">
        <v>828</v>
      </c>
      <c r="L5203" t="s">
        <v>141</v>
      </c>
      <c r="M5203" t="s">
        <v>52</v>
      </c>
      <c r="N5203" t="s">
        <v>42</v>
      </c>
      <c r="O5203">
        <v>173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5</v>
      </c>
      <c r="W5203">
        <v>1</v>
      </c>
      <c r="X5203" s="21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J5203" t="s">
        <v>54</v>
      </c>
      <c r="AK5203" t="s">
        <v>52</v>
      </c>
      <c r="AP5203" t="s">
        <v>541</v>
      </c>
    </row>
    <row r="5204" spans="1:42">
      <c r="A5204" s="13">
        <v>43867</v>
      </c>
      <c r="B5204">
        <v>4</v>
      </c>
      <c r="C5204">
        <v>221</v>
      </c>
      <c r="D5204">
        <v>14450</v>
      </c>
      <c r="E5204" t="s">
        <v>112</v>
      </c>
      <c r="F5204" t="s">
        <v>104</v>
      </c>
      <c r="G5204">
        <v>4</v>
      </c>
      <c r="H5204">
        <v>31</v>
      </c>
      <c r="I5204" s="25">
        <v>2739</v>
      </c>
      <c r="K5204" t="s">
        <v>828</v>
      </c>
      <c r="L5204" t="s">
        <v>141</v>
      </c>
      <c r="M5204" t="s">
        <v>52</v>
      </c>
      <c r="N5204" t="s">
        <v>40</v>
      </c>
      <c r="O5204">
        <v>45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1</v>
      </c>
      <c r="V5204">
        <v>1</v>
      </c>
      <c r="W5204">
        <v>0</v>
      </c>
      <c r="X5204" s="21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J5204" t="s">
        <v>54</v>
      </c>
      <c r="AK5204" t="s">
        <v>52</v>
      </c>
      <c r="AP5204" t="s">
        <v>541</v>
      </c>
    </row>
    <row r="5205" spans="1:42">
      <c r="A5205" s="13">
        <v>43867</v>
      </c>
      <c r="B5205">
        <v>4</v>
      </c>
      <c r="C5205">
        <v>221</v>
      </c>
      <c r="D5205">
        <v>14450</v>
      </c>
      <c r="E5205" t="s">
        <v>112</v>
      </c>
      <c r="F5205" t="s">
        <v>104</v>
      </c>
      <c r="G5205">
        <v>4</v>
      </c>
      <c r="H5205">
        <v>32</v>
      </c>
      <c r="I5205" s="25">
        <v>800</v>
      </c>
      <c r="K5205" t="s">
        <v>570</v>
      </c>
      <c r="L5205" t="s">
        <v>114</v>
      </c>
      <c r="M5205" t="s">
        <v>52</v>
      </c>
      <c r="N5205" t="s">
        <v>40</v>
      </c>
      <c r="O5205">
        <v>71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4</v>
      </c>
      <c r="X5205" s="21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J5205" t="s">
        <v>54</v>
      </c>
      <c r="AK5205" t="s">
        <v>52</v>
      </c>
      <c r="AL5205" t="s">
        <v>1627</v>
      </c>
      <c r="AP5205" t="s">
        <v>541</v>
      </c>
    </row>
    <row r="5206" spans="1:42">
      <c r="A5206" s="13">
        <v>43867</v>
      </c>
      <c r="B5206">
        <v>4</v>
      </c>
      <c r="C5206">
        <v>221</v>
      </c>
      <c r="D5206">
        <v>14450</v>
      </c>
      <c r="E5206" t="s">
        <v>112</v>
      </c>
      <c r="F5206" t="s">
        <v>104</v>
      </c>
      <c r="G5206">
        <v>4</v>
      </c>
      <c r="H5206">
        <v>33</v>
      </c>
      <c r="I5206" s="25">
        <v>800</v>
      </c>
      <c r="K5206" t="s">
        <v>570</v>
      </c>
      <c r="L5206" t="s">
        <v>114</v>
      </c>
      <c r="M5206" t="s">
        <v>52</v>
      </c>
      <c r="N5206" t="s">
        <v>40</v>
      </c>
      <c r="O5206">
        <v>14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 s="21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J5206" t="s">
        <v>54</v>
      </c>
      <c r="AK5206" t="s">
        <v>52</v>
      </c>
      <c r="AL5206" t="s">
        <v>649</v>
      </c>
      <c r="AP5206" t="s">
        <v>541</v>
      </c>
    </row>
    <row r="5207" spans="1:42">
      <c r="A5207" s="13">
        <v>43867</v>
      </c>
      <c r="B5207">
        <v>4</v>
      </c>
      <c r="C5207">
        <v>221</v>
      </c>
      <c r="D5207">
        <v>14450</v>
      </c>
      <c r="E5207" t="s">
        <v>112</v>
      </c>
      <c r="F5207" t="s">
        <v>104</v>
      </c>
      <c r="G5207">
        <v>4</v>
      </c>
      <c r="H5207">
        <v>34</v>
      </c>
      <c r="I5207" s="25">
        <v>900</v>
      </c>
      <c r="K5207" t="s">
        <v>570</v>
      </c>
      <c r="L5207" t="s">
        <v>114</v>
      </c>
      <c r="M5207" t="s">
        <v>52</v>
      </c>
      <c r="N5207" t="s">
        <v>40</v>
      </c>
      <c r="O5207">
        <v>56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3</v>
      </c>
      <c r="W5207">
        <v>0</v>
      </c>
      <c r="X5207" s="21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J5207" t="s">
        <v>51</v>
      </c>
      <c r="AK5207" t="s">
        <v>95</v>
      </c>
      <c r="AP5207" t="s">
        <v>541</v>
      </c>
    </row>
    <row r="5208" spans="1:42">
      <c r="A5208" s="13">
        <v>43867</v>
      </c>
      <c r="B5208">
        <v>4</v>
      </c>
      <c r="C5208">
        <v>221</v>
      </c>
      <c r="D5208">
        <v>14450</v>
      </c>
      <c r="E5208" t="s">
        <v>112</v>
      </c>
      <c r="F5208" t="s">
        <v>104</v>
      </c>
      <c r="G5208">
        <v>4</v>
      </c>
      <c r="H5208">
        <v>35</v>
      </c>
      <c r="I5208" s="25">
        <v>1050</v>
      </c>
      <c r="K5208" t="s">
        <v>570</v>
      </c>
      <c r="L5208" t="s">
        <v>114</v>
      </c>
      <c r="M5208" t="s">
        <v>52</v>
      </c>
      <c r="N5208" t="s">
        <v>40</v>
      </c>
      <c r="O5208">
        <v>47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1</v>
      </c>
      <c r="X5208" s="21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J5208" t="s">
        <v>51</v>
      </c>
      <c r="AK5208" t="s">
        <v>95</v>
      </c>
      <c r="AP5208" t="s">
        <v>541</v>
      </c>
    </row>
    <row r="5209" spans="1:42">
      <c r="A5209" s="13">
        <v>43867</v>
      </c>
      <c r="B5209">
        <v>4</v>
      </c>
      <c r="C5209">
        <v>221</v>
      </c>
      <c r="D5209">
        <v>14450</v>
      </c>
      <c r="E5209" t="s">
        <v>112</v>
      </c>
      <c r="F5209" t="s">
        <v>104</v>
      </c>
      <c r="G5209">
        <v>4</v>
      </c>
      <c r="H5209">
        <v>36</v>
      </c>
      <c r="I5209" s="25">
        <v>3200</v>
      </c>
      <c r="K5209" t="s">
        <v>415</v>
      </c>
      <c r="L5209" t="s">
        <v>114</v>
      </c>
      <c r="M5209" t="s">
        <v>52</v>
      </c>
      <c r="N5209" t="s">
        <v>40</v>
      </c>
      <c r="O5209">
        <v>17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 s="21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J5209" t="s">
        <v>54</v>
      </c>
      <c r="AK5209" t="s">
        <v>95</v>
      </c>
      <c r="AL5209" t="s">
        <v>649</v>
      </c>
      <c r="AP5209" t="s">
        <v>541</v>
      </c>
    </row>
    <row r="5210" spans="1:42">
      <c r="A5210" s="13">
        <v>43867</v>
      </c>
      <c r="B5210">
        <v>4</v>
      </c>
      <c r="C5210">
        <v>221</v>
      </c>
      <c r="D5210">
        <v>14450</v>
      </c>
      <c r="E5210" t="s">
        <v>112</v>
      </c>
      <c r="F5210" t="s">
        <v>104</v>
      </c>
      <c r="G5210">
        <v>4</v>
      </c>
      <c r="H5210">
        <v>37</v>
      </c>
      <c r="I5210" s="25">
        <v>3200</v>
      </c>
      <c r="K5210" t="s">
        <v>415</v>
      </c>
      <c r="L5210" t="s">
        <v>114</v>
      </c>
      <c r="M5210" t="s">
        <v>52</v>
      </c>
      <c r="N5210" t="s">
        <v>40</v>
      </c>
      <c r="O5210">
        <v>16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 s="21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J5210" t="s">
        <v>54</v>
      </c>
      <c r="AK5210" t="s">
        <v>95</v>
      </c>
      <c r="AL5210" t="s">
        <v>649</v>
      </c>
      <c r="AP5210" t="s">
        <v>541</v>
      </c>
    </row>
    <row r="5211" spans="1:42">
      <c r="A5211" s="13">
        <v>43867</v>
      </c>
      <c r="B5211">
        <v>4</v>
      </c>
      <c r="C5211">
        <v>221</v>
      </c>
      <c r="D5211">
        <v>14450</v>
      </c>
      <c r="E5211" t="s">
        <v>112</v>
      </c>
      <c r="F5211" t="s">
        <v>104</v>
      </c>
      <c r="G5211">
        <v>4</v>
      </c>
      <c r="H5211">
        <v>38</v>
      </c>
      <c r="I5211" s="25">
        <v>2999</v>
      </c>
      <c r="K5211" t="s">
        <v>414</v>
      </c>
      <c r="L5211" t="s">
        <v>141</v>
      </c>
      <c r="M5211" t="s">
        <v>52</v>
      </c>
      <c r="N5211" t="s">
        <v>40</v>
      </c>
      <c r="O5211">
        <v>14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 s="2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J5211" t="s">
        <v>54</v>
      </c>
      <c r="AK5211" t="s">
        <v>95</v>
      </c>
      <c r="AL5211" t="s">
        <v>649</v>
      </c>
      <c r="AP5211" t="s">
        <v>541</v>
      </c>
    </row>
    <row r="5212" spans="1:42">
      <c r="A5212" s="13">
        <v>43867</v>
      </c>
      <c r="B5212">
        <v>4</v>
      </c>
      <c r="C5212">
        <v>221</v>
      </c>
      <c r="D5212">
        <v>14450</v>
      </c>
      <c r="E5212" t="s">
        <v>112</v>
      </c>
      <c r="F5212" t="s">
        <v>104</v>
      </c>
      <c r="G5212">
        <v>4</v>
      </c>
      <c r="H5212">
        <v>39</v>
      </c>
      <c r="I5212" s="25">
        <v>2901</v>
      </c>
      <c r="K5212" t="s">
        <v>414</v>
      </c>
      <c r="L5212" t="s">
        <v>141</v>
      </c>
      <c r="M5212" t="s">
        <v>52</v>
      </c>
      <c r="N5212" t="s">
        <v>40</v>
      </c>
      <c r="O5212">
        <v>21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 s="21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J5212" t="s">
        <v>54</v>
      </c>
      <c r="AK5212" t="s">
        <v>95</v>
      </c>
      <c r="AL5212" t="s">
        <v>649</v>
      </c>
      <c r="AP5212" t="s">
        <v>541</v>
      </c>
    </row>
    <row r="5213" spans="1:42">
      <c r="A5213" s="13">
        <v>43867</v>
      </c>
      <c r="B5213">
        <v>4</v>
      </c>
      <c r="C5213">
        <v>221</v>
      </c>
      <c r="D5213">
        <v>14450</v>
      </c>
      <c r="E5213" t="s">
        <v>112</v>
      </c>
      <c r="F5213" t="s">
        <v>104</v>
      </c>
      <c r="G5213">
        <v>4</v>
      </c>
      <c r="H5213">
        <v>40</v>
      </c>
      <c r="I5213" s="25">
        <v>2906</v>
      </c>
      <c r="K5213" t="s">
        <v>415</v>
      </c>
      <c r="L5213" t="s">
        <v>114</v>
      </c>
      <c r="M5213" t="s">
        <v>52</v>
      </c>
      <c r="N5213" t="s">
        <v>44</v>
      </c>
      <c r="O5213">
        <v>77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1</v>
      </c>
      <c r="X5213" s="21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J5213" t="s">
        <v>51</v>
      </c>
      <c r="AK5213" t="s">
        <v>95</v>
      </c>
      <c r="AP5213" t="s">
        <v>541</v>
      </c>
    </row>
    <row r="5214" spans="1:42">
      <c r="A5214" s="13">
        <v>43867</v>
      </c>
      <c r="B5214">
        <v>4</v>
      </c>
      <c r="C5214">
        <v>221</v>
      </c>
      <c r="D5214">
        <v>14450</v>
      </c>
      <c r="E5214" t="s">
        <v>112</v>
      </c>
      <c r="F5214" t="s">
        <v>104</v>
      </c>
      <c r="G5214">
        <v>4</v>
      </c>
      <c r="H5214">
        <v>41</v>
      </c>
      <c r="I5214" s="25" t="s">
        <v>1628</v>
      </c>
      <c r="K5214" t="s">
        <v>1122</v>
      </c>
      <c r="L5214" t="s">
        <v>141</v>
      </c>
      <c r="M5214" t="s">
        <v>52</v>
      </c>
      <c r="N5214" t="s">
        <v>40</v>
      </c>
      <c r="O5214">
        <v>80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2</v>
      </c>
      <c r="V5214">
        <v>1</v>
      </c>
      <c r="W5214">
        <v>0</v>
      </c>
      <c r="X5214" s="21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J5214" t="s">
        <v>51</v>
      </c>
      <c r="AK5214" t="s">
        <v>52</v>
      </c>
      <c r="AP5214" t="s">
        <v>541</v>
      </c>
    </row>
    <row r="5215" spans="1:42">
      <c r="A5215" s="13">
        <v>43867</v>
      </c>
      <c r="B5215">
        <v>4</v>
      </c>
      <c r="C5215">
        <v>221</v>
      </c>
      <c r="D5215">
        <v>14450</v>
      </c>
      <c r="E5215" t="s">
        <v>112</v>
      </c>
      <c r="F5215" t="s">
        <v>104</v>
      </c>
      <c r="G5215">
        <v>4</v>
      </c>
      <c r="H5215">
        <v>42</v>
      </c>
      <c r="I5215" s="25">
        <v>10</v>
      </c>
      <c r="K5215" t="s">
        <v>1629</v>
      </c>
      <c r="L5215" t="s">
        <v>114</v>
      </c>
      <c r="M5215" t="s">
        <v>95</v>
      </c>
      <c r="N5215" t="s">
        <v>40</v>
      </c>
      <c r="O5215">
        <v>373</v>
      </c>
      <c r="P5215">
        <v>373</v>
      </c>
      <c r="Q5215" t="s">
        <v>1630</v>
      </c>
      <c r="R5215">
        <v>3</v>
      </c>
      <c r="S5215">
        <v>4</v>
      </c>
      <c r="T5215">
        <v>0</v>
      </c>
      <c r="U5215">
        <v>5</v>
      </c>
      <c r="V5215">
        <v>2</v>
      </c>
      <c r="W5215">
        <v>2</v>
      </c>
      <c r="X5215" s="21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J5215" t="s">
        <v>51</v>
      </c>
      <c r="AK5215" t="s">
        <v>52</v>
      </c>
      <c r="AP5215" t="s">
        <v>541</v>
      </c>
    </row>
    <row r="5216" spans="1:42">
      <c r="A5216" s="13">
        <v>43867</v>
      </c>
      <c r="B5216">
        <v>4</v>
      </c>
      <c r="C5216">
        <v>221</v>
      </c>
      <c r="D5216">
        <v>14450</v>
      </c>
      <c r="E5216" t="s">
        <v>112</v>
      </c>
      <c r="F5216" t="s">
        <v>104</v>
      </c>
      <c r="G5216">
        <v>4</v>
      </c>
      <c r="H5216">
        <v>43</v>
      </c>
      <c r="I5216" s="25">
        <v>900</v>
      </c>
      <c r="K5216" t="s">
        <v>1122</v>
      </c>
      <c r="L5216" t="s">
        <v>114</v>
      </c>
      <c r="M5216" t="s">
        <v>52</v>
      </c>
      <c r="N5216" t="s">
        <v>40</v>
      </c>
      <c r="O5216">
        <v>81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2</v>
      </c>
      <c r="V5216">
        <v>2</v>
      </c>
      <c r="W5216">
        <v>0</v>
      </c>
      <c r="X5216" s="21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J5216" t="s">
        <v>51</v>
      </c>
      <c r="AK5216" t="s">
        <v>52</v>
      </c>
      <c r="AP5216" t="s">
        <v>541</v>
      </c>
    </row>
    <row r="5217" spans="1:42">
      <c r="A5217" s="13">
        <v>43867</v>
      </c>
      <c r="B5217">
        <v>4</v>
      </c>
      <c r="C5217">
        <v>221</v>
      </c>
      <c r="D5217">
        <v>14450</v>
      </c>
      <c r="E5217" t="s">
        <v>112</v>
      </c>
      <c r="F5217" t="s">
        <v>104</v>
      </c>
      <c r="G5217">
        <v>4</v>
      </c>
      <c r="H5217">
        <v>44</v>
      </c>
      <c r="I5217" s="25">
        <v>2925</v>
      </c>
      <c r="K5217" t="s">
        <v>420</v>
      </c>
      <c r="L5217" t="s">
        <v>141</v>
      </c>
      <c r="M5217" t="s">
        <v>52</v>
      </c>
      <c r="N5217" t="s">
        <v>40</v>
      </c>
      <c r="O5217">
        <v>97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2</v>
      </c>
      <c r="V5217">
        <v>1</v>
      </c>
      <c r="W5217">
        <v>0</v>
      </c>
      <c r="X5217" s="21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J5217" t="s">
        <v>54</v>
      </c>
      <c r="AK5217" t="s">
        <v>95</v>
      </c>
      <c r="AP5217" t="s">
        <v>541</v>
      </c>
    </row>
    <row r="5218" spans="1:42">
      <c r="A5218" s="13">
        <v>43867</v>
      </c>
      <c r="B5218">
        <v>4</v>
      </c>
      <c r="C5218">
        <v>221</v>
      </c>
      <c r="D5218">
        <v>14450</v>
      </c>
      <c r="E5218" t="s">
        <v>112</v>
      </c>
      <c r="F5218" t="s">
        <v>104</v>
      </c>
      <c r="G5218">
        <v>4</v>
      </c>
      <c r="H5218">
        <v>45</v>
      </c>
      <c r="I5218" s="25">
        <v>2914</v>
      </c>
      <c r="K5218" t="s">
        <v>420</v>
      </c>
      <c r="L5218" t="s">
        <v>114</v>
      </c>
      <c r="M5218" t="s">
        <v>52</v>
      </c>
      <c r="N5218" t="s">
        <v>44</v>
      </c>
      <c r="O5218">
        <v>69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1</v>
      </c>
      <c r="W5218">
        <v>0</v>
      </c>
      <c r="X5218" s="21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J5218" t="s">
        <v>54</v>
      </c>
      <c r="AK5218" t="s">
        <v>52</v>
      </c>
      <c r="AL5218" t="s">
        <v>611</v>
      </c>
      <c r="AP5218" t="s">
        <v>541</v>
      </c>
    </row>
    <row r="5219" spans="1:42">
      <c r="A5219" s="13">
        <v>43867</v>
      </c>
      <c r="B5219">
        <v>4</v>
      </c>
      <c r="C5219">
        <v>221</v>
      </c>
      <c r="D5219">
        <v>14450</v>
      </c>
      <c r="E5219" t="s">
        <v>112</v>
      </c>
      <c r="F5219" t="s">
        <v>104</v>
      </c>
      <c r="G5219">
        <v>4</v>
      </c>
      <c r="H5219">
        <v>46</v>
      </c>
      <c r="I5219" s="25">
        <v>2928</v>
      </c>
      <c r="K5219" t="s">
        <v>420</v>
      </c>
      <c r="L5219" t="s">
        <v>114</v>
      </c>
      <c r="M5219" t="s">
        <v>52</v>
      </c>
      <c r="N5219" t="s">
        <v>40</v>
      </c>
      <c r="O5219">
        <v>87</v>
      </c>
      <c r="P5219">
        <v>0</v>
      </c>
      <c r="Q5219">
        <v>0</v>
      </c>
      <c r="R5219">
        <v>0</v>
      </c>
      <c r="S5219">
        <v>2</v>
      </c>
      <c r="T5219">
        <v>0</v>
      </c>
      <c r="U5219">
        <v>3</v>
      </c>
      <c r="V5219">
        <v>0</v>
      </c>
      <c r="W5219">
        <v>0</v>
      </c>
      <c r="X5219" s="21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J5219" t="s">
        <v>54</v>
      </c>
      <c r="AK5219" t="s">
        <v>52</v>
      </c>
      <c r="AP5219" t="s">
        <v>541</v>
      </c>
    </row>
    <row r="5220" spans="1:42">
      <c r="A5220" s="13">
        <v>43867</v>
      </c>
      <c r="B5220">
        <v>4</v>
      </c>
      <c r="C5220">
        <v>221</v>
      </c>
      <c r="D5220">
        <v>14450</v>
      </c>
      <c r="E5220" t="s">
        <v>112</v>
      </c>
      <c r="F5220" t="s">
        <v>104</v>
      </c>
      <c r="G5220">
        <v>4</v>
      </c>
      <c r="H5220">
        <v>47</v>
      </c>
      <c r="I5220" s="25">
        <v>2447</v>
      </c>
      <c r="K5220" t="s">
        <v>420</v>
      </c>
      <c r="L5220" t="s">
        <v>141</v>
      </c>
      <c r="M5220" t="s">
        <v>52</v>
      </c>
      <c r="N5220" t="s">
        <v>44</v>
      </c>
      <c r="O5220">
        <v>88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1</v>
      </c>
      <c r="V5220">
        <v>0</v>
      </c>
      <c r="W5220">
        <v>0</v>
      </c>
      <c r="X5220" s="21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J5220" t="s">
        <v>51</v>
      </c>
      <c r="AK5220" t="s">
        <v>52</v>
      </c>
      <c r="AL5220" t="s">
        <v>611</v>
      </c>
      <c r="AP5220" t="s">
        <v>541</v>
      </c>
    </row>
    <row r="5221" spans="1:42">
      <c r="A5221" s="13">
        <v>43867</v>
      </c>
      <c r="B5221">
        <v>4</v>
      </c>
      <c r="C5221">
        <v>221</v>
      </c>
      <c r="D5221">
        <v>14450</v>
      </c>
      <c r="E5221" t="s">
        <v>112</v>
      </c>
      <c r="F5221" t="s">
        <v>104</v>
      </c>
      <c r="G5221">
        <v>4</v>
      </c>
      <c r="H5221">
        <v>48</v>
      </c>
      <c r="I5221" s="25">
        <v>899</v>
      </c>
      <c r="K5221" t="s">
        <v>570</v>
      </c>
      <c r="L5221" t="s">
        <v>141</v>
      </c>
      <c r="M5221" t="s">
        <v>52</v>
      </c>
      <c r="N5221" t="s">
        <v>42</v>
      </c>
      <c r="O5221">
        <v>163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3</v>
      </c>
      <c r="V5221">
        <v>0</v>
      </c>
      <c r="W5221">
        <v>2</v>
      </c>
      <c r="X5221" s="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J5221" t="s">
        <v>51</v>
      </c>
      <c r="AK5221" t="s">
        <v>52</v>
      </c>
      <c r="AL5221" t="s">
        <v>590</v>
      </c>
      <c r="AP5221" t="s">
        <v>541</v>
      </c>
    </row>
    <row r="5222" spans="1:42">
      <c r="A5222" s="13">
        <v>43867</v>
      </c>
      <c r="B5222">
        <v>4</v>
      </c>
      <c r="C5222">
        <v>221</v>
      </c>
      <c r="D5222">
        <v>14450</v>
      </c>
      <c r="E5222" t="s">
        <v>112</v>
      </c>
      <c r="F5222" t="s">
        <v>104</v>
      </c>
      <c r="G5222">
        <v>4</v>
      </c>
      <c r="H5222">
        <v>49</v>
      </c>
      <c r="I5222" s="25">
        <v>889</v>
      </c>
      <c r="K5222" t="s">
        <v>570</v>
      </c>
      <c r="L5222" t="s">
        <v>141</v>
      </c>
      <c r="M5222" t="s">
        <v>52</v>
      </c>
      <c r="N5222" t="s">
        <v>42</v>
      </c>
      <c r="O5222">
        <v>82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2</v>
      </c>
      <c r="V5222">
        <v>1</v>
      </c>
      <c r="W5222">
        <v>0</v>
      </c>
      <c r="X5222" s="21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J5222" t="s">
        <v>51</v>
      </c>
      <c r="AK5222" t="s">
        <v>52</v>
      </c>
      <c r="AL5222" t="s">
        <v>611</v>
      </c>
      <c r="AP5222" t="s">
        <v>541</v>
      </c>
    </row>
    <row r="5223" spans="1:42">
      <c r="A5223" s="13">
        <v>43867</v>
      </c>
      <c r="B5223">
        <v>4</v>
      </c>
      <c r="C5223">
        <v>221</v>
      </c>
      <c r="D5223">
        <v>14450</v>
      </c>
      <c r="E5223" t="s">
        <v>112</v>
      </c>
      <c r="F5223" t="s">
        <v>104</v>
      </c>
      <c r="G5223">
        <v>4</v>
      </c>
      <c r="H5223">
        <v>50</v>
      </c>
      <c r="I5223" s="25">
        <v>865</v>
      </c>
      <c r="K5223" t="s">
        <v>570</v>
      </c>
      <c r="L5223" t="s">
        <v>141</v>
      </c>
      <c r="M5223" t="s">
        <v>52</v>
      </c>
      <c r="N5223" t="s">
        <v>42</v>
      </c>
      <c r="O5223">
        <v>136</v>
      </c>
      <c r="P5223">
        <v>0</v>
      </c>
      <c r="Q5223">
        <v>0</v>
      </c>
      <c r="R5223">
        <v>0</v>
      </c>
      <c r="S5223">
        <v>1</v>
      </c>
      <c r="T5223">
        <v>0</v>
      </c>
      <c r="U5223">
        <v>0</v>
      </c>
      <c r="V5223">
        <v>2</v>
      </c>
      <c r="W5223">
        <v>1</v>
      </c>
      <c r="X5223" s="21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J5223" t="s">
        <v>51</v>
      </c>
      <c r="AK5223" t="s">
        <v>52</v>
      </c>
      <c r="AL5223" t="s">
        <v>590</v>
      </c>
      <c r="AP5223" t="s">
        <v>541</v>
      </c>
    </row>
    <row r="5224" spans="1:42">
      <c r="A5224" s="13">
        <v>43867</v>
      </c>
      <c r="B5224">
        <v>4</v>
      </c>
      <c r="C5224">
        <v>221</v>
      </c>
      <c r="D5224">
        <v>14450</v>
      </c>
      <c r="E5224" t="s">
        <v>112</v>
      </c>
      <c r="F5224" t="s">
        <v>104</v>
      </c>
      <c r="G5224">
        <v>4</v>
      </c>
      <c r="H5224">
        <v>51</v>
      </c>
      <c r="I5224" s="25">
        <v>851</v>
      </c>
      <c r="K5224" t="s">
        <v>570</v>
      </c>
      <c r="L5224" t="s">
        <v>141</v>
      </c>
      <c r="M5224" t="s">
        <v>52</v>
      </c>
      <c r="N5224" t="s">
        <v>42</v>
      </c>
      <c r="O5224">
        <v>162</v>
      </c>
      <c r="P5224">
        <v>0</v>
      </c>
      <c r="Q5224">
        <v>0</v>
      </c>
      <c r="R5224">
        <v>0</v>
      </c>
      <c r="S5224">
        <v>1</v>
      </c>
      <c r="T5224">
        <v>0</v>
      </c>
      <c r="U5224">
        <v>5</v>
      </c>
      <c r="V5224">
        <v>0</v>
      </c>
      <c r="W5224">
        <v>0</v>
      </c>
      <c r="X5224" s="21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J5224" t="s">
        <v>51</v>
      </c>
      <c r="AK5224" t="s">
        <v>52</v>
      </c>
      <c r="AP5224" t="s">
        <v>541</v>
      </c>
    </row>
    <row r="5225" spans="1:42">
      <c r="A5225" s="13">
        <v>43867</v>
      </c>
      <c r="B5225">
        <v>4</v>
      </c>
      <c r="C5225">
        <v>221</v>
      </c>
      <c r="D5225">
        <v>14450</v>
      </c>
      <c r="E5225" t="s">
        <v>112</v>
      </c>
      <c r="F5225" t="s">
        <v>104</v>
      </c>
      <c r="G5225">
        <v>4</v>
      </c>
      <c r="H5225">
        <v>52</v>
      </c>
      <c r="I5225" s="25">
        <v>847</v>
      </c>
      <c r="K5225" t="s">
        <v>570</v>
      </c>
      <c r="L5225" t="s">
        <v>141</v>
      </c>
      <c r="M5225" t="s">
        <v>52</v>
      </c>
      <c r="N5225" t="s">
        <v>44</v>
      </c>
      <c r="O5225">
        <v>72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2</v>
      </c>
      <c r="W5225">
        <v>0</v>
      </c>
      <c r="X5225" s="21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J5225" t="s">
        <v>51</v>
      </c>
      <c r="AK5225" t="s">
        <v>52</v>
      </c>
      <c r="AP5225" t="s">
        <v>541</v>
      </c>
    </row>
    <row r="5226" spans="1:42">
      <c r="A5226" s="13">
        <v>43867</v>
      </c>
      <c r="B5226">
        <v>4</v>
      </c>
      <c r="C5226">
        <v>221</v>
      </c>
      <c r="D5226">
        <v>14450</v>
      </c>
      <c r="E5226" t="s">
        <v>112</v>
      </c>
      <c r="F5226" t="s">
        <v>104</v>
      </c>
      <c r="G5226">
        <v>4</v>
      </c>
      <c r="H5226">
        <v>53</v>
      </c>
      <c r="I5226" s="25">
        <v>2600</v>
      </c>
      <c r="K5226" t="s">
        <v>1116</v>
      </c>
      <c r="L5226" t="s">
        <v>114</v>
      </c>
      <c r="M5226" t="s">
        <v>95</v>
      </c>
      <c r="N5226" t="s">
        <v>40</v>
      </c>
      <c r="O5226">
        <v>222</v>
      </c>
      <c r="P5226">
        <v>222</v>
      </c>
      <c r="Q5226" t="s">
        <v>1630</v>
      </c>
      <c r="R5226">
        <v>4</v>
      </c>
      <c r="S5226">
        <v>1</v>
      </c>
      <c r="T5226">
        <v>0</v>
      </c>
      <c r="U5226">
        <v>3</v>
      </c>
      <c r="V5226">
        <v>1</v>
      </c>
      <c r="W5226">
        <v>1</v>
      </c>
      <c r="X5226" s="21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J5226" t="s">
        <v>54</v>
      </c>
      <c r="AK5226" t="s">
        <v>52</v>
      </c>
      <c r="AL5226" t="s">
        <v>1631</v>
      </c>
      <c r="AP5226" t="s">
        <v>541</v>
      </c>
    </row>
    <row r="5227" spans="1:42">
      <c r="A5227" s="13">
        <v>43867</v>
      </c>
      <c r="B5227">
        <v>4</v>
      </c>
      <c r="C5227">
        <v>221</v>
      </c>
      <c r="D5227">
        <v>14450</v>
      </c>
      <c r="E5227" t="s">
        <v>112</v>
      </c>
      <c r="F5227" t="s">
        <v>104</v>
      </c>
      <c r="G5227">
        <v>4</v>
      </c>
      <c r="H5227">
        <v>54</v>
      </c>
      <c r="I5227" s="25">
        <v>2617</v>
      </c>
      <c r="K5227" t="s">
        <v>828</v>
      </c>
      <c r="L5227" t="s">
        <v>141</v>
      </c>
      <c r="M5227" t="s">
        <v>52</v>
      </c>
      <c r="N5227" t="s">
        <v>40</v>
      </c>
      <c r="O5227">
        <v>72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1</v>
      </c>
      <c r="V5227">
        <v>2</v>
      </c>
      <c r="W5227">
        <v>0</v>
      </c>
      <c r="X5227" s="21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J5227" t="s">
        <v>54</v>
      </c>
      <c r="AK5227" t="s">
        <v>52</v>
      </c>
      <c r="AP5227" t="s">
        <v>541</v>
      </c>
    </row>
    <row r="5228" spans="1:42">
      <c r="A5228" s="13">
        <v>43867</v>
      </c>
      <c r="B5228">
        <v>4</v>
      </c>
      <c r="C5228">
        <v>221</v>
      </c>
      <c r="D5228">
        <v>14450</v>
      </c>
      <c r="E5228" t="s">
        <v>112</v>
      </c>
      <c r="F5228" t="s">
        <v>104</v>
      </c>
      <c r="G5228">
        <v>4</v>
      </c>
      <c r="H5228">
        <v>55</v>
      </c>
      <c r="I5228" s="25">
        <v>2603</v>
      </c>
      <c r="K5228" t="s">
        <v>828</v>
      </c>
      <c r="L5228" t="s">
        <v>141</v>
      </c>
      <c r="M5228" t="s">
        <v>52</v>
      </c>
      <c r="N5228" t="s">
        <v>44</v>
      </c>
      <c r="O5228">
        <v>37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1</v>
      </c>
      <c r="W5228">
        <v>1</v>
      </c>
      <c r="X5228" s="21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J5228" t="s">
        <v>54</v>
      </c>
      <c r="AK5228" t="s">
        <v>52</v>
      </c>
      <c r="AL5228" t="s">
        <v>590</v>
      </c>
      <c r="AP5228" t="s">
        <v>541</v>
      </c>
    </row>
    <row r="5229" spans="1:42">
      <c r="A5229" s="13">
        <v>43867</v>
      </c>
      <c r="B5229">
        <v>4</v>
      </c>
      <c r="C5229">
        <v>221</v>
      </c>
      <c r="D5229">
        <v>14450</v>
      </c>
      <c r="E5229" t="s">
        <v>112</v>
      </c>
      <c r="F5229" t="s">
        <v>104</v>
      </c>
      <c r="G5229">
        <v>4</v>
      </c>
      <c r="H5229">
        <v>56</v>
      </c>
      <c r="I5229" s="25">
        <v>800</v>
      </c>
      <c r="K5229" t="s">
        <v>1122</v>
      </c>
      <c r="L5229" t="s">
        <v>114</v>
      </c>
      <c r="M5229" t="s">
        <v>52</v>
      </c>
      <c r="N5229" t="s">
        <v>40</v>
      </c>
      <c r="O5229">
        <v>33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2</v>
      </c>
      <c r="V5229">
        <v>0</v>
      </c>
      <c r="W5229">
        <v>0</v>
      </c>
      <c r="X5229" s="21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J5229" t="s">
        <v>51</v>
      </c>
      <c r="AK5229" t="s">
        <v>95</v>
      </c>
      <c r="AP5229" t="s">
        <v>541</v>
      </c>
    </row>
    <row r="5230" spans="1:42">
      <c r="A5230" s="13">
        <v>43867</v>
      </c>
      <c r="B5230">
        <v>4</v>
      </c>
      <c r="C5230">
        <v>221</v>
      </c>
      <c r="D5230">
        <v>14450</v>
      </c>
      <c r="E5230" t="s">
        <v>112</v>
      </c>
      <c r="F5230" t="s">
        <v>104</v>
      </c>
      <c r="G5230">
        <v>4</v>
      </c>
      <c r="H5230">
        <v>57</v>
      </c>
      <c r="I5230" s="25">
        <v>820</v>
      </c>
      <c r="K5230" t="s">
        <v>1122</v>
      </c>
      <c r="L5230" t="s">
        <v>114</v>
      </c>
      <c r="M5230" t="s">
        <v>52</v>
      </c>
      <c r="N5230" t="s">
        <v>40</v>
      </c>
      <c r="O5230">
        <v>88</v>
      </c>
      <c r="P5230">
        <v>0</v>
      </c>
      <c r="Q5230">
        <v>0</v>
      </c>
      <c r="R5230">
        <v>0</v>
      </c>
      <c r="S5230">
        <v>2</v>
      </c>
      <c r="T5230">
        <v>0</v>
      </c>
      <c r="U5230">
        <v>4</v>
      </c>
      <c r="V5230">
        <v>0</v>
      </c>
      <c r="W5230">
        <v>0</v>
      </c>
      <c r="X5230" s="21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J5230" t="s">
        <v>51</v>
      </c>
      <c r="AK5230" t="s">
        <v>95</v>
      </c>
      <c r="AP5230" t="s">
        <v>541</v>
      </c>
    </row>
    <row r="5231" spans="1:42">
      <c r="A5231" s="13">
        <v>43867</v>
      </c>
      <c r="B5231">
        <v>4</v>
      </c>
      <c r="C5231">
        <v>221</v>
      </c>
      <c r="D5231">
        <v>14450</v>
      </c>
      <c r="E5231" t="s">
        <v>112</v>
      </c>
      <c r="F5231" t="s">
        <v>104</v>
      </c>
      <c r="G5231">
        <v>4</v>
      </c>
      <c r="H5231">
        <v>58</v>
      </c>
      <c r="I5231" s="25">
        <v>828</v>
      </c>
      <c r="K5231" t="s">
        <v>1122</v>
      </c>
      <c r="L5231" t="s">
        <v>114</v>
      </c>
      <c r="M5231" t="s">
        <v>52</v>
      </c>
      <c r="N5231" t="s">
        <v>44</v>
      </c>
      <c r="O5231">
        <v>62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</v>
      </c>
      <c r="X5231" s="2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J5231" t="s">
        <v>51</v>
      </c>
      <c r="AK5231" t="s">
        <v>95</v>
      </c>
      <c r="AP5231" t="s">
        <v>541</v>
      </c>
    </row>
    <row r="5232" spans="1:42">
      <c r="A5232" s="13">
        <v>43867</v>
      </c>
      <c r="B5232">
        <v>4</v>
      </c>
      <c r="C5232">
        <v>221</v>
      </c>
      <c r="D5232">
        <v>14450</v>
      </c>
      <c r="E5232" t="s">
        <v>112</v>
      </c>
      <c r="F5232" t="s">
        <v>104</v>
      </c>
      <c r="G5232">
        <v>4</v>
      </c>
      <c r="H5232">
        <v>59</v>
      </c>
      <c r="I5232" s="25">
        <v>834</v>
      </c>
      <c r="K5232" t="s">
        <v>1122</v>
      </c>
      <c r="L5232" t="s">
        <v>114</v>
      </c>
      <c r="M5232" t="s">
        <v>52</v>
      </c>
      <c r="N5232" t="s">
        <v>40</v>
      </c>
      <c r="O5232">
        <v>22</v>
      </c>
      <c r="P5232">
        <v>0</v>
      </c>
      <c r="Q5232">
        <v>0</v>
      </c>
      <c r="R5232">
        <v>0</v>
      </c>
      <c r="S5232">
        <v>1</v>
      </c>
      <c r="T5232">
        <v>0</v>
      </c>
      <c r="U5232">
        <v>0</v>
      </c>
      <c r="V5232">
        <v>2</v>
      </c>
      <c r="W5232">
        <v>0</v>
      </c>
      <c r="X5232" s="21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J5232" t="s">
        <v>51</v>
      </c>
      <c r="AK5232" t="s">
        <v>52</v>
      </c>
      <c r="AP5232" t="s">
        <v>541</v>
      </c>
    </row>
    <row r="5233" spans="1:42">
      <c r="A5233" s="13">
        <v>43867</v>
      </c>
      <c r="B5233">
        <v>4</v>
      </c>
      <c r="C5233">
        <v>221</v>
      </c>
      <c r="D5233">
        <v>14450</v>
      </c>
      <c r="E5233" t="s">
        <v>112</v>
      </c>
      <c r="F5233" t="s">
        <v>104</v>
      </c>
      <c r="G5233">
        <v>4</v>
      </c>
      <c r="H5233">
        <v>60</v>
      </c>
      <c r="I5233" s="25">
        <v>830</v>
      </c>
      <c r="K5233" t="s">
        <v>1122</v>
      </c>
      <c r="L5233" t="s">
        <v>114</v>
      </c>
      <c r="M5233" t="s">
        <v>52</v>
      </c>
      <c r="N5233" t="s">
        <v>44</v>
      </c>
      <c r="O5233">
        <v>62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2</v>
      </c>
      <c r="V5233">
        <v>0</v>
      </c>
      <c r="W5233">
        <v>0</v>
      </c>
      <c r="X5233" s="21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J5233" t="s">
        <v>51</v>
      </c>
      <c r="AK5233" t="s">
        <v>52</v>
      </c>
      <c r="AL5233" t="s">
        <v>611</v>
      </c>
      <c r="AP5233" t="s">
        <v>541</v>
      </c>
    </row>
    <row r="5234" spans="1:42">
      <c r="A5234" s="13">
        <v>43867</v>
      </c>
      <c r="B5234">
        <v>4</v>
      </c>
      <c r="C5234">
        <v>221</v>
      </c>
      <c r="D5234">
        <v>14450</v>
      </c>
      <c r="E5234" t="s">
        <v>112</v>
      </c>
      <c r="F5234" t="s">
        <v>104</v>
      </c>
      <c r="G5234">
        <v>4</v>
      </c>
      <c r="H5234">
        <v>61</v>
      </c>
      <c r="I5234" s="25" t="s">
        <v>1632</v>
      </c>
      <c r="K5234" t="s">
        <v>1122</v>
      </c>
      <c r="L5234" t="s">
        <v>114</v>
      </c>
      <c r="M5234" t="s">
        <v>52</v>
      </c>
      <c r="N5234" t="s">
        <v>44</v>
      </c>
      <c r="O5234">
        <v>73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1</v>
      </c>
      <c r="X5234" s="21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J5234" t="s">
        <v>51</v>
      </c>
      <c r="AK5234" t="s">
        <v>52</v>
      </c>
      <c r="AL5234" t="s">
        <v>611</v>
      </c>
      <c r="AP5234" t="s">
        <v>541</v>
      </c>
    </row>
    <row r="5235" spans="1:42">
      <c r="A5235" s="13">
        <v>43867</v>
      </c>
      <c r="B5235">
        <v>4</v>
      </c>
      <c r="C5235">
        <v>221</v>
      </c>
      <c r="D5235">
        <v>14450</v>
      </c>
      <c r="E5235" t="s">
        <v>112</v>
      </c>
      <c r="F5235" t="s">
        <v>104</v>
      </c>
      <c r="G5235">
        <v>4</v>
      </c>
      <c r="H5235">
        <v>62</v>
      </c>
      <c r="I5235" s="25">
        <v>844</v>
      </c>
      <c r="K5235" t="s">
        <v>1122</v>
      </c>
      <c r="L5235" t="s">
        <v>114</v>
      </c>
      <c r="M5235" t="s">
        <v>52</v>
      </c>
      <c r="N5235" t="s">
        <v>40</v>
      </c>
      <c r="O5235">
        <v>71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2</v>
      </c>
      <c r="V5235">
        <v>2</v>
      </c>
      <c r="W5235">
        <v>0</v>
      </c>
      <c r="X5235" s="21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J5235" t="s">
        <v>51</v>
      </c>
      <c r="AK5235" t="s">
        <v>52</v>
      </c>
      <c r="AP5235" t="s">
        <v>541</v>
      </c>
    </row>
    <row r="5236" spans="1:42">
      <c r="A5236" s="13">
        <v>43867</v>
      </c>
      <c r="B5236">
        <v>4</v>
      </c>
      <c r="C5236">
        <v>221</v>
      </c>
      <c r="D5236">
        <v>14450</v>
      </c>
      <c r="E5236" t="s">
        <v>112</v>
      </c>
      <c r="F5236" t="s">
        <v>104</v>
      </c>
      <c r="G5236">
        <v>4</v>
      </c>
      <c r="H5236">
        <v>63</v>
      </c>
      <c r="I5236" s="25">
        <v>862</v>
      </c>
      <c r="K5236" t="s">
        <v>1122</v>
      </c>
      <c r="L5236" t="s">
        <v>114</v>
      </c>
      <c r="M5236" t="s">
        <v>52</v>
      </c>
      <c r="N5236" t="s">
        <v>44</v>
      </c>
      <c r="O5236">
        <v>65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1</v>
      </c>
      <c r="W5236">
        <v>0</v>
      </c>
      <c r="X5236" s="21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J5236" t="s">
        <v>51</v>
      </c>
      <c r="AK5236" t="s">
        <v>95</v>
      </c>
      <c r="AL5236" t="s">
        <v>611</v>
      </c>
      <c r="AP5236" t="s">
        <v>541</v>
      </c>
    </row>
    <row r="5237" spans="1:42">
      <c r="A5237" s="13">
        <v>43867</v>
      </c>
      <c r="B5237">
        <v>4</v>
      </c>
      <c r="C5237">
        <v>221</v>
      </c>
      <c r="D5237">
        <v>14450</v>
      </c>
      <c r="E5237" t="s">
        <v>112</v>
      </c>
      <c r="F5237" t="s">
        <v>104</v>
      </c>
      <c r="G5237">
        <v>4</v>
      </c>
      <c r="H5237">
        <v>64</v>
      </c>
      <c r="I5237" s="25" t="s">
        <v>1633</v>
      </c>
      <c r="K5237" t="s">
        <v>570</v>
      </c>
      <c r="L5237" t="s">
        <v>141</v>
      </c>
      <c r="M5237" t="s">
        <v>52</v>
      </c>
      <c r="N5237" t="s">
        <v>40</v>
      </c>
      <c r="O5237">
        <v>72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1</v>
      </c>
      <c r="V5237">
        <v>3</v>
      </c>
      <c r="W5237">
        <v>0</v>
      </c>
      <c r="X5237" s="21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J5237" t="s">
        <v>51</v>
      </c>
      <c r="AK5237" t="s">
        <v>95</v>
      </c>
      <c r="AP5237" t="s">
        <v>541</v>
      </c>
    </row>
    <row r="5238" spans="1:42">
      <c r="A5238" s="13">
        <v>43867</v>
      </c>
      <c r="B5238">
        <v>4</v>
      </c>
      <c r="C5238">
        <v>221</v>
      </c>
      <c r="D5238">
        <v>14450</v>
      </c>
      <c r="E5238" t="s">
        <v>112</v>
      </c>
      <c r="F5238" t="s">
        <v>104</v>
      </c>
      <c r="G5238">
        <v>4</v>
      </c>
      <c r="H5238">
        <v>65</v>
      </c>
      <c r="I5238" s="25">
        <v>949</v>
      </c>
      <c r="K5238" t="s">
        <v>570</v>
      </c>
      <c r="L5238" t="s">
        <v>141</v>
      </c>
      <c r="M5238" t="s">
        <v>52</v>
      </c>
      <c r="N5238" t="s">
        <v>40</v>
      </c>
      <c r="O5238">
        <v>48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2</v>
      </c>
      <c r="W5238">
        <v>1</v>
      </c>
      <c r="X5238" s="21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J5238" t="s">
        <v>51</v>
      </c>
      <c r="AK5238" t="s">
        <v>95</v>
      </c>
      <c r="AP5238" t="s">
        <v>541</v>
      </c>
    </row>
    <row r="5239" spans="1:42">
      <c r="A5239" s="13">
        <v>43867</v>
      </c>
      <c r="B5239">
        <v>4</v>
      </c>
      <c r="C5239">
        <v>221</v>
      </c>
      <c r="D5239">
        <v>14450</v>
      </c>
      <c r="E5239" t="s">
        <v>112</v>
      </c>
      <c r="F5239" t="s">
        <v>104</v>
      </c>
      <c r="G5239">
        <v>4</v>
      </c>
      <c r="H5239">
        <v>66</v>
      </c>
      <c r="I5239" s="25" t="s">
        <v>1634</v>
      </c>
      <c r="K5239" t="s">
        <v>570</v>
      </c>
      <c r="L5239" t="s">
        <v>141</v>
      </c>
      <c r="M5239" t="s">
        <v>52</v>
      </c>
      <c r="N5239" t="s">
        <v>40</v>
      </c>
      <c r="O5239">
        <v>32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1</v>
      </c>
      <c r="W5239">
        <v>0</v>
      </c>
      <c r="X5239" s="21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J5239" t="s">
        <v>51</v>
      </c>
      <c r="AK5239" t="s">
        <v>95</v>
      </c>
      <c r="AP5239" t="s">
        <v>541</v>
      </c>
    </row>
    <row r="5240" spans="1:42">
      <c r="A5240" s="13">
        <v>43867</v>
      </c>
      <c r="B5240">
        <v>4</v>
      </c>
      <c r="C5240">
        <v>221</v>
      </c>
      <c r="D5240">
        <v>14450</v>
      </c>
      <c r="E5240" t="s">
        <v>112</v>
      </c>
      <c r="F5240" t="s">
        <v>104</v>
      </c>
      <c r="G5240">
        <v>4</v>
      </c>
      <c r="H5240">
        <v>67</v>
      </c>
      <c r="I5240" s="25">
        <v>903</v>
      </c>
      <c r="K5240" t="s">
        <v>570</v>
      </c>
      <c r="L5240" t="s">
        <v>141</v>
      </c>
      <c r="M5240" t="s">
        <v>52</v>
      </c>
      <c r="N5240" t="s">
        <v>40</v>
      </c>
      <c r="O5240">
        <v>89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3</v>
      </c>
      <c r="V5240">
        <v>0</v>
      </c>
      <c r="W5240">
        <v>1</v>
      </c>
      <c r="X5240" s="21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J5240" t="s">
        <v>51</v>
      </c>
      <c r="AK5240" t="s">
        <v>95</v>
      </c>
      <c r="AL5240" t="s">
        <v>649</v>
      </c>
      <c r="AP5240" t="s">
        <v>541</v>
      </c>
    </row>
    <row r="5241" spans="1:42">
      <c r="A5241" s="13">
        <v>43867</v>
      </c>
      <c r="B5241">
        <v>4</v>
      </c>
      <c r="C5241">
        <v>221</v>
      </c>
      <c r="D5241">
        <v>14450</v>
      </c>
      <c r="E5241" t="s">
        <v>112</v>
      </c>
      <c r="F5241" t="s">
        <v>104</v>
      </c>
      <c r="G5241">
        <v>4</v>
      </c>
      <c r="H5241">
        <v>68</v>
      </c>
      <c r="I5241" s="25">
        <v>818</v>
      </c>
      <c r="K5241" t="s">
        <v>570</v>
      </c>
      <c r="L5241" t="s">
        <v>114</v>
      </c>
      <c r="M5241" t="s">
        <v>52</v>
      </c>
      <c r="N5241" t="s">
        <v>40</v>
      </c>
      <c r="O5241">
        <v>58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1</v>
      </c>
      <c r="V5241">
        <v>2</v>
      </c>
      <c r="W5241">
        <v>0</v>
      </c>
      <c r="X5241" s="2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J5241" t="s">
        <v>51</v>
      </c>
      <c r="AK5241" t="s">
        <v>52</v>
      </c>
      <c r="AP5241" t="s">
        <v>541</v>
      </c>
    </row>
    <row r="5242" spans="1:42">
      <c r="A5242" s="13">
        <v>43867</v>
      </c>
      <c r="B5242">
        <v>4</v>
      </c>
      <c r="C5242">
        <v>221</v>
      </c>
      <c r="D5242">
        <v>14450</v>
      </c>
      <c r="E5242" t="s">
        <v>112</v>
      </c>
      <c r="F5242" t="s">
        <v>104</v>
      </c>
      <c r="G5242">
        <v>4</v>
      </c>
      <c r="H5242">
        <v>69</v>
      </c>
      <c r="I5242" s="25">
        <v>832</v>
      </c>
      <c r="K5242" t="s">
        <v>570</v>
      </c>
      <c r="L5242" t="s">
        <v>114</v>
      </c>
      <c r="M5242" t="s">
        <v>52</v>
      </c>
      <c r="N5242" t="s">
        <v>40</v>
      </c>
      <c r="O5242">
        <v>33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2</v>
      </c>
      <c r="V5242">
        <v>0</v>
      </c>
      <c r="W5242">
        <v>0</v>
      </c>
      <c r="X5242" s="21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J5242" t="s">
        <v>51</v>
      </c>
      <c r="AK5242" t="s">
        <v>52</v>
      </c>
      <c r="AP5242" t="s">
        <v>541</v>
      </c>
    </row>
    <row r="5243" spans="1:42">
      <c r="A5243" s="13">
        <v>43867</v>
      </c>
      <c r="B5243">
        <v>4</v>
      </c>
      <c r="C5243">
        <v>221</v>
      </c>
      <c r="D5243">
        <v>14450</v>
      </c>
      <c r="E5243" t="s">
        <v>112</v>
      </c>
      <c r="F5243" t="s">
        <v>104</v>
      </c>
      <c r="G5243">
        <v>4</v>
      </c>
      <c r="H5243">
        <v>70</v>
      </c>
      <c r="I5243" s="25" t="s">
        <v>1635</v>
      </c>
      <c r="K5243" t="s">
        <v>570</v>
      </c>
      <c r="L5243" t="s">
        <v>114</v>
      </c>
      <c r="M5243" t="s">
        <v>52</v>
      </c>
      <c r="N5243" t="s">
        <v>44</v>
      </c>
      <c r="O5243">
        <v>305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1</v>
      </c>
      <c r="W5243">
        <v>4</v>
      </c>
      <c r="X5243" s="21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J5243" t="s">
        <v>51</v>
      </c>
      <c r="AK5243" t="s">
        <v>52</v>
      </c>
      <c r="AL5243" t="s">
        <v>1636</v>
      </c>
      <c r="AP5243" t="s">
        <v>541</v>
      </c>
    </row>
    <row r="5244" spans="1:42">
      <c r="A5244" s="13">
        <v>43867</v>
      </c>
      <c r="B5244">
        <v>4</v>
      </c>
      <c r="C5244">
        <v>221</v>
      </c>
      <c r="D5244">
        <v>14450</v>
      </c>
      <c r="E5244" t="s">
        <v>112</v>
      </c>
      <c r="F5244" t="s">
        <v>104</v>
      </c>
      <c r="G5244">
        <v>4</v>
      </c>
      <c r="H5244">
        <v>71</v>
      </c>
      <c r="I5244" s="25">
        <v>880</v>
      </c>
      <c r="K5244" t="s">
        <v>570</v>
      </c>
      <c r="L5244" t="s">
        <v>114</v>
      </c>
      <c r="M5244" t="s">
        <v>52</v>
      </c>
      <c r="N5244" t="s">
        <v>40</v>
      </c>
      <c r="O5244">
        <v>57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2</v>
      </c>
      <c r="W5244">
        <v>0</v>
      </c>
      <c r="X5244" s="21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J5244" t="s">
        <v>51</v>
      </c>
      <c r="AK5244" t="s">
        <v>52</v>
      </c>
      <c r="AP5244" t="s">
        <v>541</v>
      </c>
    </row>
    <row r="5245" spans="1:42">
      <c r="A5245" s="13">
        <v>43867</v>
      </c>
      <c r="B5245">
        <v>4</v>
      </c>
      <c r="C5245">
        <v>221</v>
      </c>
      <c r="D5245">
        <v>14450</v>
      </c>
      <c r="E5245" t="s">
        <v>112</v>
      </c>
      <c r="F5245" t="s">
        <v>104</v>
      </c>
      <c r="G5245">
        <v>4</v>
      </c>
      <c r="H5245">
        <v>72</v>
      </c>
      <c r="I5245" s="25">
        <v>2460</v>
      </c>
      <c r="K5245" t="s">
        <v>420</v>
      </c>
      <c r="L5245" t="s">
        <v>114</v>
      </c>
      <c r="M5245" t="s">
        <v>52</v>
      </c>
      <c r="N5245" t="s">
        <v>44</v>
      </c>
      <c r="O5245">
        <v>130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1</v>
      </c>
      <c r="W5245">
        <v>1</v>
      </c>
      <c r="X5245" s="21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J5245" t="s">
        <v>51</v>
      </c>
      <c r="AK5245" t="s">
        <v>52</v>
      </c>
      <c r="AL5245" t="s">
        <v>611</v>
      </c>
      <c r="AP5245" t="s">
        <v>541</v>
      </c>
    </row>
    <row r="5246" spans="1:42">
      <c r="A5246" s="13">
        <v>43867</v>
      </c>
      <c r="B5246">
        <v>4</v>
      </c>
      <c r="C5246">
        <v>221</v>
      </c>
      <c r="D5246">
        <v>14450</v>
      </c>
      <c r="E5246" t="s">
        <v>112</v>
      </c>
      <c r="F5246" t="s">
        <v>104</v>
      </c>
      <c r="G5246">
        <v>4</v>
      </c>
      <c r="H5246">
        <v>73</v>
      </c>
      <c r="I5246" s="25">
        <v>1310</v>
      </c>
      <c r="K5246" t="s">
        <v>213</v>
      </c>
      <c r="L5246" t="s">
        <v>114</v>
      </c>
      <c r="M5246" t="s">
        <v>52</v>
      </c>
      <c r="N5246" t="s">
        <v>44</v>
      </c>
      <c r="O5246">
        <v>118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1</v>
      </c>
      <c r="V5246">
        <v>1</v>
      </c>
      <c r="W5246">
        <v>0</v>
      </c>
      <c r="X5246" s="21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J5246" t="s">
        <v>54</v>
      </c>
      <c r="AK5246" t="s">
        <v>52</v>
      </c>
      <c r="AL5246" t="s">
        <v>611</v>
      </c>
      <c r="AP5246" t="s">
        <v>541</v>
      </c>
    </row>
    <row r="5247" spans="1:42">
      <c r="A5247" s="13">
        <v>43867</v>
      </c>
      <c r="B5247">
        <v>4</v>
      </c>
      <c r="C5247">
        <v>221</v>
      </c>
      <c r="D5247">
        <v>14450</v>
      </c>
      <c r="E5247" t="s">
        <v>112</v>
      </c>
      <c r="F5247" t="s">
        <v>104</v>
      </c>
      <c r="G5247">
        <v>4</v>
      </c>
      <c r="H5247">
        <v>74</v>
      </c>
      <c r="I5247" s="25">
        <v>2718</v>
      </c>
      <c r="K5247" t="s">
        <v>414</v>
      </c>
      <c r="L5247" t="s">
        <v>114</v>
      </c>
      <c r="M5247" t="s">
        <v>52</v>
      </c>
      <c r="N5247" t="s">
        <v>40</v>
      </c>
      <c r="O5247">
        <v>36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1</v>
      </c>
      <c r="V5247">
        <v>1</v>
      </c>
      <c r="W5247">
        <v>0</v>
      </c>
      <c r="X5247" s="21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J5247" t="s">
        <v>54</v>
      </c>
      <c r="AK5247" t="s">
        <v>52</v>
      </c>
      <c r="AP5247" t="s">
        <v>541</v>
      </c>
    </row>
    <row r="5248" spans="1:42">
      <c r="A5248" s="13">
        <v>43867</v>
      </c>
      <c r="B5248">
        <v>4</v>
      </c>
      <c r="C5248">
        <v>221</v>
      </c>
      <c r="D5248">
        <v>14450</v>
      </c>
      <c r="E5248" t="s">
        <v>112</v>
      </c>
      <c r="F5248" t="s">
        <v>104</v>
      </c>
      <c r="G5248">
        <v>4</v>
      </c>
      <c r="H5248">
        <v>75</v>
      </c>
      <c r="I5248" s="25">
        <v>2728</v>
      </c>
      <c r="K5248" t="s">
        <v>414</v>
      </c>
      <c r="L5248" t="s">
        <v>114</v>
      </c>
      <c r="M5248" t="s">
        <v>52</v>
      </c>
      <c r="N5248" t="s">
        <v>42</v>
      </c>
      <c r="O5248">
        <v>76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1</v>
      </c>
      <c r="W5248">
        <v>0</v>
      </c>
      <c r="X5248" s="21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J5248" t="s">
        <v>54</v>
      </c>
      <c r="AK5248" t="s">
        <v>52</v>
      </c>
      <c r="AL5248" t="s">
        <v>611</v>
      </c>
      <c r="AP5248" t="s">
        <v>541</v>
      </c>
    </row>
    <row r="5249" spans="1:42">
      <c r="A5249" s="13">
        <v>43867</v>
      </c>
      <c r="B5249">
        <v>4</v>
      </c>
      <c r="C5249">
        <v>221</v>
      </c>
      <c r="D5249">
        <v>14450</v>
      </c>
      <c r="E5249" t="s">
        <v>112</v>
      </c>
      <c r="F5249" t="s">
        <v>104</v>
      </c>
      <c r="G5249">
        <v>4</v>
      </c>
      <c r="H5249">
        <v>76</v>
      </c>
      <c r="I5249" s="25">
        <v>2818</v>
      </c>
      <c r="K5249" t="s">
        <v>414</v>
      </c>
      <c r="L5249" t="s">
        <v>114</v>
      </c>
      <c r="M5249" t="s">
        <v>52</v>
      </c>
      <c r="N5249" t="s">
        <v>40</v>
      </c>
      <c r="O5249">
        <v>52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2</v>
      </c>
      <c r="V5249">
        <v>0</v>
      </c>
      <c r="W5249">
        <v>0</v>
      </c>
      <c r="X5249" s="21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J5249" t="s">
        <v>51</v>
      </c>
      <c r="AK5249" t="s">
        <v>52</v>
      </c>
      <c r="AP5249" t="s">
        <v>541</v>
      </c>
    </row>
    <row r="5250" spans="1:42">
      <c r="A5250" s="13">
        <v>43867</v>
      </c>
      <c r="B5250">
        <v>4</v>
      </c>
      <c r="C5250">
        <v>221</v>
      </c>
      <c r="D5250">
        <v>14450</v>
      </c>
      <c r="E5250" t="s">
        <v>112</v>
      </c>
      <c r="F5250" t="s">
        <v>104</v>
      </c>
      <c r="G5250">
        <v>4</v>
      </c>
      <c r="H5250">
        <v>77</v>
      </c>
      <c r="I5250" s="25">
        <v>2844</v>
      </c>
      <c r="K5250" t="s">
        <v>414</v>
      </c>
      <c r="L5250" t="s">
        <v>114</v>
      </c>
      <c r="M5250" t="s">
        <v>52</v>
      </c>
      <c r="N5250" t="s">
        <v>40</v>
      </c>
      <c r="O5250">
        <v>34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2</v>
      </c>
      <c r="V5250">
        <v>0</v>
      </c>
      <c r="W5250">
        <v>0</v>
      </c>
      <c r="X5250" s="21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J5250" t="s">
        <v>51</v>
      </c>
      <c r="AK5250" t="s">
        <v>52</v>
      </c>
      <c r="AP5250" t="s">
        <v>541</v>
      </c>
    </row>
    <row r="5251" spans="1:42">
      <c r="A5251" s="13">
        <v>43867</v>
      </c>
      <c r="B5251">
        <v>4</v>
      </c>
      <c r="C5251">
        <v>221</v>
      </c>
      <c r="D5251">
        <v>14450</v>
      </c>
      <c r="E5251" t="s">
        <v>112</v>
      </c>
      <c r="F5251" t="s">
        <v>104</v>
      </c>
      <c r="G5251">
        <v>4</v>
      </c>
      <c r="H5251">
        <v>78</v>
      </c>
      <c r="I5251" s="25">
        <v>1093</v>
      </c>
      <c r="K5251" t="s">
        <v>862</v>
      </c>
      <c r="L5251" t="s">
        <v>141</v>
      </c>
      <c r="M5251" t="s">
        <v>52</v>
      </c>
      <c r="N5251" t="s">
        <v>44</v>
      </c>
      <c r="O5251">
        <v>36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1</v>
      </c>
      <c r="W5251">
        <v>0</v>
      </c>
      <c r="X5251" s="2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J5251" t="s">
        <v>51</v>
      </c>
      <c r="AK5251" t="s">
        <v>52</v>
      </c>
      <c r="AL5251" t="s">
        <v>1637</v>
      </c>
      <c r="AP5251" t="s">
        <v>541</v>
      </c>
    </row>
    <row r="5252" spans="1:42">
      <c r="A5252" s="13">
        <v>43867</v>
      </c>
      <c r="B5252">
        <v>4</v>
      </c>
      <c r="C5252">
        <v>221</v>
      </c>
      <c r="D5252">
        <v>14450</v>
      </c>
      <c r="E5252" t="s">
        <v>112</v>
      </c>
      <c r="F5252" t="s">
        <v>104</v>
      </c>
      <c r="G5252">
        <v>4</v>
      </c>
      <c r="H5252">
        <v>79</v>
      </c>
      <c r="I5252" s="25">
        <v>1087</v>
      </c>
      <c r="K5252" t="s">
        <v>862</v>
      </c>
      <c r="L5252" t="s">
        <v>141</v>
      </c>
      <c r="M5252" t="s">
        <v>52</v>
      </c>
      <c r="N5252" t="s">
        <v>40</v>
      </c>
      <c r="O5252">
        <v>60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3</v>
      </c>
      <c r="V5252">
        <v>0</v>
      </c>
      <c r="W5252">
        <v>0</v>
      </c>
      <c r="X5252" s="21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J5252" t="s">
        <v>54</v>
      </c>
      <c r="AK5252" t="s">
        <v>52</v>
      </c>
      <c r="AP5252" t="s">
        <v>541</v>
      </c>
    </row>
    <row r="5253" spans="1:42">
      <c r="A5253" s="13">
        <v>43867</v>
      </c>
      <c r="B5253">
        <v>4</v>
      </c>
      <c r="C5253">
        <v>221</v>
      </c>
      <c r="D5253">
        <v>14450</v>
      </c>
      <c r="E5253" t="s">
        <v>112</v>
      </c>
      <c r="F5253" t="s">
        <v>104</v>
      </c>
      <c r="G5253">
        <v>4</v>
      </c>
      <c r="H5253">
        <v>80</v>
      </c>
      <c r="I5253" s="25">
        <v>1077</v>
      </c>
      <c r="K5253" t="s">
        <v>862</v>
      </c>
      <c r="L5253" t="s">
        <v>141</v>
      </c>
      <c r="M5253" t="s">
        <v>52</v>
      </c>
      <c r="N5253" t="s">
        <v>40</v>
      </c>
      <c r="O5253">
        <v>25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1</v>
      </c>
      <c r="W5253">
        <v>0</v>
      </c>
      <c r="X5253" s="21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J5253" t="s">
        <v>54</v>
      </c>
      <c r="AK5253" t="s">
        <v>52</v>
      </c>
      <c r="AP5253" t="s">
        <v>541</v>
      </c>
    </row>
    <row r="5254" spans="1:42">
      <c r="A5254" s="13">
        <v>43867</v>
      </c>
      <c r="B5254">
        <v>4</v>
      </c>
      <c r="C5254">
        <v>221</v>
      </c>
      <c r="D5254">
        <v>14450</v>
      </c>
      <c r="E5254" t="s">
        <v>112</v>
      </c>
      <c r="F5254" t="s">
        <v>104</v>
      </c>
      <c r="G5254">
        <v>4</v>
      </c>
      <c r="H5254">
        <v>81</v>
      </c>
      <c r="I5254" s="25">
        <v>1067</v>
      </c>
      <c r="K5254" t="s">
        <v>862</v>
      </c>
      <c r="L5254" t="s">
        <v>141</v>
      </c>
      <c r="M5254" t="s">
        <v>52</v>
      </c>
      <c r="N5254" t="s">
        <v>44</v>
      </c>
      <c r="O5254">
        <v>114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1</v>
      </c>
      <c r="V5254">
        <v>1</v>
      </c>
      <c r="W5254">
        <v>0</v>
      </c>
      <c r="X5254" s="21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J5254" t="s">
        <v>54</v>
      </c>
      <c r="AK5254" t="s">
        <v>52</v>
      </c>
      <c r="AP5254" t="s">
        <v>541</v>
      </c>
    </row>
    <row r="5255" spans="1:42">
      <c r="A5255" s="13">
        <v>43867</v>
      </c>
      <c r="B5255">
        <v>4</v>
      </c>
      <c r="C5255">
        <v>221</v>
      </c>
      <c r="D5255">
        <v>14450</v>
      </c>
      <c r="E5255" t="s">
        <v>112</v>
      </c>
      <c r="F5255" t="s">
        <v>104</v>
      </c>
      <c r="G5255">
        <v>4</v>
      </c>
      <c r="H5255">
        <v>82</v>
      </c>
      <c r="I5255" s="25">
        <v>1061</v>
      </c>
      <c r="K5255" t="s">
        <v>862</v>
      </c>
      <c r="L5255" t="s">
        <v>141</v>
      </c>
      <c r="M5255" t="s">
        <v>52</v>
      </c>
      <c r="N5255" t="s">
        <v>40</v>
      </c>
      <c r="O5255">
        <v>30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2</v>
      </c>
      <c r="V5255">
        <v>0</v>
      </c>
      <c r="W5255">
        <v>0</v>
      </c>
      <c r="X5255" s="21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J5255" t="s">
        <v>54</v>
      </c>
      <c r="AK5255" t="s">
        <v>52</v>
      </c>
      <c r="AP5255" t="s">
        <v>541</v>
      </c>
    </row>
    <row r="5256" spans="1:42">
      <c r="A5256" s="13">
        <v>43867</v>
      </c>
      <c r="B5256">
        <v>4</v>
      </c>
      <c r="C5256">
        <v>221</v>
      </c>
      <c r="D5256">
        <v>14450</v>
      </c>
      <c r="E5256" t="s">
        <v>112</v>
      </c>
      <c r="F5256" t="s">
        <v>104</v>
      </c>
      <c r="G5256">
        <v>4</v>
      </c>
      <c r="H5256">
        <v>83</v>
      </c>
      <c r="I5256" s="25">
        <v>1033</v>
      </c>
      <c r="K5256" t="s">
        <v>862</v>
      </c>
      <c r="L5256" t="s">
        <v>141</v>
      </c>
      <c r="M5256" t="s">
        <v>52</v>
      </c>
      <c r="N5256" t="s">
        <v>40</v>
      </c>
      <c r="O5256">
        <v>51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2</v>
      </c>
      <c r="V5256">
        <v>1</v>
      </c>
      <c r="W5256">
        <v>0</v>
      </c>
      <c r="X5256" s="21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J5256" t="s">
        <v>54</v>
      </c>
      <c r="AK5256" t="s">
        <v>52</v>
      </c>
      <c r="AP5256" t="s">
        <v>541</v>
      </c>
    </row>
    <row r="5257" spans="1:42">
      <c r="A5257" s="13">
        <v>43867</v>
      </c>
      <c r="B5257">
        <v>4</v>
      </c>
      <c r="C5257">
        <v>221</v>
      </c>
      <c r="D5257">
        <v>14450</v>
      </c>
      <c r="E5257" t="s">
        <v>112</v>
      </c>
      <c r="F5257" t="s">
        <v>104</v>
      </c>
      <c r="G5257">
        <v>4</v>
      </c>
      <c r="H5257">
        <v>84</v>
      </c>
      <c r="I5257" s="25">
        <v>1027</v>
      </c>
      <c r="K5257" t="s">
        <v>862</v>
      </c>
      <c r="L5257" t="s">
        <v>141</v>
      </c>
      <c r="M5257" t="s">
        <v>52</v>
      </c>
      <c r="N5257" t="s">
        <v>40</v>
      </c>
      <c r="O5257">
        <v>43</v>
      </c>
      <c r="P5257">
        <v>0</v>
      </c>
      <c r="Q5257">
        <v>0</v>
      </c>
      <c r="R5257">
        <v>0</v>
      </c>
      <c r="S5257">
        <v>1</v>
      </c>
      <c r="T5257">
        <v>0</v>
      </c>
      <c r="U5257">
        <v>1</v>
      </c>
      <c r="V5257">
        <v>1</v>
      </c>
      <c r="W5257">
        <v>0</v>
      </c>
      <c r="X5257" s="21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J5257" t="s">
        <v>54</v>
      </c>
      <c r="AK5257" t="s">
        <v>52</v>
      </c>
      <c r="AP5257" t="s">
        <v>541</v>
      </c>
    </row>
    <row r="5258" spans="1:42">
      <c r="A5258" s="13">
        <v>43867</v>
      </c>
      <c r="B5258">
        <v>4</v>
      </c>
      <c r="C5258">
        <v>221</v>
      </c>
      <c r="D5258">
        <v>14450</v>
      </c>
      <c r="E5258" t="s">
        <v>112</v>
      </c>
      <c r="F5258" t="s">
        <v>104</v>
      </c>
      <c r="G5258">
        <v>4</v>
      </c>
      <c r="H5258">
        <v>85</v>
      </c>
      <c r="I5258" s="25">
        <v>1015</v>
      </c>
      <c r="K5258" t="s">
        <v>862</v>
      </c>
      <c r="L5258" t="s">
        <v>141</v>
      </c>
      <c r="M5258" t="s">
        <v>52</v>
      </c>
      <c r="N5258" t="s">
        <v>44</v>
      </c>
      <c r="O5258">
        <v>66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1</v>
      </c>
      <c r="V5258">
        <v>1</v>
      </c>
      <c r="W5258">
        <v>0</v>
      </c>
      <c r="X5258" s="21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J5258" t="s">
        <v>54</v>
      </c>
      <c r="AK5258" t="s">
        <v>52</v>
      </c>
      <c r="AL5258" t="s">
        <v>611</v>
      </c>
      <c r="AP5258" t="s">
        <v>541</v>
      </c>
    </row>
    <row r="5259" spans="1:42">
      <c r="A5259" s="13">
        <v>43867</v>
      </c>
      <c r="B5259">
        <v>4</v>
      </c>
      <c r="C5259">
        <v>221</v>
      </c>
      <c r="D5259">
        <v>14450</v>
      </c>
      <c r="E5259" t="s">
        <v>112</v>
      </c>
      <c r="F5259" t="s">
        <v>104</v>
      </c>
      <c r="G5259">
        <v>4</v>
      </c>
      <c r="H5259">
        <v>86</v>
      </c>
      <c r="I5259" s="25">
        <v>1009</v>
      </c>
      <c r="K5259" t="s">
        <v>862</v>
      </c>
      <c r="L5259" t="s">
        <v>141</v>
      </c>
      <c r="M5259" t="s">
        <v>52</v>
      </c>
      <c r="N5259" t="s">
        <v>44</v>
      </c>
      <c r="O5259">
        <v>48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1</v>
      </c>
      <c r="V5259">
        <v>1</v>
      </c>
      <c r="W5259">
        <v>0</v>
      </c>
      <c r="X5259" s="21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J5259" t="s">
        <v>54</v>
      </c>
      <c r="AK5259" t="s">
        <v>52</v>
      </c>
      <c r="AL5259" t="s">
        <v>611</v>
      </c>
      <c r="AP5259" t="s">
        <v>541</v>
      </c>
    </row>
    <row r="5260" spans="1:42">
      <c r="A5260" s="13">
        <v>43867</v>
      </c>
      <c r="B5260">
        <v>4</v>
      </c>
      <c r="C5260">
        <v>221</v>
      </c>
      <c r="D5260">
        <v>14450</v>
      </c>
      <c r="E5260" t="s">
        <v>112</v>
      </c>
      <c r="F5260" t="s">
        <v>104</v>
      </c>
      <c r="G5260">
        <v>4</v>
      </c>
      <c r="H5260">
        <v>87</v>
      </c>
      <c r="I5260" s="25">
        <v>1020</v>
      </c>
      <c r="K5260" t="s">
        <v>862</v>
      </c>
      <c r="L5260" t="s">
        <v>114</v>
      </c>
      <c r="M5260" t="s">
        <v>52</v>
      </c>
      <c r="N5260" t="s">
        <v>40</v>
      </c>
      <c r="O5260">
        <v>19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1</v>
      </c>
      <c r="X5260" s="21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J5260" t="s">
        <v>54</v>
      </c>
      <c r="AK5260" t="s">
        <v>52</v>
      </c>
      <c r="AP5260" t="s">
        <v>541</v>
      </c>
    </row>
    <row r="5261" spans="1:42">
      <c r="A5261" s="13">
        <v>43867</v>
      </c>
      <c r="B5261">
        <v>4</v>
      </c>
      <c r="C5261">
        <v>221</v>
      </c>
      <c r="D5261">
        <v>14450</v>
      </c>
      <c r="E5261" t="s">
        <v>112</v>
      </c>
      <c r="F5261" t="s">
        <v>104</v>
      </c>
      <c r="G5261">
        <v>4</v>
      </c>
      <c r="H5261">
        <v>88</v>
      </c>
      <c r="I5261" s="25">
        <v>1010</v>
      </c>
      <c r="K5261" t="s">
        <v>862</v>
      </c>
      <c r="L5261" t="s">
        <v>114</v>
      </c>
      <c r="M5261" t="s">
        <v>52</v>
      </c>
      <c r="N5261" t="s">
        <v>42</v>
      </c>
      <c r="O5261">
        <v>163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2</v>
      </c>
      <c r="V5261">
        <v>1</v>
      </c>
      <c r="W5261">
        <v>0</v>
      </c>
      <c r="X5261" s="2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J5261" t="s">
        <v>54</v>
      </c>
      <c r="AK5261" t="s">
        <v>52</v>
      </c>
      <c r="AP5261" t="s">
        <v>541</v>
      </c>
    </row>
    <row r="5262" spans="1:42">
      <c r="A5262" s="13">
        <v>43867</v>
      </c>
      <c r="B5262">
        <v>4</v>
      </c>
      <c r="C5262">
        <v>221</v>
      </c>
      <c r="D5262">
        <v>14450</v>
      </c>
      <c r="E5262" t="s">
        <v>112</v>
      </c>
      <c r="F5262" t="s">
        <v>104</v>
      </c>
      <c r="G5262">
        <v>4</v>
      </c>
      <c r="H5262">
        <v>89</v>
      </c>
      <c r="I5262" s="25">
        <v>1030</v>
      </c>
      <c r="K5262" t="s">
        <v>862</v>
      </c>
      <c r="L5262" t="s">
        <v>114</v>
      </c>
      <c r="M5262" t="s">
        <v>52</v>
      </c>
      <c r="N5262" t="s">
        <v>44</v>
      </c>
      <c r="O5262">
        <v>98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1</v>
      </c>
      <c r="V5262">
        <v>1</v>
      </c>
      <c r="W5262">
        <v>0</v>
      </c>
      <c r="X5262" s="21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J5262" t="s">
        <v>54</v>
      </c>
      <c r="AK5262" t="s">
        <v>52</v>
      </c>
      <c r="AP5262" t="s">
        <v>541</v>
      </c>
    </row>
    <row r="5263" spans="1:42">
      <c r="A5263" s="13">
        <v>43867</v>
      </c>
      <c r="B5263">
        <v>4</v>
      </c>
      <c r="C5263">
        <v>221</v>
      </c>
      <c r="D5263">
        <v>14450</v>
      </c>
      <c r="E5263" t="s">
        <v>112</v>
      </c>
      <c r="F5263" t="s">
        <v>104</v>
      </c>
      <c r="G5263">
        <v>4</v>
      </c>
      <c r="H5263">
        <v>90</v>
      </c>
      <c r="I5263" s="25">
        <v>1040</v>
      </c>
      <c r="K5263" t="s">
        <v>862</v>
      </c>
      <c r="L5263" t="s">
        <v>114</v>
      </c>
      <c r="M5263" t="s">
        <v>52</v>
      </c>
      <c r="N5263" t="s">
        <v>40</v>
      </c>
      <c r="O5263">
        <v>24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1</v>
      </c>
      <c r="V5263">
        <v>0</v>
      </c>
      <c r="W5263">
        <v>0</v>
      </c>
      <c r="X5263" s="21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J5263" t="s">
        <v>54</v>
      </c>
      <c r="AK5263" t="s">
        <v>52</v>
      </c>
      <c r="AP5263" t="s">
        <v>541</v>
      </c>
    </row>
    <row r="5264" spans="1:42">
      <c r="A5264" s="13">
        <v>43867</v>
      </c>
      <c r="B5264">
        <v>4</v>
      </c>
      <c r="C5264">
        <v>221</v>
      </c>
      <c r="D5264">
        <v>14450</v>
      </c>
      <c r="E5264" t="s">
        <v>112</v>
      </c>
      <c r="F5264" t="s">
        <v>104</v>
      </c>
      <c r="G5264">
        <v>4</v>
      </c>
      <c r="H5264">
        <v>91</v>
      </c>
      <c r="I5264" s="25">
        <v>1050</v>
      </c>
      <c r="K5264" t="s">
        <v>862</v>
      </c>
      <c r="L5264" t="s">
        <v>114</v>
      </c>
      <c r="M5264" t="s">
        <v>52</v>
      </c>
      <c r="N5264" t="s">
        <v>40</v>
      </c>
      <c r="O5264">
        <v>36</v>
      </c>
      <c r="P5264">
        <v>0</v>
      </c>
      <c r="Q5264">
        <v>0</v>
      </c>
      <c r="R5264">
        <v>0</v>
      </c>
      <c r="S5264">
        <v>1</v>
      </c>
      <c r="T5264">
        <v>0</v>
      </c>
      <c r="U5264">
        <v>1</v>
      </c>
      <c r="V5264">
        <v>0</v>
      </c>
      <c r="W5264">
        <v>0</v>
      </c>
      <c r="X5264" s="21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J5264" t="s">
        <v>54</v>
      </c>
      <c r="AK5264" t="s">
        <v>52</v>
      </c>
      <c r="AP5264" t="s">
        <v>541</v>
      </c>
    </row>
    <row r="5265" spans="1:42">
      <c r="A5265" s="13">
        <v>43867</v>
      </c>
      <c r="B5265">
        <v>4</v>
      </c>
      <c r="C5265">
        <v>221</v>
      </c>
      <c r="D5265">
        <v>14450</v>
      </c>
      <c r="E5265" t="s">
        <v>112</v>
      </c>
      <c r="F5265" t="s">
        <v>104</v>
      </c>
      <c r="G5265">
        <v>4</v>
      </c>
      <c r="H5265">
        <v>92</v>
      </c>
      <c r="I5265" s="25">
        <v>1060</v>
      </c>
      <c r="K5265" t="s">
        <v>862</v>
      </c>
      <c r="L5265" t="s">
        <v>114</v>
      </c>
      <c r="M5265" t="s">
        <v>52</v>
      </c>
      <c r="N5265" t="s">
        <v>40</v>
      </c>
      <c r="O5265">
        <v>25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1</v>
      </c>
      <c r="V5265">
        <v>0</v>
      </c>
      <c r="W5265">
        <v>0</v>
      </c>
      <c r="X5265" s="21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J5265" t="s">
        <v>54</v>
      </c>
      <c r="AK5265" t="s">
        <v>52</v>
      </c>
      <c r="AP5265" t="s">
        <v>541</v>
      </c>
    </row>
    <row r="5266" spans="1:42">
      <c r="A5266" s="13">
        <v>43867</v>
      </c>
      <c r="B5266">
        <v>4</v>
      </c>
      <c r="C5266">
        <v>221</v>
      </c>
      <c r="D5266">
        <v>14450</v>
      </c>
      <c r="E5266" t="s">
        <v>112</v>
      </c>
      <c r="F5266" t="s">
        <v>104</v>
      </c>
      <c r="G5266">
        <v>4</v>
      </c>
      <c r="H5266">
        <v>93</v>
      </c>
      <c r="I5266" s="25">
        <v>1060</v>
      </c>
      <c r="K5266" t="s">
        <v>862</v>
      </c>
      <c r="L5266" t="s">
        <v>114</v>
      </c>
      <c r="M5266" t="s">
        <v>52</v>
      </c>
      <c r="N5266" t="s">
        <v>40</v>
      </c>
      <c r="O5266">
        <v>29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2</v>
      </c>
      <c r="V5266">
        <v>0</v>
      </c>
      <c r="W5266">
        <v>0</v>
      </c>
      <c r="X5266" s="21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J5266" t="s">
        <v>54</v>
      </c>
      <c r="AK5266" t="s">
        <v>52</v>
      </c>
      <c r="AP5266" t="s">
        <v>541</v>
      </c>
    </row>
    <row r="5267" spans="1:42">
      <c r="A5267" s="13">
        <v>43867</v>
      </c>
      <c r="B5267">
        <v>4</v>
      </c>
      <c r="C5267">
        <v>221</v>
      </c>
      <c r="D5267">
        <v>14450</v>
      </c>
      <c r="E5267" t="s">
        <v>112</v>
      </c>
      <c r="F5267" t="s">
        <v>104</v>
      </c>
      <c r="G5267">
        <v>4</v>
      </c>
      <c r="H5267">
        <v>94</v>
      </c>
      <c r="I5267" s="25" t="s">
        <v>1638</v>
      </c>
      <c r="K5267" t="s">
        <v>862</v>
      </c>
      <c r="L5267" t="s">
        <v>114</v>
      </c>
      <c r="M5267" t="s">
        <v>52</v>
      </c>
      <c r="N5267" t="s">
        <v>44</v>
      </c>
      <c r="O5267">
        <v>233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1</v>
      </c>
      <c r="W5267">
        <v>2</v>
      </c>
      <c r="X5267" s="21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J5267" t="s">
        <v>54</v>
      </c>
      <c r="AK5267" t="s">
        <v>52</v>
      </c>
      <c r="AL5267" t="s">
        <v>651</v>
      </c>
      <c r="AP5267" t="s">
        <v>541</v>
      </c>
    </row>
    <row r="5268" spans="1:42">
      <c r="A5268" s="13">
        <v>43867</v>
      </c>
      <c r="B5268">
        <v>4</v>
      </c>
      <c r="C5268">
        <v>221</v>
      </c>
      <c r="D5268">
        <v>14450</v>
      </c>
      <c r="E5268" t="s">
        <v>112</v>
      </c>
      <c r="F5268" t="s">
        <v>104</v>
      </c>
      <c r="G5268">
        <v>4</v>
      </c>
      <c r="H5268">
        <v>95</v>
      </c>
      <c r="I5268" s="25">
        <v>2747</v>
      </c>
      <c r="K5268" t="s">
        <v>414</v>
      </c>
      <c r="L5268" t="s">
        <v>141</v>
      </c>
      <c r="M5268" t="s">
        <v>52</v>
      </c>
      <c r="N5268" t="s">
        <v>44</v>
      </c>
      <c r="O5268">
        <v>165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1</v>
      </c>
      <c r="V5268">
        <v>0</v>
      </c>
      <c r="W5268">
        <v>1</v>
      </c>
      <c r="X5268" s="21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J5268" t="s">
        <v>54</v>
      </c>
      <c r="AK5268" t="s">
        <v>52</v>
      </c>
      <c r="AL5268" t="s">
        <v>1639</v>
      </c>
      <c r="AP5268" t="s">
        <v>541</v>
      </c>
    </row>
    <row r="5269" spans="1:42">
      <c r="A5269" s="13">
        <v>43867</v>
      </c>
      <c r="B5269">
        <v>4</v>
      </c>
      <c r="C5269">
        <v>221</v>
      </c>
      <c r="D5269">
        <v>14450</v>
      </c>
      <c r="E5269" t="s">
        <v>112</v>
      </c>
      <c r="F5269" t="s">
        <v>104</v>
      </c>
      <c r="G5269">
        <v>4</v>
      </c>
      <c r="H5269">
        <v>96</v>
      </c>
      <c r="I5269" s="25">
        <v>1320</v>
      </c>
      <c r="K5269" t="s">
        <v>210</v>
      </c>
      <c r="L5269" t="s">
        <v>114</v>
      </c>
      <c r="M5269" t="s">
        <v>52</v>
      </c>
      <c r="N5269" t="s">
        <v>44</v>
      </c>
      <c r="O5269">
        <v>161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4</v>
      </c>
      <c r="W5269">
        <v>0</v>
      </c>
      <c r="X5269" s="21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J5269" t="s">
        <v>54</v>
      </c>
      <c r="AK5269" t="s">
        <v>52</v>
      </c>
      <c r="AL5269" t="s">
        <v>1640</v>
      </c>
      <c r="AP5269" t="s">
        <v>541</v>
      </c>
    </row>
    <row r="5270" spans="1:42">
      <c r="A5270" s="13">
        <v>43867</v>
      </c>
      <c r="B5270">
        <v>4</v>
      </c>
      <c r="C5270">
        <v>221</v>
      </c>
      <c r="D5270">
        <v>14450</v>
      </c>
      <c r="E5270" t="s">
        <v>112</v>
      </c>
      <c r="F5270" t="s">
        <v>104</v>
      </c>
      <c r="G5270">
        <v>4</v>
      </c>
      <c r="H5270">
        <v>97</v>
      </c>
      <c r="I5270" s="25">
        <v>1229</v>
      </c>
      <c r="K5270" t="s">
        <v>324</v>
      </c>
      <c r="L5270" t="s">
        <v>141</v>
      </c>
      <c r="M5270" t="s">
        <v>52</v>
      </c>
      <c r="N5270" t="s">
        <v>44</v>
      </c>
      <c r="O5270">
        <v>84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2</v>
      </c>
      <c r="X5270" s="21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J5270" t="s">
        <v>54</v>
      </c>
      <c r="AK5270" t="s">
        <v>52</v>
      </c>
      <c r="AL5270" t="s">
        <v>612</v>
      </c>
      <c r="AP5270" t="s">
        <v>541</v>
      </c>
    </row>
    <row r="5271" spans="1:42">
      <c r="A5271" s="13">
        <v>43867</v>
      </c>
      <c r="B5271">
        <v>4</v>
      </c>
      <c r="C5271">
        <v>221</v>
      </c>
      <c r="D5271">
        <v>14450</v>
      </c>
      <c r="E5271" t="s">
        <v>112</v>
      </c>
      <c r="F5271" t="s">
        <v>104</v>
      </c>
      <c r="G5271">
        <v>4</v>
      </c>
      <c r="H5271">
        <v>98</v>
      </c>
      <c r="I5271" s="25">
        <v>2625</v>
      </c>
      <c r="K5271" t="s">
        <v>414</v>
      </c>
      <c r="L5271" t="s">
        <v>141</v>
      </c>
      <c r="M5271" t="s">
        <v>52</v>
      </c>
      <c r="N5271" t="s">
        <v>44</v>
      </c>
      <c r="O5271">
        <v>401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1</v>
      </c>
      <c r="V5271">
        <v>0</v>
      </c>
      <c r="W5271">
        <v>2</v>
      </c>
      <c r="X5271" s="2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J5271" t="s">
        <v>54</v>
      </c>
      <c r="AK5271" t="s">
        <v>52</v>
      </c>
      <c r="AP5271" t="s">
        <v>541</v>
      </c>
    </row>
    <row r="5272" spans="1:42">
      <c r="A5272" s="13">
        <v>43867</v>
      </c>
      <c r="B5272">
        <v>4</v>
      </c>
      <c r="C5272">
        <v>221</v>
      </c>
      <c r="D5272">
        <v>14450</v>
      </c>
      <c r="E5272" t="s">
        <v>112</v>
      </c>
      <c r="F5272" t="s">
        <v>104</v>
      </c>
      <c r="G5272">
        <v>4</v>
      </c>
      <c r="H5272">
        <v>99</v>
      </c>
      <c r="I5272" s="25">
        <v>2645</v>
      </c>
      <c r="K5272" t="s">
        <v>414</v>
      </c>
      <c r="L5272" t="s">
        <v>141</v>
      </c>
      <c r="M5272" t="s">
        <v>52</v>
      </c>
      <c r="N5272" t="s">
        <v>44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1</v>
      </c>
      <c r="V5272">
        <v>0</v>
      </c>
      <c r="W5272">
        <v>2</v>
      </c>
      <c r="X5272" s="21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J5272" t="s">
        <v>54</v>
      </c>
      <c r="AK5272" t="s">
        <v>52</v>
      </c>
      <c r="AP5272" t="s">
        <v>541</v>
      </c>
    </row>
    <row r="5273" spans="1:42">
      <c r="A5273" s="13">
        <v>43867</v>
      </c>
      <c r="B5273">
        <v>4</v>
      </c>
      <c r="C5273">
        <v>221</v>
      </c>
      <c r="D5273">
        <v>14450</v>
      </c>
      <c r="E5273" t="s">
        <v>112</v>
      </c>
      <c r="F5273" t="s">
        <v>104</v>
      </c>
      <c r="G5273">
        <v>4</v>
      </c>
      <c r="H5273">
        <v>100</v>
      </c>
      <c r="I5273" s="25">
        <v>1311</v>
      </c>
      <c r="K5273" t="s">
        <v>210</v>
      </c>
      <c r="L5273" t="s">
        <v>141</v>
      </c>
      <c r="M5273" t="s">
        <v>52</v>
      </c>
      <c r="N5273" t="s">
        <v>44</v>
      </c>
      <c r="O5273">
        <v>47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1</v>
      </c>
      <c r="W5273">
        <v>0</v>
      </c>
      <c r="X5273" s="21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J5273" t="s">
        <v>54</v>
      </c>
      <c r="AK5273" t="s">
        <v>95</v>
      </c>
      <c r="AL5273" t="s">
        <v>611</v>
      </c>
      <c r="AP5273" t="s">
        <v>541</v>
      </c>
    </row>
    <row r="5274" spans="1:42">
      <c r="A5274" s="13">
        <v>43867</v>
      </c>
      <c r="B5274">
        <v>4</v>
      </c>
      <c r="C5274">
        <v>221</v>
      </c>
      <c r="D5274">
        <v>14450</v>
      </c>
      <c r="E5274" t="s">
        <v>112</v>
      </c>
      <c r="F5274" t="s">
        <v>104</v>
      </c>
      <c r="G5274">
        <v>4</v>
      </c>
      <c r="H5274">
        <v>101</v>
      </c>
      <c r="I5274" s="25">
        <v>1305</v>
      </c>
      <c r="K5274" t="s">
        <v>210</v>
      </c>
      <c r="L5274" t="s">
        <v>141</v>
      </c>
      <c r="M5274" t="s">
        <v>52</v>
      </c>
      <c r="N5274" t="s">
        <v>44</v>
      </c>
      <c r="O5274">
        <v>45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1</v>
      </c>
      <c r="X5274" s="21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J5274" t="s">
        <v>54</v>
      </c>
      <c r="AK5274" t="s">
        <v>95</v>
      </c>
      <c r="AL5274" t="s">
        <v>611</v>
      </c>
      <c r="AP5274" t="s">
        <v>541</v>
      </c>
    </row>
    <row r="5275" spans="1:42">
      <c r="A5275" s="13">
        <v>43867</v>
      </c>
      <c r="B5275">
        <v>4</v>
      </c>
      <c r="C5275">
        <v>221</v>
      </c>
      <c r="D5275">
        <v>14450</v>
      </c>
      <c r="E5275" t="s">
        <v>112</v>
      </c>
      <c r="F5275" t="s">
        <v>104</v>
      </c>
      <c r="G5275">
        <v>4</v>
      </c>
      <c r="H5275">
        <v>102</v>
      </c>
      <c r="I5275" s="25">
        <v>2527</v>
      </c>
      <c r="K5275" t="s">
        <v>414</v>
      </c>
      <c r="L5275" t="s">
        <v>141</v>
      </c>
      <c r="M5275" t="s">
        <v>52</v>
      </c>
      <c r="N5275" t="s">
        <v>44</v>
      </c>
      <c r="O5275">
        <v>59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1</v>
      </c>
      <c r="W5275">
        <v>2</v>
      </c>
      <c r="X5275" s="21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J5275" t="s">
        <v>51</v>
      </c>
      <c r="AK5275" t="s">
        <v>52</v>
      </c>
      <c r="AL5275" t="s">
        <v>611</v>
      </c>
      <c r="AP5275" t="s">
        <v>541</v>
      </c>
    </row>
    <row r="5276" spans="1:42">
      <c r="A5276" s="13">
        <v>43867</v>
      </c>
      <c r="B5276">
        <v>4</v>
      </c>
      <c r="C5276">
        <v>221</v>
      </c>
      <c r="D5276">
        <v>14450</v>
      </c>
      <c r="E5276" t="s">
        <v>112</v>
      </c>
      <c r="F5276" t="s">
        <v>104</v>
      </c>
      <c r="G5276">
        <v>4</v>
      </c>
      <c r="H5276">
        <v>103</v>
      </c>
      <c r="I5276" s="25">
        <v>2531</v>
      </c>
      <c r="K5276" t="s">
        <v>414</v>
      </c>
      <c r="L5276" t="s">
        <v>141</v>
      </c>
      <c r="M5276" t="s">
        <v>52</v>
      </c>
      <c r="N5276" t="s">
        <v>44</v>
      </c>
      <c r="O5276">
        <v>73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2</v>
      </c>
      <c r="X5276" s="21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J5276" t="s">
        <v>51</v>
      </c>
      <c r="AK5276" t="s">
        <v>52</v>
      </c>
      <c r="AL5276" t="s">
        <v>612</v>
      </c>
      <c r="AP5276" t="s">
        <v>541</v>
      </c>
    </row>
    <row r="5277" spans="1:42" s="6" customFormat="1">
      <c r="A5277" s="12">
        <v>43853</v>
      </c>
      <c r="B5277">
        <v>2</v>
      </c>
      <c r="C5277">
        <v>213</v>
      </c>
      <c r="D5277">
        <v>14469</v>
      </c>
      <c r="E5277" t="s">
        <v>112</v>
      </c>
      <c r="F5277" t="s">
        <v>104</v>
      </c>
      <c r="G5277">
        <v>2</v>
      </c>
      <c r="H5277">
        <v>1</v>
      </c>
      <c r="I5277" s="25">
        <v>2498</v>
      </c>
      <c r="J5277"/>
      <c r="K5277" t="s">
        <v>909</v>
      </c>
      <c r="L5277" t="s">
        <v>114</v>
      </c>
      <c r="M5277" t="s">
        <v>52</v>
      </c>
      <c r="N5277" t="s">
        <v>40</v>
      </c>
      <c r="O5277">
        <v>40</v>
      </c>
      <c r="P5277"/>
      <c r="Q5277">
        <f t="shared" ref="Q5277:Q5341" si="75">S5277+T5277+U5277+V5277+W5277+Y5277+Z5277+AA5277+AB5277+AC5277+AD5277+AE5277+AF5277</f>
        <v>2</v>
      </c>
      <c r="R5277" t="s">
        <v>64</v>
      </c>
      <c r="S5277">
        <v>0</v>
      </c>
      <c r="T5277">
        <v>0</v>
      </c>
      <c r="U5277">
        <v>0</v>
      </c>
      <c r="V5277">
        <v>1</v>
      </c>
      <c r="W5277">
        <v>1</v>
      </c>
      <c r="X5277" s="21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/>
      <c r="AI5277"/>
      <c r="AJ5277" t="s">
        <v>51</v>
      </c>
      <c r="AK5277" t="s">
        <v>52</v>
      </c>
      <c r="AL5277"/>
      <c r="AP5277" t="s">
        <v>116</v>
      </c>
    </row>
    <row r="5278" spans="1:42" s="6" customFormat="1">
      <c r="A5278" s="12">
        <v>43853</v>
      </c>
      <c r="B5278">
        <v>2</v>
      </c>
      <c r="C5278">
        <v>213</v>
      </c>
      <c r="D5278">
        <v>14469</v>
      </c>
      <c r="E5278" t="s">
        <v>112</v>
      </c>
      <c r="F5278" t="s">
        <v>104</v>
      </c>
      <c r="G5278">
        <v>2</v>
      </c>
      <c r="H5278">
        <v>2</v>
      </c>
      <c r="I5278" s="25" t="s">
        <v>1641</v>
      </c>
      <c r="J5278"/>
      <c r="K5278" t="s">
        <v>647</v>
      </c>
      <c r="L5278" t="s">
        <v>141</v>
      </c>
      <c r="M5278" t="s">
        <v>52</v>
      </c>
      <c r="N5278" t="s">
        <v>44</v>
      </c>
      <c r="O5278">
        <v>97</v>
      </c>
      <c r="P5278"/>
      <c r="Q5278">
        <f t="shared" si="75"/>
        <v>1</v>
      </c>
      <c r="R5278">
        <v>1</v>
      </c>
      <c r="S5278">
        <v>0</v>
      </c>
      <c r="T5278">
        <v>0</v>
      </c>
      <c r="U5278">
        <v>0</v>
      </c>
      <c r="V5278">
        <v>0</v>
      </c>
      <c r="W5278">
        <v>1</v>
      </c>
      <c r="X5278" s="21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/>
      <c r="AI5278"/>
      <c r="AJ5278" t="s">
        <v>51</v>
      </c>
      <c r="AK5278" t="s">
        <v>52</v>
      </c>
      <c r="AL5278" t="s">
        <v>1642</v>
      </c>
      <c r="AP5278" t="s">
        <v>116</v>
      </c>
    </row>
    <row r="5279" spans="1:42" s="6" customFormat="1">
      <c r="A5279" s="12">
        <v>43853</v>
      </c>
      <c r="B5279">
        <v>2</v>
      </c>
      <c r="C5279">
        <v>213</v>
      </c>
      <c r="D5279">
        <v>14469</v>
      </c>
      <c r="E5279" t="s">
        <v>112</v>
      </c>
      <c r="F5279" t="s">
        <v>104</v>
      </c>
      <c r="G5279">
        <v>2</v>
      </c>
      <c r="H5279">
        <v>3</v>
      </c>
      <c r="I5279" s="25">
        <v>2363</v>
      </c>
      <c r="J5279"/>
      <c r="K5279" t="s">
        <v>647</v>
      </c>
      <c r="L5279" t="s">
        <v>141</v>
      </c>
      <c r="M5279" t="s">
        <v>52</v>
      </c>
      <c r="N5279" t="s">
        <v>44</v>
      </c>
      <c r="O5279">
        <v>85</v>
      </c>
      <c r="P5279"/>
      <c r="Q5279">
        <f t="shared" si="75"/>
        <v>2</v>
      </c>
      <c r="R5279">
        <v>1</v>
      </c>
      <c r="S5279">
        <v>0</v>
      </c>
      <c r="T5279">
        <v>0</v>
      </c>
      <c r="U5279">
        <v>1</v>
      </c>
      <c r="V5279">
        <v>0</v>
      </c>
      <c r="W5279">
        <v>1</v>
      </c>
      <c r="X5279" s="21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/>
      <c r="AI5279"/>
      <c r="AJ5279" t="s">
        <v>51</v>
      </c>
      <c r="AK5279" t="s">
        <v>52</v>
      </c>
      <c r="AL5279" t="s">
        <v>1643</v>
      </c>
      <c r="AP5279" t="s">
        <v>116</v>
      </c>
    </row>
    <row r="5280" spans="1:42" s="6" customFormat="1">
      <c r="A5280" s="12">
        <v>43853</v>
      </c>
      <c r="B5280">
        <v>2</v>
      </c>
      <c r="C5280">
        <v>213</v>
      </c>
      <c r="D5280">
        <v>14469</v>
      </c>
      <c r="E5280" t="s">
        <v>112</v>
      </c>
      <c r="F5280" t="s">
        <v>104</v>
      </c>
      <c r="G5280">
        <v>2</v>
      </c>
      <c r="H5280">
        <v>4</v>
      </c>
      <c r="I5280" s="25">
        <v>2361</v>
      </c>
      <c r="J5280"/>
      <c r="K5280" t="s">
        <v>647</v>
      </c>
      <c r="L5280" t="s">
        <v>141</v>
      </c>
      <c r="M5280" t="s">
        <v>52</v>
      </c>
      <c r="N5280" t="s">
        <v>44</v>
      </c>
      <c r="O5280">
        <v>173</v>
      </c>
      <c r="P5280"/>
      <c r="Q5280">
        <f t="shared" si="75"/>
        <v>2</v>
      </c>
      <c r="R5280">
        <v>1</v>
      </c>
      <c r="S5280">
        <v>0</v>
      </c>
      <c r="T5280">
        <v>0</v>
      </c>
      <c r="U5280">
        <v>1</v>
      </c>
      <c r="V5280">
        <v>0</v>
      </c>
      <c r="W5280">
        <v>1</v>
      </c>
      <c r="X5280" s="21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/>
      <c r="AI5280"/>
      <c r="AJ5280" t="s">
        <v>51</v>
      </c>
      <c r="AK5280" t="s">
        <v>52</v>
      </c>
      <c r="AL5280" t="s">
        <v>1644</v>
      </c>
      <c r="AP5280" t="s">
        <v>116</v>
      </c>
    </row>
    <row r="5281" spans="1:42" s="6" customFormat="1">
      <c r="A5281" s="12">
        <v>43853</v>
      </c>
      <c r="B5281">
        <v>2</v>
      </c>
      <c r="C5281">
        <v>213</v>
      </c>
      <c r="D5281">
        <v>14469</v>
      </c>
      <c r="E5281" t="s">
        <v>112</v>
      </c>
      <c r="F5281" t="s">
        <v>104</v>
      </c>
      <c r="G5281">
        <v>2</v>
      </c>
      <c r="H5281">
        <v>5</v>
      </c>
      <c r="I5281" s="25"/>
      <c r="J5281"/>
      <c r="K5281" t="s">
        <v>1645</v>
      </c>
      <c r="L5281" t="s">
        <v>141</v>
      </c>
      <c r="M5281" t="s">
        <v>52</v>
      </c>
      <c r="N5281" t="s">
        <v>40</v>
      </c>
      <c r="O5281">
        <v>62</v>
      </c>
      <c r="P5281"/>
      <c r="Q5281">
        <f t="shared" si="75"/>
        <v>1</v>
      </c>
      <c r="R5281">
        <v>1</v>
      </c>
      <c r="S5281">
        <v>0</v>
      </c>
      <c r="T5281">
        <v>0</v>
      </c>
      <c r="U5281">
        <v>1</v>
      </c>
      <c r="V5281">
        <v>0</v>
      </c>
      <c r="W5281">
        <v>0</v>
      </c>
      <c r="X5281" s="2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/>
      <c r="AI5281"/>
      <c r="AJ5281" t="s">
        <v>51</v>
      </c>
      <c r="AK5281" t="s">
        <v>52</v>
      </c>
      <c r="AL5281" t="s">
        <v>125</v>
      </c>
      <c r="AP5281" t="s">
        <v>116</v>
      </c>
    </row>
    <row r="5282" spans="1:42" s="6" customFormat="1">
      <c r="A5282" s="12">
        <v>43853</v>
      </c>
      <c r="B5282">
        <v>2</v>
      </c>
      <c r="C5282">
        <v>213</v>
      </c>
      <c r="D5282">
        <v>14469</v>
      </c>
      <c r="E5282" t="s">
        <v>112</v>
      </c>
      <c r="F5282" t="s">
        <v>104</v>
      </c>
      <c r="G5282">
        <v>2</v>
      </c>
      <c r="H5282">
        <v>6</v>
      </c>
      <c r="I5282" s="25">
        <v>2340</v>
      </c>
      <c r="J5282"/>
      <c r="K5282" t="s">
        <v>647</v>
      </c>
      <c r="L5282" t="s">
        <v>114</v>
      </c>
      <c r="M5282" t="s">
        <v>95</v>
      </c>
      <c r="N5282" t="s">
        <v>40</v>
      </c>
      <c r="O5282">
        <v>57</v>
      </c>
      <c r="P5282"/>
      <c r="Q5282">
        <f t="shared" si="75"/>
        <v>2</v>
      </c>
      <c r="R5282">
        <v>1</v>
      </c>
      <c r="S5282">
        <v>0</v>
      </c>
      <c r="T5282">
        <v>0</v>
      </c>
      <c r="U5282">
        <v>1</v>
      </c>
      <c r="V5282">
        <v>0</v>
      </c>
      <c r="W5282">
        <v>1</v>
      </c>
      <c r="X5282" s="21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/>
      <c r="AI5282"/>
      <c r="AJ5282" t="s">
        <v>51</v>
      </c>
      <c r="AK5282" t="s">
        <v>52</v>
      </c>
      <c r="AL5282" t="s">
        <v>1646</v>
      </c>
      <c r="AP5282" t="s">
        <v>116</v>
      </c>
    </row>
    <row r="5283" spans="1:42" s="6" customFormat="1">
      <c r="A5283" s="12">
        <v>43853</v>
      </c>
      <c r="B5283">
        <v>2</v>
      </c>
      <c r="C5283">
        <v>213</v>
      </c>
      <c r="D5283">
        <v>14469</v>
      </c>
      <c r="E5283" t="s">
        <v>112</v>
      </c>
      <c r="F5283" t="s">
        <v>104</v>
      </c>
      <c r="G5283">
        <v>2</v>
      </c>
      <c r="H5283">
        <v>7</v>
      </c>
      <c r="I5283" s="25"/>
      <c r="J5283"/>
      <c r="K5283" t="s">
        <v>1647</v>
      </c>
      <c r="L5283" t="s">
        <v>114</v>
      </c>
      <c r="M5283" t="s">
        <v>52</v>
      </c>
      <c r="N5283" t="s">
        <v>40</v>
      </c>
      <c r="O5283">
        <v>78</v>
      </c>
      <c r="P5283"/>
      <c r="Q5283">
        <f t="shared" si="75"/>
        <v>2</v>
      </c>
      <c r="R5283">
        <v>1</v>
      </c>
      <c r="S5283">
        <v>0</v>
      </c>
      <c r="T5283">
        <v>0</v>
      </c>
      <c r="U5283">
        <v>2</v>
      </c>
      <c r="V5283">
        <v>0</v>
      </c>
      <c r="W5283">
        <v>0</v>
      </c>
      <c r="X5283" s="21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/>
      <c r="AI5283"/>
      <c r="AJ5283" t="s">
        <v>51</v>
      </c>
      <c r="AK5283" t="s">
        <v>52</v>
      </c>
      <c r="AL5283" t="s">
        <v>1648</v>
      </c>
      <c r="AP5283" t="s">
        <v>116</v>
      </c>
    </row>
    <row r="5284" spans="1:42" s="6" customFormat="1">
      <c r="A5284" s="12">
        <v>43853</v>
      </c>
      <c r="B5284">
        <v>2</v>
      </c>
      <c r="C5284">
        <v>213</v>
      </c>
      <c r="D5284">
        <v>14469</v>
      </c>
      <c r="E5284" t="s">
        <v>112</v>
      </c>
      <c r="F5284" t="s">
        <v>104</v>
      </c>
      <c r="G5284">
        <v>2</v>
      </c>
      <c r="H5284">
        <v>8</v>
      </c>
      <c r="I5284" s="25">
        <v>2055</v>
      </c>
      <c r="J5284"/>
      <c r="K5284" t="s">
        <v>156</v>
      </c>
      <c r="L5284" t="s">
        <v>141</v>
      </c>
      <c r="M5284" t="s">
        <v>52</v>
      </c>
      <c r="N5284" t="s">
        <v>40</v>
      </c>
      <c r="O5284">
        <v>39</v>
      </c>
      <c r="P5284"/>
      <c r="Q5284">
        <f t="shared" si="75"/>
        <v>1</v>
      </c>
      <c r="R5284">
        <v>1</v>
      </c>
      <c r="S5284">
        <v>0</v>
      </c>
      <c r="T5284">
        <v>0</v>
      </c>
      <c r="U5284">
        <v>1</v>
      </c>
      <c r="V5284">
        <v>0</v>
      </c>
      <c r="W5284">
        <v>0</v>
      </c>
      <c r="X5284" s="21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/>
      <c r="AI5284"/>
      <c r="AJ5284" t="s">
        <v>51</v>
      </c>
      <c r="AK5284" t="s">
        <v>52</v>
      </c>
      <c r="AL5284"/>
      <c r="AP5284" t="s">
        <v>116</v>
      </c>
    </row>
    <row r="5285" spans="1:42" s="6" customFormat="1">
      <c r="A5285" s="12">
        <v>43853</v>
      </c>
      <c r="B5285">
        <v>2</v>
      </c>
      <c r="C5285">
        <v>213</v>
      </c>
      <c r="D5285">
        <v>14469</v>
      </c>
      <c r="E5285" t="s">
        <v>112</v>
      </c>
      <c r="F5285" t="s">
        <v>104</v>
      </c>
      <c r="G5285">
        <v>2</v>
      </c>
      <c r="H5285">
        <v>9</v>
      </c>
      <c r="I5285" s="25"/>
      <c r="J5285"/>
      <c r="K5285" t="s">
        <v>1649</v>
      </c>
      <c r="L5285" t="s">
        <v>114</v>
      </c>
      <c r="M5285" t="s">
        <v>95</v>
      </c>
      <c r="N5285" t="s">
        <v>40</v>
      </c>
      <c r="O5285">
        <v>62</v>
      </c>
      <c r="P5285"/>
      <c r="Q5285">
        <f t="shared" si="75"/>
        <v>2</v>
      </c>
      <c r="R5285">
        <v>1</v>
      </c>
      <c r="S5285">
        <v>0</v>
      </c>
      <c r="T5285">
        <v>0</v>
      </c>
      <c r="U5285">
        <v>2</v>
      </c>
      <c r="V5285">
        <v>0</v>
      </c>
      <c r="W5285">
        <v>0</v>
      </c>
      <c r="X5285" s="21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/>
      <c r="AI5285"/>
      <c r="AJ5285" t="s">
        <v>51</v>
      </c>
      <c r="AK5285" t="s">
        <v>52</v>
      </c>
      <c r="AL5285" t="s">
        <v>1648</v>
      </c>
      <c r="AP5285" t="s">
        <v>116</v>
      </c>
    </row>
    <row r="5286" spans="1:42" s="6" customFormat="1">
      <c r="A5286" s="12">
        <v>43853</v>
      </c>
      <c r="B5286">
        <v>2</v>
      </c>
      <c r="C5286">
        <v>213</v>
      </c>
      <c r="D5286">
        <v>14469</v>
      </c>
      <c r="E5286" t="s">
        <v>112</v>
      </c>
      <c r="F5286" t="s">
        <v>104</v>
      </c>
      <c r="G5286">
        <v>2</v>
      </c>
      <c r="H5286">
        <v>10</v>
      </c>
      <c r="I5286" s="25"/>
      <c r="J5286"/>
      <c r="K5286" t="s">
        <v>1649</v>
      </c>
      <c r="L5286" t="s">
        <v>141</v>
      </c>
      <c r="M5286" t="s">
        <v>52</v>
      </c>
      <c r="N5286" t="s">
        <v>40</v>
      </c>
      <c r="O5286">
        <v>90</v>
      </c>
      <c r="P5286"/>
      <c r="Q5286">
        <f t="shared" si="75"/>
        <v>2</v>
      </c>
      <c r="R5286">
        <v>1</v>
      </c>
      <c r="S5286">
        <v>0</v>
      </c>
      <c r="T5286">
        <v>0</v>
      </c>
      <c r="U5286">
        <v>2</v>
      </c>
      <c r="V5286">
        <v>0</v>
      </c>
      <c r="W5286">
        <v>0</v>
      </c>
      <c r="X5286" s="21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/>
      <c r="AI5286"/>
      <c r="AJ5286" t="s">
        <v>51</v>
      </c>
      <c r="AK5286" t="s">
        <v>52</v>
      </c>
      <c r="AL5286" t="s">
        <v>1648</v>
      </c>
      <c r="AP5286" t="s">
        <v>116</v>
      </c>
    </row>
    <row r="5287" spans="1:42" s="6" customFormat="1">
      <c r="A5287" s="12">
        <v>43853</v>
      </c>
      <c r="B5287">
        <v>2</v>
      </c>
      <c r="C5287">
        <v>213</v>
      </c>
      <c r="D5287">
        <v>14469</v>
      </c>
      <c r="E5287" t="s">
        <v>112</v>
      </c>
      <c r="F5287" t="s">
        <v>104</v>
      </c>
      <c r="G5287">
        <v>2</v>
      </c>
      <c r="H5287">
        <v>11</v>
      </c>
      <c r="I5287" s="25">
        <v>2118</v>
      </c>
      <c r="J5287"/>
      <c r="K5287" t="s">
        <v>156</v>
      </c>
      <c r="L5287" t="s">
        <v>114</v>
      </c>
      <c r="M5287" t="s">
        <v>52</v>
      </c>
      <c r="N5287" t="s">
        <v>40</v>
      </c>
      <c r="O5287">
        <v>33</v>
      </c>
      <c r="P5287"/>
      <c r="Q5287">
        <f t="shared" si="75"/>
        <v>1</v>
      </c>
      <c r="R5287">
        <v>1</v>
      </c>
      <c r="S5287">
        <v>0</v>
      </c>
      <c r="T5287">
        <v>0</v>
      </c>
      <c r="U5287">
        <v>1</v>
      </c>
      <c r="V5287">
        <v>0</v>
      </c>
      <c r="W5287">
        <v>0</v>
      </c>
      <c r="X5287" s="21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/>
      <c r="AI5287"/>
      <c r="AJ5287" t="s">
        <v>51</v>
      </c>
      <c r="AK5287" t="s">
        <v>52</v>
      </c>
      <c r="AL5287"/>
      <c r="AP5287" t="s">
        <v>116</v>
      </c>
    </row>
    <row r="5288" spans="1:42" s="6" customFormat="1">
      <c r="A5288" s="12">
        <v>43853</v>
      </c>
      <c r="B5288">
        <v>2</v>
      </c>
      <c r="C5288">
        <v>213</v>
      </c>
      <c r="D5288">
        <v>14469</v>
      </c>
      <c r="E5288" t="s">
        <v>112</v>
      </c>
      <c r="F5288" t="s">
        <v>104</v>
      </c>
      <c r="G5288">
        <v>2</v>
      </c>
      <c r="H5288">
        <v>12</v>
      </c>
      <c r="I5288" s="25">
        <v>2191</v>
      </c>
      <c r="J5288"/>
      <c r="K5288" t="s">
        <v>156</v>
      </c>
      <c r="L5288" t="s">
        <v>141</v>
      </c>
      <c r="M5288" t="s">
        <v>95</v>
      </c>
      <c r="N5288" t="s">
        <v>40</v>
      </c>
      <c r="O5288">
        <v>87</v>
      </c>
      <c r="P5288"/>
      <c r="Q5288">
        <f t="shared" si="75"/>
        <v>2</v>
      </c>
      <c r="R5288">
        <v>1</v>
      </c>
      <c r="S5288">
        <v>0</v>
      </c>
      <c r="T5288">
        <v>0</v>
      </c>
      <c r="U5288">
        <v>2</v>
      </c>
      <c r="V5288">
        <v>0</v>
      </c>
      <c r="W5288">
        <v>0</v>
      </c>
      <c r="X5288" s="21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/>
      <c r="AI5288"/>
      <c r="AJ5288" t="s">
        <v>51</v>
      </c>
      <c r="AK5288" t="s">
        <v>52</v>
      </c>
      <c r="AL5288" t="s">
        <v>1650</v>
      </c>
      <c r="AP5288" t="s">
        <v>116</v>
      </c>
    </row>
    <row r="5289" spans="1:42" s="6" customFormat="1">
      <c r="A5289" s="12">
        <v>43853</v>
      </c>
      <c r="B5289">
        <v>2</v>
      </c>
      <c r="C5289">
        <v>213</v>
      </c>
      <c r="D5289">
        <v>14469</v>
      </c>
      <c r="E5289" t="s">
        <v>112</v>
      </c>
      <c r="F5289" t="s">
        <v>104</v>
      </c>
      <c r="G5289">
        <v>2</v>
      </c>
      <c r="H5289">
        <v>13</v>
      </c>
      <c r="I5289" s="25" t="s">
        <v>1651</v>
      </c>
      <c r="J5289"/>
      <c r="K5289" t="s">
        <v>156</v>
      </c>
      <c r="L5289" t="s">
        <v>114</v>
      </c>
      <c r="M5289" t="s">
        <v>52</v>
      </c>
      <c r="N5289" t="s">
        <v>40</v>
      </c>
      <c r="O5289">
        <v>74</v>
      </c>
      <c r="P5289"/>
      <c r="Q5289">
        <f t="shared" si="75"/>
        <v>4</v>
      </c>
      <c r="R5289">
        <v>1</v>
      </c>
      <c r="S5289">
        <v>0</v>
      </c>
      <c r="T5289">
        <v>0</v>
      </c>
      <c r="U5289">
        <v>1</v>
      </c>
      <c r="V5289">
        <v>2</v>
      </c>
      <c r="W5289">
        <v>1</v>
      </c>
      <c r="X5289" s="21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/>
      <c r="AI5289"/>
      <c r="AJ5289" t="s">
        <v>51</v>
      </c>
      <c r="AK5289" t="s">
        <v>52</v>
      </c>
      <c r="AL5289"/>
      <c r="AP5289" t="s">
        <v>116</v>
      </c>
    </row>
    <row r="5290" spans="1:42" s="6" customFormat="1">
      <c r="A5290" s="12">
        <v>43853</v>
      </c>
      <c r="B5290">
        <v>2</v>
      </c>
      <c r="C5290">
        <v>213</v>
      </c>
      <c r="D5290">
        <v>14469</v>
      </c>
      <c r="E5290" t="s">
        <v>112</v>
      </c>
      <c r="F5290" t="s">
        <v>104</v>
      </c>
      <c r="G5290">
        <v>2</v>
      </c>
      <c r="H5290">
        <v>14</v>
      </c>
      <c r="I5290" s="25"/>
      <c r="J5290"/>
      <c r="K5290" t="s">
        <v>1652</v>
      </c>
      <c r="L5290" t="s">
        <v>114</v>
      </c>
      <c r="M5290" t="s">
        <v>52</v>
      </c>
      <c r="N5290" t="s">
        <v>40</v>
      </c>
      <c r="O5290">
        <v>21</v>
      </c>
      <c r="P5290"/>
      <c r="Q5290">
        <f t="shared" si="75"/>
        <v>1</v>
      </c>
      <c r="R5290">
        <v>1</v>
      </c>
      <c r="S5290">
        <v>0</v>
      </c>
      <c r="T5290">
        <v>0</v>
      </c>
      <c r="U5290">
        <v>1</v>
      </c>
      <c r="V5290">
        <v>0</v>
      </c>
      <c r="W5290">
        <v>0</v>
      </c>
      <c r="X5290" s="21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/>
      <c r="AI5290"/>
      <c r="AJ5290" t="s">
        <v>51</v>
      </c>
      <c r="AK5290" t="s">
        <v>95</v>
      </c>
      <c r="AL5290" t="s">
        <v>125</v>
      </c>
      <c r="AP5290" t="s">
        <v>116</v>
      </c>
    </row>
    <row r="5291" spans="1:42" s="6" customFormat="1">
      <c r="A5291" s="12">
        <v>43853</v>
      </c>
      <c r="B5291">
        <v>2</v>
      </c>
      <c r="C5291">
        <v>213</v>
      </c>
      <c r="D5291">
        <v>14469</v>
      </c>
      <c r="E5291" t="s">
        <v>112</v>
      </c>
      <c r="F5291" t="s">
        <v>104</v>
      </c>
      <c r="G5291">
        <v>2</v>
      </c>
      <c r="H5291">
        <v>15</v>
      </c>
      <c r="I5291" s="25">
        <v>2204</v>
      </c>
      <c r="J5291"/>
      <c r="K5291" t="s">
        <v>156</v>
      </c>
      <c r="L5291" t="s">
        <v>114</v>
      </c>
      <c r="M5291" t="s">
        <v>52</v>
      </c>
      <c r="N5291" t="s">
        <v>44</v>
      </c>
      <c r="O5291">
        <v>186</v>
      </c>
      <c r="P5291"/>
      <c r="Q5291">
        <f t="shared" si="75"/>
        <v>3</v>
      </c>
      <c r="R5291">
        <v>1</v>
      </c>
      <c r="S5291">
        <v>0</v>
      </c>
      <c r="T5291">
        <v>0</v>
      </c>
      <c r="U5291">
        <v>2</v>
      </c>
      <c r="V5291">
        <v>1</v>
      </c>
      <c r="W5291">
        <v>0</v>
      </c>
      <c r="X5291" s="2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/>
      <c r="AI5291"/>
      <c r="AJ5291" t="s">
        <v>51</v>
      </c>
      <c r="AK5291" t="s">
        <v>95</v>
      </c>
      <c r="AL5291" t="s">
        <v>1653</v>
      </c>
      <c r="AP5291" t="s">
        <v>116</v>
      </c>
    </row>
    <row r="5292" spans="1:42" s="6" customFormat="1">
      <c r="A5292" s="12">
        <v>43853</v>
      </c>
      <c r="B5292">
        <v>2</v>
      </c>
      <c r="C5292">
        <v>213</v>
      </c>
      <c r="D5292">
        <v>14469</v>
      </c>
      <c r="E5292" t="s">
        <v>112</v>
      </c>
      <c r="F5292" t="s">
        <v>104</v>
      </c>
      <c r="G5292">
        <v>2</v>
      </c>
      <c r="H5292">
        <v>16</v>
      </c>
      <c r="I5292" s="25">
        <v>2230</v>
      </c>
      <c r="J5292"/>
      <c r="K5292" t="s">
        <v>156</v>
      </c>
      <c r="L5292" t="s">
        <v>114</v>
      </c>
      <c r="M5292" t="s">
        <v>52</v>
      </c>
      <c r="N5292" t="s">
        <v>40</v>
      </c>
      <c r="O5292">
        <v>64</v>
      </c>
      <c r="P5292"/>
      <c r="Q5292">
        <f t="shared" si="75"/>
        <v>3</v>
      </c>
      <c r="R5292">
        <v>1</v>
      </c>
      <c r="S5292">
        <v>0</v>
      </c>
      <c r="T5292">
        <v>0</v>
      </c>
      <c r="U5292">
        <v>0</v>
      </c>
      <c r="V5292">
        <v>1</v>
      </c>
      <c r="W5292">
        <v>2</v>
      </c>
      <c r="X5292" s="21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/>
      <c r="AI5292"/>
      <c r="AJ5292" t="s">
        <v>51</v>
      </c>
      <c r="AK5292" t="s">
        <v>52</v>
      </c>
      <c r="AL5292"/>
      <c r="AP5292" t="s">
        <v>116</v>
      </c>
    </row>
    <row r="5293" spans="1:42" s="6" customFormat="1">
      <c r="A5293" s="12">
        <v>43853</v>
      </c>
      <c r="B5293">
        <v>2</v>
      </c>
      <c r="C5293">
        <v>213</v>
      </c>
      <c r="D5293">
        <v>14469</v>
      </c>
      <c r="E5293" t="s">
        <v>112</v>
      </c>
      <c r="F5293" t="s">
        <v>104</v>
      </c>
      <c r="G5293">
        <v>2</v>
      </c>
      <c r="H5293">
        <v>17</v>
      </c>
      <c r="I5293" s="25">
        <v>2266</v>
      </c>
      <c r="J5293"/>
      <c r="K5293" t="s">
        <v>156</v>
      </c>
      <c r="L5293" t="s">
        <v>114</v>
      </c>
      <c r="M5293" t="s">
        <v>52</v>
      </c>
      <c r="N5293" t="s">
        <v>44</v>
      </c>
      <c r="O5293">
        <v>235</v>
      </c>
      <c r="P5293"/>
      <c r="Q5293">
        <f t="shared" si="75"/>
        <v>2</v>
      </c>
      <c r="R5293">
        <v>1</v>
      </c>
      <c r="S5293">
        <v>0</v>
      </c>
      <c r="T5293">
        <v>0</v>
      </c>
      <c r="U5293">
        <v>1</v>
      </c>
      <c r="V5293">
        <v>1</v>
      </c>
      <c r="W5293">
        <v>0</v>
      </c>
      <c r="X5293" s="21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/>
      <c r="AI5293"/>
      <c r="AJ5293" t="s">
        <v>51</v>
      </c>
      <c r="AK5293" t="s">
        <v>52</v>
      </c>
      <c r="AL5293" t="s">
        <v>1654</v>
      </c>
      <c r="AP5293" t="s">
        <v>116</v>
      </c>
    </row>
    <row r="5294" spans="1:42" s="6" customFormat="1">
      <c r="A5294" s="12">
        <v>43853</v>
      </c>
      <c r="B5294">
        <v>2</v>
      </c>
      <c r="C5294">
        <v>213</v>
      </c>
      <c r="D5294">
        <v>14469</v>
      </c>
      <c r="E5294" t="s">
        <v>112</v>
      </c>
      <c r="F5294" t="s">
        <v>104</v>
      </c>
      <c r="G5294">
        <v>2</v>
      </c>
      <c r="H5294">
        <v>18</v>
      </c>
      <c r="I5294" s="25">
        <v>2288</v>
      </c>
      <c r="J5294"/>
      <c r="K5294" t="s">
        <v>156</v>
      </c>
      <c r="L5294" t="s">
        <v>114</v>
      </c>
      <c r="M5294" t="s">
        <v>52</v>
      </c>
      <c r="N5294" t="s">
        <v>44</v>
      </c>
      <c r="O5294">
        <v>112</v>
      </c>
      <c r="P5294"/>
      <c r="Q5294">
        <f t="shared" si="75"/>
        <v>2</v>
      </c>
      <c r="R5294">
        <v>1</v>
      </c>
      <c r="S5294">
        <v>0</v>
      </c>
      <c r="T5294">
        <v>0</v>
      </c>
      <c r="U5294">
        <v>2</v>
      </c>
      <c r="V5294">
        <v>0</v>
      </c>
      <c r="W5294">
        <v>0</v>
      </c>
      <c r="X5294" s="21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/>
      <c r="AI5294"/>
      <c r="AJ5294" t="s">
        <v>51</v>
      </c>
      <c r="AK5294" t="s">
        <v>52</v>
      </c>
      <c r="AL5294" t="s">
        <v>1655</v>
      </c>
      <c r="AP5294" t="s">
        <v>116</v>
      </c>
    </row>
    <row r="5295" spans="1:42" s="6" customFormat="1">
      <c r="A5295" s="12">
        <v>43853</v>
      </c>
      <c r="B5295">
        <v>2</v>
      </c>
      <c r="C5295">
        <v>213</v>
      </c>
      <c r="D5295">
        <v>14469</v>
      </c>
      <c r="E5295" t="s">
        <v>112</v>
      </c>
      <c r="F5295" t="s">
        <v>104</v>
      </c>
      <c r="G5295">
        <v>2</v>
      </c>
      <c r="H5295">
        <v>19</v>
      </c>
      <c r="I5295" s="25">
        <v>2299</v>
      </c>
      <c r="J5295"/>
      <c r="K5295" t="s">
        <v>156</v>
      </c>
      <c r="L5295" t="s">
        <v>141</v>
      </c>
      <c r="M5295" t="s">
        <v>52</v>
      </c>
      <c r="N5295" t="s">
        <v>40</v>
      </c>
      <c r="O5295">
        <v>53</v>
      </c>
      <c r="P5295"/>
      <c r="Q5295">
        <f t="shared" si="75"/>
        <v>2</v>
      </c>
      <c r="R5295">
        <v>1</v>
      </c>
      <c r="S5295">
        <v>0</v>
      </c>
      <c r="T5295">
        <v>0</v>
      </c>
      <c r="U5295">
        <v>2</v>
      </c>
      <c r="V5295">
        <v>0</v>
      </c>
      <c r="W5295">
        <v>0</v>
      </c>
      <c r="X5295" s="21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/>
      <c r="AI5295"/>
      <c r="AJ5295" t="s">
        <v>51</v>
      </c>
      <c r="AK5295" t="s">
        <v>95</v>
      </c>
      <c r="AL5295" t="s">
        <v>1656</v>
      </c>
      <c r="AP5295" t="s">
        <v>116</v>
      </c>
    </row>
    <row r="5296" spans="1:42" s="6" customFormat="1">
      <c r="A5296" s="12">
        <v>43853</v>
      </c>
      <c r="B5296">
        <v>2</v>
      </c>
      <c r="C5296">
        <v>213</v>
      </c>
      <c r="D5296">
        <v>14469</v>
      </c>
      <c r="E5296" t="s">
        <v>112</v>
      </c>
      <c r="F5296" t="s">
        <v>104</v>
      </c>
      <c r="G5296">
        <v>2</v>
      </c>
      <c r="H5296">
        <v>20</v>
      </c>
      <c r="I5296" s="25">
        <v>2265</v>
      </c>
      <c r="J5296"/>
      <c r="K5296" t="s">
        <v>156</v>
      </c>
      <c r="L5296" t="s">
        <v>141</v>
      </c>
      <c r="M5296" t="s">
        <v>52</v>
      </c>
      <c r="N5296" t="s">
        <v>40</v>
      </c>
      <c r="O5296">
        <v>24</v>
      </c>
      <c r="P5296"/>
      <c r="Q5296">
        <f t="shared" si="75"/>
        <v>1</v>
      </c>
      <c r="R5296">
        <v>1</v>
      </c>
      <c r="S5296">
        <v>0</v>
      </c>
      <c r="T5296">
        <v>0</v>
      </c>
      <c r="U5296">
        <v>1</v>
      </c>
      <c r="V5296">
        <v>0</v>
      </c>
      <c r="W5296">
        <v>0</v>
      </c>
      <c r="X5296" s="21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/>
      <c r="AI5296"/>
      <c r="AJ5296" t="s">
        <v>51</v>
      </c>
      <c r="AK5296" t="s">
        <v>95</v>
      </c>
      <c r="AL5296"/>
      <c r="AP5296" t="s">
        <v>116</v>
      </c>
    </row>
    <row r="5297" spans="1:42" s="6" customFormat="1">
      <c r="A5297" s="12">
        <v>43853</v>
      </c>
      <c r="B5297">
        <v>2</v>
      </c>
      <c r="C5297">
        <v>213</v>
      </c>
      <c r="D5297">
        <v>14469</v>
      </c>
      <c r="E5297" t="s">
        <v>112</v>
      </c>
      <c r="F5297" t="s">
        <v>104</v>
      </c>
      <c r="G5297">
        <v>2</v>
      </c>
      <c r="H5297">
        <v>21</v>
      </c>
      <c r="I5297" s="25">
        <v>2253</v>
      </c>
      <c r="J5297"/>
      <c r="K5297" t="s">
        <v>156</v>
      </c>
      <c r="L5297" t="s">
        <v>141</v>
      </c>
      <c r="M5297" t="s">
        <v>52</v>
      </c>
      <c r="N5297" t="s">
        <v>40</v>
      </c>
      <c r="O5297">
        <v>44</v>
      </c>
      <c r="P5297"/>
      <c r="Q5297">
        <f t="shared" si="75"/>
        <v>5</v>
      </c>
      <c r="R5297">
        <v>1</v>
      </c>
      <c r="S5297">
        <v>0</v>
      </c>
      <c r="T5297">
        <v>0</v>
      </c>
      <c r="U5297">
        <v>1</v>
      </c>
      <c r="V5297">
        <v>0</v>
      </c>
      <c r="W5297">
        <v>1</v>
      </c>
      <c r="X5297" s="21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3</v>
      </c>
      <c r="AG5297">
        <v>0</v>
      </c>
      <c r="AH5297"/>
      <c r="AI5297"/>
      <c r="AJ5297" t="s">
        <v>51</v>
      </c>
      <c r="AK5297" t="s">
        <v>95</v>
      </c>
      <c r="AL5297" t="s">
        <v>1657</v>
      </c>
      <c r="AP5297" t="s">
        <v>116</v>
      </c>
    </row>
    <row r="5298" spans="1:42" s="6" customFormat="1">
      <c r="A5298" s="12">
        <v>43853</v>
      </c>
      <c r="B5298">
        <v>2</v>
      </c>
      <c r="C5298">
        <v>213</v>
      </c>
      <c r="D5298">
        <v>14469</v>
      </c>
      <c r="E5298" t="s">
        <v>112</v>
      </c>
      <c r="F5298" t="s">
        <v>104</v>
      </c>
      <c r="G5298">
        <v>2</v>
      </c>
      <c r="H5298">
        <v>22</v>
      </c>
      <c r="I5298" s="25">
        <v>2223</v>
      </c>
      <c r="J5298"/>
      <c r="K5298" t="s">
        <v>156</v>
      </c>
      <c r="L5298" t="s">
        <v>141</v>
      </c>
      <c r="M5298" t="s">
        <v>52</v>
      </c>
      <c r="N5298" t="s">
        <v>40</v>
      </c>
      <c r="O5298">
        <v>28</v>
      </c>
      <c r="P5298"/>
      <c r="Q5298">
        <f t="shared" si="75"/>
        <v>1</v>
      </c>
      <c r="R5298">
        <v>1</v>
      </c>
      <c r="S5298">
        <v>0</v>
      </c>
      <c r="T5298">
        <v>0</v>
      </c>
      <c r="U5298">
        <v>0</v>
      </c>
      <c r="V5298">
        <v>1</v>
      </c>
      <c r="W5298">
        <v>0</v>
      </c>
      <c r="X5298" s="21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/>
      <c r="AI5298"/>
      <c r="AJ5298" t="s">
        <v>51</v>
      </c>
      <c r="AK5298" t="s">
        <v>95</v>
      </c>
      <c r="AL5298"/>
      <c r="AP5298" t="s">
        <v>116</v>
      </c>
    </row>
    <row r="5299" spans="1:42" s="6" customFormat="1">
      <c r="A5299" s="12">
        <v>43853</v>
      </c>
      <c r="B5299">
        <v>2</v>
      </c>
      <c r="C5299">
        <v>213</v>
      </c>
      <c r="D5299">
        <v>14469</v>
      </c>
      <c r="E5299" t="s">
        <v>112</v>
      </c>
      <c r="F5299" t="s">
        <v>104</v>
      </c>
      <c r="G5299">
        <v>2</v>
      </c>
      <c r="H5299">
        <v>23</v>
      </c>
      <c r="I5299" s="25"/>
      <c r="J5299"/>
      <c r="K5299" t="s">
        <v>1652</v>
      </c>
      <c r="L5299" t="s">
        <v>141</v>
      </c>
      <c r="M5299" t="s">
        <v>52</v>
      </c>
      <c r="N5299" t="s">
        <v>40</v>
      </c>
      <c r="O5299">
        <v>31</v>
      </c>
      <c r="P5299"/>
      <c r="Q5299">
        <f t="shared" si="75"/>
        <v>1</v>
      </c>
      <c r="R5299">
        <v>1</v>
      </c>
      <c r="S5299">
        <v>0</v>
      </c>
      <c r="T5299">
        <v>0</v>
      </c>
      <c r="U5299">
        <v>1</v>
      </c>
      <c r="V5299">
        <v>0</v>
      </c>
      <c r="W5299">
        <v>0</v>
      </c>
      <c r="X5299" s="21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/>
      <c r="AI5299"/>
      <c r="AJ5299" t="s">
        <v>51</v>
      </c>
      <c r="AK5299" t="s">
        <v>95</v>
      </c>
      <c r="AL5299" t="s">
        <v>125</v>
      </c>
      <c r="AP5299" t="s">
        <v>116</v>
      </c>
    </row>
    <row r="5300" spans="1:42" s="6" customFormat="1">
      <c r="A5300" s="12">
        <v>43853</v>
      </c>
      <c r="B5300">
        <v>2</v>
      </c>
      <c r="C5300">
        <v>213</v>
      </c>
      <c r="D5300">
        <v>14469</v>
      </c>
      <c r="E5300" t="s">
        <v>112</v>
      </c>
      <c r="F5300" t="s">
        <v>104</v>
      </c>
      <c r="G5300">
        <v>2</v>
      </c>
      <c r="H5300">
        <v>24</v>
      </c>
      <c r="I5300" s="25"/>
      <c r="J5300"/>
      <c r="K5300" t="s">
        <v>1652</v>
      </c>
      <c r="L5300" t="s">
        <v>141</v>
      </c>
      <c r="M5300" t="s">
        <v>52</v>
      </c>
      <c r="N5300" t="s">
        <v>40</v>
      </c>
      <c r="O5300">
        <v>24</v>
      </c>
      <c r="P5300"/>
      <c r="Q5300">
        <f t="shared" si="75"/>
        <v>1</v>
      </c>
      <c r="R5300">
        <v>1</v>
      </c>
      <c r="S5300">
        <v>0</v>
      </c>
      <c r="T5300">
        <v>0</v>
      </c>
      <c r="U5300">
        <v>1</v>
      </c>
      <c r="V5300">
        <v>0</v>
      </c>
      <c r="W5300">
        <v>0</v>
      </c>
      <c r="X5300" s="21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/>
      <c r="AI5300"/>
      <c r="AJ5300" t="s">
        <v>51</v>
      </c>
      <c r="AK5300" t="s">
        <v>95</v>
      </c>
      <c r="AL5300" t="s">
        <v>125</v>
      </c>
      <c r="AP5300" t="s">
        <v>116</v>
      </c>
    </row>
    <row r="5301" spans="1:42" s="6" customFormat="1">
      <c r="A5301" s="12">
        <v>43853</v>
      </c>
      <c r="B5301">
        <v>2</v>
      </c>
      <c r="C5301">
        <v>213</v>
      </c>
      <c r="D5301">
        <v>14469</v>
      </c>
      <c r="E5301" t="s">
        <v>112</v>
      </c>
      <c r="F5301" t="s">
        <v>104</v>
      </c>
      <c r="G5301">
        <v>2</v>
      </c>
      <c r="H5301">
        <v>25</v>
      </c>
      <c r="I5301" s="25" t="s">
        <v>1658</v>
      </c>
      <c r="J5301"/>
      <c r="K5301" t="s">
        <v>909</v>
      </c>
      <c r="L5301" t="s">
        <v>114</v>
      </c>
      <c r="M5301" t="s">
        <v>52</v>
      </c>
      <c r="N5301" t="s">
        <v>40</v>
      </c>
      <c r="O5301">
        <v>66</v>
      </c>
      <c r="P5301"/>
      <c r="Q5301">
        <f t="shared" si="75"/>
        <v>3</v>
      </c>
      <c r="R5301">
        <v>1</v>
      </c>
      <c r="S5301">
        <v>0</v>
      </c>
      <c r="T5301">
        <v>0</v>
      </c>
      <c r="U5301">
        <v>1</v>
      </c>
      <c r="V5301">
        <v>2</v>
      </c>
      <c r="W5301">
        <v>0</v>
      </c>
      <c r="X5301" s="2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/>
      <c r="AI5301"/>
      <c r="AJ5301" t="s">
        <v>51</v>
      </c>
      <c r="AK5301" t="s">
        <v>95</v>
      </c>
      <c r="AL5301"/>
      <c r="AP5301" t="s">
        <v>116</v>
      </c>
    </row>
    <row r="5302" spans="1:42" s="6" customFormat="1">
      <c r="A5302" s="12">
        <v>43853</v>
      </c>
      <c r="B5302">
        <v>2</v>
      </c>
      <c r="C5302">
        <v>213</v>
      </c>
      <c r="D5302">
        <v>14469</v>
      </c>
      <c r="E5302" t="s">
        <v>112</v>
      </c>
      <c r="F5302" t="s">
        <v>104</v>
      </c>
      <c r="G5302">
        <v>2</v>
      </c>
      <c r="H5302">
        <v>26</v>
      </c>
      <c r="I5302" s="25" t="s">
        <v>1659</v>
      </c>
      <c r="J5302"/>
      <c r="K5302" t="s">
        <v>909</v>
      </c>
      <c r="L5302" t="s">
        <v>114</v>
      </c>
      <c r="M5302" t="s">
        <v>52</v>
      </c>
      <c r="N5302" t="s">
        <v>40</v>
      </c>
      <c r="O5302">
        <v>125</v>
      </c>
      <c r="P5302"/>
      <c r="Q5302">
        <f t="shared" si="75"/>
        <v>6</v>
      </c>
      <c r="R5302">
        <v>1</v>
      </c>
      <c r="S5302">
        <v>0</v>
      </c>
      <c r="T5302">
        <v>0</v>
      </c>
      <c r="U5302">
        <v>3</v>
      </c>
      <c r="V5302">
        <v>3</v>
      </c>
      <c r="W5302">
        <v>0</v>
      </c>
      <c r="X5302" s="21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/>
      <c r="AI5302"/>
      <c r="AJ5302" t="s">
        <v>51</v>
      </c>
      <c r="AK5302" t="s">
        <v>52</v>
      </c>
      <c r="AL5302"/>
      <c r="AP5302" t="s">
        <v>116</v>
      </c>
    </row>
    <row r="5303" spans="1:42" s="6" customFormat="1">
      <c r="A5303" s="12">
        <v>43853</v>
      </c>
      <c r="B5303">
        <v>2</v>
      </c>
      <c r="C5303">
        <v>213</v>
      </c>
      <c r="D5303">
        <v>14469</v>
      </c>
      <c r="E5303" t="s">
        <v>112</v>
      </c>
      <c r="F5303" t="s">
        <v>104</v>
      </c>
      <c r="G5303">
        <v>2</v>
      </c>
      <c r="H5303">
        <v>27</v>
      </c>
      <c r="I5303" s="25"/>
      <c r="J5303"/>
      <c r="K5303" t="s">
        <v>1660</v>
      </c>
      <c r="L5303" t="s">
        <v>114</v>
      </c>
      <c r="M5303" t="s">
        <v>52</v>
      </c>
      <c r="N5303" t="s">
        <v>40</v>
      </c>
      <c r="O5303">
        <v>28</v>
      </c>
      <c r="P5303"/>
      <c r="Q5303">
        <f t="shared" si="75"/>
        <v>1</v>
      </c>
      <c r="R5303">
        <v>1</v>
      </c>
      <c r="S5303">
        <v>0</v>
      </c>
      <c r="T5303">
        <v>0</v>
      </c>
      <c r="U5303">
        <v>1</v>
      </c>
      <c r="V5303">
        <v>0</v>
      </c>
      <c r="W5303">
        <v>0</v>
      </c>
      <c r="X5303" s="21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/>
      <c r="AI5303"/>
      <c r="AJ5303" t="s">
        <v>51</v>
      </c>
      <c r="AK5303" t="s">
        <v>52</v>
      </c>
      <c r="AL5303" t="s">
        <v>125</v>
      </c>
      <c r="AP5303" t="s">
        <v>116</v>
      </c>
    </row>
    <row r="5304" spans="1:42" s="6" customFormat="1">
      <c r="A5304" s="12">
        <v>43853</v>
      </c>
      <c r="B5304">
        <v>2</v>
      </c>
      <c r="C5304">
        <v>213</v>
      </c>
      <c r="D5304">
        <v>14469</v>
      </c>
      <c r="E5304" t="s">
        <v>112</v>
      </c>
      <c r="F5304" t="s">
        <v>104</v>
      </c>
      <c r="G5304">
        <v>2</v>
      </c>
      <c r="H5304">
        <v>28</v>
      </c>
      <c r="I5304" s="25"/>
      <c r="J5304"/>
      <c r="K5304" t="s">
        <v>1660</v>
      </c>
      <c r="L5304" t="s">
        <v>114</v>
      </c>
      <c r="M5304" t="s">
        <v>52</v>
      </c>
      <c r="N5304" t="s">
        <v>40</v>
      </c>
      <c r="O5304">
        <v>21</v>
      </c>
      <c r="P5304"/>
      <c r="Q5304">
        <f t="shared" si="75"/>
        <v>1</v>
      </c>
      <c r="R5304">
        <v>1</v>
      </c>
      <c r="S5304">
        <v>0</v>
      </c>
      <c r="T5304">
        <v>0</v>
      </c>
      <c r="U5304">
        <v>1</v>
      </c>
      <c r="V5304">
        <v>0</v>
      </c>
      <c r="W5304">
        <v>0</v>
      </c>
      <c r="X5304" s="21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/>
      <c r="AI5304"/>
      <c r="AJ5304" t="s">
        <v>51</v>
      </c>
      <c r="AK5304" t="s">
        <v>52</v>
      </c>
      <c r="AL5304" t="s">
        <v>125</v>
      </c>
      <c r="AP5304" t="s">
        <v>116</v>
      </c>
    </row>
    <row r="5305" spans="1:42" s="6" customFormat="1">
      <c r="A5305" s="12">
        <v>43853</v>
      </c>
      <c r="B5305">
        <v>2</v>
      </c>
      <c r="C5305">
        <v>213</v>
      </c>
      <c r="D5305">
        <v>14469</v>
      </c>
      <c r="E5305" t="s">
        <v>112</v>
      </c>
      <c r="F5305" t="s">
        <v>104</v>
      </c>
      <c r="G5305">
        <v>2</v>
      </c>
      <c r="H5305">
        <v>29</v>
      </c>
      <c r="I5305" s="25" t="s">
        <v>1661</v>
      </c>
      <c r="J5305"/>
      <c r="K5305" t="s">
        <v>909</v>
      </c>
      <c r="L5305" t="s">
        <v>114</v>
      </c>
      <c r="M5305" t="s">
        <v>52</v>
      </c>
      <c r="N5305" t="s">
        <v>40</v>
      </c>
      <c r="O5305">
        <v>54</v>
      </c>
      <c r="P5305"/>
      <c r="Q5305">
        <f t="shared" si="75"/>
        <v>2</v>
      </c>
      <c r="R5305">
        <v>1</v>
      </c>
      <c r="S5305">
        <v>0</v>
      </c>
      <c r="T5305">
        <v>0</v>
      </c>
      <c r="U5305">
        <v>0</v>
      </c>
      <c r="V5305">
        <v>2</v>
      </c>
      <c r="W5305">
        <v>0</v>
      </c>
      <c r="X5305" s="21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/>
      <c r="AI5305"/>
      <c r="AJ5305" t="s">
        <v>51</v>
      </c>
      <c r="AK5305" t="s">
        <v>52</v>
      </c>
      <c r="AL5305"/>
      <c r="AP5305" t="s">
        <v>116</v>
      </c>
    </row>
    <row r="5306" spans="1:42" s="6" customFormat="1">
      <c r="A5306" s="12">
        <v>43853</v>
      </c>
      <c r="B5306">
        <v>2</v>
      </c>
      <c r="C5306">
        <v>213</v>
      </c>
      <c r="D5306">
        <v>14469</v>
      </c>
      <c r="E5306" t="s">
        <v>112</v>
      </c>
      <c r="F5306" t="s">
        <v>104</v>
      </c>
      <c r="G5306">
        <v>2</v>
      </c>
      <c r="H5306">
        <v>30</v>
      </c>
      <c r="I5306" s="25">
        <v>3108</v>
      </c>
      <c r="J5306"/>
      <c r="K5306" t="s">
        <v>909</v>
      </c>
      <c r="L5306" t="s">
        <v>114</v>
      </c>
      <c r="M5306" t="s">
        <v>52</v>
      </c>
      <c r="N5306" t="s">
        <v>40</v>
      </c>
      <c r="O5306">
        <v>32</v>
      </c>
      <c r="P5306"/>
      <c r="Q5306">
        <f t="shared" si="75"/>
        <v>1</v>
      </c>
      <c r="R5306">
        <v>1</v>
      </c>
      <c r="S5306">
        <v>0</v>
      </c>
      <c r="T5306">
        <v>0</v>
      </c>
      <c r="U5306">
        <v>1</v>
      </c>
      <c r="V5306">
        <v>0</v>
      </c>
      <c r="W5306">
        <v>0</v>
      </c>
      <c r="X5306" s="21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/>
      <c r="AI5306"/>
      <c r="AJ5306" t="s">
        <v>51</v>
      </c>
      <c r="AK5306" t="s">
        <v>52</v>
      </c>
      <c r="AL5306" t="s">
        <v>125</v>
      </c>
      <c r="AP5306" t="s">
        <v>116</v>
      </c>
    </row>
    <row r="5307" spans="1:42" s="6" customFormat="1">
      <c r="A5307" s="12">
        <v>43853</v>
      </c>
      <c r="B5307">
        <v>2</v>
      </c>
      <c r="C5307">
        <v>213</v>
      </c>
      <c r="D5307">
        <v>14469</v>
      </c>
      <c r="E5307" t="s">
        <v>112</v>
      </c>
      <c r="F5307" t="s">
        <v>104</v>
      </c>
      <c r="G5307">
        <v>2</v>
      </c>
      <c r="H5307">
        <v>31</v>
      </c>
      <c r="I5307" s="25">
        <v>3130</v>
      </c>
      <c r="J5307"/>
      <c r="K5307" t="s">
        <v>909</v>
      </c>
      <c r="L5307" t="s">
        <v>114</v>
      </c>
      <c r="M5307" t="s">
        <v>52</v>
      </c>
      <c r="N5307" t="s">
        <v>40</v>
      </c>
      <c r="O5307">
        <v>54</v>
      </c>
      <c r="P5307"/>
      <c r="Q5307">
        <f t="shared" si="75"/>
        <v>2</v>
      </c>
      <c r="R5307">
        <v>1</v>
      </c>
      <c r="S5307">
        <v>0</v>
      </c>
      <c r="T5307">
        <v>0</v>
      </c>
      <c r="U5307">
        <v>0</v>
      </c>
      <c r="V5307">
        <v>2</v>
      </c>
      <c r="W5307">
        <v>0</v>
      </c>
      <c r="X5307" s="21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/>
      <c r="AI5307"/>
      <c r="AJ5307" t="s">
        <v>51</v>
      </c>
      <c r="AK5307" t="s">
        <v>52</v>
      </c>
      <c r="AL5307"/>
      <c r="AP5307" t="s">
        <v>116</v>
      </c>
    </row>
    <row r="5308" spans="1:42" s="6" customFormat="1">
      <c r="A5308" s="12">
        <v>43853</v>
      </c>
      <c r="B5308">
        <v>2</v>
      </c>
      <c r="C5308">
        <v>213</v>
      </c>
      <c r="D5308">
        <v>14469</v>
      </c>
      <c r="E5308" t="s">
        <v>112</v>
      </c>
      <c r="F5308" t="s">
        <v>104</v>
      </c>
      <c r="G5308">
        <v>2</v>
      </c>
      <c r="H5308">
        <v>32</v>
      </c>
      <c r="I5308" s="25">
        <v>3138</v>
      </c>
      <c r="J5308"/>
      <c r="K5308" t="s">
        <v>909</v>
      </c>
      <c r="L5308" t="s">
        <v>114</v>
      </c>
      <c r="M5308" t="s">
        <v>52</v>
      </c>
      <c r="N5308" t="s">
        <v>40</v>
      </c>
      <c r="O5308">
        <v>60</v>
      </c>
      <c r="P5308"/>
      <c r="Q5308">
        <f t="shared" si="75"/>
        <v>2</v>
      </c>
      <c r="R5308">
        <v>1</v>
      </c>
      <c r="S5308">
        <v>0</v>
      </c>
      <c r="T5308">
        <v>0</v>
      </c>
      <c r="U5308">
        <v>2</v>
      </c>
      <c r="V5308">
        <v>0</v>
      </c>
      <c r="W5308">
        <v>0</v>
      </c>
      <c r="X5308" s="21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/>
      <c r="AI5308"/>
      <c r="AJ5308" t="s">
        <v>51</v>
      </c>
      <c r="AK5308" t="s">
        <v>52</v>
      </c>
      <c r="AL5308"/>
      <c r="AP5308" t="s">
        <v>116</v>
      </c>
    </row>
    <row r="5309" spans="1:42" s="6" customFormat="1">
      <c r="A5309" s="12">
        <v>43853</v>
      </c>
      <c r="B5309">
        <v>2</v>
      </c>
      <c r="C5309">
        <v>213</v>
      </c>
      <c r="D5309">
        <v>14469</v>
      </c>
      <c r="E5309" t="s">
        <v>112</v>
      </c>
      <c r="F5309" t="s">
        <v>104</v>
      </c>
      <c r="G5309">
        <v>2</v>
      </c>
      <c r="H5309">
        <v>33</v>
      </c>
      <c r="I5309" s="25">
        <v>2095</v>
      </c>
      <c r="J5309"/>
      <c r="K5309" t="s">
        <v>210</v>
      </c>
      <c r="L5309" t="s">
        <v>141</v>
      </c>
      <c r="M5309" t="s">
        <v>52</v>
      </c>
      <c r="N5309" t="s">
        <v>40</v>
      </c>
      <c r="O5309">
        <v>23</v>
      </c>
      <c r="P5309"/>
      <c r="Q5309">
        <f t="shared" si="75"/>
        <v>1</v>
      </c>
      <c r="R5309">
        <v>1</v>
      </c>
      <c r="S5309">
        <v>0</v>
      </c>
      <c r="T5309">
        <v>0</v>
      </c>
      <c r="U5309">
        <v>1</v>
      </c>
      <c r="V5309">
        <v>0</v>
      </c>
      <c r="W5309">
        <v>0</v>
      </c>
      <c r="X5309" s="21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/>
      <c r="AI5309"/>
      <c r="AJ5309" t="s">
        <v>51</v>
      </c>
      <c r="AK5309" t="s">
        <v>95</v>
      </c>
      <c r="AL5309" t="s">
        <v>125</v>
      </c>
      <c r="AP5309" t="s">
        <v>116</v>
      </c>
    </row>
    <row r="5310" spans="1:42" s="6" customFormat="1">
      <c r="A5310" s="12">
        <v>43853</v>
      </c>
      <c r="B5310">
        <v>2</v>
      </c>
      <c r="C5310">
        <v>213</v>
      </c>
      <c r="D5310">
        <v>14469</v>
      </c>
      <c r="E5310" t="s">
        <v>112</v>
      </c>
      <c r="F5310" t="s">
        <v>104</v>
      </c>
      <c r="G5310">
        <v>2</v>
      </c>
      <c r="H5310">
        <v>34</v>
      </c>
      <c r="I5310" s="25">
        <v>1961</v>
      </c>
      <c r="J5310"/>
      <c r="K5310" t="s">
        <v>210</v>
      </c>
      <c r="L5310" t="s">
        <v>141</v>
      </c>
      <c r="M5310" t="s">
        <v>52</v>
      </c>
      <c r="N5310" t="s">
        <v>40</v>
      </c>
      <c r="O5310">
        <v>29</v>
      </c>
      <c r="P5310"/>
      <c r="Q5310">
        <f t="shared" si="75"/>
        <v>1</v>
      </c>
      <c r="R5310">
        <v>1</v>
      </c>
      <c r="S5310">
        <v>0</v>
      </c>
      <c r="T5310">
        <v>0</v>
      </c>
      <c r="U5310">
        <v>1</v>
      </c>
      <c r="V5310">
        <v>0</v>
      </c>
      <c r="W5310">
        <v>0</v>
      </c>
      <c r="X5310" s="21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/>
      <c r="AI5310"/>
      <c r="AJ5310" t="s">
        <v>51</v>
      </c>
      <c r="AK5310" t="s">
        <v>95</v>
      </c>
      <c r="AL5310" t="s">
        <v>125</v>
      </c>
      <c r="AP5310" t="s">
        <v>116</v>
      </c>
    </row>
    <row r="5311" spans="1:42" s="6" customFormat="1">
      <c r="A5311" s="12">
        <v>43853</v>
      </c>
      <c r="B5311">
        <v>2</v>
      </c>
      <c r="C5311">
        <v>213</v>
      </c>
      <c r="D5311">
        <v>14469</v>
      </c>
      <c r="E5311" t="s">
        <v>112</v>
      </c>
      <c r="F5311" t="s">
        <v>104</v>
      </c>
      <c r="G5311">
        <v>2</v>
      </c>
      <c r="H5311">
        <v>35</v>
      </c>
      <c r="I5311" s="25">
        <v>1901</v>
      </c>
      <c r="J5311"/>
      <c r="K5311" t="s">
        <v>210</v>
      </c>
      <c r="L5311" t="s">
        <v>141</v>
      </c>
      <c r="M5311" t="s">
        <v>52</v>
      </c>
      <c r="N5311" t="s">
        <v>40</v>
      </c>
      <c r="O5311">
        <v>45</v>
      </c>
      <c r="P5311"/>
      <c r="Q5311">
        <f t="shared" si="75"/>
        <v>1</v>
      </c>
      <c r="R5311">
        <v>1</v>
      </c>
      <c r="S5311">
        <v>0</v>
      </c>
      <c r="T5311">
        <v>0</v>
      </c>
      <c r="U5311">
        <v>0</v>
      </c>
      <c r="V5311">
        <v>1</v>
      </c>
      <c r="W5311">
        <v>0</v>
      </c>
      <c r="X5311" s="2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/>
      <c r="AI5311"/>
      <c r="AJ5311" t="s">
        <v>51</v>
      </c>
      <c r="AK5311" t="s">
        <v>95</v>
      </c>
      <c r="AL5311"/>
      <c r="AP5311" t="s">
        <v>116</v>
      </c>
    </row>
    <row r="5312" spans="1:42" s="6" customFormat="1">
      <c r="A5312" s="12">
        <v>43853</v>
      </c>
      <c r="B5312">
        <v>2</v>
      </c>
      <c r="C5312">
        <v>213</v>
      </c>
      <c r="D5312">
        <v>14469</v>
      </c>
      <c r="E5312" t="s">
        <v>112</v>
      </c>
      <c r="F5312" t="s">
        <v>104</v>
      </c>
      <c r="G5312">
        <v>2</v>
      </c>
      <c r="H5312">
        <v>36</v>
      </c>
      <c r="I5312" s="25">
        <v>3100</v>
      </c>
      <c r="J5312"/>
      <c r="K5312" t="s">
        <v>599</v>
      </c>
      <c r="L5312" t="s">
        <v>114</v>
      </c>
      <c r="M5312" t="s">
        <v>52</v>
      </c>
      <c r="N5312" t="s">
        <v>40</v>
      </c>
      <c r="O5312">
        <v>37</v>
      </c>
      <c r="P5312"/>
      <c r="Q5312">
        <f t="shared" si="75"/>
        <v>2</v>
      </c>
      <c r="R5312">
        <v>1</v>
      </c>
      <c r="S5312">
        <v>0</v>
      </c>
      <c r="T5312">
        <v>0</v>
      </c>
      <c r="U5312">
        <v>0</v>
      </c>
      <c r="V5312">
        <v>2</v>
      </c>
      <c r="W5312">
        <v>0</v>
      </c>
      <c r="X5312" s="21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/>
      <c r="AI5312"/>
      <c r="AJ5312" t="s">
        <v>51</v>
      </c>
      <c r="AK5312" t="s">
        <v>52</v>
      </c>
      <c r="AL5312" t="s">
        <v>1662</v>
      </c>
      <c r="AP5312" t="s">
        <v>116</v>
      </c>
    </row>
    <row r="5313" spans="1:42" s="6" customFormat="1">
      <c r="A5313" s="12">
        <v>43853</v>
      </c>
      <c r="B5313">
        <v>2</v>
      </c>
      <c r="C5313">
        <v>213</v>
      </c>
      <c r="D5313">
        <v>14469</v>
      </c>
      <c r="E5313" t="s">
        <v>112</v>
      </c>
      <c r="F5313" t="s">
        <v>104</v>
      </c>
      <c r="G5313">
        <v>2</v>
      </c>
      <c r="H5313">
        <v>37</v>
      </c>
      <c r="I5313" s="25">
        <v>2116</v>
      </c>
      <c r="J5313"/>
      <c r="K5313" t="s">
        <v>213</v>
      </c>
      <c r="L5313" t="s">
        <v>114</v>
      </c>
      <c r="M5313" t="s">
        <v>52</v>
      </c>
      <c r="N5313" t="s">
        <v>44</v>
      </c>
      <c r="O5313">
        <v>145</v>
      </c>
      <c r="P5313"/>
      <c r="Q5313">
        <f t="shared" si="75"/>
        <v>1</v>
      </c>
      <c r="R5313">
        <v>1</v>
      </c>
      <c r="S5313">
        <v>0</v>
      </c>
      <c r="T5313">
        <v>0</v>
      </c>
      <c r="U5313">
        <v>0</v>
      </c>
      <c r="V5313">
        <v>1</v>
      </c>
      <c r="W5313">
        <v>0</v>
      </c>
      <c r="X5313" s="21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/>
      <c r="AI5313"/>
      <c r="AJ5313" t="s">
        <v>51</v>
      </c>
      <c r="AK5313" t="s">
        <v>52</v>
      </c>
      <c r="AL5313" t="s">
        <v>1663</v>
      </c>
      <c r="AP5313" t="s">
        <v>116</v>
      </c>
    </row>
    <row r="5314" spans="1:42" s="6" customFormat="1">
      <c r="A5314" s="12">
        <v>43853</v>
      </c>
      <c r="B5314">
        <v>2</v>
      </c>
      <c r="C5314">
        <v>213</v>
      </c>
      <c r="D5314">
        <v>14469</v>
      </c>
      <c r="E5314" t="s">
        <v>112</v>
      </c>
      <c r="F5314" t="s">
        <v>104</v>
      </c>
      <c r="G5314">
        <v>2</v>
      </c>
      <c r="H5314">
        <v>38</v>
      </c>
      <c r="I5314" s="25" t="s">
        <v>1664</v>
      </c>
      <c r="J5314"/>
      <c r="K5314" t="s">
        <v>213</v>
      </c>
      <c r="L5314" t="s">
        <v>114</v>
      </c>
      <c r="M5314" t="s">
        <v>52</v>
      </c>
      <c r="N5314" t="s">
        <v>40</v>
      </c>
      <c r="O5314">
        <v>62</v>
      </c>
      <c r="P5314"/>
      <c r="Q5314">
        <f t="shared" si="75"/>
        <v>4</v>
      </c>
      <c r="R5314">
        <v>1</v>
      </c>
      <c r="S5314">
        <v>0</v>
      </c>
      <c r="T5314">
        <v>0</v>
      </c>
      <c r="U5314">
        <v>2</v>
      </c>
      <c r="V5314">
        <v>2</v>
      </c>
      <c r="W5314">
        <v>0</v>
      </c>
      <c r="X5314" s="21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/>
      <c r="AI5314"/>
      <c r="AJ5314" t="s">
        <v>51</v>
      </c>
      <c r="AK5314" t="s">
        <v>52</v>
      </c>
      <c r="AL5314"/>
      <c r="AP5314" t="s">
        <v>116</v>
      </c>
    </row>
    <row r="5315" spans="1:42" s="6" customFormat="1">
      <c r="A5315" s="12">
        <v>43853</v>
      </c>
      <c r="B5315">
        <v>2</v>
      </c>
      <c r="C5315">
        <v>213</v>
      </c>
      <c r="D5315">
        <v>14469</v>
      </c>
      <c r="E5315" t="s">
        <v>112</v>
      </c>
      <c r="F5315" t="s">
        <v>104</v>
      </c>
      <c r="G5315">
        <v>2</v>
      </c>
      <c r="H5315">
        <v>39</v>
      </c>
      <c r="I5315" s="25"/>
      <c r="J5315"/>
      <c r="K5315" t="s">
        <v>1665</v>
      </c>
      <c r="L5315" t="s">
        <v>114</v>
      </c>
      <c r="M5315" t="s">
        <v>52</v>
      </c>
      <c r="N5315" t="s">
        <v>40</v>
      </c>
      <c r="O5315">
        <v>28</v>
      </c>
      <c r="P5315"/>
      <c r="Q5315">
        <f t="shared" si="75"/>
        <v>1</v>
      </c>
      <c r="R5315">
        <v>1</v>
      </c>
      <c r="S5315">
        <v>0</v>
      </c>
      <c r="T5315">
        <v>0</v>
      </c>
      <c r="U5315">
        <v>1</v>
      </c>
      <c r="V5315">
        <v>0</v>
      </c>
      <c r="W5315">
        <v>0</v>
      </c>
      <c r="X5315" s="21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/>
      <c r="AI5315"/>
      <c r="AJ5315" t="s">
        <v>51</v>
      </c>
      <c r="AK5315" t="s">
        <v>52</v>
      </c>
      <c r="AL5315" t="s">
        <v>125</v>
      </c>
      <c r="AP5315" t="s">
        <v>116</v>
      </c>
    </row>
    <row r="5316" spans="1:42" s="6" customFormat="1">
      <c r="A5316" s="12">
        <v>43853</v>
      </c>
      <c r="B5316">
        <v>2</v>
      </c>
      <c r="C5316">
        <v>213</v>
      </c>
      <c r="D5316">
        <v>14469</v>
      </c>
      <c r="E5316" t="s">
        <v>112</v>
      </c>
      <c r="F5316" t="s">
        <v>104</v>
      </c>
      <c r="G5316">
        <v>2</v>
      </c>
      <c r="H5316">
        <v>40</v>
      </c>
      <c r="I5316" s="25">
        <v>2055</v>
      </c>
      <c r="J5316"/>
      <c r="K5316" t="s">
        <v>210</v>
      </c>
      <c r="L5316" t="s">
        <v>141</v>
      </c>
      <c r="M5316" t="s">
        <v>52</v>
      </c>
      <c r="N5316" t="s">
        <v>40</v>
      </c>
      <c r="O5316">
        <v>136</v>
      </c>
      <c r="P5316"/>
      <c r="Q5316">
        <f t="shared" si="75"/>
        <v>4</v>
      </c>
      <c r="R5316">
        <v>1</v>
      </c>
      <c r="S5316">
        <v>0</v>
      </c>
      <c r="T5316">
        <v>0</v>
      </c>
      <c r="U5316">
        <v>1</v>
      </c>
      <c r="V5316">
        <v>1</v>
      </c>
      <c r="W5316">
        <v>2</v>
      </c>
      <c r="X5316" s="21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/>
      <c r="AI5316"/>
      <c r="AJ5316" t="s">
        <v>51</v>
      </c>
      <c r="AK5316" t="s">
        <v>95</v>
      </c>
      <c r="AL5316" t="s">
        <v>1666</v>
      </c>
      <c r="AP5316" t="s">
        <v>116</v>
      </c>
    </row>
    <row r="5317" spans="1:42" s="6" customFormat="1">
      <c r="A5317" s="12">
        <v>43853</v>
      </c>
      <c r="B5317">
        <v>2</v>
      </c>
      <c r="C5317">
        <v>213</v>
      </c>
      <c r="D5317">
        <v>14469</v>
      </c>
      <c r="E5317" t="s">
        <v>112</v>
      </c>
      <c r="F5317" t="s">
        <v>104</v>
      </c>
      <c r="G5317">
        <v>2</v>
      </c>
      <c r="H5317">
        <v>41</v>
      </c>
      <c r="I5317" s="25">
        <v>257</v>
      </c>
      <c r="J5317"/>
      <c r="K5317" t="s">
        <v>602</v>
      </c>
      <c r="L5317" t="s">
        <v>141</v>
      </c>
      <c r="M5317" t="s">
        <v>52</v>
      </c>
      <c r="N5317" t="s">
        <v>44</v>
      </c>
      <c r="O5317">
        <v>192</v>
      </c>
      <c r="P5317"/>
      <c r="Q5317">
        <f t="shared" si="75"/>
        <v>3</v>
      </c>
      <c r="R5317">
        <v>1</v>
      </c>
      <c r="S5317">
        <v>0</v>
      </c>
      <c r="T5317">
        <v>0</v>
      </c>
      <c r="U5317">
        <v>1</v>
      </c>
      <c r="V5317">
        <v>2</v>
      </c>
      <c r="W5317">
        <v>0</v>
      </c>
      <c r="X5317" s="21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/>
      <c r="AI5317"/>
      <c r="AJ5317" t="s">
        <v>51</v>
      </c>
      <c r="AK5317" t="s">
        <v>52</v>
      </c>
      <c r="AL5317" t="s">
        <v>1667</v>
      </c>
      <c r="AP5317" t="s">
        <v>116</v>
      </c>
    </row>
    <row r="5318" spans="1:42" s="6" customFormat="1">
      <c r="A5318" s="12">
        <v>43853</v>
      </c>
      <c r="B5318">
        <v>2</v>
      </c>
      <c r="C5318">
        <v>213</v>
      </c>
      <c r="D5318">
        <v>14469</v>
      </c>
      <c r="E5318" t="s">
        <v>112</v>
      </c>
      <c r="F5318" t="s">
        <v>104</v>
      </c>
      <c r="G5318">
        <v>2</v>
      </c>
      <c r="H5318">
        <v>42</v>
      </c>
      <c r="I5318" s="25" t="s">
        <v>1668</v>
      </c>
      <c r="J5318"/>
      <c r="K5318" t="s">
        <v>210</v>
      </c>
      <c r="L5318" t="s">
        <v>141</v>
      </c>
      <c r="M5318" t="s">
        <v>52</v>
      </c>
      <c r="N5318" t="s">
        <v>40</v>
      </c>
      <c r="O5318">
        <v>85</v>
      </c>
      <c r="P5318"/>
      <c r="Q5318">
        <f t="shared" si="75"/>
        <v>4</v>
      </c>
      <c r="R5318">
        <v>1</v>
      </c>
      <c r="S5318">
        <v>0</v>
      </c>
      <c r="T5318">
        <v>0</v>
      </c>
      <c r="U5318">
        <v>4</v>
      </c>
      <c r="V5318">
        <v>0</v>
      </c>
      <c r="W5318">
        <v>0</v>
      </c>
      <c r="X5318" s="21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/>
      <c r="AI5318"/>
      <c r="AJ5318" t="s">
        <v>51</v>
      </c>
      <c r="AK5318" t="s">
        <v>95</v>
      </c>
      <c r="AL5318"/>
      <c r="AP5318" t="s">
        <v>116</v>
      </c>
    </row>
    <row r="5319" spans="1:42" s="6" customFormat="1">
      <c r="A5319" s="12">
        <v>43853</v>
      </c>
      <c r="B5319">
        <v>2</v>
      </c>
      <c r="C5319">
        <v>213</v>
      </c>
      <c r="D5319">
        <v>14469</v>
      </c>
      <c r="E5319" t="s">
        <v>112</v>
      </c>
      <c r="F5319" t="s">
        <v>104</v>
      </c>
      <c r="G5319">
        <v>2</v>
      </c>
      <c r="H5319">
        <v>43</v>
      </c>
      <c r="I5319" s="25">
        <v>3201</v>
      </c>
      <c r="J5319"/>
      <c r="K5319" t="s">
        <v>909</v>
      </c>
      <c r="L5319" t="s">
        <v>141</v>
      </c>
      <c r="M5319" t="s">
        <v>52</v>
      </c>
      <c r="N5319" t="s">
        <v>40</v>
      </c>
      <c r="O5319">
        <v>38</v>
      </c>
      <c r="P5319"/>
      <c r="Q5319">
        <f t="shared" si="75"/>
        <v>1</v>
      </c>
      <c r="R5319">
        <v>1</v>
      </c>
      <c r="S5319">
        <v>0</v>
      </c>
      <c r="T5319">
        <v>0</v>
      </c>
      <c r="U5319">
        <v>1</v>
      </c>
      <c r="V5319">
        <v>0</v>
      </c>
      <c r="W5319">
        <v>0</v>
      </c>
      <c r="X5319" s="21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/>
      <c r="AI5319"/>
      <c r="AJ5319" t="s">
        <v>51</v>
      </c>
      <c r="AK5319" t="s">
        <v>52</v>
      </c>
      <c r="AL5319"/>
      <c r="AP5319" t="s">
        <v>116</v>
      </c>
    </row>
    <row r="5320" spans="1:42" s="6" customFormat="1">
      <c r="A5320" s="12">
        <v>43853</v>
      </c>
      <c r="B5320">
        <v>2</v>
      </c>
      <c r="C5320">
        <v>213</v>
      </c>
      <c r="D5320">
        <v>14469</v>
      </c>
      <c r="E5320" t="s">
        <v>112</v>
      </c>
      <c r="F5320" t="s">
        <v>104</v>
      </c>
      <c r="G5320">
        <v>2</v>
      </c>
      <c r="H5320">
        <v>44</v>
      </c>
      <c r="I5320" s="25">
        <v>2206</v>
      </c>
      <c r="J5320"/>
      <c r="K5320" t="s">
        <v>213</v>
      </c>
      <c r="L5320" t="s">
        <v>114</v>
      </c>
      <c r="M5320" t="s">
        <v>52</v>
      </c>
      <c r="N5320" t="s">
        <v>44</v>
      </c>
      <c r="O5320">
        <v>129</v>
      </c>
      <c r="P5320"/>
      <c r="Q5320">
        <f t="shared" si="75"/>
        <v>3</v>
      </c>
      <c r="R5320">
        <v>1</v>
      </c>
      <c r="S5320">
        <v>0</v>
      </c>
      <c r="T5320">
        <v>0</v>
      </c>
      <c r="U5320">
        <v>2</v>
      </c>
      <c r="V5320">
        <v>0</v>
      </c>
      <c r="W5320">
        <v>1</v>
      </c>
      <c r="X5320" s="21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/>
      <c r="AI5320"/>
      <c r="AJ5320" t="s">
        <v>51</v>
      </c>
      <c r="AK5320" t="s">
        <v>52</v>
      </c>
      <c r="AL5320" t="s">
        <v>1669</v>
      </c>
      <c r="AP5320" t="s">
        <v>116</v>
      </c>
    </row>
    <row r="5321" spans="1:42" s="6" customFormat="1">
      <c r="A5321" s="12">
        <v>43853</v>
      </c>
      <c r="B5321">
        <v>2</v>
      </c>
      <c r="C5321">
        <v>213</v>
      </c>
      <c r="D5321">
        <v>14469</v>
      </c>
      <c r="E5321" t="s">
        <v>112</v>
      </c>
      <c r="F5321" t="s">
        <v>104</v>
      </c>
      <c r="G5321">
        <v>2</v>
      </c>
      <c r="H5321">
        <v>45</v>
      </c>
      <c r="I5321" s="25" t="s">
        <v>1670</v>
      </c>
      <c r="J5321"/>
      <c r="K5321" t="s">
        <v>213</v>
      </c>
      <c r="L5321" t="s">
        <v>114</v>
      </c>
      <c r="M5321" t="s">
        <v>52</v>
      </c>
      <c r="N5321" t="s">
        <v>40</v>
      </c>
      <c r="O5321">
        <v>64</v>
      </c>
      <c r="P5321"/>
      <c r="Q5321">
        <f t="shared" si="75"/>
        <v>3</v>
      </c>
      <c r="R5321">
        <v>1</v>
      </c>
      <c r="S5321">
        <v>0</v>
      </c>
      <c r="T5321">
        <v>1</v>
      </c>
      <c r="U5321">
        <v>1</v>
      </c>
      <c r="V5321">
        <v>1</v>
      </c>
      <c r="W5321">
        <v>0</v>
      </c>
      <c r="X5321" s="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/>
      <c r="AI5321"/>
      <c r="AJ5321" t="s">
        <v>51</v>
      </c>
      <c r="AK5321" t="s">
        <v>52</v>
      </c>
      <c r="AL5321"/>
      <c r="AP5321" t="s">
        <v>116</v>
      </c>
    </row>
    <row r="5322" spans="1:42" s="6" customFormat="1">
      <c r="A5322" s="12">
        <v>43853</v>
      </c>
      <c r="B5322">
        <v>2</v>
      </c>
      <c r="C5322">
        <v>213</v>
      </c>
      <c r="D5322">
        <v>14469</v>
      </c>
      <c r="E5322" t="s">
        <v>112</v>
      </c>
      <c r="F5322" t="s">
        <v>104</v>
      </c>
      <c r="G5322">
        <v>2</v>
      </c>
      <c r="H5322">
        <v>46</v>
      </c>
      <c r="I5322" s="25">
        <v>2244</v>
      </c>
      <c r="J5322"/>
      <c r="K5322" t="s">
        <v>213</v>
      </c>
      <c r="L5322" t="s">
        <v>114</v>
      </c>
      <c r="M5322" t="s">
        <v>52</v>
      </c>
      <c r="N5322" t="s">
        <v>40</v>
      </c>
      <c r="O5322">
        <v>43</v>
      </c>
      <c r="P5322"/>
      <c r="Q5322">
        <f t="shared" si="75"/>
        <v>2</v>
      </c>
      <c r="R5322">
        <v>1</v>
      </c>
      <c r="S5322">
        <v>0</v>
      </c>
      <c r="T5322">
        <v>0</v>
      </c>
      <c r="U5322">
        <v>1</v>
      </c>
      <c r="V5322">
        <v>1</v>
      </c>
      <c r="W5322">
        <v>0</v>
      </c>
      <c r="X5322" s="21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/>
      <c r="AI5322"/>
      <c r="AJ5322" t="s">
        <v>51</v>
      </c>
      <c r="AK5322" t="s">
        <v>95</v>
      </c>
      <c r="AL5322"/>
      <c r="AP5322" t="s">
        <v>116</v>
      </c>
    </row>
    <row r="5323" spans="1:42" s="6" customFormat="1">
      <c r="A5323" s="12">
        <v>43853</v>
      </c>
      <c r="B5323">
        <v>2</v>
      </c>
      <c r="C5323">
        <v>213</v>
      </c>
      <c r="D5323">
        <v>14469</v>
      </c>
      <c r="E5323" t="s">
        <v>112</v>
      </c>
      <c r="F5323" t="s">
        <v>104</v>
      </c>
      <c r="G5323">
        <v>2</v>
      </c>
      <c r="H5323">
        <v>47</v>
      </c>
      <c r="I5323" s="25">
        <v>2254</v>
      </c>
      <c r="J5323"/>
      <c r="K5323" t="s">
        <v>213</v>
      </c>
      <c r="L5323" t="s">
        <v>114</v>
      </c>
      <c r="M5323" t="s">
        <v>52</v>
      </c>
      <c r="N5323" t="s">
        <v>40</v>
      </c>
      <c r="O5323">
        <v>47</v>
      </c>
      <c r="P5323"/>
      <c r="Q5323">
        <f t="shared" si="75"/>
        <v>2</v>
      </c>
      <c r="R5323">
        <v>1</v>
      </c>
      <c r="S5323">
        <v>0</v>
      </c>
      <c r="T5323">
        <v>0</v>
      </c>
      <c r="U5323">
        <v>1</v>
      </c>
      <c r="V5323">
        <v>1</v>
      </c>
      <c r="W5323">
        <v>0</v>
      </c>
      <c r="X5323" s="21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/>
      <c r="AI5323"/>
      <c r="AJ5323" t="s">
        <v>51</v>
      </c>
      <c r="AK5323" t="s">
        <v>95</v>
      </c>
      <c r="AL5323"/>
      <c r="AP5323" t="s">
        <v>116</v>
      </c>
    </row>
    <row r="5324" spans="1:42" s="6" customFormat="1">
      <c r="A5324" s="12">
        <v>43853</v>
      </c>
      <c r="B5324">
        <v>2</v>
      </c>
      <c r="C5324">
        <v>213</v>
      </c>
      <c r="D5324">
        <v>14469</v>
      </c>
      <c r="E5324" t="s">
        <v>112</v>
      </c>
      <c r="F5324" t="s">
        <v>104</v>
      </c>
      <c r="G5324">
        <v>2</v>
      </c>
      <c r="H5324">
        <v>48</v>
      </c>
      <c r="I5324" s="25" t="s">
        <v>1671</v>
      </c>
      <c r="J5324"/>
      <c r="K5324" t="s">
        <v>213</v>
      </c>
      <c r="L5324" t="s">
        <v>114</v>
      </c>
      <c r="M5324" t="s">
        <v>52</v>
      </c>
      <c r="N5324" t="s">
        <v>40</v>
      </c>
      <c r="O5324">
        <v>81</v>
      </c>
      <c r="P5324"/>
      <c r="Q5324">
        <f t="shared" si="75"/>
        <v>4</v>
      </c>
      <c r="R5324">
        <v>1</v>
      </c>
      <c r="S5324">
        <v>0</v>
      </c>
      <c r="T5324">
        <v>1</v>
      </c>
      <c r="U5324">
        <v>2</v>
      </c>
      <c r="V5324">
        <v>1</v>
      </c>
      <c r="W5324">
        <v>0</v>
      </c>
      <c r="X5324" s="21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/>
      <c r="AI5324"/>
      <c r="AJ5324" t="s">
        <v>51</v>
      </c>
      <c r="AK5324" t="s">
        <v>52</v>
      </c>
      <c r="AL5324"/>
      <c r="AP5324" t="s">
        <v>116</v>
      </c>
    </row>
    <row r="5325" spans="1:42" s="6" customFormat="1">
      <c r="A5325" s="12">
        <v>43853</v>
      </c>
      <c r="B5325">
        <v>2</v>
      </c>
      <c r="C5325">
        <v>213</v>
      </c>
      <c r="D5325">
        <v>14469</v>
      </c>
      <c r="E5325" t="s">
        <v>112</v>
      </c>
      <c r="F5325" t="s">
        <v>104</v>
      </c>
      <c r="G5325">
        <v>2</v>
      </c>
      <c r="H5325">
        <v>49</v>
      </c>
      <c r="I5325" s="25" t="s">
        <v>1672</v>
      </c>
      <c r="J5325"/>
      <c r="K5325" t="s">
        <v>213</v>
      </c>
      <c r="L5325" t="s">
        <v>141</v>
      </c>
      <c r="M5325" t="s">
        <v>52</v>
      </c>
      <c r="N5325" t="s">
        <v>44</v>
      </c>
      <c r="O5325">
        <v>190</v>
      </c>
      <c r="P5325"/>
      <c r="Q5325">
        <f t="shared" si="75"/>
        <v>3</v>
      </c>
      <c r="R5325">
        <v>1</v>
      </c>
      <c r="S5325">
        <v>0</v>
      </c>
      <c r="T5325">
        <v>1</v>
      </c>
      <c r="U5325">
        <v>2</v>
      </c>
      <c r="V5325">
        <v>0</v>
      </c>
      <c r="W5325">
        <v>0</v>
      </c>
      <c r="X5325" s="21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/>
      <c r="AI5325"/>
      <c r="AJ5325" t="s">
        <v>51</v>
      </c>
      <c r="AK5325" t="s">
        <v>52</v>
      </c>
      <c r="AL5325" t="s">
        <v>1673</v>
      </c>
      <c r="AP5325" t="s">
        <v>116</v>
      </c>
    </row>
    <row r="5326" spans="1:42" s="6" customFormat="1">
      <c r="A5326" s="12">
        <v>43853</v>
      </c>
      <c r="B5326">
        <v>2</v>
      </c>
      <c r="C5326">
        <v>213</v>
      </c>
      <c r="D5326">
        <v>14469</v>
      </c>
      <c r="E5326" t="s">
        <v>112</v>
      </c>
      <c r="F5326" t="s">
        <v>104</v>
      </c>
      <c r="G5326">
        <v>2</v>
      </c>
      <c r="H5326">
        <v>50</v>
      </c>
      <c r="I5326" s="25">
        <v>2281</v>
      </c>
      <c r="J5326"/>
      <c r="K5326" t="s">
        <v>213</v>
      </c>
      <c r="L5326" t="s">
        <v>141</v>
      </c>
      <c r="M5326" t="s">
        <v>52</v>
      </c>
      <c r="N5326" t="s">
        <v>40</v>
      </c>
      <c r="O5326">
        <v>20</v>
      </c>
      <c r="P5326"/>
      <c r="Q5326">
        <f t="shared" si="75"/>
        <v>1</v>
      </c>
      <c r="R5326">
        <v>1</v>
      </c>
      <c r="S5326">
        <v>0</v>
      </c>
      <c r="T5326">
        <v>0</v>
      </c>
      <c r="U5326">
        <v>1</v>
      </c>
      <c r="V5326">
        <v>0</v>
      </c>
      <c r="W5326">
        <v>0</v>
      </c>
      <c r="X5326" s="21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/>
      <c r="AI5326"/>
      <c r="AJ5326" t="s">
        <v>51</v>
      </c>
      <c r="AK5326" t="s">
        <v>52</v>
      </c>
      <c r="AL5326"/>
      <c r="AP5326" t="s">
        <v>116</v>
      </c>
    </row>
    <row r="5327" spans="1:42" s="6" customFormat="1">
      <c r="A5327" s="12">
        <v>43853</v>
      </c>
      <c r="B5327">
        <v>2</v>
      </c>
      <c r="C5327">
        <v>213</v>
      </c>
      <c r="D5327">
        <v>14469</v>
      </c>
      <c r="E5327" t="s">
        <v>112</v>
      </c>
      <c r="F5327" t="s">
        <v>104</v>
      </c>
      <c r="G5327">
        <v>2</v>
      </c>
      <c r="H5327">
        <v>51</v>
      </c>
      <c r="I5327" s="25" t="s">
        <v>1674</v>
      </c>
      <c r="J5327"/>
      <c r="K5327" t="s">
        <v>213</v>
      </c>
      <c r="L5327" t="s">
        <v>141</v>
      </c>
      <c r="M5327" t="s">
        <v>52</v>
      </c>
      <c r="N5327" t="s">
        <v>40</v>
      </c>
      <c r="O5327">
        <v>68</v>
      </c>
      <c r="P5327"/>
      <c r="Q5327">
        <f t="shared" si="75"/>
        <v>3</v>
      </c>
      <c r="R5327">
        <v>1</v>
      </c>
      <c r="S5327">
        <v>0</v>
      </c>
      <c r="T5327">
        <v>0</v>
      </c>
      <c r="U5327">
        <v>1</v>
      </c>
      <c r="V5327">
        <v>2</v>
      </c>
      <c r="W5327">
        <v>0</v>
      </c>
      <c r="X5327" s="21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/>
      <c r="AI5327"/>
      <c r="AJ5327" t="s">
        <v>51</v>
      </c>
      <c r="AK5327" t="s">
        <v>52</v>
      </c>
      <c r="AL5327"/>
      <c r="AP5327" t="s">
        <v>116</v>
      </c>
    </row>
    <row r="5328" spans="1:42" s="6" customFormat="1">
      <c r="A5328" s="12">
        <v>43853</v>
      </c>
      <c r="B5328">
        <v>2</v>
      </c>
      <c r="C5328">
        <v>213</v>
      </c>
      <c r="D5328">
        <v>14469</v>
      </c>
      <c r="E5328" t="s">
        <v>112</v>
      </c>
      <c r="F5328" t="s">
        <v>104</v>
      </c>
      <c r="G5328">
        <v>2</v>
      </c>
      <c r="H5328">
        <v>52</v>
      </c>
      <c r="I5328" s="25">
        <v>3199</v>
      </c>
      <c r="J5328"/>
      <c r="K5328" t="s">
        <v>909</v>
      </c>
      <c r="L5328" t="s">
        <v>141</v>
      </c>
      <c r="M5328" t="s">
        <v>52</v>
      </c>
      <c r="N5328" t="s">
        <v>40</v>
      </c>
      <c r="O5328">
        <v>137</v>
      </c>
      <c r="P5328"/>
      <c r="Q5328">
        <f t="shared" si="75"/>
        <v>3</v>
      </c>
      <c r="R5328">
        <v>1</v>
      </c>
      <c r="S5328">
        <v>0</v>
      </c>
      <c r="T5328">
        <v>0</v>
      </c>
      <c r="U5328">
        <v>1</v>
      </c>
      <c r="V5328">
        <v>2</v>
      </c>
      <c r="W5328">
        <v>0</v>
      </c>
      <c r="X5328" s="21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/>
      <c r="AI5328"/>
      <c r="AJ5328" t="s">
        <v>51</v>
      </c>
      <c r="AK5328" t="s">
        <v>52</v>
      </c>
      <c r="AL5328" t="s">
        <v>1675</v>
      </c>
      <c r="AP5328" t="s">
        <v>116</v>
      </c>
    </row>
    <row r="5329" spans="1:42" s="6" customFormat="1">
      <c r="A5329" s="12">
        <v>43853</v>
      </c>
      <c r="B5329">
        <v>2</v>
      </c>
      <c r="C5329">
        <v>213</v>
      </c>
      <c r="D5329">
        <v>14469</v>
      </c>
      <c r="E5329" t="s">
        <v>112</v>
      </c>
      <c r="F5329" t="s">
        <v>104</v>
      </c>
      <c r="G5329">
        <v>2</v>
      </c>
      <c r="H5329">
        <v>53</v>
      </c>
      <c r="I5329" s="25"/>
      <c r="J5329"/>
      <c r="K5329" t="s">
        <v>1676</v>
      </c>
      <c r="L5329" t="s">
        <v>141</v>
      </c>
      <c r="M5329" t="s">
        <v>52</v>
      </c>
      <c r="N5329" t="s">
        <v>40</v>
      </c>
      <c r="O5329">
        <v>39</v>
      </c>
      <c r="P5329"/>
      <c r="Q5329">
        <f t="shared" si="75"/>
        <v>1</v>
      </c>
      <c r="R5329">
        <v>1</v>
      </c>
      <c r="S5329">
        <v>0</v>
      </c>
      <c r="T5329">
        <v>0</v>
      </c>
      <c r="U5329">
        <v>1</v>
      </c>
      <c r="V5329">
        <v>0</v>
      </c>
      <c r="W5329">
        <v>0</v>
      </c>
      <c r="X5329" s="21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/>
      <c r="AI5329"/>
      <c r="AJ5329" t="s">
        <v>51</v>
      </c>
      <c r="AK5329" t="s">
        <v>52</v>
      </c>
      <c r="AL5329" t="s">
        <v>125</v>
      </c>
      <c r="AP5329" t="s">
        <v>116</v>
      </c>
    </row>
    <row r="5330" spans="1:42" s="6" customFormat="1">
      <c r="A5330" s="12">
        <v>43853</v>
      </c>
      <c r="B5330">
        <v>2</v>
      </c>
      <c r="C5330">
        <v>213</v>
      </c>
      <c r="D5330">
        <v>14469</v>
      </c>
      <c r="E5330" t="s">
        <v>112</v>
      </c>
      <c r="F5330" t="s">
        <v>104</v>
      </c>
      <c r="G5330">
        <v>2</v>
      </c>
      <c r="H5330">
        <v>54</v>
      </c>
      <c r="I5330" s="25">
        <v>3145</v>
      </c>
      <c r="J5330"/>
      <c r="K5330" t="s">
        <v>909</v>
      </c>
      <c r="L5330" t="s">
        <v>141</v>
      </c>
      <c r="M5330" t="s">
        <v>52</v>
      </c>
      <c r="N5330" t="s">
        <v>44</v>
      </c>
      <c r="O5330">
        <v>72</v>
      </c>
      <c r="P5330"/>
      <c r="Q5330">
        <f t="shared" si="75"/>
        <v>1</v>
      </c>
      <c r="R5330">
        <v>1</v>
      </c>
      <c r="S5330">
        <v>0</v>
      </c>
      <c r="T5330">
        <v>0</v>
      </c>
      <c r="U5330">
        <v>1</v>
      </c>
      <c r="V5330">
        <v>0</v>
      </c>
      <c r="W5330">
        <v>0</v>
      </c>
      <c r="X5330" s="21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/>
      <c r="AI5330"/>
      <c r="AJ5330" t="s">
        <v>51</v>
      </c>
      <c r="AK5330" t="s">
        <v>52</v>
      </c>
      <c r="AL5330" t="s">
        <v>1677</v>
      </c>
      <c r="AP5330" t="s">
        <v>116</v>
      </c>
    </row>
    <row r="5331" spans="1:42" s="6" customFormat="1">
      <c r="A5331" s="12">
        <v>43853</v>
      </c>
      <c r="B5331">
        <v>2</v>
      </c>
      <c r="C5331">
        <v>213</v>
      </c>
      <c r="D5331">
        <v>14469</v>
      </c>
      <c r="E5331" t="s">
        <v>112</v>
      </c>
      <c r="F5331" t="s">
        <v>104</v>
      </c>
      <c r="G5331">
        <v>2</v>
      </c>
      <c r="H5331">
        <v>55</v>
      </c>
      <c r="I5331" s="25">
        <v>3131</v>
      </c>
      <c r="J5331"/>
      <c r="K5331" t="s">
        <v>909</v>
      </c>
      <c r="L5331" t="s">
        <v>141</v>
      </c>
      <c r="M5331" t="s">
        <v>52</v>
      </c>
      <c r="N5331" t="s">
        <v>40</v>
      </c>
      <c r="O5331">
        <v>50</v>
      </c>
      <c r="P5331"/>
      <c r="Q5331">
        <f t="shared" si="75"/>
        <v>3</v>
      </c>
      <c r="R5331">
        <v>1</v>
      </c>
      <c r="S5331">
        <v>0</v>
      </c>
      <c r="T5331">
        <v>0</v>
      </c>
      <c r="U5331">
        <v>1</v>
      </c>
      <c r="V5331">
        <v>1</v>
      </c>
      <c r="W5331">
        <v>1</v>
      </c>
      <c r="X5331" s="2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/>
      <c r="AI5331"/>
      <c r="AJ5331" t="s">
        <v>51</v>
      </c>
      <c r="AK5331" t="s">
        <v>52</v>
      </c>
      <c r="AL5331"/>
      <c r="AP5331" t="s">
        <v>116</v>
      </c>
    </row>
    <row r="5332" spans="1:42" s="6" customFormat="1">
      <c r="A5332" s="12">
        <v>43853</v>
      </c>
      <c r="B5332">
        <v>2</v>
      </c>
      <c r="C5332">
        <v>213</v>
      </c>
      <c r="D5332">
        <v>14469</v>
      </c>
      <c r="E5332" t="s">
        <v>112</v>
      </c>
      <c r="F5332" t="s">
        <v>104</v>
      </c>
      <c r="G5332">
        <v>2</v>
      </c>
      <c r="H5332">
        <v>56</v>
      </c>
      <c r="I5332" s="25">
        <v>3115</v>
      </c>
      <c r="J5332"/>
      <c r="K5332" t="s">
        <v>909</v>
      </c>
      <c r="L5332" t="s">
        <v>141</v>
      </c>
      <c r="M5332" t="s">
        <v>52</v>
      </c>
      <c r="N5332" t="s">
        <v>40</v>
      </c>
      <c r="O5332">
        <v>90</v>
      </c>
      <c r="P5332"/>
      <c r="Q5332">
        <f t="shared" si="75"/>
        <v>3</v>
      </c>
      <c r="R5332">
        <v>1</v>
      </c>
      <c r="S5332">
        <v>0</v>
      </c>
      <c r="T5332">
        <v>0</v>
      </c>
      <c r="U5332">
        <v>0</v>
      </c>
      <c r="V5332">
        <v>3</v>
      </c>
      <c r="W5332">
        <v>0</v>
      </c>
      <c r="X5332" s="21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/>
      <c r="AI5332"/>
      <c r="AJ5332" t="s">
        <v>51</v>
      </c>
      <c r="AK5332" t="s">
        <v>95</v>
      </c>
      <c r="AL5332"/>
      <c r="AP5332" t="s">
        <v>116</v>
      </c>
    </row>
    <row r="5333" spans="1:42" s="6" customFormat="1">
      <c r="A5333" s="12">
        <v>43853</v>
      </c>
      <c r="B5333">
        <v>2</v>
      </c>
      <c r="C5333">
        <v>213</v>
      </c>
      <c r="D5333">
        <v>14469</v>
      </c>
      <c r="E5333" t="s">
        <v>112</v>
      </c>
      <c r="F5333" t="s">
        <v>104</v>
      </c>
      <c r="G5333">
        <v>2</v>
      </c>
      <c r="H5333">
        <v>57</v>
      </c>
      <c r="I5333" s="25"/>
      <c r="J5333"/>
      <c r="K5333" t="s">
        <v>1678</v>
      </c>
      <c r="L5333" t="s">
        <v>141</v>
      </c>
      <c r="M5333" t="s">
        <v>52</v>
      </c>
      <c r="N5333" t="s">
        <v>40</v>
      </c>
      <c r="O5333">
        <v>21</v>
      </c>
      <c r="P5333"/>
      <c r="Q5333">
        <f t="shared" si="75"/>
        <v>1</v>
      </c>
      <c r="R5333">
        <v>1</v>
      </c>
      <c r="S5333">
        <v>0</v>
      </c>
      <c r="T5333">
        <v>0</v>
      </c>
      <c r="U5333">
        <v>1</v>
      </c>
      <c r="V5333">
        <v>0</v>
      </c>
      <c r="W5333">
        <v>0</v>
      </c>
      <c r="X5333" s="21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/>
      <c r="AI5333"/>
      <c r="AJ5333" t="s">
        <v>51</v>
      </c>
      <c r="AK5333" t="s">
        <v>95</v>
      </c>
      <c r="AL5333" t="s">
        <v>125</v>
      </c>
      <c r="AP5333" t="s">
        <v>116</v>
      </c>
    </row>
    <row r="5334" spans="1:42" s="6" customFormat="1">
      <c r="A5334" s="12">
        <v>43853</v>
      </c>
      <c r="B5334">
        <v>2</v>
      </c>
      <c r="C5334">
        <v>213</v>
      </c>
      <c r="D5334">
        <v>14469</v>
      </c>
      <c r="E5334" t="s">
        <v>112</v>
      </c>
      <c r="F5334" t="s">
        <v>104</v>
      </c>
      <c r="G5334">
        <v>2</v>
      </c>
      <c r="H5334">
        <v>58</v>
      </c>
      <c r="I5334" s="25">
        <v>2163</v>
      </c>
      <c r="J5334"/>
      <c r="K5334" t="s">
        <v>148</v>
      </c>
      <c r="L5334" t="s">
        <v>141</v>
      </c>
      <c r="M5334" t="s">
        <v>52</v>
      </c>
      <c r="N5334" t="s">
        <v>40</v>
      </c>
      <c r="O5334">
        <v>42</v>
      </c>
      <c r="P5334"/>
      <c r="Q5334">
        <f t="shared" si="75"/>
        <v>2</v>
      </c>
      <c r="R5334">
        <v>1</v>
      </c>
      <c r="S5334">
        <v>0</v>
      </c>
      <c r="T5334">
        <v>0</v>
      </c>
      <c r="U5334">
        <v>1</v>
      </c>
      <c r="V5334">
        <v>0</v>
      </c>
      <c r="W5334">
        <v>1</v>
      </c>
      <c r="X5334" s="21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/>
      <c r="AI5334"/>
      <c r="AJ5334" t="s">
        <v>51</v>
      </c>
      <c r="AK5334" t="s">
        <v>52</v>
      </c>
      <c r="AL5334"/>
      <c r="AP5334" t="s">
        <v>116</v>
      </c>
    </row>
    <row r="5335" spans="1:42" s="6" customFormat="1">
      <c r="A5335" s="12">
        <v>43853</v>
      </c>
      <c r="B5335">
        <v>2</v>
      </c>
      <c r="C5335">
        <v>213</v>
      </c>
      <c r="D5335">
        <v>14469</v>
      </c>
      <c r="E5335" t="s">
        <v>112</v>
      </c>
      <c r="F5335" t="s">
        <v>104</v>
      </c>
      <c r="G5335">
        <v>2</v>
      </c>
      <c r="H5335">
        <v>59</v>
      </c>
      <c r="I5335" s="25" t="s">
        <v>1679</v>
      </c>
      <c r="J5335"/>
      <c r="K5335" t="s">
        <v>148</v>
      </c>
      <c r="L5335" t="s">
        <v>141</v>
      </c>
      <c r="M5335" t="s">
        <v>52</v>
      </c>
      <c r="N5335" t="s">
        <v>40</v>
      </c>
      <c r="O5335">
        <v>136</v>
      </c>
      <c r="P5335"/>
      <c r="Q5335">
        <f t="shared" si="75"/>
        <v>8</v>
      </c>
      <c r="R5335">
        <v>1</v>
      </c>
      <c r="S5335">
        <v>1</v>
      </c>
      <c r="T5335">
        <v>0</v>
      </c>
      <c r="U5335">
        <v>7</v>
      </c>
      <c r="V5335">
        <v>0</v>
      </c>
      <c r="W5335">
        <v>0</v>
      </c>
      <c r="X5335" s="21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/>
      <c r="AI5335"/>
      <c r="AJ5335" t="s">
        <v>51</v>
      </c>
      <c r="AK5335" t="s">
        <v>52</v>
      </c>
      <c r="AL5335"/>
      <c r="AP5335" t="s">
        <v>116</v>
      </c>
    </row>
    <row r="5336" spans="1:42" s="6" customFormat="1">
      <c r="A5336" s="12">
        <v>43853</v>
      </c>
      <c r="B5336">
        <v>2</v>
      </c>
      <c r="C5336">
        <v>213</v>
      </c>
      <c r="D5336">
        <v>14469</v>
      </c>
      <c r="E5336" t="s">
        <v>112</v>
      </c>
      <c r="F5336" t="s">
        <v>104</v>
      </c>
      <c r="G5336">
        <v>2</v>
      </c>
      <c r="H5336">
        <v>60</v>
      </c>
      <c r="I5336" s="25" t="s">
        <v>1680</v>
      </c>
      <c r="J5336"/>
      <c r="K5336" t="s">
        <v>148</v>
      </c>
      <c r="L5336" t="s">
        <v>141</v>
      </c>
      <c r="M5336" t="s">
        <v>52</v>
      </c>
      <c r="N5336" t="s">
        <v>40</v>
      </c>
      <c r="O5336">
        <v>96</v>
      </c>
      <c r="P5336"/>
      <c r="Q5336">
        <f t="shared" si="75"/>
        <v>6</v>
      </c>
      <c r="R5336">
        <v>1</v>
      </c>
      <c r="S5336">
        <v>1</v>
      </c>
      <c r="T5336">
        <v>0</v>
      </c>
      <c r="U5336">
        <v>3</v>
      </c>
      <c r="V5336">
        <v>2</v>
      </c>
      <c r="W5336">
        <v>0</v>
      </c>
      <c r="X5336" s="21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/>
      <c r="AI5336"/>
      <c r="AJ5336" t="s">
        <v>51</v>
      </c>
      <c r="AK5336" t="s">
        <v>52</v>
      </c>
      <c r="AL5336"/>
      <c r="AP5336" t="s">
        <v>116</v>
      </c>
    </row>
    <row r="5337" spans="1:42" s="6" customFormat="1">
      <c r="A5337" s="12">
        <v>43853</v>
      </c>
      <c r="B5337">
        <v>2</v>
      </c>
      <c r="C5337">
        <v>213</v>
      </c>
      <c r="D5337">
        <v>14469</v>
      </c>
      <c r="E5337" t="s">
        <v>112</v>
      </c>
      <c r="F5337" t="s">
        <v>104</v>
      </c>
      <c r="G5337">
        <v>2</v>
      </c>
      <c r="H5337">
        <v>61</v>
      </c>
      <c r="I5337" s="25" t="s">
        <v>1681</v>
      </c>
      <c r="J5337"/>
      <c r="K5337" t="s">
        <v>148</v>
      </c>
      <c r="L5337" t="s">
        <v>141</v>
      </c>
      <c r="M5337" t="s">
        <v>52</v>
      </c>
      <c r="N5337" t="s">
        <v>40</v>
      </c>
      <c r="O5337">
        <v>73</v>
      </c>
      <c r="P5337"/>
      <c r="Q5337">
        <f t="shared" si="75"/>
        <v>4</v>
      </c>
      <c r="R5337">
        <v>1</v>
      </c>
      <c r="S5337">
        <v>0</v>
      </c>
      <c r="T5337">
        <v>0</v>
      </c>
      <c r="U5337">
        <v>3</v>
      </c>
      <c r="V5337">
        <v>1</v>
      </c>
      <c r="W5337">
        <v>0</v>
      </c>
      <c r="X5337" s="21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/>
      <c r="AI5337"/>
      <c r="AJ5337" t="s">
        <v>51</v>
      </c>
      <c r="AK5337" t="s">
        <v>52</v>
      </c>
      <c r="AL5337"/>
      <c r="AP5337" t="s">
        <v>116</v>
      </c>
    </row>
    <row r="5338" spans="1:42" s="6" customFormat="1">
      <c r="A5338" s="12">
        <v>43853</v>
      </c>
      <c r="B5338">
        <v>2</v>
      </c>
      <c r="C5338">
        <v>213</v>
      </c>
      <c r="D5338">
        <v>14469</v>
      </c>
      <c r="E5338" t="s">
        <v>112</v>
      </c>
      <c r="F5338" t="s">
        <v>104</v>
      </c>
      <c r="G5338">
        <v>2</v>
      </c>
      <c r="H5338">
        <v>62</v>
      </c>
      <c r="I5338" s="25" t="s">
        <v>1682</v>
      </c>
      <c r="J5338"/>
      <c r="K5338" t="s">
        <v>1683</v>
      </c>
      <c r="L5338" t="s">
        <v>141</v>
      </c>
      <c r="M5338" t="s">
        <v>52</v>
      </c>
      <c r="N5338" t="s">
        <v>44</v>
      </c>
      <c r="O5338">
        <v>170</v>
      </c>
      <c r="P5338"/>
      <c r="Q5338">
        <f t="shared" si="75"/>
        <v>2</v>
      </c>
      <c r="R5338">
        <v>1</v>
      </c>
      <c r="S5338">
        <v>0</v>
      </c>
      <c r="T5338">
        <v>0</v>
      </c>
      <c r="U5338">
        <v>1</v>
      </c>
      <c r="V5338">
        <v>0</v>
      </c>
      <c r="W5338">
        <v>1</v>
      </c>
      <c r="X5338" s="21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/>
      <c r="AI5338"/>
      <c r="AJ5338" t="s">
        <v>51</v>
      </c>
      <c r="AK5338" t="s">
        <v>52</v>
      </c>
      <c r="AL5338" t="s">
        <v>1684</v>
      </c>
      <c r="AP5338" t="s">
        <v>116</v>
      </c>
    </row>
    <row r="5339" spans="1:42" s="6" customFormat="1">
      <c r="A5339" s="12">
        <v>43853</v>
      </c>
      <c r="B5339">
        <v>2</v>
      </c>
      <c r="C5339">
        <v>213</v>
      </c>
      <c r="D5339">
        <v>14469</v>
      </c>
      <c r="E5339" t="s">
        <v>112</v>
      </c>
      <c r="F5339" t="s">
        <v>104</v>
      </c>
      <c r="G5339">
        <v>2</v>
      </c>
      <c r="H5339">
        <v>63</v>
      </c>
      <c r="I5339" s="25" t="s">
        <v>1685</v>
      </c>
      <c r="J5339"/>
      <c r="K5339" t="s">
        <v>148</v>
      </c>
      <c r="L5339" t="s">
        <v>141</v>
      </c>
      <c r="M5339" t="s">
        <v>52</v>
      </c>
      <c r="N5339" t="s">
        <v>40</v>
      </c>
      <c r="O5339">
        <v>66</v>
      </c>
      <c r="P5339"/>
      <c r="Q5339">
        <f t="shared" si="75"/>
        <v>4</v>
      </c>
      <c r="R5339">
        <v>1</v>
      </c>
      <c r="S5339">
        <v>0</v>
      </c>
      <c r="T5339">
        <v>0</v>
      </c>
      <c r="U5339">
        <v>3</v>
      </c>
      <c r="V5339">
        <v>1</v>
      </c>
      <c r="W5339">
        <v>0</v>
      </c>
      <c r="X5339" s="21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/>
      <c r="AI5339"/>
      <c r="AJ5339" t="s">
        <v>51</v>
      </c>
      <c r="AK5339" t="s">
        <v>52</v>
      </c>
      <c r="AL5339"/>
      <c r="AP5339" t="s">
        <v>116</v>
      </c>
    </row>
    <row r="5340" spans="1:42" s="6" customFormat="1">
      <c r="A5340" s="12">
        <v>43853</v>
      </c>
      <c r="B5340">
        <v>2</v>
      </c>
      <c r="C5340">
        <v>213</v>
      </c>
      <c r="D5340">
        <v>14469</v>
      </c>
      <c r="E5340" t="s">
        <v>112</v>
      </c>
      <c r="F5340" t="s">
        <v>104</v>
      </c>
      <c r="G5340">
        <v>2</v>
      </c>
      <c r="H5340">
        <v>64</v>
      </c>
      <c r="I5340" s="25">
        <v>2045</v>
      </c>
      <c r="J5340"/>
      <c r="K5340" t="s">
        <v>148</v>
      </c>
      <c r="L5340" t="s">
        <v>141</v>
      </c>
      <c r="M5340" t="s">
        <v>52</v>
      </c>
      <c r="N5340" t="s">
        <v>40</v>
      </c>
      <c r="O5340">
        <v>38</v>
      </c>
      <c r="P5340"/>
      <c r="Q5340">
        <f t="shared" si="75"/>
        <v>2</v>
      </c>
      <c r="R5340">
        <v>1</v>
      </c>
      <c r="S5340">
        <v>0</v>
      </c>
      <c r="T5340">
        <v>0</v>
      </c>
      <c r="U5340">
        <v>1</v>
      </c>
      <c r="V5340">
        <v>0</v>
      </c>
      <c r="W5340">
        <v>1</v>
      </c>
      <c r="X5340" s="21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/>
      <c r="AI5340"/>
      <c r="AJ5340" t="s">
        <v>51</v>
      </c>
      <c r="AK5340" t="s">
        <v>95</v>
      </c>
      <c r="AL5340"/>
      <c r="AP5340" t="s">
        <v>116</v>
      </c>
    </row>
    <row r="5341" spans="1:42" s="6" customFormat="1">
      <c r="A5341" s="12">
        <v>43853</v>
      </c>
      <c r="B5341">
        <v>2</v>
      </c>
      <c r="C5341">
        <v>213</v>
      </c>
      <c r="D5341">
        <v>14469</v>
      </c>
      <c r="E5341" t="s">
        <v>112</v>
      </c>
      <c r="F5341" t="s">
        <v>104</v>
      </c>
      <c r="G5341">
        <v>2</v>
      </c>
      <c r="H5341">
        <v>65</v>
      </c>
      <c r="I5341" s="25">
        <v>2035</v>
      </c>
      <c r="J5341"/>
      <c r="K5341" t="s">
        <v>148</v>
      </c>
      <c r="L5341" t="s">
        <v>141</v>
      </c>
      <c r="M5341" t="s">
        <v>52</v>
      </c>
      <c r="N5341" t="s">
        <v>40</v>
      </c>
      <c r="O5341">
        <v>23</v>
      </c>
      <c r="P5341"/>
      <c r="Q5341">
        <f t="shared" si="75"/>
        <v>1</v>
      </c>
      <c r="R5341">
        <v>1</v>
      </c>
      <c r="S5341">
        <v>0</v>
      </c>
      <c r="T5341">
        <v>0</v>
      </c>
      <c r="U5341">
        <v>1</v>
      </c>
      <c r="V5341">
        <v>0</v>
      </c>
      <c r="W5341">
        <v>0</v>
      </c>
      <c r="X5341" s="2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/>
      <c r="AI5341"/>
      <c r="AJ5341" t="s">
        <v>51</v>
      </c>
      <c r="AK5341" t="s">
        <v>95</v>
      </c>
      <c r="AL5341"/>
      <c r="AP5341" t="s">
        <v>116</v>
      </c>
    </row>
    <row r="5342" spans="1:42" s="6" customFormat="1">
      <c r="A5342" s="12">
        <v>43853</v>
      </c>
      <c r="B5342">
        <v>2</v>
      </c>
      <c r="C5342">
        <v>213</v>
      </c>
      <c r="D5342">
        <v>14469</v>
      </c>
      <c r="E5342" t="s">
        <v>112</v>
      </c>
      <c r="F5342" t="s">
        <v>104</v>
      </c>
      <c r="G5342">
        <v>2</v>
      </c>
      <c r="H5342">
        <v>66</v>
      </c>
      <c r="I5342" s="25">
        <v>2011</v>
      </c>
      <c r="J5342"/>
      <c r="K5342" t="s">
        <v>148</v>
      </c>
      <c r="L5342" t="s">
        <v>141</v>
      </c>
      <c r="M5342" t="s">
        <v>52</v>
      </c>
      <c r="N5342" t="s">
        <v>40</v>
      </c>
      <c r="O5342">
        <v>41</v>
      </c>
      <c r="P5342"/>
      <c r="Q5342">
        <f t="shared" ref="Q5342:Q5405" si="76">S5342+T5342+U5342+V5342+W5342+Y5342+Z5342+AA5342+AB5342+AC5342+AD5342+AE5342+AF5342</f>
        <v>2</v>
      </c>
      <c r="R5342">
        <v>1</v>
      </c>
      <c r="S5342">
        <v>0</v>
      </c>
      <c r="T5342">
        <v>1</v>
      </c>
      <c r="U5342">
        <v>1</v>
      </c>
      <c r="V5342">
        <v>0</v>
      </c>
      <c r="W5342">
        <v>0</v>
      </c>
      <c r="X5342" s="21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/>
      <c r="AI5342"/>
      <c r="AJ5342" t="s">
        <v>51</v>
      </c>
      <c r="AK5342" t="s">
        <v>95</v>
      </c>
      <c r="AL5342"/>
      <c r="AP5342" t="s">
        <v>116</v>
      </c>
    </row>
    <row r="5343" spans="1:42" s="6" customFormat="1">
      <c r="A5343" s="12">
        <v>43853</v>
      </c>
      <c r="B5343">
        <v>2</v>
      </c>
      <c r="C5343">
        <v>213</v>
      </c>
      <c r="D5343">
        <v>14469</v>
      </c>
      <c r="E5343" t="s">
        <v>112</v>
      </c>
      <c r="F5343" t="s">
        <v>104</v>
      </c>
      <c r="G5343">
        <v>2</v>
      </c>
      <c r="H5343">
        <v>67</v>
      </c>
      <c r="I5343" s="25">
        <v>2015</v>
      </c>
      <c r="J5343"/>
      <c r="K5343" t="s">
        <v>213</v>
      </c>
      <c r="L5343" t="s">
        <v>141</v>
      </c>
      <c r="M5343" t="s">
        <v>52</v>
      </c>
      <c r="N5343" t="s">
        <v>44</v>
      </c>
      <c r="O5343">
        <v>60</v>
      </c>
      <c r="P5343"/>
      <c r="Q5343">
        <f t="shared" si="76"/>
        <v>2</v>
      </c>
      <c r="R5343">
        <v>1</v>
      </c>
      <c r="S5343">
        <v>0</v>
      </c>
      <c r="T5343">
        <v>0</v>
      </c>
      <c r="U5343">
        <v>0</v>
      </c>
      <c r="V5343">
        <v>0</v>
      </c>
      <c r="W5343">
        <v>2</v>
      </c>
      <c r="X5343" s="21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/>
      <c r="AI5343"/>
      <c r="AJ5343" t="s">
        <v>51</v>
      </c>
      <c r="AK5343" t="s">
        <v>52</v>
      </c>
      <c r="AL5343" t="s">
        <v>149</v>
      </c>
      <c r="AP5343" t="s">
        <v>116</v>
      </c>
    </row>
    <row r="5344" spans="1:42" s="6" customFormat="1">
      <c r="A5344" s="12">
        <v>43853</v>
      </c>
      <c r="B5344">
        <v>2</v>
      </c>
      <c r="C5344">
        <v>213</v>
      </c>
      <c r="D5344">
        <v>14469</v>
      </c>
      <c r="E5344" t="s">
        <v>112</v>
      </c>
      <c r="F5344" t="s">
        <v>104</v>
      </c>
      <c r="G5344">
        <v>2</v>
      </c>
      <c r="H5344">
        <v>68</v>
      </c>
      <c r="I5344" s="25"/>
      <c r="J5344"/>
      <c r="K5344" t="s">
        <v>1686</v>
      </c>
      <c r="L5344" t="s">
        <v>141</v>
      </c>
      <c r="M5344" t="s">
        <v>52</v>
      </c>
      <c r="N5344" t="s">
        <v>40</v>
      </c>
      <c r="O5344">
        <v>24</v>
      </c>
      <c r="P5344"/>
      <c r="Q5344">
        <f t="shared" si="76"/>
        <v>1</v>
      </c>
      <c r="R5344">
        <v>1</v>
      </c>
      <c r="S5344">
        <v>0</v>
      </c>
      <c r="T5344">
        <v>0</v>
      </c>
      <c r="U5344">
        <v>1</v>
      </c>
      <c r="V5344">
        <v>0</v>
      </c>
      <c r="W5344">
        <v>0</v>
      </c>
      <c r="X5344" s="21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/>
      <c r="AI5344"/>
      <c r="AJ5344" t="s">
        <v>51</v>
      </c>
      <c r="AK5344" t="s">
        <v>95</v>
      </c>
      <c r="AL5344" t="s">
        <v>125</v>
      </c>
      <c r="AP5344" t="s">
        <v>116</v>
      </c>
    </row>
    <row r="5345" spans="1:42" s="6" customFormat="1">
      <c r="A5345" s="12">
        <v>43853</v>
      </c>
      <c r="B5345">
        <v>2</v>
      </c>
      <c r="C5345">
        <v>213</v>
      </c>
      <c r="D5345">
        <v>14469</v>
      </c>
      <c r="E5345" t="s">
        <v>112</v>
      </c>
      <c r="F5345" t="s">
        <v>104</v>
      </c>
      <c r="G5345">
        <v>2</v>
      </c>
      <c r="H5345">
        <v>69</v>
      </c>
      <c r="I5345" s="25" t="s">
        <v>1687</v>
      </c>
      <c r="J5345"/>
      <c r="K5345" t="s">
        <v>148</v>
      </c>
      <c r="L5345" t="s">
        <v>114</v>
      </c>
      <c r="M5345" t="s">
        <v>52</v>
      </c>
      <c r="N5345" t="s">
        <v>40</v>
      </c>
      <c r="O5345">
        <v>68</v>
      </c>
      <c r="P5345"/>
      <c r="Q5345">
        <f t="shared" si="76"/>
        <v>3</v>
      </c>
      <c r="R5345">
        <v>1</v>
      </c>
      <c r="S5345">
        <v>0</v>
      </c>
      <c r="T5345">
        <v>0</v>
      </c>
      <c r="U5345">
        <v>1</v>
      </c>
      <c r="V5345">
        <v>2</v>
      </c>
      <c r="W5345">
        <v>0</v>
      </c>
      <c r="X5345" s="21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/>
      <c r="AI5345"/>
      <c r="AJ5345" t="s">
        <v>51</v>
      </c>
      <c r="AK5345" t="s">
        <v>52</v>
      </c>
      <c r="AL5345"/>
      <c r="AP5345" t="s">
        <v>116</v>
      </c>
    </row>
    <row r="5346" spans="1:42" s="6" customFormat="1">
      <c r="A5346" s="12">
        <v>43853</v>
      </c>
      <c r="B5346">
        <v>2</v>
      </c>
      <c r="C5346">
        <v>213</v>
      </c>
      <c r="D5346">
        <v>14469</v>
      </c>
      <c r="E5346" t="s">
        <v>112</v>
      </c>
      <c r="F5346" t="s">
        <v>104</v>
      </c>
      <c r="G5346">
        <v>2</v>
      </c>
      <c r="H5346">
        <v>70</v>
      </c>
      <c r="I5346" s="25" t="s">
        <v>1688</v>
      </c>
      <c r="J5346"/>
      <c r="K5346" t="s">
        <v>148</v>
      </c>
      <c r="L5346" t="s">
        <v>114</v>
      </c>
      <c r="M5346" t="s">
        <v>52</v>
      </c>
      <c r="N5346" t="s">
        <v>40</v>
      </c>
      <c r="O5346">
        <v>70</v>
      </c>
      <c r="P5346"/>
      <c r="Q5346">
        <f t="shared" si="76"/>
        <v>3</v>
      </c>
      <c r="R5346">
        <v>1</v>
      </c>
      <c r="S5346">
        <v>0</v>
      </c>
      <c r="T5346">
        <v>0</v>
      </c>
      <c r="U5346">
        <v>3</v>
      </c>
      <c r="V5346">
        <v>0</v>
      </c>
      <c r="W5346">
        <v>0</v>
      </c>
      <c r="X5346" s="21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/>
      <c r="AI5346"/>
      <c r="AJ5346" t="s">
        <v>51</v>
      </c>
      <c r="AK5346" t="s">
        <v>52</v>
      </c>
      <c r="AL5346"/>
      <c r="AP5346" t="s">
        <v>116</v>
      </c>
    </row>
    <row r="5347" spans="1:42" s="6" customFormat="1">
      <c r="A5347" s="12">
        <v>43853</v>
      </c>
      <c r="B5347">
        <v>2</v>
      </c>
      <c r="C5347">
        <v>213</v>
      </c>
      <c r="D5347">
        <v>14469</v>
      </c>
      <c r="E5347" t="s">
        <v>112</v>
      </c>
      <c r="F5347" t="s">
        <v>104</v>
      </c>
      <c r="G5347">
        <v>2</v>
      </c>
      <c r="H5347">
        <v>71</v>
      </c>
      <c r="I5347" s="25">
        <v>2060</v>
      </c>
      <c r="J5347"/>
      <c r="K5347" t="s">
        <v>148</v>
      </c>
      <c r="L5347" t="s">
        <v>114</v>
      </c>
      <c r="M5347" t="s">
        <v>52</v>
      </c>
      <c r="N5347" t="s">
        <v>40</v>
      </c>
      <c r="O5347">
        <v>39</v>
      </c>
      <c r="P5347"/>
      <c r="Q5347">
        <f t="shared" si="76"/>
        <v>2</v>
      </c>
      <c r="R5347">
        <v>1</v>
      </c>
      <c r="S5347">
        <v>1</v>
      </c>
      <c r="T5347">
        <v>1</v>
      </c>
      <c r="U5347">
        <v>0</v>
      </c>
      <c r="V5347">
        <v>0</v>
      </c>
      <c r="W5347">
        <v>0</v>
      </c>
      <c r="X5347" s="21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/>
      <c r="AI5347"/>
      <c r="AJ5347" t="s">
        <v>51</v>
      </c>
      <c r="AK5347" t="s">
        <v>52</v>
      </c>
      <c r="AL5347"/>
      <c r="AP5347" t="s">
        <v>116</v>
      </c>
    </row>
    <row r="5348" spans="1:42" s="6" customFormat="1">
      <c r="A5348" s="12">
        <v>43853</v>
      </c>
      <c r="B5348">
        <v>2</v>
      </c>
      <c r="C5348">
        <v>213</v>
      </c>
      <c r="D5348">
        <v>14469</v>
      </c>
      <c r="E5348" t="s">
        <v>112</v>
      </c>
      <c r="F5348" t="s">
        <v>104</v>
      </c>
      <c r="G5348">
        <v>2</v>
      </c>
      <c r="H5348">
        <v>72</v>
      </c>
      <c r="I5348" s="25">
        <v>2064</v>
      </c>
      <c r="J5348"/>
      <c r="K5348" t="s">
        <v>148</v>
      </c>
      <c r="L5348" t="s">
        <v>114</v>
      </c>
      <c r="M5348" t="s">
        <v>52</v>
      </c>
      <c r="N5348" t="s">
        <v>40</v>
      </c>
      <c r="O5348">
        <v>76</v>
      </c>
      <c r="P5348"/>
      <c r="Q5348">
        <f t="shared" si="76"/>
        <v>4</v>
      </c>
      <c r="R5348">
        <v>1</v>
      </c>
      <c r="S5348">
        <v>0</v>
      </c>
      <c r="T5348">
        <v>0</v>
      </c>
      <c r="U5348">
        <v>3</v>
      </c>
      <c r="V5348">
        <v>0</v>
      </c>
      <c r="W5348">
        <v>1</v>
      </c>
      <c r="X5348" s="21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/>
      <c r="AI5348"/>
      <c r="AJ5348" t="s">
        <v>51</v>
      </c>
      <c r="AK5348" t="s">
        <v>52</v>
      </c>
      <c r="AL5348"/>
      <c r="AP5348" t="s">
        <v>116</v>
      </c>
    </row>
    <row r="5349" spans="1:42" s="6" customFormat="1">
      <c r="A5349" s="12">
        <v>43853</v>
      </c>
      <c r="B5349">
        <v>2</v>
      </c>
      <c r="C5349">
        <v>213</v>
      </c>
      <c r="D5349">
        <v>14469</v>
      </c>
      <c r="E5349" t="s">
        <v>112</v>
      </c>
      <c r="F5349" t="s">
        <v>104</v>
      </c>
      <c r="G5349">
        <v>2</v>
      </c>
      <c r="H5349">
        <v>73</v>
      </c>
      <c r="I5349" s="25">
        <v>3001</v>
      </c>
      <c r="J5349"/>
      <c r="K5349" t="s">
        <v>599</v>
      </c>
      <c r="L5349" t="s">
        <v>114</v>
      </c>
      <c r="M5349" t="s">
        <v>52</v>
      </c>
      <c r="N5349" t="s">
        <v>44</v>
      </c>
      <c r="O5349">
        <v>92</v>
      </c>
      <c r="P5349"/>
      <c r="Q5349">
        <f t="shared" si="76"/>
        <v>1</v>
      </c>
      <c r="R5349">
        <v>1</v>
      </c>
      <c r="S5349">
        <v>0</v>
      </c>
      <c r="T5349">
        <v>0</v>
      </c>
      <c r="U5349">
        <v>0</v>
      </c>
      <c r="V5349">
        <v>1</v>
      </c>
      <c r="W5349">
        <v>0</v>
      </c>
      <c r="X5349" s="21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/>
      <c r="AI5349"/>
      <c r="AJ5349" t="s">
        <v>51</v>
      </c>
      <c r="AK5349" t="s">
        <v>52</v>
      </c>
      <c r="AL5349" t="s">
        <v>1689</v>
      </c>
      <c r="AP5349" t="s">
        <v>116</v>
      </c>
    </row>
    <row r="5350" spans="1:42" s="6" customFormat="1">
      <c r="A5350" s="12">
        <v>43853</v>
      </c>
      <c r="B5350">
        <v>2</v>
      </c>
      <c r="C5350">
        <v>213</v>
      </c>
      <c r="D5350">
        <v>14469</v>
      </c>
      <c r="E5350" t="s">
        <v>112</v>
      </c>
      <c r="F5350" t="s">
        <v>104</v>
      </c>
      <c r="G5350">
        <v>2</v>
      </c>
      <c r="H5350">
        <v>74</v>
      </c>
      <c r="I5350" s="25" t="s">
        <v>1690</v>
      </c>
      <c r="J5350"/>
      <c r="K5350" t="s">
        <v>148</v>
      </c>
      <c r="L5350" t="s">
        <v>114</v>
      </c>
      <c r="M5350" t="s">
        <v>52</v>
      </c>
      <c r="N5350" t="s">
        <v>40</v>
      </c>
      <c r="O5350">
        <v>86</v>
      </c>
      <c r="P5350"/>
      <c r="Q5350">
        <f t="shared" si="76"/>
        <v>4</v>
      </c>
      <c r="R5350">
        <v>1</v>
      </c>
      <c r="S5350">
        <v>0</v>
      </c>
      <c r="T5350">
        <v>0</v>
      </c>
      <c r="U5350">
        <v>1</v>
      </c>
      <c r="V5350">
        <v>3</v>
      </c>
      <c r="W5350">
        <v>0</v>
      </c>
      <c r="X5350" s="21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/>
      <c r="AI5350"/>
      <c r="AJ5350" t="s">
        <v>51</v>
      </c>
      <c r="AK5350" t="s">
        <v>52</v>
      </c>
      <c r="AL5350"/>
      <c r="AP5350" t="s">
        <v>116</v>
      </c>
    </row>
    <row r="5351" spans="1:42" s="6" customFormat="1">
      <c r="A5351" s="12">
        <v>43853</v>
      </c>
      <c r="B5351">
        <v>2</v>
      </c>
      <c r="C5351">
        <v>213</v>
      </c>
      <c r="D5351">
        <v>14469</v>
      </c>
      <c r="E5351" t="s">
        <v>112</v>
      </c>
      <c r="F5351" t="s">
        <v>104</v>
      </c>
      <c r="G5351">
        <v>2</v>
      </c>
      <c r="H5351">
        <v>75</v>
      </c>
      <c r="I5351" s="25">
        <v>2148</v>
      </c>
      <c r="J5351"/>
      <c r="K5351" t="s">
        <v>148</v>
      </c>
      <c r="L5351" t="s">
        <v>114</v>
      </c>
      <c r="M5351" t="s">
        <v>52</v>
      </c>
      <c r="N5351" t="s">
        <v>40</v>
      </c>
      <c r="O5351">
        <v>33</v>
      </c>
      <c r="P5351"/>
      <c r="Q5351">
        <f t="shared" si="76"/>
        <v>2</v>
      </c>
      <c r="R5351">
        <v>1</v>
      </c>
      <c r="S5351">
        <v>0</v>
      </c>
      <c r="T5351">
        <v>0</v>
      </c>
      <c r="U5351">
        <v>2</v>
      </c>
      <c r="V5351">
        <v>0</v>
      </c>
      <c r="W5351">
        <v>0</v>
      </c>
      <c r="X5351" s="2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/>
      <c r="AI5351"/>
      <c r="AJ5351" t="s">
        <v>51</v>
      </c>
      <c r="AK5351" t="s">
        <v>52</v>
      </c>
      <c r="AL5351"/>
      <c r="AP5351" t="s">
        <v>116</v>
      </c>
    </row>
    <row r="5352" spans="1:42" s="6" customFormat="1">
      <c r="A5352" s="12">
        <v>43853</v>
      </c>
      <c r="B5352">
        <v>2</v>
      </c>
      <c r="C5352">
        <v>213</v>
      </c>
      <c r="D5352">
        <v>14469</v>
      </c>
      <c r="E5352" t="s">
        <v>112</v>
      </c>
      <c r="F5352" t="s">
        <v>104</v>
      </c>
      <c r="G5352">
        <v>2</v>
      </c>
      <c r="H5352">
        <v>76</v>
      </c>
      <c r="I5352" s="25" t="s">
        <v>1691</v>
      </c>
      <c r="J5352"/>
      <c r="K5352" t="s">
        <v>148</v>
      </c>
      <c r="L5352" t="s">
        <v>114</v>
      </c>
      <c r="M5352" t="s">
        <v>52</v>
      </c>
      <c r="N5352" t="s">
        <v>40</v>
      </c>
      <c r="O5352">
        <v>39</v>
      </c>
      <c r="P5352"/>
      <c r="Q5352">
        <f t="shared" si="76"/>
        <v>2</v>
      </c>
      <c r="R5352">
        <v>1</v>
      </c>
      <c r="S5352">
        <v>0</v>
      </c>
      <c r="T5352">
        <v>1</v>
      </c>
      <c r="U5352">
        <v>1</v>
      </c>
      <c r="V5352">
        <v>0</v>
      </c>
      <c r="W5352">
        <v>0</v>
      </c>
      <c r="X5352" s="21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/>
      <c r="AI5352"/>
      <c r="AJ5352" t="s">
        <v>51</v>
      </c>
      <c r="AK5352" t="s">
        <v>52</v>
      </c>
      <c r="AL5352"/>
      <c r="AP5352" t="s">
        <v>116</v>
      </c>
    </row>
    <row r="5353" spans="1:42" s="6" customFormat="1">
      <c r="A5353" s="12">
        <v>43853</v>
      </c>
      <c r="B5353">
        <v>2</v>
      </c>
      <c r="C5353">
        <v>213</v>
      </c>
      <c r="D5353">
        <v>14469</v>
      </c>
      <c r="E5353" t="s">
        <v>112</v>
      </c>
      <c r="F5353" t="s">
        <v>104</v>
      </c>
      <c r="G5353">
        <v>2</v>
      </c>
      <c r="H5353">
        <v>77</v>
      </c>
      <c r="I5353" s="25" t="s">
        <v>1692</v>
      </c>
      <c r="J5353"/>
      <c r="K5353" t="s">
        <v>148</v>
      </c>
      <c r="L5353" t="s">
        <v>114</v>
      </c>
      <c r="M5353" t="s">
        <v>52</v>
      </c>
      <c r="N5353" t="s">
        <v>40</v>
      </c>
      <c r="O5353">
        <v>124</v>
      </c>
      <c r="P5353"/>
      <c r="Q5353">
        <f t="shared" si="76"/>
        <v>6</v>
      </c>
      <c r="R5353">
        <v>1</v>
      </c>
      <c r="S5353">
        <v>0</v>
      </c>
      <c r="T5353">
        <v>0</v>
      </c>
      <c r="U5353">
        <v>3</v>
      </c>
      <c r="V5353">
        <v>2</v>
      </c>
      <c r="W5353">
        <v>1</v>
      </c>
      <c r="X5353" s="21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/>
      <c r="AI5353"/>
      <c r="AJ5353" t="s">
        <v>51</v>
      </c>
      <c r="AK5353" t="s">
        <v>52</v>
      </c>
      <c r="AL5353"/>
      <c r="AP5353" t="s">
        <v>116</v>
      </c>
    </row>
    <row r="5354" spans="1:42" s="6" customFormat="1">
      <c r="A5354" s="12">
        <v>43853</v>
      </c>
      <c r="B5354">
        <v>2</v>
      </c>
      <c r="C5354">
        <v>213</v>
      </c>
      <c r="D5354">
        <v>14469</v>
      </c>
      <c r="E5354" t="s">
        <v>112</v>
      </c>
      <c r="F5354" t="s">
        <v>104</v>
      </c>
      <c r="G5354">
        <v>2</v>
      </c>
      <c r="H5354">
        <v>78</v>
      </c>
      <c r="I5354" s="25" t="s">
        <v>1693</v>
      </c>
      <c r="J5354"/>
      <c r="K5354" t="s">
        <v>1694</v>
      </c>
      <c r="L5354" t="s">
        <v>114</v>
      </c>
      <c r="M5354" t="s">
        <v>52</v>
      </c>
      <c r="N5354" t="s">
        <v>40</v>
      </c>
      <c r="O5354">
        <v>40</v>
      </c>
      <c r="P5354"/>
      <c r="Q5354">
        <f t="shared" si="76"/>
        <v>2</v>
      </c>
      <c r="R5354">
        <v>1</v>
      </c>
      <c r="S5354">
        <v>0</v>
      </c>
      <c r="T5354">
        <v>0</v>
      </c>
      <c r="U5354">
        <v>2</v>
      </c>
      <c r="V5354">
        <v>0</v>
      </c>
      <c r="W5354">
        <v>0</v>
      </c>
      <c r="X5354" s="21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/>
      <c r="AI5354"/>
      <c r="AJ5354" t="s">
        <v>51</v>
      </c>
      <c r="AK5354" t="s">
        <v>52</v>
      </c>
      <c r="AL5354" t="s">
        <v>1695</v>
      </c>
      <c r="AP5354" t="s">
        <v>116</v>
      </c>
    </row>
    <row r="5355" spans="1:42" s="6" customFormat="1">
      <c r="A5355" s="12">
        <v>43853</v>
      </c>
      <c r="B5355">
        <v>2</v>
      </c>
      <c r="C5355">
        <v>213</v>
      </c>
      <c r="D5355">
        <v>14469</v>
      </c>
      <c r="E5355" t="s">
        <v>112</v>
      </c>
      <c r="F5355" t="s">
        <v>104</v>
      </c>
      <c r="G5355">
        <v>2</v>
      </c>
      <c r="H5355">
        <v>79</v>
      </c>
      <c r="I5355" s="25" t="s">
        <v>1696</v>
      </c>
      <c r="J5355"/>
      <c r="K5355" t="s">
        <v>148</v>
      </c>
      <c r="L5355" t="s">
        <v>114</v>
      </c>
      <c r="M5355" t="s">
        <v>52</v>
      </c>
      <c r="N5355" t="s">
        <v>40</v>
      </c>
      <c r="O5355">
        <v>60</v>
      </c>
      <c r="P5355"/>
      <c r="Q5355">
        <f t="shared" si="76"/>
        <v>3</v>
      </c>
      <c r="R5355">
        <v>1</v>
      </c>
      <c r="S5355">
        <v>0</v>
      </c>
      <c r="T5355">
        <v>0</v>
      </c>
      <c r="U5355">
        <v>3</v>
      </c>
      <c r="V5355">
        <v>0</v>
      </c>
      <c r="W5355">
        <v>0</v>
      </c>
      <c r="X5355" s="21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/>
      <c r="AI5355"/>
      <c r="AJ5355" t="s">
        <v>51</v>
      </c>
      <c r="AK5355" t="s">
        <v>52</v>
      </c>
      <c r="AL5355"/>
      <c r="AP5355" t="s">
        <v>116</v>
      </c>
    </row>
    <row r="5356" spans="1:42" s="6" customFormat="1">
      <c r="A5356" s="12">
        <v>43853</v>
      </c>
      <c r="B5356">
        <v>2</v>
      </c>
      <c r="C5356">
        <v>213</v>
      </c>
      <c r="D5356">
        <v>14469</v>
      </c>
      <c r="E5356" t="s">
        <v>112</v>
      </c>
      <c r="F5356" t="s">
        <v>104</v>
      </c>
      <c r="G5356">
        <v>2</v>
      </c>
      <c r="H5356">
        <v>80</v>
      </c>
      <c r="I5356" s="25" t="s">
        <v>1697</v>
      </c>
      <c r="J5356"/>
      <c r="K5356" t="s">
        <v>148</v>
      </c>
      <c r="L5356" t="s">
        <v>114</v>
      </c>
      <c r="M5356" t="s">
        <v>52</v>
      </c>
      <c r="N5356" t="s">
        <v>40</v>
      </c>
      <c r="O5356">
        <v>75</v>
      </c>
      <c r="P5356"/>
      <c r="Q5356">
        <f t="shared" si="76"/>
        <v>3</v>
      </c>
      <c r="R5356">
        <v>1</v>
      </c>
      <c r="S5356">
        <v>0</v>
      </c>
      <c r="T5356">
        <v>1</v>
      </c>
      <c r="U5356">
        <v>1</v>
      </c>
      <c r="V5356">
        <v>1</v>
      </c>
      <c r="W5356">
        <v>0</v>
      </c>
      <c r="X5356" s="21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/>
      <c r="AI5356"/>
      <c r="AJ5356" t="s">
        <v>51</v>
      </c>
      <c r="AK5356" t="s">
        <v>52</v>
      </c>
      <c r="AL5356"/>
      <c r="AP5356" t="s">
        <v>116</v>
      </c>
    </row>
    <row r="5357" spans="1:42" s="6" customFormat="1">
      <c r="A5357" s="12">
        <v>43853</v>
      </c>
      <c r="B5357">
        <v>2</v>
      </c>
      <c r="C5357">
        <v>213</v>
      </c>
      <c r="D5357">
        <v>14469</v>
      </c>
      <c r="E5357" t="s">
        <v>112</v>
      </c>
      <c r="F5357" t="s">
        <v>104</v>
      </c>
      <c r="G5357">
        <v>2</v>
      </c>
      <c r="H5357">
        <v>81</v>
      </c>
      <c r="I5357" s="25" t="s">
        <v>1698</v>
      </c>
      <c r="J5357"/>
      <c r="K5357" t="s">
        <v>148</v>
      </c>
      <c r="L5357" t="s">
        <v>114</v>
      </c>
      <c r="M5357" t="s">
        <v>52</v>
      </c>
      <c r="N5357" t="s">
        <v>40</v>
      </c>
      <c r="O5357">
        <v>102</v>
      </c>
      <c r="P5357"/>
      <c r="Q5357">
        <f t="shared" si="76"/>
        <v>7</v>
      </c>
      <c r="R5357">
        <v>1</v>
      </c>
      <c r="S5357">
        <v>0</v>
      </c>
      <c r="T5357">
        <v>3</v>
      </c>
      <c r="U5357">
        <v>4</v>
      </c>
      <c r="V5357">
        <v>0</v>
      </c>
      <c r="W5357">
        <v>0</v>
      </c>
      <c r="X5357" s="21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/>
      <c r="AI5357"/>
      <c r="AJ5357" t="s">
        <v>51</v>
      </c>
      <c r="AK5357" t="s">
        <v>52</v>
      </c>
      <c r="AL5357"/>
      <c r="AP5357" t="s">
        <v>116</v>
      </c>
    </row>
    <row r="5358" spans="1:42" s="6" customFormat="1">
      <c r="A5358" s="12">
        <v>43853</v>
      </c>
      <c r="B5358">
        <v>2</v>
      </c>
      <c r="C5358">
        <v>213</v>
      </c>
      <c r="D5358">
        <v>14469</v>
      </c>
      <c r="E5358" t="s">
        <v>112</v>
      </c>
      <c r="F5358" t="s">
        <v>104</v>
      </c>
      <c r="G5358">
        <v>2</v>
      </c>
      <c r="H5358">
        <v>82</v>
      </c>
      <c r="I5358" s="25">
        <v>2288</v>
      </c>
      <c r="J5358"/>
      <c r="K5358" t="s">
        <v>148</v>
      </c>
      <c r="L5358" t="s">
        <v>114</v>
      </c>
      <c r="M5358" t="s">
        <v>52</v>
      </c>
      <c r="N5358" t="s">
        <v>44</v>
      </c>
      <c r="O5358">
        <v>115</v>
      </c>
      <c r="P5358"/>
      <c r="Q5358">
        <f t="shared" si="76"/>
        <v>1</v>
      </c>
      <c r="R5358">
        <v>1</v>
      </c>
      <c r="S5358">
        <v>0</v>
      </c>
      <c r="T5358">
        <v>0</v>
      </c>
      <c r="U5358">
        <v>0</v>
      </c>
      <c r="V5358">
        <v>1</v>
      </c>
      <c r="W5358">
        <v>0</v>
      </c>
      <c r="X5358" s="21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/>
      <c r="AI5358"/>
      <c r="AJ5358" t="s">
        <v>51</v>
      </c>
      <c r="AK5358" t="s">
        <v>52</v>
      </c>
      <c r="AL5358" t="s">
        <v>1699</v>
      </c>
      <c r="AP5358" t="s">
        <v>116</v>
      </c>
    </row>
    <row r="5359" spans="1:42" s="6" customFormat="1">
      <c r="A5359" s="12">
        <v>43853</v>
      </c>
      <c r="B5359">
        <v>2</v>
      </c>
      <c r="C5359">
        <v>213</v>
      </c>
      <c r="D5359">
        <v>14469</v>
      </c>
      <c r="E5359" t="s">
        <v>112</v>
      </c>
      <c r="F5359" t="s">
        <v>104</v>
      </c>
      <c r="G5359">
        <v>2</v>
      </c>
      <c r="H5359">
        <v>83</v>
      </c>
      <c r="I5359" s="25">
        <v>2295</v>
      </c>
      <c r="J5359"/>
      <c r="K5359" t="s">
        <v>148</v>
      </c>
      <c r="L5359" t="s">
        <v>141</v>
      </c>
      <c r="M5359" t="s">
        <v>52</v>
      </c>
      <c r="N5359" t="s">
        <v>40</v>
      </c>
      <c r="O5359">
        <v>25</v>
      </c>
      <c r="P5359"/>
      <c r="Q5359">
        <f t="shared" si="76"/>
        <v>2</v>
      </c>
      <c r="R5359">
        <v>1</v>
      </c>
      <c r="S5359">
        <v>0</v>
      </c>
      <c r="T5359">
        <v>0</v>
      </c>
      <c r="U5359">
        <v>1</v>
      </c>
      <c r="V5359">
        <v>0</v>
      </c>
      <c r="W5359">
        <v>0</v>
      </c>
      <c r="X5359" s="21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1</v>
      </c>
      <c r="AG5359">
        <v>0</v>
      </c>
      <c r="AH5359"/>
      <c r="AI5359"/>
      <c r="AJ5359" t="s">
        <v>51</v>
      </c>
      <c r="AK5359" t="s">
        <v>52</v>
      </c>
      <c r="AL5359" t="s">
        <v>1700</v>
      </c>
      <c r="AP5359" t="s">
        <v>116</v>
      </c>
    </row>
    <row r="5360" spans="1:42" s="6" customFormat="1">
      <c r="A5360" s="12">
        <v>43853</v>
      </c>
      <c r="B5360">
        <v>2</v>
      </c>
      <c r="C5360">
        <v>213</v>
      </c>
      <c r="D5360">
        <v>14469</v>
      </c>
      <c r="E5360" t="s">
        <v>112</v>
      </c>
      <c r="F5360" t="s">
        <v>104</v>
      </c>
      <c r="G5360">
        <v>2</v>
      </c>
      <c r="H5360">
        <v>84</v>
      </c>
      <c r="I5360" s="25">
        <v>2273</v>
      </c>
      <c r="J5360"/>
      <c r="K5360" t="s">
        <v>148</v>
      </c>
      <c r="L5360" t="s">
        <v>141</v>
      </c>
      <c r="M5360" t="s">
        <v>52</v>
      </c>
      <c r="N5360" t="s">
        <v>40</v>
      </c>
      <c r="O5360">
        <v>31</v>
      </c>
      <c r="P5360"/>
      <c r="Q5360">
        <f t="shared" si="76"/>
        <v>2</v>
      </c>
      <c r="R5360">
        <v>1</v>
      </c>
      <c r="S5360">
        <v>0</v>
      </c>
      <c r="T5360">
        <v>1</v>
      </c>
      <c r="U5360">
        <v>1</v>
      </c>
      <c r="V5360">
        <v>0</v>
      </c>
      <c r="W5360">
        <v>0</v>
      </c>
      <c r="X5360" s="21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/>
      <c r="AI5360"/>
      <c r="AJ5360" t="s">
        <v>51</v>
      </c>
      <c r="AK5360" t="s">
        <v>52</v>
      </c>
      <c r="AL5360" t="s">
        <v>125</v>
      </c>
      <c r="AP5360" t="s">
        <v>116</v>
      </c>
    </row>
    <row r="5361" spans="1:42" s="6" customFormat="1">
      <c r="A5361" s="12">
        <v>43853</v>
      </c>
      <c r="B5361">
        <v>2</v>
      </c>
      <c r="C5361">
        <v>213</v>
      </c>
      <c r="D5361">
        <v>14469</v>
      </c>
      <c r="E5361" t="s">
        <v>112</v>
      </c>
      <c r="F5361" t="s">
        <v>104</v>
      </c>
      <c r="G5361">
        <v>2</v>
      </c>
      <c r="H5361">
        <v>85</v>
      </c>
      <c r="I5361" s="25">
        <v>2281</v>
      </c>
      <c r="J5361"/>
      <c r="K5361" t="s">
        <v>148</v>
      </c>
      <c r="L5361" t="s">
        <v>141</v>
      </c>
      <c r="M5361" t="s">
        <v>52</v>
      </c>
      <c r="N5361" t="s">
        <v>44</v>
      </c>
      <c r="O5361">
        <v>73</v>
      </c>
      <c r="P5361"/>
      <c r="Q5361">
        <f t="shared" si="76"/>
        <v>1</v>
      </c>
      <c r="R5361">
        <v>1</v>
      </c>
      <c r="S5361">
        <v>0</v>
      </c>
      <c r="T5361">
        <v>0</v>
      </c>
      <c r="U5361">
        <v>0</v>
      </c>
      <c r="V5361">
        <v>1</v>
      </c>
      <c r="W5361">
        <v>0</v>
      </c>
      <c r="X5361" s="2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/>
      <c r="AI5361"/>
      <c r="AJ5361" t="s">
        <v>51</v>
      </c>
      <c r="AK5361" t="s">
        <v>52</v>
      </c>
      <c r="AL5361" t="s">
        <v>149</v>
      </c>
      <c r="AP5361" t="s">
        <v>116</v>
      </c>
    </row>
    <row r="5362" spans="1:42" s="6" customFormat="1">
      <c r="A5362" s="12">
        <v>43853</v>
      </c>
      <c r="B5362">
        <v>2</v>
      </c>
      <c r="C5362">
        <v>213</v>
      </c>
      <c r="D5362">
        <v>14469</v>
      </c>
      <c r="E5362" t="s">
        <v>112</v>
      </c>
      <c r="F5362" t="s">
        <v>104</v>
      </c>
      <c r="G5362">
        <v>2</v>
      </c>
      <c r="H5362">
        <v>86</v>
      </c>
      <c r="I5362" s="25" t="s">
        <v>1701</v>
      </c>
      <c r="J5362"/>
      <c r="K5362" t="s">
        <v>148</v>
      </c>
      <c r="L5362" t="s">
        <v>141</v>
      </c>
      <c r="M5362" t="s">
        <v>52</v>
      </c>
      <c r="N5362" t="s">
        <v>40</v>
      </c>
      <c r="O5362">
        <v>63</v>
      </c>
      <c r="P5362"/>
      <c r="Q5362">
        <f t="shared" si="76"/>
        <v>3</v>
      </c>
      <c r="R5362">
        <v>1</v>
      </c>
      <c r="S5362">
        <v>0</v>
      </c>
      <c r="T5362">
        <v>0</v>
      </c>
      <c r="U5362">
        <v>1</v>
      </c>
      <c r="V5362">
        <v>2</v>
      </c>
      <c r="W5362">
        <v>0</v>
      </c>
      <c r="X5362" s="21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/>
      <c r="AI5362"/>
      <c r="AJ5362" t="s">
        <v>51</v>
      </c>
      <c r="AK5362" t="s">
        <v>52</v>
      </c>
      <c r="AL5362"/>
      <c r="AP5362" t="s">
        <v>116</v>
      </c>
    </row>
    <row r="5363" spans="1:42" s="6" customFormat="1">
      <c r="A5363" s="12">
        <v>43853</v>
      </c>
      <c r="B5363">
        <v>2</v>
      </c>
      <c r="C5363">
        <v>213</v>
      </c>
      <c r="D5363">
        <v>14469</v>
      </c>
      <c r="E5363" t="s">
        <v>112</v>
      </c>
      <c r="F5363" t="s">
        <v>104</v>
      </c>
      <c r="G5363">
        <v>2</v>
      </c>
      <c r="H5363">
        <v>87</v>
      </c>
      <c r="I5363" s="25">
        <v>2253</v>
      </c>
      <c r="J5363"/>
      <c r="K5363" t="s">
        <v>148</v>
      </c>
      <c r="L5363" t="s">
        <v>141</v>
      </c>
      <c r="M5363" t="s">
        <v>52</v>
      </c>
      <c r="N5363" t="s">
        <v>40</v>
      </c>
      <c r="O5363">
        <v>42</v>
      </c>
      <c r="P5363"/>
      <c r="Q5363">
        <f t="shared" si="76"/>
        <v>2</v>
      </c>
      <c r="R5363">
        <v>1</v>
      </c>
      <c r="S5363">
        <v>0</v>
      </c>
      <c r="T5363">
        <v>0</v>
      </c>
      <c r="U5363">
        <v>2</v>
      </c>
      <c r="V5363">
        <v>0</v>
      </c>
      <c r="W5363">
        <v>0</v>
      </c>
      <c r="X5363" s="21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/>
      <c r="AI5363"/>
      <c r="AJ5363" t="s">
        <v>51</v>
      </c>
      <c r="AK5363" t="s">
        <v>95</v>
      </c>
      <c r="AL5363" t="s">
        <v>1702</v>
      </c>
      <c r="AP5363" t="s">
        <v>116</v>
      </c>
    </row>
    <row r="5364" spans="1:42" s="6" customFormat="1">
      <c r="A5364" s="12">
        <v>43853</v>
      </c>
      <c r="B5364">
        <v>2</v>
      </c>
      <c r="C5364">
        <v>213</v>
      </c>
      <c r="D5364">
        <v>14469</v>
      </c>
      <c r="E5364" t="s">
        <v>112</v>
      </c>
      <c r="F5364" t="s">
        <v>104</v>
      </c>
      <c r="G5364">
        <v>2</v>
      </c>
      <c r="H5364">
        <v>88</v>
      </c>
      <c r="I5364" s="25">
        <v>2243</v>
      </c>
      <c r="J5364"/>
      <c r="K5364" t="s">
        <v>148</v>
      </c>
      <c r="L5364" t="s">
        <v>141</v>
      </c>
      <c r="M5364" t="s">
        <v>52</v>
      </c>
      <c r="N5364" t="s">
        <v>40</v>
      </c>
      <c r="O5364">
        <v>102</v>
      </c>
      <c r="P5364"/>
      <c r="Q5364">
        <f t="shared" si="76"/>
        <v>4</v>
      </c>
      <c r="R5364">
        <v>1</v>
      </c>
      <c r="S5364">
        <v>0</v>
      </c>
      <c r="T5364">
        <v>1</v>
      </c>
      <c r="U5364">
        <v>3</v>
      </c>
      <c r="V5364">
        <v>0</v>
      </c>
      <c r="W5364">
        <v>0</v>
      </c>
      <c r="X5364" s="21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/>
      <c r="AI5364"/>
      <c r="AJ5364" t="s">
        <v>51</v>
      </c>
      <c r="AK5364" t="s">
        <v>95</v>
      </c>
      <c r="AL5364"/>
      <c r="AP5364" t="s">
        <v>116</v>
      </c>
    </row>
    <row r="5365" spans="1:42" s="6" customFormat="1">
      <c r="A5365" s="12">
        <v>43853</v>
      </c>
      <c r="B5365">
        <v>2</v>
      </c>
      <c r="C5365">
        <v>213</v>
      </c>
      <c r="D5365">
        <v>14469</v>
      </c>
      <c r="E5365" t="s">
        <v>112</v>
      </c>
      <c r="F5365" t="s">
        <v>104</v>
      </c>
      <c r="G5365">
        <v>2</v>
      </c>
      <c r="H5365">
        <v>89</v>
      </c>
      <c r="I5365" s="25">
        <v>3059</v>
      </c>
      <c r="J5365"/>
      <c r="K5365" t="s">
        <v>909</v>
      </c>
      <c r="L5365" t="s">
        <v>141</v>
      </c>
      <c r="M5365" t="s">
        <v>52</v>
      </c>
      <c r="N5365" t="s">
        <v>1703</v>
      </c>
      <c r="O5365">
        <v>71</v>
      </c>
      <c r="P5365"/>
      <c r="Q5365">
        <f t="shared" si="76"/>
        <v>2</v>
      </c>
      <c r="R5365">
        <v>1</v>
      </c>
      <c r="S5365">
        <v>0</v>
      </c>
      <c r="T5365">
        <v>0</v>
      </c>
      <c r="U5365">
        <v>1</v>
      </c>
      <c r="V5365">
        <v>0</v>
      </c>
      <c r="W5365">
        <v>1</v>
      </c>
      <c r="X5365" s="21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/>
      <c r="AI5365"/>
      <c r="AJ5365" t="s">
        <v>51</v>
      </c>
      <c r="AK5365" t="s">
        <v>52</v>
      </c>
      <c r="AL5365" t="s">
        <v>1704</v>
      </c>
      <c r="AP5365" t="s">
        <v>116</v>
      </c>
    </row>
    <row r="5366" spans="1:42" s="6" customFormat="1">
      <c r="A5366" s="12">
        <v>43853</v>
      </c>
      <c r="B5366">
        <v>2</v>
      </c>
      <c r="C5366">
        <v>213</v>
      </c>
      <c r="D5366">
        <v>14469</v>
      </c>
      <c r="E5366" t="s">
        <v>112</v>
      </c>
      <c r="F5366" t="s">
        <v>104</v>
      </c>
      <c r="G5366">
        <v>2</v>
      </c>
      <c r="H5366">
        <v>90</v>
      </c>
      <c r="I5366" s="25">
        <v>3053</v>
      </c>
      <c r="J5366"/>
      <c r="K5366" t="s">
        <v>909</v>
      </c>
      <c r="L5366" t="s">
        <v>141</v>
      </c>
      <c r="M5366" t="s">
        <v>52</v>
      </c>
      <c r="N5366" t="s">
        <v>40</v>
      </c>
      <c r="O5366">
        <v>45</v>
      </c>
      <c r="P5366"/>
      <c r="Q5366">
        <f t="shared" si="76"/>
        <v>3</v>
      </c>
      <c r="R5366">
        <v>1</v>
      </c>
      <c r="S5366">
        <v>0</v>
      </c>
      <c r="T5366">
        <v>0</v>
      </c>
      <c r="U5366">
        <v>2</v>
      </c>
      <c r="V5366">
        <v>0</v>
      </c>
      <c r="W5366">
        <v>0</v>
      </c>
      <c r="X5366" s="21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1</v>
      </c>
      <c r="AG5366">
        <v>0</v>
      </c>
      <c r="AH5366"/>
      <c r="AI5366"/>
      <c r="AJ5366" t="s">
        <v>51</v>
      </c>
      <c r="AK5366" t="s">
        <v>52</v>
      </c>
      <c r="AL5366"/>
      <c r="AP5366" t="s">
        <v>116</v>
      </c>
    </row>
    <row r="5367" spans="1:42" s="6" customFormat="1">
      <c r="A5367" s="12">
        <v>43853</v>
      </c>
      <c r="B5367">
        <v>2</v>
      </c>
      <c r="C5367">
        <v>213</v>
      </c>
      <c r="D5367">
        <v>14469</v>
      </c>
      <c r="E5367" t="s">
        <v>112</v>
      </c>
      <c r="F5367" t="s">
        <v>104</v>
      </c>
      <c r="G5367">
        <v>2</v>
      </c>
      <c r="H5367">
        <v>91</v>
      </c>
      <c r="I5367" s="25">
        <v>3055</v>
      </c>
      <c r="J5367"/>
      <c r="K5367" t="s">
        <v>909</v>
      </c>
      <c r="L5367" t="s">
        <v>141</v>
      </c>
      <c r="M5367" t="s">
        <v>52</v>
      </c>
      <c r="N5367" t="s">
        <v>44</v>
      </c>
      <c r="O5367">
        <v>196</v>
      </c>
      <c r="P5367"/>
      <c r="Q5367">
        <f t="shared" si="76"/>
        <v>2</v>
      </c>
      <c r="R5367">
        <v>1</v>
      </c>
      <c r="S5367">
        <v>0</v>
      </c>
      <c r="T5367">
        <v>0</v>
      </c>
      <c r="U5367">
        <v>1</v>
      </c>
      <c r="V5367">
        <v>0</v>
      </c>
      <c r="W5367">
        <v>1</v>
      </c>
      <c r="X5367" s="21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/>
      <c r="AI5367"/>
      <c r="AJ5367" t="s">
        <v>51</v>
      </c>
      <c r="AK5367" t="s">
        <v>52</v>
      </c>
      <c r="AL5367" t="s">
        <v>1705</v>
      </c>
      <c r="AP5367" t="s">
        <v>116</v>
      </c>
    </row>
    <row r="5368" spans="1:42" s="6" customFormat="1">
      <c r="A5368" s="12">
        <v>43853</v>
      </c>
      <c r="B5368">
        <v>2</v>
      </c>
      <c r="C5368">
        <v>213</v>
      </c>
      <c r="D5368">
        <v>14469</v>
      </c>
      <c r="E5368" t="s">
        <v>112</v>
      </c>
      <c r="F5368" t="s">
        <v>104</v>
      </c>
      <c r="G5368">
        <v>2</v>
      </c>
      <c r="H5368">
        <v>92</v>
      </c>
      <c r="I5368" s="25">
        <v>3031</v>
      </c>
      <c r="J5368"/>
      <c r="K5368" t="s">
        <v>909</v>
      </c>
      <c r="L5368" t="s">
        <v>141</v>
      </c>
      <c r="M5368" t="s">
        <v>52</v>
      </c>
      <c r="N5368" t="s">
        <v>40</v>
      </c>
      <c r="O5368">
        <v>63</v>
      </c>
      <c r="P5368"/>
      <c r="Q5368">
        <f t="shared" si="76"/>
        <v>2</v>
      </c>
      <c r="R5368">
        <v>1</v>
      </c>
      <c r="S5368">
        <v>0</v>
      </c>
      <c r="T5368">
        <v>0</v>
      </c>
      <c r="U5368">
        <v>2</v>
      </c>
      <c r="V5368">
        <v>0</v>
      </c>
      <c r="W5368">
        <v>0</v>
      </c>
      <c r="X5368" s="21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/>
      <c r="AI5368"/>
      <c r="AJ5368" t="s">
        <v>51</v>
      </c>
      <c r="AK5368" t="s">
        <v>95</v>
      </c>
      <c r="AL5368"/>
      <c r="AP5368" t="s">
        <v>116</v>
      </c>
    </row>
    <row r="5369" spans="1:42" s="6" customFormat="1">
      <c r="A5369" s="12">
        <v>43853</v>
      </c>
      <c r="B5369">
        <v>2</v>
      </c>
      <c r="C5369">
        <v>213</v>
      </c>
      <c r="D5369">
        <v>14469</v>
      </c>
      <c r="E5369" t="s">
        <v>112</v>
      </c>
      <c r="F5369" t="s">
        <v>104</v>
      </c>
      <c r="G5369">
        <v>2</v>
      </c>
      <c r="H5369">
        <v>93</v>
      </c>
      <c r="I5369" s="25" t="s">
        <v>1706</v>
      </c>
      <c r="J5369"/>
      <c r="K5369" t="s">
        <v>909</v>
      </c>
      <c r="L5369" t="s">
        <v>141</v>
      </c>
      <c r="M5369" t="s">
        <v>52</v>
      </c>
      <c r="N5369" t="s">
        <v>40</v>
      </c>
      <c r="O5369">
        <v>64</v>
      </c>
      <c r="P5369"/>
      <c r="Q5369">
        <f t="shared" si="76"/>
        <v>3</v>
      </c>
      <c r="R5369">
        <v>1</v>
      </c>
      <c r="S5369">
        <v>0</v>
      </c>
      <c r="T5369">
        <v>0</v>
      </c>
      <c r="U5369">
        <v>1</v>
      </c>
      <c r="V5369">
        <v>2</v>
      </c>
      <c r="W5369">
        <v>0</v>
      </c>
      <c r="X5369" s="21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/>
      <c r="AI5369"/>
      <c r="AJ5369" t="s">
        <v>51</v>
      </c>
      <c r="AK5369" t="s">
        <v>95</v>
      </c>
      <c r="AL5369"/>
      <c r="AP5369" t="s">
        <v>116</v>
      </c>
    </row>
    <row r="5370" spans="1:42" s="6" customFormat="1">
      <c r="A5370" s="12">
        <v>43853</v>
      </c>
      <c r="B5370">
        <v>2</v>
      </c>
      <c r="C5370">
        <v>213</v>
      </c>
      <c r="D5370">
        <v>14469</v>
      </c>
      <c r="E5370" t="s">
        <v>112</v>
      </c>
      <c r="F5370" t="s">
        <v>104</v>
      </c>
      <c r="G5370">
        <v>2</v>
      </c>
      <c r="H5370">
        <v>94</v>
      </c>
      <c r="I5370" s="25" t="s">
        <v>1707</v>
      </c>
      <c r="J5370"/>
      <c r="K5370" t="s">
        <v>909</v>
      </c>
      <c r="L5370" t="s">
        <v>141</v>
      </c>
      <c r="M5370" t="s">
        <v>52</v>
      </c>
      <c r="N5370" t="s">
        <v>40</v>
      </c>
      <c r="O5370">
        <v>57</v>
      </c>
      <c r="P5370"/>
      <c r="Q5370">
        <f t="shared" si="76"/>
        <v>3</v>
      </c>
      <c r="R5370">
        <v>1</v>
      </c>
      <c r="S5370">
        <v>0</v>
      </c>
      <c r="T5370">
        <v>0</v>
      </c>
      <c r="U5370">
        <v>1</v>
      </c>
      <c r="V5370">
        <v>2</v>
      </c>
      <c r="W5370">
        <v>0</v>
      </c>
      <c r="X5370" s="21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/>
      <c r="AI5370"/>
      <c r="AJ5370" t="s">
        <v>54</v>
      </c>
      <c r="AK5370" t="s">
        <v>52</v>
      </c>
      <c r="AL5370"/>
      <c r="AP5370" t="s">
        <v>116</v>
      </c>
    </row>
    <row r="5371" spans="1:42" s="6" customFormat="1">
      <c r="A5371" s="12">
        <v>43853</v>
      </c>
      <c r="B5371">
        <v>2</v>
      </c>
      <c r="C5371">
        <v>213</v>
      </c>
      <c r="D5371">
        <v>14469</v>
      </c>
      <c r="E5371" t="s">
        <v>112</v>
      </c>
      <c r="F5371" t="s">
        <v>104</v>
      </c>
      <c r="G5371">
        <v>2</v>
      </c>
      <c r="H5371">
        <v>95</v>
      </c>
      <c r="I5371" s="25" t="s">
        <v>1708</v>
      </c>
      <c r="J5371"/>
      <c r="K5371" t="s">
        <v>909</v>
      </c>
      <c r="L5371" t="s">
        <v>141</v>
      </c>
      <c r="M5371" t="s">
        <v>52</v>
      </c>
      <c r="N5371" t="s">
        <v>40</v>
      </c>
      <c r="O5371">
        <v>112</v>
      </c>
      <c r="P5371"/>
      <c r="Q5371">
        <f t="shared" si="76"/>
        <v>5</v>
      </c>
      <c r="R5371">
        <v>1</v>
      </c>
      <c r="S5371">
        <v>0</v>
      </c>
      <c r="T5371">
        <v>0</v>
      </c>
      <c r="U5371">
        <v>2</v>
      </c>
      <c r="V5371">
        <v>2</v>
      </c>
      <c r="W5371">
        <v>1</v>
      </c>
      <c r="X5371" s="2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/>
      <c r="AI5371"/>
      <c r="AJ5371" t="s">
        <v>54</v>
      </c>
      <c r="AK5371" t="s">
        <v>52</v>
      </c>
      <c r="AL5371"/>
      <c r="AP5371" t="s">
        <v>116</v>
      </c>
    </row>
    <row r="5372" spans="1:42" s="6" customFormat="1">
      <c r="A5372" s="12">
        <v>43853</v>
      </c>
      <c r="B5372">
        <v>2</v>
      </c>
      <c r="C5372">
        <v>213</v>
      </c>
      <c r="D5372">
        <v>14469</v>
      </c>
      <c r="E5372" t="s">
        <v>112</v>
      </c>
      <c r="F5372" t="s">
        <v>104</v>
      </c>
      <c r="G5372">
        <v>2</v>
      </c>
      <c r="H5372">
        <v>96</v>
      </c>
      <c r="I5372" s="25">
        <v>2919</v>
      </c>
      <c r="J5372"/>
      <c r="K5372" t="s">
        <v>909</v>
      </c>
      <c r="L5372" t="s">
        <v>141</v>
      </c>
      <c r="M5372" t="s">
        <v>52</v>
      </c>
      <c r="N5372" t="s">
        <v>40</v>
      </c>
      <c r="O5372">
        <v>42</v>
      </c>
      <c r="P5372"/>
      <c r="Q5372">
        <f t="shared" si="76"/>
        <v>2</v>
      </c>
      <c r="R5372">
        <v>1</v>
      </c>
      <c r="S5372">
        <v>0</v>
      </c>
      <c r="T5372">
        <v>0</v>
      </c>
      <c r="U5372">
        <v>2</v>
      </c>
      <c r="V5372">
        <v>0</v>
      </c>
      <c r="W5372">
        <v>0</v>
      </c>
      <c r="X5372" s="21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/>
      <c r="AI5372"/>
      <c r="AJ5372" t="s">
        <v>54</v>
      </c>
      <c r="AK5372" t="s">
        <v>52</v>
      </c>
      <c r="AL5372"/>
      <c r="AP5372" t="s">
        <v>116</v>
      </c>
    </row>
    <row r="5373" spans="1:42" s="6" customFormat="1">
      <c r="A5373" s="12">
        <v>43853</v>
      </c>
      <c r="B5373">
        <v>2</v>
      </c>
      <c r="C5373">
        <v>213</v>
      </c>
      <c r="D5373">
        <v>14469</v>
      </c>
      <c r="E5373" t="s">
        <v>112</v>
      </c>
      <c r="F5373" t="s">
        <v>104</v>
      </c>
      <c r="G5373">
        <v>2</v>
      </c>
      <c r="H5373">
        <v>97</v>
      </c>
      <c r="I5373" s="25">
        <v>2913</v>
      </c>
      <c r="J5373"/>
      <c r="K5373" t="s">
        <v>909</v>
      </c>
      <c r="L5373" t="s">
        <v>141</v>
      </c>
      <c r="M5373" t="s">
        <v>52</v>
      </c>
      <c r="N5373" t="s">
        <v>44</v>
      </c>
      <c r="O5373">
        <v>131</v>
      </c>
      <c r="P5373"/>
      <c r="Q5373">
        <f t="shared" si="76"/>
        <v>1</v>
      </c>
      <c r="R5373">
        <v>1</v>
      </c>
      <c r="S5373">
        <v>0</v>
      </c>
      <c r="T5373">
        <v>0</v>
      </c>
      <c r="U5373">
        <v>0</v>
      </c>
      <c r="V5373">
        <v>0</v>
      </c>
      <c r="W5373">
        <v>1</v>
      </c>
      <c r="X5373" s="21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/>
      <c r="AI5373"/>
      <c r="AJ5373" t="s">
        <v>54</v>
      </c>
      <c r="AK5373" t="s">
        <v>52</v>
      </c>
      <c r="AL5373" t="s">
        <v>1709</v>
      </c>
      <c r="AP5373" t="s">
        <v>116</v>
      </c>
    </row>
    <row r="5374" spans="1:42" s="6" customFormat="1">
      <c r="A5374" s="12">
        <v>43853</v>
      </c>
      <c r="B5374">
        <v>2</v>
      </c>
      <c r="C5374">
        <v>213</v>
      </c>
      <c r="D5374">
        <v>14469</v>
      </c>
      <c r="E5374" t="s">
        <v>112</v>
      </c>
      <c r="F5374" t="s">
        <v>104</v>
      </c>
      <c r="G5374">
        <v>2</v>
      </c>
      <c r="H5374">
        <v>98</v>
      </c>
      <c r="I5374" s="25">
        <v>2907</v>
      </c>
      <c r="J5374"/>
      <c r="K5374" t="s">
        <v>909</v>
      </c>
      <c r="L5374" t="s">
        <v>141</v>
      </c>
      <c r="M5374" t="s">
        <v>52</v>
      </c>
      <c r="N5374" t="s">
        <v>40</v>
      </c>
      <c r="O5374">
        <v>30</v>
      </c>
      <c r="P5374"/>
      <c r="Q5374">
        <f t="shared" si="76"/>
        <v>1</v>
      </c>
      <c r="R5374">
        <v>1</v>
      </c>
      <c r="S5374">
        <v>0</v>
      </c>
      <c r="T5374">
        <v>0</v>
      </c>
      <c r="U5374">
        <v>0</v>
      </c>
      <c r="V5374">
        <v>0</v>
      </c>
      <c r="W5374">
        <v>1</v>
      </c>
      <c r="X5374" s="21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/>
      <c r="AI5374"/>
      <c r="AJ5374" t="s">
        <v>54</v>
      </c>
      <c r="AK5374" t="s">
        <v>52</v>
      </c>
      <c r="AL5374"/>
      <c r="AP5374" t="s">
        <v>116</v>
      </c>
    </row>
    <row r="5375" spans="1:42" s="6" customFormat="1">
      <c r="A5375" s="12">
        <v>43853</v>
      </c>
      <c r="B5375">
        <v>2</v>
      </c>
      <c r="C5375">
        <v>213</v>
      </c>
      <c r="D5375">
        <v>14469</v>
      </c>
      <c r="E5375" t="s">
        <v>112</v>
      </c>
      <c r="F5375" t="s">
        <v>104</v>
      </c>
      <c r="G5375">
        <v>2</v>
      </c>
      <c r="H5375">
        <v>99</v>
      </c>
      <c r="I5375" s="25">
        <v>2847</v>
      </c>
      <c r="J5375"/>
      <c r="K5375" t="s">
        <v>909</v>
      </c>
      <c r="L5375" t="s">
        <v>141</v>
      </c>
      <c r="M5375" t="s">
        <v>52</v>
      </c>
      <c r="N5375" t="s">
        <v>44</v>
      </c>
      <c r="O5375">
        <v>137</v>
      </c>
      <c r="P5375"/>
      <c r="Q5375">
        <f t="shared" si="76"/>
        <v>1</v>
      </c>
      <c r="R5375">
        <v>1</v>
      </c>
      <c r="S5375">
        <v>0</v>
      </c>
      <c r="T5375">
        <v>0</v>
      </c>
      <c r="U5375">
        <v>0</v>
      </c>
      <c r="V5375">
        <v>0</v>
      </c>
      <c r="W5375">
        <v>1</v>
      </c>
      <c r="X5375" s="21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/>
      <c r="AI5375"/>
      <c r="AJ5375" t="s">
        <v>54</v>
      </c>
      <c r="AK5375" t="s">
        <v>52</v>
      </c>
      <c r="AL5375" t="s">
        <v>1710</v>
      </c>
      <c r="AP5375" t="s">
        <v>116</v>
      </c>
    </row>
    <row r="5376" spans="1:42" s="6" customFormat="1">
      <c r="A5376" s="12">
        <v>43853</v>
      </c>
      <c r="B5376">
        <v>2</v>
      </c>
      <c r="C5376">
        <v>213</v>
      </c>
      <c r="D5376">
        <v>14469</v>
      </c>
      <c r="E5376" t="s">
        <v>112</v>
      </c>
      <c r="F5376" t="s">
        <v>104</v>
      </c>
      <c r="G5376">
        <v>2</v>
      </c>
      <c r="H5376">
        <v>100</v>
      </c>
      <c r="I5376" s="25">
        <v>2264</v>
      </c>
      <c r="J5376"/>
      <c r="K5376" t="s">
        <v>119</v>
      </c>
      <c r="L5376" t="s">
        <v>114</v>
      </c>
      <c r="M5376" t="s">
        <v>95</v>
      </c>
      <c r="N5376" t="s">
        <v>44</v>
      </c>
      <c r="O5376">
        <v>128</v>
      </c>
      <c r="P5376"/>
      <c r="Q5376">
        <f t="shared" si="76"/>
        <v>1</v>
      </c>
      <c r="R5376">
        <v>1</v>
      </c>
      <c r="S5376">
        <v>0</v>
      </c>
      <c r="T5376">
        <v>0</v>
      </c>
      <c r="U5376">
        <v>0</v>
      </c>
      <c r="V5376">
        <v>0</v>
      </c>
      <c r="W5376">
        <v>1</v>
      </c>
      <c r="X5376" s="21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/>
      <c r="AI5376"/>
      <c r="AJ5376" t="s">
        <v>54</v>
      </c>
      <c r="AK5376" t="s">
        <v>52</v>
      </c>
      <c r="AL5376" t="s">
        <v>1711</v>
      </c>
      <c r="AP5376" t="s">
        <v>116</v>
      </c>
    </row>
    <row r="5377" spans="1:42" s="6" customFormat="1">
      <c r="A5377" s="12">
        <v>43853</v>
      </c>
      <c r="B5377">
        <v>2</v>
      </c>
      <c r="C5377">
        <v>213</v>
      </c>
      <c r="D5377">
        <v>14469</v>
      </c>
      <c r="E5377" t="s">
        <v>112</v>
      </c>
      <c r="F5377" t="s">
        <v>104</v>
      </c>
      <c r="G5377">
        <v>2</v>
      </c>
      <c r="H5377">
        <v>101</v>
      </c>
      <c r="I5377" s="25">
        <v>2914</v>
      </c>
      <c r="J5377"/>
      <c r="K5377" t="s">
        <v>909</v>
      </c>
      <c r="L5377" t="s">
        <v>114</v>
      </c>
      <c r="M5377" t="s">
        <v>52</v>
      </c>
      <c r="N5377" t="s">
        <v>40</v>
      </c>
      <c r="O5377">
        <v>44</v>
      </c>
      <c r="P5377"/>
      <c r="Q5377">
        <f t="shared" si="76"/>
        <v>1</v>
      </c>
      <c r="R5377">
        <v>1</v>
      </c>
      <c r="S5377">
        <v>0</v>
      </c>
      <c r="T5377">
        <v>0</v>
      </c>
      <c r="U5377">
        <v>1</v>
      </c>
      <c r="V5377">
        <v>0</v>
      </c>
      <c r="W5377">
        <v>0</v>
      </c>
      <c r="X5377" s="21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/>
      <c r="AI5377"/>
      <c r="AJ5377" t="s">
        <v>54</v>
      </c>
      <c r="AK5377" t="s">
        <v>52</v>
      </c>
      <c r="AL5377"/>
      <c r="AP5377" t="s">
        <v>116</v>
      </c>
    </row>
    <row r="5378" spans="1:42" s="6" customFormat="1">
      <c r="A5378" s="12">
        <v>43853</v>
      </c>
      <c r="B5378">
        <v>2</v>
      </c>
      <c r="C5378">
        <v>213</v>
      </c>
      <c r="D5378">
        <v>14469</v>
      </c>
      <c r="E5378" t="s">
        <v>112</v>
      </c>
      <c r="F5378" t="s">
        <v>104</v>
      </c>
      <c r="G5378">
        <v>2</v>
      </c>
      <c r="H5378">
        <v>102</v>
      </c>
      <c r="I5378" s="25">
        <v>2926</v>
      </c>
      <c r="J5378"/>
      <c r="K5378" t="s">
        <v>909</v>
      </c>
      <c r="L5378" t="s">
        <v>114</v>
      </c>
      <c r="M5378" t="s">
        <v>52</v>
      </c>
      <c r="N5378" t="s">
        <v>44</v>
      </c>
      <c r="O5378">
        <v>75</v>
      </c>
      <c r="P5378"/>
      <c r="Q5378">
        <f t="shared" si="76"/>
        <v>1</v>
      </c>
      <c r="R5378">
        <v>1</v>
      </c>
      <c r="S5378">
        <v>0</v>
      </c>
      <c r="T5378">
        <v>0</v>
      </c>
      <c r="U5378">
        <v>0</v>
      </c>
      <c r="V5378">
        <v>1</v>
      </c>
      <c r="W5378">
        <v>0</v>
      </c>
      <c r="X5378" s="21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/>
      <c r="AI5378"/>
      <c r="AJ5378" t="s">
        <v>54</v>
      </c>
      <c r="AK5378" t="s">
        <v>52</v>
      </c>
      <c r="AL5378" t="s">
        <v>1712</v>
      </c>
      <c r="AP5378" t="s">
        <v>116</v>
      </c>
    </row>
    <row r="5379" spans="1:42" s="6" customFormat="1">
      <c r="A5379" s="12">
        <v>43853</v>
      </c>
      <c r="B5379">
        <v>2</v>
      </c>
      <c r="C5379">
        <v>213</v>
      </c>
      <c r="D5379">
        <v>14469</v>
      </c>
      <c r="E5379" t="s">
        <v>112</v>
      </c>
      <c r="F5379" t="s">
        <v>104</v>
      </c>
      <c r="G5379">
        <v>2</v>
      </c>
      <c r="H5379">
        <v>103</v>
      </c>
      <c r="I5379" s="25">
        <v>2934</v>
      </c>
      <c r="J5379"/>
      <c r="K5379" t="s">
        <v>909</v>
      </c>
      <c r="L5379" t="s">
        <v>114</v>
      </c>
      <c r="M5379" t="s">
        <v>52</v>
      </c>
      <c r="N5379" t="s">
        <v>40</v>
      </c>
      <c r="O5379">
        <v>34</v>
      </c>
      <c r="P5379"/>
      <c r="Q5379">
        <f t="shared" si="76"/>
        <v>2</v>
      </c>
      <c r="R5379">
        <v>1</v>
      </c>
      <c r="S5379">
        <v>0</v>
      </c>
      <c r="T5379">
        <v>0</v>
      </c>
      <c r="U5379">
        <v>2</v>
      </c>
      <c r="V5379">
        <v>0</v>
      </c>
      <c r="W5379">
        <v>0</v>
      </c>
      <c r="X5379" s="21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/>
      <c r="AI5379"/>
      <c r="AJ5379" t="s">
        <v>54</v>
      </c>
      <c r="AK5379" t="s">
        <v>52</v>
      </c>
      <c r="AL5379"/>
      <c r="AP5379" t="s">
        <v>116</v>
      </c>
    </row>
    <row r="5380" spans="1:42" s="6" customFormat="1">
      <c r="A5380" s="12">
        <v>43853</v>
      </c>
      <c r="B5380">
        <v>2</v>
      </c>
      <c r="C5380">
        <v>213</v>
      </c>
      <c r="D5380">
        <v>14469</v>
      </c>
      <c r="E5380" t="s">
        <v>112</v>
      </c>
      <c r="F5380" t="s">
        <v>104</v>
      </c>
      <c r="G5380">
        <v>2</v>
      </c>
      <c r="H5380">
        <v>104</v>
      </c>
      <c r="I5380" s="25" t="s">
        <v>1713</v>
      </c>
      <c r="J5380"/>
      <c r="K5380" t="s">
        <v>909</v>
      </c>
      <c r="L5380" t="s">
        <v>114</v>
      </c>
      <c r="M5380" t="s">
        <v>52</v>
      </c>
      <c r="N5380" t="s">
        <v>44</v>
      </c>
      <c r="O5380">
        <v>95</v>
      </c>
      <c r="P5380"/>
      <c r="Q5380">
        <f t="shared" si="76"/>
        <v>2</v>
      </c>
      <c r="R5380">
        <v>1</v>
      </c>
      <c r="S5380">
        <v>0</v>
      </c>
      <c r="T5380">
        <v>0</v>
      </c>
      <c r="U5380">
        <v>1</v>
      </c>
      <c r="V5380">
        <v>0</v>
      </c>
      <c r="W5380">
        <v>1</v>
      </c>
      <c r="X5380" s="21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/>
      <c r="AI5380"/>
      <c r="AJ5380" t="s">
        <v>54</v>
      </c>
      <c r="AK5380" t="s">
        <v>52</v>
      </c>
      <c r="AL5380" t="s">
        <v>1714</v>
      </c>
      <c r="AP5380" t="s">
        <v>116</v>
      </c>
    </row>
    <row r="5381" spans="1:42" s="6" customFormat="1">
      <c r="A5381" s="12">
        <v>43853</v>
      </c>
      <c r="B5381">
        <v>2</v>
      </c>
      <c r="C5381">
        <v>213</v>
      </c>
      <c r="D5381">
        <v>14469</v>
      </c>
      <c r="E5381" t="s">
        <v>112</v>
      </c>
      <c r="F5381" t="s">
        <v>104</v>
      </c>
      <c r="G5381">
        <v>2</v>
      </c>
      <c r="H5381">
        <v>105</v>
      </c>
      <c r="I5381" s="25">
        <v>2960</v>
      </c>
      <c r="J5381"/>
      <c r="K5381" t="s">
        <v>909</v>
      </c>
      <c r="L5381" t="s">
        <v>114</v>
      </c>
      <c r="M5381" t="s">
        <v>52</v>
      </c>
      <c r="N5381" t="s">
        <v>44</v>
      </c>
      <c r="O5381">
        <v>80</v>
      </c>
      <c r="P5381"/>
      <c r="Q5381">
        <f t="shared" si="76"/>
        <v>1</v>
      </c>
      <c r="R5381">
        <v>1</v>
      </c>
      <c r="S5381">
        <v>0</v>
      </c>
      <c r="T5381">
        <v>0</v>
      </c>
      <c r="U5381">
        <v>0</v>
      </c>
      <c r="V5381">
        <v>0</v>
      </c>
      <c r="W5381">
        <v>1</v>
      </c>
      <c r="X5381" s="2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/>
      <c r="AI5381"/>
      <c r="AJ5381" t="s">
        <v>54</v>
      </c>
      <c r="AK5381" t="s">
        <v>52</v>
      </c>
      <c r="AL5381" t="s">
        <v>1715</v>
      </c>
      <c r="AP5381" t="s">
        <v>116</v>
      </c>
    </row>
    <row r="5382" spans="1:42" s="6" customFormat="1">
      <c r="A5382" s="12">
        <v>43853</v>
      </c>
      <c r="B5382">
        <v>2</v>
      </c>
      <c r="C5382">
        <v>213</v>
      </c>
      <c r="D5382">
        <v>14469</v>
      </c>
      <c r="E5382" t="s">
        <v>112</v>
      </c>
      <c r="F5382" t="s">
        <v>104</v>
      </c>
      <c r="G5382">
        <v>2</v>
      </c>
      <c r="H5382">
        <v>106</v>
      </c>
      <c r="I5382" s="25" t="s">
        <v>1716</v>
      </c>
      <c r="J5382"/>
      <c r="K5382" t="s">
        <v>909</v>
      </c>
      <c r="L5382" t="s">
        <v>114</v>
      </c>
      <c r="M5382" t="s">
        <v>52</v>
      </c>
      <c r="N5382" t="s">
        <v>44</v>
      </c>
      <c r="O5382">
        <v>279</v>
      </c>
      <c r="P5382"/>
      <c r="Q5382">
        <f t="shared" si="76"/>
        <v>1</v>
      </c>
      <c r="R5382">
        <v>1</v>
      </c>
      <c r="S5382">
        <v>0</v>
      </c>
      <c r="T5382">
        <v>0</v>
      </c>
      <c r="U5382">
        <v>0</v>
      </c>
      <c r="V5382">
        <v>0</v>
      </c>
      <c r="W5382">
        <v>1</v>
      </c>
      <c r="X5382" s="21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/>
      <c r="AI5382"/>
      <c r="AJ5382" t="s">
        <v>54</v>
      </c>
      <c r="AK5382" t="s">
        <v>52</v>
      </c>
      <c r="AL5382" t="s">
        <v>1717</v>
      </c>
      <c r="AP5382" t="s">
        <v>116</v>
      </c>
    </row>
    <row r="5383" spans="1:42" s="6" customFormat="1">
      <c r="A5383" s="12">
        <v>43853</v>
      </c>
      <c r="B5383">
        <v>2</v>
      </c>
      <c r="C5383">
        <v>213</v>
      </c>
      <c r="D5383">
        <v>14469</v>
      </c>
      <c r="E5383" t="s">
        <v>112</v>
      </c>
      <c r="F5383" t="s">
        <v>104</v>
      </c>
      <c r="G5383">
        <v>2</v>
      </c>
      <c r="H5383">
        <v>107</v>
      </c>
      <c r="I5383" s="25"/>
      <c r="J5383"/>
      <c r="K5383" t="s">
        <v>1676</v>
      </c>
      <c r="L5383" t="s">
        <v>114</v>
      </c>
      <c r="M5383" t="s">
        <v>52</v>
      </c>
      <c r="N5383" t="s">
        <v>40</v>
      </c>
      <c r="O5383">
        <v>28</v>
      </c>
      <c r="P5383"/>
      <c r="Q5383">
        <f t="shared" si="76"/>
        <v>1</v>
      </c>
      <c r="R5383">
        <v>1</v>
      </c>
      <c r="S5383">
        <v>0</v>
      </c>
      <c r="T5383">
        <v>0</v>
      </c>
      <c r="U5383">
        <v>1</v>
      </c>
      <c r="V5383">
        <v>0</v>
      </c>
      <c r="W5383">
        <v>0</v>
      </c>
      <c r="X5383" s="21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/>
      <c r="AI5383"/>
      <c r="AJ5383" t="s">
        <v>51</v>
      </c>
      <c r="AK5383" t="s">
        <v>52</v>
      </c>
      <c r="AL5383" t="s">
        <v>125</v>
      </c>
      <c r="AP5383" t="s">
        <v>116</v>
      </c>
    </row>
    <row r="5384" spans="1:42" s="6" customFormat="1">
      <c r="A5384" s="12">
        <v>43853</v>
      </c>
      <c r="B5384">
        <v>2</v>
      </c>
      <c r="C5384">
        <v>213</v>
      </c>
      <c r="D5384">
        <v>14469</v>
      </c>
      <c r="E5384" t="s">
        <v>112</v>
      </c>
      <c r="F5384" t="s">
        <v>104</v>
      </c>
      <c r="G5384">
        <v>2</v>
      </c>
      <c r="H5384">
        <v>108</v>
      </c>
      <c r="I5384" s="25">
        <v>2181</v>
      </c>
      <c r="J5384"/>
      <c r="K5384" t="s">
        <v>213</v>
      </c>
      <c r="L5384" t="s">
        <v>141</v>
      </c>
      <c r="M5384" t="s">
        <v>52</v>
      </c>
      <c r="N5384" t="s">
        <v>40</v>
      </c>
      <c r="O5384">
        <v>68</v>
      </c>
      <c r="P5384"/>
      <c r="Q5384">
        <f t="shared" si="76"/>
        <v>2</v>
      </c>
      <c r="R5384">
        <v>1</v>
      </c>
      <c r="S5384">
        <v>0</v>
      </c>
      <c r="T5384">
        <v>0</v>
      </c>
      <c r="U5384">
        <v>0</v>
      </c>
      <c r="V5384">
        <v>1</v>
      </c>
      <c r="W5384">
        <v>1</v>
      </c>
      <c r="X5384" s="21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/>
      <c r="AI5384"/>
      <c r="AJ5384" t="s">
        <v>51</v>
      </c>
      <c r="AK5384" t="s">
        <v>95</v>
      </c>
      <c r="AL5384"/>
      <c r="AP5384" t="s">
        <v>116</v>
      </c>
    </row>
    <row r="5385" spans="1:42" s="6" customFormat="1">
      <c r="A5385" s="12">
        <v>43853</v>
      </c>
      <c r="B5385">
        <v>2</v>
      </c>
      <c r="C5385">
        <v>213</v>
      </c>
      <c r="D5385">
        <v>14469</v>
      </c>
      <c r="E5385" t="s">
        <v>112</v>
      </c>
      <c r="F5385" t="s">
        <v>104</v>
      </c>
      <c r="G5385">
        <v>2</v>
      </c>
      <c r="H5385">
        <v>109</v>
      </c>
      <c r="I5385" s="25" t="s">
        <v>1718</v>
      </c>
      <c r="J5385"/>
      <c r="K5385" t="s">
        <v>213</v>
      </c>
      <c r="L5385" t="s">
        <v>141</v>
      </c>
      <c r="M5385" t="s">
        <v>52</v>
      </c>
      <c r="N5385" t="s">
        <v>44</v>
      </c>
      <c r="O5385">
        <v>141</v>
      </c>
      <c r="P5385"/>
      <c r="Q5385">
        <f t="shared" si="76"/>
        <v>3</v>
      </c>
      <c r="R5385">
        <v>1</v>
      </c>
      <c r="S5385">
        <v>0</v>
      </c>
      <c r="T5385">
        <v>0</v>
      </c>
      <c r="U5385">
        <v>1</v>
      </c>
      <c r="V5385">
        <v>1</v>
      </c>
      <c r="W5385">
        <v>1</v>
      </c>
      <c r="X5385" s="21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/>
      <c r="AI5385"/>
      <c r="AJ5385" t="s">
        <v>51</v>
      </c>
      <c r="AK5385" t="s">
        <v>95</v>
      </c>
      <c r="AL5385" t="s">
        <v>261</v>
      </c>
      <c r="AP5385" t="s">
        <v>116</v>
      </c>
    </row>
    <row r="5386" spans="1:42" s="6" customFormat="1">
      <c r="A5386" s="12">
        <v>43853</v>
      </c>
      <c r="B5386">
        <v>2</v>
      </c>
      <c r="C5386">
        <v>213</v>
      </c>
      <c r="D5386">
        <v>14469</v>
      </c>
      <c r="E5386" t="s">
        <v>112</v>
      </c>
      <c r="F5386" t="s">
        <v>104</v>
      </c>
      <c r="G5386">
        <v>2</v>
      </c>
      <c r="H5386">
        <v>110</v>
      </c>
      <c r="I5386" s="25" t="s">
        <v>1719</v>
      </c>
      <c r="J5386"/>
      <c r="K5386" t="s">
        <v>213</v>
      </c>
      <c r="L5386" t="s">
        <v>141</v>
      </c>
      <c r="M5386" t="s">
        <v>52</v>
      </c>
      <c r="N5386" t="s">
        <v>42</v>
      </c>
      <c r="O5386">
        <v>287</v>
      </c>
      <c r="P5386"/>
      <c r="Q5386">
        <f t="shared" si="76"/>
        <v>4</v>
      </c>
      <c r="R5386">
        <v>1</v>
      </c>
      <c r="S5386">
        <v>0</v>
      </c>
      <c r="T5386">
        <v>0</v>
      </c>
      <c r="U5386">
        <v>1</v>
      </c>
      <c r="V5386">
        <v>1</v>
      </c>
      <c r="W5386">
        <v>2</v>
      </c>
      <c r="X5386" s="21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/>
      <c r="AI5386"/>
      <c r="AJ5386" t="s">
        <v>51</v>
      </c>
      <c r="AK5386" t="s">
        <v>52</v>
      </c>
      <c r="AL5386" t="s">
        <v>1720</v>
      </c>
      <c r="AP5386" t="s">
        <v>116</v>
      </c>
    </row>
    <row r="5387" spans="1:42" s="6" customFormat="1">
      <c r="A5387" s="12">
        <v>43853</v>
      </c>
      <c r="B5387">
        <v>2</v>
      </c>
      <c r="C5387">
        <v>213</v>
      </c>
      <c r="D5387">
        <v>14469</v>
      </c>
      <c r="E5387" t="s">
        <v>112</v>
      </c>
      <c r="F5387" t="s">
        <v>104</v>
      </c>
      <c r="G5387">
        <v>2</v>
      </c>
      <c r="H5387">
        <v>111</v>
      </c>
      <c r="I5387" s="25" t="s">
        <v>1721</v>
      </c>
      <c r="J5387"/>
      <c r="K5387" t="s">
        <v>213</v>
      </c>
      <c r="L5387" t="s">
        <v>141</v>
      </c>
      <c r="M5387" t="s">
        <v>52</v>
      </c>
      <c r="N5387" t="s">
        <v>40</v>
      </c>
      <c r="O5387">
        <v>43</v>
      </c>
      <c r="P5387"/>
      <c r="Q5387">
        <f t="shared" si="76"/>
        <v>1</v>
      </c>
      <c r="R5387">
        <v>1</v>
      </c>
      <c r="S5387">
        <v>0</v>
      </c>
      <c r="T5387">
        <v>0</v>
      </c>
      <c r="U5387">
        <v>0</v>
      </c>
      <c r="V5387">
        <v>1</v>
      </c>
      <c r="W5387">
        <v>0</v>
      </c>
      <c r="X5387" s="21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/>
      <c r="AI5387"/>
      <c r="AJ5387" t="s">
        <v>51</v>
      </c>
      <c r="AK5387" t="s">
        <v>52</v>
      </c>
      <c r="AL5387"/>
      <c r="AP5387" t="s">
        <v>116</v>
      </c>
    </row>
    <row r="5388" spans="1:42" s="6" customFormat="1">
      <c r="A5388" s="12">
        <v>43853</v>
      </c>
      <c r="B5388">
        <v>2</v>
      </c>
      <c r="C5388">
        <v>213</v>
      </c>
      <c r="D5388">
        <v>14469</v>
      </c>
      <c r="E5388" t="s">
        <v>112</v>
      </c>
      <c r="F5388" t="s">
        <v>104</v>
      </c>
      <c r="G5388">
        <v>2</v>
      </c>
      <c r="H5388">
        <v>112</v>
      </c>
      <c r="I5388" s="25" t="s">
        <v>1722</v>
      </c>
      <c r="J5388"/>
      <c r="K5388" t="s">
        <v>213</v>
      </c>
      <c r="L5388" t="s">
        <v>141</v>
      </c>
      <c r="M5388" t="s">
        <v>52</v>
      </c>
      <c r="N5388" t="s">
        <v>40</v>
      </c>
      <c r="O5388">
        <v>47</v>
      </c>
      <c r="P5388"/>
      <c r="Q5388">
        <f t="shared" si="76"/>
        <v>2</v>
      </c>
      <c r="R5388">
        <v>1</v>
      </c>
      <c r="S5388">
        <v>0</v>
      </c>
      <c r="T5388">
        <v>0</v>
      </c>
      <c r="U5388">
        <v>1</v>
      </c>
      <c r="V5388">
        <v>1</v>
      </c>
      <c r="W5388">
        <v>0</v>
      </c>
      <c r="X5388" s="21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/>
      <c r="AI5388"/>
      <c r="AJ5388" t="s">
        <v>51</v>
      </c>
      <c r="AK5388" t="s">
        <v>52</v>
      </c>
      <c r="AL5388"/>
      <c r="AP5388" t="s">
        <v>116</v>
      </c>
    </row>
    <row r="5389" spans="1:42" s="6" customFormat="1">
      <c r="A5389" s="12">
        <v>43853</v>
      </c>
      <c r="B5389">
        <v>2</v>
      </c>
      <c r="C5389">
        <v>213</v>
      </c>
      <c r="D5389">
        <v>14469</v>
      </c>
      <c r="E5389" t="s">
        <v>112</v>
      </c>
      <c r="F5389" t="s">
        <v>104</v>
      </c>
      <c r="G5389">
        <v>2</v>
      </c>
      <c r="H5389">
        <v>113</v>
      </c>
      <c r="I5389" s="25" t="s">
        <v>1723</v>
      </c>
      <c r="J5389"/>
      <c r="K5389" t="s">
        <v>599</v>
      </c>
      <c r="L5389" t="s">
        <v>141</v>
      </c>
      <c r="M5389" t="s">
        <v>52</v>
      </c>
      <c r="N5389" t="s">
        <v>40</v>
      </c>
      <c r="O5389">
        <v>97</v>
      </c>
      <c r="P5389"/>
      <c r="Q5389">
        <f t="shared" si="76"/>
        <v>6</v>
      </c>
      <c r="R5389">
        <v>1</v>
      </c>
      <c r="S5389">
        <v>0</v>
      </c>
      <c r="T5389">
        <v>1</v>
      </c>
      <c r="U5389">
        <v>5</v>
      </c>
      <c r="V5389">
        <v>0</v>
      </c>
      <c r="W5389">
        <v>0</v>
      </c>
      <c r="X5389" s="21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/>
      <c r="AI5389"/>
      <c r="AJ5389" t="s">
        <v>51</v>
      </c>
      <c r="AK5389" t="s">
        <v>52</v>
      </c>
      <c r="AL5389"/>
      <c r="AP5389" t="s">
        <v>116</v>
      </c>
    </row>
    <row r="5390" spans="1:42" s="6" customFormat="1">
      <c r="A5390" s="12">
        <v>43853</v>
      </c>
      <c r="B5390">
        <v>2</v>
      </c>
      <c r="C5390">
        <v>213</v>
      </c>
      <c r="D5390">
        <v>14469</v>
      </c>
      <c r="E5390" t="s">
        <v>112</v>
      </c>
      <c r="F5390" t="s">
        <v>104</v>
      </c>
      <c r="G5390">
        <v>2</v>
      </c>
      <c r="H5390">
        <v>114</v>
      </c>
      <c r="I5390" s="25" t="s">
        <v>1724</v>
      </c>
      <c r="J5390"/>
      <c r="K5390" t="s">
        <v>599</v>
      </c>
      <c r="L5390" t="s">
        <v>141</v>
      </c>
      <c r="M5390" t="s">
        <v>52</v>
      </c>
      <c r="N5390" t="s">
        <v>40</v>
      </c>
      <c r="O5390">
        <v>56</v>
      </c>
      <c r="P5390"/>
      <c r="Q5390">
        <f t="shared" si="76"/>
        <v>4</v>
      </c>
      <c r="R5390">
        <v>1</v>
      </c>
      <c r="S5390">
        <v>1</v>
      </c>
      <c r="T5390">
        <v>0</v>
      </c>
      <c r="U5390">
        <v>3</v>
      </c>
      <c r="V5390">
        <v>0</v>
      </c>
      <c r="W5390">
        <v>0</v>
      </c>
      <c r="X5390" s="21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/>
      <c r="AI5390"/>
      <c r="AJ5390" t="s">
        <v>51</v>
      </c>
      <c r="AK5390" t="s">
        <v>52</v>
      </c>
      <c r="AL5390"/>
      <c r="AP5390" t="s">
        <v>116</v>
      </c>
    </row>
    <row r="5391" spans="1:42" s="6" customFormat="1">
      <c r="A5391" s="12">
        <v>43853</v>
      </c>
      <c r="B5391">
        <v>2</v>
      </c>
      <c r="C5391">
        <v>213</v>
      </c>
      <c r="D5391">
        <v>14469</v>
      </c>
      <c r="E5391" t="s">
        <v>112</v>
      </c>
      <c r="F5391" t="s">
        <v>104</v>
      </c>
      <c r="G5391">
        <v>2</v>
      </c>
      <c r="H5391">
        <v>115</v>
      </c>
      <c r="I5391" s="25">
        <v>2963</v>
      </c>
      <c r="J5391"/>
      <c r="K5391" t="s">
        <v>599</v>
      </c>
      <c r="L5391" t="s">
        <v>141</v>
      </c>
      <c r="M5391" t="s">
        <v>52</v>
      </c>
      <c r="N5391" t="s">
        <v>40</v>
      </c>
      <c r="O5391">
        <v>22</v>
      </c>
      <c r="P5391"/>
      <c r="Q5391">
        <f t="shared" si="76"/>
        <v>1</v>
      </c>
      <c r="R5391">
        <v>1</v>
      </c>
      <c r="S5391">
        <v>0</v>
      </c>
      <c r="T5391">
        <v>0</v>
      </c>
      <c r="U5391">
        <v>1</v>
      </c>
      <c r="V5391">
        <v>0</v>
      </c>
      <c r="W5391">
        <v>0</v>
      </c>
      <c r="X5391" s="2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/>
      <c r="AI5391"/>
      <c r="AJ5391" t="s">
        <v>51</v>
      </c>
      <c r="AK5391" t="s">
        <v>52</v>
      </c>
      <c r="AL5391"/>
      <c r="AP5391" t="s">
        <v>116</v>
      </c>
    </row>
    <row r="5392" spans="1:42" s="6" customFormat="1">
      <c r="A5392" s="12">
        <v>43853</v>
      </c>
      <c r="B5392">
        <v>2</v>
      </c>
      <c r="C5392">
        <v>213</v>
      </c>
      <c r="D5392">
        <v>14469</v>
      </c>
      <c r="E5392" t="s">
        <v>112</v>
      </c>
      <c r="F5392" t="s">
        <v>104</v>
      </c>
      <c r="G5392">
        <v>2</v>
      </c>
      <c r="H5392">
        <v>116</v>
      </c>
      <c r="I5392" s="25" t="s">
        <v>1725</v>
      </c>
      <c r="J5392"/>
      <c r="K5392" t="s">
        <v>599</v>
      </c>
      <c r="L5392" t="s">
        <v>141</v>
      </c>
      <c r="M5392" t="s">
        <v>52</v>
      </c>
      <c r="N5392" t="s">
        <v>40</v>
      </c>
      <c r="O5392">
        <v>81</v>
      </c>
      <c r="P5392"/>
      <c r="Q5392">
        <f t="shared" si="76"/>
        <v>4</v>
      </c>
      <c r="R5392">
        <v>1</v>
      </c>
      <c r="S5392">
        <v>0</v>
      </c>
      <c r="T5392">
        <v>1</v>
      </c>
      <c r="U5392">
        <v>1</v>
      </c>
      <c r="V5392">
        <v>2</v>
      </c>
      <c r="W5392">
        <v>0</v>
      </c>
      <c r="X5392" s="21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/>
      <c r="AI5392"/>
      <c r="AJ5392" t="s">
        <v>51</v>
      </c>
      <c r="AK5392" t="s">
        <v>95</v>
      </c>
      <c r="AL5392"/>
      <c r="AP5392" t="s">
        <v>116</v>
      </c>
    </row>
    <row r="5393" spans="1:42" s="6" customFormat="1">
      <c r="A5393" s="12">
        <v>43853</v>
      </c>
      <c r="B5393">
        <v>2</v>
      </c>
      <c r="C5393">
        <v>213</v>
      </c>
      <c r="D5393">
        <v>14469</v>
      </c>
      <c r="E5393" t="s">
        <v>112</v>
      </c>
      <c r="F5393" t="s">
        <v>104</v>
      </c>
      <c r="G5393">
        <v>2</v>
      </c>
      <c r="H5393">
        <v>117</v>
      </c>
      <c r="I5393" s="25">
        <v>2909</v>
      </c>
      <c r="J5393"/>
      <c r="K5393" t="s">
        <v>599</v>
      </c>
      <c r="L5393" t="s">
        <v>141</v>
      </c>
      <c r="M5393" t="s">
        <v>52</v>
      </c>
      <c r="N5393" t="s">
        <v>40</v>
      </c>
      <c r="O5393">
        <v>38</v>
      </c>
      <c r="P5393"/>
      <c r="Q5393">
        <f t="shared" si="76"/>
        <v>1</v>
      </c>
      <c r="R5393">
        <v>1</v>
      </c>
      <c r="S5393">
        <v>0</v>
      </c>
      <c r="T5393">
        <v>0</v>
      </c>
      <c r="U5393">
        <v>0</v>
      </c>
      <c r="V5393">
        <v>1</v>
      </c>
      <c r="W5393">
        <v>0</v>
      </c>
      <c r="X5393" s="21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/>
      <c r="AI5393"/>
      <c r="AJ5393" t="s">
        <v>51</v>
      </c>
      <c r="AK5393" t="s">
        <v>95</v>
      </c>
      <c r="AL5393"/>
      <c r="AP5393" t="s">
        <v>116</v>
      </c>
    </row>
    <row r="5394" spans="1:42" s="6" customFormat="1">
      <c r="A5394" s="12">
        <v>43853</v>
      </c>
      <c r="B5394">
        <v>2</v>
      </c>
      <c r="C5394">
        <v>213</v>
      </c>
      <c r="D5394">
        <v>14469</v>
      </c>
      <c r="E5394" t="s">
        <v>112</v>
      </c>
      <c r="F5394" t="s">
        <v>104</v>
      </c>
      <c r="G5394">
        <v>2</v>
      </c>
      <c r="H5394">
        <v>118</v>
      </c>
      <c r="I5394" s="25" t="s">
        <v>1726</v>
      </c>
      <c r="J5394"/>
      <c r="K5394" t="s">
        <v>156</v>
      </c>
      <c r="L5394" t="s">
        <v>114</v>
      </c>
      <c r="M5394" t="s">
        <v>52</v>
      </c>
      <c r="N5394" t="s">
        <v>44</v>
      </c>
      <c r="O5394">
        <v>274</v>
      </c>
      <c r="P5394"/>
      <c r="Q5394">
        <f t="shared" si="76"/>
        <v>10</v>
      </c>
      <c r="R5394">
        <v>1</v>
      </c>
      <c r="S5394">
        <v>0</v>
      </c>
      <c r="T5394">
        <v>0</v>
      </c>
      <c r="U5394">
        <v>1</v>
      </c>
      <c r="V5394">
        <v>4</v>
      </c>
      <c r="W5394">
        <v>5</v>
      </c>
      <c r="X5394" s="21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/>
      <c r="AI5394"/>
      <c r="AJ5394" t="s">
        <v>51</v>
      </c>
      <c r="AK5394" t="s">
        <v>52</v>
      </c>
      <c r="AL5394" t="s">
        <v>1727</v>
      </c>
      <c r="AP5394" t="s">
        <v>116</v>
      </c>
    </row>
    <row r="5395" spans="1:42" s="6" customFormat="1">
      <c r="A5395" s="12">
        <v>43853</v>
      </c>
      <c r="B5395">
        <v>2</v>
      </c>
      <c r="C5395">
        <v>213</v>
      </c>
      <c r="D5395">
        <v>14469</v>
      </c>
      <c r="E5395" t="s">
        <v>112</v>
      </c>
      <c r="F5395" t="s">
        <v>104</v>
      </c>
      <c r="G5395">
        <v>2</v>
      </c>
      <c r="H5395">
        <v>119</v>
      </c>
      <c r="I5395" s="25" t="s">
        <v>1728</v>
      </c>
      <c r="J5395"/>
      <c r="K5395" t="s">
        <v>119</v>
      </c>
      <c r="L5395" t="s">
        <v>114</v>
      </c>
      <c r="M5395" t="s">
        <v>52</v>
      </c>
      <c r="N5395" t="s">
        <v>44</v>
      </c>
      <c r="O5395">
        <v>233</v>
      </c>
      <c r="P5395"/>
      <c r="Q5395">
        <f t="shared" si="76"/>
        <v>2</v>
      </c>
      <c r="R5395">
        <v>1</v>
      </c>
      <c r="S5395">
        <v>0</v>
      </c>
      <c r="T5395">
        <v>0</v>
      </c>
      <c r="U5395">
        <v>0</v>
      </c>
      <c r="V5395">
        <v>1</v>
      </c>
      <c r="W5395">
        <v>1</v>
      </c>
      <c r="X5395" s="21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/>
      <c r="AI5395"/>
      <c r="AJ5395" t="s">
        <v>51</v>
      </c>
      <c r="AK5395" t="s">
        <v>52</v>
      </c>
      <c r="AL5395" t="s">
        <v>1729</v>
      </c>
      <c r="AP5395" t="s">
        <v>116</v>
      </c>
    </row>
    <row r="5396" spans="1:42" s="6" customFormat="1">
      <c r="A5396" s="12">
        <v>43853</v>
      </c>
      <c r="B5396">
        <v>2</v>
      </c>
      <c r="C5396">
        <v>213</v>
      </c>
      <c r="D5396">
        <v>14469</v>
      </c>
      <c r="E5396" t="s">
        <v>112</v>
      </c>
      <c r="F5396" t="s">
        <v>104</v>
      </c>
      <c r="G5396">
        <v>2</v>
      </c>
      <c r="H5396">
        <v>120</v>
      </c>
      <c r="I5396" s="25" t="s">
        <v>1730</v>
      </c>
      <c r="J5396"/>
      <c r="K5396" t="s">
        <v>119</v>
      </c>
      <c r="L5396" t="s">
        <v>114</v>
      </c>
      <c r="M5396" t="s">
        <v>52</v>
      </c>
      <c r="N5396" t="s">
        <v>40</v>
      </c>
      <c r="O5396">
        <v>76</v>
      </c>
      <c r="P5396"/>
      <c r="Q5396">
        <f t="shared" si="76"/>
        <v>3</v>
      </c>
      <c r="R5396">
        <v>1</v>
      </c>
      <c r="S5396">
        <v>0</v>
      </c>
      <c r="T5396">
        <v>0</v>
      </c>
      <c r="U5396">
        <v>3</v>
      </c>
      <c r="V5396">
        <v>0</v>
      </c>
      <c r="W5396">
        <v>0</v>
      </c>
      <c r="X5396" s="21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/>
      <c r="AI5396"/>
      <c r="AJ5396" t="s">
        <v>51</v>
      </c>
      <c r="AK5396" t="s">
        <v>52</v>
      </c>
      <c r="AL5396"/>
      <c r="AP5396" t="s">
        <v>116</v>
      </c>
    </row>
    <row r="5397" spans="1:42" s="6" customFormat="1">
      <c r="A5397" s="12">
        <v>43853</v>
      </c>
      <c r="B5397">
        <v>2</v>
      </c>
      <c r="C5397">
        <v>213</v>
      </c>
      <c r="D5397">
        <v>14469</v>
      </c>
      <c r="E5397" t="s">
        <v>112</v>
      </c>
      <c r="F5397" t="s">
        <v>104</v>
      </c>
      <c r="G5397">
        <v>2</v>
      </c>
      <c r="H5397">
        <v>121</v>
      </c>
      <c r="I5397" s="25">
        <v>2034</v>
      </c>
      <c r="J5397"/>
      <c r="K5397" t="s">
        <v>119</v>
      </c>
      <c r="L5397" t="s">
        <v>114</v>
      </c>
      <c r="M5397" t="s">
        <v>52</v>
      </c>
      <c r="N5397" t="s">
        <v>44</v>
      </c>
      <c r="O5397">
        <v>79</v>
      </c>
      <c r="P5397"/>
      <c r="Q5397">
        <f t="shared" si="76"/>
        <v>1</v>
      </c>
      <c r="R5397">
        <v>1</v>
      </c>
      <c r="S5397">
        <v>0</v>
      </c>
      <c r="T5397">
        <v>0</v>
      </c>
      <c r="U5397">
        <v>0</v>
      </c>
      <c r="V5397">
        <v>0</v>
      </c>
      <c r="W5397">
        <v>1</v>
      </c>
      <c r="X5397" s="21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/>
      <c r="AI5397"/>
      <c r="AJ5397" t="s">
        <v>51</v>
      </c>
      <c r="AK5397" t="s">
        <v>52</v>
      </c>
      <c r="AL5397" t="s">
        <v>1731</v>
      </c>
      <c r="AP5397" t="s">
        <v>116</v>
      </c>
    </row>
    <row r="5398" spans="1:42" s="6" customFormat="1">
      <c r="A5398" s="12">
        <v>43853</v>
      </c>
      <c r="B5398">
        <v>2</v>
      </c>
      <c r="C5398">
        <v>213</v>
      </c>
      <c r="D5398">
        <v>14469</v>
      </c>
      <c r="E5398" t="s">
        <v>112</v>
      </c>
      <c r="F5398" t="s">
        <v>104</v>
      </c>
      <c r="G5398">
        <v>2</v>
      </c>
      <c r="H5398">
        <v>122</v>
      </c>
      <c r="I5398" s="25">
        <v>2036</v>
      </c>
      <c r="J5398"/>
      <c r="K5398" t="s">
        <v>119</v>
      </c>
      <c r="L5398" t="s">
        <v>114</v>
      </c>
      <c r="M5398" t="s">
        <v>52</v>
      </c>
      <c r="N5398" t="s">
        <v>44</v>
      </c>
      <c r="O5398">
        <v>170</v>
      </c>
      <c r="P5398"/>
      <c r="Q5398">
        <f t="shared" si="76"/>
        <v>1</v>
      </c>
      <c r="R5398">
        <v>1</v>
      </c>
      <c r="S5398">
        <v>0</v>
      </c>
      <c r="T5398">
        <v>0</v>
      </c>
      <c r="U5398">
        <v>0</v>
      </c>
      <c r="V5398">
        <v>0</v>
      </c>
      <c r="W5398">
        <v>1</v>
      </c>
      <c r="X5398" s="21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/>
      <c r="AI5398"/>
      <c r="AJ5398" t="s">
        <v>51</v>
      </c>
      <c r="AK5398" t="s">
        <v>52</v>
      </c>
      <c r="AL5398" t="s">
        <v>1732</v>
      </c>
      <c r="AP5398" t="s">
        <v>116</v>
      </c>
    </row>
    <row r="5399" spans="1:42" s="6" customFormat="1">
      <c r="A5399" s="12">
        <v>43853</v>
      </c>
      <c r="B5399">
        <v>2</v>
      </c>
      <c r="C5399">
        <v>213</v>
      </c>
      <c r="D5399">
        <v>14469</v>
      </c>
      <c r="E5399" t="s">
        <v>112</v>
      </c>
      <c r="F5399" t="s">
        <v>104</v>
      </c>
      <c r="G5399">
        <v>2</v>
      </c>
      <c r="H5399">
        <v>123</v>
      </c>
      <c r="I5399" s="25" t="s">
        <v>1733</v>
      </c>
      <c r="J5399"/>
      <c r="K5399" t="s">
        <v>119</v>
      </c>
      <c r="L5399" t="s">
        <v>114</v>
      </c>
      <c r="M5399" t="s">
        <v>52</v>
      </c>
      <c r="N5399" t="s">
        <v>44</v>
      </c>
      <c r="O5399">
        <v>106</v>
      </c>
      <c r="P5399"/>
      <c r="Q5399">
        <f t="shared" si="76"/>
        <v>2</v>
      </c>
      <c r="R5399">
        <v>1</v>
      </c>
      <c r="S5399">
        <v>0</v>
      </c>
      <c r="T5399">
        <v>0</v>
      </c>
      <c r="U5399">
        <v>0</v>
      </c>
      <c r="V5399">
        <v>1</v>
      </c>
      <c r="W5399">
        <v>1</v>
      </c>
      <c r="X5399" s="21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/>
      <c r="AI5399"/>
      <c r="AJ5399" t="s">
        <v>51</v>
      </c>
      <c r="AK5399" t="s">
        <v>52</v>
      </c>
      <c r="AL5399" t="s">
        <v>1734</v>
      </c>
      <c r="AP5399" t="s">
        <v>116</v>
      </c>
    </row>
    <row r="5400" spans="1:42" s="6" customFormat="1">
      <c r="A5400" s="12">
        <v>43853</v>
      </c>
      <c r="B5400">
        <v>2</v>
      </c>
      <c r="C5400">
        <v>213</v>
      </c>
      <c r="D5400">
        <v>14469</v>
      </c>
      <c r="E5400" t="s">
        <v>112</v>
      </c>
      <c r="F5400" t="s">
        <v>104</v>
      </c>
      <c r="G5400">
        <v>2</v>
      </c>
      <c r="H5400">
        <v>124</v>
      </c>
      <c r="I5400" s="25">
        <v>2048</v>
      </c>
      <c r="J5400"/>
      <c r="K5400" t="s">
        <v>119</v>
      </c>
      <c r="L5400" t="s">
        <v>114</v>
      </c>
      <c r="M5400" t="s">
        <v>52</v>
      </c>
      <c r="N5400" t="s">
        <v>40</v>
      </c>
      <c r="O5400">
        <v>32</v>
      </c>
      <c r="P5400"/>
      <c r="Q5400">
        <f t="shared" si="76"/>
        <v>1</v>
      </c>
      <c r="R5400">
        <v>1</v>
      </c>
      <c r="S5400">
        <v>0</v>
      </c>
      <c r="T5400">
        <v>0</v>
      </c>
      <c r="U5400">
        <v>0</v>
      </c>
      <c r="V5400">
        <v>0</v>
      </c>
      <c r="W5400">
        <v>1</v>
      </c>
      <c r="X5400" s="21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/>
      <c r="AI5400"/>
      <c r="AJ5400" t="s">
        <v>51</v>
      </c>
      <c r="AK5400" t="s">
        <v>52</v>
      </c>
      <c r="AL5400"/>
      <c r="AP5400" t="s">
        <v>116</v>
      </c>
    </row>
    <row r="5401" spans="1:42" s="6" customFormat="1">
      <c r="A5401" s="12">
        <v>43853</v>
      </c>
      <c r="B5401">
        <v>2</v>
      </c>
      <c r="C5401">
        <v>213</v>
      </c>
      <c r="D5401">
        <v>14469</v>
      </c>
      <c r="E5401" t="s">
        <v>112</v>
      </c>
      <c r="F5401" t="s">
        <v>104</v>
      </c>
      <c r="G5401">
        <v>2</v>
      </c>
      <c r="H5401">
        <v>125</v>
      </c>
      <c r="I5401" s="25">
        <v>2052</v>
      </c>
      <c r="J5401"/>
      <c r="K5401" t="s">
        <v>119</v>
      </c>
      <c r="L5401" t="s">
        <v>114</v>
      </c>
      <c r="M5401" t="s">
        <v>52</v>
      </c>
      <c r="N5401" t="s">
        <v>44</v>
      </c>
      <c r="O5401">
        <v>75</v>
      </c>
      <c r="P5401"/>
      <c r="Q5401">
        <f t="shared" si="76"/>
        <v>2</v>
      </c>
      <c r="R5401">
        <v>1</v>
      </c>
      <c r="S5401">
        <v>0</v>
      </c>
      <c r="T5401">
        <v>0</v>
      </c>
      <c r="U5401">
        <v>0</v>
      </c>
      <c r="V5401">
        <v>1</v>
      </c>
      <c r="W5401">
        <v>1</v>
      </c>
      <c r="X5401" s="2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/>
      <c r="AI5401"/>
      <c r="AJ5401" t="s">
        <v>51</v>
      </c>
      <c r="AK5401" t="s">
        <v>52</v>
      </c>
      <c r="AL5401" t="s">
        <v>1735</v>
      </c>
      <c r="AP5401" t="s">
        <v>116</v>
      </c>
    </row>
    <row r="5402" spans="1:42" s="6" customFormat="1">
      <c r="A5402" s="12">
        <v>43853</v>
      </c>
      <c r="B5402">
        <v>2</v>
      </c>
      <c r="C5402">
        <v>213</v>
      </c>
      <c r="D5402">
        <v>14469</v>
      </c>
      <c r="E5402" t="s">
        <v>112</v>
      </c>
      <c r="F5402" t="s">
        <v>104</v>
      </c>
      <c r="G5402">
        <v>2</v>
      </c>
      <c r="H5402">
        <v>126</v>
      </c>
      <c r="I5402" s="25">
        <v>2060</v>
      </c>
      <c r="J5402"/>
      <c r="K5402" t="s">
        <v>119</v>
      </c>
      <c r="L5402" t="s">
        <v>114</v>
      </c>
      <c r="M5402" t="s">
        <v>52</v>
      </c>
      <c r="N5402" t="s">
        <v>44</v>
      </c>
      <c r="O5402">
        <v>74</v>
      </c>
      <c r="P5402"/>
      <c r="Q5402">
        <f t="shared" si="76"/>
        <v>1</v>
      </c>
      <c r="R5402">
        <v>1</v>
      </c>
      <c r="S5402">
        <v>0</v>
      </c>
      <c r="T5402">
        <v>0</v>
      </c>
      <c r="U5402">
        <v>0</v>
      </c>
      <c r="V5402">
        <v>1</v>
      </c>
      <c r="W5402">
        <v>0</v>
      </c>
      <c r="X5402" s="21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/>
      <c r="AI5402"/>
      <c r="AJ5402" t="s">
        <v>51</v>
      </c>
      <c r="AK5402" t="s">
        <v>52</v>
      </c>
      <c r="AL5402" t="s">
        <v>1736</v>
      </c>
      <c r="AP5402" t="s">
        <v>116</v>
      </c>
    </row>
    <row r="5403" spans="1:42" s="6" customFormat="1">
      <c r="A5403" s="12">
        <v>43853</v>
      </c>
      <c r="B5403">
        <v>2</v>
      </c>
      <c r="C5403">
        <v>213</v>
      </c>
      <c r="D5403">
        <v>14469</v>
      </c>
      <c r="E5403" t="s">
        <v>112</v>
      </c>
      <c r="F5403" t="s">
        <v>104</v>
      </c>
      <c r="G5403">
        <v>2</v>
      </c>
      <c r="H5403">
        <v>127</v>
      </c>
      <c r="I5403" s="25">
        <v>2062</v>
      </c>
      <c r="J5403"/>
      <c r="K5403" t="s">
        <v>119</v>
      </c>
      <c r="L5403" t="s">
        <v>114</v>
      </c>
      <c r="M5403" t="s">
        <v>52</v>
      </c>
      <c r="N5403" t="s">
        <v>44</v>
      </c>
      <c r="O5403">
        <v>118</v>
      </c>
      <c r="P5403"/>
      <c r="Q5403">
        <f t="shared" si="76"/>
        <v>2</v>
      </c>
      <c r="R5403">
        <v>1</v>
      </c>
      <c r="S5403">
        <v>0</v>
      </c>
      <c r="T5403">
        <v>0</v>
      </c>
      <c r="U5403">
        <v>1</v>
      </c>
      <c r="V5403">
        <v>0</v>
      </c>
      <c r="W5403">
        <v>1</v>
      </c>
      <c r="X5403" s="21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/>
      <c r="AI5403"/>
      <c r="AJ5403" t="s">
        <v>51</v>
      </c>
      <c r="AK5403" t="s">
        <v>52</v>
      </c>
      <c r="AL5403" t="s">
        <v>1737</v>
      </c>
      <c r="AP5403" t="s">
        <v>116</v>
      </c>
    </row>
    <row r="5404" spans="1:42" s="6" customFormat="1">
      <c r="A5404" s="12">
        <v>43853</v>
      </c>
      <c r="B5404">
        <v>2</v>
      </c>
      <c r="C5404">
        <v>213</v>
      </c>
      <c r="D5404">
        <v>14469</v>
      </c>
      <c r="E5404" t="s">
        <v>112</v>
      </c>
      <c r="F5404" t="s">
        <v>104</v>
      </c>
      <c r="G5404">
        <v>2</v>
      </c>
      <c r="H5404">
        <v>128</v>
      </c>
      <c r="I5404" s="25" t="s">
        <v>1738</v>
      </c>
      <c r="J5404"/>
      <c r="K5404" t="s">
        <v>119</v>
      </c>
      <c r="L5404" t="s">
        <v>114</v>
      </c>
      <c r="M5404" t="s">
        <v>52</v>
      </c>
      <c r="N5404" t="s">
        <v>44</v>
      </c>
      <c r="O5404">
        <v>91</v>
      </c>
      <c r="P5404"/>
      <c r="Q5404">
        <f t="shared" si="76"/>
        <v>2</v>
      </c>
      <c r="R5404">
        <v>1</v>
      </c>
      <c r="S5404">
        <v>0</v>
      </c>
      <c r="T5404">
        <v>0</v>
      </c>
      <c r="U5404">
        <v>1</v>
      </c>
      <c r="V5404">
        <v>1</v>
      </c>
      <c r="W5404">
        <v>0</v>
      </c>
      <c r="X5404" s="21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/>
      <c r="AI5404"/>
      <c r="AJ5404" t="s">
        <v>51</v>
      </c>
      <c r="AK5404" t="s">
        <v>52</v>
      </c>
      <c r="AL5404" t="s">
        <v>1739</v>
      </c>
      <c r="AP5404" t="s">
        <v>116</v>
      </c>
    </row>
    <row r="5405" spans="1:42" s="6" customFormat="1">
      <c r="A5405" s="12">
        <v>43853</v>
      </c>
      <c r="B5405">
        <v>2</v>
      </c>
      <c r="C5405">
        <v>213</v>
      </c>
      <c r="D5405">
        <v>14469</v>
      </c>
      <c r="E5405" t="s">
        <v>112</v>
      </c>
      <c r="F5405" t="s">
        <v>104</v>
      </c>
      <c r="G5405">
        <v>2</v>
      </c>
      <c r="H5405">
        <v>129</v>
      </c>
      <c r="I5405" s="25">
        <v>2090</v>
      </c>
      <c r="J5405"/>
      <c r="K5405" t="s">
        <v>119</v>
      </c>
      <c r="L5405" t="s">
        <v>114</v>
      </c>
      <c r="M5405" t="s">
        <v>52</v>
      </c>
      <c r="N5405" t="s">
        <v>44</v>
      </c>
      <c r="O5405">
        <v>186</v>
      </c>
      <c r="P5405"/>
      <c r="Q5405">
        <f t="shared" si="76"/>
        <v>4</v>
      </c>
      <c r="R5405">
        <v>1</v>
      </c>
      <c r="S5405">
        <v>0</v>
      </c>
      <c r="T5405">
        <v>0</v>
      </c>
      <c r="U5405">
        <v>1</v>
      </c>
      <c r="V5405">
        <v>0</v>
      </c>
      <c r="W5405">
        <v>3</v>
      </c>
      <c r="X5405" s="21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/>
      <c r="AI5405"/>
      <c r="AJ5405" t="s">
        <v>54</v>
      </c>
      <c r="AK5405" t="s">
        <v>52</v>
      </c>
      <c r="AL5405" t="s">
        <v>1740</v>
      </c>
      <c r="AP5405" t="s">
        <v>116</v>
      </c>
    </row>
    <row r="5406" spans="1:42" s="6" customFormat="1">
      <c r="A5406" s="12">
        <v>43853</v>
      </c>
      <c r="B5406">
        <v>2</v>
      </c>
      <c r="C5406">
        <v>213</v>
      </c>
      <c r="D5406">
        <v>14469</v>
      </c>
      <c r="E5406" t="s">
        <v>112</v>
      </c>
      <c r="F5406" t="s">
        <v>104</v>
      </c>
      <c r="G5406">
        <v>2</v>
      </c>
      <c r="H5406">
        <v>130</v>
      </c>
      <c r="I5406" s="25">
        <v>2995</v>
      </c>
      <c r="J5406"/>
      <c r="K5406" t="s">
        <v>156</v>
      </c>
      <c r="L5406" t="s">
        <v>141</v>
      </c>
      <c r="M5406" t="s">
        <v>52</v>
      </c>
      <c r="N5406" t="s">
        <v>44</v>
      </c>
      <c r="O5406">
        <v>45</v>
      </c>
      <c r="P5406"/>
      <c r="Q5406">
        <f t="shared" ref="Q5406:Q5469" si="77">S5406+T5406+U5406+V5406+W5406+Y5406+Z5406+AA5406+AB5406+AC5406+AD5406+AE5406+AF5406</f>
        <v>1</v>
      </c>
      <c r="R5406">
        <v>1</v>
      </c>
      <c r="S5406">
        <v>0</v>
      </c>
      <c r="T5406">
        <v>0</v>
      </c>
      <c r="U5406">
        <v>0</v>
      </c>
      <c r="V5406">
        <v>0</v>
      </c>
      <c r="W5406">
        <v>1</v>
      </c>
      <c r="X5406" s="21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/>
      <c r="AI5406"/>
      <c r="AJ5406" t="s">
        <v>54</v>
      </c>
      <c r="AK5406" t="s">
        <v>95</v>
      </c>
      <c r="AL5406" t="s">
        <v>1741</v>
      </c>
      <c r="AP5406" t="s">
        <v>116</v>
      </c>
    </row>
    <row r="5407" spans="1:42" s="6" customFormat="1">
      <c r="A5407" s="12">
        <v>43853</v>
      </c>
      <c r="B5407">
        <v>2</v>
      </c>
      <c r="C5407">
        <v>213</v>
      </c>
      <c r="D5407">
        <v>14469</v>
      </c>
      <c r="E5407" t="s">
        <v>112</v>
      </c>
      <c r="F5407" t="s">
        <v>104</v>
      </c>
      <c r="G5407">
        <v>2</v>
      </c>
      <c r="H5407">
        <v>131</v>
      </c>
      <c r="I5407" s="25" t="s">
        <v>1742</v>
      </c>
      <c r="J5407"/>
      <c r="K5407" t="s">
        <v>1743</v>
      </c>
      <c r="L5407" t="s">
        <v>114</v>
      </c>
      <c r="M5407" t="s">
        <v>52</v>
      </c>
      <c r="N5407" t="s">
        <v>40</v>
      </c>
      <c r="O5407">
        <v>169</v>
      </c>
      <c r="P5407"/>
      <c r="Q5407">
        <f t="shared" si="77"/>
        <v>7</v>
      </c>
      <c r="R5407">
        <v>1</v>
      </c>
      <c r="S5407">
        <v>0</v>
      </c>
      <c r="T5407">
        <v>0</v>
      </c>
      <c r="U5407">
        <v>7</v>
      </c>
      <c r="V5407">
        <v>0</v>
      </c>
      <c r="W5407">
        <v>0</v>
      </c>
      <c r="X5407" s="21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/>
      <c r="AI5407"/>
      <c r="AJ5407" t="s">
        <v>51</v>
      </c>
      <c r="AK5407" t="s">
        <v>52</v>
      </c>
      <c r="AL5407"/>
      <c r="AP5407" t="s">
        <v>116</v>
      </c>
    </row>
    <row r="5408" spans="1:42" s="6" customFormat="1">
      <c r="A5408" s="12">
        <v>43853</v>
      </c>
      <c r="B5408">
        <v>2</v>
      </c>
      <c r="C5408">
        <v>213</v>
      </c>
      <c r="D5408">
        <v>14469</v>
      </c>
      <c r="E5408" t="s">
        <v>112</v>
      </c>
      <c r="F5408" t="s">
        <v>104</v>
      </c>
      <c r="G5408">
        <v>2</v>
      </c>
      <c r="H5408">
        <v>132</v>
      </c>
      <c r="I5408" s="25">
        <v>2938</v>
      </c>
      <c r="J5408"/>
      <c r="K5408" t="s">
        <v>599</v>
      </c>
      <c r="L5408" t="s">
        <v>114</v>
      </c>
      <c r="M5408" t="s">
        <v>52</v>
      </c>
      <c r="N5408" t="s">
        <v>40</v>
      </c>
      <c r="O5408">
        <v>27</v>
      </c>
      <c r="P5408"/>
      <c r="Q5408">
        <f t="shared" si="77"/>
        <v>2</v>
      </c>
      <c r="R5408">
        <v>1</v>
      </c>
      <c r="S5408">
        <v>0</v>
      </c>
      <c r="T5408">
        <v>0</v>
      </c>
      <c r="U5408">
        <v>2</v>
      </c>
      <c r="V5408">
        <v>0</v>
      </c>
      <c r="W5408">
        <v>0</v>
      </c>
      <c r="X5408" s="21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/>
      <c r="AI5408"/>
      <c r="AJ5408" t="s">
        <v>51</v>
      </c>
      <c r="AK5408" t="s">
        <v>95</v>
      </c>
      <c r="AL5408"/>
      <c r="AP5408" t="s">
        <v>116</v>
      </c>
    </row>
    <row r="5409" spans="1:42" s="6" customFormat="1">
      <c r="A5409" s="12">
        <v>43853</v>
      </c>
      <c r="B5409">
        <v>2</v>
      </c>
      <c r="C5409">
        <v>213</v>
      </c>
      <c r="D5409">
        <v>14469</v>
      </c>
      <c r="E5409" t="s">
        <v>112</v>
      </c>
      <c r="F5409" t="s">
        <v>104</v>
      </c>
      <c r="G5409">
        <v>2</v>
      </c>
      <c r="H5409">
        <v>133</v>
      </c>
      <c r="I5409" s="25" t="s">
        <v>1744</v>
      </c>
      <c r="J5409"/>
      <c r="K5409" t="s">
        <v>599</v>
      </c>
      <c r="L5409" t="s">
        <v>114</v>
      </c>
      <c r="M5409" t="s">
        <v>52</v>
      </c>
      <c r="N5409" t="s">
        <v>40</v>
      </c>
      <c r="O5409">
        <v>59</v>
      </c>
      <c r="P5409"/>
      <c r="Q5409">
        <f t="shared" si="77"/>
        <v>3</v>
      </c>
      <c r="R5409">
        <v>1</v>
      </c>
      <c r="S5409">
        <v>0</v>
      </c>
      <c r="T5409">
        <v>0</v>
      </c>
      <c r="U5409">
        <v>3</v>
      </c>
      <c r="V5409">
        <v>0</v>
      </c>
      <c r="W5409">
        <v>0</v>
      </c>
      <c r="X5409" s="21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/>
      <c r="AI5409"/>
      <c r="AJ5409" t="s">
        <v>51</v>
      </c>
      <c r="AK5409" t="s">
        <v>52</v>
      </c>
      <c r="AL5409"/>
      <c r="AP5409" t="s">
        <v>116</v>
      </c>
    </row>
    <row r="5410" spans="1:42" s="6" customFormat="1">
      <c r="A5410" s="12">
        <v>43853</v>
      </c>
      <c r="B5410">
        <v>2</v>
      </c>
      <c r="C5410">
        <v>213</v>
      </c>
      <c r="D5410">
        <v>14469</v>
      </c>
      <c r="E5410" t="s">
        <v>112</v>
      </c>
      <c r="F5410" t="s">
        <v>104</v>
      </c>
      <c r="G5410">
        <v>2</v>
      </c>
      <c r="H5410">
        <v>134</v>
      </c>
      <c r="I5410" s="25">
        <v>2956</v>
      </c>
      <c r="J5410"/>
      <c r="K5410" t="s">
        <v>599</v>
      </c>
      <c r="L5410" t="s">
        <v>114</v>
      </c>
      <c r="M5410" t="s">
        <v>52</v>
      </c>
      <c r="N5410" t="s">
        <v>40</v>
      </c>
      <c r="O5410">
        <v>58</v>
      </c>
      <c r="P5410"/>
      <c r="Q5410">
        <f t="shared" si="77"/>
        <v>3</v>
      </c>
      <c r="R5410">
        <v>1</v>
      </c>
      <c r="S5410">
        <v>0</v>
      </c>
      <c r="T5410">
        <v>0</v>
      </c>
      <c r="U5410">
        <v>2</v>
      </c>
      <c r="V5410">
        <v>1</v>
      </c>
      <c r="W5410">
        <v>0</v>
      </c>
      <c r="X5410" s="21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/>
      <c r="AI5410"/>
      <c r="AJ5410" t="s">
        <v>51</v>
      </c>
      <c r="AK5410" t="s">
        <v>52</v>
      </c>
      <c r="AL5410"/>
      <c r="AP5410" t="s">
        <v>116</v>
      </c>
    </row>
    <row r="5411" spans="1:42" s="6" customFormat="1">
      <c r="A5411" s="12">
        <v>43853</v>
      </c>
      <c r="B5411">
        <v>2</v>
      </c>
      <c r="C5411">
        <v>213</v>
      </c>
      <c r="D5411">
        <v>14469</v>
      </c>
      <c r="E5411" t="s">
        <v>112</v>
      </c>
      <c r="F5411" t="s">
        <v>104</v>
      </c>
      <c r="G5411">
        <v>2</v>
      </c>
      <c r="H5411">
        <v>135</v>
      </c>
      <c r="I5411" s="25">
        <v>3000</v>
      </c>
      <c r="J5411"/>
      <c r="K5411" t="s">
        <v>599</v>
      </c>
      <c r="L5411" t="s">
        <v>114</v>
      </c>
      <c r="M5411" t="s">
        <v>52</v>
      </c>
      <c r="N5411" t="s">
        <v>40</v>
      </c>
      <c r="O5411">
        <v>23</v>
      </c>
      <c r="P5411"/>
      <c r="Q5411">
        <f t="shared" si="77"/>
        <v>1</v>
      </c>
      <c r="R5411">
        <v>1</v>
      </c>
      <c r="S5411">
        <v>0</v>
      </c>
      <c r="T5411">
        <v>0</v>
      </c>
      <c r="U5411">
        <v>0</v>
      </c>
      <c r="V5411">
        <v>0</v>
      </c>
      <c r="W5411">
        <v>1</v>
      </c>
      <c r="X5411" s="2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/>
      <c r="AI5411"/>
      <c r="AJ5411" t="s">
        <v>51</v>
      </c>
      <c r="AK5411" t="s">
        <v>95</v>
      </c>
      <c r="AL5411"/>
      <c r="AP5411" t="s">
        <v>116</v>
      </c>
    </row>
    <row r="5412" spans="1:42" s="6" customFormat="1">
      <c r="A5412" s="12">
        <v>43853</v>
      </c>
      <c r="B5412">
        <v>2</v>
      </c>
      <c r="C5412">
        <v>213</v>
      </c>
      <c r="D5412">
        <v>14469</v>
      </c>
      <c r="E5412" t="s">
        <v>112</v>
      </c>
      <c r="F5412" t="s">
        <v>104</v>
      </c>
      <c r="G5412">
        <v>2</v>
      </c>
      <c r="H5412">
        <v>136</v>
      </c>
      <c r="I5412" s="25" t="s">
        <v>1745</v>
      </c>
      <c r="J5412"/>
      <c r="K5412" t="s">
        <v>599</v>
      </c>
      <c r="L5412" t="s">
        <v>114</v>
      </c>
      <c r="M5412" t="s">
        <v>52</v>
      </c>
      <c r="N5412" t="s">
        <v>40</v>
      </c>
      <c r="O5412">
        <v>38</v>
      </c>
      <c r="P5412"/>
      <c r="Q5412">
        <f t="shared" si="77"/>
        <v>2</v>
      </c>
      <c r="R5412">
        <v>1</v>
      </c>
      <c r="S5412">
        <v>0</v>
      </c>
      <c r="T5412">
        <v>0</v>
      </c>
      <c r="U5412">
        <v>0</v>
      </c>
      <c r="V5412">
        <v>2</v>
      </c>
      <c r="W5412">
        <v>0</v>
      </c>
      <c r="X5412" s="21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/>
      <c r="AI5412"/>
      <c r="AJ5412" t="s">
        <v>51</v>
      </c>
      <c r="AK5412" t="s">
        <v>95</v>
      </c>
      <c r="AL5412"/>
      <c r="AP5412" t="s">
        <v>116</v>
      </c>
    </row>
    <row r="5413" spans="1:42" s="6" customFormat="1">
      <c r="A5413" s="12">
        <v>43853</v>
      </c>
      <c r="B5413">
        <v>2</v>
      </c>
      <c r="C5413">
        <v>213</v>
      </c>
      <c r="D5413">
        <v>14469</v>
      </c>
      <c r="E5413" t="s">
        <v>112</v>
      </c>
      <c r="F5413" t="s">
        <v>104</v>
      </c>
      <c r="G5413">
        <v>2</v>
      </c>
      <c r="H5413">
        <v>137</v>
      </c>
      <c r="I5413" s="25">
        <v>3044</v>
      </c>
      <c r="J5413"/>
      <c r="K5413" t="s">
        <v>599</v>
      </c>
      <c r="L5413" t="s">
        <v>114</v>
      </c>
      <c r="M5413" t="s">
        <v>52</v>
      </c>
      <c r="N5413" t="s">
        <v>40</v>
      </c>
      <c r="O5413">
        <v>60</v>
      </c>
      <c r="P5413"/>
      <c r="Q5413">
        <f t="shared" si="77"/>
        <v>3</v>
      </c>
      <c r="R5413">
        <v>1</v>
      </c>
      <c r="S5413">
        <v>1</v>
      </c>
      <c r="T5413">
        <v>0</v>
      </c>
      <c r="U5413">
        <v>1</v>
      </c>
      <c r="V5413">
        <v>1</v>
      </c>
      <c r="W5413">
        <v>0</v>
      </c>
      <c r="X5413" s="21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/>
      <c r="AI5413"/>
      <c r="AJ5413" t="s">
        <v>51</v>
      </c>
      <c r="AK5413" t="s">
        <v>52</v>
      </c>
      <c r="AL5413"/>
      <c r="AP5413" t="s">
        <v>116</v>
      </c>
    </row>
    <row r="5414" spans="1:42" s="6" customFormat="1">
      <c r="A5414" s="12">
        <v>43853</v>
      </c>
      <c r="B5414">
        <v>2</v>
      </c>
      <c r="C5414">
        <v>213</v>
      </c>
      <c r="D5414">
        <v>14469</v>
      </c>
      <c r="E5414" t="s">
        <v>112</v>
      </c>
      <c r="F5414" t="s">
        <v>104</v>
      </c>
      <c r="G5414">
        <v>2</v>
      </c>
      <c r="H5414">
        <v>138</v>
      </c>
      <c r="I5414" s="25">
        <v>2100</v>
      </c>
      <c r="J5414"/>
      <c r="K5414" t="s">
        <v>119</v>
      </c>
      <c r="L5414" t="s">
        <v>114</v>
      </c>
      <c r="M5414" t="s">
        <v>52</v>
      </c>
      <c r="N5414" t="s">
        <v>44</v>
      </c>
      <c r="O5414">
        <v>137</v>
      </c>
      <c r="P5414"/>
      <c r="Q5414">
        <f t="shared" si="77"/>
        <v>2</v>
      </c>
      <c r="R5414">
        <v>1</v>
      </c>
      <c r="S5414">
        <v>0</v>
      </c>
      <c r="T5414">
        <v>0</v>
      </c>
      <c r="U5414">
        <v>0</v>
      </c>
      <c r="V5414">
        <v>1</v>
      </c>
      <c r="W5414">
        <v>1</v>
      </c>
      <c r="X5414" s="21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/>
      <c r="AI5414"/>
      <c r="AJ5414" t="s">
        <v>54</v>
      </c>
      <c r="AK5414" t="s">
        <v>52</v>
      </c>
      <c r="AL5414" t="s">
        <v>1746</v>
      </c>
      <c r="AP5414" t="s">
        <v>116</v>
      </c>
    </row>
    <row r="5415" spans="1:42" s="6" customFormat="1">
      <c r="A5415" s="12">
        <v>43853</v>
      </c>
      <c r="B5415">
        <v>2</v>
      </c>
      <c r="C5415">
        <v>213</v>
      </c>
      <c r="D5415">
        <v>14469</v>
      </c>
      <c r="E5415" t="s">
        <v>112</v>
      </c>
      <c r="F5415" t="s">
        <v>104</v>
      </c>
      <c r="G5415">
        <v>2</v>
      </c>
      <c r="H5415">
        <v>139</v>
      </c>
      <c r="I5415" s="25">
        <v>2716</v>
      </c>
      <c r="J5415"/>
      <c r="K5415" t="s">
        <v>599</v>
      </c>
      <c r="L5415" t="s">
        <v>114</v>
      </c>
      <c r="M5415" t="s">
        <v>95</v>
      </c>
      <c r="N5415" t="s">
        <v>40</v>
      </c>
      <c r="O5415">
        <v>43</v>
      </c>
      <c r="P5415"/>
      <c r="Q5415">
        <f t="shared" si="77"/>
        <v>1</v>
      </c>
      <c r="R5415">
        <v>1</v>
      </c>
      <c r="S5415">
        <v>0</v>
      </c>
      <c r="T5415">
        <v>0</v>
      </c>
      <c r="U5415">
        <v>0</v>
      </c>
      <c r="V5415">
        <v>1</v>
      </c>
      <c r="W5415">
        <v>0</v>
      </c>
      <c r="X5415" s="21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/>
      <c r="AI5415"/>
      <c r="AJ5415" t="s">
        <v>54</v>
      </c>
      <c r="AK5415" t="s">
        <v>52</v>
      </c>
      <c r="AL5415"/>
      <c r="AP5415" t="s">
        <v>116</v>
      </c>
    </row>
    <row r="5416" spans="1:42" s="6" customFormat="1">
      <c r="A5416" s="12">
        <v>43853</v>
      </c>
      <c r="B5416">
        <v>2</v>
      </c>
      <c r="C5416">
        <v>213</v>
      </c>
      <c r="D5416">
        <v>14469</v>
      </c>
      <c r="E5416" t="s">
        <v>112</v>
      </c>
      <c r="F5416" t="s">
        <v>104</v>
      </c>
      <c r="G5416">
        <v>2</v>
      </c>
      <c r="H5416">
        <v>140</v>
      </c>
      <c r="I5416" s="25">
        <v>2745</v>
      </c>
      <c r="J5416"/>
      <c r="K5416" t="s">
        <v>599</v>
      </c>
      <c r="L5416" t="s">
        <v>141</v>
      </c>
      <c r="M5416" t="s">
        <v>52</v>
      </c>
      <c r="N5416" t="s">
        <v>44</v>
      </c>
      <c r="O5416">
        <v>224</v>
      </c>
      <c r="P5416"/>
      <c r="Q5416">
        <f t="shared" si="77"/>
        <v>3</v>
      </c>
      <c r="R5416">
        <v>1</v>
      </c>
      <c r="S5416">
        <v>0</v>
      </c>
      <c r="T5416">
        <v>0</v>
      </c>
      <c r="U5416">
        <v>0</v>
      </c>
      <c r="V5416">
        <v>1</v>
      </c>
      <c r="W5416">
        <v>2</v>
      </c>
      <c r="X5416" s="21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/>
      <c r="AI5416"/>
      <c r="AJ5416" t="s">
        <v>54</v>
      </c>
      <c r="AK5416"/>
      <c r="AL5416" t="s">
        <v>1747</v>
      </c>
      <c r="AP5416" t="s">
        <v>116</v>
      </c>
    </row>
    <row r="5417" spans="1:42" s="6" customFormat="1">
      <c r="A5417" s="12">
        <v>43853</v>
      </c>
      <c r="B5417">
        <v>2</v>
      </c>
      <c r="C5417">
        <v>213</v>
      </c>
      <c r="D5417">
        <v>14469</v>
      </c>
      <c r="E5417" t="s">
        <v>112</v>
      </c>
      <c r="F5417" t="s">
        <v>104</v>
      </c>
      <c r="G5417">
        <v>2</v>
      </c>
      <c r="H5417">
        <v>141</v>
      </c>
      <c r="I5417" s="25">
        <v>2735</v>
      </c>
      <c r="J5417"/>
      <c r="K5417" t="s">
        <v>599</v>
      </c>
      <c r="L5417" t="s">
        <v>141</v>
      </c>
      <c r="M5417" t="s">
        <v>52</v>
      </c>
      <c r="N5417" t="s">
        <v>40</v>
      </c>
      <c r="O5417">
        <v>108</v>
      </c>
      <c r="P5417"/>
      <c r="Q5417">
        <f t="shared" si="77"/>
        <v>2</v>
      </c>
      <c r="R5417">
        <v>1</v>
      </c>
      <c r="S5417">
        <v>0</v>
      </c>
      <c r="T5417">
        <v>0</v>
      </c>
      <c r="U5417">
        <v>1</v>
      </c>
      <c r="V5417">
        <v>0</v>
      </c>
      <c r="W5417">
        <v>1</v>
      </c>
      <c r="X5417" s="21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/>
      <c r="AI5417"/>
      <c r="AJ5417" t="s">
        <v>54</v>
      </c>
      <c r="AK5417" t="s">
        <v>52</v>
      </c>
      <c r="AL5417" t="s">
        <v>1748</v>
      </c>
      <c r="AP5417" t="s">
        <v>116</v>
      </c>
    </row>
    <row r="5418" spans="1:42" s="6" customFormat="1">
      <c r="A5418" s="12">
        <v>43853</v>
      </c>
      <c r="B5418">
        <v>2</v>
      </c>
      <c r="C5418">
        <v>213</v>
      </c>
      <c r="D5418">
        <v>14469</v>
      </c>
      <c r="E5418" t="s">
        <v>112</v>
      </c>
      <c r="F5418" t="s">
        <v>104</v>
      </c>
      <c r="G5418">
        <v>2</v>
      </c>
      <c r="H5418">
        <v>142</v>
      </c>
      <c r="I5418" s="25">
        <v>2710</v>
      </c>
      <c r="J5418"/>
      <c r="K5418" t="s">
        <v>599</v>
      </c>
      <c r="L5418" t="s">
        <v>114</v>
      </c>
      <c r="M5418" t="s">
        <v>95</v>
      </c>
      <c r="N5418" t="s">
        <v>44</v>
      </c>
      <c r="O5418">
        <v>110</v>
      </c>
      <c r="P5418"/>
      <c r="Q5418">
        <f t="shared" si="77"/>
        <v>2</v>
      </c>
      <c r="R5418">
        <v>1</v>
      </c>
      <c r="S5418">
        <v>0</v>
      </c>
      <c r="T5418">
        <v>0</v>
      </c>
      <c r="U5418">
        <v>0</v>
      </c>
      <c r="V5418">
        <v>1</v>
      </c>
      <c r="W5418">
        <v>1</v>
      </c>
      <c r="X5418" s="21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/>
      <c r="AI5418"/>
      <c r="AJ5418" t="s">
        <v>54</v>
      </c>
      <c r="AK5418" t="s">
        <v>52</v>
      </c>
      <c r="AL5418" t="s">
        <v>1749</v>
      </c>
      <c r="AP5418" t="s">
        <v>116</v>
      </c>
    </row>
    <row r="5419" spans="1:42" s="6" customFormat="1">
      <c r="A5419" s="12">
        <v>43853</v>
      </c>
      <c r="B5419">
        <v>2</v>
      </c>
      <c r="C5419">
        <v>213</v>
      </c>
      <c r="D5419">
        <v>14469</v>
      </c>
      <c r="E5419" t="s">
        <v>112</v>
      </c>
      <c r="F5419" t="s">
        <v>104</v>
      </c>
      <c r="G5419">
        <v>2</v>
      </c>
      <c r="H5419">
        <v>143</v>
      </c>
      <c r="I5419" s="25">
        <v>2731</v>
      </c>
      <c r="J5419"/>
      <c r="K5419" t="s">
        <v>599</v>
      </c>
      <c r="L5419" t="s">
        <v>141</v>
      </c>
      <c r="M5419" t="s">
        <v>52</v>
      </c>
      <c r="N5419" t="s">
        <v>44</v>
      </c>
      <c r="O5419">
        <v>152</v>
      </c>
      <c r="P5419"/>
      <c r="Q5419">
        <f t="shared" si="77"/>
        <v>3</v>
      </c>
      <c r="R5419">
        <v>1</v>
      </c>
      <c r="S5419">
        <v>0</v>
      </c>
      <c r="T5419">
        <v>0</v>
      </c>
      <c r="U5419">
        <v>1</v>
      </c>
      <c r="V5419">
        <v>1</v>
      </c>
      <c r="W5419">
        <v>1</v>
      </c>
      <c r="X5419" s="21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/>
      <c r="AI5419"/>
      <c r="AJ5419" t="s">
        <v>54</v>
      </c>
      <c r="AK5419" t="s">
        <v>52</v>
      </c>
      <c r="AL5419" t="s">
        <v>1750</v>
      </c>
      <c r="AP5419" t="s">
        <v>116</v>
      </c>
    </row>
    <row r="5420" spans="1:42" s="6" customFormat="1">
      <c r="A5420" s="12">
        <v>43853</v>
      </c>
      <c r="B5420">
        <v>2</v>
      </c>
      <c r="C5420">
        <v>213</v>
      </c>
      <c r="D5420">
        <v>14469</v>
      </c>
      <c r="E5420" t="s">
        <v>112</v>
      </c>
      <c r="F5420" t="s">
        <v>104</v>
      </c>
      <c r="G5420">
        <v>2</v>
      </c>
      <c r="H5420">
        <v>144</v>
      </c>
      <c r="I5420" s="25" t="s">
        <v>1751</v>
      </c>
      <c r="J5420"/>
      <c r="K5420" t="s">
        <v>585</v>
      </c>
      <c r="L5420" t="s">
        <v>114</v>
      </c>
      <c r="M5420" t="s">
        <v>52</v>
      </c>
      <c r="N5420" t="s">
        <v>44</v>
      </c>
      <c r="O5420">
        <v>188</v>
      </c>
      <c r="P5420"/>
      <c r="Q5420">
        <f t="shared" si="77"/>
        <v>1</v>
      </c>
      <c r="R5420">
        <v>1</v>
      </c>
      <c r="S5420">
        <v>0</v>
      </c>
      <c r="T5420">
        <v>0</v>
      </c>
      <c r="U5420">
        <v>0</v>
      </c>
      <c r="V5420">
        <v>0</v>
      </c>
      <c r="W5420">
        <v>1</v>
      </c>
      <c r="X5420" s="21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/>
      <c r="AI5420"/>
      <c r="AJ5420" t="s">
        <v>51</v>
      </c>
      <c r="AK5420" t="s">
        <v>52</v>
      </c>
      <c r="AL5420" t="s">
        <v>1752</v>
      </c>
      <c r="AP5420" t="s">
        <v>116</v>
      </c>
    </row>
    <row r="5421" spans="1:42" s="6" customFormat="1">
      <c r="A5421" s="12">
        <v>43853</v>
      </c>
      <c r="B5421">
        <v>2</v>
      </c>
      <c r="C5421">
        <v>213</v>
      </c>
      <c r="D5421">
        <v>14469</v>
      </c>
      <c r="E5421" t="s">
        <v>112</v>
      </c>
      <c r="F5421" t="s">
        <v>104</v>
      </c>
      <c r="G5421">
        <v>2</v>
      </c>
      <c r="H5421">
        <v>145</v>
      </c>
      <c r="I5421" s="25">
        <v>2226</v>
      </c>
      <c r="J5421"/>
      <c r="K5421" t="s">
        <v>585</v>
      </c>
      <c r="L5421" t="s">
        <v>114</v>
      </c>
      <c r="M5421" t="s">
        <v>52</v>
      </c>
      <c r="N5421" t="s">
        <v>44</v>
      </c>
      <c r="O5421">
        <v>130</v>
      </c>
      <c r="P5421"/>
      <c r="Q5421">
        <f t="shared" si="77"/>
        <v>2</v>
      </c>
      <c r="R5421">
        <v>1</v>
      </c>
      <c r="S5421">
        <v>0</v>
      </c>
      <c r="T5421">
        <v>0</v>
      </c>
      <c r="U5421">
        <v>2</v>
      </c>
      <c r="V5421">
        <v>0</v>
      </c>
      <c r="W5421">
        <v>0</v>
      </c>
      <c r="X5421" s="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/>
      <c r="AI5421"/>
      <c r="AJ5421" t="s">
        <v>51</v>
      </c>
      <c r="AK5421" t="s">
        <v>52</v>
      </c>
      <c r="AL5421" t="s">
        <v>1753</v>
      </c>
      <c r="AP5421" t="s">
        <v>116</v>
      </c>
    </row>
    <row r="5422" spans="1:42" s="6" customFormat="1">
      <c r="A5422" s="12">
        <v>43853</v>
      </c>
      <c r="B5422">
        <v>2</v>
      </c>
      <c r="C5422">
        <v>213</v>
      </c>
      <c r="D5422">
        <v>14469</v>
      </c>
      <c r="E5422" t="s">
        <v>112</v>
      </c>
      <c r="F5422" t="s">
        <v>104</v>
      </c>
      <c r="G5422">
        <v>2</v>
      </c>
      <c r="H5422">
        <v>146</v>
      </c>
      <c r="I5422" s="25" t="s">
        <v>1754</v>
      </c>
      <c r="J5422"/>
      <c r="K5422" t="s">
        <v>585</v>
      </c>
      <c r="L5422" t="s">
        <v>114</v>
      </c>
      <c r="M5422" t="s">
        <v>52</v>
      </c>
      <c r="N5422" t="s">
        <v>44</v>
      </c>
      <c r="O5422">
        <v>132</v>
      </c>
      <c r="P5422"/>
      <c r="Q5422">
        <f t="shared" si="77"/>
        <v>2</v>
      </c>
      <c r="R5422">
        <v>1</v>
      </c>
      <c r="S5422">
        <v>0</v>
      </c>
      <c r="T5422">
        <v>0</v>
      </c>
      <c r="U5422">
        <v>1</v>
      </c>
      <c r="V5422">
        <v>1</v>
      </c>
      <c r="W5422">
        <v>0</v>
      </c>
      <c r="X5422" s="21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/>
      <c r="AI5422"/>
      <c r="AJ5422" t="s">
        <v>51</v>
      </c>
      <c r="AK5422" t="s">
        <v>52</v>
      </c>
      <c r="AL5422" t="s">
        <v>1755</v>
      </c>
      <c r="AP5422" t="s">
        <v>116</v>
      </c>
    </row>
    <row r="5423" spans="1:42" s="6" customFormat="1">
      <c r="A5423" s="12">
        <v>43853</v>
      </c>
      <c r="B5423">
        <v>2</v>
      </c>
      <c r="C5423">
        <v>213</v>
      </c>
      <c r="D5423">
        <v>14469</v>
      </c>
      <c r="E5423" t="s">
        <v>112</v>
      </c>
      <c r="F5423" t="s">
        <v>104</v>
      </c>
      <c r="G5423">
        <v>2</v>
      </c>
      <c r="H5423">
        <v>147</v>
      </c>
      <c r="I5423" s="25">
        <v>2244</v>
      </c>
      <c r="J5423"/>
      <c r="K5423" t="s">
        <v>585</v>
      </c>
      <c r="L5423" t="s">
        <v>114</v>
      </c>
      <c r="M5423" t="s">
        <v>52</v>
      </c>
      <c r="N5423" t="s">
        <v>40</v>
      </c>
      <c r="O5423">
        <v>81</v>
      </c>
      <c r="P5423"/>
      <c r="Q5423">
        <f t="shared" si="77"/>
        <v>2</v>
      </c>
      <c r="R5423">
        <v>1</v>
      </c>
      <c r="S5423">
        <v>0</v>
      </c>
      <c r="T5423">
        <v>0</v>
      </c>
      <c r="U5423">
        <v>1</v>
      </c>
      <c r="V5423">
        <v>0</v>
      </c>
      <c r="W5423">
        <v>1</v>
      </c>
      <c r="X5423" s="21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/>
      <c r="AI5423"/>
      <c r="AJ5423" t="s">
        <v>51</v>
      </c>
      <c r="AK5423" t="s">
        <v>52</v>
      </c>
      <c r="AL5423" t="s">
        <v>1756</v>
      </c>
      <c r="AP5423" t="s">
        <v>116</v>
      </c>
    </row>
    <row r="5424" spans="1:42" s="6" customFormat="1">
      <c r="A5424" s="12">
        <v>43853</v>
      </c>
      <c r="B5424">
        <v>2</v>
      </c>
      <c r="C5424">
        <v>213</v>
      </c>
      <c r="D5424">
        <v>14469</v>
      </c>
      <c r="E5424" t="s">
        <v>112</v>
      </c>
      <c r="F5424" t="s">
        <v>104</v>
      </c>
      <c r="G5424">
        <v>2</v>
      </c>
      <c r="H5424">
        <v>148</v>
      </c>
      <c r="I5424" s="25">
        <v>2250</v>
      </c>
      <c r="J5424"/>
      <c r="K5424" t="s">
        <v>585</v>
      </c>
      <c r="L5424" t="s">
        <v>114</v>
      </c>
      <c r="M5424" t="s">
        <v>52</v>
      </c>
      <c r="N5424" t="s">
        <v>40</v>
      </c>
      <c r="O5424">
        <v>35</v>
      </c>
      <c r="P5424"/>
      <c r="Q5424">
        <f t="shared" si="77"/>
        <v>2</v>
      </c>
      <c r="R5424">
        <v>1</v>
      </c>
      <c r="S5424">
        <v>0</v>
      </c>
      <c r="T5424">
        <v>0</v>
      </c>
      <c r="U5424">
        <v>1</v>
      </c>
      <c r="V5424">
        <v>1</v>
      </c>
      <c r="W5424">
        <v>0</v>
      </c>
      <c r="X5424" s="21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/>
      <c r="AI5424"/>
      <c r="AJ5424" t="s">
        <v>51</v>
      </c>
      <c r="AK5424" t="s">
        <v>52</v>
      </c>
      <c r="AL5424"/>
      <c r="AP5424" t="s">
        <v>116</v>
      </c>
    </row>
    <row r="5425" spans="1:42" s="6" customFormat="1">
      <c r="A5425" s="12">
        <v>43853</v>
      </c>
      <c r="B5425">
        <v>2</v>
      </c>
      <c r="C5425">
        <v>213</v>
      </c>
      <c r="D5425">
        <v>14469</v>
      </c>
      <c r="E5425" t="s">
        <v>112</v>
      </c>
      <c r="F5425" t="s">
        <v>104</v>
      </c>
      <c r="G5425">
        <v>2</v>
      </c>
      <c r="H5425">
        <v>149</v>
      </c>
      <c r="I5425" s="25">
        <v>2260</v>
      </c>
      <c r="J5425"/>
      <c r="K5425" t="s">
        <v>585</v>
      </c>
      <c r="L5425" t="s">
        <v>114</v>
      </c>
      <c r="M5425" t="s">
        <v>52</v>
      </c>
      <c r="N5425" t="s">
        <v>44</v>
      </c>
      <c r="O5425">
        <v>89</v>
      </c>
      <c r="P5425"/>
      <c r="Q5425">
        <f t="shared" si="77"/>
        <v>2</v>
      </c>
      <c r="R5425">
        <v>1</v>
      </c>
      <c r="S5425">
        <v>0</v>
      </c>
      <c r="T5425">
        <v>0</v>
      </c>
      <c r="U5425">
        <v>0</v>
      </c>
      <c r="V5425">
        <v>2</v>
      </c>
      <c r="W5425">
        <v>0</v>
      </c>
      <c r="X5425" s="21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/>
      <c r="AI5425"/>
      <c r="AJ5425" t="s">
        <v>51</v>
      </c>
      <c r="AK5425" t="s">
        <v>52</v>
      </c>
      <c r="AL5425" t="s">
        <v>261</v>
      </c>
      <c r="AP5425" t="s">
        <v>116</v>
      </c>
    </row>
    <row r="5426" spans="1:42" s="6" customFormat="1">
      <c r="A5426" s="12">
        <v>43853</v>
      </c>
      <c r="B5426">
        <v>2</v>
      </c>
      <c r="C5426">
        <v>213</v>
      </c>
      <c r="D5426">
        <v>14469</v>
      </c>
      <c r="E5426" t="s">
        <v>112</v>
      </c>
      <c r="F5426" t="s">
        <v>104</v>
      </c>
      <c r="G5426">
        <v>2</v>
      </c>
      <c r="H5426">
        <v>150</v>
      </c>
      <c r="I5426" s="25">
        <v>2266</v>
      </c>
      <c r="J5426"/>
      <c r="K5426" t="s">
        <v>585</v>
      </c>
      <c r="L5426" t="s">
        <v>114</v>
      </c>
      <c r="M5426" t="s">
        <v>52</v>
      </c>
      <c r="N5426" t="s">
        <v>40</v>
      </c>
      <c r="O5426">
        <v>46</v>
      </c>
      <c r="P5426"/>
      <c r="Q5426">
        <f t="shared" si="77"/>
        <v>2</v>
      </c>
      <c r="R5426">
        <v>1</v>
      </c>
      <c r="S5426">
        <v>0</v>
      </c>
      <c r="T5426">
        <v>0</v>
      </c>
      <c r="U5426">
        <v>1</v>
      </c>
      <c r="V5426">
        <v>1</v>
      </c>
      <c r="W5426">
        <v>0</v>
      </c>
      <c r="X5426" s="21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/>
      <c r="AI5426"/>
      <c r="AJ5426" t="s">
        <v>51</v>
      </c>
      <c r="AK5426" t="s">
        <v>52</v>
      </c>
      <c r="AL5426"/>
      <c r="AP5426" t="s">
        <v>116</v>
      </c>
    </row>
    <row r="5427" spans="1:42" s="6" customFormat="1">
      <c r="A5427" s="12">
        <v>43853</v>
      </c>
      <c r="B5427">
        <v>2</v>
      </c>
      <c r="C5427">
        <v>213</v>
      </c>
      <c r="D5427">
        <v>14469</v>
      </c>
      <c r="E5427" t="s">
        <v>112</v>
      </c>
      <c r="F5427" t="s">
        <v>104</v>
      </c>
      <c r="G5427">
        <v>2</v>
      </c>
      <c r="H5427">
        <v>151</v>
      </c>
      <c r="I5427" s="25" t="s">
        <v>1757</v>
      </c>
      <c r="J5427"/>
      <c r="K5427" t="s">
        <v>585</v>
      </c>
      <c r="L5427" t="s">
        <v>114</v>
      </c>
      <c r="M5427" t="s">
        <v>52</v>
      </c>
      <c r="N5427" t="s">
        <v>44</v>
      </c>
      <c r="O5427">
        <v>126</v>
      </c>
      <c r="P5427"/>
      <c r="Q5427">
        <f t="shared" si="77"/>
        <v>2</v>
      </c>
      <c r="R5427">
        <v>1</v>
      </c>
      <c r="S5427">
        <v>0</v>
      </c>
      <c r="T5427">
        <v>0</v>
      </c>
      <c r="U5427">
        <v>2</v>
      </c>
      <c r="V5427">
        <v>0</v>
      </c>
      <c r="W5427">
        <v>0</v>
      </c>
      <c r="X5427" s="21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/>
      <c r="AI5427"/>
      <c r="AJ5427" t="s">
        <v>51</v>
      </c>
      <c r="AK5427" t="s">
        <v>52</v>
      </c>
      <c r="AL5427" t="s">
        <v>1758</v>
      </c>
      <c r="AP5427" t="s">
        <v>116</v>
      </c>
    </row>
    <row r="5428" spans="1:42" s="6" customFormat="1">
      <c r="A5428" s="12">
        <v>43853</v>
      </c>
      <c r="B5428">
        <v>2</v>
      </c>
      <c r="C5428">
        <v>213</v>
      </c>
      <c r="D5428">
        <v>14469</v>
      </c>
      <c r="E5428" t="s">
        <v>112</v>
      </c>
      <c r="F5428" t="s">
        <v>104</v>
      </c>
      <c r="G5428">
        <v>2</v>
      </c>
      <c r="H5428">
        <v>152</v>
      </c>
      <c r="I5428" s="25" t="s">
        <v>1759</v>
      </c>
      <c r="J5428"/>
      <c r="K5428" t="s">
        <v>585</v>
      </c>
      <c r="L5428" t="s">
        <v>114</v>
      </c>
      <c r="M5428" t="s">
        <v>52</v>
      </c>
      <c r="N5428" t="s">
        <v>44</v>
      </c>
      <c r="O5428">
        <v>350</v>
      </c>
      <c r="P5428"/>
      <c r="Q5428">
        <f t="shared" si="77"/>
        <v>3</v>
      </c>
      <c r="R5428">
        <v>1</v>
      </c>
      <c r="S5428">
        <v>0</v>
      </c>
      <c r="T5428">
        <v>0</v>
      </c>
      <c r="U5428">
        <v>1</v>
      </c>
      <c r="V5428">
        <v>1</v>
      </c>
      <c r="W5428">
        <v>1</v>
      </c>
      <c r="X5428" s="21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/>
      <c r="AI5428"/>
      <c r="AJ5428" t="s">
        <v>54</v>
      </c>
      <c r="AK5428" t="s">
        <v>52</v>
      </c>
      <c r="AL5428" t="s">
        <v>1760</v>
      </c>
      <c r="AP5428" t="s">
        <v>116</v>
      </c>
    </row>
    <row r="5429" spans="1:42" s="6" customFormat="1">
      <c r="A5429" s="12">
        <v>43853</v>
      </c>
      <c r="B5429">
        <v>2</v>
      </c>
      <c r="C5429">
        <v>213</v>
      </c>
      <c r="D5429">
        <v>14469</v>
      </c>
      <c r="E5429" t="s">
        <v>112</v>
      </c>
      <c r="F5429" t="s">
        <v>104</v>
      </c>
      <c r="G5429">
        <v>2</v>
      </c>
      <c r="H5429">
        <v>153</v>
      </c>
      <c r="I5429" s="25">
        <v>2365</v>
      </c>
      <c r="J5429"/>
      <c r="K5429" t="s">
        <v>585</v>
      </c>
      <c r="L5429" t="s">
        <v>141</v>
      </c>
      <c r="M5429" t="s">
        <v>95</v>
      </c>
      <c r="N5429" t="s">
        <v>40</v>
      </c>
      <c r="O5429">
        <v>57</v>
      </c>
      <c r="P5429"/>
      <c r="Q5429">
        <f t="shared" si="77"/>
        <v>2</v>
      </c>
      <c r="R5429">
        <v>1</v>
      </c>
      <c r="S5429">
        <v>0</v>
      </c>
      <c r="T5429">
        <v>0</v>
      </c>
      <c r="U5429">
        <v>2</v>
      </c>
      <c r="V5429">
        <v>0</v>
      </c>
      <c r="W5429">
        <v>0</v>
      </c>
      <c r="X5429" s="21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/>
      <c r="AI5429"/>
      <c r="AJ5429" t="s">
        <v>54</v>
      </c>
      <c r="AK5429" t="s">
        <v>52</v>
      </c>
      <c r="AL5429"/>
      <c r="AP5429" t="s">
        <v>116</v>
      </c>
    </row>
    <row r="5430" spans="1:42" s="6" customFormat="1">
      <c r="A5430" s="12">
        <v>43853</v>
      </c>
      <c r="B5430">
        <v>2</v>
      </c>
      <c r="C5430">
        <v>213</v>
      </c>
      <c r="D5430">
        <v>14469</v>
      </c>
      <c r="E5430" t="s">
        <v>112</v>
      </c>
      <c r="F5430" t="s">
        <v>104</v>
      </c>
      <c r="G5430">
        <v>2</v>
      </c>
      <c r="H5430">
        <v>154</v>
      </c>
      <c r="I5430" s="25">
        <v>2395</v>
      </c>
      <c r="J5430"/>
      <c r="K5430" t="s">
        <v>585</v>
      </c>
      <c r="L5430" t="s">
        <v>141</v>
      </c>
      <c r="M5430" t="s">
        <v>95</v>
      </c>
      <c r="N5430" t="s">
        <v>40</v>
      </c>
      <c r="O5430">
        <v>42</v>
      </c>
      <c r="P5430"/>
      <c r="Q5430">
        <f t="shared" si="77"/>
        <v>2</v>
      </c>
      <c r="R5430">
        <v>1</v>
      </c>
      <c r="S5430">
        <v>0</v>
      </c>
      <c r="T5430">
        <v>0</v>
      </c>
      <c r="U5430">
        <v>2</v>
      </c>
      <c r="V5430">
        <v>0</v>
      </c>
      <c r="W5430">
        <v>0</v>
      </c>
      <c r="X5430" s="21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/>
      <c r="AI5430"/>
      <c r="AJ5430" t="s">
        <v>54</v>
      </c>
      <c r="AK5430" t="s">
        <v>52</v>
      </c>
      <c r="AL5430"/>
      <c r="AP5430" t="s">
        <v>116</v>
      </c>
    </row>
    <row r="5431" spans="1:42" s="6" customFormat="1">
      <c r="A5431" s="12">
        <v>43853</v>
      </c>
      <c r="B5431">
        <v>2</v>
      </c>
      <c r="C5431">
        <v>213</v>
      </c>
      <c r="D5431">
        <v>14469</v>
      </c>
      <c r="E5431" t="s">
        <v>112</v>
      </c>
      <c r="F5431" t="s">
        <v>104</v>
      </c>
      <c r="G5431">
        <v>2</v>
      </c>
      <c r="H5431">
        <v>155</v>
      </c>
      <c r="I5431" s="25">
        <v>2295</v>
      </c>
      <c r="J5431"/>
      <c r="K5431" t="s">
        <v>585</v>
      </c>
      <c r="L5431" t="s">
        <v>141</v>
      </c>
      <c r="M5431" t="s">
        <v>52</v>
      </c>
      <c r="N5431" t="s">
        <v>44</v>
      </c>
      <c r="O5431">
        <v>200</v>
      </c>
      <c r="P5431"/>
      <c r="Q5431">
        <f t="shared" si="77"/>
        <v>2</v>
      </c>
      <c r="R5431">
        <v>1</v>
      </c>
      <c r="S5431">
        <v>0</v>
      </c>
      <c r="T5431">
        <v>0</v>
      </c>
      <c r="U5431">
        <v>0</v>
      </c>
      <c r="V5431">
        <v>1</v>
      </c>
      <c r="W5431">
        <v>1</v>
      </c>
      <c r="X5431" s="2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/>
      <c r="AI5431"/>
      <c r="AJ5431" t="s">
        <v>54</v>
      </c>
      <c r="AK5431" t="s">
        <v>95</v>
      </c>
      <c r="AL5431" t="s">
        <v>1761</v>
      </c>
      <c r="AP5431" t="s">
        <v>116</v>
      </c>
    </row>
    <row r="5432" spans="1:42" s="6" customFormat="1">
      <c r="A5432" s="12">
        <v>43853</v>
      </c>
      <c r="B5432">
        <v>2</v>
      </c>
      <c r="C5432">
        <v>213</v>
      </c>
      <c r="D5432">
        <v>14469</v>
      </c>
      <c r="E5432" t="s">
        <v>112</v>
      </c>
      <c r="F5432" t="s">
        <v>104</v>
      </c>
      <c r="G5432">
        <v>2</v>
      </c>
      <c r="H5432">
        <v>156</v>
      </c>
      <c r="I5432" s="25">
        <v>2067</v>
      </c>
      <c r="J5432"/>
      <c r="K5432" t="s">
        <v>119</v>
      </c>
      <c r="L5432" t="s">
        <v>141</v>
      </c>
      <c r="M5432" t="s">
        <v>52</v>
      </c>
      <c r="N5432" t="s">
        <v>40</v>
      </c>
      <c r="O5432">
        <v>75</v>
      </c>
      <c r="P5432"/>
      <c r="Q5432">
        <f t="shared" si="77"/>
        <v>2</v>
      </c>
      <c r="R5432">
        <v>1</v>
      </c>
      <c r="S5432">
        <v>0</v>
      </c>
      <c r="T5432">
        <v>0</v>
      </c>
      <c r="U5432">
        <v>2</v>
      </c>
      <c r="V5432">
        <v>0</v>
      </c>
      <c r="W5432">
        <v>0</v>
      </c>
      <c r="X5432" s="21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/>
      <c r="AI5432"/>
      <c r="AJ5432" t="s">
        <v>51</v>
      </c>
      <c r="AK5432" t="s">
        <v>95</v>
      </c>
      <c r="AL5432"/>
      <c r="AP5432" t="s">
        <v>116</v>
      </c>
    </row>
    <row r="5433" spans="1:42" s="6" customFormat="1">
      <c r="A5433" s="12">
        <v>43853</v>
      </c>
      <c r="B5433">
        <v>2</v>
      </c>
      <c r="C5433">
        <v>213</v>
      </c>
      <c r="D5433">
        <v>14469</v>
      </c>
      <c r="E5433" t="s">
        <v>112</v>
      </c>
      <c r="F5433" t="s">
        <v>104</v>
      </c>
      <c r="G5433">
        <v>2</v>
      </c>
      <c r="H5433">
        <v>157</v>
      </c>
      <c r="I5433" s="25">
        <v>2081</v>
      </c>
      <c r="J5433"/>
      <c r="K5433" t="s">
        <v>119</v>
      </c>
      <c r="L5433" t="s">
        <v>141</v>
      </c>
      <c r="M5433" t="s">
        <v>52</v>
      </c>
      <c r="N5433" t="s">
        <v>44</v>
      </c>
      <c r="O5433">
        <v>138</v>
      </c>
      <c r="P5433"/>
      <c r="Q5433">
        <f t="shared" si="77"/>
        <v>2</v>
      </c>
      <c r="R5433">
        <v>1</v>
      </c>
      <c r="S5433">
        <v>0</v>
      </c>
      <c r="T5433">
        <v>0</v>
      </c>
      <c r="U5433">
        <v>1</v>
      </c>
      <c r="V5433">
        <v>0</v>
      </c>
      <c r="W5433">
        <v>1</v>
      </c>
      <c r="X5433" s="21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/>
      <c r="AI5433"/>
      <c r="AJ5433" t="s">
        <v>51</v>
      </c>
      <c r="AK5433" t="s">
        <v>95</v>
      </c>
      <c r="AL5433" t="s">
        <v>1762</v>
      </c>
      <c r="AP5433" t="s">
        <v>116</v>
      </c>
    </row>
    <row r="5434" spans="1:42" s="6" customFormat="1">
      <c r="A5434" s="12">
        <v>43853</v>
      </c>
      <c r="B5434">
        <v>2</v>
      </c>
      <c r="C5434">
        <v>213</v>
      </c>
      <c r="D5434">
        <v>14469</v>
      </c>
      <c r="E5434" t="s">
        <v>112</v>
      </c>
      <c r="F5434" t="s">
        <v>104</v>
      </c>
      <c r="G5434">
        <v>2</v>
      </c>
      <c r="H5434">
        <v>158</v>
      </c>
      <c r="I5434" s="25" t="s">
        <v>1763</v>
      </c>
      <c r="J5434"/>
      <c r="K5434" t="s">
        <v>119</v>
      </c>
      <c r="L5434" t="s">
        <v>141</v>
      </c>
      <c r="M5434" t="s">
        <v>52</v>
      </c>
      <c r="N5434" t="s">
        <v>40</v>
      </c>
      <c r="O5434">
        <v>104</v>
      </c>
      <c r="P5434"/>
      <c r="Q5434">
        <f t="shared" si="77"/>
        <v>5</v>
      </c>
      <c r="R5434">
        <v>1</v>
      </c>
      <c r="S5434">
        <v>0</v>
      </c>
      <c r="T5434">
        <v>0</v>
      </c>
      <c r="U5434">
        <v>3</v>
      </c>
      <c r="V5434">
        <v>2</v>
      </c>
      <c r="W5434">
        <v>0</v>
      </c>
      <c r="X5434" s="21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/>
      <c r="AI5434"/>
      <c r="AJ5434" t="s">
        <v>51</v>
      </c>
      <c r="AK5434" t="s">
        <v>52</v>
      </c>
      <c r="AL5434" t="s">
        <v>1764</v>
      </c>
      <c r="AP5434" t="s">
        <v>116</v>
      </c>
    </row>
    <row r="5435" spans="1:42" s="6" customFormat="1">
      <c r="A5435" s="12">
        <v>43853</v>
      </c>
      <c r="B5435">
        <v>2</v>
      </c>
      <c r="C5435">
        <v>213</v>
      </c>
      <c r="D5435">
        <v>14469</v>
      </c>
      <c r="E5435" t="s">
        <v>112</v>
      </c>
      <c r="F5435" t="s">
        <v>104</v>
      </c>
      <c r="G5435">
        <v>2</v>
      </c>
      <c r="H5435">
        <v>159</v>
      </c>
      <c r="I5435" s="25" t="s">
        <v>1765</v>
      </c>
      <c r="J5435"/>
      <c r="K5435" t="s">
        <v>119</v>
      </c>
      <c r="L5435" t="s">
        <v>141</v>
      </c>
      <c r="M5435" t="s">
        <v>52</v>
      </c>
      <c r="N5435" t="s">
        <v>44</v>
      </c>
      <c r="O5435">
        <v>93</v>
      </c>
      <c r="P5435"/>
      <c r="Q5435">
        <f t="shared" si="77"/>
        <v>1</v>
      </c>
      <c r="R5435">
        <v>1</v>
      </c>
      <c r="S5435">
        <v>0</v>
      </c>
      <c r="T5435">
        <v>0</v>
      </c>
      <c r="U5435">
        <v>0</v>
      </c>
      <c r="V5435">
        <v>0</v>
      </c>
      <c r="W5435">
        <v>1</v>
      </c>
      <c r="X5435" s="21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/>
      <c r="AI5435"/>
      <c r="AJ5435" t="s">
        <v>51</v>
      </c>
      <c r="AK5435" t="s">
        <v>52</v>
      </c>
      <c r="AL5435" t="s">
        <v>1766</v>
      </c>
      <c r="AP5435" t="s">
        <v>116</v>
      </c>
    </row>
    <row r="5436" spans="1:42" s="6" customFormat="1">
      <c r="A5436" s="12">
        <v>43853</v>
      </c>
      <c r="B5436">
        <v>2</v>
      </c>
      <c r="C5436">
        <v>213</v>
      </c>
      <c r="D5436">
        <v>14469</v>
      </c>
      <c r="E5436" t="s">
        <v>112</v>
      </c>
      <c r="F5436" t="s">
        <v>104</v>
      </c>
      <c r="G5436">
        <v>2</v>
      </c>
      <c r="H5436">
        <v>160</v>
      </c>
      <c r="I5436" s="25" t="s">
        <v>1767</v>
      </c>
      <c r="J5436"/>
      <c r="K5436" t="s">
        <v>119</v>
      </c>
      <c r="L5436" t="s">
        <v>141</v>
      </c>
      <c r="M5436" t="s">
        <v>52</v>
      </c>
      <c r="N5436" t="s">
        <v>44</v>
      </c>
      <c r="O5436">
        <v>111</v>
      </c>
      <c r="P5436"/>
      <c r="Q5436">
        <f t="shared" si="77"/>
        <v>1</v>
      </c>
      <c r="R5436">
        <v>1</v>
      </c>
      <c r="S5436">
        <v>0</v>
      </c>
      <c r="T5436">
        <v>0</v>
      </c>
      <c r="U5436">
        <v>0</v>
      </c>
      <c r="V5436">
        <v>0</v>
      </c>
      <c r="W5436">
        <v>1</v>
      </c>
      <c r="X5436" s="21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/>
      <c r="AI5436"/>
      <c r="AJ5436" t="s">
        <v>51</v>
      </c>
      <c r="AK5436" t="s">
        <v>52</v>
      </c>
      <c r="AL5436" t="s">
        <v>1766</v>
      </c>
      <c r="AP5436" t="s">
        <v>116</v>
      </c>
    </row>
    <row r="5437" spans="1:42" s="6" customFormat="1">
      <c r="A5437" s="12">
        <v>43853</v>
      </c>
      <c r="B5437">
        <v>2</v>
      </c>
      <c r="C5437">
        <v>213</v>
      </c>
      <c r="D5437">
        <v>14469</v>
      </c>
      <c r="E5437" t="s">
        <v>112</v>
      </c>
      <c r="F5437" t="s">
        <v>104</v>
      </c>
      <c r="G5437">
        <v>2</v>
      </c>
      <c r="H5437">
        <v>161</v>
      </c>
      <c r="I5437" s="25" t="s">
        <v>1768</v>
      </c>
      <c r="J5437"/>
      <c r="K5437" t="s">
        <v>119</v>
      </c>
      <c r="L5437" t="s">
        <v>141</v>
      </c>
      <c r="M5437" t="s">
        <v>52</v>
      </c>
      <c r="N5437" t="s">
        <v>40</v>
      </c>
      <c r="O5437">
        <v>76</v>
      </c>
      <c r="P5437"/>
      <c r="Q5437">
        <f t="shared" si="77"/>
        <v>3</v>
      </c>
      <c r="R5437">
        <v>1</v>
      </c>
      <c r="S5437">
        <v>0</v>
      </c>
      <c r="T5437">
        <v>0</v>
      </c>
      <c r="U5437">
        <v>0</v>
      </c>
      <c r="V5437">
        <v>2</v>
      </c>
      <c r="W5437">
        <v>1</v>
      </c>
      <c r="X5437" s="21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/>
      <c r="AI5437"/>
      <c r="AJ5437" t="s">
        <v>51</v>
      </c>
      <c r="AK5437" t="s">
        <v>52</v>
      </c>
      <c r="AL5437"/>
      <c r="AP5437" t="s">
        <v>116</v>
      </c>
    </row>
    <row r="5438" spans="1:42" s="6" customFormat="1">
      <c r="A5438" s="12">
        <v>43853</v>
      </c>
      <c r="B5438">
        <v>2</v>
      </c>
      <c r="C5438">
        <v>213</v>
      </c>
      <c r="D5438">
        <v>14469</v>
      </c>
      <c r="E5438" t="s">
        <v>112</v>
      </c>
      <c r="F5438" t="s">
        <v>104</v>
      </c>
      <c r="G5438">
        <v>2</v>
      </c>
      <c r="H5438">
        <v>162</v>
      </c>
      <c r="I5438" s="25">
        <v>2821</v>
      </c>
      <c r="J5438"/>
      <c r="K5438" t="s">
        <v>596</v>
      </c>
      <c r="L5438" t="s">
        <v>141</v>
      </c>
      <c r="M5438" t="s">
        <v>52</v>
      </c>
      <c r="N5438" t="s">
        <v>44</v>
      </c>
      <c r="O5438">
        <v>183</v>
      </c>
      <c r="P5438"/>
      <c r="Q5438">
        <f t="shared" si="77"/>
        <v>2</v>
      </c>
      <c r="R5438">
        <v>1</v>
      </c>
      <c r="S5438">
        <v>0</v>
      </c>
      <c r="T5438">
        <v>0</v>
      </c>
      <c r="U5438">
        <v>1</v>
      </c>
      <c r="V5438">
        <v>1</v>
      </c>
      <c r="W5438">
        <v>0</v>
      </c>
      <c r="X5438" s="21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/>
      <c r="AI5438"/>
      <c r="AJ5438" t="s">
        <v>51</v>
      </c>
      <c r="AK5438" t="s">
        <v>52</v>
      </c>
      <c r="AL5438" t="s">
        <v>1769</v>
      </c>
      <c r="AP5438" t="s">
        <v>116</v>
      </c>
    </row>
    <row r="5439" spans="1:42" s="6" customFormat="1">
      <c r="A5439" s="12">
        <v>43853</v>
      </c>
      <c r="B5439">
        <v>2</v>
      </c>
      <c r="C5439">
        <v>213</v>
      </c>
      <c r="D5439">
        <v>14469</v>
      </c>
      <c r="E5439" t="s">
        <v>112</v>
      </c>
      <c r="F5439" t="s">
        <v>104</v>
      </c>
      <c r="G5439">
        <v>2</v>
      </c>
      <c r="H5439">
        <v>163</v>
      </c>
      <c r="I5439" s="25"/>
      <c r="J5439"/>
      <c r="K5439" t="s">
        <v>1770</v>
      </c>
      <c r="L5439" t="s">
        <v>141</v>
      </c>
      <c r="M5439" t="s">
        <v>52</v>
      </c>
      <c r="N5439" t="s">
        <v>40</v>
      </c>
      <c r="O5439">
        <v>49</v>
      </c>
      <c r="P5439"/>
      <c r="Q5439">
        <f t="shared" si="77"/>
        <v>1</v>
      </c>
      <c r="R5439">
        <v>1</v>
      </c>
      <c r="S5439">
        <v>0</v>
      </c>
      <c r="T5439">
        <v>0</v>
      </c>
      <c r="U5439">
        <v>1</v>
      </c>
      <c r="V5439">
        <v>0</v>
      </c>
      <c r="W5439">
        <v>0</v>
      </c>
      <c r="X5439" s="21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/>
      <c r="AI5439"/>
      <c r="AJ5439" t="s">
        <v>51</v>
      </c>
      <c r="AK5439" t="s">
        <v>52</v>
      </c>
      <c r="AL5439" t="s">
        <v>1771</v>
      </c>
      <c r="AP5439" t="s">
        <v>116</v>
      </c>
    </row>
    <row r="5440" spans="1:42" s="6" customFormat="1">
      <c r="A5440" s="12">
        <v>43853</v>
      </c>
      <c r="B5440">
        <v>2</v>
      </c>
      <c r="C5440">
        <v>213</v>
      </c>
      <c r="D5440">
        <v>14469</v>
      </c>
      <c r="E5440" t="s">
        <v>112</v>
      </c>
      <c r="F5440" t="s">
        <v>104</v>
      </c>
      <c r="G5440">
        <v>2</v>
      </c>
      <c r="H5440">
        <v>164</v>
      </c>
      <c r="I5440" s="25" t="s">
        <v>1772</v>
      </c>
      <c r="J5440"/>
      <c r="K5440" t="s">
        <v>605</v>
      </c>
      <c r="L5440" t="s">
        <v>114</v>
      </c>
      <c r="M5440" t="s">
        <v>52</v>
      </c>
      <c r="N5440" t="s">
        <v>40</v>
      </c>
      <c r="O5440">
        <v>91</v>
      </c>
      <c r="P5440"/>
      <c r="Q5440">
        <f t="shared" si="77"/>
        <v>4</v>
      </c>
      <c r="R5440">
        <v>1</v>
      </c>
      <c r="S5440">
        <v>0</v>
      </c>
      <c r="T5440">
        <v>1</v>
      </c>
      <c r="U5440">
        <v>1</v>
      </c>
      <c r="V5440">
        <v>2</v>
      </c>
      <c r="W5440">
        <v>0</v>
      </c>
      <c r="X5440" s="21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/>
      <c r="AI5440"/>
      <c r="AJ5440" t="s">
        <v>51</v>
      </c>
      <c r="AK5440" t="s">
        <v>52</v>
      </c>
      <c r="AL5440"/>
      <c r="AP5440" t="s">
        <v>116</v>
      </c>
    </row>
    <row r="5441" spans="1:42" s="6" customFormat="1">
      <c r="A5441" s="12">
        <v>43853</v>
      </c>
      <c r="B5441">
        <v>2</v>
      </c>
      <c r="C5441">
        <v>213</v>
      </c>
      <c r="D5441">
        <v>14469</v>
      </c>
      <c r="E5441" t="s">
        <v>112</v>
      </c>
      <c r="F5441" t="s">
        <v>104</v>
      </c>
      <c r="G5441">
        <v>2</v>
      </c>
      <c r="H5441">
        <v>165</v>
      </c>
      <c r="I5441" s="25" t="s">
        <v>1773</v>
      </c>
      <c r="J5441"/>
      <c r="K5441" t="s">
        <v>605</v>
      </c>
      <c r="L5441" t="s">
        <v>114</v>
      </c>
      <c r="M5441" t="s">
        <v>52</v>
      </c>
      <c r="N5441" t="s">
        <v>40</v>
      </c>
      <c r="O5441">
        <v>46</v>
      </c>
      <c r="P5441"/>
      <c r="Q5441">
        <f t="shared" si="77"/>
        <v>2</v>
      </c>
      <c r="R5441">
        <v>1</v>
      </c>
      <c r="S5441">
        <v>0</v>
      </c>
      <c r="T5441">
        <v>0</v>
      </c>
      <c r="U5441">
        <v>0</v>
      </c>
      <c r="V5441">
        <v>2</v>
      </c>
      <c r="W5441">
        <v>0</v>
      </c>
      <c r="X5441" s="2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/>
      <c r="AI5441"/>
      <c r="AJ5441" t="s">
        <v>51</v>
      </c>
      <c r="AK5441" t="s">
        <v>52</v>
      </c>
      <c r="AL5441"/>
      <c r="AP5441" t="s">
        <v>116</v>
      </c>
    </row>
    <row r="5442" spans="1:42" s="6" customFormat="1">
      <c r="A5442" s="12">
        <v>43853</v>
      </c>
      <c r="B5442">
        <v>2</v>
      </c>
      <c r="C5442">
        <v>213</v>
      </c>
      <c r="D5442">
        <v>14469</v>
      </c>
      <c r="E5442" t="s">
        <v>112</v>
      </c>
      <c r="F5442" t="s">
        <v>104</v>
      </c>
      <c r="G5442">
        <v>2</v>
      </c>
      <c r="H5442">
        <v>166</v>
      </c>
      <c r="I5442" s="25">
        <v>2280</v>
      </c>
      <c r="J5442"/>
      <c r="K5442" t="s">
        <v>605</v>
      </c>
      <c r="L5442" t="s">
        <v>114</v>
      </c>
      <c r="M5442" t="s">
        <v>52</v>
      </c>
      <c r="N5442" t="s">
        <v>44</v>
      </c>
      <c r="O5442">
        <v>203</v>
      </c>
      <c r="P5442"/>
      <c r="Q5442">
        <f t="shared" si="77"/>
        <v>4</v>
      </c>
      <c r="R5442">
        <v>1</v>
      </c>
      <c r="S5442">
        <v>0</v>
      </c>
      <c r="T5442">
        <v>0</v>
      </c>
      <c r="U5442">
        <v>0</v>
      </c>
      <c r="V5442">
        <v>1</v>
      </c>
      <c r="W5442">
        <v>3</v>
      </c>
      <c r="X5442" s="21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/>
      <c r="AI5442"/>
      <c r="AJ5442" t="s">
        <v>51</v>
      </c>
      <c r="AK5442" t="s">
        <v>52</v>
      </c>
      <c r="AL5442" t="s">
        <v>1774</v>
      </c>
      <c r="AP5442" t="s">
        <v>116</v>
      </c>
    </row>
    <row r="5443" spans="1:42" s="6" customFormat="1">
      <c r="A5443" s="12">
        <v>43853</v>
      </c>
      <c r="B5443">
        <v>2</v>
      </c>
      <c r="C5443">
        <v>213</v>
      </c>
      <c r="D5443">
        <v>14469</v>
      </c>
      <c r="E5443" t="s">
        <v>112</v>
      </c>
      <c r="F5443" t="s">
        <v>104</v>
      </c>
      <c r="G5443">
        <v>2</v>
      </c>
      <c r="H5443">
        <v>167</v>
      </c>
      <c r="I5443" s="25">
        <v>2312</v>
      </c>
      <c r="J5443"/>
      <c r="K5443" t="s">
        <v>605</v>
      </c>
      <c r="L5443" t="s">
        <v>114</v>
      </c>
      <c r="M5443" t="s">
        <v>52</v>
      </c>
      <c r="N5443" t="s">
        <v>40</v>
      </c>
      <c r="O5443">
        <v>30</v>
      </c>
      <c r="P5443"/>
      <c r="Q5443">
        <f t="shared" si="77"/>
        <v>2</v>
      </c>
      <c r="R5443">
        <v>1</v>
      </c>
      <c r="S5443">
        <v>0</v>
      </c>
      <c r="T5443">
        <v>0</v>
      </c>
      <c r="U5443">
        <v>0</v>
      </c>
      <c r="V5443">
        <v>2</v>
      </c>
      <c r="W5443">
        <v>0</v>
      </c>
      <c r="X5443" s="21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/>
      <c r="AI5443"/>
      <c r="AJ5443" t="s">
        <v>51</v>
      </c>
      <c r="AK5443" t="s">
        <v>52</v>
      </c>
      <c r="AL5443"/>
      <c r="AP5443" t="s">
        <v>116</v>
      </c>
    </row>
    <row r="5444" spans="1:42" s="6" customFormat="1">
      <c r="A5444" s="12">
        <v>43853</v>
      </c>
      <c r="B5444">
        <v>2</v>
      </c>
      <c r="C5444">
        <v>213</v>
      </c>
      <c r="D5444">
        <v>14469</v>
      </c>
      <c r="E5444" t="s">
        <v>112</v>
      </c>
      <c r="F5444" t="s">
        <v>104</v>
      </c>
      <c r="G5444">
        <v>2</v>
      </c>
      <c r="H5444">
        <v>168</v>
      </c>
      <c r="I5444" s="25" t="s">
        <v>1341</v>
      </c>
      <c r="J5444"/>
      <c r="K5444" t="s">
        <v>605</v>
      </c>
      <c r="L5444" t="s">
        <v>114</v>
      </c>
      <c r="M5444" t="s">
        <v>52</v>
      </c>
      <c r="N5444" t="s">
        <v>40</v>
      </c>
      <c r="O5444">
        <v>21</v>
      </c>
      <c r="P5444"/>
      <c r="Q5444">
        <f t="shared" si="77"/>
        <v>1</v>
      </c>
      <c r="R5444">
        <v>1</v>
      </c>
      <c r="S5444">
        <v>0</v>
      </c>
      <c r="T5444">
        <v>0</v>
      </c>
      <c r="U5444">
        <v>0</v>
      </c>
      <c r="V5444">
        <v>1</v>
      </c>
      <c r="W5444">
        <v>0</v>
      </c>
      <c r="X5444" s="21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/>
      <c r="AI5444"/>
      <c r="AJ5444" t="s">
        <v>51</v>
      </c>
      <c r="AK5444" t="s">
        <v>52</v>
      </c>
      <c r="AL5444"/>
      <c r="AP5444" t="s">
        <v>116</v>
      </c>
    </row>
    <row r="5445" spans="1:42" s="6" customFormat="1">
      <c r="A5445" s="12">
        <v>43853</v>
      </c>
      <c r="B5445">
        <v>2</v>
      </c>
      <c r="C5445">
        <v>213</v>
      </c>
      <c r="D5445">
        <v>14469</v>
      </c>
      <c r="E5445" t="s">
        <v>112</v>
      </c>
      <c r="F5445" t="s">
        <v>104</v>
      </c>
      <c r="G5445">
        <v>2</v>
      </c>
      <c r="H5445">
        <v>169</v>
      </c>
      <c r="I5445" s="25">
        <v>2340</v>
      </c>
      <c r="J5445"/>
      <c r="K5445" t="s">
        <v>605</v>
      </c>
      <c r="L5445" t="s">
        <v>114</v>
      </c>
      <c r="M5445" t="s">
        <v>52</v>
      </c>
      <c r="N5445" t="s">
        <v>44</v>
      </c>
      <c r="O5445">
        <v>150</v>
      </c>
      <c r="P5445"/>
      <c r="Q5445">
        <f t="shared" si="77"/>
        <v>2</v>
      </c>
      <c r="R5445">
        <v>1</v>
      </c>
      <c r="S5445">
        <v>0</v>
      </c>
      <c r="T5445">
        <v>0</v>
      </c>
      <c r="U5445">
        <v>0</v>
      </c>
      <c r="V5445">
        <v>0</v>
      </c>
      <c r="W5445">
        <v>2</v>
      </c>
      <c r="X5445" s="21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/>
      <c r="AI5445"/>
      <c r="AJ5445" t="s">
        <v>51</v>
      </c>
      <c r="AK5445" t="s">
        <v>52</v>
      </c>
      <c r="AL5445" t="s">
        <v>1775</v>
      </c>
      <c r="AP5445" t="s">
        <v>116</v>
      </c>
    </row>
    <row r="5446" spans="1:42" s="6" customFormat="1">
      <c r="A5446" s="12">
        <v>43853</v>
      </c>
      <c r="B5446">
        <v>2</v>
      </c>
      <c r="C5446">
        <v>213</v>
      </c>
      <c r="D5446">
        <v>14469</v>
      </c>
      <c r="E5446" t="s">
        <v>112</v>
      </c>
      <c r="F5446" t="s">
        <v>104</v>
      </c>
      <c r="G5446">
        <v>2</v>
      </c>
      <c r="H5446">
        <v>170</v>
      </c>
      <c r="I5446" s="25">
        <v>2364</v>
      </c>
      <c r="J5446"/>
      <c r="K5446" t="s">
        <v>605</v>
      </c>
      <c r="L5446" t="s">
        <v>114</v>
      </c>
      <c r="M5446" t="s">
        <v>52</v>
      </c>
      <c r="N5446" t="s">
        <v>44</v>
      </c>
      <c r="O5446">
        <v>132</v>
      </c>
      <c r="P5446"/>
      <c r="Q5446">
        <f t="shared" si="77"/>
        <v>2</v>
      </c>
      <c r="R5446">
        <v>1</v>
      </c>
      <c r="S5446">
        <v>0</v>
      </c>
      <c r="T5446">
        <v>0</v>
      </c>
      <c r="U5446">
        <v>1</v>
      </c>
      <c r="V5446">
        <v>1</v>
      </c>
      <c r="W5446">
        <v>0</v>
      </c>
      <c r="X5446" s="21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/>
      <c r="AI5446"/>
      <c r="AJ5446" t="s">
        <v>51</v>
      </c>
      <c r="AK5446" t="s">
        <v>52</v>
      </c>
      <c r="AL5446" t="s">
        <v>1776</v>
      </c>
      <c r="AP5446" t="s">
        <v>116</v>
      </c>
    </row>
    <row r="5447" spans="1:42" s="6" customFormat="1">
      <c r="A5447" s="12">
        <v>43853</v>
      </c>
      <c r="B5447">
        <v>2</v>
      </c>
      <c r="C5447">
        <v>213</v>
      </c>
      <c r="D5447">
        <v>14469</v>
      </c>
      <c r="E5447" t="s">
        <v>112</v>
      </c>
      <c r="F5447" t="s">
        <v>104</v>
      </c>
      <c r="G5447">
        <v>2</v>
      </c>
      <c r="H5447">
        <v>171</v>
      </c>
      <c r="I5447" s="25">
        <v>2376</v>
      </c>
      <c r="J5447"/>
      <c r="K5447" t="s">
        <v>605</v>
      </c>
      <c r="L5447" t="s">
        <v>114</v>
      </c>
      <c r="M5447" t="s">
        <v>52</v>
      </c>
      <c r="N5447" t="s">
        <v>40</v>
      </c>
      <c r="O5447">
        <v>26</v>
      </c>
      <c r="P5447"/>
      <c r="Q5447">
        <f t="shared" si="77"/>
        <v>2</v>
      </c>
      <c r="R5447">
        <v>1</v>
      </c>
      <c r="S5447">
        <v>0</v>
      </c>
      <c r="T5447">
        <v>0</v>
      </c>
      <c r="U5447">
        <v>2</v>
      </c>
      <c r="V5447">
        <v>0</v>
      </c>
      <c r="W5447">
        <v>0</v>
      </c>
      <c r="X5447" s="21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/>
      <c r="AI5447"/>
      <c r="AJ5447" t="s">
        <v>51</v>
      </c>
      <c r="AK5447" t="s">
        <v>52</v>
      </c>
      <c r="AL5447"/>
      <c r="AP5447" t="s">
        <v>116</v>
      </c>
    </row>
    <row r="5448" spans="1:42" s="6" customFormat="1">
      <c r="A5448" s="12">
        <v>43853</v>
      </c>
      <c r="B5448">
        <v>2</v>
      </c>
      <c r="C5448">
        <v>213</v>
      </c>
      <c r="D5448">
        <v>14469</v>
      </c>
      <c r="E5448" t="s">
        <v>112</v>
      </c>
      <c r="F5448" t="s">
        <v>104</v>
      </c>
      <c r="G5448">
        <v>2</v>
      </c>
      <c r="H5448">
        <v>172</v>
      </c>
      <c r="I5448" s="25">
        <v>2235</v>
      </c>
      <c r="J5448"/>
      <c r="K5448" t="s">
        <v>185</v>
      </c>
      <c r="L5448" t="s">
        <v>141</v>
      </c>
      <c r="M5448" t="s">
        <v>52</v>
      </c>
      <c r="N5448" t="s">
        <v>44</v>
      </c>
      <c r="O5448">
        <v>121</v>
      </c>
      <c r="P5448"/>
      <c r="Q5448">
        <f t="shared" si="77"/>
        <v>1</v>
      </c>
      <c r="R5448">
        <v>1</v>
      </c>
      <c r="S5448">
        <v>0</v>
      </c>
      <c r="T5448">
        <v>0</v>
      </c>
      <c r="U5448">
        <v>0</v>
      </c>
      <c r="V5448">
        <v>0</v>
      </c>
      <c r="W5448">
        <v>1</v>
      </c>
      <c r="X5448" s="21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/>
      <c r="AI5448"/>
      <c r="AJ5448" t="s">
        <v>51</v>
      </c>
      <c r="AK5448" t="s">
        <v>52</v>
      </c>
      <c r="AL5448" t="s">
        <v>1777</v>
      </c>
      <c r="AP5448" t="s">
        <v>116</v>
      </c>
    </row>
    <row r="5449" spans="1:42" s="6" customFormat="1">
      <c r="A5449" s="12">
        <v>43853</v>
      </c>
      <c r="B5449">
        <v>2</v>
      </c>
      <c r="C5449">
        <v>213</v>
      </c>
      <c r="D5449">
        <v>14469</v>
      </c>
      <c r="E5449" t="s">
        <v>112</v>
      </c>
      <c r="F5449" t="s">
        <v>104</v>
      </c>
      <c r="G5449">
        <v>2</v>
      </c>
      <c r="H5449">
        <v>173</v>
      </c>
      <c r="I5449" s="25">
        <v>2525</v>
      </c>
      <c r="J5449"/>
      <c r="K5449" t="s">
        <v>599</v>
      </c>
      <c r="L5449" t="s">
        <v>141</v>
      </c>
      <c r="M5449" t="s">
        <v>52</v>
      </c>
      <c r="N5449" t="s">
        <v>40</v>
      </c>
      <c r="O5449">
        <v>23</v>
      </c>
      <c r="P5449"/>
      <c r="Q5449">
        <f t="shared" si="77"/>
        <v>1</v>
      </c>
      <c r="R5449">
        <v>1</v>
      </c>
      <c r="S5449">
        <v>0</v>
      </c>
      <c r="T5449">
        <v>0</v>
      </c>
      <c r="U5449">
        <v>0</v>
      </c>
      <c r="V5449">
        <v>1</v>
      </c>
      <c r="W5449">
        <v>0</v>
      </c>
      <c r="X5449" s="21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/>
      <c r="AI5449"/>
      <c r="AJ5449" t="s">
        <v>51</v>
      </c>
      <c r="AK5449" t="s">
        <v>52</v>
      </c>
      <c r="AL5449"/>
      <c r="AP5449" t="s">
        <v>116</v>
      </c>
    </row>
    <row r="5450" spans="1:42" s="6" customFormat="1">
      <c r="A5450" s="12">
        <v>43853</v>
      </c>
      <c r="B5450">
        <v>2</v>
      </c>
      <c r="C5450">
        <v>213</v>
      </c>
      <c r="D5450">
        <v>14469</v>
      </c>
      <c r="E5450" t="s">
        <v>112</v>
      </c>
      <c r="F5450" t="s">
        <v>104</v>
      </c>
      <c r="G5450">
        <v>2</v>
      </c>
      <c r="H5450">
        <v>174</v>
      </c>
      <c r="I5450" s="25">
        <v>2300</v>
      </c>
      <c r="J5450"/>
      <c r="K5450" t="s">
        <v>605</v>
      </c>
      <c r="L5450" t="s">
        <v>114</v>
      </c>
      <c r="M5450" t="s">
        <v>52</v>
      </c>
      <c r="N5450" t="s">
        <v>44</v>
      </c>
      <c r="O5450">
        <v>61</v>
      </c>
      <c r="P5450"/>
      <c r="Q5450">
        <f t="shared" si="77"/>
        <v>1</v>
      </c>
      <c r="R5450">
        <v>1</v>
      </c>
      <c r="S5450">
        <v>0</v>
      </c>
      <c r="T5450">
        <v>0</v>
      </c>
      <c r="U5450">
        <v>0</v>
      </c>
      <c r="V5450">
        <v>1</v>
      </c>
      <c r="W5450">
        <v>0</v>
      </c>
      <c r="X5450" s="21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/>
      <c r="AI5450"/>
      <c r="AJ5450" t="s">
        <v>51</v>
      </c>
      <c r="AK5450" t="s">
        <v>52</v>
      </c>
      <c r="AL5450" t="s">
        <v>1778</v>
      </c>
      <c r="AP5450" t="s">
        <v>116</v>
      </c>
    </row>
    <row r="5451" spans="1:42" s="6" customFormat="1">
      <c r="A5451" s="12">
        <v>43853</v>
      </c>
      <c r="B5451">
        <v>2</v>
      </c>
      <c r="C5451">
        <v>213</v>
      </c>
      <c r="D5451">
        <v>14469</v>
      </c>
      <c r="E5451" t="s">
        <v>112</v>
      </c>
      <c r="F5451" t="s">
        <v>104</v>
      </c>
      <c r="G5451">
        <v>2</v>
      </c>
      <c r="H5451">
        <v>175</v>
      </c>
      <c r="I5451" s="25">
        <v>2299</v>
      </c>
      <c r="J5451"/>
      <c r="K5451" t="s">
        <v>605</v>
      </c>
      <c r="L5451" t="s">
        <v>141</v>
      </c>
      <c r="M5451" t="s">
        <v>52</v>
      </c>
      <c r="N5451" t="s">
        <v>44</v>
      </c>
      <c r="O5451">
        <v>60</v>
      </c>
      <c r="P5451"/>
      <c r="Q5451">
        <f t="shared" si="77"/>
        <v>1</v>
      </c>
      <c r="R5451">
        <v>1</v>
      </c>
      <c r="S5451">
        <v>0</v>
      </c>
      <c r="T5451">
        <v>0</v>
      </c>
      <c r="U5451">
        <v>0</v>
      </c>
      <c r="V5451">
        <v>0</v>
      </c>
      <c r="W5451">
        <v>1</v>
      </c>
      <c r="X5451" s="2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/>
      <c r="AI5451"/>
      <c r="AJ5451" t="s">
        <v>51</v>
      </c>
      <c r="AK5451" t="s">
        <v>52</v>
      </c>
      <c r="AL5451" t="s">
        <v>262</v>
      </c>
      <c r="AP5451" t="s">
        <v>116</v>
      </c>
    </row>
    <row r="5452" spans="1:42" s="6" customFormat="1">
      <c r="A5452" s="12">
        <v>43853</v>
      </c>
      <c r="B5452">
        <v>2</v>
      </c>
      <c r="C5452">
        <v>213</v>
      </c>
      <c r="D5452">
        <v>14469</v>
      </c>
      <c r="E5452" t="s">
        <v>112</v>
      </c>
      <c r="F5452" t="s">
        <v>104</v>
      </c>
      <c r="G5452">
        <v>2</v>
      </c>
      <c r="H5452">
        <v>176</v>
      </c>
      <c r="I5452" s="25">
        <v>2210</v>
      </c>
      <c r="J5452"/>
      <c r="K5452" t="s">
        <v>647</v>
      </c>
      <c r="L5452" t="s">
        <v>114</v>
      </c>
      <c r="M5452" t="s">
        <v>52</v>
      </c>
      <c r="N5452" t="s">
        <v>44</v>
      </c>
      <c r="O5452">
        <v>63</v>
      </c>
      <c r="P5452"/>
      <c r="Q5452">
        <f t="shared" si="77"/>
        <v>1</v>
      </c>
      <c r="R5452">
        <v>1</v>
      </c>
      <c r="S5452">
        <v>0</v>
      </c>
      <c r="T5452">
        <v>0</v>
      </c>
      <c r="U5452">
        <v>0</v>
      </c>
      <c r="V5452">
        <v>0</v>
      </c>
      <c r="W5452">
        <v>1</v>
      </c>
      <c r="X5452" s="21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/>
      <c r="AI5452"/>
      <c r="AJ5452" t="s">
        <v>51</v>
      </c>
      <c r="AK5452" t="s">
        <v>95</v>
      </c>
      <c r="AL5452" t="s">
        <v>218</v>
      </c>
      <c r="AP5452" t="s">
        <v>116</v>
      </c>
    </row>
    <row r="5453" spans="1:42" s="6" customFormat="1">
      <c r="A5453" s="12">
        <v>43853</v>
      </c>
      <c r="B5453">
        <v>2</v>
      </c>
      <c r="C5453">
        <v>213</v>
      </c>
      <c r="D5453">
        <v>14469</v>
      </c>
      <c r="E5453" t="s">
        <v>112</v>
      </c>
      <c r="F5453" t="s">
        <v>104</v>
      </c>
      <c r="G5453">
        <v>2</v>
      </c>
      <c r="H5453">
        <v>177</v>
      </c>
      <c r="I5453" s="25" t="s">
        <v>1779</v>
      </c>
      <c r="J5453"/>
      <c r="K5453" t="s">
        <v>596</v>
      </c>
      <c r="L5453" t="s">
        <v>141</v>
      </c>
      <c r="M5453" t="s">
        <v>95</v>
      </c>
      <c r="N5453" t="s">
        <v>44</v>
      </c>
      <c r="O5453">
        <v>126</v>
      </c>
      <c r="P5453"/>
      <c r="Q5453">
        <f t="shared" si="77"/>
        <v>2</v>
      </c>
      <c r="R5453">
        <v>1</v>
      </c>
      <c r="S5453">
        <v>0</v>
      </c>
      <c r="T5453">
        <v>0</v>
      </c>
      <c r="U5453">
        <v>1</v>
      </c>
      <c r="V5453">
        <v>1</v>
      </c>
      <c r="W5453">
        <v>0</v>
      </c>
      <c r="X5453" s="21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/>
      <c r="AI5453"/>
      <c r="AJ5453" t="s">
        <v>51</v>
      </c>
      <c r="AK5453" t="s">
        <v>52</v>
      </c>
      <c r="AL5453" t="s">
        <v>1780</v>
      </c>
      <c r="AP5453" t="s">
        <v>116</v>
      </c>
    </row>
    <row r="5454" spans="1:42" s="6" customFormat="1">
      <c r="A5454" s="12">
        <v>43853</v>
      </c>
      <c r="B5454">
        <v>2</v>
      </c>
      <c r="C5454">
        <v>213</v>
      </c>
      <c r="D5454">
        <v>14469</v>
      </c>
      <c r="E5454" t="s">
        <v>112</v>
      </c>
      <c r="F5454" t="s">
        <v>104</v>
      </c>
      <c r="G5454">
        <v>2</v>
      </c>
      <c r="H5454">
        <v>178</v>
      </c>
      <c r="I5454" s="25">
        <v>2251</v>
      </c>
      <c r="J5454"/>
      <c r="K5454" t="s">
        <v>647</v>
      </c>
      <c r="L5454" t="s">
        <v>141</v>
      </c>
      <c r="M5454" t="s">
        <v>95</v>
      </c>
      <c r="N5454" t="s">
        <v>1703</v>
      </c>
      <c r="O5454">
        <v>60</v>
      </c>
      <c r="P5454"/>
      <c r="Q5454">
        <f t="shared" si="77"/>
        <v>1</v>
      </c>
      <c r="R5454">
        <v>1</v>
      </c>
      <c r="S5454">
        <v>0</v>
      </c>
      <c r="T5454">
        <v>0</v>
      </c>
      <c r="U5454">
        <v>0</v>
      </c>
      <c r="V5454">
        <v>1</v>
      </c>
      <c r="W5454">
        <v>0</v>
      </c>
      <c r="X5454" s="21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/>
      <c r="AI5454"/>
      <c r="AJ5454" t="s">
        <v>51</v>
      </c>
      <c r="AK5454" t="s">
        <v>52</v>
      </c>
      <c r="AL5454" t="s">
        <v>1781</v>
      </c>
      <c r="AP5454" t="s">
        <v>116</v>
      </c>
    </row>
    <row r="5455" spans="1:42" s="6" customFormat="1">
      <c r="A5455" s="12">
        <v>43853</v>
      </c>
      <c r="B5455">
        <v>2</v>
      </c>
      <c r="C5455">
        <v>213</v>
      </c>
      <c r="D5455">
        <v>14469</v>
      </c>
      <c r="E5455" t="s">
        <v>112</v>
      </c>
      <c r="F5455" t="s">
        <v>104</v>
      </c>
      <c r="G5455">
        <v>2</v>
      </c>
      <c r="H5455">
        <v>179</v>
      </c>
      <c r="I5455" s="25">
        <v>2400</v>
      </c>
      <c r="J5455"/>
      <c r="K5455" t="s">
        <v>599</v>
      </c>
      <c r="L5455" t="s">
        <v>114</v>
      </c>
      <c r="M5455" t="s">
        <v>52</v>
      </c>
      <c r="N5455" t="s">
        <v>44</v>
      </c>
      <c r="O5455">
        <v>325</v>
      </c>
      <c r="P5455"/>
      <c r="Q5455">
        <f t="shared" si="77"/>
        <v>3</v>
      </c>
      <c r="R5455">
        <v>1</v>
      </c>
      <c r="S5455">
        <v>0</v>
      </c>
      <c r="T5455">
        <v>0</v>
      </c>
      <c r="U5455">
        <v>2</v>
      </c>
      <c r="V5455">
        <v>0</v>
      </c>
      <c r="W5455">
        <v>1</v>
      </c>
      <c r="X5455" s="21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/>
      <c r="AI5455"/>
      <c r="AJ5455" t="s">
        <v>51</v>
      </c>
      <c r="AK5455" t="s">
        <v>52</v>
      </c>
      <c r="AL5455" t="s">
        <v>1782</v>
      </c>
      <c r="AP5455" t="s">
        <v>116</v>
      </c>
    </row>
    <row r="5456" spans="1:42" s="6" customFormat="1">
      <c r="A5456" s="12">
        <v>43853</v>
      </c>
      <c r="B5456">
        <v>2</v>
      </c>
      <c r="C5456">
        <v>213</v>
      </c>
      <c r="D5456">
        <v>14469</v>
      </c>
      <c r="E5456" t="s">
        <v>112</v>
      </c>
      <c r="F5456" t="s">
        <v>104</v>
      </c>
      <c r="G5456">
        <v>2</v>
      </c>
      <c r="H5456">
        <v>180</v>
      </c>
      <c r="I5456" s="25">
        <v>2412</v>
      </c>
      <c r="J5456"/>
      <c r="K5456" t="s">
        <v>599</v>
      </c>
      <c r="L5456" t="s">
        <v>114</v>
      </c>
      <c r="M5456" t="s">
        <v>52</v>
      </c>
      <c r="N5456" t="s">
        <v>44</v>
      </c>
      <c r="O5456">
        <v>102</v>
      </c>
      <c r="P5456"/>
      <c r="Q5456">
        <f t="shared" si="77"/>
        <v>2</v>
      </c>
      <c r="R5456">
        <v>1</v>
      </c>
      <c r="S5456">
        <v>0</v>
      </c>
      <c r="T5456">
        <v>0</v>
      </c>
      <c r="U5456">
        <v>1</v>
      </c>
      <c r="V5456">
        <v>0</v>
      </c>
      <c r="W5456">
        <v>1</v>
      </c>
      <c r="X5456" s="21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/>
      <c r="AI5456"/>
      <c r="AJ5456" t="s">
        <v>51</v>
      </c>
      <c r="AK5456" t="s">
        <v>52</v>
      </c>
      <c r="AL5456" t="s">
        <v>1735</v>
      </c>
      <c r="AP5456" t="s">
        <v>116</v>
      </c>
    </row>
    <row r="5457" spans="1:42" s="6" customFormat="1">
      <c r="A5457" s="12">
        <v>43853</v>
      </c>
      <c r="B5457">
        <v>2</v>
      </c>
      <c r="C5457">
        <v>213</v>
      </c>
      <c r="D5457">
        <v>14469</v>
      </c>
      <c r="E5457" t="s">
        <v>112</v>
      </c>
      <c r="F5457" t="s">
        <v>104</v>
      </c>
      <c r="G5457">
        <v>2</v>
      </c>
      <c r="H5457">
        <v>181</v>
      </c>
      <c r="I5457" s="25">
        <v>2222</v>
      </c>
      <c r="J5457"/>
      <c r="K5457" t="s">
        <v>185</v>
      </c>
      <c r="L5457" t="s">
        <v>114</v>
      </c>
      <c r="M5457" t="s">
        <v>52</v>
      </c>
      <c r="N5457" t="s">
        <v>44</v>
      </c>
      <c r="O5457">
        <v>561</v>
      </c>
      <c r="P5457"/>
      <c r="Q5457">
        <f t="shared" si="77"/>
        <v>13</v>
      </c>
      <c r="R5457">
        <v>1</v>
      </c>
      <c r="S5457">
        <v>0</v>
      </c>
      <c r="T5457">
        <v>0</v>
      </c>
      <c r="U5457">
        <v>0</v>
      </c>
      <c r="V5457">
        <v>13</v>
      </c>
      <c r="W5457">
        <v>0</v>
      </c>
      <c r="X5457" s="21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/>
      <c r="AI5457"/>
      <c r="AJ5457" t="s">
        <v>51</v>
      </c>
      <c r="AK5457" t="s">
        <v>52</v>
      </c>
      <c r="AL5457" t="s">
        <v>1783</v>
      </c>
      <c r="AP5457" t="s">
        <v>116</v>
      </c>
    </row>
    <row r="5458" spans="1:42" s="6" customFormat="1">
      <c r="A5458" s="12">
        <v>43853</v>
      </c>
      <c r="B5458">
        <v>2</v>
      </c>
      <c r="C5458">
        <v>213</v>
      </c>
      <c r="D5458">
        <v>14469</v>
      </c>
      <c r="E5458" t="s">
        <v>112</v>
      </c>
      <c r="F5458" t="s">
        <v>104</v>
      </c>
      <c r="G5458">
        <v>2</v>
      </c>
      <c r="H5458">
        <v>182</v>
      </c>
      <c r="I5458" s="25">
        <v>2371</v>
      </c>
      <c r="J5458"/>
      <c r="K5458" t="s">
        <v>605</v>
      </c>
      <c r="L5458" t="s">
        <v>141</v>
      </c>
      <c r="M5458" t="s">
        <v>52</v>
      </c>
      <c r="N5458" t="s">
        <v>40</v>
      </c>
      <c r="O5458">
        <v>52</v>
      </c>
      <c r="P5458"/>
      <c r="Q5458">
        <f t="shared" si="77"/>
        <v>2</v>
      </c>
      <c r="R5458">
        <v>1</v>
      </c>
      <c r="S5458">
        <v>0</v>
      </c>
      <c r="T5458">
        <v>0</v>
      </c>
      <c r="U5458">
        <v>0</v>
      </c>
      <c r="V5458">
        <v>1</v>
      </c>
      <c r="W5458">
        <v>1</v>
      </c>
      <c r="X5458" s="21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/>
      <c r="AI5458"/>
      <c r="AJ5458" t="s">
        <v>51</v>
      </c>
      <c r="AK5458" t="s">
        <v>52</v>
      </c>
      <c r="AL5458"/>
      <c r="AP5458" t="s">
        <v>116</v>
      </c>
    </row>
    <row r="5459" spans="1:42" s="6" customFormat="1">
      <c r="A5459" s="12">
        <v>43853</v>
      </c>
      <c r="B5459">
        <v>2</v>
      </c>
      <c r="C5459">
        <v>213</v>
      </c>
      <c r="D5459">
        <v>14469</v>
      </c>
      <c r="E5459" t="s">
        <v>112</v>
      </c>
      <c r="F5459" t="s">
        <v>104</v>
      </c>
      <c r="G5459">
        <v>2</v>
      </c>
      <c r="H5459">
        <v>183</v>
      </c>
      <c r="I5459" s="25">
        <v>2355</v>
      </c>
      <c r="J5459"/>
      <c r="K5459" t="s">
        <v>605</v>
      </c>
      <c r="L5459" t="s">
        <v>141</v>
      </c>
      <c r="M5459" t="s">
        <v>52</v>
      </c>
      <c r="N5459" t="s">
        <v>40</v>
      </c>
      <c r="O5459">
        <v>37</v>
      </c>
      <c r="P5459"/>
      <c r="Q5459">
        <f t="shared" si="77"/>
        <v>2</v>
      </c>
      <c r="R5459">
        <v>1</v>
      </c>
      <c r="S5459">
        <v>0</v>
      </c>
      <c r="T5459">
        <v>0</v>
      </c>
      <c r="U5459">
        <v>2</v>
      </c>
      <c r="V5459">
        <v>0</v>
      </c>
      <c r="W5459">
        <v>0</v>
      </c>
      <c r="X5459" s="21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/>
      <c r="AI5459"/>
      <c r="AJ5459" t="s">
        <v>51</v>
      </c>
      <c r="AK5459" t="s">
        <v>52</v>
      </c>
      <c r="AL5459"/>
      <c r="AP5459" t="s">
        <v>116</v>
      </c>
    </row>
    <row r="5460" spans="1:42" s="6" customFormat="1">
      <c r="A5460" s="12">
        <v>43853</v>
      </c>
      <c r="B5460">
        <v>2</v>
      </c>
      <c r="C5460">
        <v>213</v>
      </c>
      <c r="D5460">
        <v>14469</v>
      </c>
      <c r="E5460" t="s">
        <v>112</v>
      </c>
      <c r="F5460" t="s">
        <v>104</v>
      </c>
      <c r="G5460">
        <v>2</v>
      </c>
      <c r="H5460">
        <v>184</v>
      </c>
      <c r="I5460" s="25">
        <v>2351</v>
      </c>
      <c r="J5460"/>
      <c r="K5460" t="s">
        <v>605</v>
      </c>
      <c r="L5460" t="s">
        <v>141</v>
      </c>
      <c r="M5460" t="s">
        <v>52</v>
      </c>
      <c r="N5460" t="s">
        <v>40</v>
      </c>
      <c r="O5460">
        <v>22</v>
      </c>
      <c r="P5460"/>
      <c r="Q5460">
        <f t="shared" si="77"/>
        <v>1</v>
      </c>
      <c r="R5460">
        <v>1</v>
      </c>
      <c r="S5460">
        <v>0</v>
      </c>
      <c r="T5460">
        <v>0</v>
      </c>
      <c r="U5460">
        <v>1</v>
      </c>
      <c r="V5460">
        <v>0</v>
      </c>
      <c r="W5460">
        <v>0</v>
      </c>
      <c r="X5460" s="21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/>
      <c r="AI5460"/>
      <c r="AJ5460" t="s">
        <v>51</v>
      </c>
      <c r="AK5460" t="s">
        <v>52</v>
      </c>
      <c r="AL5460"/>
      <c r="AP5460" t="s">
        <v>116</v>
      </c>
    </row>
    <row r="5461" spans="1:42" s="6" customFormat="1">
      <c r="A5461" s="12">
        <v>43853</v>
      </c>
      <c r="B5461">
        <v>2</v>
      </c>
      <c r="C5461">
        <v>213</v>
      </c>
      <c r="D5461">
        <v>14469</v>
      </c>
      <c r="E5461" t="s">
        <v>112</v>
      </c>
      <c r="F5461" t="s">
        <v>104</v>
      </c>
      <c r="G5461">
        <v>2</v>
      </c>
      <c r="H5461">
        <v>185</v>
      </c>
      <c r="I5461" s="25">
        <v>2335</v>
      </c>
      <c r="J5461"/>
      <c r="K5461" t="s">
        <v>605</v>
      </c>
      <c r="L5461" t="s">
        <v>141</v>
      </c>
      <c r="M5461" t="s">
        <v>52</v>
      </c>
      <c r="N5461" t="s">
        <v>40</v>
      </c>
      <c r="O5461">
        <v>62</v>
      </c>
      <c r="P5461"/>
      <c r="Q5461">
        <f t="shared" si="77"/>
        <v>2</v>
      </c>
      <c r="R5461">
        <v>1</v>
      </c>
      <c r="S5461">
        <v>0</v>
      </c>
      <c r="T5461">
        <v>0</v>
      </c>
      <c r="U5461">
        <v>0</v>
      </c>
      <c r="V5461">
        <v>1</v>
      </c>
      <c r="W5461">
        <v>1</v>
      </c>
      <c r="X5461" s="2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/>
      <c r="AI5461"/>
      <c r="AJ5461" t="s">
        <v>51</v>
      </c>
      <c r="AK5461" t="s">
        <v>52</v>
      </c>
      <c r="AL5461"/>
      <c r="AP5461" t="s">
        <v>116</v>
      </c>
    </row>
    <row r="5462" spans="1:42" s="6" customFormat="1">
      <c r="A5462" s="12">
        <v>43853</v>
      </c>
      <c r="B5462">
        <v>2</v>
      </c>
      <c r="C5462">
        <v>213</v>
      </c>
      <c r="D5462">
        <v>14469</v>
      </c>
      <c r="E5462" t="s">
        <v>112</v>
      </c>
      <c r="F5462" t="s">
        <v>104</v>
      </c>
      <c r="G5462">
        <v>2</v>
      </c>
      <c r="H5462">
        <v>186</v>
      </c>
      <c r="I5462" s="25" t="s">
        <v>1784</v>
      </c>
      <c r="J5462"/>
      <c r="K5462" t="s">
        <v>605</v>
      </c>
      <c r="L5462" t="s">
        <v>141</v>
      </c>
      <c r="M5462" t="s">
        <v>52</v>
      </c>
      <c r="N5462" t="s">
        <v>40</v>
      </c>
      <c r="O5462">
        <v>132</v>
      </c>
      <c r="P5462"/>
      <c r="Q5462">
        <f t="shared" si="77"/>
        <v>6</v>
      </c>
      <c r="R5462">
        <v>1</v>
      </c>
      <c r="S5462">
        <v>0</v>
      </c>
      <c r="T5462">
        <v>0</v>
      </c>
      <c r="U5462">
        <v>6</v>
      </c>
      <c r="V5462">
        <v>0</v>
      </c>
      <c r="W5462">
        <v>0</v>
      </c>
      <c r="X5462" s="21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/>
      <c r="AI5462"/>
      <c r="AJ5462" t="s">
        <v>51</v>
      </c>
      <c r="AK5462" t="s">
        <v>52</v>
      </c>
      <c r="AL5462"/>
      <c r="AP5462" t="s">
        <v>116</v>
      </c>
    </row>
    <row r="5463" spans="1:42" s="15" customFormat="1">
      <c r="A5463" s="14">
        <v>43853</v>
      </c>
      <c r="B5463">
        <v>2</v>
      </c>
      <c r="C5463">
        <v>213</v>
      </c>
      <c r="D5463">
        <v>14469</v>
      </c>
      <c r="E5463" t="s">
        <v>112</v>
      </c>
      <c r="F5463" t="s">
        <v>104</v>
      </c>
      <c r="G5463">
        <v>2</v>
      </c>
      <c r="H5463">
        <v>187</v>
      </c>
      <c r="I5463" s="25">
        <v>2340</v>
      </c>
      <c r="J5463"/>
      <c r="K5463" t="s">
        <v>647</v>
      </c>
      <c r="L5463" t="s">
        <v>114</v>
      </c>
      <c r="M5463" t="s">
        <v>52</v>
      </c>
      <c r="N5463" t="s">
        <v>40</v>
      </c>
      <c r="O5463">
        <v>101</v>
      </c>
      <c r="P5463"/>
      <c r="Q5463">
        <f t="shared" si="77"/>
        <v>2</v>
      </c>
      <c r="R5463">
        <v>1</v>
      </c>
      <c r="S5463">
        <v>0</v>
      </c>
      <c r="T5463">
        <v>0</v>
      </c>
      <c r="U5463">
        <v>0</v>
      </c>
      <c r="V5463">
        <v>1</v>
      </c>
      <c r="W5463">
        <v>1</v>
      </c>
      <c r="X5463" s="21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/>
      <c r="AI5463"/>
      <c r="AJ5463" t="s">
        <v>51</v>
      </c>
      <c r="AK5463" t="s">
        <v>52</v>
      </c>
      <c r="AL5463" t="s">
        <v>1785</v>
      </c>
      <c r="AP5463" t="s">
        <v>116</v>
      </c>
    </row>
    <row r="5464" spans="1:42" s="6" customFormat="1">
      <c r="A5464" s="12">
        <v>43874</v>
      </c>
      <c r="B5464">
        <v>4</v>
      </c>
      <c r="C5464">
        <v>307</v>
      </c>
      <c r="D5464">
        <v>10365</v>
      </c>
      <c r="E5464" t="s">
        <v>112</v>
      </c>
      <c r="F5464" t="s">
        <v>38</v>
      </c>
      <c r="G5464">
        <v>2</v>
      </c>
      <c r="H5464">
        <v>1</v>
      </c>
      <c r="I5464" s="25">
        <v>1298</v>
      </c>
      <c r="J5464"/>
      <c r="K5464" t="s">
        <v>73</v>
      </c>
      <c r="L5464" t="s">
        <v>114</v>
      </c>
      <c r="M5464" t="s">
        <v>52</v>
      </c>
      <c r="N5464" t="s">
        <v>40</v>
      </c>
      <c r="O5464">
        <v>47</v>
      </c>
      <c r="P5464"/>
      <c r="Q5464">
        <f t="shared" si="77"/>
        <v>1</v>
      </c>
      <c r="R5464">
        <v>1</v>
      </c>
      <c r="S5464">
        <v>0</v>
      </c>
      <c r="T5464">
        <v>0</v>
      </c>
      <c r="U5464">
        <v>0</v>
      </c>
      <c r="V5464">
        <v>1</v>
      </c>
      <c r="W5464">
        <v>0</v>
      </c>
      <c r="X5464" s="21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/>
      <c r="AI5464"/>
      <c r="AJ5464" t="s">
        <v>51</v>
      </c>
      <c r="AK5464" t="s">
        <v>95</v>
      </c>
      <c r="AL5464"/>
      <c r="AP5464" t="s">
        <v>116</v>
      </c>
    </row>
    <row r="5465" spans="1:42" s="6" customFormat="1">
      <c r="A5465" s="12">
        <v>43874</v>
      </c>
      <c r="B5465">
        <v>4</v>
      </c>
      <c r="C5465">
        <v>307</v>
      </c>
      <c r="D5465">
        <v>10365</v>
      </c>
      <c r="E5465" t="s">
        <v>112</v>
      </c>
      <c r="F5465" t="s">
        <v>38</v>
      </c>
      <c r="G5465">
        <v>2</v>
      </c>
      <c r="H5465">
        <v>2</v>
      </c>
      <c r="I5465" s="25">
        <v>100</v>
      </c>
      <c r="J5465"/>
      <c r="K5465" t="s">
        <v>420</v>
      </c>
      <c r="L5465" t="s">
        <v>114</v>
      </c>
      <c r="M5465" t="s">
        <v>52</v>
      </c>
      <c r="N5465" t="s">
        <v>44</v>
      </c>
      <c r="O5465">
        <v>160</v>
      </c>
      <c r="P5465"/>
      <c r="Q5465">
        <f t="shared" si="77"/>
        <v>5</v>
      </c>
      <c r="R5465">
        <v>1</v>
      </c>
      <c r="S5465">
        <v>0</v>
      </c>
      <c r="T5465">
        <v>0</v>
      </c>
      <c r="U5465">
        <v>0</v>
      </c>
      <c r="V5465">
        <v>5</v>
      </c>
      <c r="W5465">
        <v>0</v>
      </c>
      <c r="X5465" s="21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/>
      <c r="AI5465"/>
      <c r="AJ5465" t="s">
        <v>51</v>
      </c>
      <c r="AK5465" t="s">
        <v>95</v>
      </c>
      <c r="AL5465" t="s">
        <v>1786</v>
      </c>
      <c r="AP5465" t="s">
        <v>116</v>
      </c>
    </row>
    <row r="5466" spans="1:42" s="6" customFormat="1">
      <c r="A5466" s="12">
        <v>43874</v>
      </c>
      <c r="B5466">
        <v>4</v>
      </c>
      <c r="C5466">
        <v>307</v>
      </c>
      <c r="D5466">
        <v>10365</v>
      </c>
      <c r="E5466" t="s">
        <v>112</v>
      </c>
      <c r="F5466" t="s">
        <v>38</v>
      </c>
      <c r="G5466">
        <v>2</v>
      </c>
      <c r="H5466">
        <v>3</v>
      </c>
      <c r="I5466" s="25">
        <v>25</v>
      </c>
      <c r="J5466"/>
      <c r="K5466" t="s">
        <v>430</v>
      </c>
      <c r="L5466" t="s">
        <v>141</v>
      </c>
      <c r="M5466" t="s">
        <v>52</v>
      </c>
      <c r="N5466" t="s">
        <v>40</v>
      </c>
      <c r="O5466">
        <v>34</v>
      </c>
      <c r="P5466"/>
      <c r="Q5466">
        <f t="shared" si="77"/>
        <v>1</v>
      </c>
      <c r="R5466">
        <v>1</v>
      </c>
      <c r="S5466">
        <v>0</v>
      </c>
      <c r="T5466">
        <v>0</v>
      </c>
      <c r="U5466">
        <v>0</v>
      </c>
      <c r="V5466">
        <v>1</v>
      </c>
      <c r="W5466">
        <v>0</v>
      </c>
      <c r="X5466" s="21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/>
      <c r="AI5466"/>
      <c r="AJ5466" t="s">
        <v>51</v>
      </c>
      <c r="AK5466" t="s">
        <v>95</v>
      </c>
      <c r="AL5466"/>
      <c r="AP5466" t="s">
        <v>116</v>
      </c>
    </row>
    <row r="5467" spans="1:42" s="6" customFormat="1">
      <c r="A5467" s="12">
        <v>43874</v>
      </c>
      <c r="B5467">
        <v>4</v>
      </c>
      <c r="C5467">
        <v>307</v>
      </c>
      <c r="D5467">
        <v>10365</v>
      </c>
      <c r="E5467" t="s">
        <v>112</v>
      </c>
      <c r="F5467" t="s">
        <v>38</v>
      </c>
      <c r="G5467">
        <v>2</v>
      </c>
      <c r="H5467">
        <v>4</v>
      </c>
      <c r="I5467" s="25">
        <v>101</v>
      </c>
      <c r="J5467"/>
      <c r="K5467" t="s">
        <v>430</v>
      </c>
      <c r="L5467" t="s">
        <v>141</v>
      </c>
      <c r="M5467" t="s">
        <v>52</v>
      </c>
      <c r="N5467" t="s">
        <v>44</v>
      </c>
      <c r="O5467">
        <v>314</v>
      </c>
      <c r="P5467"/>
      <c r="Q5467">
        <f t="shared" si="77"/>
        <v>4</v>
      </c>
      <c r="R5467">
        <v>1</v>
      </c>
      <c r="S5467">
        <v>0</v>
      </c>
      <c r="T5467">
        <v>0</v>
      </c>
      <c r="U5467">
        <v>0</v>
      </c>
      <c r="V5467">
        <v>4</v>
      </c>
      <c r="W5467">
        <v>0</v>
      </c>
      <c r="X5467" s="21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/>
      <c r="AI5467"/>
      <c r="AJ5467" t="s">
        <v>51</v>
      </c>
      <c r="AK5467" t="s">
        <v>52</v>
      </c>
      <c r="AL5467" t="s">
        <v>1787</v>
      </c>
      <c r="AP5467" t="s">
        <v>116</v>
      </c>
    </row>
    <row r="5468" spans="1:42" s="6" customFormat="1">
      <c r="A5468" s="12">
        <v>43874</v>
      </c>
      <c r="B5468">
        <v>4</v>
      </c>
      <c r="C5468">
        <v>307</v>
      </c>
      <c r="D5468">
        <v>10365</v>
      </c>
      <c r="E5468" t="s">
        <v>112</v>
      </c>
      <c r="F5468" t="s">
        <v>38</v>
      </c>
      <c r="G5468">
        <v>2</v>
      </c>
      <c r="H5468">
        <v>5</v>
      </c>
      <c r="I5468" s="25">
        <v>30</v>
      </c>
      <c r="J5468"/>
      <c r="K5468" t="s">
        <v>415</v>
      </c>
      <c r="L5468" t="s">
        <v>114</v>
      </c>
      <c r="M5468" t="s">
        <v>52</v>
      </c>
      <c r="N5468" t="s">
        <v>44</v>
      </c>
      <c r="O5468">
        <v>45</v>
      </c>
      <c r="P5468"/>
      <c r="Q5468">
        <f t="shared" si="77"/>
        <v>0</v>
      </c>
      <c r="R5468">
        <v>1</v>
      </c>
      <c r="S5468">
        <v>0</v>
      </c>
      <c r="T5468">
        <v>0</v>
      </c>
      <c r="U5468">
        <v>0</v>
      </c>
      <c r="V5468">
        <v>0</v>
      </c>
      <c r="W5468">
        <v>0</v>
      </c>
      <c r="X5468" s="21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/>
      <c r="AI5468"/>
      <c r="AJ5468" t="s">
        <v>51</v>
      </c>
      <c r="AK5468" t="s">
        <v>95</v>
      </c>
      <c r="AL5468" t="s">
        <v>1788</v>
      </c>
      <c r="AP5468" t="s">
        <v>116</v>
      </c>
    </row>
    <row r="5469" spans="1:42" s="6" customFormat="1">
      <c r="A5469" s="12">
        <v>43874</v>
      </c>
      <c r="B5469">
        <v>4</v>
      </c>
      <c r="C5469">
        <v>307</v>
      </c>
      <c r="D5469">
        <v>10365</v>
      </c>
      <c r="E5469" t="s">
        <v>112</v>
      </c>
      <c r="F5469" t="s">
        <v>38</v>
      </c>
      <c r="G5469">
        <v>2</v>
      </c>
      <c r="H5469">
        <v>6</v>
      </c>
      <c r="I5469" s="25">
        <v>39</v>
      </c>
      <c r="J5469"/>
      <c r="K5469" t="s">
        <v>1789</v>
      </c>
      <c r="L5469" t="s">
        <v>141</v>
      </c>
      <c r="M5469" t="s">
        <v>52</v>
      </c>
      <c r="N5469" t="s">
        <v>40</v>
      </c>
      <c r="O5469">
        <v>93</v>
      </c>
      <c r="P5469"/>
      <c r="Q5469">
        <f t="shared" si="77"/>
        <v>2</v>
      </c>
      <c r="R5469">
        <v>1</v>
      </c>
      <c r="S5469">
        <v>0</v>
      </c>
      <c r="T5469">
        <v>0</v>
      </c>
      <c r="U5469">
        <v>0</v>
      </c>
      <c r="V5469">
        <v>2</v>
      </c>
      <c r="W5469">
        <v>0</v>
      </c>
      <c r="X5469" s="21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/>
      <c r="AI5469"/>
      <c r="AJ5469" t="s">
        <v>51</v>
      </c>
      <c r="AK5469" t="s">
        <v>95</v>
      </c>
      <c r="AL5469"/>
      <c r="AP5469" t="s">
        <v>116</v>
      </c>
    </row>
    <row r="5470" spans="1:42" s="6" customFormat="1">
      <c r="A5470" s="12">
        <v>43874</v>
      </c>
      <c r="B5470">
        <v>4</v>
      </c>
      <c r="C5470">
        <v>307</v>
      </c>
      <c r="D5470">
        <v>10365</v>
      </c>
      <c r="E5470" t="s">
        <v>112</v>
      </c>
      <c r="F5470" t="s">
        <v>38</v>
      </c>
      <c r="G5470">
        <v>2</v>
      </c>
      <c r="H5470">
        <v>7</v>
      </c>
      <c r="I5470" s="25">
        <v>35</v>
      </c>
      <c r="J5470"/>
      <c r="K5470" t="s">
        <v>1789</v>
      </c>
      <c r="L5470" t="s">
        <v>141</v>
      </c>
      <c r="M5470" t="s">
        <v>52</v>
      </c>
      <c r="N5470" t="s">
        <v>44</v>
      </c>
      <c r="O5470">
        <v>66</v>
      </c>
      <c r="P5470"/>
      <c r="Q5470">
        <f t="shared" ref="Q5470:Q5533" si="78">S5470+T5470+U5470+V5470+W5470+Y5470+Z5470+AA5470+AB5470+AC5470+AD5470+AE5470+AF5470</f>
        <v>1</v>
      </c>
      <c r="R5470">
        <v>1</v>
      </c>
      <c r="S5470">
        <v>0</v>
      </c>
      <c r="T5470">
        <v>0</v>
      </c>
      <c r="U5470">
        <v>0</v>
      </c>
      <c r="V5470">
        <v>1</v>
      </c>
      <c r="W5470">
        <v>0</v>
      </c>
      <c r="X5470" s="21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/>
      <c r="AI5470"/>
      <c r="AJ5470" t="s">
        <v>51</v>
      </c>
      <c r="AK5470" t="s">
        <v>95</v>
      </c>
      <c r="AL5470" t="s">
        <v>149</v>
      </c>
      <c r="AP5470" t="s">
        <v>116</v>
      </c>
    </row>
    <row r="5471" spans="1:42" s="6" customFormat="1">
      <c r="A5471" s="12">
        <v>43874</v>
      </c>
      <c r="B5471">
        <v>4</v>
      </c>
      <c r="C5471">
        <v>307</v>
      </c>
      <c r="D5471">
        <v>10365</v>
      </c>
      <c r="E5471" t="s">
        <v>112</v>
      </c>
      <c r="F5471" t="s">
        <v>38</v>
      </c>
      <c r="G5471">
        <v>2</v>
      </c>
      <c r="H5471">
        <v>8</v>
      </c>
      <c r="I5471" s="25">
        <v>324</v>
      </c>
      <c r="J5471"/>
      <c r="K5471" t="s">
        <v>420</v>
      </c>
      <c r="L5471" t="s">
        <v>114</v>
      </c>
      <c r="M5471" t="s">
        <v>52</v>
      </c>
      <c r="N5471" t="s">
        <v>44</v>
      </c>
      <c r="O5471">
        <v>87</v>
      </c>
      <c r="P5471"/>
      <c r="Q5471">
        <f t="shared" si="78"/>
        <v>1</v>
      </c>
      <c r="R5471">
        <v>1</v>
      </c>
      <c r="S5471">
        <v>0</v>
      </c>
      <c r="T5471">
        <v>0</v>
      </c>
      <c r="U5471">
        <v>0</v>
      </c>
      <c r="V5471">
        <v>1</v>
      </c>
      <c r="W5471">
        <v>0</v>
      </c>
      <c r="X5471" s="2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/>
      <c r="AI5471"/>
      <c r="AJ5471" t="s">
        <v>51</v>
      </c>
      <c r="AK5471" t="s">
        <v>95</v>
      </c>
      <c r="AL5471" t="s">
        <v>1790</v>
      </c>
      <c r="AP5471" t="s">
        <v>116</v>
      </c>
    </row>
    <row r="5472" spans="1:42" s="6" customFormat="1">
      <c r="A5472" s="12">
        <v>43874</v>
      </c>
      <c r="B5472">
        <v>4</v>
      </c>
      <c r="C5472">
        <v>307</v>
      </c>
      <c r="D5472">
        <v>10365</v>
      </c>
      <c r="E5472" t="s">
        <v>112</v>
      </c>
      <c r="F5472" t="s">
        <v>38</v>
      </c>
      <c r="G5472">
        <v>2</v>
      </c>
      <c r="H5472">
        <v>9</v>
      </c>
      <c r="I5472" s="25">
        <v>455</v>
      </c>
      <c r="J5472"/>
      <c r="K5472" t="s">
        <v>417</v>
      </c>
      <c r="L5472" t="s">
        <v>141</v>
      </c>
      <c r="M5472" t="s">
        <v>52</v>
      </c>
      <c r="N5472" t="s">
        <v>44</v>
      </c>
      <c r="O5472">
        <v>381</v>
      </c>
      <c r="P5472"/>
      <c r="Q5472">
        <f t="shared" si="78"/>
        <v>11</v>
      </c>
      <c r="R5472">
        <v>1</v>
      </c>
      <c r="S5472">
        <v>0</v>
      </c>
      <c r="T5472">
        <v>0</v>
      </c>
      <c r="U5472">
        <v>0</v>
      </c>
      <c r="V5472">
        <v>11</v>
      </c>
      <c r="W5472">
        <v>0</v>
      </c>
      <c r="X5472" s="21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/>
      <c r="AI5472"/>
      <c r="AJ5472" t="s">
        <v>51</v>
      </c>
      <c r="AK5472" t="s">
        <v>95</v>
      </c>
      <c r="AL5472" t="s">
        <v>1791</v>
      </c>
      <c r="AP5472" t="s">
        <v>116</v>
      </c>
    </row>
    <row r="5473" spans="1:42" s="6" customFormat="1">
      <c r="A5473" s="12">
        <v>43874</v>
      </c>
      <c r="B5473">
        <v>4</v>
      </c>
      <c r="C5473">
        <v>307</v>
      </c>
      <c r="D5473">
        <v>10365</v>
      </c>
      <c r="E5473" t="s">
        <v>112</v>
      </c>
      <c r="F5473" t="s">
        <v>38</v>
      </c>
      <c r="G5473">
        <v>2</v>
      </c>
      <c r="H5473">
        <v>10</v>
      </c>
      <c r="I5473" s="25" t="s">
        <v>1792</v>
      </c>
      <c r="J5473"/>
      <c r="K5473" t="s">
        <v>430</v>
      </c>
      <c r="L5473" t="s">
        <v>141</v>
      </c>
      <c r="M5473" t="s">
        <v>52</v>
      </c>
      <c r="N5473" t="s">
        <v>44</v>
      </c>
      <c r="O5473">
        <v>163</v>
      </c>
      <c r="P5473"/>
      <c r="Q5473">
        <f t="shared" si="78"/>
        <v>5</v>
      </c>
      <c r="R5473">
        <v>1</v>
      </c>
      <c r="S5473">
        <v>0</v>
      </c>
      <c r="T5473">
        <v>0</v>
      </c>
      <c r="U5473">
        <v>0</v>
      </c>
      <c r="V5473">
        <v>5</v>
      </c>
      <c r="W5473">
        <v>0</v>
      </c>
      <c r="X5473" s="21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/>
      <c r="AI5473"/>
      <c r="AJ5473" t="s">
        <v>51</v>
      </c>
      <c r="AK5473" t="s">
        <v>95</v>
      </c>
      <c r="AL5473" t="s">
        <v>1793</v>
      </c>
      <c r="AP5473" t="s">
        <v>116</v>
      </c>
    </row>
    <row r="5474" spans="1:42" s="6" customFormat="1">
      <c r="A5474" s="12">
        <v>43874</v>
      </c>
      <c r="B5474">
        <v>4</v>
      </c>
      <c r="C5474">
        <v>307</v>
      </c>
      <c r="D5474">
        <v>10365</v>
      </c>
      <c r="E5474" t="s">
        <v>112</v>
      </c>
      <c r="F5474" t="s">
        <v>38</v>
      </c>
      <c r="G5474">
        <v>2</v>
      </c>
      <c r="H5474">
        <v>11</v>
      </c>
      <c r="I5474" s="25">
        <v>350</v>
      </c>
      <c r="J5474"/>
      <c r="K5474" t="s">
        <v>417</v>
      </c>
      <c r="L5474" t="s">
        <v>114</v>
      </c>
      <c r="M5474" t="s">
        <v>52</v>
      </c>
      <c r="N5474" t="s">
        <v>44</v>
      </c>
      <c r="O5474">
        <v>135</v>
      </c>
      <c r="P5474"/>
      <c r="Q5474">
        <f t="shared" si="78"/>
        <v>2</v>
      </c>
      <c r="R5474">
        <v>1</v>
      </c>
      <c r="S5474">
        <v>0</v>
      </c>
      <c r="T5474">
        <v>0</v>
      </c>
      <c r="U5474">
        <v>0</v>
      </c>
      <c r="V5474">
        <v>2</v>
      </c>
      <c r="W5474">
        <v>0</v>
      </c>
      <c r="X5474" s="21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/>
      <c r="AI5474"/>
      <c r="AJ5474" t="s">
        <v>51</v>
      </c>
      <c r="AK5474" t="s">
        <v>95</v>
      </c>
      <c r="AL5474" t="s">
        <v>1794</v>
      </c>
      <c r="AP5474" t="s">
        <v>116</v>
      </c>
    </row>
    <row r="5475" spans="1:42" s="6" customFormat="1">
      <c r="A5475" s="12">
        <v>43874</v>
      </c>
      <c r="B5475">
        <v>4</v>
      </c>
      <c r="C5475">
        <v>307</v>
      </c>
      <c r="D5475">
        <v>10365</v>
      </c>
      <c r="E5475" t="s">
        <v>112</v>
      </c>
      <c r="F5475" t="s">
        <v>38</v>
      </c>
      <c r="G5475">
        <v>2</v>
      </c>
      <c r="H5475">
        <v>12</v>
      </c>
      <c r="I5475" s="25">
        <v>550</v>
      </c>
      <c r="J5475"/>
      <c r="K5475" t="s">
        <v>420</v>
      </c>
      <c r="L5475" t="s">
        <v>114</v>
      </c>
      <c r="M5475" t="s">
        <v>52</v>
      </c>
      <c r="N5475" t="s">
        <v>44</v>
      </c>
      <c r="O5475">
        <v>56</v>
      </c>
      <c r="P5475"/>
      <c r="Q5475">
        <f t="shared" si="78"/>
        <v>1</v>
      </c>
      <c r="R5475">
        <v>1</v>
      </c>
      <c r="S5475">
        <v>0</v>
      </c>
      <c r="T5475">
        <v>0</v>
      </c>
      <c r="U5475">
        <v>0</v>
      </c>
      <c r="V5475">
        <v>1</v>
      </c>
      <c r="W5475">
        <v>0</v>
      </c>
      <c r="X5475" s="21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/>
      <c r="AI5475"/>
      <c r="AJ5475" t="s">
        <v>51</v>
      </c>
      <c r="AK5475" t="s">
        <v>95</v>
      </c>
      <c r="AL5475" t="s">
        <v>149</v>
      </c>
      <c r="AP5475" t="s">
        <v>116</v>
      </c>
    </row>
    <row r="5476" spans="1:42" s="6" customFormat="1">
      <c r="A5476" s="12">
        <v>43874</v>
      </c>
      <c r="B5476">
        <v>4</v>
      </c>
      <c r="C5476">
        <v>307</v>
      </c>
      <c r="D5476">
        <v>10365</v>
      </c>
      <c r="E5476" t="s">
        <v>112</v>
      </c>
      <c r="F5476" t="s">
        <v>38</v>
      </c>
      <c r="G5476">
        <v>2</v>
      </c>
      <c r="H5476">
        <v>13</v>
      </c>
      <c r="I5476" s="25">
        <v>652</v>
      </c>
      <c r="J5476"/>
      <c r="K5476" t="s">
        <v>414</v>
      </c>
      <c r="L5476" t="s">
        <v>114</v>
      </c>
      <c r="M5476" t="s">
        <v>52</v>
      </c>
      <c r="N5476" t="s">
        <v>40</v>
      </c>
      <c r="O5476">
        <v>52</v>
      </c>
      <c r="P5476"/>
      <c r="Q5476">
        <f t="shared" si="78"/>
        <v>2</v>
      </c>
      <c r="R5476">
        <v>1</v>
      </c>
      <c r="S5476">
        <v>0</v>
      </c>
      <c r="T5476">
        <v>0</v>
      </c>
      <c r="U5476">
        <v>1</v>
      </c>
      <c r="V5476">
        <v>1</v>
      </c>
      <c r="W5476">
        <v>0</v>
      </c>
      <c r="X5476" s="21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/>
      <c r="AI5476"/>
      <c r="AJ5476" t="s">
        <v>51</v>
      </c>
      <c r="AK5476" t="s">
        <v>95</v>
      </c>
      <c r="AL5476"/>
      <c r="AP5476" t="s">
        <v>116</v>
      </c>
    </row>
    <row r="5477" spans="1:42" s="6" customFormat="1">
      <c r="A5477" s="12">
        <v>43874</v>
      </c>
      <c r="B5477">
        <v>4</v>
      </c>
      <c r="C5477">
        <v>307</v>
      </c>
      <c r="D5477">
        <v>10365</v>
      </c>
      <c r="E5477" t="s">
        <v>112</v>
      </c>
      <c r="F5477" t="s">
        <v>38</v>
      </c>
      <c r="G5477">
        <v>2</v>
      </c>
      <c r="H5477">
        <v>14</v>
      </c>
      <c r="I5477" s="25">
        <v>30</v>
      </c>
      <c r="J5477"/>
      <c r="K5477" t="s">
        <v>415</v>
      </c>
      <c r="L5477" t="s">
        <v>114</v>
      </c>
      <c r="M5477" t="s">
        <v>52</v>
      </c>
      <c r="N5477" t="s">
        <v>44</v>
      </c>
      <c r="O5477">
        <v>260</v>
      </c>
      <c r="P5477"/>
      <c r="Q5477">
        <f t="shared" si="78"/>
        <v>7</v>
      </c>
      <c r="R5477">
        <v>1</v>
      </c>
      <c r="S5477">
        <v>0</v>
      </c>
      <c r="T5477">
        <v>0</v>
      </c>
      <c r="U5477">
        <v>0</v>
      </c>
      <c r="V5477">
        <v>7</v>
      </c>
      <c r="W5477">
        <v>0</v>
      </c>
      <c r="X5477" s="21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/>
      <c r="AI5477"/>
      <c r="AJ5477" t="s">
        <v>51</v>
      </c>
      <c r="AK5477" t="s">
        <v>95</v>
      </c>
      <c r="AL5477" t="s">
        <v>1795</v>
      </c>
      <c r="AP5477" t="s">
        <v>116</v>
      </c>
    </row>
    <row r="5478" spans="1:42" s="6" customFormat="1">
      <c r="A5478" s="12">
        <v>43874</v>
      </c>
      <c r="B5478">
        <v>4</v>
      </c>
      <c r="C5478">
        <v>307</v>
      </c>
      <c r="D5478">
        <v>10365</v>
      </c>
      <c r="E5478" t="s">
        <v>112</v>
      </c>
      <c r="F5478" t="s">
        <v>38</v>
      </c>
      <c r="G5478">
        <v>2</v>
      </c>
      <c r="H5478">
        <v>15</v>
      </c>
      <c r="I5478" s="25">
        <v>524</v>
      </c>
      <c r="J5478"/>
      <c r="K5478" t="s">
        <v>415</v>
      </c>
      <c r="L5478" t="s">
        <v>114</v>
      </c>
      <c r="M5478" t="s">
        <v>52</v>
      </c>
      <c r="N5478" t="s">
        <v>44</v>
      </c>
      <c r="O5478">
        <v>106</v>
      </c>
      <c r="P5478"/>
      <c r="Q5478">
        <f t="shared" si="78"/>
        <v>1</v>
      </c>
      <c r="R5478">
        <v>1</v>
      </c>
      <c r="S5478">
        <v>0</v>
      </c>
      <c r="T5478">
        <v>0</v>
      </c>
      <c r="U5478">
        <v>0</v>
      </c>
      <c r="V5478">
        <v>1</v>
      </c>
      <c r="W5478">
        <v>0</v>
      </c>
      <c r="X5478" s="21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/>
      <c r="AI5478"/>
      <c r="AJ5478" t="s">
        <v>51</v>
      </c>
      <c r="AK5478" t="s">
        <v>95</v>
      </c>
      <c r="AL5478" t="s">
        <v>1796</v>
      </c>
      <c r="AP5478" t="s">
        <v>116</v>
      </c>
    </row>
    <row r="5479" spans="1:42" s="6" customFormat="1">
      <c r="A5479" s="12">
        <v>43874</v>
      </c>
      <c r="B5479">
        <v>4</v>
      </c>
      <c r="C5479">
        <v>307</v>
      </c>
      <c r="D5479">
        <v>10365</v>
      </c>
      <c r="E5479" t="s">
        <v>112</v>
      </c>
      <c r="F5479" t="s">
        <v>38</v>
      </c>
      <c r="G5479">
        <v>2</v>
      </c>
      <c r="H5479">
        <v>16</v>
      </c>
      <c r="I5479" s="25">
        <v>601</v>
      </c>
      <c r="J5479"/>
      <c r="K5479" t="s">
        <v>420</v>
      </c>
      <c r="L5479" t="s">
        <v>141</v>
      </c>
      <c r="M5479" t="s">
        <v>52</v>
      </c>
      <c r="N5479" t="s">
        <v>40</v>
      </c>
      <c r="O5479">
        <v>42</v>
      </c>
      <c r="P5479"/>
      <c r="Q5479">
        <f t="shared" si="78"/>
        <v>1</v>
      </c>
      <c r="R5479">
        <v>1</v>
      </c>
      <c r="S5479">
        <v>0</v>
      </c>
      <c r="T5479">
        <v>0</v>
      </c>
      <c r="U5479">
        <v>1</v>
      </c>
      <c r="V5479">
        <v>0</v>
      </c>
      <c r="W5479">
        <v>0</v>
      </c>
      <c r="X5479" s="21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/>
      <c r="AI5479"/>
      <c r="AJ5479" t="s">
        <v>51</v>
      </c>
      <c r="AK5479" t="s">
        <v>95</v>
      </c>
      <c r="AL5479"/>
      <c r="AP5479" t="s">
        <v>116</v>
      </c>
    </row>
    <row r="5480" spans="1:42" s="6" customFormat="1">
      <c r="A5480" s="12">
        <v>43874</v>
      </c>
      <c r="B5480">
        <v>4</v>
      </c>
      <c r="C5480">
        <v>307</v>
      </c>
      <c r="D5480">
        <v>10365</v>
      </c>
      <c r="E5480" t="s">
        <v>112</v>
      </c>
      <c r="F5480" t="s">
        <v>38</v>
      </c>
      <c r="G5480">
        <v>2</v>
      </c>
      <c r="H5480">
        <v>17</v>
      </c>
      <c r="I5480" s="25">
        <v>637</v>
      </c>
      <c r="J5480"/>
      <c r="K5480" t="s">
        <v>420</v>
      </c>
      <c r="L5480" t="s">
        <v>141</v>
      </c>
      <c r="M5480" t="s">
        <v>52</v>
      </c>
      <c r="N5480" t="s">
        <v>40</v>
      </c>
      <c r="O5480">
        <v>69</v>
      </c>
      <c r="P5480"/>
      <c r="Q5480">
        <f t="shared" si="78"/>
        <v>1</v>
      </c>
      <c r="R5480">
        <v>1</v>
      </c>
      <c r="S5480">
        <v>0</v>
      </c>
      <c r="T5480">
        <v>0</v>
      </c>
      <c r="U5480">
        <v>1</v>
      </c>
      <c r="V5480">
        <v>0</v>
      </c>
      <c r="W5480">
        <v>0</v>
      </c>
      <c r="X5480" s="21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/>
      <c r="AI5480"/>
      <c r="AJ5480" t="s">
        <v>51</v>
      </c>
      <c r="AK5480" t="s">
        <v>52</v>
      </c>
      <c r="AL5480"/>
      <c r="AP5480" t="s">
        <v>116</v>
      </c>
    </row>
    <row r="5481" spans="1:42" s="6" customFormat="1">
      <c r="A5481" s="12">
        <v>43874</v>
      </c>
      <c r="B5481">
        <v>4</v>
      </c>
      <c r="C5481">
        <v>307</v>
      </c>
      <c r="D5481">
        <v>10365</v>
      </c>
      <c r="E5481" t="s">
        <v>112</v>
      </c>
      <c r="F5481" t="s">
        <v>38</v>
      </c>
      <c r="G5481">
        <v>2</v>
      </c>
      <c r="H5481">
        <v>18</v>
      </c>
      <c r="I5481" s="25">
        <v>645</v>
      </c>
      <c r="J5481"/>
      <c r="K5481" t="s">
        <v>420</v>
      </c>
      <c r="L5481" t="s">
        <v>141</v>
      </c>
      <c r="M5481" t="s">
        <v>52</v>
      </c>
      <c r="N5481" t="s">
        <v>40</v>
      </c>
      <c r="O5481">
        <v>36</v>
      </c>
      <c r="P5481"/>
      <c r="Q5481">
        <f t="shared" si="78"/>
        <v>1</v>
      </c>
      <c r="R5481">
        <v>1</v>
      </c>
      <c r="S5481">
        <v>0</v>
      </c>
      <c r="T5481">
        <v>0</v>
      </c>
      <c r="U5481">
        <v>0</v>
      </c>
      <c r="V5481">
        <v>1</v>
      </c>
      <c r="W5481">
        <v>0</v>
      </c>
      <c r="X5481" s="2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/>
      <c r="AI5481"/>
      <c r="AJ5481" t="s">
        <v>51</v>
      </c>
      <c r="AK5481" t="s">
        <v>52</v>
      </c>
      <c r="AL5481"/>
      <c r="AP5481" t="s">
        <v>116</v>
      </c>
    </row>
    <row r="5482" spans="1:42" s="6" customFormat="1">
      <c r="A5482" s="12">
        <v>43874</v>
      </c>
      <c r="B5482">
        <v>4</v>
      </c>
      <c r="C5482">
        <v>307</v>
      </c>
      <c r="D5482">
        <v>10365</v>
      </c>
      <c r="E5482" t="s">
        <v>112</v>
      </c>
      <c r="F5482" t="s">
        <v>38</v>
      </c>
      <c r="G5482">
        <v>2</v>
      </c>
      <c r="H5482">
        <v>19</v>
      </c>
      <c r="I5482" s="25">
        <v>730</v>
      </c>
      <c r="J5482"/>
      <c r="K5482" t="s">
        <v>420</v>
      </c>
      <c r="L5482" t="s">
        <v>114</v>
      </c>
      <c r="M5482" t="s">
        <v>52</v>
      </c>
      <c r="N5482" t="s">
        <v>40</v>
      </c>
      <c r="O5482">
        <v>42</v>
      </c>
      <c r="P5482"/>
      <c r="Q5482">
        <f t="shared" si="78"/>
        <v>1</v>
      </c>
      <c r="R5482">
        <v>1</v>
      </c>
      <c r="S5482">
        <v>0</v>
      </c>
      <c r="T5482">
        <v>0</v>
      </c>
      <c r="U5482">
        <v>0</v>
      </c>
      <c r="V5482">
        <v>1</v>
      </c>
      <c r="W5482">
        <v>0</v>
      </c>
      <c r="X5482" s="21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/>
      <c r="AI5482"/>
      <c r="AJ5482" t="s">
        <v>51</v>
      </c>
      <c r="AK5482" t="s">
        <v>52</v>
      </c>
      <c r="AL5482"/>
      <c r="AP5482" t="s">
        <v>116</v>
      </c>
    </row>
    <row r="5483" spans="1:42" s="6" customFormat="1">
      <c r="A5483" s="12">
        <v>43874</v>
      </c>
      <c r="B5483">
        <v>4</v>
      </c>
      <c r="C5483">
        <v>307</v>
      </c>
      <c r="D5483">
        <v>10365</v>
      </c>
      <c r="E5483" t="s">
        <v>112</v>
      </c>
      <c r="F5483" t="s">
        <v>38</v>
      </c>
      <c r="G5483">
        <v>2</v>
      </c>
      <c r="H5483">
        <v>20</v>
      </c>
      <c r="I5483" s="25">
        <v>739</v>
      </c>
      <c r="J5483"/>
      <c r="K5483" t="s">
        <v>420</v>
      </c>
      <c r="L5483" t="s">
        <v>141</v>
      </c>
      <c r="M5483" t="s">
        <v>52</v>
      </c>
      <c r="N5483" t="s">
        <v>40</v>
      </c>
      <c r="O5483">
        <v>46</v>
      </c>
      <c r="P5483"/>
      <c r="Q5483">
        <f t="shared" si="78"/>
        <v>1</v>
      </c>
      <c r="R5483">
        <v>1</v>
      </c>
      <c r="S5483">
        <v>0</v>
      </c>
      <c r="T5483">
        <v>0</v>
      </c>
      <c r="U5483">
        <v>0</v>
      </c>
      <c r="V5483">
        <v>1</v>
      </c>
      <c r="W5483">
        <v>0</v>
      </c>
      <c r="X5483" s="21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/>
      <c r="AI5483"/>
      <c r="AJ5483" t="s">
        <v>51</v>
      </c>
      <c r="AK5483" t="s">
        <v>52</v>
      </c>
      <c r="AL5483"/>
      <c r="AP5483" t="s">
        <v>116</v>
      </c>
    </row>
    <row r="5484" spans="1:42" s="6" customFormat="1">
      <c r="A5484" s="12">
        <v>43874</v>
      </c>
      <c r="B5484">
        <v>4</v>
      </c>
      <c r="C5484">
        <v>307</v>
      </c>
      <c r="D5484">
        <v>10365</v>
      </c>
      <c r="E5484" t="s">
        <v>112</v>
      </c>
      <c r="F5484" t="s">
        <v>38</v>
      </c>
      <c r="G5484">
        <v>2</v>
      </c>
      <c r="H5484">
        <v>21</v>
      </c>
      <c r="I5484" s="25">
        <v>455</v>
      </c>
      <c r="J5484"/>
      <c r="K5484" t="s">
        <v>828</v>
      </c>
      <c r="L5484" t="s">
        <v>141</v>
      </c>
      <c r="M5484" t="s">
        <v>52</v>
      </c>
      <c r="N5484" t="s">
        <v>44</v>
      </c>
      <c r="O5484">
        <v>143</v>
      </c>
      <c r="P5484"/>
      <c r="Q5484">
        <f t="shared" si="78"/>
        <v>2</v>
      </c>
      <c r="R5484">
        <v>1</v>
      </c>
      <c r="S5484">
        <v>0</v>
      </c>
      <c r="T5484">
        <v>0</v>
      </c>
      <c r="U5484">
        <v>1</v>
      </c>
      <c r="V5484">
        <v>1</v>
      </c>
      <c r="W5484">
        <v>0</v>
      </c>
      <c r="X5484" s="21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/>
      <c r="AI5484"/>
      <c r="AJ5484" t="s">
        <v>54</v>
      </c>
      <c r="AK5484" t="s">
        <v>52</v>
      </c>
      <c r="AL5484" t="s">
        <v>1797</v>
      </c>
      <c r="AP5484" t="s">
        <v>116</v>
      </c>
    </row>
    <row r="5485" spans="1:42" s="6" customFormat="1">
      <c r="A5485" s="12">
        <v>43874</v>
      </c>
      <c r="B5485">
        <v>4</v>
      </c>
      <c r="C5485">
        <v>307</v>
      </c>
      <c r="D5485">
        <v>10365</v>
      </c>
      <c r="E5485" t="s">
        <v>112</v>
      </c>
      <c r="F5485" t="s">
        <v>38</v>
      </c>
      <c r="G5485">
        <v>2</v>
      </c>
      <c r="H5485">
        <v>22</v>
      </c>
      <c r="I5485" s="25" t="s">
        <v>1798</v>
      </c>
      <c r="J5485"/>
      <c r="K5485" t="s">
        <v>828</v>
      </c>
      <c r="L5485" t="s">
        <v>114</v>
      </c>
      <c r="M5485" t="s">
        <v>52</v>
      </c>
      <c r="N5485" t="s">
        <v>44</v>
      </c>
      <c r="O5485">
        <v>437</v>
      </c>
      <c r="P5485"/>
      <c r="Q5485">
        <f t="shared" si="78"/>
        <v>3</v>
      </c>
      <c r="R5485">
        <v>1</v>
      </c>
      <c r="S5485">
        <v>0</v>
      </c>
      <c r="T5485">
        <v>0</v>
      </c>
      <c r="U5485">
        <v>2</v>
      </c>
      <c r="V5485">
        <v>1</v>
      </c>
      <c r="W5485">
        <v>0</v>
      </c>
      <c r="X5485" s="21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/>
      <c r="AI5485"/>
      <c r="AJ5485" t="s">
        <v>54</v>
      </c>
      <c r="AK5485" t="s">
        <v>52</v>
      </c>
      <c r="AL5485" t="s">
        <v>149</v>
      </c>
      <c r="AP5485" t="s">
        <v>116</v>
      </c>
    </row>
    <row r="5486" spans="1:42" s="6" customFormat="1">
      <c r="A5486" s="12">
        <v>43874</v>
      </c>
      <c r="B5486">
        <v>4</v>
      </c>
      <c r="C5486">
        <v>307</v>
      </c>
      <c r="D5486">
        <v>10365</v>
      </c>
      <c r="E5486" t="s">
        <v>112</v>
      </c>
      <c r="F5486" t="s">
        <v>38</v>
      </c>
      <c r="G5486">
        <v>2</v>
      </c>
      <c r="H5486">
        <v>23</v>
      </c>
      <c r="I5486" s="25">
        <v>437</v>
      </c>
      <c r="J5486"/>
      <c r="K5486" t="s">
        <v>828</v>
      </c>
      <c r="L5486" t="s">
        <v>141</v>
      </c>
      <c r="M5486" t="s">
        <v>95</v>
      </c>
      <c r="N5486" t="s">
        <v>44</v>
      </c>
      <c r="O5486">
        <v>121</v>
      </c>
      <c r="P5486"/>
      <c r="Q5486">
        <f t="shared" si="78"/>
        <v>1</v>
      </c>
      <c r="R5486">
        <v>1</v>
      </c>
      <c r="S5486">
        <v>0</v>
      </c>
      <c r="T5486">
        <v>0</v>
      </c>
      <c r="U5486">
        <v>1</v>
      </c>
      <c r="V5486">
        <v>0</v>
      </c>
      <c r="W5486">
        <v>0</v>
      </c>
      <c r="X5486" s="21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/>
      <c r="AI5486"/>
      <c r="AJ5486" t="s">
        <v>54</v>
      </c>
      <c r="AK5486" t="s">
        <v>95</v>
      </c>
      <c r="AL5486" t="s">
        <v>149</v>
      </c>
      <c r="AP5486" t="s">
        <v>116</v>
      </c>
    </row>
    <row r="5487" spans="1:42" s="6" customFormat="1">
      <c r="A5487" s="12">
        <v>43874</v>
      </c>
      <c r="B5487">
        <v>4</v>
      </c>
      <c r="C5487">
        <v>307</v>
      </c>
      <c r="D5487">
        <v>10365</v>
      </c>
      <c r="E5487" t="s">
        <v>112</v>
      </c>
      <c r="F5487" t="s">
        <v>38</v>
      </c>
      <c r="G5487">
        <v>2</v>
      </c>
      <c r="H5487">
        <v>24</v>
      </c>
      <c r="I5487" s="25" t="s">
        <v>1799</v>
      </c>
      <c r="J5487"/>
      <c r="K5487" t="s">
        <v>828</v>
      </c>
      <c r="L5487" t="s">
        <v>141</v>
      </c>
      <c r="M5487" t="s">
        <v>95</v>
      </c>
      <c r="N5487" t="s">
        <v>44</v>
      </c>
      <c r="O5487">
        <v>118</v>
      </c>
      <c r="P5487"/>
      <c r="Q5487">
        <f t="shared" si="78"/>
        <v>2</v>
      </c>
      <c r="R5487">
        <v>1</v>
      </c>
      <c r="S5487">
        <v>0</v>
      </c>
      <c r="T5487">
        <v>0</v>
      </c>
      <c r="U5487">
        <v>2</v>
      </c>
      <c r="V5487">
        <v>0</v>
      </c>
      <c r="W5487">
        <v>0</v>
      </c>
      <c r="X5487" s="21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/>
      <c r="AI5487"/>
      <c r="AJ5487" t="s">
        <v>51</v>
      </c>
      <c r="AK5487" t="s">
        <v>52</v>
      </c>
      <c r="AL5487" t="s">
        <v>1800</v>
      </c>
      <c r="AP5487" t="s">
        <v>116</v>
      </c>
    </row>
    <row r="5488" spans="1:42" s="6" customFormat="1">
      <c r="A5488" s="12">
        <v>43874</v>
      </c>
      <c r="B5488">
        <v>4</v>
      </c>
      <c r="C5488">
        <v>307</v>
      </c>
      <c r="D5488">
        <v>10365</v>
      </c>
      <c r="E5488" t="s">
        <v>112</v>
      </c>
      <c r="F5488" t="s">
        <v>38</v>
      </c>
      <c r="G5488">
        <v>2</v>
      </c>
      <c r="H5488">
        <v>25</v>
      </c>
      <c r="I5488" s="25">
        <v>348</v>
      </c>
      <c r="J5488"/>
      <c r="K5488" t="s">
        <v>828</v>
      </c>
      <c r="L5488" t="s">
        <v>114</v>
      </c>
      <c r="M5488" t="s">
        <v>52</v>
      </c>
      <c r="N5488" t="s">
        <v>44</v>
      </c>
      <c r="O5488">
        <v>60</v>
      </c>
      <c r="P5488"/>
      <c r="Q5488">
        <f t="shared" si="78"/>
        <v>2</v>
      </c>
      <c r="R5488">
        <v>1</v>
      </c>
      <c r="S5488">
        <v>0</v>
      </c>
      <c r="T5488">
        <v>0</v>
      </c>
      <c r="U5488">
        <v>1</v>
      </c>
      <c r="V5488">
        <v>1</v>
      </c>
      <c r="W5488">
        <v>0</v>
      </c>
      <c r="X5488" s="21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/>
      <c r="AI5488"/>
      <c r="AJ5488" t="s">
        <v>51</v>
      </c>
      <c r="AK5488" t="s">
        <v>52</v>
      </c>
      <c r="AL5488" t="s">
        <v>1801</v>
      </c>
      <c r="AP5488" t="s">
        <v>116</v>
      </c>
    </row>
    <row r="5489" spans="1:42" s="6" customFormat="1">
      <c r="A5489" s="12">
        <v>43874</v>
      </c>
      <c r="B5489">
        <v>4</v>
      </c>
      <c r="C5489">
        <v>307</v>
      </c>
      <c r="D5489">
        <v>10365</v>
      </c>
      <c r="E5489" t="s">
        <v>112</v>
      </c>
      <c r="F5489" t="s">
        <v>38</v>
      </c>
      <c r="G5489">
        <v>2</v>
      </c>
      <c r="H5489">
        <v>26</v>
      </c>
      <c r="I5489" s="25">
        <v>359</v>
      </c>
      <c r="J5489"/>
      <c r="K5489" t="s">
        <v>828</v>
      </c>
      <c r="L5489" t="s">
        <v>141</v>
      </c>
      <c r="M5489" t="s">
        <v>95</v>
      </c>
      <c r="N5489" t="s">
        <v>44</v>
      </c>
      <c r="O5489">
        <v>140</v>
      </c>
      <c r="P5489"/>
      <c r="Q5489">
        <f t="shared" si="78"/>
        <v>1</v>
      </c>
      <c r="R5489">
        <v>1</v>
      </c>
      <c r="S5489">
        <v>0</v>
      </c>
      <c r="T5489">
        <v>0</v>
      </c>
      <c r="U5489">
        <v>1</v>
      </c>
      <c r="V5489">
        <v>0</v>
      </c>
      <c r="W5489">
        <v>0</v>
      </c>
      <c r="X5489" s="21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/>
      <c r="AI5489"/>
      <c r="AJ5489" t="s">
        <v>51</v>
      </c>
      <c r="AK5489" t="s">
        <v>52</v>
      </c>
      <c r="AL5489" t="s">
        <v>1802</v>
      </c>
      <c r="AP5489" t="s">
        <v>116</v>
      </c>
    </row>
    <row r="5490" spans="1:42" s="6" customFormat="1">
      <c r="A5490" s="12">
        <v>43874</v>
      </c>
      <c r="B5490">
        <v>4</v>
      </c>
      <c r="C5490">
        <v>307</v>
      </c>
      <c r="D5490">
        <v>10365</v>
      </c>
      <c r="E5490" t="s">
        <v>112</v>
      </c>
      <c r="F5490" t="s">
        <v>38</v>
      </c>
      <c r="G5490">
        <v>2</v>
      </c>
      <c r="H5490">
        <v>27</v>
      </c>
      <c r="I5490" s="25">
        <v>360</v>
      </c>
      <c r="J5490"/>
      <c r="K5490" t="s">
        <v>828</v>
      </c>
      <c r="L5490" t="s">
        <v>114</v>
      </c>
      <c r="M5490" t="s">
        <v>52</v>
      </c>
      <c r="N5490" t="s">
        <v>44</v>
      </c>
      <c r="O5490">
        <v>93</v>
      </c>
      <c r="P5490"/>
      <c r="Q5490">
        <f t="shared" si="78"/>
        <v>1</v>
      </c>
      <c r="R5490">
        <v>1</v>
      </c>
      <c r="S5490">
        <v>0</v>
      </c>
      <c r="T5490">
        <v>0</v>
      </c>
      <c r="U5490">
        <v>0</v>
      </c>
      <c r="V5490">
        <v>1</v>
      </c>
      <c r="W5490">
        <v>0</v>
      </c>
      <c r="X5490" s="21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/>
      <c r="AI5490"/>
      <c r="AJ5490" t="s">
        <v>51</v>
      </c>
      <c r="AK5490" t="s">
        <v>52</v>
      </c>
      <c r="AL5490" t="s">
        <v>149</v>
      </c>
      <c r="AP5490" t="s">
        <v>116</v>
      </c>
    </row>
    <row r="5491" spans="1:42" s="6" customFormat="1">
      <c r="A5491" s="12">
        <v>43874</v>
      </c>
      <c r="B5491">
        <v>4</v>
      </c>
      <c r="C5491">
        <v>307</v>
      </c>
      <c r="D5491">
        <v>10365</v>
      </c>
      <c r="E5491" t="s">
        <v>112</v>
      </c>
      <c r="F5491" t="s">
        <v>38</v>
      </c>
      <c r="G5491">
        <v>2</v>
      </c>
      <c r="H5491">
        <v>28</v>
      </c>
      <c r="I5491" s="25">
        <v>333</v>
      </c>
      <c r="J5491"/>
      <c r="K5491" t="s">
        <v>828</v>
      </c>
      <c r="L5491" t="s">
        <v>141</v>
      </c>
      <c r="M5491" t="s">
        <v>95</v>
      </c>
      <c r="N5491" t="s">
        <v>44</v>
      </c>
      <c r="O5491">
        <v>122</v>
      </c>
      <c r="P5491"/>
      <c r="Q5491">
        <f t="shared" si="78"/>
        <v>1</v>
      </c>
      <c r="R5491">
        <v>1</v>
      </c>
      <c r="S5491">
        <v>0</v>
      </c>
      <c r="T5491">
        <v>0</v>
      </c>
      <c r="U5491">
        <v>0</v>
      </c>
      <c r="V5491">
        <v>1</v>
      </c>
      <c r="W5491">
        <v>0</v>
      </c>
      <c r="X5491" s="2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/>
      <c r="AI5491"/>
      <c r="AJ5491" t="s">
        <v>51</v>
      </c>
      <c r="AK5491" t="s">
        <v>52</v>
      </c>
      <c r="AL5491" t="s">
        <v>1803</v>
      </c>
      <c r="AP5491" t="s">
        <v>116</v>
      </c>
    </row>
    <row r="5492" spans="1:42" s="6" customFormat="1">
      <c r="A5492" s="12">
        <v>43874</v>
      </c>
      <c r="B5492">
        <v>4</v>
      </c>
      <c r="C5492">
        <v>307</v>
      </c>
      <c r="D5492">
        <v>10365</v>
      </c>
      <c r="E5492" t="s">
        <v>112</v>
      </c>
      <c r="F5492" t="s">
        <v>38</v>
      </c>
      <c r="G5492">
        <v>2</v>
      </c>
      <c r="H5492">
        <v>29</v>
      </c>
      <c r="I5492" s="25">
        <v>300</v>
      </c>
      <c r="J5492"/>
      <c r="K5492" t="s">
        <v>828</v>
      </c>
      <c r="L5492" t="s">
        <v>114</v>
      </c>
      <c r="M5492" t="s">
        <v>52</v>
      </c>
      <c r="N5492" t="s">
        <v>44</v>
      </c>
      <c r="O5492">
        <v>118</v>
      </c>
      <c r="P5492"/>
      <c r="Q5492">
        <f t="shared" si="78"/>
        <v>2</v>
      </c>
      <c r="R5492">
        <v>1</v>
      </c>
      <c r="S5492">
        <v>0</v>
      </c>
      <c r="T5492">
        <v>0</v>
      </c>
      <c r="U5492">
        <v>1</v>
      </c>
      <c r="V5492">
        <v>1</v>
      </c>
      <c r="W5492">
        <v>0</v>
      </c>
      <c r="X5492" s="21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/>
      <c r="AI5492"/>
      <c r="AJ5492" t="s">
        <v>51</v>
      </c>
      <c r="AK5492" t="s">
        <v>52</v>
      </c>
      <c r="AL5492" t="s">
        <v>1801</v>
      </c>
      <c r="AP5492" t="s">
        <v>116</v>
      </c>
    </row>
    <row r="5493" spans="1:42" s="6" customFormat="1">
      <c r="A5493" s="12">
        <v>43874</v>
      </c>
      <c r="B5493">
        <v>4</v>
      </c>
      <c r="C5493">
        <v>307</v>
      </c>
      <c r="D5493">
        <v>10365</v>
      </c>
      <c r="E5493" t="s">
        <v>112</v>
      </c>
      <c r="F5493" t="s">
        <v>38</v>
      </c>
      <c r="G5493">
        <v>2</v>
      </c>
      <c r="H5493">
        <v>30</v>
      </c>
      <c r="I5493" s="25">
        <v>324</v>
      </c>
      <c r="J5493"/>
      <c r="K5493" t="s">
        <v>828</v>
      </c>
      <c r="L5493" t="s">
        <v>114</v>
      </c>
      <c r="M5493" t="s">
        <v>52</v>
      </c>
      <c r="N5493" t="s">
        <v>44</v>
      </c>
      <c r="O5493">
        <v>85</v>
      </c>
      <c r="P5493"/>
      <c r="Q5493">
        <f t="shared" si="78"/>
        <v>1</v>
      </c>
      <c r="R5493">
        <v>1</v>
      </c>
      <c r="S5493">
        <v>0</v>
      </c>
      <c r="T5493">
        <v>0</v>
      </c>
      <c r="U5493">
        <v>0</v>
      </c>
      <c r="V5493">
        <v>1</v>
      </c>
      <c r="W5493">
        <v>0</v>
      </c>
      <c r="X5493" s="21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/>
      <c r="AI5493"/>
      <c r="AJ5493" t="s">
        <v>51</v>
      </c>
      <c r="AK5493" t="s">
        <v>52</v>
      </c>
      <c r="AL5493" t="s">
        <v>1709</v>
      </c>
      <c r="AP5493" t="s">
        <v>116</v>
      </c>
    </row>
    <row r="5494" spans="1:42" s="6" customFormat="1">
      <c r="A5494" s="12">
        <v>43874</v>
      </c>
      <c r="B5494">
        <v>4</v>
      </c>
      <c r="C5494">
        <v>307</v>
      </c>
      <c r="D5494">
        <v>10365</v>
      </c>
      <c r="E5494" t="s">
        <v>112</v>
      </c>
      <c r="F5494" t="s">
        <v>38</v>
      </c>
      <c r="G5494">
        <v>2</v>
      </c>
      <c r="H5494">
        <v>31</v>
      </c>
      <c r="I5494" s="25">
        <v>328</v>
      </c>
      <c r="J5494"/>
      <c r="K5494" t="s">
        <v>828</v>
      </c>
      <c r="L5494" t="s">
        <v>114</v>
      </c>
      <c r="M5494" t="s">
        <v>52</v>
      </c>
      <c r="N5494" t="s">
        <v>44</v>
      </c>
      <c r="O5494">
        <v>131</v>
      </c>
      <c r="P5494"/>
      <c r="Q5494">
        <f t="shared" si="78"/>
        <v>1</v>
      </c>
      <c r="R5494">
        <v>1</v>
      </c>
      <c r="S5494">
        <v>0</v>
      </c>
      <c r="T5494">
        <v>0</v>
      </c>
      <c r="U5494">
        <v>0</v>
      </c>
      <c r="V5494">
        <v>1</v>
      </c>
      <c r="W5494">
        <v>0</v>
      </c>
      <c r="X5494" s="21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/>
      <c r="AI5494"/>
      <c r="AJ5494" t="s">
        <v>51</v>
      </c>
      <c r="AK5494" t="s">
        <v>52</v>
      </c>
      <c r="AL5494" t="s">
        <v>1804</v>
      </c>
      <c r="AP5494" t="s">
        <v>116</v>
      </c>
    </row>
    <row r="5495" spans="1:42" s="6" customFormat="1">
      <c r="A5495" s="12">
        <v>43874</v>
      </c>
      <c r="B5495">
        <v>4</v>
      </c>
      <c r="C5495">
        <v>307</v>
      </c>
      <c r="D5495">
        <v>10365</v>
      </c>
      <c r="E5495" t="s">
        <v>112</v>
      </c>
      <c r="F5495" t="s">
        <v>38</v>
      </c>
      <c r="G5495">
        <v>2</v>
      </c>
      <c r="H5495">
        <v>32</v>
      </c>
      <c r="I5495" s="25">
        <v>315</v>
      </c>
      <c r="J5495"/>
      <c r="K5495" t="s">
        <v>828</v>
      </c>
      <c r="L5495" t="s">
        <v>141</v>
      </c>
      <c r="M5495" t="s">
        <v>95</v>
      </c>
      <c r="N5495" t="s">
        <v>44</v>
      </c>
      <c r="O5495">
        <v>121</v>
      </c>
      <c r="P5495"/>
      <c r="Q5495">
        <f t="shared" si="78"/>
        <v>1</v>
      </c>
      <c r="R5495">
        <v>1</v>
      </c>
      <c r="S5495">
        <v>0</v>
      </c>
      <c r="T5495">
        <v>0</v>
      </c>
      <c r="U5495">
        <v>1</v>
      </c>
      <c r="V5495">
        <v>0</v>
      </c>
      <c r="W5495">
        <v>0</v>
      </c>
      <c r="X5495" s="21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/>
      <c r="AI5495"/>
      <c r="AJ5495" t="s">
        <v>51</v>
      </c>
      <c r="AK5495" t="s">
        <v>52</v>
      </c>
      <c r="AL5495" t="s">
        <v>1805</v>
      </c>
      <c r="AP5495" t="s">
        <v>116</v>
      </c>
    </row>
    <row r="5496" spans="1:42" s="6" customFormat="1">
      <c r="A5496" s="12">
        <v>43874</v>
      </c>
      <c r="B5496">
        <v>4</v>
      </c>
      <c r="C5496">
        <v>307</v>
      </c>
      <c r="D5496">
        <v>10365</v>
      </c>
      <c r="E5496" t="s">
        <v>112</v>
      </c>
      <c r="F5496" t="s">
        <v>38</v>
      </c>
      <c r="G5496">
        <v>2</v>
      </c>
      <c r="H5496">
        <v>33</v>
      </c>
      <c r="I5496" s="25">
        <v>305</v>
      </c>
      <c r="J5496"/>
      <c r="K5496" t="s">
        <v>828</v>
      </c>
      <c r="L5496" t="s">
        <v>141</v>
      </c>
      <c r="M5496" t="s">
        <v>95</v>
      </c>
      <c r="N5496" t="s">
        <v>44</v>
      </c>
      <c r="O5496">
        <v>122</v>
      </c>
      <c r="P5496"/>
      <c r="Q5496">
        <f t="shared" si="78"/>
        <v>1</v>
      </c>
      <c r="R5496">
        <v>1</v>
      </c>
      <c r="S5496">
        <v>0</v>
      </c>
      <c r="T5496">
        <v>0</v>
      </c>
      <c r="U5496">
        <v>0</v>
      </c>
      <c r="V5496">
        <v>1</v>
      </c>
      <c r="W5496">
        <v>0</v>
      </c>
      <c r="X5496" s="21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/>
      <c r="AI5496"/>
      <c r="AJ5496" t="s">
        <v>51</v>
      </c>
      <c r="AK5496" t="s">
        <v>52</v>
      </c>
      <c r="AL5496" t="s">
        <v>1806</v>
      </c>
      <c r="AP5496" t="s">
        <v>116</v>
      </c>
    </row>
    <row r="5497" spans="1:42" s="6" customFormat="1">
      <c r="A5497" s="12">
        <v>43874</v>
      </c>
      <c r="B5497">
        <v>4</v>
      </c>
      <c r="C5497">
        <v>307</v>
      </c>
      <c r="D5497">
        <v>10365</v>
      </c>
      <c r="E5497" t="s">
        <v>112</v>
      </c>
      <c r="F5497" t="s">
        <v>38</v>
      </c>
      <c r="G5497">
        <v>2</v>
      </c>
      <c r="H5497">
        <v>34</v>
      </c>
      <c r="I5497" s="25">
        <v>126</v>
      </c>
      <c r="J5497"/>
      <c r="K5497" t="s">
        <v>828</v>
      </c>
      <c r="L5497" t="s">
        <v>114</v>
      </c>
      <c r="M5497" t="s">
        <v>52</v>
      </c>
      <c r="N5497" t="s">
        <v>44</v>
      </c>
      <c r="O5497">
        <v>130</v>
      </c>
      <c r="P5497"/>
      <c r="Q5497">
        <f t="shared" si="78"/>
        <v>1</v>
      </c>
      <c r="R5497">
        <v>1</v>
      </c>
      <c r="S5497">
        <v>0</v>
      </c>
      <c r="T5497">
        <v>0</v>
      </c>
      <c r="U5497">
        <v>0</v>
      </c>
      <c r="V5497">
        <v>1</v>
      </c>
      <c r="W5497">
        <v>0</v>
      </c>
      <c r="X5497" s="21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/>
      <c r="AI5497"/>
      <c r="AJ5497" t="s">
        <v>51</v>
      </c>
      <c r="AK5497" t="s">
        <v>52</v>
      </c>
      <c r="AL5497" t="s">
        <v>1807</v>
      </c>
      <c r="AP5497" t="s">
        <v>116</v>
      </c>
    </row>
    <row r="5498" spans="1:42" s="6" customFormat="1">
      <c r="A5498" s="12">
        <v>43874</v>
      </c>
      <c r="B5498">
        <v>4</v>
      </c>
      <c r="C5498">
        <v>307</v>
      </c>
      <c r="D5498">
        <v>10365</v>
      </c>
      <c r="E5498" t="s">
        <v>112</v>
      </c>
      <c r="F5498" t="s">
        <v>38</v>
      </c>
      <c r="G5498">
        <v>2</v>
      </c>
      <c r="H5498">
        <v>35</v>
      </c>
      <c r="I5498" s="25">
        <v>60</v>
      </c>
      <c r="J5498"/>
      <c r="K5498" t="s">
        <v>417</v>
      </c>
      <c r="L5498" t="s">
        <v>114</v>
      </c>
      <c r="M5498" t="s">
        <v>52</v>
      </c>
      <c r="N5498" t="s">
        <v>1703</v>
      </c>
      <c r="O5498">
        <v>38</v>
      </c>
      <c r="P5498"/>
      <c r="Q5498">
        <f t="shared" si="78"/>
        <v>1</v>
      </c>
      <c r="R5498">
        <v>1</v>
      </c>
      <c r="S5498">
        <v>0</v>
      </c>
      <c r="T5498">
        <v>0</v>
      </c>
      <c r="U5498">
        <v>0</v>
      </c>
      <c r="V5498">
        <v>1</v>
      </c>
      <c r="W5498">
        <v>0</v>
      </c>
      <c r="X5498" s="21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/>
      <c r="AI5498"/>
      <c r="AJ5498" t="s">
        <v>51</v>
      </c>
      <c r="AK5498" t="s">
        <v>52</v>
      </c>
      <c r="AL5498" t="s">
        <v>1808</v>
      </c>
      <c r="AP5498" t="s">
        <v>116</v>
      </c>
    </row>
    <row r="5499" spans="1:42" s="6" customFormat="1">
      <c r="A5499" s="12">
        <v>43874</v>
      </c>
      <c r="B5499">
        <v>4</v>
      </c>
      <c r="C5499">
        <v>307</v>
      </c>
      <c r="D5499">
        <v>10365</v>
      </c>
      <c r="E5499" t="s">
        <v>112</v>
      </c>
      <c r="F5499" t="s">
        <v>38</v>
      </c>
      <c r="G5499">
        <v>2</v>
      </c>
      <c r="H5499">
        <v>36</v>
      </c>
      <c r="I5499" s="25">
        <v>146</v>
      </c>
      <c r="J5499"/>
      <c r="K5499" t="s">
        <v>91</v>
      </c>
      <c r="L5499" t="s">
        <v>114</v>
      </c>
      <c r="M5499" t="s">
        <v>52</v>
      </c>
      <c r="N5499" t="s">
        <v>40</v>
      </c>
      <c r="O5499">
        <v>41</v>
      </c>
      <c r="P5499"/>
      <c r="Q5499">
        <f t="shared" si="78"/>
        <v>1</v>
      </c>
      <c r="R5499">
        <v>1</v>
      </c>
      <c r="S5499">
        <v>0</v>
      </c>
      <c r="T5499">
        <v>0</v>
      </c>
      <c r="U5499">
        <v>0</v>
      </c>
      <c r="V5499">
        <v>1</v>
      </c>
      <c r="W5499">
        <v>0</v>
      </c>
      <c r="X5499" s="21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/>
      <c r="AI5499"/>
      <c r="AJ5499" t="s">
        <v>51</v>
      </c>
      <c r="AK5499" t="s">
        <v>52</v>
      </c>
      <c r="AL5499"/>
      <c r="AP5499" t="s">
        <v>116</v>
      </c>
    </row>
    <row r="5500" spans="1:42" s="6" customFormat="1">
      <c r="A5500" s="12">
        <v>43874</v>
      </c>
      <c r="B5500">
        <v>4</v>
      </c>
      <c r="C5500">
        <v>307</v>
      </c>
      <c r="D5500">
        <v>10365</v>
      </c>
      <c r="E5500" t="s">
        <v>112</v>
      </c>
      <c r="F5500" t="s">
        <v>38</v>
      </c>
      <c r="G5500">
        <v>2</v>
      </c>
      <c r="H5500">
        <v>37</v>
      </c>
      <c r="I5500" s="25">
        <v>599</v>
      </c>
      <c r="J5500"/>
      <c r="K5500" t="s">
        <v>98</v>
      </c>
      <c r="L5500" t="s">
        <v>141</v>
      </c>
      <c r="M5500" t="s">
        <v>52</v>
      </c>
      <c r="N5500" t="s">
        <v>40</v>
      </c>
      <c r="O5500">
        <v>58</v>
      </c>
      <c r="P5500"/>
      <c r="Q5500">
        <f t="shared" si="78"/>
        <v>1</v>
      </c>
      <c r="R5500">
        <v>1</v>
      </c>
      <c r="S5500">
        <v>0</v>
      </c>
      <c r="T5500">
        <v>0</v>
      </c>
      <c r="U5500">
        <v>0</v>
      </c>
      <c r="V5500">
        <v>1</v>
      </c>
      <c r="W5500">
        <v>0</v>
      </c>
      <c r="X5500" s="21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/>
      <c r="AI5500"/>
      <c r="AJ5500" t="s">
        <v>51</v>
      </c>
      <c r="AK5500" t="s">
        <v>95</v>
      </c>
      <c r="AL5500"/>
      <c r="AP5500" t="s">
        <v>116</v>
      </c>
    </row>
    <row r="5501" spans="1:42" s="6" customFormat="1">
      <c r="A5501" s="12">
        <v>43874</v>
      </c>
      <c r="B5501">
        <v>4</v>
      </c>
      <c r="C5501">
        <v>307</v>
      </c>
      <c r="D5501">
        <v>10365</v>
      </c>
      <c r="E5501" t="s">
        <v>112</v>
      </c>
      <c r="F5501" t="s">
        <v>38</v>
      </c>
      <c r="G5501">
        <v>2</v>
      </c>
      <c r="H5501">
        <v>38</v>
      </c>
      <c r="I5501" s="25">
        <v>536</v>
      </c>
      <c r="J5501"/>
      <c r="K5501" t="s">
        <v>91</v>
      </c>
      <c r="L5501" t="s">
        <v>114</v>
      </c>
      <c r="M5501" t="s">
        <v>52</v>
      </c>
      <c r="N5501" t="s">
        <v>44</v>
      </c>
      <c r="O5501">
        <v>92</v>
      </c>
      <c r="P5501"/>
      <c r="Q5501">
        <f t="shared" si="78"/>
        <v>1</v>
      </c>
      <c r="R5501">
        <v>1</v>
      </c>
      <c r="S5501">
        <v>0</v>
      </c>
      <c r="T5501">
        <v>0</v>
      </c>
      <c r="U5501">
        <v>0</v>
      </c>
      <c r="V5501">
        <v>1</v>
      </c>
      <c r="W5501">
        <v>0</v>
      </c>
      <c r="X5501" s="2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/>
      <c r="AI5501"/>
      <c r="AJ5501" t="s">
        <v>54</v>
      </c>
      <c r="AK5501" t="s">
        <v>95</v>
      </c>
      <c r="AL5501" t="s">
        <v>149</v>
      </c>
      <c r="AP5501" t="s">
        <v>116</v>
      </c>
    </row>
    <row r="5502" spans="1:42" s="6" customFormat="1">
      <c r="A5502" s="12">
        <v>43874</v>
      </c>
      <c r="B5502">
        <v>4</v>
      </c>
      <c r="C5502">
        <v>307</v>
      </c>
      <c r="D5502">
        <v>10365</v>
      </c>
      <c r="E5502" t="s">
        <v>112</v>
      </c>
      <c r="F5502" t="s">
        <v>38</v>
      </c>
      <c r="G5502">
        <v>2</v>
      </c>
      <c r="H5502">
        <v>39</v>
      </c>
      <c r="I5502" s="25">
        <v>525</v>
      </c>
      <c r="J5502"/>
      <c r="K5502" t="s">
        <v>91</v>
      </c>
      <c r="L5502" t="s">
        <v>141</v>
      </c>
      <c r="M5502" t="s">
        <v>95</v>
      </c>
      <c r="N5502" t="s">
        <v>44</v>
      </c>
      <c r="O5502">
        <v>311</v>
      </c>
      <c r="P5502"/>
      <c r="Q5502">
        <f t="shared" si="78"/>
        <v>1</v>
      </c>
      <c r="R5502">
        <v>1</v>
      </c>
      <c r="S5502">
        <v>0</v>
      </c>
      <c r="T5502">
        <v>0</v>
      </c>
      <c r="U5502">
        <v>0</v>
      </c>
      <c r="V5502">
        <v>1</v>
      </c>
      <c r="W5502">
        <v>0</v>
      </c>
      <c r="X5502" s="21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/>
      <c r="AI5502"/>
      <c r="AJ5502" t="s">
        <v>54</v>
      </c>
      <c r="AK5502" t="s">
        <v>95</v>
      </c>
      <c r="AL5502" t="s">
        <v>1809</v>
      </c>
      <c r="AP5502" t="s">
        <v>116</v>
      </c>
    </row>
    <row r="5503" spans="1:42" s="6" customFormat="1">
      <c r="A5503" s="12">
        <v>43874</v>
      </c>
      <c r="B5503">
        <v>4</v>
      </c>
      <c r="C5503">
        <v>307</v>
      </c>
      <c r="D5503">
        <v>10365</v>
      </c>
      <c r="E5503" t="s">
        <v>112</v>
      </c>
      <c r="F5503" t="s">
        <v>38</v>
      </c>
      <c r="G5503">
        <v>2</v>
      </c>
      <c r="H5503">
        <v>40</v>
      </c>
      <c r="I5503" s="25">
        <v>540</v>
      </c>
      <c r="J5503"/>
      <c r="K5503" t="s">
        <v>91</v>
      </c>
      <c r="L5503" t="s">
        <v>114</v>
      </c>
      <c r="M5503" t="s">
        <v>52</v>
      </c>
      <c r="N5503" t="s">
        <v>44</v>
      </c>
      <c r="O5503">
        <v>198</v>
      </c>
      <c r="P5503"/>
      <c r="Q5503">
        <f t="shared" si="78"/>
        <v>1</v>
      </c>
      <c r="R5503">
        <v>1</v>
      </c>
      <c r="S5503">
        <v>0</v>
      </c>
      <c r="T5503">
        <v>0</v>
      </c>
      <c r="U5503">
        <v>0</v>
      </c>
      <c r="V5503">
        <v>1</v>
      </c>
      <c r="W5503">
        <v>0</v>
      </c>
      <c r="X5503" s="21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/>
      <c r="AI5503"/>
      <c r="AJ5503" t="s">
        <v>54</v>
      </c>
      <c r="AK5503" t="s">
        <v>95</v>
      </c>
      <c r="AL5503" t="s">
        <v>1810</v>
      </c>
      <c r="AP5503" t="s">
        <v>116</v>
      </c>
    </row>
    <row r="5504" spans="1:42" s="6" customFormat="1">
      <c r="A5504" s="12">
        <v>43874</v>
      </c>
      <c r="B5504">
        <v>4</v>
      </c>
      <c r="C5504">
        <v>307</v>
      </c>
      <c r="D5504">
        <v>10365</v>
      </c>
      <c r="E5504" t="s">
        <v>112</v>
      </c>
      <c r="F5504" t="s">
        <v>38</v>
      </c>
      <c r="G5504">
        <v>2</v>
      </c>
      <c r="H5504">
        <v>41</v>
      </c>
      <c r="I5504" s="25">
        <v>535</v>
      </c>
      <c r="J5504"/>
      <c r="K5504" t="s">
        <v>91</v>
      </c>
      <c r="L5504" t="s">
        <v>141</v>
      </c>
      <c r="M5504" t="s">
        <v>95</v>
      </c>
      <c r="N5504" t="s">
        <v>44</v>
      </c>
      <c r="O5504">
        <v>302</v>
      </c>
      <c r="P5504"/>
      <c r="Q5504">
        <f t="shared" si="78"/>
        <v>1</v>
      </c>
      <c r="R5504">
        <v>1</v>
      </c>
      <c r="S5504">
        <v>0</v>
      </c>
      <c r="T5504">
        <v>0</v>
      </c>
      <c r="U5504">
        <v>0</v>
      </c>
      <c r="V5504">
        <v>1</v>
      </c>
      <c r="W5504">
        <v>0</v>
      </c>
      <c r="X5504" s="21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/>
      <c r="AI5504"/>
      <c r="AJ5504" t="s">
        <v>54</v>
      </c>
      <c r="AK5504" t="s">
        <v>95</v>
      </c>
      <c r="AL5504" t="s">
        <v>1811</v>
      </c>
      <c r="AP5504" t="s">
        <v>116</v>
      </c>
    </row>
    <row r="5505" spans="1:42" s="6" customFormat="1">
      <c r="A5505" s="12">
        <v>43874</v>
      </c>
      <c r="B5505">
        <v>4</v>
      </c>
      <c r="C5505">
        <v>307</v>
      </c>
      <c r="D5505">
        <v>10365</v>
      </c>
      <c r="E5505" t="s">
        <v>112</v>
      </c>
      <c r="F5505" t="s">
        <v>38</v>
      </c>
      <c r="G5505">
        <v>2</v>
      </c>
      <c r="H5505">
        <v>42</v>
      </c>
      <c r="I5505" s="25">
        <v>550</v>
      </c>
      <c r="J5505"/>
      <c r="K5505" t="s">
        <v>91</v>
      </c>
      <c r="L5505" t="s">
        <v>114</v>
      </c>
      <c r="M5505" t="s">
        <v>52</v>
      </c>
      <c r="N5505" t="s">
        <v>44</v>
      </c>
      <c r="O5505">
        <v>60</v>
      </c>
      <c r="P5505"/>
      <c r="Q5505">
        <f t="shared" si="78"/>
        <v>0</v>
      </c>
      <c r="R5505">
        <v>1</v>
      </c>
      <c r="S5505">
        <v>0</v>
      </c>
      <c r="T5505">
        <v>0</v>
      </c>
      <c r="U5505">
        <v>0</v>
      </c>
      <c r="V5505">
        <v>0</v>
      </c>
      <c r="W5505">
        <v>0</v>
      </c>
      <c r="X5505" s="21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/>
      <c r="AI5505"/>
      <c r="AJ5505" t="s">
        <v>54</v>
      </c>
      <c r="AK5505" t="s">
        <v>95</v>
      </c>
      <c r="AL5505" t="s">
        <v>1812</v>
      </c>
      <c r="AP5505" t="s">
        <v>116</v>
      </c>
    </row>
    <row r="5506" spans="1:42" s="6" customFormat="1">
      <c r="A5506" s="12">
        <v>43874</v>
      </c>
      <c r="B5506">
        <v>4</v>
      </c>
      <c r="C5506">
        <v>307</v>
      </c>
      <c r="D5506">
        <v>10365</v>
      </c>
      <c r="E5506" t="s">
        <v>112</v>
      </c>
      <c r="F5506" t="s">
        <v>38</v>
      </c>
      <c r="G5506">
        <v>2</v>
      </c>
      <c r="H5506">
        <v>43</v>
      </c>
      <c r="I5506" s="25">
        <v>545</v>
      </c>
      <c r="J5506"/>
      <c r="K5506" t="s">
        <v>91</v>
      </c>
      <c r="L5506" t="s">
        <v>141</v>
      </c>
      <c r="M5506" t="s">
        <v>95</v>
      </c>
      <c r="N5506" t="s">
        <v>44</v>
      </c>
      <c r="O5506">
        <v>94</v>
      </c>
      <c r="P5506"/>
      <c r="Q5506">
        <f t="shared" si="78"/>
        <v>0</v>
      </c>
      <c r="R5506">
        <v>1</v>
      </c>
      <c r="S5506">
        <v>0</v>
      </c>
      <c r="T5506">
        <v>0</v>
      </c>
      <c r="U5506">
        <v>0</v>
      </c>
      <c r="V5506">
        <v>0</v>
      </c>
      <c r="W5506">
        <v>0</v>
      </c>
      <c r="X5506" s="21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/>
      <c r="AI5506"/>
      <c r="AJ5506" t="s">
        <v>54</v>
      </c>
      <c r="AK5506" t="s">
        <v>95</v>
      </c>
      <c r="AL5506" t="s">
        <v>1813</v>
      </c>
      <c r="AP5506" t="s">
        <v>116</v>
      </c>
    </row>
    <row r="5507" spans="1:42" s="6" customFormat="1">
      <c r="A5507" s="12">
        <v>43874</v>
      </c>
      <c r="B5507">
        <v>4</v>
      </c>
      <c r="C5507">
        <v>307</v>
      </c>
      <c r="D5507">
        <v>10365</v>
      </c>
      <c r="E5507" t="s">
        <v>112</v>
      </c>
      <c r="F5507" t="s">
        <v>38</v>
      </c>
      <c r="G5507">
        <v>2</v>
      </c>
      <c r="H5507">
        <v>44</v>
      </c>
      <c r="I5507" s="25">
        <v>705</v>
      </c>
      <c r="J5507"/>
      <c r="K5507" t="s">
        <v>74</v>
      </c>
      <c r="L5507" t="s">
        <v>141</v>
      </c>
      <c r="M5507" t="s">
        <v>52</v>
      </c>
      <c r="N5507" t="s">
        <v>40</v>
      </c>
      <c r="O5507">
        <v>84</v>
      </c>
      <c r="P5507"/>
      <c r="Q5507">
        <f t="shared" si="78"/>
        <v>1</v>
      </c>
      <c r="R5507">
        <v>1</v>
      </c>
      <c r="S5507">
        <v>0</v>
      </c>
      <c r="T5507">
        <v>0</v>
      </c>
      <c r="U5507">
        <v>0</v>
      </c>
      <c r="V5507">
        <v>1</v>
      </c>
      <c r="W5507">
        <v>0</v>
      </c>
      <c r="X5507" s="21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/>
      <c r="AI5507"/>
      <c r="AJ5507" t="s">
        <v>54</v>
      </c>
      <c r="AK5507" t="s">
        <v>52</v>
      </c>
      <c r="AL5507"/>
      <c r="AP5507" t="s">
        <v>116</v>
      </c>
    </row>
    <row r="5508" spans="1:42" s="6" customFormat="1">
      <c r="A5508" s="12">
        <v>43874</v>
      </c>
      <c r="B5508">
        <v>4</v>
      </c>
      <c r="C5508">
        <v>307</v>
      </c>
      <c r="D5508">
        <v>10365</v>
      </c>
      <c r="E5508" t="s">
        <v>112</v>
      </c>
      <c r="F5508" t="s">
        <v>38</v>
      </c>
      <c r="G5508">
        <v>2</v>
      </c>
      <c r="H5508">
        <v>45</v>
      </c>
      <c r="I5508" s="25">
        <v>696</v>
      </c>
      <c r="J5508"/>
      <c r="K5508" t="s">
        <v>74</v>
      </c>
      <c r="L5508" t="s">
        <v>114</v>
      </c>
      <c r="M5508" t="s">
        <v>52</v>
      </c>
      <c r="N5508" t="s">
        <v>40</v>
      </c>
      <c r="O5508">
        <v>29</v>
      </c>
      <c r="P5508"/>
      <c r="Q5508">
        <f t="shared" si="78"/>
        <v>1</v>
      </c>
      <c r="R5508">
        <v>1</v>
      </c>
      <c r="S5508">
        <v>0</v>
      </c>
      <c r="T5508">
        <v>0</v>
      </c>
      <c r="U5508">
        <v>0</v>
      </c>
      <c r="V5508">
        <v>1</v>
      </c>
      <c r="W5508">
        <v>0</v>
      </c>
      <c r="X5508" s="21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/>
      <c r="AI5508"/>
      <c r="AJ5508" t="s">
        <v>54</v>
      </c>
      <c r="AK5508" t="s">
        <v>95</v>
      </c>
      <c r="AL5508"/>
      <c r="AP5508" t="s">
        <v>116</v>
      </c>
    </row>
    <row r="5509" spans="1:42" s="6" customFormat="1">
      <c r="A5509" s="12">
        <v>43874</v>
      </c>
      <c r="B5509">
        <v>4</v>
      </c>
      <c r="C5509">
        <v>307</v>
      </c>
      <c r="D5509">
        <v>10365</v>
      </c>
      <c r="E5509" t="s">
        <v>112</v>
      </c>
      <c r="F5509" t="s">
        <v>38</v>
      </c>
      <c r="G5509">
        <v>2</v>
      </c>
      <c r="H5509">
        <v>46</v>
      </c>
      <c r="I5509" s="25">
        <v>630</v>
      </c>
      <c r="J5509"/>
      <c r="K5509" t="s">
        <v>91</v>
      </c>
      <c r="L5509" t="s">
        <v>114</v>
      </c>
      <c r="M5509" t="s">
        <v>52</v>
      </c>
      <c r="N5509" t="s">
        <v>44</v>
      </c>
      <c r="O5509">
        <v>135</v>
      </c>
      <c r="P5509"/>
      <c r="Q5509">
        <f t="shared" si="78"/>
        <v>1</v>
      </c>
      <c r="R5509">
        <v>1</v>
      </c>
      <c r="S5509">
        <v>0</v>
      </c>
      <c r="T5509">
        <v>0</v>
      </c>
      <c r="U5509">
        <v>0</v>
      </c>
      <c r="V5509">
        <v>1</v>
      </c>
      <c r="W5509">
        <v>0</v>
      </c>
      <c r="X5509" s="21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/>
      <c r="AI5509"/>
      <c r="AJ5509" t="s">
        <v>54</v>
      </c>
      <c r="AK5509" t="s">
        <v>52</v>
      </c>
      <c r="AL5509" t="s">
        <v>1814</v>
      </c>
      <c r="AP5509" t="s">
        <v>116</v>
      </c>
    </row>
    <row r="5510" spans="1:42" s="6" customFormat="1">
      <c r="A5510" s="12">
        <v>43874</v>
      </c>
      <c r="B5510">
        <v>4</v>
      </c>
      <c r="C5510">
        <v>307</v>
      </c>
      <c r="D5510">
        <v>10365</v>
      </c>
      <c r="E5510" t="s">
        <v>112</v>
      </c>
      <c r="F5510" t="s">
        <v>38</v>
      </c>
      <c r="G5510">
        <v>2</v>
      </c>
      <c r="H5510">
        <v>47</v>
      </c>
      <c r="I5510" s="25">
        <v>825</v>
      </c>
      <c r="J5510"/>
      <c r="K5510" t="s">
        <v>414</v>
      </c>
      <c r="L5510" t="s">
        <v>141</v>
      </c>
      <c r="M5510" t="s">
        <v>95</v>
      </c>
      <c r="N5510" t="s">
        <v>44</v>
      </c>
      <c r="O5510">
        <v>85</v>
      </c>
      <c r="P5510"/>
      <c r="Q5510">
        <f t="shared" si="78"/>
        <v>2</v>
      </c>
      <c r="R5510">
        <v>1</v>
      </c>
      <c r="S5510">
        <v>0</v>
      </c>
      <c r="T5510">
        <v>0</v>
      </c>
      <c r="U5510">
        <v>0</v>
      </c>
      <c r="V5510">
        <v>2</v>
      </c>
      <c r="W5510">
        <v>0</v>
      </c>
      <c r="X5510" s="21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/>
      <c r="AI5510"/>
      <c r="AJ5510" t="s">
        <v>54</v>
      </c>
      <c r="AK5510" t="s">
        <v>52</v>
      </c>
      <c r="AL5510" t="s">
        <v>316</v>
      </c>
      <c r="AP5510" t="s">
        <v>116</v>
      </c>
    </row>
    <row r="5511" spans="1:42" s="6" customFormat="1">
      <c r="A5511" s="12">
        <v>43874</v>
      </c>
      <c r="B5511">
        <v>4</v>
      </c>
      <c r="C5511">
        <v>307</v>
      </c>
      <c r="D5511">
        <v>10365</v>
      </c>
      <c r="E5511" t="s">
        <v>112</v>
      </c>
      <c r="F5511" t="s">
        <v>38</v>
      </c>
      <c r="G5511">
        <v>2</v>
      </c>
      <c r="H5511">
        <v>48</v>
      </c>
      <c r="I5511" s="25">
        <v>625</v>
      </c>
      <c r="J5511"/>
      <c r="K5511" t="s">
        <v>91</v>
      </c>
      <c r="L5511" t="s">
        <v>141</v>
      </c>
      <c r="M5511" t="s">
        <v>95</v>
      </c>
      <c r="N5511" t="s">
        <v>44</v>
      </c>
      <c r="O5511">
        <v>120</v>
      </c>
      <c r="P5511"/>
      <c r="Q5511">
        <f t="shared" si="78"/>
        <v>1</v>
      </c>
      <c r="R5511">
        <v>1</v>
      </c>
      <c r="S5511">
        <v>0</v>
      </c>
      <c r="T5511">
        <v>0</v>
      </c>
      <c r="U5511">
        <v>0</v>
      </c>
      <c r="V5511">
        <v>1</v>
      </c>
      <c r="W5511">
        <v>0</v>
      </c>
      <c r="X5511" s="2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/>
      <c r="AI5511"/>
      <c r="AJ5511" t="s">
        <v>54</v>
      </c>
      <c r="AK5511" t="s">
        <v>52</v>
      </c>
      <c r="AL5511" t="s">
        <v>1815</v>
      </c>
      <c r="AP5511" t="s">
        <v>116</v>
      </c>
    </row>
    <row r="5512" spans="1:42" s="6" customFormat="1">
      <c r="A5512" s="12">
        <v>43874</v>
      </c>
      <c r="B5512">
        <v>4</v>
      </c>
      <c r="C5512">
        <v>307</v>
      </c>
      <c r="D5512">
        <v>10365</v>
      </c>
      <c r="E5512" t="s">
        <v>112</v>
      </c>
      <c r="F5512" t="s">
        <v>38</v>
      </c>
      <c r="G5512">
        <v>2</v>
      </c>
      <c r="H5512">
        <v>49</v>
      </c>
      <c r="I5512" s="25" t="s">
        <v>955</v>
      </c>
      <c r="J5512"/>
      <c r="K5512" t="s">
        <v>91</v>
      </c>
      <c r="L5512" t="s">
        <v>141</v>
      </c>
      <c r="M5512" t="s">
        <v>52</v>
      </c>
      <c r="N5512" t="s">
        <v>44</v>
      </c>
      <c r="O5512">
        <v>139</v>
      </c>
      <c r="P5512"/>
      <c r="Q5512">
        <f t="shared" si="78"/>
        <v>2</v>
      </c>
      <c r="R5512">
        <v>1</v>
      </c>
      <c r="S5512">
        <v>0</v>
      </c>
      <c r="T5512">
        <v>0</v>
      </c>
      <c r="U5512">
        <v>0</v>
      </c>
      <c r="V5512">
        <v>2</v>
      </c>
      <c r="W5512">
        <v>0</v>
      </c>
      <c r="X5512" s="21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/>
      <c r="AI5512"/>
      <c r="AJ5512" t="s">
        <v>54</v>
      </c>
      <c r="AK5512" t="s">
        <v>52</v>
      </c>
      <c r="AL5512" t="s">
        <v>1816</v>
      </c>
      <c r="AP5512" t="s">
        <v>116</v>
      </c>
    </row>
    <row r="5513" spans="1:42" s="6" customFormat="1">
      <c r="A5513" s="12">
        <v>43874</v>
      </c>
      <c r="B5513">
        <v>4</v>
      </c>
      <c r="C5513">
        <v>307</v>
      </c>
      <c r="D5513">
        <v>10365</v>
      </c>
      <c r="E5513" t="s">
        <v>112</v>
      </c>
      <c r="F5513" t="s">
        <v>38</v>
      </c>
      <c r="G5513">
        <v>2</v>
      </c>
      <c r="H5513">
        <v>50</v>
      </c>
      <c r="I5513" s="25">
        <v>780</v>
      </c>
      <c r="J5513"/>
      <c r="K5513" t="s">
        <v>53</v>
      </c>
      <c r="L5513" t="s">
        <v>114</v>
      </c>
      <c r="M5513" t="s">
        <v>52</v>
      </c>
      <c r="N5513" t="s">
        <v>40</v>
      </c>
      <c r="O5513">
        <v>28</v>
      </c>
      <c r="P5513"/>
      <c r="Q5513">
        <f t="shared" si="78"/>
        <v>1</v>
      </c>
      <c r="R5513">
        <v>1</v>
      </c>
      <c r="S5513">
        <v>0</v>
      </c>
      <c r="T5513">
        <v>0</v>
      </c>
      <c r="U5513">
        <v>0</v>
      </c>
      <c r="V5513">
        <v>1</v>
      </c>
      <c r="W5513">
        <v>0</v>
      </c>
      <c r="X5513" s="21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/>
      <c r="AI5513"/>
      <c r="AJ5513" t="s">
        <v>51</v>
      </c>
      <c r="AK5513" t="s">
        <v>52</v>
      </c>
      <c r="AL5513"/>
      <c r="AP5513" t="s">
        <v>116</v>
      </c>
    </row>
    <row r="5514" spans="1:42" s="6" customFormat="1">
      <c r="A5514" s="12">
        <v>43874</v>
      </c>
      <c r="B5514">
        <v>4</v>
      </c>
      <c r="C5514">
        <v>307</v>
      </c>
      <c r="D5514">
        <v>10365</v>
      </c>
      <c r="E5514" t="s">
        <v>112</v>
      </c>
      <c r="F5514" t="s">
        <v>38</v>
      </c>
      <c r="G5514">
        <v>2</v>
      </c>
      <c r="H5514">
        <v>51</v>
      </c>
      <c r="I5514" s="25">
        <v>750</v>
      </c>
      <c r="J5514"/>
      <c r="K5514" t="s">
        <v>53</v>
      </c>
      <c r="L5514" t="s">
        <v>114</v>
      </c>
      <c r="M5514" t="s">
        <v>52</v>
      </c>
      <c r="N5514" t="s">
        <v>1703</v>
      </c>
      <c r="O5514">
        <v>37</v>
      </c>
      <c r="P5514"/>
      <c r="Q5514">
        <f t="shared" si="78"/>
        <v>1</v>
      </c>
      <c r="R5514">
        <v>1</v>
      </c>
      <c r="S5514">
        <v>0</v>
      </c>
      <c r="T5514">
        <v>0</v>
      </c>
      <c r="U5514">
        <v>0</v>
      </c>
      <c r="V5514">
        <v>1</v>
      </c>
      <c r="W5514">
        <v>0</v>
      </c>
      <c r="X5514" s="21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/>
      <c r="AI5514"/>
      <c r="AJ5514" t="s">
        <v>51</v>
      </c>
      <c r="AK5514" t="s">
        <v>52</v>
      </c>
      <c r="AL5514" t="s">
        <v>1808</v>
      </c>
      <c r="AP5514" t="s">
        <v>116</v>
      </c>
    </row>
    <row r="5515" spans="1:42" s="6" customFormat="1">
      <c r="A5515" s="12">
        <v>43874</v>
      </c>
      <c r="B5515">
        <v>4</v>
      </c>
      <c r="C5515">
        <v>307</v>
      </c>
      <c r="D5515">
        <v>10365</v>
      </c>
      <c r="E5515" t="s">
        <v>112</v>
      </c>
      <c r="F5515" t="s">
        <v>38</v>
      </c>
      <c r="G5515">
        <v>2</v>
      </c>
      <c r="H5515">
        <v>52</v>
      </c>
      <c r="I5515" s="25">
        <v>708</v>
      </c>
      <c r="J5515"/>
      <c r="K5515" t="s">
        <v>53</v>
      </c>
      <c r="L5515" t="s">
        <v>114</v>
      </c>
      <c r="M5515" t="s">
        <v>52</v>
      </c>
      <c r="N5515" t="s">
        <v>40</v>
      </c>
      <c r="O5515">
        <v>36</v>
      </c>
      <c r="P5515"/>
      <c r="Q5515">
        <f t="shared" si="78"/>
        <v>1</v>
      </c>
      <c r="R5515">
        <v>1</v>
      </c>
      <c r="S5515">
        <v>0</v>
      </c>
      <c r="T5515">
        <v>0</v>
      </c>
      <c r="U5515">
        <v>0</v>
      </c>
      <c r="V5515">
        <v>1</v>
      </c>
      <c r="W5515">
        <v>0</v>
      </c>
      <c r="X5515" s="21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/>
      <c r="AI5515"/>
      <c r="AJ5515" t="s">
        <v>51</v>
      </c>
      <c r="AK5515" t="s">
        <v>52</v>
      </c>
      <c r="AL5515"/>
      <c r="AP5515" t="s">
        <v>116</v>
      </c>
    </row>
    <row r="5516" spans="1:42" s="6" customFormat="1">
      <c r="A5516" s="12">
        <v>43874</v>
      </c>
      <c r="B5516">
        <v>4</v>
      </c>
      <c r="C5516">
        <v>307</v>
      </c>
      <c r="D5516">
        <v>10365</v>
      </c>
      <c r="E5516" t="s">
        <v>112</v>
      </c>
      <c r="F5516" t="s">
        <v>38</v>
      </c>
      <c r="G5516">
        <v>2</v>
      </c>
      <c r="H5516">
        <v>53</v>
      </c>
      <c r="I5516" s="25">
        <v>624</v>
      </c>
      <c r="J5516"/>
      <c r="K5516" t="s">
        <v>53</v>
      </c>
      <c r="L5516" t="s">
        <v>114</v>
      </c>
      <c r="M5516" t="s">
        <v>52</v>
      </c>
      <c r="N5516" t="s">
        <v>40</v>
      </c>
      <c r="O5516">
        <v>40</v>
      </c>
      <c r="P5516"/>
      <c r="Q5516">
        <f t="shared" si="78"/>
        <v>1</v>
      </c>
      <c r="R5516">
        <v>1</v>
      </c>
      <c r="S5516">
        <v>0</v>
      </c>
      <c r="T5516">
        <v>0</v>
      </c>
      <c r="U5516">
        <v>0</v>
      </c>
      <c r="V5516">
        <v>1</v>
      </c>
      <c r="W5516">
        <v>0</v>
      </c>
      <c r="X5516" s="21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/>
      <c r="AI5516"/>
      <c r="AJ5516" t="s">
        <v>51</v>
      </c>
      <c r="AK5516" t="s">
        <v>52</v>
      </c>
      <c r="AL5516"/>
      <c r="AP5516" t="s">
        <v>116</v>
      </c>
    </row>
    <row r="5517" spans="1:42" s="6" customFormat="1">
      <c r="A5517" s="12">
        <v>43874</v>
      </c>
      <c r="B5517">
        <v>4</v>
      </c>
      <c r="C5517">
        <v>307</v>
      </c>
      <c r="D5517">
        <v>10365</v>
      </c>
      <c r="E5517" t="s">
        <v>112</v>
      </c>
      <c r="F5517" t="s">
        <v>38</v>
      </c>
      <c r="G5517">
        <v>2</v>
      </c>
      <c r="H5517">
        <v>54</v>
      </c>
      <c r="I5517" s="25">
        <v>401</v>
      </c>
      <c r="J5517"/>
      <c r="K5517" t="s">
        <v>101</v>
      </c>
      <c r="L5517" t="s">
        <v>141</v>
      </c>
      <c r="M5517" t="s">
        <v>52</v>
      </c>
      <c r="N5517" t="s">
        <v>40</v>
      </c>
      <c r="O5517">
        <v>35</v>
      </c>
      <c r="P5517"/>
      <c r="Q5517">
        <f t="shared" si="78"/>
        <v>1</v>
      </c>
      <c r="R5517">
        <v>1</v>
      </c>
      <c r="S5517">
        <v>0</v>
      </c>
      <c r="T5517">
        <v>0</v>
      </c>
      <c r="U5517">
        <v>0</v>
      </c>
      <c r="V5517">
        <v>1</v>
      </c>
      <c r="W5517">
        <v>0</v>
      </c>
      <c r="X5517" s="21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/>
      <c r="AI5517"/>
      <c r="AJ5517" t="s">
        <v>51</v>
      </c>
      <c r="AK5517" t="s">
        <v>95</v>
      </c>
      <c r="AL5517"/>
      <c r="AP5517" t="s">
        <v>116</v>
      </c>
    </row>
    <row r="5518" spans="1:42" s="6" customFormat="1">
      <c r="A5518" s="12">
        <v>43874</v>
      </c>
      <c r="B5518">
        <v>4</v>
      </c>
      <c r="C5518">
        <v>307</v>
      </c>
      <c r="D5518">
        <v>10365</v>
      </c>
      <c r="E5518" t="s">
        <v>112</v>
      </c>
      <c r="F5518" t="s">
        <v>38</v>
      </c>
      <c r="G5518">
        <v>2</v>
      </c>
      <c r="H5518">
        <v>55</v>
      </c>
      <c r="I5518" s="25">
        <v>195</v>
      </c>
      <c r="J5518"/>
      <c r="K5518" t="s">
        <v>74</v>
      </c>
      <c r="L5518" t="s">
        <v>141</v>
      </c>
      <c r="M5518" t="s">
        <v>52</v>
      </c>
      <c r="N5518" t="s">
        <v>40</v>
      </c>
      <c r="O5518">
        <v>75</v>
      </c>
      <c r="P5518"/>
      <c r="Q5518">
        <f t="shared" si="78"/>
        <v>3</v>
      </c>
      <c r="R5518">
        <v>1</v>
      </c>
      <c r="S5518">
        <v>0</v>
      </c>
      <c r="T5518">
        <v>0</v>
      </c>
      <c r="U5518">
        <v>0</v>
      </c>
      <c r="V5518">
        <v>3</v>
      </c>
      <c r="W5518">
        <v>0</v>
      </c>
      <c r="X5518" s="21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/>
      <c r="AI5518"/>
      <c r="AJ5518" t="s">
        <v>51</v>
      </c>
      <c r="AK5518" t="s">
        <v>52</v>
      </c>
      <c r="AL5518" t="s">
        <v>1817</v>
      </c>
      <c r="AP5518" t="s">
        <v>116</v>
      </c>
    </row>
    <row r="5519" spans="1:42" s="6" customFormat="1">
      <c r="A5519" s="12">
        <v>43874</v>
      </c>
      <c r="B5519">
        <v>4</v>
      </c>
      <c r="C5519">
        <v>307</v>
      </c>
      <c r="D5519">
        <v>10365</v>
      </c>
      <c r="E5519" t="s">
        <v>112</v>
      </c>
      <c r="F5519" t="s">
        <v>38</v>
      </c>
      <c r="G5519">
        <v>2</v>
      </c>
      <c r="H5519">
        <v>56</v>
      </c>
      <c r="I5519" s="25">
        <v>486</v>
      </c>
      <c r="J5519"/>
      <c r="K5519" t="s">
        <v>74</v>
      </c>
      <c r="L5519" t="s">
        <v>114</v>
      </c>
      <c r="M5519" t="s">
        <v>52</v>
      </c>
      <c r="N5519" t="s">
        <v>40</v>
      </c>
      <c r="O5519">
        <v>119</v>
      </c>
      <c r="P5519"/>
      <c r="Q5519">
        <f t="shared" si="78"/>
        <v>2</v>
      </c>
      <c r="R5519">
        <v>1</v>
      </c>
      <c r="S5519">
        <v>0</v>
      </c>
      <c r="T5519">
        <v>0</v>
      </c>
      <c r="U5519">
        <v>0</v>
      </c>
      <c r="V5519">
        <v>2</v>
      </c>
      <c r="W5519">
        <v>0</v>
      </c>
      <c r="X5519" s="21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/>
      <c r="AI5519"/>
      <c r="AJ5519" t="s">
        <v>51</v>
      </c>
      <c r="AK5519" t="s">
        <v>95</v>
      </c>
      <c r="AL5519" t="s">
        <v>1818</v>
      </c>
      <c r="AP5519" t="s">
        <v>116</v>
      </c>
    </row>
    <row r="5520" spans="1:42" s="6" customFormat="1">
      <c r="A5520" s="12">
        <v>43874</v>
      </c>
      <c r="B5520">
        <v>4</v>
      </c>
      <c r="C5520">
        <v>307</v>
      </c>
      <c r="D5520">
        <v>10365</v>
      </c>
      <c r="E5520" t="s">
        <v>112</v>
      </c>
      <c r="F5520" t="s">
        <v>38</v>
      </c>
      <c r="G5520">
        <v>2</v>
      </c>
      <c r="H5520">
        <v>57</v>
      </c>
      <c r="I5520" s="25">
        <v>599</v>
      </c>
      <c r="J5520"/>
      <c r="K5520" t="s">
        <v>53</v>
      </c>
      <c r="L5520" t="s">
        <v>141</v>
      </c>
      <c r="M5520" t="s">
        <v>52</v>
      </c>
      <c r="N5520" t="s">
        <v>1703</v>
      </c>
      <c r="O5520">
        <v>34</v>
      </c>
      <c r="P5520"/>
      <c r="Q5520">
        <f t="shared" si="78"/>
        <v>1</v>
      </c>
      <c r="R5520">
        <v>1</v>
      </c>
      <c r="S5520">
        <v>0</v>
      </c>
      <c r="T5520">
        <v>0</v>
      </c>
      <c r="U5520">
        <v>0</v>
      </c>
      <c r="V5520">
        <v>1</v>
      </c>
      <c r="W5520">
        <v>0</v>
      </c>
      <c r="X5520" s="21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/>
      <c r="AI5520"/>
      <c r="AJ5520" t="s">
        <v>51</v>
      </c>
      <c r="AK5520" t="s">
        <v>95</v>
      </c>
      <c r="AL5520" t="s">
        <v>1808</v>
      </c>
      <c r="AP5520" t="s">
        <v>116</v>
      </c>
    </row>
    <row r="5521" spans="1:42" s="6" customFormat="1">
      <c r="A5521" s="12">
        <v>43874</v>
      </c>
      <c r="B5521">
        <v>4</v>
      </c>
      <c r="C5521">
        <v>307</v>
      </c>
      <c r="D5521">
        <v>10365</v>
      </c>
      <c r="E5521" t="s">
        <v>112</v>
      </c>
      <c r="F5521" t="s">
        <v>38</v>
      </c>
      <c r="G5521">
        <v>2</v>
      </c>
      <c r="H5521">
        <v>58</v>
      </c>
      <c r="I5521" s="25">
        <v>555</v>
      </c>
      <c r="J5521"/>
      <c r="K5521" t="s">
        <v>53</v>
      </c>
      <c r="L5521" t="s">
        <v>141</v>
      </c>
      <c r="M5521" t="s">
        <v>52</v>
      </c>
      <c r="N5521" t="s">
        <v>40</v>
      </c>
      <c r="O5521">
        <v>40</v>
      </c>
      <c r="P5521"/>
      <c r="Q5521">
        <f t="shared" si="78"/>
        <v>1</v>
      </c>
      <c r="R5521">
        <v>1</v>
      </c>
      <c r="S5521">
        <v>0</v>
      </c>
      <c r="T5521">
        <v>0</v>
      </c>
      <c r="U5521">
        <v>0</v>
      </c>
      <c r="V5521">
        <v>1</v>
      </c>
      <c r="W5521">
        <v>0</v>
      </c>
      <c r="X5521" s="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/>
      <c r="AI5521"/>
      <c r="AJ5521" t="s">
        <v>51</v>
      </c>
      <c r="AK5521" t="s">
        <v>52</v>
      </c>
      <c r="AL5521"/>
      <c r="AP5521" t="s">
        <v>116</v>
      </c>
    </row>
    <row r="5522" spans="1:42" s="6" customFormat="1">
      <c r="A5522" s="12">
        <v>43874</v>
      </c>
      <c r="B5522">
        <v>4</v>
      </c>
      <c r="C5522">
        <v>307</v>
      </c>
      <c r="D5522">
        <v>10365</v>
      </c>
      <c r="E5522" t="s">
        <v>112</v>
      </c>
      <c r="F5522" t="s">
        <v>38</v>
      </c>
      <c r="G5522">
        <v>2</v>
      </c>
      <c r="H5522">
        <v>59</v>
      </c>
      <c r="I5522" s="25">
        <v>545</v>
      </c>
      <c r="J5522"/>
      <c r="K5522" t="s">
        <v>53</v>
      </c>
      <c r="L5522" t="s">
        <v>141</v>
      </c>
      <c r="M5522" t="s">
        <v>52</v>
      </c>
      <c r="N5522" t="s">
        <v>40</v>
      </c>
      <c r="O5522">
        <v>41</v>
      </c>
      <c r="P5522"/>
      <c r="Q5522">
        <f t="shared" si="78"/>
        <v>1</v>
      </c>
      <c r="R5522">
        <v>1</v>
      </c>
      <c r="S5522">
        <v>0</v>
      </c>
      <c r="T5522">
        <v>0</v>
      </c>
      <c r="U5522">
        <v>0</v>
      </c>
      <c r="V5522">
        <v>1</v>
      </c>
      <c r="W5522">
        <v>0</v>
      </c>
      <c r="X5522" s="21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/>
      <c r="AI5522"/>
      <c r="AJ5522" t="s">
        <v>51</v>
      </c>
      <c r="AK5522" t="s">
        <v>95</v>
      </c>
      <c r="AL5522"/>
      <c r="AP5522" t="s">
        <v>116</v>
      </c>
    </row>
    <row r="5523" spans="1:42" s="6" customFormat="1">
      <c r="A5523" s="12">
        <v>43874</v>
      </c>
      <c r="B5523">
        <v>4</v>
      </c>
      <c r="C5523">
        <v>307</v>
      </c>
      <c r="D5523">
        <v>10365</v>
      </c>
      <c r="E5523" t="s">
        <v>112</v>
      </c>
      <c r="F5523" t="s">
        <v>38</v>
      </c>
      <c r="G5523">
        <v>2</v>
      </c>
      <c r="H5523">
        <v>60</v>
      </c>
      <c r="I5523" s="25">
        <v>501</v>
      </c>
      <c r="J5523"/>
      <c r="K5523" t="s">
        <v>53</v>
      </c>
      <c r="L5523" t="s">
        <v>141</v>
      </c>
      <c r="M5523" t="s">
        <v>52</v>
      </c>
      <c r="N5523" t="s">
        <v>40</v>
      </c>
      <c r="O5523">
        <v>27</v>
      </c>
      <c r="P5523"/>
      <c r="Q5523">
        <f t="shared" si="78"/>
        <v>2</v>
      </c>
      <c r="R5523">
        <v>1</v>
      </c>
      <c r="S5523">
        <v>0</v>
      </c>
      <c r="T5523">
        <v>0</v>
      </c>
      <c r="U5523">
        <v>0</v>
      </c>
      <c r="V5523">
        <v>2</v>
      </c>
      <c r="W5523">
        <v>0</v>
      </c>
      <c r="X5523" s="21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/>
      <c r="AI5523"/>
      <c r="AJ5523" t="s">
        <v>51</v>
      </c>
      <c r="AK5523" t="s">
        <v>95</v>
      </c>
      <c r="AL5523"/>
      <c r="AP5523" t="s">
        <v>116</v>
      </c>
    </row>
    <row r="5524" spans="1:42" s="6" customFormat="1">
      <c r="A5524" s="12">
        <v>43874</v>
      </c>
      <c r="B5524">
        <v>4</v>
      </c>
      <c r="C5524">
        <v>307</v>
      </c>
      <c r="D5524">
        <v>10365</v>
      </c>
      <c r="E5524" t="s">
        <v>112</v>
      </c>
      <c r="F5524" t="s">
        <v>38</v>
      </c>
      <c r="G5524">
        <v>2</v>
      </c>
      <c r="H5524">
        <v>61</v>
      </c>
      <c r="I5524" s="25">
        <v>532</v>
      </c>
      <c r="J5524"/>
      <c r="K5524" t="s">
        <v>102</v>
      </c>
      <c r="L5524" t="s">
        <v>114</v>
      </c>
      <c r="M5524" t="s">
        <v>52</v>
      </c>
      <c r="N5524" t="s">
        <v>40</v>
      </c>
      <c r="O5524">
        <v>32</v>
      </c>
      <c r="P5524"/>
      <c r="Q5524">
        <f t="shared" si="78"/>
        <v>1</v>
      </c>
      <c r="R5524">
        <v>1</v>
      </c>
      <c r="S5524">
        <v>0</v>
      </c>
      <c r="T5524">
        <v>0</v>
      </c>
      <c r="U5524">
        <v>0</v>
      </c>
      <c r="V5524">
        <v>1</v>
      </c>
      <c r="W5524">
        <v>0</v>
      </c>
      <c r="X5524" s="21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/>
      <c r="AI5524"/>
      <c r="AJ5524" t="s">
        <v>51</v>
      </c>
      <c r="AK5524" t="s">
        <v>52</v>
      </c>
      <c r="AL5524"/>
      <c r="AP5524" t="s">
        <v>116</v>
      </c>
    </row>
    <row r="5525" spans="1:42" s="6" customFormat="1">
      <c r="A5525" s="12">
        <v>43874</v>
      </c>
      <c r="B5525">
        <v>4</v>
      </c>
      <c r="C5525">
        <v>307</v>
      </c>
      <c r="D5525">
        <v>10365</v>
      </c>
      <c r="E5525" t="s">
        <v>112</v>
      </c>
      <c r="F5525" t="s">
        <v>38</v>
      </c>
      <c r="G5525">
        <v>2</v>
      </c>
      <c r="H5525">
        <v>62</v>
      </c>
      <c r="I5525" s="25">
        <v>420</v>
      </c>
      <c r="J5525"/>
      <c r="K5525" t="s">
        <v>102</v>
      </c>
      <c r="L5525" t="s">
        <v>114</v>
      </c>
      <c r="M5525" t="s">
        <v>52</v>
      </c>
      <c r="N5525" t="s">
        <v>40</v>
      </c>
      <c r="O5525">
        <v>20</v>
      </c>
      <c r="P5525"/>
      <c r="Q5525">
        <f t="shared" si="78"/>
        <v>1</v>
      </c>
      <c r="R5525">
        <v>1</v>
      </c>
      <c r="S5525">
        <v>0</v>
      </c>
      <c r="T5525">
        <v>0</v>
      </c>
      <c r="U5525">
        <v>0</v>
      </c>
      <c r="V5525">
        <v>1</v>
      </c>
      <c r="W5525">
        <v>0</v>
      </c>
      <c r="X5525" s="21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/>
      <c r="AI5525"/>
      <c r="AJ5525" t="s">
        <v>51</v>
      </c>
      <c r="AK5525" t="s">
        <v>52</v>
      </c>
      <c r="AL5525"/>
      <c r="AP5525" t="s">
        <v>116</v>
      </c>
    </row>
    <row r="5526" spans="1:42" s="6" customFormat="1">
      <c r="A5526" s="12">
        <v>43874</v>
      </c>
      <c r="B5526">
        <v>4</v>
      </c>
      <c r="C5526">
        <v>307</v>
      </c>
      <c r="D5526">
        <v>10365</v>
      </c>
      <c r="E5526" t="s">
        <v>112</v>
      </c>
      <c r="F5526" t="s">
        <v>38</v>
      </c>
      <c r="G5526">
        <v>2</v>
      </c>
      <c r="H5526">
        <v>63</v>
      </c>
      <c r="I5526" s="25">
        <v>405</v>
      </c>
      <c r="J5526"/>
      <c r="K5526" t="s">
        <v>102</v>
      </c>
      <c r="L5526" t="s">
        <v>141</v>
      </c>
      <c r="M5526" t="s">
        <v>52</v>
      </c>
      <c r="N5526" t="s">
        <v>40</v>
      </c>
      <c r="O5526">
        <v>90</v>
      </c>
      <c r="P5526"/>
      <c r="Q5526">
        <f t="shared" si="78"/>
        <v>3</v>
      </c>
      <c r="R5526">
        <v>1</v>
      </c>
      <c r="S5526">
        <v>0</v>
      </c>
      <c r="T5526">
        <v>0</v>
      </c>
      <c r="U5526">
        <v>0</v>
      </c>
      <c r="V5526">
        <v>3</v>
      </c>
      <c r="W5526">
        <v>0</v>
      </c>
      <c r="X5526" s="21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/>
      <c r="AI5526"/>
      <c r="AJ5526" t="s">
        <v>51</v>
      </c>
      <c r="AK5526" t="s">
        <v>95</v>
      </c>
      <c r="AL5526"/>
      <c r="AP5526" t="s">
        <v>116</v>
      </c>
    </row>
    <row r="5527" spans="1:42" s="6" customFormat="1">
      <c r="A5527" s="12">
        <v>43874</v>
      </c>
      <c r="B5527">
        <v>4</v>
      </c>
      <c r="C5527">
        <v>307</v>
      </c>
      <c r="D5527">
        <v>10365</v>
      </c>
      <c r="E5527" t="s">
        <v>112</v>
      </c>
      <c r="F5527" t="s">
        <v>38</v>
      </c>
      <c r="G5527">
        <v>2</v>
      </c>
      <c r="H5527">
        <v>64</v>
      </c>
      <c r="I5527" s="25">
        <v>401</v>
      </c>
      <c r="J5527"/>
      <c r="K5527" t="s">
        <v>74</v>
      </c>
      <c r="L5527" t="s">
        <v>141</v>
      </c>
      <c r="M5527" t="s">
        <v>52</v>
      </c>
      <c r="N5527" t="s">
        <v>40</v>
      </c>
      <c r="O5527">
        <v>46</v>
      </c>
      <c r="P5527"/>
      <c r="Q5527">
        <f t="shared" si="78"/>
        <v>2</v>
      </c>
      <c r="R5527">
        <v>1</v>
      </c>
      <c r="S5527">
        <v>0</v>
      </c>
      <c r="T5527">
        <v>0</v>
      </c>
      <c r="U5527">
        <v>0</v>
      </c>
      <c r="V5527">
        <v>2</v>
      </c>
      <c r="W5527">
        <v>0</v>
      </c>
      <c r="X5527" s="21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/>
      <c r="AI5527"/>
      <c r="AJ5527" t="s">
        <v>51</v>
      </c>
      <c r="AK5527" t="s">
        <v>52</v>
      </c>
      <c r="AL5527" t="s">
        <v>1819</v>
      </c>
      <c r="AP5527" t="s">
        <v>116</v>
      </c>
    </row>
    <row r="5528" spans="1:42" s="6" customFormat="1">
      <c r="A5528" s="12">
        <v>43874</v>
      </c>
      <c r="B5528">
        <v>4</v>
      </c>
      <c r="C5528">
        <v>307</v>
      </c>
      <c r="D5528">
        <v>10365</v>
      </c>
      <c r="E5528" t="s">
        <v>112</v>
      </c>
      <c r="F5528" t="s">
        <v>38</v>
      </c>
      <c r="G5528">
        <v>2</v>
      </c>
      <c r="H5528">
        <v>65</v>
      </c>
      <c r="I5528" s="25">
        <v>399</v>
      </c>
      <c r="J5528"/>
      <c r="K5528" t="s">
        <v>74</v>
      </c>
      <c r="L5528" t="s">
        <v>141</v>
      </c>
      <c r="M5528" t="s">
        <v>52</v>
      </c>
      <c r="N5528" t="s">
        <v>40</v>
      </c>
      <c r="O5528">
        <v>72</v>
      </c>
      <c r="P5528"/>
      <c r="Q5528">
        <f t="shared" si="78"/>
        <v>3</v>
      </c>
      <c r="R5528">
        <v>1</v>
      </c>
      <c r="S5528">
        <v>0</v>
      </c>
      <c r="T5528">
        <v>0</v>
      </c>
      <c r="U5528">
        <v>0</v>
      </c>
      <c r="V5528">
        <v>3</v>
      </c>
      <c r="W5528">
        <v>0</v>
      </c>
      <c r="X5528" s="21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/>
      <c r="AI5528"/>
      <c r="AJ5528" t="s">
        <v>51</v>
      </c>
      <c r="AK5528" t="s">
        <v>52</v>
      </c>
      <c r="AL5528" t="s">
        <v>1820</v>
      </c>
      <c r="AP5528" t="s">
        <v>116</v>
      </c>
    </row>
    <row r="5529" spans="1:42" s="6" customFormat="1">
      <c r="A5529" s="12">
        <v>43874</v>
      </c>
      <c r="B5529">
        <v>4</v>
      </c>
      <c r="C5529">
        <v>307</v>
      </c>
      <c r="D5529">
        <v>10365</v>
      </c>
      <c r="E5529" t="s">
        <v>112</v>
      </c>
      <c r="F5529" t="s">
        <v>38</v>
      </c>
      <c r="G5529">
        <v>2</v>
      </c>
      <c r="H5529">
        <v>66</v>
      </c>
      <c r="I5529" s="25" t="s">
        <v>1821</v>
      </c>
      <c r="J5529"/>
      <c r="K5529" t="s">
        <v>102</v>
      </c>
      <c r="L5529" t="s">
        <v>141</v>
      </c>
      <c r="M5529" t="s">
        <v>95</v>
      </c>
      <c r="N5529" t="s">
        <v>40</v>
      </c>
      <c r="O5529">
        <v>179</v>
      </c>
      <c r="P5529"/>
      <c r="Q5529">
        <f t="shared" si="78"/>
        <v>6</v>
      </c>
      <c r="R5529">
        <v>1</v>
      </c>
      <c r="S5529">
        <v>0</v>
      </c>
      <c r="T5529">
        <v>0</v>
      </c>
      <c r="U5529">
        <v>0</v>
      </c>
      <c r="V5529">
        <v>6</v>
      </c>
      <c r="W5529">
        <v>0</v>
      </c>
      <c r="X5529" s="21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/>
      <c r="AI5529"/>
      <c r="AJ5529" t="s">
        <v>51</v>
      </c>
      <c r="AK5529" t="s">
        <v>95</v>
      </c>
      <c r="AL5529"/>
      <c r="AP5529" t="s">
        <v>116</v>
      </c>
    </row>
    <row r="5530" spans="1:42" s="6" customFormat="1">
      <c r="A5530" s="12">
        <v>43874</v>
      </c>
      <c r="B5530">
        <v>4</v>
      </c>
      <c r="C5530">
        <v>307</v>
      </c>
      <c r="D5530">
        <v>10365</v>
      </c>
      <c r="E5530" t="s">
        <v>112</v>
      </c>
      <c r="F5530" t="s">
        <v>38</v>
      </c>
      <c r="G5530">
        <v>2</v>
      </c>
      <c r="H5530">
        <v>67</v>
      </c>
      <c r="I5530" s="25">
        <v>34</v>
      </c>
      <c r="J5530"/>
      <c r="K5530" t="s">
        <v>102</v>
      </c>
      <c r="L5530" t="s">
        <v>114</v>
      </c>
      <c r="M5530" t="s">
        <v>52</v>
      </c>
      <c r="N5530" t="s">
        <v>40</v>
      </c>
      <c r="O5530">
        <v>35</v>
      </c>
      <c r="P5530"/>
      <c r="Q5530">
        <f t="shared" si="78"/>
        <v>1</v>
      </c>
      <c r="R5530">
        <v>1</v>
      </c>
      <c r="S5530">
        <v>0</v>
      </c>
      <c r="T5530">
        <v>0</v>
      </c>
      <c r="U5530">
        <v>0</v>
      </c>
      <c r="V5530">
        <v>1</v>
      </c>
      <c r="W5530">
        <v>0</v>
      </c>
      <c r="X5530" s="21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/>
      <c r="AI5530"/>
      <c r="AJ5530" t="s">
        <v>51</v>
      </c>
      <c r="AK5530" t="s">
        <v>52</v>
      </c>
      <c r="AL5530"/>
      <c r="AP5530" t="s">
        <v>116</v>
      </c>
    </row>
    <row r="5531" spans="1:42" s="6" customFormat="1">
      <c r="A5531" s="12">
        <v>43874</v>
      </c>
      <c r="B5531">
        <v>4</v>
      </c>
      <c r="C5531">
        <v>307</v>
      </c>
      <c r="D5531">
        <v>10365</v>
      </c>
      <c r="E5531" t="s">
        <v>112</v>
      </c>
      <c r="F5531" t="s">
        <v>38</v>
      </c>
      <c r="G5531">
        <v>2</v>
      </c>
      <c r="H5531">
        <v>68</v>
      </c>
      <c r="I5531" s="25">
        <v>25</v>
      </c>
      <c r="J5531"/>
      <c r="K5531" t="s">
        <v>101</v>
      </c>
      <c r="L5531" t="s">
        <v>141</v>
      </c>
      <c r="M5531" t="s">
        <v>52</v>
      </c>
      <c r="N5531" t="s">
        <v>40</v>
      </c>
      <c r="O5531">
        <v>68</v>
      </c>
      <c r="P5531"/>
      <c r="Q5531">
        <f t="shared" si="78"/>
        <v>1</v>
      </c>
      <c r="R5531">
        <v>1</v>
      </c>
      <c r="S5531">
        <v>0</v>
      </c>
      <c r="T5531">
        <v>0</v>
      </c>
      <c r="U5531">
        <v>0</v>
      </c>
      <c r="V5531">
        <v>1</v>
      </c>
      <c r="W5531">
        <v>0</v>
      </c>
      <c r="X5531" s="2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/>
      <c r="AI5531"/>
      <c r="AJ5531" t="s">
        <v>51</v>
      </c>
      <c r="AK5531" t="s">
        <v>52</v>
      </c>
      <c r="AL5531"/>
      <c r="AP5531" t="s">
        <v>116</v>
      </c>
    </row>
    <row r="5532" spans="1:42" s="6" customFormat="1">
      <c r="A5532" s="12">
        <v>43874</v>
      </c>
      <c r="B5532">
        <v>4</v>
      </c>
      <c r="C5532">
        <v>307</v>
      </c>
      <c r="D5532">
        <v>10365</v>
      </c>
      <c r="E5532" t="s">
        <v>112</v>
      </c>
      <c r="F5532" t="s">
        <v>38</v>
      </c>
      <c r="G5532">
        <v>2</v>
      </c>
      <c r="H5532">
        <v>69</v>
      </c>
      <c r="I5532" s="25">
        <v>1</v>
      </c>
      <c r="J5532"/>
      <c r="K5532" t="s">
        <v>101</v>
      </c>
      <c r="L5532" t="s">
        <v>141</v>
      </c>
      <c r="M5532" t="s">
        <v>52</v>
      </c>
      <c r="N5532" t="s">
        <v>44</v>
      </c>
      <c r="O5532">
        <v>118</v>
      </c>
      <c r="P5532"/>
      <c r="Q5532">
        <f t="shared" si="78"/>
        <v>2</v>
      </c>
      <c r="R5532">
        <v>1</v>
      </c>
      <c r="S5532">
        <v>0</v>
      </c>
      <c r="T5532">
        <v>0</v>
      </c>
      <c r="U5532">
        <v>0</v>
      </c>
      <c r="V5532">
        <v>2</v>
      </c>
      <c r="W5532">
        <v>0</v>
      </c>
      <c r="X5532" s="21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/>
      <c r="AI5532"/>
      <c r="AJ5532" t="s">
        <v>51</v>
      </c>
      <c r="AK5532" t="s">
        <v>52</v>
      </c>
      <c r="AL5532" t="s">
        <v>149</v>
      </c>
      <c r="AP5532" t="s">
        <v>116</v>
      </c>
    </row>
    <row r="5533" spans="1:42" s="6" customFormat="1">
      <c r="A5533" s="12">
        <v>43874</v>
      </c>
      <c r="B5533">
        <v>4</v>
      </c>
      <c r="C5533">
        <v>307</v>
      </c>
      <c r="D5533">
        <v>10365</v>
      </c>
      <c r="E5533" t="s">
        <v>112</v>
      </c>
      <c r="F5533" t="s">
        <v>38</v>
      </c>
      <c r="G5533">
        <v>2</v>
      </c>
      <c r="H5533">
        <v>70</v>
      </c>
      <c r="I5533" s="25">
        <v>986</v>
      </c>
      <c r="J5533"/>
      <c r="K5533" t="s">
        <v>73</v>
      </c>
      <c r="L5533" t="s">
        <v>114</v>
      </c>
      <c r="M5533" t="s">
        <v>52</v>
      </c>
      <c r="N5533" t="s">
        <v>44</v>
      </c>
      <c r="O5533">
        <v>112</v>
      </c>
      <c r="P5533"/>
      <c r="Q5533">
        <f t="shared" si="78"/>
        <v>3</v>
      </c>
      <c r="R5533">
        <v>1</v>
      </c>
      <c r="S5533">
        <v>0</v>
      </c>
      <c r="T5533">
        <v>0</v>
      </c>
      <c r="U5533">
        <v>0</v>
      </c>
      <c r="V5533">
        <v>3</v>
      </c>
      <c r="W5533">
        <v>0</v>
      </c>
      <c r="X5533" s="21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/>
      <c r="AI5533"/>
      <c r="AJ5533" t="s">
        <v>51</v>
      </c>
      <c r="AK5533" t="s">
        <v>52</v>
      </c>
      <c r="AL5533" t="s">
        <v>1822</v>
      </c>
      <c r="AP5533" t="s">
        <v>116</v>
      </c>
    </row>
    <row r="5534" spans="1:42" s="6" customFormat="1">
      <c r="A5534" s="12">
        <v>43874</v>
      </c>
      <c r="B5534">
        <v>4</v>
      </c>
      <c r="C5534">
        <v>307</v>
      </c>
      <c r="D5534">
        <v>10365</v>
      </c>
      <c r="E5534" t="s">
        <v>112</v>
      </c>
      <c r="F5534" t="s">
        <v>38</v>
      </c>
      <c r="G5534">
        <v>2</v>
      </c>
      <c r="H5534">
        <v>71</v>
      </c>
      <c r="I5534" s="25">
        <v>225</v>
      </c>
      <c r="J5534"/>
      <c r="K5534" t="s">
        <v>101</v>
      </c>
      <c r="L5534" t="s">
        <v>141</v>
      </c>
      <c r="M5534" t="s">
        <v>95</v>
      </c>
      <c r="N5534" t="s">
        <v>44</v>
      </c>
      <c r="O5534">
        <v>88</v>
      </c>
      <c r="P5534"/>
      <c r="Q5534">
        <f t="shared" ref="Q5534:Q5597" si="79">S5534+T5534+U5534+V5534+W5534+Y5534+Z5534+AA5534+AB5534+AC5534+AD5534+AE5534+AF5534</f>
        <v>2</v>
      </c>
      <c r="R5534">
        <v>1</v>
      </c>
      <c r="S5534">
        <v>0</v>
      </c>
      <c r="T5534">
        <v>0</v>
      </c>
      <c r="U5534">
        <v>2</v>
      </c>
      <c r="V5534">
        <v>0</v>
      </c>
      <c r="W5534">
        <v>0</v>
      </c>
      <c r="X5534" s="21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/>
      <c r="AI5534"/>
      <c r="AJ5534" t="s">
        <v>51</v>
      </c>
      <c r="AK5534" t="s">
        <v>52</v>
      </c>
      <c r="AL5534"/>
      <c r="AP5534" t="s">
        <v>116</v>
      </c>
    </row>
    <row r="5535" spans="1:42" s="6" customFormat="1">
      <c r="A5535" s="12">
        <v>43874</v>
      </c>
      <c r="B5535">
        <v>4</v>
      </c>
      <c r="C5535">
        <v>307</v>
      </c>
      <c r="D5535">
        <v>10365</v>
      </c>
      <c r="E5535" t="s">
        <v>112</v>
      </c>
      <c r="F5535" t="s">
        <v>38</v>
      </c>
      <c r="G5535">
        <v>2</v>
      </c>
      <c r="H5535">
        <v>72</v>
      </c>
      <c r="I5535" s="25">
        <v>222</v>
      </c>
      <c r="J5535"/>
      <c r="K5535" t="s">
        <v>101</v>
      </c>
      <c r="L5535" t="s">
        <v>114</v>
      </c>
      <c r="M5535" t="s">
        <v>52</v>
      </c>
      <c r="N5535" t="s">
        <v>44</v>
      </c>
      <c r="O5535">
        <v>50</v>
      </c>
      <c r="P5535"/>
      <c r="Q5535">
        <f t="shared" si="79"/>
        <v>1</v>
      </c>
      <c r="R5535">
        <v>1</v>
      </c>
      <c r="S5535">
        <v>0</v>
      </c>
      <c r="T5535">
        <v>0</v>
      </c>
      <c r="U5535">
        <v>1</v>
      </c>
      <c r="V5535">
        <v>0</v>
      </c>
      <c r="W5535">
        <v>0</v>
      </c>
      <c r="X5535" s="21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/>
      <c r="AI5535"/>
      <c r="AJ5535" t="s">
        <v>51</v>
      </c>
      <c r="AK5535" t="s">
        <v>52</v>
      </c>
      <c r="AL5535" t="s">
        <v>1823</v>
      </c>
      <c r="AP5535" t="s">
        <v>116</v>
      </c>
    </row>
    <row r="5536" spans="1:42" s="6" customFormat="1">
      <c r="A5536" s="12">
        <v>43874</v>
      </c>
      <c r="B5536">
        <v>4</v>
      </c>
      <c r="C5536">
        <v>307</v>
      </c>
      <c r="D5536">
        <v>10365</v>
      </c>
      <c r="E5536" t="s">
        <v>112</v>
      </c>
      <c r="F5536" t="s">
        <v>38</v>
      </c>
      <c r="G5536">
        <v>2</v>
      </c>
      <c r="H5536">
        <v>73</v>
      </c>
      <c r="I5536" s="25">
        <v>375</v>
      </c>
      <c r="J5536"/>
      <c r="K5536" t="s">
        <v>101</v>
      </c>
      <c r="L5536" t="s">
        <v>141</v>
      </c>
      <c r="M5536" t="s">
        <v>52</v>
      </c>
      <c r="N5536" t="s">
        <v>44</v>
      </c>
      <c r="O5536">
        <v>97</v>
      </c>
      <c r="P5536"/>
      <c r="Q5536">
        <f t="shared" si="79"/>
        <v>2</v>
      </c>
      <c r="R5536">
        <v>1</v>
      </c>
      <c r="S5536">
        <v>0</v>
      </c>
      <c r="T5536">
        <v>0</v>
      </c>
      <c r="U5536">
        <v>0</v>
      </c>
      <c r="V5536">
        <v>2</v>
      </c>
      <c r="W5536">
        <v>0</v>
      </c>
      <c r="X5536" s="21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/>
      <c r="AI5536"/>
      <c r="AJ5536" t="s">
        <v>51</v>
      </c>
      <c r="AK5536" t="s">
        <v>95</v>
      </c>
      <c r="AL5536" t="s">
        <v>1824</v>
      </c>
      <c r="AP5536" t="s">
        <v>116</v>
      </c>
    </row>
    <row r="5537" spans="1:42" s="6" customFormat="1">
      <c r="A5537" s="12">
        <v>43874</v>
      </c>
      <c r="B5537">
        <v>4</v>
      </c>
      <c r="C5537">
        <v>307</v>
      </c>
      <c r="D5537">
        <v>10365</v>
      </c>
      <c r="E5537" t="s">
        <v>112</v>
      </c>
      <c r="F5537" t="s">
        <v>38</v>
      </c>
      <c r="G5537">
        <v>2</v>
      </c>
      <c r="H5537">
        <v>74</v>
      </c>
      <c r="I5537" s="25">
        <v>420</v>
      </c>
      <c r="J5537"/>
      <c r="K5537" t="s">
        <v>101</v>
      </c>
      <c r="L5537" t="s">
        <v>114</v>
      </c>
      <c r="M5537" t="s">
        <v>52</v>
      </c>
      <c r="N5537" t="s">
        <v>1703</v>
      </c>
      <c r="O5537">
        <v>134</v>
      </c>
      <c r="P5537"/>
      <c r="Q5537">
        <f t="shared" si="79"/>
        <v>5</v>
      </c>
      <c r="R5537">
        <v>1</v>
      </c>
      <c r="S5537">
        <v>0</v>
      </c>
      <c r="T5537">
        <v>0</v>
      </c>
      <c r="U5537">
        <v>0</v>
      </c>
      <c r="V5537">
        <v>5</v>
      </c>
      <c r="W5537">
        <v>0</v>
      </c>
      <c r="X5537" s="21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/>
      <c r="AI5537"/>
      <c r="AJ5537" t="s">
        <v>51</v>
      </c>
      <c r="AK5537" t="s">
        <v>95</v>
      </c>
      <c r="AL5537" t="s">
        <v>1825</v>
      </c>
      <c r="AP5537" t="s">
        <v>116</v>
      </c>
    </row>
    <row r="5538" spans="1:42" s="6" customFormat="1">
      <c r="A5538" s="12">
        <v>43874</v>
      </c>
      <c r="B5538">
        <v>4</v>
      </c>
      <c r="C5538">
        <v>307</v>
      </c>
      <c r="D5538">
        <v>10365</v>
      </c>
      <c r="E5538" t="s">
        <v>112</v>
      </c>
      <c r="F5538" t="s">
        <v>38</v>
      </c>
      <c r="G5538">
        <v>2</v>
      </c>
      <c r="H5538">
        <v>75</v>
      </c>
      <c r="I5538" s="25">
        <v>415</v>
      </c>
      <c r="J5538"/>
      <c r="K5538" t="s">
        <v>74</v>
      </c>
      <c r="L5538" t="s">
        <v>141</v>
      </c>
      <c r="M5538" t="s">
        <v>52</v>
      </c>
      <c r="N5538" t="s">
        <v>40</v>
      </c>
      <c r="O5538">
        <v>29</v>
      </c>
      <c r="P5538"/>
      <c r="Q5538">
        <f t="shared" si="79"/>
        <v>2</v>
      </c>
      <c r="R5538">
        <v>1</v>
      </c>
      <c r="S5538">
        <v>0</v>
      </c>
      <c r="T5538">
        <v>0</v>
      </c>
      <c r="U5538">
        <v>0</v>
      </c>
      <c r="V5538">
        <v>2</v>
      </c>
      <c r="W5538">
        <v>0</v>
      </c>
      <c r="X5538" s="21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/>
      <c r="AI5538"/>
      <c r="AJ5538" t="s">
        <v>51</v>
      </c>
      <c r="AK5538" t="s">
        <v>52</v>
      </c>
      <c r="AL5538"/>
      <c r="AP5538" t="s">
        <v>116</v>
      </c>
    </row>
    <row r="5539" spans="1:42" s="6" customFormat="1">
      <c r="A5539" s="12">
        <v>43874</v>
      </c>
      <c r="B5539">
        <v>4</v>
      </c>
      <c r="C5539">
        <v>307</v>
      </c>
      <c r="D5539">
        <v>10365</v>
      </c>
      <c r="E5539" t="s">
        <v>112</v>
      </c>
      <c r="F5539" t="s">
        <v>38</v>
      </c>
      <c r="G5539">
        <v>2</v>
      </c>
      <c r="H5539">
        <v>76</v>
      </c>
      <c r="I5539" s="25">
        <v>445</v>
      </c>
      <c r="J5539"/>
      <c r="K5539" t="s">
        <v>74</v>
      </c>
      <c r="L5539" t="s">
        <v>141</v>
      </c>
      <c r="M5539" t="s">
        <v>52</v>
      </c>
      <c r="N5539" t="s">
        <v>44</v>
      </c>
      <c r="O5539">
        <v>134</v>
      </c>
      <c r="P5539"/>
      <c r="Q5539">
        <f t="shared" si="79"/>
        <v>5</v>
      </c>
      <c r="R5539">
        <v>1</v>
      </c>
      <c r="S5539">
        <v>0</v>
      </c>
      <c r="T5539">
        <v>0</v>
      </c>
      <c r="U5539">
        <v>0</v>
      </c>
      <c r="V5539">
        <v>5</v>
      </c>
      <c r="W5539">
        <v>0</v>
      </c>
      <c r="X5539" s="21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/>
      <c r="AI5539"/>
      <c r="AJ5539" t="s">
        <v>51</v>
      </c>
      <c r="AK5539" t="s">
        <v>52</v>
      </c>
      <c r="AL5539" t="s">
        <v>1826</v>
      </c>
      <c r="AP5539" t="s">
        <v>116</v>
      </c>
    </row>
    <row r="5540" spans="1:42" s="6" customFormat="1">
      <c r="A5540" s="12">
        <v>43874</v>
      </c>
      <c r="B5540">
        <v>4</v>
      </c>
      <c r="C5540">
        <v>307</v>
      </c>
      <c r="D5540">
        <v>10365</v>
      </c>
      <c r="E5540" t="s">
        <v>112</v>
      </c>
      <c r="F5540" t="s">
        <v>38</v>
      </c>
      <c r="G5540">
        <v>2</v>
      </c>
      <c r="H5540">
        <v>77</v>
      </c>
      <c r="I5540" s="25">
        <v>442</v>
      </c>
      <c r="J5540"/>
      <c r="K5540" t="s">
        <v>74</v>
      </c>
      <c r="L5540" t="s">
        <v>114</v>
      </c>
      <c r="M5540" t="s">
        <v>95</v>
      </c>
      <c r="N5540" t="s">
        <v>40</v>
      </c>
      <c r="O5540">
        <v>50</v>
      </c>
      <c r="P5540"/>
      <c r="Q5540">
        <f t="shared" si="79"/>
        <v>1</v>
      </c>
      <c r="R5540">
        <v>1</v>
      </c>
      <c r="S5540">
        <v>0</v>
      </c>
      <c r="T5540">
        <v>0</v>
      </c>
      <c r="U5540">
        <v>0</v>
      </c>
      <c r="V5540">
        <v>1</v>
      </c>
      <c r="W5540">
        <v>0</v>
      </c>
      <c r="X5540" s="21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/>
      <c r="AI5540"/>
      <c r="AJ5540" t="s">
        <v>51</v>
      </c>
      <c r="AK5540" t="s">
        <v>52</v>
      </c>
      <c r="AL5540"/>
      <c r="AP5540" t="s">
        <v>116</v>
      </c>
    </row>
    <row r="5541" spans="1:42" s="6" customFormat="1">
      <c r="A5541" s="12">
        <v>43874</v>
      </c>
      <c r="B5541">
        <v>4</v>
      </c>
      <c r="C5541">
        <v>307</v>
      </c>
      <c r="D5541">
        <v>10365</v>
      </c>
      <c r="E5541" t="s">
        <v>112</v>
      </c>
      <c r="F5541" t="s">
        <v>38</v>
      </c>
      <c r="G5541">
        <v>2</v>
      </c>
      <c r="H5541">
        <v>78</v>
      </c>
      <c r="I5541" s="25">
        <v>468</v>
      </c>
      <c r="J5541"/>
      <c r="K5541" t="s">
        <v>74</v>
      </c>
      <c r="L5541" t="s">
        <v>114</v>
      </c>
      <c r="M5541" t="s">
        <v>52</v>
      </c>
      <c r="N5541" t="s">
        <v>40</v>
      </c>
      <c r="O5541">
        <v>23</v>
      </c>
      <c r="P5541"/>
      <c r="Q5541">
        <f t="shared" si="79"/>
        <v>1</v>
      </c>
      <c r="R5541">
        <v>1</v>
      </c>
      <c r="S5541">
        <v>0</v>
      </c>
      <c r="T5541">
        <v>0</v>
      </c>
      <c r="U5541">
        <v>0</v>
      </c>
      <c r="V5541">
        <v>1</v>
      </c>
      <c r="W5541">
        <v>0</v>
      </c>
      <c r="X5541" s="2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/>
      <c r="AI5541"/>
      <c r="AJ5541" t="s">
        <v>51</v>
      </c>
      <c r="AK5541" t="s">
        <v>52</v>
      </c>
      <c r="AL5541"/>
      <c r="AP5541" t="s">
        <v>116</v>
      </c>
    </row>
    <row r="5542" spans="1:42" s="6" customFormat="1">
      <c r="A5542" s="12">
        <v>43874</v>
      </c>
      <c r="B5542">
        <v>4</v>
      </c>
      <c r="C5542">
        <v>307</v>
      </c>
      <c r="D5542">
        <v>10365</v>
      </c>
      <c r="E5542" t="s">
        <v>112</v>
      </c>
      <c r="F5542" t="s">
        <v>38</v>
      </c>
      <c r="G5542">
        <v>2</v>
      </c>
      <c r="H5542">
        <v>79</v>
      </c>
      <c r="I5542" s="25" t="s">
        <v>1827</v>
      </c>
      <c r="J5542"/>
      <c r="K5542" t="s">
        <v>74</v>
      </c>
      <c r="L5542" t="s">
        <v>141</v>
      </c>
      <c r="M5542" t="s">
        <v>52</v>
      </c>
      <c r="N5542" t="s">
        <v>40</v>
      </c>
      <c r="O5542">
        <v>103</v>
      </c>
      <c r="P5542"/>
      <c r="Q5542">
        <f t="shared" si="79"/>
        <v>2</v>
      </c>
      <c r="R5542">
        <v>1</v>
      </c>
      <c r="S5542">
        <v>0</v>
      </c>
      <c r="T5542">
        <v>0</v>
      </c>
      <c r="U5542">
        <v>0</v>
      </c>
      <c r="V5542">
        <v>2</v>
      </c>
      <c r="W5542">
        <v>0</v>
      </c>
      <c r="X5542" s="21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/>
      <c r="AI5542"/>
      <c r="AJ5542" t="s">
        <v>51</v>
      </c>
      <c r="AK5542" t="s">
        <v>52</v>
      </c>
      <c r="AL5542" t="s">
        <v>1828</v>
      </c>
      <c r="AP5542" t="s">
        <v>116</v>
      </c>
    </row>
    <row r="5543" spans="1:42" s="6" customFormat="1">
      <c r="A5543" s="12">
        <v>43874</v>
      </c>
      <c r="B5543">
        <v>4</v>
      </c>
      <c r="C5543">
        <v>307</v>
      </c>
      <c r="D5543">
        <v>10365</v>
      </c>
      <c r="E5543" t="s">
        <v>112</v>
      </c>
      <c r="F5543" t="s">
        <v>38</v>
      </c>
      <c r="G5543">
        <v>2</v>
      </c>
      <c r="H5543">
        <v>80</v>
      </c>
      <c r="I5543" s="25">
        <v>604</v>
      </c>
      <c r="J5543"/>
      <c r="K5543" t="s">
        <v>74</v>
      </c>
      <c r="L5543" t="s">
        <v>114</v>
      </c>
      <c r="M5543" t="s">
        <v>95</v>
      </c>
      <c r="N5543" t="s">
        <v>40</v>
      </c>
      <c r="O5543">
        <v>105</v>
      </c>
      <c r="P5543"/>
      <c r="Q5543">
        <f t="shared" si="79"/>
        <v>1</v>
      </c>
      <c r="R5543">
        <v>1</v>
      </c>
      <c r="S5543">
        <v>0</v>
      </c>
      <c r="T5543">
        <v>0</v>
      </c>
      <c r="U5543">
        <v>0</v>
      </c>
      <c r="V5543">
        <v>1</v>
      </c>
      <c r="W5543">
        <v>0</v>
      </c>
      <c r="X5543" s="21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/>
      <c r="AI5543"/>
      <c r="AJ5543" t="s">
        <v>51</v>
      </c>
      <c r="AK5543" t="s">
        <v>52</v>
      </c>
      <c r="AL5543"/>
      <c r="AP5543" t="s">
        <v>116</v>
      </c>
    </row>
    <row r="5544" spans="1:42" s="6" customFormat="1">
      <c r="A5544" s="12">
        <v>43874</v>
      </c>
      <c r="B5544">
        <v>4</v>
      </c>
      <c r="C5544">
        <v>307</v>
      </c>
      <c r="D5544">
        <v>10365</v>
      </c>
      <c r="E5544" t="s">
        <v>112</v>
      </c>
      <c r="F5544" t="s">
        <v>38</v>
      </c>
      <c r="G5544">
        <v>2</v>
      </c>
      <c r="H5544">
        <v>81</v>
      </c>
      <c r="I5544" s="25">
        <v>672</v>
      </c>
      <c r="J5544"/>
      <c r="K5544" t="s">
        <v>74</v>
      </c>
      <c r="L5544" t="s">
        <v>114</v>
      </c>
      <c r="M5544" t="s">
        <v>52</v>
      </c>
      <c r="N5544" t="s">
        <v>44</v>
      </c>
      <c r="O5544">
        <v>63</v>
      </c>
      <c r="P5544"/>
      <c r="Q5544">
        <f t="shared" si="79"/>
        <v>1</v>
      </c>
      <c r="R5544">
        <v>1</v>
      </c>
      <c r="S5544">
        <v>0</v>
      </c>
      <c r="T5544">
        <v>0</v>
      </c>
      <c r="U5544">
        <v>0</v>
      </c>
      <c r="V5544">
        <v>1</v>
      </c>
      <c r="W5544">
        <v>0</v>
      </c>
      <c r="X5544" s="21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/>
      <c r="AI5544"/>
      <c r="AJ5544" t="s">
        <v>51</v>
      </c>
      <c r="AK5544" t="s">
        <v>52</v>
      </c>
      <c r="AL5544" t="s">
        <v>1829</v>
      </c>
      <c r="AP5544" t="s">
        <v>116</v>
      </c>
    </row>
    <row r="5545" spans="1:42" s="6" customFormat="1">
      <c r="A5545" s="12">
        <v>43874</v>
      </c>
      <c r="B5545">
        <v>4</v>
      </c>
      <c r="C5545">
        <v>307</v>
      </c>
      <c r="D5545">
        <v>10365</v>
      </c>
      <c r="E5545" t="s">
        <v>112</v>
      </c>
      <c r="F5545" t="s">
        <v>38</v>
      </c>
      <c r="G5545">
        <v>2</v>
      </c>
      <c r="H5545">
        <v>82</v>
      </c>
      <c r="I5545" s="25">
        <v>611</v>
      </c>
      <c r="J5545"/>
      <c r="K5545" t="s">
        <v>103</v>
      </c>
      <c r="L5545" t="s">
        <v>141</v>
      </c>
      <c r="M5545" t="s">
        <v>52</v>
      </c>
      <c r="N5545" t="s">
        <v>40</v>
      </c>
      <c r="O5545">
        <v>41</v>
      </c>
      <c r="P5545"/>
      <c r="Q5545">
        <f t="shared" si="79"/>
        <v>1</v>
      </c>
      <c r="R5545">
        <v>1</v>
      </c>
      <c r="S5545">
        <v>0</v>
      </c>
      <c r="T5545">
        <v>0</v>
      </c>
      <c r="U5545">
        <v>1</v>
      </c>
      <c r="V5545">
        <v>0</v>
      </c>
      <c r="W5545">
        <v>0</v>
      </c>
      <c r="X5545" s="21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/>
      <c r="AI5545"/>
      <c r="AJ5545" t="s">
        <v>54</v>
      </c>
      <c r="AK5545" t="s">
        <v>52</v>
      </c>
      <c r="AL5545"/>
      <c r="AP5545" t="s">
        <v>116</v>
      </c>
    </row>
    <row r="5546" spans="1:42" s="6" customFormat="1">
      <c r="A5546" s="12">
        <v>43874</v>
      </c>
      <c r="B5546">
        <v>4</v>
      </c>
      <c r="C5546">
        <v>307</v>
      </c>
      <c r="D5546">
        <v>10365</v>
      </c>
      <c r="E5546" t="s">
        <v>112</v>
      </c>
      <c r="F5546" t="s">
        <v>38</v>
      </c>
      <c r="G5546">
        <v>2</v>
      </c>
      <c r="H5546">
        <v>83</v>
      </c>
      <c r="I5546" s="25">
        <v>532</v>
      </c>
      <c r="J5546"/>
      <c r="K5546" t="s">
        <v>103</v>
      </c>
      <c r="L5546" t="s">
        <v>114</v>
      </c>
      <c r="M5546" t="s">
        <v>52</v>
      </c>
      <c r="N5546" t="s">
        <v>40</v>
      </c>
      <c r="O5546">
        <v>54</v>
      </c>
      <c r="P5546"/>
      <c r="Q5546">
        <f t="shared" si="79"/>
        <v>2</v>
      </c>
      <c r="R5546">
        <v>1</v>
      </c>
      <c r="S5546">
        <v>0</v>
      </c>
      <c r="T5546">
        <v>0</v>
      </c>
      <c r="U5546">
        <v>0</v>
      </c>
      <c r="V5546">
        <v>2</v>
      </c>
      <c r="W5546">
        <v>0</v>
      </c>
      <c r="X5546" s="21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/>
      <c r="AI5546"/>
      <c r="AJ5546" t="s">
        <v>51</v>
      </c>
      <c r="AK5546" t="s">
        <v>52</v>
      </c>
      <c r="AL5546"/>
      <c r="AP5546" t="s">
        <v>116</v>
      </c>
    </row>
    <row r="5547" spans="1:42" s="6" customFormat="1">
      <c r="A5547" s="12">
        <v>43874</v>
      </c>
      <c r="B5547">
        <v>4</v>
      </c>
      <c r="C5547">
        <v>307</v>
      </c>
      <c r="D5547">
        <v>10365</v>
      </c>
      <c r="E5547" t="s">
        <v>112</v>
      </c>
      <c r="F5547" t="s">
        <v>38</v>
      </c>
      <c r="G5547">
        <v>2</v>
      </c>
      <c r="H5547">
        <v>84</v>
      </c>
      <c r="I5547" s="25">
        <v>511</v>
      </c>
      <c r="J5547"/>
      <c r="K5547" t="s">
        <v>103</v>
      </c>
      <c r="L5547" t="s">
        <v>141</v>
      </c>
      <c r="M5547" t="s">
        <v>52</v>
      </c>
      <c r="N5547" t="s">
        <v>40</v>
      </c>
      <c r="O5547">
        <v>46</v>
      </c>
      <c r="P5547"/>
      <c r="Q5547">
        <f t="shared" si="79"/>
        <v>2</v>
      </c>
      <c r="R5547">
        <v>1</v>
      </c>
      <c r="S5547">
        <v>0</v>
      </c>
      <c r="T5547">
        <v>0</v>
      </c>
      <c r="U5547">
        <v>0</v>
      </c>
      <c r="V5547">
        <v>2</v>
      </c>
      <c r="W5547">
        <v>0</v>
      </c>
      <c r="X5547" s="21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/>
      <c r="AI5547"/>
      <c r="AJ5547" t="s">
        <v>51</v>
      </c>
      <c r="AK5547" t="s">
        <v>52</v>
      </c>
      <c r="AL5547" t="s">
        <v>1055</v>
      </c>
      <c r="AP5547" t="s">
        <v>116</v>
      </c>
    </row>
    <row r="5548" spans="1:42" s="6" customFormat="1">
      <c r="A5548" s="12">
        <v>43874</v>
      </c>
      <c r="B5548">
        <v>4</v>
      </c>
      <c r="C5548">
        <v>307</v>
      </c>
      <c r="D5548">
        <v>10365</v>
      </c>
      <c r="E5548" t="s">
        <v>112</v>
      </c>
      <c r="F5548" t="s">
        <v>38</v>
      </c>
      <c r="G5548">
        <v>2</v>
      </c>
      <c r="H5548">
        <v>85</v>
      </c>
      <c r="I5548" s="25">
        <v>501</v>
      </c>
      <c r="J5548"/>
      <c r="K5548" t="s">
        <v>98</v>
      </c>
      <c r="L5548" t="s">
        <v>141</v>
      </c>
      <c r="M5548" t="s">
        <v>52</v>
      </c>
      <c r="N5548" t="s">
        <v>40</v>
      </c>
      <c r="O5548">
        <v>60</v>
      </c>
      <c r="P5548"/>
      <c r="Q5548">
        <f t="shared" si="79"/>
        <v>1</v>
      </c>
      <c r="R5548">
        <v>1</v>
      </c>
      <c r="S5548">
        <v>0</v>
      </c>
      <c r="T5548">
        <v>0</v>
      </c>
      <c r="U5548">
        <v>0</v>
      </c>
      <c r="V5548">
        <v>1</v>
      </c>
      <c r="W5548">
        <v>0</v>
      </c>
      <c r="X5548" s="21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/>
      <c r="AI5548"/>
      <c r="AJ5548" t="s">
        <v>51</v>
      </c>
      <c r="AK5548" t="s">
        <v>95</v>
      </c>
      <c r="AL5548" t="s">
        <v>1830</v>
      </c>
      <c r="AP5548" t="s">
        <v>116</v>
      </c>
    </row>
    <row r="5549" spans="1:42" s="6" customFormat="1">
      <c r="A5549" s="12">
        <v>43874</v>
      </c>
      <c r="B5549">
        <v>4</v>
      </c>
      <c r="C5549">
        <v>307</v>
      </c>
      <c r="D5549">
        <v>10365</v>
      </c>
      <c r="E5549" t="s">
        <v>112</v>
      </c>
      <c r="F5549" t="s">
        <v>38</v>
      </c>
      <c r="G5549">
        <v>2</v>
      </c>
      <c r="H5549">
        <v>86</v>
      </c>
      <c r="I5549" s="25">
        <v>531</v>
      </c>
      <c r="J5549"/>
      <c r="K5549" t="s">
        <v>103</v>
      </c>
      <c r="L5549" t="s">
        <v>141</v>
      </c>
      <c r="M5549" t="s">
        <v>52</v>
      </c>
      <c r="N5549" t="s">
        <v>1703</v>
      </c>
      <c r="O5549">
        <v>40</v>
      </c>
      <c r="P5549"/>
      <c r="Q5549">
        <f t="shared" si="79"/>
        <v>1</v>
      </c>
      <c r="R5549">
        <v>1</v>
      </c>
      <c r="S5549">
        <v>0</v>
      </c>
      <c r="T5549">
        <v>0</v>
      </c>
      <c r="U5549">
        <v>0</v>
      </c>
      <c r="V5549">
        <v>1</v>
      </c>
      <c r="W5549">
        <v>0</v>
      </c>
      <c r="X5549" s="21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/>
      <c r="AI5549"/>
      <c r="AJ5549" t="s">
        <v>51</v>
      </c>
      <c r="AK5549" t="s">
        <v>52</v>
      </c>
      <c r="AL5549" t="s">
        <v>1808</v>
      </c>
      <c r="AP5549" t="s">
        <v>116</v>
      </c>
    </row>
    <row r="5550" spans="1:42" s="6" customFormat="1">
      <c r="A5550" s="12">
        <v>43874</v>
      </c>
      <c r="B5550">
        <v>4</v>
      </c>
      <c r="C5550">
        <v>307</v>
      </c>
      <c r="D5550">
        <v>10365</v>
      </c>
      <c r="E5550" t="s">
        <v>112</v>
      </c>
      <c r="F5550" t="s">
        <v>38</v>
      </c>
      <c r="G5550">
        <v>2</v>
      </c>
      <c r="H5550">
        <v>87</v>
      </c>
      <c r="I5550" s="25">
        <v>337</v>
      </c>
      <c r="J5550"/>
      <c r="K5550" t="s">
        <v>103</v>
      </c>
      <c r="L5550" t="s">
        <v>141</v>
      </c>
      <c r="M5550" t="s">
        <v>52</v>
      </c>
      <c r="N5550" t="s">
        <v>40</v>
      </c>
      <c r="O5550">
        <v>62</v>
      </c>
      <c r="P5550"/>
      <c r="Q5550">
        <f t="shared" si="79"/>
        <v>2</v>
      </c>
      <c r="R5550">
        <v>1</v>
      </c>
      <c r="S5550">
        <v>0</v>
      </c>
      <c r="T5550">
        <v>0</v>
      </c>
      <c r="U5550">
        <v>0</v>
      </c>
      <c r="V5550">
        <v>1</v>
      </c>
      <c r="W5550">
        <v>0</v>
      </c>
      <c r="X5550" s="21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1</v>
      </c>
      <c r="AF5550">
        <v>0</v>
      </c>
      <c r="AG5550">
        <v>0</v>
      </c>
      <c r="AH5550"/>
      <c r="AI5550"/>
      <c r="AJ5550" t="s">
        <v>51</v>
      </c>
      <c r="AK5550" t="s">
        <v>52</v>
      </c>
      <c r="AL5550" t="s">
        <v>1831</v>
      </c>
      <c r="AP5550" t="s">
        <v>116</v>
      </c>
    </row>
    <row r="5551" spans="1:42" s="6" customFormat="1">
      <c r="A5551" s="12">
        <v>43874</v>
      </c>
      <c r="B5551">
        <v>4</v>
      </c>
      <c r="C5551">
        <v>307</v>
      </c>
      <c r="D5551">
        <v>10365</v>
      </c>
      <c r="E5551" t="s">
        <v>112</v>
      </c>
      <c r="F5551" t="s">
        <v>38</v>
      </c>
      <c r="G5551">
        <v>2</v>
      </c>
      <c r="H5551">
        <v>88</v>
      </c>
      <c r="I5551" s="25">
        <v>86</v>
      </c>
      <c r="J5551"/>
      <c r="K5551" t="s">
        <v>417</v>
      </c>
      <c r="L5551" t="s">
        <v>114</v>
      </c>
      <c r="M5551" t="s">
        <v>95</v>
      </c>
      <c r="N5551" t="s">
        <v>1703</v>
      </c>
      <c r="O5551">
        <v>60</v>
      </c>
      <c r="P5551"/>
      <c r="Q5551">
        <f t="shared" si="79"/>
        <v>1</v>
      </c>
      <c r="R5551">
        <v>1</v>
      </c>
      <c r="S5551">
        <v>0</v>
      </c>
      <c r="T5551">
        <v>0</v>
      </c>
      <c r="U5551">
        <v>1</v>
      </c>
      <c r="V5551">
        <v>0</v>
      </c>
      <c r="W5551">
        <v>0</v>
      </c>
      <c r="X5551" s="2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/>
      <c r="AI5551"/>
      <c r="AJ5551" t="s">
        <v>51</v>
      </c>
      <c r="AK5551" t="s">
        <v>52</v>
      </c>
      <c r="AL5551" t="s">
        <v>1808</v>
      </c>
      <c r="AP5551" t="s">
        <v>116</v>
      </c>
    </row>
    <row r="5552" spans="1:42" s="6" customFormat="1">
      <c r="A5552" s="12">
        <v>43874</v>
      </c>
      <c r="B5552">
        <v>4</v>
      </c>
      <c r="C5552">
        <v>307</v>
      </c>
      <c r="D5552">
        <v>10365</v>
      </c>
      <c r="E5552" t="s">
        <v>112</v>
      </c>
      <c r="F5552" t="s">
        <v>38</v>
      </c>
      <c r="G5552">
        <v>2</v>
      </c>
      <c r="H5552">
        <v>89</v>
      </c>
      <c r="I5552" s="25">
        <v>393</v>
      </c>
      <c r="J5552"/>
      <c r="K5552" t="s">
        <v>94</v>
      </c>
      <c r="L5552" t="s">
        <v>141</v>
      </c>
      <c r="M5552" t="s">
        <v>52</v>
      </c>
      <c r="N5552" t="s">
        <v>40</v>
      </c>
      <c r="O5552">
        <v>52</v>
      </c>
      <c r="P5552"/>
      <c r="Q5552">
        <f t="shared" si="79"/>
        <v>1</v>
      </c>
      <c r="R5552">
        <v>1</v>
      </c>
      <c r="S5552">
        <v>0</v>
      </c>
      <c r="T5552">
        <v>0</v>
      </c>
      <c r="U5552">
        <v>0</v>
      </c>
      <c r="V5552">
        <v>1</v>
      </c>
      <c r="W5552">
        <v>0</v>
      </c>
      <c r="X5552" s="21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/>
      <c r="AI5552"/>
      <c r="AJ5552" t="s">
        <v>51</v>
      </c>
      <c r="AK5552" t="s">
        <v>95</v>
      </c>
      <c r="AL5552"/>
      <c r="AP5552" t="s">
        <v>116</v>
      </c>
    </row>
    <row r="5553" spans="1:42" s="6" customFormat="1">
      <c r="A5553" s="12">
        <v>43874</v>
      </c>
      <c r="B5553">
        <v>4</v>
      </c>
      <c r="C5553">
        <v>307</v>
      </c>
      <c r="D5553">
        <v>10365</v>
      </c>
      <c r="E5553" t="s">
        <v>112</v>
      </c>
      <c r="F5553" t="s">
        <v>38</v>
      </c>
      <c r="G5553">
        <v>2</v>
      </c>
      <c r="H5553">
        <v>90</v>
      </c>
      <c r="I5553" s="25">
        <v>366</v>
      </c>
      <c r="J5553"/>
      <c r="K5553" t="s">
        <v>94</v>
      </c>
      <c r="L5553" t="s">
        <v>114</v>
      </c>
      <c r="M5553" t="s">
        <v>52</v>
      </c>
      <c r="N5553" t="s">
        <v>1703</v>
      </c>
      <c r="O5553">
        <v>56</v>
      </c>
      <c r="P5553"/>
      <c r="Q5553">
        <f t="shared" si="79"/>
        <v>1</v>
      </c>
      <c r="R5553">
        <v>1</v>
      </c>
      <c r="S5553">
        <v>0</v>
      </c>
      <c r="T5553">
        <v>0</v>
      </c>
      <c r="U5553">
        <v>1</v>
      </c>
      <c r="V5553">
        <v>0</v>
      </c>
      <c r="W5553">
        <v>0</v>
      </c>
      <c r="X5553" s="21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/>
      <c r="AI5553"/>
      <c r="AJ5553" t="s">
        <v>51</v>
      </c>
      <c r="AK5553" t="s">
        <v>52</v>
      </c>
      <c r="AL5553" t="s">
        <v>1808</v>
      </c>
      <c r="AP5553" t="s">
        <v>116</v>
      </c>
    </row>
    <row r="5554" spans="1:42" s="6" customFormat="1">
      <c r="A5554" s="12">
        <v>43874</v>
      </c>
      <c r="B5554">
        <v>4</v>
      </c>
      <c r="C5554">
        <v>307</v>
      </c>
      <c r="D5554">
        <v>10365</v>
      </c>
      <c r="E5554" t="s">
        <v>112</v>
      </c>
      <c r="F5554" t="s">
        <v>38</v>
      </c>
      <c r="G5554">
        <v>2</v>
      </c>
      <c r="H5554">
        <v>91</v>
      </c>
      <c r="I5554" s="25">
        <v>339</v>
      </c>
      <c r="J5554"/>
      <c r="K5554" t="s">
        <v>94</v>
      </c>
      <c r="L5554" t="s">
        <v>141</v>
      </c>
      <c r="M5554" t="s">
        <v>52</v>
      </c>
      <c r="N5554" t="s">
        <v>40</v>
      </c>
      <c r="O5554">
        <v>42</v>
      </c>
      <c r="P5554"/>
      <c r="Q5554">
        <f t="shared" si="79"/>
        <v>1</v>
      </c>
      <c r="R5554">
        <v>1</v>
      </c>
      <c r="S5554">
        <v>0</v>
      </c>
      <c r="T5554">
        <v>0</v>
      </c>
      <c r="U5554">
        <v>1</v>
      </c>
      <c r="V5554">
        <v>0</v>
      </c>
      <c r="W5554">
        <v>0</v>
      </c>
      <c r="X5554" s="21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/>
      <c r="AI5554"/>
      <c r="AJ5554" t="s">
        <v>51</v>
      </c>
      <c r="AK5554" t="s">
        <v>52</v>
      </c>
      <c r="AL5554"/>
      <c r="AP5554" t="s">
        <v>116</v>
      </c>
    </row>
    <row r="5555" spans="1:42" s="6" customFormat="1">
      <c r="A5555" s="12">
        <v>43874</v>
      </c>
      <c r="B5555">
        <v>4</v>
      </c>
      <c r="C5555">
        <v>307</v>
      </c>
      <c r="D5555">
        <v>10365</v>
      </c>
      <c r="E5555" t="s">
        <v>112</v>
      </c>
      <c r="F5555" t="s">
        <v>38</v>
      </c>
      <c r="G5555">
        <v>2</v>
      </c>
      <c r="H5555">
        <v>92</v>
      </c>
      <c r="I5555" s="25" t="s">
        <v>1832</v>
      </c>
      <c r="J5555"/>
      <c r="K5555" t="s">
        <v>1833</v>
      </c>
      <c r="L5555" t="s">
        <v>141</v>
      </c>
      <c r="M5555" t="s">
        <v>52</v>
      </c>
      <c r="N5555" t="s">
        <v>40</v>
      </c>
      <c r="O5555">
        <v>100</v>
      </c>
      <c r="P5555"/>
      <c r="Q5555">
        <f t="shared" si="79"/>
        <v>3</v>
      </c>
      <c r="R5555">
        <v>1</v>
      </c>
      <c r="S5555">
        <v>0</v>
      </c>
      <c r="T5555">
        <v>0</v>
      </c>
      <c r="U5555">
        <v>0</v>
      </c>
      <c r="V5555">
        <v>3</v>
      </c>
      <c r="W5555">
        <v>0</v>
      </c>
      <c r="X5555" s="21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/>
      <c r="AI5555"/>
      <c r="AJ5555" t="s">
        <v>51</v>
      </c>
      <c r="AK5555" t="s">
        <v>52</v>
      </c>
      <c r="AL5555"/>
      <c r="AP5555" t="s">
        <v>116</v>
      </c>
    </row>
    <row r="5556" spans="1:42" s="6" customFormat="1">
      <c r="A5556" s="12">
        <v>43874</v>
      </c>
      <c r="B5556">
        <v>4</v>
      </c>
      <c r="C5556">
        <v>307</v>
      </c>
      <c r="D5556">
        <v>10365</v>
      </c>
      <c r="E5556" t="s">
        <v>112</v>
      </c>
      <c r="F5556" t="s">
        <v>38</v>
      </c>
      <c r="G5556">
        <v>2</v>
      </c>
      <c r="H5556">
        <v>93</v>
      </c>
      <c r="I5556" s="25">
        <v>201</v>
      </c>
      <c r="J5556"/>
      <c r="K5556" t="s">
        <v>100</v>
      </c>
      <c r="L5556" t="s">
        <v>141</v>
      </c>
      <c r="M5556" t="s">
        <v>52</v>
      </c>
      <c r="N5556" t="s">
        <v>40</v>
      </c>
      <c r="O5556">
        <v>30</v>
      </c>
      <c r="P5556"/>
      <c r="Q5556">
        <f t="shared" si="79"/>
        <v>1</v>
      </c>
      <c r="R5556">
        <v>1</v>
      </c>
      <c r="S5556">
        <v>0</v>
      </c>
      <c r="T5556">
        <v>0</v>
      </c>
      <c r="U5556">
        <v>1</v>
      </c>
      <c r="V5556">
        <v>0</v>
      </c>
      <c r="W5556">
        <v>0</v>
      </c>
      <c r="X5556" s="21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/>
      <c r="AI5556"/>
      <c r="AJ5556" t="s">
        <v>51</v>
      </c>
      <c r="AK5556" t="s">
        <v>52</v>
      </c>
      <c r="AL5556"/>
      <c r="AP5556" t="s">
        <v>116</v>
      </c>
    </row>
    <row r="5557" spans="1:42" s="6" customFormat="1">
      <c r="A5557" s="12">
        <v>43875</v>
      </c>
      <c r="B5557">
        <v>4</v>
      </c>
      <c r="C5557">
        <v>307</v>
      </c>
      <c r="D5557">
        <v>10365</v>
      </c>
      <c r="E5557" t="s">
        <v>112</v>
      </c>
      <c r="F5557" t="s">
        <v>38</v>
      </c>
      <c r="G5557">
        <v>3</v>
      </c>
      <c r="H5557">
        <v>94</v>
      </c>
      <c r="I5557" s="25">
        <v>237</v>
      </c>
      <c r="J5557"/>
      <c r="K5557" t="s">
        <v>100</v>
      </c>
      <c r="L5557" t="s">
        <v>141</v>
      </c>
      <c r="M5557" t="s">
        <v>52</v>
      </c>
      <c r="N5557" t="s">
        <v>40</v>
      </c>
      <c r="O5557">
        <v>34</v>
      </c>
      <c r="P5557"/>
      <c r="Q5557">
        <f t="shared" si="79"/>
        <v>1</v>
      </c>
      <c r="R5557">
        <v>1</v>
      </c>
      <c r="S5557">
        <v>0</v>
      </c>
      <c r="T5557">
        <v>0</v>
      </c>
      <c r="U5557">
        <v>1</v>
      </c>
      <c r="V5557">
        <v>0</v>
      </c>
      <c r="W5557">
        <v>0</v>
      </c>
      <c r="X5557" s="21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/>
      <c r="AI5557"/>
      <c r="AJ5557" t="s">
        <v>51</v>
      </c>
      <c r="AK5557" t="s">
        <v>52</v>
      </c>
      <c r="AL5557"/>
      <c r="AP5557" t="s">
        <v>116</v>
      </c>
    </row>
    <row r="5558" spans="1:42" s="6" customFormat="1">
      <c r="A5558" s="12">
        <v>43874</v>
      </c>
      <c r="B5558">
        <v>4</v>
      </c>
      <c r="C5558">
        <v>307</v>
      </c>
      <c r="D5558">
        <v>10365</v>
      </c>
      <c r="E5558" t="s">
        <v>112</v>
      </c>
      <c r="F5558" t="s">
        <v>38</v>
      </c>
      <c r="G5558">
        <v>2</v>
      </c>
      <c r="H5558">
        <v>95</v>
      </c>
      <c r="I5558" s="25">
        <v>299</v>
      </c>
      <c r="J5558"/>
      <c r="K5558" t="s">
        <v>100</v>
      </c>
      <c r="L5558" t="s">
        <v>141</v>
      </c>
      <c r="M5558" t="s">
        <v>52</v>
      </c>
      <c r="N5558" t="s">
        <v>44</v>
      </c>
      <c r="O5558">
        <v>83</v>
      </c>
      <c r="P5558"/>
      <c r="Q5558">
        <f t="shared" si="79"/>
        <v>1</v>
      </c>
      <c r="R5558">
        <v>1</v>
      </c>
      <c r="S5558">
        <v>0</v>
      </c>
      <c r="T5558">
        <v>0</v>
      </c>
      <c r="U5558">
        <v>1</v>
      </c>
      <c r="V5558">
        <v>0</v>
      </c>
      <c r="W5558">
        <v>0</v>
      </c>
      <c r="X5558" s="21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/>
      <c r="AI5558"/>
      <c r="AJ5558" t="s">
        <v>51</v>
      </c>
      <c r="AK5558" t="s">
        <v>95</v>
      </c>
      <c r="AL5558" t="s">
        <v>1834</v>
      </c>
      <c r="AP5558" t="s">
        <v>116</v>
      </c>
    </row>
    <row r="5559" spans="1:42" s="6" customFormat="1">
      <c r="A5559" s="12">
        <v>43874</v>
      </c>
      <c r="B5559">
        <v>4</v>
      </c>
      <c r="C5559">
        <v>307</v>
      </c>
      <c r="D5559">
        <v>10365</v>
      </c>
      <c r="E5559" t="s">
        <v>112</v>
      </c>
      <c r="F5559" t="s">
        <v>38</v>
      </c>
      <c r="G5559">
        <v>2</v>
      </c>
      <c r="H5559">
        <v>96</v>
      </c>
      <c r="I5559" s="25">
        <v>434</v>
      </c>
      <c r="J5559"/>
      <c r="K5559" t="s">
        <v>100</v>
      </c>
      <c r="L5559" t="s">
        <v>114</v>
      </c>
      <c r="M5559" t="s">
        <v>52</v>
      </c>
      <c r="N5559" t="s">
        <v>44</v>
      </c>
      <c r="O5559">
        <v>58</v>
      </c>
      <c r="P5559"/>
      <c r="Q5559">
        <f t="shared" si="79"/>
        <v>1</v>
      </c>
      <c r="R5559">
        <v>1</v>
      </c>
      <c r="S5559">
        <v>0</v>
      </c>
      <c r="T5559">
        <v>0</v>
      </c>
      <c r="U5559">
        <v>0</v>
      </c>
      <c r="V5559">
        <v>1</v>
      </c>
      <c r="W5559">
        <v>0</v>
      </c>
      <c r="X5559" s="21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/>
      <c r="AI5559"/>
      <c r="AJ5559" t="s">
        <v>51</v>
      </c>
      <c r="AK5559" t="s">
        <v>52</v>
      </c>
      <c r="AL5559" t="s">
        <v>149</v>
      </c>
      <c r="AP5559" t="s">
        <v>116</v>
      </c>
    </row>
    <row r="5560" spans="1:42" s="6" customFormat="1">
      <c r="A5560" s="12">
        <v>43874</v>
      </c>
      <c r="B5560">
        <v>4</v>
      </c>
      <c r="C5560">
        <v>307</v>
      </c>
      <c r="D5560">
        <v>10365</v>
      </c>
      <c r="E5560" t="s">
        <v>112</v>
      </c>
      <c r="F5560" t="s">
        <v>38</v>
      </c>
      <c r="G5560">
        <v>2</v>
      </c>
      <c r="H5560">
        <v>97</v>
      </c>
      <c r="I5560" s="25">
        <v>473</v>
      </c>
      <c r="J5560"/>
      <c r="K5560" t="s">
        <v>100</v>
      </c>
      <c r="L5560" t="s">
        <v>141</v>
      </c>
      <c r="M5560" t="s">
        <v>52</v>
      </c>
      <c r="N5560" t="s">
        <v>40</v>
      </c>
      <c r="O5560">
        <v>38</v>
      </c>
      <c r="P5560"/>
      <c r="Q5560">
        <f t="shared" si="79"/>
        <v>2</v>
      </c>
      <c r="R5560">
        <v>1</v>
      </c>
      <c r="S5560">
        <v>0</v>
      </c>
      <c r="T5560">
        <v>0</v>
      </c>
      <c r="U5560">
        <v>0</v>
      </c>
      <c r="V5560">
        <v>2</v>
      </c>
      <c r="W5560">
        <v>0</v>
      </c>
      <c r="X5560" s="21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/>
      <c r="AI5560"/>
      <c r="AJ5560" t="s">
        <v>51</v>
      </c>
      <c r="AK5560" t="s">
        <v>52</v>
      </c>
      <c r="AL5560"/>
      <c r="AP5560" t="s">
        <v>116</v>
      </c>
    </row>
    <row r="5561" spans="1:42" s="6" customFormat="1">
      <c r="A5561" s="12">
        <v>43874</v>
      </c>
      <c r="B5561">
        <v>4</v>
      </c>
      <c r="C5561">
        <v>307</v>
      </c>
      <c r="D5561">
        <v>10365</v>
      </c>
      <c r="E5561" t="s">
        <v>112</v>
      </c>
      <c r="F5561" t="s">
        <v>38</v>
      </c>
      <c r="G5561">
        <v>2</v>
      </c>
      <c r="H5561">
        <v>98</v>
      </c>
      <c r="I5561" s="25">
        <v>530</v>
      </c>
      <c r="J5561"/>
      <c r="K5561" t="s">
        <v>100</v>
      </c>
      <c r="L5561" t="s">
        <v>114</v>
      </c>
      <c r="M5561" t="s">
        <v>52</v>
      </c>
      <c r="N5561" t="s">
        <v>40</v>
      </c>
      <c r="O5561">
        <v>25</v>
      </c>
      <c r="P5561"/>
      <c r="Q5561">
        <f t="shared" si="79"/>
        <v>0</v>
      </c>
      <c r="R5561">
        <v>1</v>
      </c>
      <c r="S5561">
        <v>0</v>
      </c>
      <c r="T5561">
        <v>0</v>
      </c>
      <c r="U5561">
        <v>0</v>
      </c>
      <c r="V5561">
        <v>0</v>
      </c>
      <c r="W5561">
        <v>0</v>
      </c>
      <c r="X5561" s="2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/>
      <c r="AI5561"/>
      <c r="AJ5561" t="s">
        <v>51</v>
      </c>
      <c r="AK5561" t="s">
        <v>52</v>
      </c>
      <c r="AL5561" t="s">
        <v>1835</v>
      </c>
      <c r="AP5561" t="s">
        <v>116</v>
      </c>
    </row>
    <row r="5562" spans="1:42" s="6" customFormat="1">
      <c r="A5562" s="12">
        <v>43874</v>
      </c>
      <c r="B5562">
        <v>4</v>
      </c>
      <c r="C5562">
        <v>307</v>
      </c>
      <c r="D5562">
        <v>10365</v>
      </c>
      <c r="E5562" t="s">
        <v>112</v>
      </c>
      <c r="F5562" t="s">
        <v>38</v>
      </c>
      <c r="G5562">
        <v>2</v>
      </c>
      <c r="H5562">
        <v>99</v>
      </c>
      <c r="I5562" s="25">
        <v>401</v>
      </c>
      <c r="J5562"/>
      <c r="K5562" t="s">
        <v>828</v>
      </c>
      <c r="L5562" t="s">
        <v>141</v>
      </c>
      <c r="M5562" t="s">
        <v>52</v>
      </c>
      <c r="N5562" t="s">
        <v>44</v>
      </c>
      <c r="O5562">
        <v>88</v>
      </c>
      <c r="P5562"/>
      <c r="Q5562">
        <f t="shared" si="79"/>
        <v>1</v>
      </c>
      <c r="R5562">
        <v>1</v>
      </c>
      <c r="S5562">
        <v>0</v>
      </c>
      <c r="T5562">
        <v>0</v>
      </c>
      <c r="U5562">
        <v>0</v>
      </c>
      <c r="V5562">
        <v>1</v>
      </c>
      <c r="W5562">
        <v>0</v>
      </c>
      <c r="X5562" s="21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/>
      <c r="AI5562"/>
      <c r="AJ5562" t="s">
        <v>51</v>
      </c>
      <c r="AK5562" t="s">
        <v>52</v>
      </c>
      <c r="AL5562" t="s">
        <v>149</v>
      </c>
      <c r="AP5562" t="s">
        <v>116</v>
      </c>
    </row>
    <row r="5563" spans="1:42" s="6" customFormat="1">
      <c r="A5563" s="12">
        <v>43874</v>
      </c>
      <c r="B5563">
        <v>4</v>
      </c>
      <c r="C5563">
        <v>307</v>
      </c>
      <c r="D5563">
        <v>10365</v>
      </c>
      <c r="E5563" t="s">
        <v>112</v>
      </c>
      <c r="F5563" t="s">
        <v>38</v>
      </c>
      <c r="G5563">
        <v>2</v>
      </c>
      <c r="H5563">
        <v>100</v>
      </c>
      <c r="I5563" s="25">
        <v>615</v>
      </c>
      <c r="J5563"/>
      <c r="K5563" t="s">
        <v>100</v>
      </c>
      <c r="L5563" t="s">
        <v>141</v>
      </c>
      <c r="M5563" t="s">
        <v>52</v>
      </c>
      <c r="N5563" t="s">
        <v>44</v>
      </c>
      <c r="O5563">
        <v>132</v>
      </c>
      <c r="P5563"/>
      <c r="Q5563">
        <f t="shared" si="79"/>
        <v>1</v>
      </c>
      <c r="R5563">
        <v>1</v>
      </c>
      <c r="S5563">
        <v>0</v>
      </c>
      <c r="T5563">
        <v>0</v>
      </c>
      <c r="U5563">
        <v>0</v>
      </c>
      <c r="V5563">
        <v>1</v>
      </c>
      <c r="W5563">
        <v>0</v>
      </c>
      <c r="X5563" s="21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/>
      <c r="AI5563"/>
      <c r="AJ5563" t="s">
        <v>51</v>
      </c>
      <c r="AK5563" t="s">
        <v>52</v>
      </c>
      <c r="AL5563" t="s">
        <v>1836</v>
      </c>
      <c r="AP5563" t="s">
        <v>116</v>
      </c>
    </row>
    <row r="5564" spans="1:42" s="6" customFormat="1">
      <c r="A5564" s="12">
        <v>43874</v>
      </c>
      <c r="B5564">
        <v>4</v>
      </c>
      <c r="C5564">
        <v>307</v>
      </c>
      <c r="D5564">
        <v>10365</v>
      </c>
      <c r="E5564" t="s">
        <v>112</v>
      </c>
      <c r="F5564" t="s">
        <v>38</v>
      </c>
      <c r="G5564">
        <v>2</v>
      </c>
      <c r="H5564">
        <v>101</v>
      </c>
      <c r="I5564" s="25">
        <v>717</v>
      </c>
      <c r="J5564"/>
      <c r="K5564" t="s">
        <v>100</v>
      </c>
      <c r="L5564" t="s">
        <v>141</v>
      </c>
      <c r="M5564" t="s">
        <v>52</v>
      </c>
      <c r="N5564" t="s">
        <v>40</v>
      </c>
      <c r="O5564">
        <v>36</v>
      </c>
      <c r="P5564"/>
      <c r="Q5564">
        <f t="shared" si="79"/>
        <v>1</v>
      </c>
      <c r="R5564">
        <v>1</v>
      </c>
      <c r="S5564">
        <v>0</v>
      </c>
      <c r="T5564">
        <v>0</v>
      </c>
      <c r="U5564">
        <v>0</v>
      </c>
      <c r="V5564">
        <v>1</v>
      </c>
      <c r="W5564">
        <v>0</v>
      </c>
      <c r="X5564" s="21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/>
      <c r="AI5564"/>
      <c r="AJ5564" t="s">
        <v>51</v>
      </c>
      <c r="AK5564" t="s">
        <v>52</v>
      </c>
      <c r="AL5564"/>
      <c r="AP5564" t="s">
        <v>116</v>
      </c>
    </row>
    <row r="5565" spans="1:42" s="6" customFormat="1">
      <c r="A5565" s="12">
        <v>43874</v>
      </c>
      <c r="B5565">
        <v>4</v>
      </c>
      <c r="C5565">
        <v>307</v>
      </c>
      <c r="D5565">
        <v>10365</v>
      </c>
      <c r="E5565" t="s">
        <v>112</v>
      </c>
      <c r="F5565" t="s">
        <v>38</v>
      </c>
      <c r="G5565">
        <v>2</v>
      </c>
      <c r="H5565">
        <v>102</v>
      </c>
      <c r="I5565" s="25">
        <v>730</v>
      </c>
      <c r="J5565"/>
      <c r="K5565" t="s">
        <v>414</v>
      </c>
      <c r="L5565" t="s">
        <v>114</v>
      </c>
      <c r="M5565" t="s">
        <v>52</v>
      </c>
      <c r="N5565" t="s">
        <v>40</v>
      </c>
      <c r="O5565">
        <v>115</v>
      </c>
      <c r="P5565"/>
      <c r="Q5565">
        <f t="shared" si="79"/>
        <v>5</v>
      </c>
      <c r="R5565">
        <v>1</v>
      </c>
      <c r="S5565">
        <v>0</v>
      </c>
      <c r="T5565">
        <v>0</v>
      </c>
      <c r="U5565">
        <v>1</v>
      </c>
      <c r="V5565">
        <v>4</v>
      </c>
      <c r="W5565">
        <v>0</v>
      </c>
      <c r="X5565" s="21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/>
      <c r="AI5565"/>
      <c r="AJ5565" t="s">
        <v>51</v>
      </c>
      <c r="AK5565" t="s">
        <v>52</v>
      </c>
      <c r="AL5565" t="s">
        <v>1837</v>
      </c>
      <c r="AP5565" t="s">
        <v>116</v>
      </c>
    </row>
    <row r="5566" spans="1:42" s="6" customFormat="1">
      <c r="A5566" s="12">
        <v>43874</v>
      </c>
      <c r="B5566">
        <v>4</v>
      </c>
      <c r="C5566">
        <v>307</v>
      </c>
      <c r="D5566">
        <v>10365</v>
      </c>
      <c r="E5566" t="s">
        <v>112</v>
      </c>
      <c r="F5566" t="s">
        <v>38</v>
      </c>
      <c r="G5566">
        <v>2</v>
      </c>
      <c r="H5566">
        <v>103</v>
      </c>
      <c r="I5566" s="25">
        <v>824</v>
      </c>
      <c r="J5566"/>
      <c r="K5566" t="s">
        <v>100</v>
      </c>
      <c r="L5566" t="s">
        <v>114</v>
      </c>
      <c r="M5566" t="s">
        <v>52</v>
      </c>
      <c r="N5566" t="s">
        <v>40</v>
      </c>
      <c r="O5566">
        <v>59</v>
      </c>
      <c r="P5566"/>
      <c r="Q5566">
        <f t="shared" si="79"/>
        <v>1</v>
      </c>
      <c r="R5566">
        <v>1</v>
      </c>
      <c r="S5566">
        <v>0</v>
      </c>
      <c r="T5566">
        <v>0</v>
      </c>
      <c r="U5566">
        <v>0</v>
      </c>
      <c r="V5566">
        <v>1</v>
      </c>
      <c r="W5566">
        <v>0</v>
      </c>
      <c r="X5566" s="21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/>
      <c r="AI5566"/>
      <c r="AJ5566" t="s">
        <v>54</v>
      </c>
      <c r="AK5566" t="s">
        <v>52</v>
      </c>
      <c r="AL5566" t="s">
        <v>1828</v>
      </c>
      <c r="AP5566" t="s">
        <v>116</v>
      </c>
    </row>
    <row r="5567" spans="1:42" s="6" customFormat="1">
      <c r="A5567" s="12">
        <v>43874</v>
      </c>
      <c r="B5567">
        <v>4</v>
      </c>
      <c r="C5567">
        <v>307</v>
      </c>
      <c r="D5567">
        <v>10365</v>
      </c>
      <c r="E5567" t="s">
        <v>112</v>
      </c>
      <c r="F5567" t="s">
        <v>38</v>
      </c>
      <c r="G5567">
        <v>2</v>
      </c>
      <c r="H5567">
        <v>104</v>
      </c>
      <c r="I5567" s="25">
        <v>990</v>
      </c>
      <c r="J5567"/>
      <c r="K5567" t="s">
        <v>414</v>
      </c>
      <c r="L5567" t="s">
        <v>114</v>
      </c>
      <c r="M5567" t="s">
        <v>52</v>
      </c>
      <c r="N5567" t="s">
        <v>40</v>
      </c>
      <c r="O5567">
        <v>49</v>
      </c>
      <c r="P5567"/>
      <c r="Q5567">
        <f t="shared" si="79"/>
        <v>2</v>
      </c>
      <c r="R5567">
        <v>1</v>
      </c>
      <c r="S5567">
        <v>0</v>
      </c>
      <c r="T5567">
        <v>0</v>
      </c>
      <c r="U5567">
        <v>0</v>
      </c>
      <c r="V5567">
        <v>2</v>
      </c>
      <c r="W5567">
        <v>0</v>
      </c>
      <c r="X5567" s="21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/>
      <c r="AI5567"/>
      <c r="AJ5567" t="s">
        <v>51</v>
      </c>
      <c r="AK5567" t="s">
        <v>95</v>
      </c>
      <c r="AL5567" t="s">
        <v>1838</v>
      </c>
      <c r="AP5567" t="s">
        <v>116</v>
      </c>
    </row>
    <row r="5568" spans="1:42" s="6" customFormat="1">
      <c r="A5568" s="12">
        <v>43874</v>
      </c>
      <c r="B5568">
        <v>4</v>
      </c>
      <c r="C5568">
        <v>307</v>
      </c>
      <c r="D5568">
        <v>10365</v>
      </c>
      <c r="E5568" t="s">
        <v>112</v>
      </c>
      <c r="F5568" t="s">
        <v>38</v>
      </c>
      <c r="G5568">
        <v>2</v>
      </c>
      <c r="H5568">
        <v>105</v>
      </c>
      <c r="I5568" s="25" t="s">
        <v>1839</v>
      </c>
      <c r="J5568"/>
      <c r="K5568" t="s">
        <v>1840</v>
      </c>
      <c r="L5568" t="s">
        <v>141</v>
      </c>
      <c r="M5568" t="s">
        <v>52</v>
      </c>
      <c r="N5568" t="s">
        <v>1703</v>
      </c>
      <c r="O5568">
        <v>152</v>
      </c>
      <c r="P5568"/>
      <c r="Q5568">
        <f t="shared" si="79"/>
        <v>3</v>
      </c>
      <c r="R5568">
        <v>1</v>
      </c>
      <c r="S5568">
        <v>0</v>
      </c>
      <c r="T5568">
        <v>0</v>
      </c>
      <c r="U5568">
        <v>1</v>
      </c>
      <c r="V5568">
        <v>2</v>
      </c>
      <c r="W5568">
        <v>0</v>
      </c>
      <c r="X5568" s="21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/>
      <c r="AI5568"/>
      <c r="AJ5568" t="s">
        <v>51</v>
      </c>
      <c r="AK5568" t="s">
        <v>95</v>
      </c>
      <c r="AL5568" t="s">
        <v>1841</v>
      </c>
      <c r="AP5568" t="s">
        <v>116</v>
      </c>
    </row>
    <row r="5569" spans="1:42" s="6" customFormat="1">
      <c r="A5569" s="12">
        <v>43874</v>
      </c>
      <c r="B5569">
        <v>4</v>
      </c>
      <c r="C5569">
        <v>307</v>
      </c>
      <c r="D5569">
        <v>10365</v>
      </c>
      <c r="E5569" t="s">
        <v>112</v>
      </c>
      <c r="F5569" t="s">
        <v>38</v>
      </c>
      <c r="G5569">
        <v>2</v>
      </c>
      <c r="H5569">
        <v>106</v>
      </c>
      <c r="I5569" s="25">
        <v>835</v>
      </c>
      <c r="J5569"/>
      <c r="K5569" t="s">
        <v>98</v>
      </c>
      <c r="L5569" t="s">
        <v>141</v>
      </c>
      <c r="M5569" t="s">
        <v>52</v>
      </c>
      <c r="N5569" t="s">
        <v>44</v>
      </c>
      <c r="O5569">
        <v>54</v>
      </c>
      <c r="P5569"/>
      <c r="Q5569">
        <f t="shared" si="79"/>
        <v>1</v>
      </c>
      <c r="R5569">
        <v>1</v>
      </c>
      <c r="S5569">
        <v>0</v>
      </c>
      <c r="T5569">
        <v>0</v>
      </c>
      <c r="U5569">
        <v>0</v>
      </c>
      <c r="V5569">
        <v>1</v>
      </c>
      <c r="W5569">
        <v>0</v>
      </c>
      <c r="X5569" s="21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/>
      <c r="AI5569"/>
      <c r="AJ5569" t="s">
        <v>51</v>
      </c>
      <c r="AK5569" t="s">
        <v>95</v>
      </c>
      <c r="AL5569" t="s">
        <v>1842</v>
      </c>
      <c r="AP5569" t="s">
        <v>116</v>
      </c>
    </row>
    <row r="5570" spans="1:42" s="6" customFormat="1">
      <c r="A5570" s="12">
        <v>43874</v>
      </c>
      <c r="B5570">
        <v>4</v>
      </c>
      <c r="C5570">
        <v>307</v>
      </c>
      <c r="D5570">
        <v>10365</v>
      </c>
      <c r="E5570" t="s">
        <v>112</v>
      </c>
      <c r="F5570" t="s">
        <v>38</v>
      </c>
      <c r="G5570">
        <v>2</v>
      </c>
      <c r="H5570">
        <v>107</v>
      </c>
      <c r="I5570" s="25">
        <v>719</v>
      </c>
      <c r="J5570"/>
      <c r="K5570" t="s">
        <v>420</v>
      </c>
      <c r="L5570" t="s">
        <v>141</v>
      </c>
      <c r="M5570" t="s">
        <v>52</v>
      </c>
      <c r="N5570" t="s">
        <v>44</v>
      </c>
      <c r="O5570">
        <v>125</v>
      </c>
      <c r="P5570"/>
      <c r="Q5570">
        <f t="shared" si="79"/>
        <v>1</v>
      </c>
      <c r="R5570">
        <v>1</v>
      </c>
      <c r="S5570">
        <v>0</v>
      </c>
      <c r="T5570">
        <v>0</v>
      </c>
      <c r="U5570">
        <v>0</v>
      </c>
      <c r="V5570">
        <v>1</v>
      </c>
      <c r="W5570">
        <v>0</v>
      </c>
      <c r="X5570" s="21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/>
      <c r="AI5570"/>
      <c r="AJ5570" t="s">
        <v>51</v>
      </c>
      <c r="AK5570" t="s">
        <v>95</v>
      </c>
      <c r="AL5570"/>
      <c r="AP5570" t="s">
        <v>116</v>
      </c>
    </row>
    <row r="5571" spans="1:42" s="6" customFormat="1">
      <c r="A5571" s="12">
        <v>43874</v>
      </c>
      <c r="B5571">
        <v>4</v>
      </c>
      <c r="C5571">
        <v>307</v>
      </c>
      <c r="D5571">
        <v>10365</v>
      </c>
      <c r="E5571" t="s">
        <v>112</v>
      </c>
      <c r="F5571" t="s">
        <v>38</v>
      </c>
      <c r="G5571">
        <v>2</v>
      </c>
      <c r="H5571">
        <v>108</v>
      </c>
      <c r="I5571" s="25">
        <v>555</v>
      </c>
      <c r="J5571"/>
      <c r="K5571" t="s">
        <v>94</v>
      </c>
      <c r="L5571" t="s">
        <v>141</v>
      </c>
      <c r="M5571" t="s">
        <v>52</v>
      </c>
      <c r="N5571" t="s">
        <v>44</v>
      </c>
      <c r="O5571">
        <v>48</v>
      </c>
      <c r="P5571"/>
      <c r="Q5571">
        <f t="shared" si="79"/>
        <v>1</v>
      </c>
      <c r="R5571">
        <v>1</v>
      </c>
      <c r="S5571">
        <v>0</v>
      </c>
      <c r="T5571">
        <v>0</v>
      </c>
      <c r="U5571">
        <v>0</v>
      </c>
      <c r="V5571">
        <v>1</v>
      </c>
      <c r="W5571">
        <v>0</v>
      </c>
      <c r="X5571" s="2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/>
      <c r="AI5571"/>
      <c r="AJ5571" t="s">
        <v>51</v>
      </c>
      <c r="AK5571" t="s">
        <v>52</v>
      </c>
      <c r="AL5571" t="s">
        <v>1843</v>
      </c>
      <c r="AP5571" t="s">
        <v>116</v>
      </c>
    </row>
    <row r="5572" spans="1:42" s="6" customFormat="1">
      <c r="A5572" s="12">
        <v>43874</v>
      </c>
      <c r="B5572">
        <v>4</v>
      </c>
      <c r="C5572">
        <v>307</v>
      </c>
      <c r="D5572">
        <v>10365</v>
      </c>
      <c r="E5572" t="s">
        <v>112</v>
      </c>
      <c r="F5572" t="s">
        <v>38</v>
      </c>
      <c r="G5572">
        <v>2</v>
      </c>
      <c r="H5572">
        <v>109</v>
      </c>
      <c r="I5572" s="25">
        <v>253</v>
      </c>
      <c r="J5572"/>
      <c r="K5572" t="s">
        <v>828</v>
      </c>
      <c r="L5572" t="s">
        <v>141</v>
      </c>
      <c r="M5572" t="s">
        <v>52</v>
      </c>
      <c r="N5572" t="s">
        <v>40</v>
      </c>
      <c r="O5572">
        <v>29</v>
      </c>
      <c r="P5572"/>
      <c r="Q5572">
        <f t="shared" si="79"/>
        <v>1</v>
      </c>
      <c r="R5572">
        <v>1</v>
      </c>
      <c r="S5572">
        <v>0</v>
      </c>
      <c r="T5572">
        <v>0</v>
      </c>
      <c r="U5572">
        <v>0</v>
      </c>
      <c r="V5572">
        <v>1</v>
      </c>
      <c r="W5572">
        <v>0</v>
      </c>
      <c r="X5572" s="21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/>
      <c r="AI5572"/>
      <c r="AJ5572" t="s">
        <v>51</v>
      </c>
      <c r="AK5572" t="s">
        <v>52</v>
      </c>
      <c r="AL5572" t="s">
        <v>1844</v>
      </c>
      <c r="AP5572" t="s">
        <v>116</v>
      </c>
    </row>
    <row r="5573" spans="1:42" s="6" customFormat="1">
      <c r="A5573" s="12">
        <v>43874</v>
      </c>
      <c r="B5573">
        <v>4</v>
      </c>
      <c r="C5573">
        <v>307</v>
      </c>
      <c r="D5573">
        <v>10365</v>
      </c>
      <c r="E5573" t="s">
        <v>112</v>
      </c>
      <c r="F5573" t="s">
        <v>38</v>
      </c>
      <c r="G5573">
        <v>2</v>
      </c>
      <c r="H5573">
        <v>110</v>
      </c>
      <c r="I5573" s="25" t="s">
        <v>1845</v>
      </c>
      <c r="J5573"/>
      <c r="K5573" t="s">
        <v>94</v>
      </c>
      <c r="L5573" t="s">
        <v>1846</v>
      </c>
      <c r="M5573" t="s">
        <v>95</v>
      </c>
      <c r="N5573" t="s">
        <v>1703</v>
      </c>
      <c r="O5573">
        <v>76</v>
      </c>
      <c r="P5573"/>
      <c r="Q5573">
        <f t="shared" si="79"/>
        <v>2</v>
      </c>
      <c r="R5573">
        <v>1</v>
      </c>
      <c r="S5573">
        <v>0</v>
      </c>
      <c r="T5573">
        <v>0</v>
      </c>
      <c r="U5573">
        <v>1</v>
      </c>
      <c r="V5573">
        <v>1</v>
      </c>
      <c r="W5573">
        <v>0</v>
      </c>
      <c r="X5573" s="21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/>
      <c r="AI5573"/>
      <c r="AJ5573" t="s">
        <v>51</v>
      </c>
      <c r="AK5573" t="s">
        <v>52</v>
      </c>
      <c r="AL5573" t="s">
        <v>1847</v>
      </c>
      <c r="AP5573" t="s">
        <v>116</v>
      </c>
    </row>
    <row r="5574" spans="1:42" s="6" customFormat="1">
      <c r="A5574" s="12">
        <v>43874</v>
      </c>
      <c r="B5574">
        <v>4</v>
      </c>
      <c r="C5574">
        <v>307</v>
      </c>
      <c r="D5574">
        <v>10365</v>
      </c>
      <c r="E5574" t="s">
        <v>112</v>
      </c>
      <c r="F5574" t="s">
        <v>38</v>
      </c>
      <c r="G5574">
        <v>2</v>
      </c>
      <c r="H5574">
        <v>111</v>
      </c>
      <c r="I5574" s="25">
        <v>54</v>
      </c>
      <c r="J5574"/>
      <c r="K5574" t="s">
        <v>96</v>
      </c>
      <c r="L5574" t="s">
        <v>114</v>
      </c>
      <c r="M5574" t="s">
        <v>52</v>
      </c>
      <c r="N5574" t="s">
        <v>40</v>
      </c>
      <c r="O5574">
        <v>31</v>
      </c>
      <c r="P5574"/>
      <c r="Q5574">
        <f t="shared" si="79"/>
        <v>1</v>
      </c>
      <c r="R5574">
        <v>1</v>
      </c>
      <c r="S5574">
        <v>0</v>
      </c>
      <c r="T5574">
        <v>0</v>
      </c>
      <c r="U5574">
        <v>0</v>
      </c>
      <c r="V5574">
        <v>1</v>
      </c>
      <c r="W5574">
        <v>0</v>
      </c>
      <c r="X5574" s="21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/>
      <c r="AI5574"/>
      <c r="AJ5574" t="s">
        <v>51</v>
      </c>
      <c r="AK5574" t="s">
        <v>95</v>
      </c>
      <c r="AL5574"/>
      <c r="AP5574" t="s">
        <v>116</v>
      </c>
    </row>
    <row r="5575" spans="1:42" s="6" customFormat="1">
      <c r="A5575" s="12">
        <v>43874</v>
      </c>
      <c r="B5575">
        <v>4</v>
      </c>
      <c r="C5575">
        <v>307</v>
      </c>
      <c r="D5575">
        <v>10365</v>
      </c>
      <c r="E5575" t="s">
        <v>112</v>
      </c>
      <c r="F5575" t="s">
        <v>38</v>
      </c>
      <c r="G5575">
        <v>2</v>
      </c>
      <c r="H5575">
        <v>112</v>
      </c>
      <c r="I5575" s="25">
        <v>39</v>
      </c>
      <c r="J5575"/>
      <c r="K5575" t="s">
        <v>101</v>
      </c>
      <c r="L5575" t="s">
        <v>141</v>
      </c>
      <c r="M5575" t="s">
        <v>52</v>
      </c>
      <c r="N5575" t="s">
        <v>44</v>
      </c>
      <c r="O5575">
        <v>72</v>
      </c>
      <c r="P5575"/>
      <c r="Q5575">
        <f t="shared" si="79"/>
        <v>1</v>
      </c>
      <c r="R5575">
        <v>1</v>
      </c>
      <c r="S5575">
        <v>0</v>
      </c>
      <c r="T5575">
        <v>0</v>
      </c>
      <c r="U5575">
        <v>0</v>
      </c>
      <c r="V5575">
        <v>1</v>
      </c>
      <c r="W5575">
        <v>0</v>
      </c>
      <c r="X5575" s="21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/>
      <c r="AI5575"/>
      <c r="AJ5575" t="s">
        <v>51</v>
      </c>
      <c r="AK5575" t="s">
        <v>95</v>
      </c>
      <c r="AL5575" t="s">
        <v>1848</v>
      </c>
      <c r="AP5575" t="s">
        <v>116</v>
      </c>
    </row>
    <row r="5576" spans="1:42" s="6" customFormat="1">
      <c r="A5576" s="12">
        <v>43874</v>
      </c>
      <c r="B5576">
        <v>4</v>
      </c>
      <c r="C5576">
        <v>307</v>
      </c>
      <c r="D5576">
        <v>10365</v>
      </c>
      <c r="E5576" t="s">
        <v>112</v>
      </c>
      <c r="F5576" t="s">
        <v>38</v>
      </c>
      <c r="G5576">
        <v>2</v>
      </c>
      <c r="H5576">
        <v>113</v>
      </c>
      <c r="I5576" s="25">
        <v>155</v>
      </c>
      <c r="J5576"/>
      <c r="K5576" t="s">
        <v>96</v>
      </c>
      <c r="L5576" t="s">
        <v>141</v>
      </c>
      <c r="M5576" t="s">
        <v>52</v>
      </c>
      <c r="N5576" t="s">
        <v>44</v>
      </c>
      <c r="O5576">
        <v>274</v>
      </c>
      <c r="P5576"/>
      <c r="Q5576">
        <f t="shared" si="79"/>
        <v>1</v>
      </c>
      <c r="R5576">
        <v>1</v>
      </c>
      <c r="S5576">
        <v>0</v>
      </c>
      <c r="T5576">
        <v>0</v>
      </c>
      <c r="U5576">
        <v>0</v>
      </c>
      <c r="V5576">
        <v>1</v>
      </c>
      <c r="W5576">
        <v>0</v>
      </c>
      <c r="X5576" s="21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/>
      <c r="AI5576"/>
      <c r="AJ5576" t="s">
        <v>51</v>
      </c>
      <c r="AK5576" t="s">
        <v>95</v>
      </c>
      <c r="AL5576" t="s">
        <v>1849</v>
      </c>
      <c r="AP5576" t="s">
        <v>116</v>
      </c>
    </row>
    <row r="5577" spans="1:42" s="6" customFormat="1">
      <c r="A5577" s="12">
        <v>43874</v>
      </c>
      <c r="B5577">
        <v>4</v>
      </c>
      <c r="C5577">
        <v>307</v>
      </c>
      <c r="D5577">
        <v>10365</v>
      </c>
      <c r="E5577" t="s">
        <v>112</v>
      </c>
      <c r="F5577" t="s">
        <v>38</v>
      </c>
      <c r="G5577">
        <v>2</v>
      </c>
      <c r="H5577">
        <v>114</v>
      </c>
      <c r="I5577" s="25">
        <v>174</v>
      </c>
      <c r="J5577"/>
      <c r="K5577" t="s">
        <v>96</v>
      </c>
      <c r="L5577" t="s">
        <v>114</v>
      </c>
      <c r="M5577" t="s">
        <v>52</v>
      </c>
      <c r="N5577" t="s">
        <v>44</v>
      </c>
      <c r="O5577">
        <v>102</v>
      </c>
      <c r="P5577"/>
      <c r="Q5577">
        <f t="shared" si="79"/>
        <v>1</v>
      </c>
      <c r="R5577">
        <v>1</v>
      </c>
      <c r="S5577">
        <v>0</v>
      </c>
      <c r="T5577">
        <v>0</v>
      </c>
      <c r="U5577">
        <v>0</v>
      </c>
      <c r="V5577">
        <v>1</v>
      </c>
      <c r="W5577">
        <v>0</v>
      </c>
      <c r="X5577" s="21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/>
      <c r="AI5577"/>
      <c r="AJ5577" t="s">
        <v>51</v>
      </c>
      <c r="AK5577" t="s">
        <v>52</v>
      </c>
      <c r="AL5577" t="s">
        <v>1850</v>
      </c>
      <c r="AP5577" t="s">
        <v>116</v>
      </c>
    </row>
    <row r="5578" spans="1:42" s="6" customFormat="1">
      <c r="A5578" s="12">
        <v>43874</v>
      </c>
      <c r="B5578">
        <v>4</v>
      </c>
      <c r="C5578">
        <v>307</v>
      </c>
      <c r="D5578">
        <v>10365</v>
      </c>
      <c r="E5578" t="s">
        <v>112</v>
      </c>
      <c r="F5578" t="s">
        <v>38</v>
      </c>
      <c r="G5578">
        <v>2</v>
      </c>
      <c r="H5578">
        <v>115</v>
      </c>
      <c r="I5578" s="25">
        <v>205</v>
      </c>
      <c r="J5578"/>
      <c r="K5578" t="s">
        <v>103</v>
      </c>
      <c r="L5578" t="s">
        <v>141</v>
      </c>
      <c r="M5578" t="s">
        <v>52</v>
      </c>
      <c r="N5578" t="s">
        <v>44</v>
      </c>
      <c r="O5578">
        <v>74</v>
      </c>
      <c r="P5578"/>
      <c r="Q5578">
        <f t="shared" si="79"/>
        <v>1</v>
      </c>
      <c r="R5578">
        <v>1</v>
      </c>
      <c r="S5578">
        <v>0</v>
      </c>
      <c r="T5578">
        <v>0</v>
      </c>
      <c r="U5578">
        <v>0</v>
      </c>
      <c r="V5578">
        <v>1</v>
      </c>
      <c r="W5578">
        <v>0</v>
      </c>
      <c r="X5578" s="21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/>
      <c r="AI5578"/>
      <c r="AJ5578" t="s">
        <v>51</v>
      </c>
      <c r="AK5578" t="s">
        <v>95</v>
      </c>
      <c r="AL5578" t="s">
        <v>1851</v>
      </c>
      <c r="AP5578" t="s">
        <v>116</v>
      </c>
    </row>
    <row r="5579" spans="1:42" s="6" customFormat="1">
      <c r="A5579" s="12">
        <v>43874</v>
      </c>
      <c r="B5579">
        <v>4</v>
      </c>
      <c r="C5579">
        <v>307</v>
      </c>
      <c r="D5579">
        <v>10365</v>
      </c>
      <c r="E5579" t="s">
        <v>112</v>
      </c>
      <c r="F5579" t="s">
        <v>38</v>
      </c>
      <c r="G5579">
        <v>2</v>
      </c>
      <c r="H5579">
        <v>116</v>
      </c>
      <c r="I5579" s="25">
        <v>285</v>
      </c>
      <c r="J5579"/>
      <c r="K5579" t="s">
        <v>96</v>
      </c>
      <c r="L5579" t="s">
        <v>141</v>
      </c>
      <c r="M5579" t="s">
        <v>52</v>
      </c>
      <c r="N5579" t="s">
        <v>44</v>
      </c>
      <c r="O5579">
        <v>144</v>
      </c>
      <c r="P5579"/>
      <c r="Q5579">
        <f t="shared" si="79"/>
        <v>1</v>
      </c>
      <c r="R5579">
        <v>1</v>
      </c>
      <c r="S5579">
        <v>0</v>
      </c>
      <c r="T5579">
        <v>0</v>
      </c>
      <c r="U5579">
        <v>0</v>
      </c>
      <c r="V5579">
        <v>1</v>
      </c>
      <c r="W5579">
        <v>0</v>
      </c>
      <c r="X5579" s="21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/>
      <c r="AI5579"/>
      <c r="AJ5579" t="s">
        <v>51</v>
      </c>
      <c r="AK5579" t="s">
        <v>95</v>
      </c>
      <c r="AL5579" t="s">
        <v>1852</v>
      </c>
      <c r="AP5579" t="s">
        <v>116</v>
      </c>
    </row>
    <row r="5580" spans="1:42" s="6" customFormat="1">
      <c r="A5580" s="12">
        <v>43874</v>
      </c>
      <c r="B5580">
        <v>4</v>
      </c>
      <c r="C5580">
        <v>307</v>
      </c>
      <c r="D5580">
        <v>10365</v>
      </c>
      <c r="E5580" t="s">
        <v>112</v>
      </c>
      <c r="F5580" t="s">
        <v>38</v>
      </c>
      <c r="G5580">
        <v>2</v>
      </c>
      <c r="H5580">
        <v>117</v>
      </c>
      <c r="I5580" s="25">
        <v>333</v>
      </c>
      <c r="J5580"/>
      <c r="K5580" t="s">
        <v>96</v>
      </c>
      <c r="L5580" t="s">
        <v>141</v>
      </c>
      <c r="M5580" t="s">
        <v>52</v>
      </c>
      <c r="N5580" t="s">
        <v>1703</v>
      </c>
      <c r="O5580">
        <v>71</v>
      </c>
      <c r="P5580"/>
      <c r="Q5580">
        <f t="shared" si="79"/>
        <v>2</v>
      </c>
      <c r="R5580">
        <v>1</v>
      </c>
      <c r="S5580">
        <v>0</v>
      </c>
      <c r="T5580">
        <v>0</v>
      </c>
      <c r="U5580">
        <v>0</v>
      </c>
      <c r="V5580">
        <v>2</v>
      </c>
      <c r="W5580">
        <v>0</v>
      </c>
      <c r="X5580" s="21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/>
      <c r="AI5580"/>
      <c r="AJ5580" t="s">
        <v>51</v>
      </c>
      <c r="AK5580" t="s">
        <v>52</v>
      </c>
      <c r="AL5580" t="s">
        <v>1853</v>
      </c>
      <c r="AP5580" t="s">
        <v>116</v>
      </c>
    </row>
    <row r="5581" spans="1:42" s="6" customFormat="1">
      <c r="A5581" s="12">
        <v>43874</v>
      </c>
      <c r="B5581">
        <v>4</v>
      </c>
      <c r="C5581">
        <v>307</v>
      </c>
      <c r="D5581">
        <v>10365</v>
      </c>
      <c r="E5581" t="s">
        <v>112</v>
      </c>
      <c r="F5581" t="s">
        <v>38</v>
      </c>
      <c r="G5581">
        <v>2</v>
      </c>
      <c r="H5581">
        <v>118</v>
      </c>
      <c r="I5581" s="25">
        <v>351</v>
      </c>
      <c r="J5581"/>
      <c r="K5581" t="s">
        <v>96</v>
      </c>
      <c r="L5581" t="s">
        <v>141</v>
      </c>
      <c r="M5581" t="s">
        <v>52</v>
      </c>
      <c r="N5581" t="s">
        <v>40</v>
      </c>
      <c r="O5581">
        <v>43</v>
      </c>
      <c r="P5581"/>
      <c r="Q5581">
        <f t="shared" si="79"/>
        <v>2</v>
      </c>
      <c r="R5581">
        <v>1</v>
      </c>
      <c r="S5581">
        <v>0</v>
      </c>
      <c r="T5581">
        <v>0</v>
      </c>
      <c r="U5581">
        <v>0</v>
      </c>
      <c r="V5581">
        <v>2</v>
      </c>
      <c r="W5581">
        <v>0</v>
      </c>
      <c r="X5581" s="2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/>
      <c r="AI5581"/>
      <c r="AJ5581" t="s">
        <v>51</v>
      </c>
      <c r="AK5581" t="s">
        <v>52</v>
      </c>
      <c r="AL5581"/>
      <c r="AP5581" t="s">
        <v>116</v>
      </c>
    </row>
    <row r="5582" spans="1:42" s="6" customFormat="1">
      <c r="A5582" s="12">
        <v>43874</v>
      </c>
      <c r="B5582">
        <v>4</v>
      </c>
      <c r="C5582">
        <v>307</v>
      </c>
      <c r="D5582">
        <v>10365</v>
      </c>
      <c r="E5582" t="s">
        <v>112</v>
      </c>
      <c r="F5582" t="s">
        <v>38</v>
      </c>
      <c r="G5582">
        <v>2</v>
      </c>
      <c r="H5582">
        <v>119</v>
      </c>
      <c r="I5582" s="25">
        <v>374</v>
      </c>
      <c r="J5582"/>
      <c r="K5582" t="s">
        <v>417</v>
      </c>
      <c r="L5582" t="s">
        <v>114</v>
      </c>
      <c r="M5582" t="s">
        <v>52</v>
      </c>
      <c r="N5582" t="s">
        <v>44</v>
      </c>
      <c r="O5582">
        <v>149</v>
      </c>
      <c r="P5582"/>
      <c r="Q5582">
        <f t="shared" si="79"/>
        <v>3</v>
      </c>
      <c r="R5582">
        <v>1</v>
      </c>
      <c r="S5582">
        <v>0</v>
      </c>
      <c r="T5582">
        <v>0</v>
      </c>
      <c r="U5582">
        <v>0</v>
      </c>
      <c r="V5582">
        <v>3</v>
      </c>
      <c r="W5582">
        <v>0</v>
      </c>
      <c r="X5582" s="21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/>
      <c r="AI5582"/>
      <c r="AJ5582" t="s">
        <v>51</v>
      </c>
      <c r="AK5582" t="s">
        <v>52</v>
      </c>
      <c r="AL5582" t="s">
        <v>1854</v>
      </c>
      <c r="AP5582" t="s">
        <v>116</v>
      </c>
    </row>
    <row r="5583" spans="1:42" s="6" customFormat="1">
      <c r="A5583" s="12">
        <v>43874</v>
      </c>
      <c r="B5583">
        <v>4</v>
      </c>
      <c r="C5583">
        <v>307</v>
      </c>
      <c r="D5583">
        <v>10365</v>
      </c>
      <c r="E5583" t="s">
        <v>112</v>
      </c>
      <c r="F5583" t="s">
        <v>38</v>
      </c>
      <c r="G5583">
        <v>2</v>
      </c>
      <c r="H5583">
        <v>120</v>
      </c>
      <c r="I5583" s="25">
        <v>2</v>
      </c>
      <c r="J5583"/>
      <c r="K5583" t="s">
        <v>1855</v>
      </c>
      <c r="L5583" t="s">
        <v>114</v>
      </c>
      <c r="M5583" t="s">
        <v>52</v>
      </c>
      <c r="N5583" t="s">
        <v>44</v>
      </c>
      <c r="O5583">
        <v>52</v>
      </c>
      <c r="P5583"/>
      <c r="Q5583">
        <f t="shared" si="79"/>
        <v>1</v>
      </c>
      <c r="R5583">
        <v>1</v>
      </c>
      <c r="S5583">
        <v>0</v>
      </c>
      <c r="T5583">
        <v>0</v>
      </c>
      <c r="U5583">
        <v>0</v>
      </c>
      <c r="V5583">
        <v>1</v>
      </c>
      <c r="W5583">
        <v>0</v>
      </c>
      <c r="X5583" s="21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/>
      <c r="AI5583"/>
      <c r="AJ5583" t="s">
        <v>51</v>
      </c>
      <c r="AK5583" t="s">
        <v>52</v>
      </c>
      <c r="AL5583" t="s">
        <v>316</v>
      </c>
      <c r="AP5583" t="s">
        <v>116</v>
      </c>
    </row>
    <row r="5584" spans="1:42" s="6" customFormat="1">
      <c r="A5584" s="12">
        <v>43874</v>
      </c>
      <c r="B5584">
        <v>4</v>
      </c>
      <c r="C5584">
        <v>307</v>
      </c>
      <c r="D5584">
        <v>10365</v>
      </c>
      <c r="E5584" t="s">
        <v>112</v>
      </c>
      <c r="F5584" t="s">
        <v>38</v>
      </c>
      <c r="G5584">
        <v>2</v>
      </c>
      <c r="H5584">
        <v>121</v>
      </c>
      <c r="I5584" s="25">
        <v>454</v>
      </c>
      <c r="J5584"/>
      <c r="K5584" t="s">
        <v>420</v>
      </c>
      <c r="L5584" t="s">
        <v>114</v>
      </c>
      <c r="M5584" t="s">
        <v>52</v>
      </c>
      <c r="N5584" t="s">
        <v>44</v>
      </c>
      <c r="O5584">
        <v>92</v>
      </c>
      <c r="P5584"/>
      <c r="Q5584">
        <f t="shared" si="79"/>
        <v>2</v>
      </c>
      <c r="R5584">
        <v>1</v>
      </c>
      <c r="S5584">
        <v>0</v>
      </c>
      <c r="T5584">
        <v>0</v>
      </c>
      <c r="U5584">
        <v>1</v>
      </c>
      <c r="V5584">
        <v>1</v>
      </c>
      <c r="W5584">
        <v>0</v>
      </c>
      <c r="X5584" s="21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/>
      <c r="AI5584"/>
      <c r="AJ5584" t="s">
        <v>51</v>
      </c>
      <c r="AK5584" t="s">
        <v>52</v>
      </c>
      <c r="AL5584" t="s">
        <v>1856</v>
      </c>
      <c r="AP5584" t="s">
        <v>116</v>
      </c>
    </row>
    <row r="5585" spans="1:42" s="6" customFormat="1">
      <c r="A5585" s="12">
        <v>43874</v>
      </c>
      <c r="B5585">
        <v>4</v>
      </c>
      <c r="C5585">
        <v>307</v>
      </c>
      <c r="D5585">
        <v>10365</v>
      </c>
      <c r="E5585" t="s">
        <v>112</v>
      </c>
      <c r="F5585" t="s">
        <v>38</v>
      </c>
      <c r="G5585">
        <v>2</v>
      </c>
      <c r="H5585">
        <v>122</v>
      </c>
      <c r="I5585" s="25">
        <v>600</v>
      </c>
      <c r="J5585"/>
      <c r="K5585" t="s">
        <v>414</v>
      </c>
      <c r="L5585" t="s">
        <v>114</v>
      </c>
      <c r="M5585" t="s">
        <v>52</v>
      </c>
      <c r="N5585" t="s">
        <v>44</v>
      </c>
      <c r="O5585">
        <v>82</v>
      </c>
      <c r="P5585"/>
      <c r="Q5585">
        <f t="shared" si="79"/>
        <v>3</v>
      </c>
      <c r="R5585">
        <v>1</v>
      </c>
      <c r="S5585">
        <v>0</v>
      </c>
      <c r="T5585">
        <v>0</v>
      </c>
      <c r="U5585">
        <v>0</v>
      </c>
      <c r="V5585">
        <v>3</v>
      </c>
      <c r="W5585">
        <v>0</v>
      </c>
      <c r="X5585" s="21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/>
      <c r="AI5585"/>
      <c r="AJ5585" t="s">
        <v>51</v>
      </c>
      <c r="AK5585" t="s">
        <v>95</v>
      </c>
      <c r="AL5585" t="s">
        <v>1857</v>
      </c>
      <c r="AP5585" t="s">
        <v>116</v>
      </c>
    </row>
    <row r="5586" spans="1:42" s="2" customFormat="1">
      <c r="A5586" s="11">
        <v>43874</v>
      </c>
      <c r="B5586">
        <v>4</v>
      </c>
      <c r="C5586">
        <v>307</v>
      </c>
      <c r="D5586">
        <v>10365</v>
      </c>
      <c r="E5586" t="s">
        <v>112</v>
      </c>
      <c r="F5586" t="s">
        <v>38</v>
      </c>
      <c r="G5586">
        <v>2</v>
      </c>
      <c r="H5586">
        <v>123</v>
      </c>
      <c r="I5586" s="25">
        <v>150</v>
      </c>
      <c r="J5586"/>
      <c r="K5586" t="s">
        <v>417</v>
      </c>
      <c r="L5586" t="s">
        <v>114</v>
      </c>
      <c r="M5586" t="s">
        <v>52</v>
      </c>
      <c r="N5586" t="s">
        <v>40</v>
      </c>
      <c r="O5586">
        <v>218</v>
      </c>
      <c r="P5586"/>
      <c r="Q5586">
        <f t="shared" si="79"/>
        <v>11</v>
      </c>
      <c r="R5586">
        <v>1</v>
      </c>
      <c r="S5586">
        <v>0</v>
      </c>
      <c r="T5586">
        <v>0</v>
      </c>
      <c r="U5586">
        <v>0</v>
      </c>
      <c r="V5586">
        <v>11</v>
      </c>
      <c r="W5586">
        <v>0</v>
      </c>
      <c r="X5586" s="21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/>
      <c r="AI5586"/>
      <c r="AJ5586" t="s">
        <v>51</v>
      </c>
      <c r="AK5586" t="s">
        <v>95</v>
      </c>
      <c r="AL5586"/>
      <c r="AP5586" t="s">
        <v>116</v>
      </c>
    </row>
    <row r="5587" spans="1:42" s="6" customFormat="1">
      <c r="A5587" s="12">
        <v>43875</v>
      </c>
      <c r="B5587">
        <v>5</v>
      </c>
      <c r="C5587">
        <v>239</v>
      </c>
      <c r="D5587">
        <v>10231</v>
      </c>
      <c r="E5587" t="s">
        <v>37</v>
      </c>
      <c r="F5587" t="s">
        <v>90</v>
      </c>
      <c r="G5587">
        <v>2</v>
      </c>
      <c r="H5587">
        <v>1</v>
      </c>
      <c r="I5587" s="25">
        <v>60</v>
      </c>
      <c r="J5587"/>
      <c r="K5587" t="s">
        <v>91</v>
      </c>
      <c r="L5587" t="s">
        <v>114</v>
      </c>
      <c r="M5587" t="s">
        <v>52</v>
      </c>
      <c r="N5587" t="s">
        <v>44</v>
      </c>
      <c r="O5587">
        <v>126</v>
      </c>
      <c r="P5587"/>
      <c r="Q5587">
        <f t="shared" si="79"/>
        <v>2</v>
      </c>
      <c r="R5587">
        <v>1</v>
      </c>
      <c r="S5587">
        <v>0</v>
      </c>
      <c r="T5587">
        <v>0</v>
      </c>
      <c r="U5587">
        <v>0</v>
      </c>
      <c r="V5587">
        <v>0</v>
      </c>
      <c r="W5587">
        <v>2</v>
      </c>
      <c r="X5587" s="21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/>
      <c r="AI5587"/>
      <c r="AJ5587" t="s">
        <v>51</v>
      </c>
      <c r="AK5587" t="s">
        <v>52</v>
      </c>
      <c r="AL5587"/>
      <c r="AP5587" t="s">
        <v>116</v>
      </c>
    </row>
    <row r="5588" spans="1:42" s="6" customFormat="1">
      <c r="A5588" s="12">
        <v>43875</v>
      </c>
      <c r="B5588">
        <v>5</v>
      </c>
      <c r="C5588">
        <v>239</v>
      </c>
      <c r="D5588">
        <v>10231</v>
      </c>
      <c r="E5588" t="s">
        <v>37</v>
      </c>
      <c r="F5588" t="s">
        <v>90</v>
      </c>
      <c r="G5588">
        <v>2</v>
      </c>
      <c r="H5588">
        <v>2</v>
      </c>
      <c r="I5588" s="25"/>
      <c r="J5588"/>
      <c r="K5588" t="s">
        <v>1858</v>
      </c>
      <c r="L5588" t="s">
        <v>114</v>
      </c>
      <c r="M5588" t="s">
        <v>52</v>
      </c>
      <c r="N5588" t="s">
        <v>40</v>
      </c>
      <c r="O5588">
        <v>17</v>
      </c>
      <c r="P5588"/>
      <c r="Q5588">
        <f t="shared" si="79"/>
        <v>0</v>
      </c>
      <c r="R5588">
        <v>1</v>
      </c>
      <c r="S5588">
        <v>0</v>
      </c>
      <c r="T5588">
        <v>0</v>
      </c>
      <c r="U5588">
        <v>0</v>
      </c>
      <c r="V5588">
        <v>0</v>
      </c>
      <c r="W5588">
        <v>0</v>
      </c>
      <c r="X5588" s="21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/>
      <c r="AI5588"/>
      <c r="AJ5588" t="s">
        <v>51</v>
      </c>
      <c r="AK5588" t="s">
        <v>95</v>
      </c>
      <c r="AL5588"/>
      <c r="AP5588" t="s">
        <v>116</v>
      </c>
    </row>
    <row r="5589" spans="1:42" s="6" customFormat="1">
      <c r="A5589" s="12">
        <v>43875</v>
      </c>
      <c r="B5589">
        <v>5</v>
      </c>
      <c r="C5589">
        <v>239</v>
      </c>
      <c r="D5589">
        <v>10231</v>
      </c>
      <c r="E5589" t="s">
        <v>37</v>
      </c>
      <c r="F5589" t="s">
        <v>90</v>
      </c>
      <c r="G5589">
        <v>2</v>
      </c>
      <c r="H5589">
        <v>3</v>
      </c>
      <c r="I5589" s="25">
        <v>144</v>
      </c>
      <c r="J5589"/>
      <c r="K5589" t="s">
        <v>91</v>
      </c>
      <c r="L5589" t="s">
        <v>114</v>
      </c>
      <c r="M5589" t="s">
        <v>52</v>
      </c>
      <c r="N5589" t="s">
        <v>40</v>
      </c>
      <c r="O5589">
        <v>56</v>
      </c>
      <c r="P5589"/>
      <c r="Q5589">
        <f t="shared" si="79"/>
        <v>2</v>
      </c>
      <c r="R5589">
        <v>1</v>
      </c>
      <c r="S5589">
        <v>0</v>
      </c>
      <c r="T5589">
        <v>0</v>
      </c>
      <c r="U5589">
        <v>0</v>
      </c>
      <c r="V5589">
        <v>0</v>
      </c>
      <c r="W5589">
        <v>2</v>
      </c>
      <c r="X5589" s="21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/>
      <c r="AI5589"/>
      <c r="AJ5589" t="s">
        <v>51</v>
      </c>
      <c r="AK5589" t="s">
        <v>52</v>
      </c>
      <c r="AL5589"/>
      <c r="AP5589" t="s">
        <v>116</v>
      </c>
    </row>
    <row r="5590" spans="1:42" s="6" customFormat="1">
      <c r="A5590" s="12">
        <v>43875</v>
      </c>
      <c r="B5590">
        <v>5</v>
      </c>
      <c r="C5590">
        <v>239</v>
      </c>
      <c r="D5590">
        <v>10231</v>
      </c>
      <c r="E5590" t="s">
        <v>37</v>
      </c>
      <c r="F5590" t="s">
        <v>90</v>
      </c>
      <c r="G5590">
        <v>2</v>
      </c>
      <c r="H5590">
        <v>4</v>
      </c>
      <c r="I5590" s="25" t="s">
        <v>1859</v>
      </c>
      <c r="J5590"/>
      <c r="K5590" t="s">
        <v>91</v>
      </c>
      <c r="L5590" t="s">
        <v>11</v>
      </c>
      <c r="M5590" t="s">
        <v>52</v>
      </c>
      <c r="N5590" t="s">
        <v>1703</v>
      </c>
      <c r="O5590">
        <v>157</v>
      </c>
      <c r="P5590"/>
      <c r="Q5590">
        <f t="shared" si="79"/>
        <v>6</v>
      </c>
      <c r="R5590">
        <v>1</v>
      </c>
      <c r="S5590">
        <v>0</v>
      </c>
      <c r="T5590">
        <v>0</v>
      </c>
      <c r="U5590">
        <v>2</v>
      </c>
      <c r="V5590">
        <v>0</v>
      </c>
      <c r="W5590">
        <v>3</v>
      </c>
      <c r="X5590" s="21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1</v>
      </c>
      <c r="AG5590">
        <v>0</v>
      </c>
      <c r="AH5590"/>
      <c r="AI5590"/>
      <c r="AJ5590" t="s">
        <v>51</v>
      </c>
      <c r="AK5590" t="s">
        <v>52</v>
      </c>
      <c r="AL5590" t="s">
        <v>1860</v>
      </c>
      <c r="AP5590" t="s">
        <v>116</v>
      </c>
    </row>
    <row r="5591" spans="1:42" s="6" customFormat="1">
      <c r="A5591" s="12">
        <v>43875</v>
      </c>
      <c r="B5591">
        <v>5</v>
      </c>
      <c r="C5591">
        <v>239</v>
      </c>
      <c r="D5591">
        <v>10231</v>
      </c>
      <c r="E5591" t="s">
        <v>37</v>
      </c>
      <c r="F5591" t="s">
        <v>90</v>
      </c>
      <c r="G5591">
        <v>2</v>
      </c>
      <c r="H5591">
        <v>5</v>
      </c>
      <c r="I5591" s="25">
        <v>201</v>
      </c>
      <c r="J5591"/>
      <c r="K5591" t="s">
        <v>91</v>
      </c>
      <c r="L5591" t="s">
        <v>141</v>
      </c>
      <c r="M5591" t="s">
        <v>52</v>
      </c>
      <c r="N5591" t="s">
        <v>40</v>
      </c>
      <c r="O5591">
        <v>158</v>
      </c>
      <c r="P5591"/>
      <c r="Q5591">
        <f t="shared" si="79"/>
        <v>4</v>
      </c>
      <c r="R5591">
        <v>1</v>
      </c>
      <c r="S5591">
        <v>0</v>
      </c>
      <c r="T5591">
        <v>0</v>
      </c>
      <c r="U5591">
        <v>0</v>
      </c>
      <c r="V5591">
        <v>0</v>
      </c>
      <c r="W5591">
        <v>4</v>
      </c>
      <c r="X5591" s="2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/>
      <c r="AI5591"/>
      <c r="AJ5591" t="s">
        <v>51</v>
      </c>
      <c r="AK5591" t="s">
        <v>52</v>
      </c>
      <c r="AL5591"/>
      <c r="AP5591" t="s">
        <v>116</v>
      </c>
    </row>
    <row r="5592" spans="1:42" s="6" customFormat="1">
      <c r="A5592" s="12">
        <v>43875</v>
      </c>
      <c r="B5592">
        <v>5</v>
      </c>
      <c r="C5592">
        <v>239</v>
      </c>
      <c r="D5592">
        <v>10231</v>
      </c>
      <c r="E5592" t="s">
        <v>37</v>
      </c>
      <c r="F5592" t="s">
        <v>90</v>
      </c>
      <c r="G5592">
        <v>2</v>
      </c>
      <c r="H5592">
        <v>6</v>
      </c>
      <c r="I5592" s="25">
        <v>225</v>
      </c>
      <c r="J5592"/>
      <c r="K5592" t="s">
        <v>91</v>
      </c>
      <c r="L5592" t="s">
        <v>141</v>
      </c>
      <c r="M5592" t="s">
        <v>52</v>
      </c>
      <c r="N5592" t="s">
        <v>40</v>
      </c>
      <c r="O5592">
        <v>90</v>
      </c>
      <c r="P5592"/>
      <c r="Q5592">
        <f t="shared" si="79"/>
        <v>2</v>
      </c>
      <c r="R5592">
        <v>1</v>
      </c>
      <c r="S5592">
        <v>0</v>
      </c>
      <c r="T5592">
        <v>0</v>
      </c>
      <c r="U5592">
        <v>2</v>
      </c>
      <c r="V5592">
        <v>0</v>
      </c>
      <c r="W5592">
        <v>0</v>
      </c>
      <c r="X5592" s="21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/>
      <c r="AI5592"/>
      <c r="AJ5592" t="s">
        <v>51</v>
      </c>
      <c r="AK5592" t="s">
        <v>52</v>
      </c>
      <c r="AL5592"/>
      <c r="AP5592" t="s">
        <v>116</v>
      </c>
    </row>
    <row r="5593" spans="1:42" s="6" customFormat="1">
      <c r="A5593" s="12">
        <v>43875</v>
      </c>
      <c r="B5593">
        <v>5</v>
      </c>
      <c r="C5593">
        <v>239</v>
      </c>
      <c r="D5593">
        <v>10231</v>
      </c>
      <c r="E5593" t="s">
        <v>37</v>
      </c>
      <c r="F5593" t="s">
        <v>90</v>
      </c>
      <c r="G5593">
        <v>2</v>
      </c>
      <c r="H5593">
        <v>7</v>
      </c>
      <c r="I5593" s="25" t="s">
        <v>1861</v>
      </c>
      <c r="J5593"/>
      <c r="K5593" t="s">
        <v>91</v>
      </c>
      <c r="L5593" t="s">
        <v>1846</v>
      </c>
      <c r="M5593" t="s">
        <v>52</v>
      </c>
      <c r="N5593" t="s">
        <v>40</v>
      </c>
      <c r="O5593">
        <v>241</v>
      </c>
      <c r="P5593"/>
      <c r="Q5593">
        <f t="shared" si="79"/>
        <v>12</v>
      </c>
      <c r="R5593">
        <v>1</v>
      </c>
      <c r="S5593">
        <v>0</v>
      </c>
      <c r="T5593">
        <v>0</v>
      </c>
      <c r="U5593">
        <v>0</v>
      </c>
      <c r="V5593">
        <v>0</v>
      </c>
      <c r="W5593">
        <v>12</v>
      </c>
      <c r="X5593" s="21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/>
      <c r="AI5593"/>
      <c r="AJ5593" t="s">
        <v>51</v>
      </c>
      <c r="AK5593" t="s">
        <v>52</v>
      </c>
      <c r="AL5593" t="s">
        <v>1862</v>
      </c>
      <c r="AP5593" t="s">
        <v>116</v>
      </c>
    </row>
    <row r="5594" spans="1:42" s="6" customFormat="1">
      <c r="A5594" s="12">
        <v>43875</v>
      </c>
      <c r="B5594">
        <v>5</v>
      </c>
      <c r="C5594">
        <v>239</v>
      </c>
      <c r="D5594">
        <v>10231</v>
      </c>
      <c r="E5594" t="s">
        <v>37</v>
      </c>
      <c r="F5594" t="s">
        <v>90</v>
      </c>
      <c r="G5594">
        <v>2</v>
      </c>
      <c r="H5594">
        <v>8</v>
      </c>
      <c r="I5594" s="25">
        <v>317</v>
      </c>
      <c r="J5594"/>
      <c r="K5594" t="s">
        <v>91</v>
      </c>
      <c r="L5594" t="s">
        <v>141</v>
      </c>
      <c r="M5594" t="s">
        <v>52</v>
      </c>
      <c r="N5594" t="s">
        <v>40</v>
      </c>
      <c r="O5594">
        <v>69</v>
      </c>
      <c r="P5594"/>
      <c r="Q5594">
        <f t="shared" si="79"/>
        <v>4</v>
      </c>
      <c r="R5594">
        <v>1</v>
      </c>
      <c r="S5594">
        <v>0</v>
      </c>
      <c r="T5594">
        <v>0</v>
      </c>
      <c r="U5594">
        <v>0</v>
      </c>
      <c r="V5594">
        <v>0</v>
      </c>
      <c r="W5594">
        <v>4</v>
      </c>
      <c r="X5594" s="21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/>
      <c r="AI5594"/>
      <c r="AJ5594" t="s">
        <v>51</v>
      </c>
      <c r="AK5594" t="s">
        <v>52</v>
      </c>
      <c r="AL5594"/>
      <c r="AP5594" t="s">
        <v>116</v>
      </c>
    </row>
    <row r="5595" spans="1:42" s="6" customFormat="1">
      <c r="A5595" s="12">
        <v>43875</v>
      </c>
      <c r="B5595">
        <v>5</v>
      </c>
      <c r="C5595">
        <v>239</v>
      </c>
      <c r="D5595">
        <v>10231</v>
      </c>
      <c r="E5595" t="s">
        <v>37</v>
      </c>
      <c r="F5595" t="s">
        <v>90</v>
      </c>
      <c r="G5595">
        <v>2</v>
      </c>
      <c r="H5595">
        <v>9</v>
      </c>
      <c r="I5595" s="25">
        <v>325</v>
      </c>
      <c r="J5595"/>
      <c r="K5595" t="s">
        <v>91</v>
      </c>
      <c r="L5595" t="s">
        <v>141</v>
      </c>
      <c r="M5595" t="s">
        <v>52</v>
      </c>
      <c r="N5595" t="s">
        <v>44</v>
      </c>
      <c r="O5595">
        <v>99</v>
      </c>
      <c r="P5595"/>
      <c r="Q5595">
        <f t="shared" si="79"/>
        <v>2</v>
      </c>
      <c r="R5595">
        <v>1</v>
      </c>
      <c r="S5595">
        <v>0</v>
      </c>
      <c r="T5595">
        <v>0</v>
      </c>
      <c r="U5595">
        <v>0</v>
      </c>
      <c r="V5595">
        <v>1</v>
      </c>
      <c r="W5595">
        <v>1</v>
      </c>
      <c r="X5595" s="21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/>
      <c r="AI5595"/>
      <c r="AJ5595" t="s">
        <v>51</v>
      </c>
      <c r="AK5595" t="s">
        <v>52</v>
      </c>
      <c r="AL5595"/>
      <c r="AP5595" t="s">
        <v>116</v>
      </c>
    </row>
    <row r="5596" spans="1:42" s="6" customFormat="1">
      <c r="A5596" s="12">
        <v>43875</v>
      </c>
      <c r="B5596">
        <v>5</v>
      </c>
      <c r="C5596">
        <v>239</v>
      </c>
      <c r="D5596">
        <v>10231</v>
      </c>
      <c r="E5596" t="s">
        <v>37</v>
      </c>
      <c r="F5596" t="s">
        <v>90</v>
      </c>
      <c r="G5596">
        <v>2</v>
      </c>
      <c r="H5596">
        <v>10</v>
      </c>
      <c r="I5596" s="25">
        <v>335</v>
      </c>
      <c r="J5596"/>
      <c r="K5596" t="s">
        <v>91</v>
      </c>
      <c r="L5596" t="s">
        <v>141</v>
      </c>
      <c r="M5596" t="s">
        <v>52</v>
      </c>
      <c r="N5596" t="s">
        <v>40</v>
      </c>
      <c r="O5596">
        <v>64</v>
      </c>
      <c r="P5596"/>
      <c r="Q5596">
        <f t="shared" si="79"/>
        <v>2</v>
      </c>
      <c r="R5596">
        <v>1</v>
      </c>
      <c r="S5596">
        <v>0</v>
      </c>
      <c r="T5596">
        <v>0</v>
      </c>
      <c r="U5596">
        <v>0</v>
      </c>
      <c r="V5596">
        <v>0</v>
      </c>
      <c r="W5596">
        <v>2</v>
      </c>
      <c r="X5596" s="21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/>
      <c r="AI5596"/>
      <c r="AJ5596" t="s">
        <v>51</v>
      </c>
      <c r="AK5596" t="s">
        <v>52</v>
      </c>
      <c r="AL5596"/>
      <c r="AP5596" t="s">
        <v>116</v>
      </c>
    </row>
    <row r="5597" spans="1:42" s="6" customFormat="1">
      <c r="A5597" s="12">
        <v>43875</v>
      </c>
      <c r="B5597">
        <v>5</v>
      </c>
      <c r="C5597">
        <v>239</v>
      </c>
      <c r="D5597">
        <v>10231</v>
      </c>
      <c r="E5597" t="s">
        <v>37</v>
      </c>
      <c r="F5597" t="s">
        <v>90</v>
      </c>
      <c r="G5597">
        <v>2</v>
      </c>
      <c r="H5597">
        <v>11</v>
      </c>
      <c r="I5597" s="25">
        <v>346</v>
      </c>
      <c r="J5597"/>
      <c r="K5597" t="s">
        <v>91</v>
      </c>
      <c r="L5597" t="s">
        <v>114</v>
      </c>
      <c r="M5597" t="s">
        <v>52</v>
      </c>
      <c r="N5597" t="s">
        <v>44</v>
      </c>
      <c r="O5597">
        <v>181</v>
      </c>
      <c r="P5597"/>
      <c r="Q5597">
        <f t="shared" si="79"/>
        <v>4</v>
      </c>
      <c r="R5597">
        <v>1</v>
      </c>
      <c r="S5597">
        <v>0</v>
      </c>
      <c r="T5597">
        <v>0</v>
      </c>
      <c r="U5597">
        <v>0</v>
      </c>
      <c r="V5597">
        <v>0</v>
      </c>
      <c r="W5597">
        <v>4</v>
      </c>
      <c r="X5597" s="21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/>
      <c r="AI5597"/>
      <c r="AJ5597" t="s">
        <v>51</v>
      </c>
      <c r="AK5597" t="s">
        <v>52</v>
      </c>
      <c r="AL5597" t="s">
        <v>1863</v>
      </c>
      <c r="AP5597" t="s">
        <v>116</v>
      </c>
    </row>
    <row r="5598" spans="1:42" s="6" customFormat="1">
      <c r="A5598" s="12">
        <v>43875</v>
      </c>
      <c r="B5598">
        <v>5</v>
      </c>
      <c r="C5598">
        <v>239</v>
      </c>
      <c r="D5598">
        <v>10231</v>
      </c>
      <c r="E5598" t="s">
        <v>37</v>
      </c>
      <c r="F5598" t="s">
        <v>90</v>
      </c>
      <c r="G5598">
        <v>2</v>
      </c>
      <c r="H5598">
        <v>12</v>
      </c>
      <c r="I5598" s="25">
        <v>334</v>
      </c>
      <c r="J5598"/>
      <c r="K5598" t="s">
        <v>91</v>
      </c>
      <c r="L5598" t="s">
        <v>114</v>
      </c>
      <c r="M5598" t="s">
        <v>52</v>
      </c>
      <c r="N5598" t="s">
        <v>40</v>
      </c>
      <c r="O5598">
        <v>51</v>
      </c>
      <c r="P5598"/>
      <c r="Q5598">
        <f t="shared" ref="Q5598:Q5661" si="80">S5598+T5598+U5598+V5598+W5598+Y5598+Z5598+AA5598+AB5598+AC5598+AD5598+AE5598+AF5598</f>
        <v>3</v>
      </c>
      <c r="R5598">
        <v>1</v>
      </c>
      <c r="S5598">
        <v>0</v>
      </c>
      <c r="T5598">
        <v>0</v>
      </c>
      <c r="U5598">
        <v>0</v>
      </c>
      <c r="V5598">
        <v>0</v>
      </c>
      <c r="W5598">
        <v>3</v>
      </c>
      <c r="X5598" s="21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/>
      <c r="AI5598"/>
      <c r="AJ5598" t="s">
        <v>51</v>
      </c>
      <c r="AK5598" t="s">
        <v>52</v>
      </c>
      <c r="AL5598"/>
      <c r="AP5598" t="s">
        <v>116</v>
      </c>
    </row>
    <row r="5599" spans="1:42" s="6" customFormat="1">
      <c r="A5599" s="12">
        <v>43875</v>
      </c>
      <c r="B5599">
        <v>5</v>
      </c>
      <c r="C5599">
        <v>239</v>
      </c>
      <c r="D5599">
        <v>10231</v>
      </c>
      <c r="E5599" t="s">
        <v>37</v>
      </c>
      <c r="F5599" t="s">
        <v>90</v>
      </c>
      <c r="G5599">
        <v>2</v>
      </c>
      <c r="H5599">
        <v>13</v>
      </c>
      <c r="I5599" s="25">
        <v>421</v>
      </c>
      <c r="J5599"/>
      <c r="K5599" t="s">
        <v>91</v>
      </c>
      <c r="L5599" t="s">
        <v>141</v>
      </c>
      <c r="M5599" t="s">
        <v>52</v>
      </c>
      <c r="N5599" t="s">
        <v>44</v>
      </c>
      <c r="O5599">
        <v>65</v>
      </c>
      <c r="P5599"/>
      <c r="Q5599">
        <f t="shared" si="80"/>
        <v>1</v>
      </c>
      <c r="R5599">
        <v>1</v>
      </c>
      <c r="S5599">
        <v>0</v>
      </c>
      <c r="T5599">
        <v>0</v>
      </c>
      <c r="U5599">
        <v>0</v>
      </c>
      <c r="V5599">
        <v>0</v>
      </c>
      <c r="W5599">
        <v>1</v>
      </c>
      <c r="X5599" s="21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/>
      <c r="AI5599"/>
      <c r="AJ5599" t="s">
        <v>54</v>
      </c>
      <c r="AK5599" t="s">
        <v>52</v>
      </c>
      <c r="AL5599"/>
      <c r="AP5599" t="s">
        <v>116</v>
      </c>
    </row>
    <row r="5600" spans="1:42" s="6" customFormat="1">
      <c r="A5600" s="12">
        <v>43875</v>
      </c>
      <c r="B5600">
        <v>5</v>
      </c>
      <c r="C5600">
        <v>239</v>
      </c>
      <c r="D5600">
        <v>10231</v>
      </c>
      <c r="E5600" t="s">
        <v>37</v>
      </c>
      <c r="F5600" t="s">
        <v>90</v>
      </c>
      <c r="G5600">
        <v>2</v>
      </c>
      <c r="H5600">
        <v>14</v>
      </c>
      <c r="I5600" s="25">
        <v>516</v>
      </c>
      <c r="J5600"/>
      <c r="K5600" t="s">
        <v>100</v>
      </c>
      <c r="L5600" t="s">
        <v>114</v>
      </c>
      <c r="M5600" t="s">
        <v>52</v>
      </c>
      <c r="N5600" t="s">
        <v>44</v>
      </c>
      <c r="O5600">
        <v>151</v>
      </c>
      <c r="P5600"/>
      <c r="Q5600">
        <f t="shared" si="80"/>
        <v>0</v>
      </c>
      <c r="R5600">
        <v>1</v>
      </c>
      <c r="S5600">
        <v>0</v>
      </c>
      <c r="T5600">
        <v>0</v>
      </c>
      <c r="U5600">
        <v>0</v>
      </c>
      <c r="V5600">
        <v>0</v>
      </c>
      <c r="W5600">
        <v>0</v>
      </c>
      <c r="X5600" s="21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/>
      <c r="AI5600"/>
      <c r="AJ5600" t="s">
        <v>54</v>
      </c>
      <c r="AK5600" t="s">
        <v>52</v>
      </c>
      <c r="AL5600" t="s">
        <v>1864</v>
      </c>
      <c r="AP5600" t="s">
        <v>116</v>
      </c>
    </row>
    <row r="5601" spans="1:42" s="6" customFormat="1">
      <c r="A5601" s="12">
        <v>43875</v>
      </c>
      <c r="B5601">
        <v>5</v>
      </c>
      <c r="C5601">
        <v>239</v>
      </c>
      <c r="D5601">
        <v>10231</v>
      </c>
      <c r="E5601" t="s">
        <v>37</v>
      </c>
      <c r="F5601" t="s">
        <v>90</v>
      </c>
      <c r="G5601">
        <v>2</v>
      </c>
      <c r="H5601">
        <v>15</v>
      </c>
      <c r="I5601" s="25">
        <v>434</v>
      </c>
      <c r="J5601"/>
      <c r="K5601" t="s">
        <v>91</v>
      </c>
      <c r="L5601" t="s">
        <v>114</v>
      </c>
      <c r="M5601" t="s">
        <v>52</v>
      </c>
      <c r="N5601" t="s">
        <v>44</v>
      </c>
      <c r="O5601">
        <v>119</v>
      </c>
      <c r="P5601"/>
      <c r="Q5601">
        <f t="shared" si="80"/>
        <v>5</v>
      </c>
      <c r="R5601">
        <v>1</v>
      </c>
      <c r="S5601">
        <v>0</v>
      </c>
      <c r="T5601">
        <v>0</v>
      </c>
      <c r="U5601">
        <v>0</v>
      </c>
      <c r="V5601">
        <v>0</v>
      </c>
      <c r="W5601">
        <v>5</v>
      </c>
      <c r="X5601" s="2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/>
      <c r="AI5601"/>
      <c r="AJ5601" t="s">
        <v>54</v>
      </c>
      <c r="AK5601" t="s">
        <v>52</v>
      </c>
      <c r="AL5601"/>
      <c r="AP5601" t="s">
        <v>116</v>
      </c>
    </row>
    <row r="5602" spans="1:42" s="6" customFormat="1">
      <c r="A5602" s="12">
        <v>43875</v>
      </c>
      <c r="B5602">
        <v>5</v>
      </c>
      <c r="C5602">
        <v>239</v>
      </c>
      <c r="D5602">
        <v>10231</v>
      </c>
      <c r="E5602" t="s">
        <v>37</v>
      </c>
      <c r="F5602" t="s">
        <v>90</v>
      </c>
      <c r="G5602">
        <v>2</v>
      </c>
      <c r="H5602">
        <v>16</v>
      </c>
      <c r="I5602" s="25">
        <v>596</v>
      </c>
      <c r="J5602"/>
      <c r="K5602" t="s">
        <v>98</v>
      </c>
      <c r="L5602" t="s">
        <v>114</v>
      </c>
      <c r="M5602" t="s">
        <v>52</v>
      </c>
      <c r="N5602" t="s">
        <v>40</v>
      </c>
      <c r="O5602">
        <v>33</v>
      </c>
      <c r="P5602"/>
      <c r="Q5602">
        <f t="shared" si="80"/>
        <v>2</v>
      </c>
      <c r="R5602">
        <v>1</v>
      </c>
      <c r="S5602">
        <v>0</v>
      </c>
      <c r="T5602">
        <v>0</v>
      </c>
      <c r="U5602">
        <v>0</v>
      </c>
      <c r="V5602">
        <v>1</v>
      </c>
      <c r="W5602">
        <v>1</v>
      </c>
      <c r="X5602" s="21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/>
      <c r="AI5602"/>
      <c r="AJ5602" t="s">
        <v>54</v>
      </c>
      <c r="AK5602" t="s">
        <v>52</v>
      </c>
      <c r="AL5602"/>
      <c r="AP5602" t="s">
        <v>116</v>
      </c>
    </row>
    <row r="5603" spans="1:42" s="6" customFormat="1">
      <c r="A5603" s="12">
        <v>43875</v>
      </c>
      <c r="B5603">
        <v>5</v>
      </c>
      <c r="C5603">
        <v>239</v>
      </c>
      <c r="D5603">
        <v>10231</v>
      </c>
      <c r="E5603" t="s">
        <v>37</v>
      </c>
      <c r="F5603" t="s">
        <v>90</v>
      </c>
      <c r="G5603">
        <v>2</v>
      </c>
      <c r="H5603">
        <v>17</v>
      </c>
      <c r="I5603" s="25">
        <v>500</v>
      </c>
      <c r="J5603"/>
      <c r="K5603" t="s">
        <v>91</v>
      </c>
      <c r="L5603" t="s">
        <v>114</v>
      </c>
      <c r="M5603" t="s">
        <v>52</v>
      </c>
      <c r="N5603" t="s">
        <v>44</v>
      </c>
      <c r="O5603">
        <v>233</v>
      </c>
      <c r="P5603"/>
      <c r="Q5603">
        <f t="shared" si="80"/>
        <v>5</v>
      </c>
      <c r="R5603">
        <v>1</v>
      </c>
      <c r="S5603">
        <v>0</v>
      </c>
      <c r="T5603">
        <v>0</v>
      </c>
      <c r="U5603">
        <v>0</v>
      </c>
      <c r="V5603">
        <v>0</v>
      </c>
      <c r="W5603">
        <v>5</v>
      </c>
      <c r="X5603" s="21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/>
      <c r="AI5603"/>
      <c r="AJ5603" t="s">
        <v>51</v>
      </c>
      <c r="AK5603" t="s">
        <v>52</v>
      </c>
      <c r="AL5603"/>
      <c r="AP5603" t="s">
        <v>116</v>
      </c>
    </row>
    <row r="5604" spans="1:42" s="6" customFormat="1">
      <c r="A5604" s="12">
        <v>43875</v>
      </c>
      <c r="B5604">
        <v>5</v>
      </c>
      <c r="C5604">
        <v>239</v>
      </c>
      <c r="D5604">
        <v>10231</v>
      </c>
      <c r="E5604" t="s">
        <v>37</v>
      </c>
      <c r="F5604" t="s">
        <v>90</v>
      </c>
      <c r="G5604">
        <v>2</v>
      </c>
      <c r="H5604">
        <v>18</v>
      </c>
      <c r="I5604" s="25">
        <v>580</v>
      </c>
      <c r="J5604"/>
      <c r="K5604" t="s">
        <v>98</v>
      </c>
      <c r="L5604" t="s">
        <v>114</v>
      </c>
      <c r="M5604" t="s">
        <v>52</v>
      </c>
      <c r="N5604" t="s">
        <v>40</v>
      </c>
      <c r="O5604">
        <v>50</v>
      </c>
      <c r="P5604"/>
      <c r="Q5604">
        <f t="shared" si="80"/>
        <v>3</v>
      </c>
      <c r="R5604">
        <v>1</v>
      </c>
      <c r="S5604">
        <v>0</v>
      </c>
      <c r="T5604">
        <v>0</v>
      </c>
      <c r="U5604">
        <v>0</v>
      </c>
      <c r="V5604">
        <v>0</v>
      </c>
      <c r="W5604">
        <v>3</v>
      </c>
      <c r="X5604" s="21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/>
      <c r="AI5604"/>
      <c r="AJ5604" t="s">
        <v>51</v>
      </c>
      <c r="AK5604" t="s">
        <v>95</v>
      </c>
      <c r="AL5604"/>
      <c r="AP5604" t="s">
        <v>116</v>
      </c>
    </row>
    <row r="5605" spans="1:42" s="6" customFormat="1">
      <c r="A5605" s="12">
        <v>43875</v>
      </c>
      <c r="B5605">
        <v>5</v>
      </c>
      <c r="C5605">
        <v>239</v>
      </c>
      <c r="D5605">
        <v>10231</v>
      </c>
      <c r="E5605" t="s">
        <v>37</v>
      </c>
      <c r="F5605" t="s">
        <v>90</v>
      </c>
      <c r="G5605">
        <v>2</v>
      </c>
      <c r="H5605">
        <v>19</v>
      </c>
      <c r="I5605" s="25" t="s">
        <v>1865</v>
      </c>
      <c r="J5605"/>
      <c r="K5605" t="s">
        <v>98</v>
      </c>
      <c r="L5605" t="s">
        <v>1846</v>
      </c>
      <c r="M5605" t="s">
        <v>52</v>
      </c>
      <c r="N5605" t="s">
        <v>40</v>
      </c>
      <c r="O5605">
        <v>149</v>
      </c>
      <c r="P5605"/>
      <c r="Q5605">
        <f t="shared" si="80"/>
        <v>12</v>
      </c>
      <c r="R5605">
        <v>1</v>
      </c>
      <c r="S5605">
        <v>0</v>
      </c>
      <c r="T5605">
        <v>0</v>
      </c>
      <c r="U5605">
        <v>1</v>
      </c>
      <c r="V5605">
        <v>1</v>
      </c>
      <c r="W5605">
        <v>9</v>
      </c>
      <c r="X5605" s="21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1</v>
      </c>
      <c r="AG5605">
        <v>0</v>
      </c>
      <c r="AH5605"/>
      <c r="AI5605"/>
      <c r="AJ5605" t="s">
        <v>51</v>
      </c>
      <c r="AK5605" t="s">
        <v>95</v>
      </c>
      <c r="AL5605"/>
      <c r="AP5605" t="s">
        <v>116</v>
      </c>
    </row>
    <row r="5606" spans="1:42" s="6" customFormat="1">
      <c r="A5606" s="12">
        <v>43875</v>
      </c>
      <c r="B5606">
        <v>5</v>
      </c>
      <c r="C5606">
        <v>239</v>
      </c>
      <c r="D5606">
        <v>10231</v>
      </c>
      <c r="E5606" t="s">
        <v>37</v>
      </c>
      <c r="F5606" t="s">
        <v>90</v>
      </c>
      <c r="G5606">
        <v>2</v>
      </c>
      <c r="H5606">
        <v>20</v>
      </c>
      <c r="I5606" s="25">
        <v>540</v>
      </c>
      <c r="J5606"/>
      <c r="K5606" t="s">
        <v>98</v>
      </c>
      <c r="L5606" t="s">
        <v>114</v>
      </c>
      <c r="M5606" t="s">
        <v>52</v>
      </c>
      <c r="N5606" t="s">
        <v>44</v>
      </c>
      <c r="O5606">
        <v>168</v>
      </c>
      <c r="P5606"/>
      <c r="Q5606">
        <f t="shared" si="80"/>
        <v>2</v>
      </c>
      <c r="R5606">
        <v>1</v>
      </c>
      <c r="S5606">
        <v>0</v>
      </c>
      <c r="T5606">
        <v>0</v>
      </c>
      <c r="U5606">
        <v>0</v>
      </c>
      <c r="V5606">
        <v>0</v>
      </c>
      <c r="W5606">
        <v>2</v>
      </c>
      <c r="X5606" s="21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/>
      <c r="AI5606"/>
      <c r="AJ5606" t="s">
        <v>51</v>
      </c>
      <c r="AK5606" t="s">
        <v>52</v>
      </c>
      <c r="AL5606"/>
      <c r="AP5606" t="s">
        <v>116</v>
      </c>
    </row>
    <row r="5607" spans="1:42" s="6" customFormat="1">
      <c r="A5607" s="12">
        <v>43875</v>
      </c>
      <c r="B5607">
        <v>5</v>
      </c>
      <c r="C5607">
        <v>239</v>
      </c>
      <c r="D5607">
        <v>10231</v>
      </c>
      <c r="E5607" t="s">
        <v>37</v>
      </c>
      <c r="F5607" t="s">
        <v>90</v>
      </c>
      <c r="G5607">
        <v>2</v>
      </c>
      <c r="H5607">
        <v>21</v>
      </c>
      <c r="I5607" s="25">
        <v>516</v>
      </c>
      <c r="J5607"/>
      <c r="K5607" t="s">
        <v>98</v>
      </c>
      <c r="L5607" t="s">
        <v>114</v>
      </c>
      <c r="M5607" t="s">
        <v>52</v>
      </c>
      <c r="N5607" t="s">
        <v>40</v>
      </c>
      <c r="O5607">
        <v>134</v>
      </c>
      <c r="P5607"/>
      <c r="Q5607">
        <f t="shared" si="80"/>
        <v>5</v>
      </c>
      <c r="R5607">
        <v>1</v>
      </c>
      <c r="S5607">
        <v>0</v>
      </c>
      <c r="T5607">
        <v>0</v>
      </c>
      <c r="U5607">
        <v>0</v>
      </c>
      <c r="V5607">
        <v>0</v>
      </c>
      <c r="W5607">
        <v>5</v>
      </c>
      <c r="X5607" s="21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/>
      <c r="AI5607"/>
      <c r="AJ5607" t="s">
        <v>51</v>
      </c>
      <c r="AK5607" t="s">
        <v>52</v>
      </c>
      <c r="AL5607"/>
      <c r="AP5607" t="s">
        <v>116</v>
      </c>
    </row>
    <row r="5608" spans="1:42" s="6" customFormat="1">
      <c r="A5608" s="12">
        <v>43875</v>
      </c>
      <c r="B5608">
        <v>5</v>
      </c>
      <c r="C5608">
        <v>239</v>
      </c>
      <c r="D5608">
        <v>10231</v>
      </c>
      <c r="E5608" t="s">
        <v>37</v>
      </c>
      <c r="F5608" t="s">
        <v>90</v>
      </c>
      <c r="G5608">
        <v>2</v>
      </c>
      <c r="H5608">
        <v>22</v>
      </c>
      <c r="I5608" s="25">
        <v>505</v>
      </c>
      <c r="J5608"/>
      <c r="K5608" t="s">
        <v>98</v>
      </c>
      <c r="L5608" t="s">
        <v>141</v>
      </c>
      <c r="M5608" t="s">
        <v>52</v>
      </c>
      <c r="N5608" t="s">
        <v>40</v>
      </c>
      <c r="O5608">
        <v>73</v>
      </c>
      <c r="P5608"/>
      <c r="Q5608">
        <f t="shared" si="80"/>
        <v>4</v>
      </c>
      <c r="R5608">
        <v>1</v>
      </c>
      <c r="S5608">
        <v>0</v>
      </c>
      <c r="T5608">
        <v>0</v>
      </c>
      <c r="U5608">
        <v>0</v>
      </c>
      <c r="V5608">
        <v>0</v>
      </c>
      <c r="W5608">
        <v>4</v>
      </c>
      <c r="X5608" s="21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/>
      <c r="AI5608"/>
      <c r="AJ5608" t="s">
        <v>51</v>
      </c>
      <c r="AK5608" t="s">
        <v>95</v>
      </c>
      <c r="AL5608"/>
      <c r="AP5608" t="s">
        <v>116</v>
      </c>
    </row>
    <row r="5609" spans="1:42" s="6" customFormat="1">
      <c r="A5609" s="12">
        <v>43875</v>
      </c>
      <c r="B5609">
        <v>5</v>
      </c>
      <c r="C5609">
        <v>239</v>
      </c>
      <c r="D5609">
        <v>10231</v>
      </c>
      <c r="E5609" t="s">
        <v>37</v>
      </c>
      <c r="F5609" t="s">
        <v>90</v>
      </c>
      <c r="G5609">
        <v>2</v>
      </c>
      <c r="H5609">
        <v>23</v>
      </c>
      <c r="I5609" s="25">
        <v>501</v>
      </c>
      <c r="J5609"/>
      <c r="K5609" t="s">
        <v>98</v>
      </c>
      <c r="L5609" t="s">
        <v>141</v>
      </c>
      <c r="M5609" t="s">
        <v>52</v>
      </c>
      <c r="N5609" t="s">
        <v>40</v>
      </c>
      <c r="O5609">
        <v>48</v>
      </c>
      <c r="P5609"/>
      <c r="Q5609">
        <f t="shared" si="80"/>
        <v>2</v>
      </c>
      <c r="R5609">
        <v>1</v>
      </c>
      <c r="S5609">
        <v>0</v>
      </c>
      <c r="T5609">
        <v>0</v>
      </c>
      <c r="U5609">
        <v>0</v>
      </c>
      <c r="V5609">
        <v>1</v>
      </c>
      <c r="W5609">
        <v>1</v>
      </c>
      <c r="X5609" s="21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/>
      <c r="AI5609"/>
      <c r="AJ5609" t="s">
        <v>51</v>
      </c>
      <c r="AK5609" t="s">
        <v>95</v>
      </c>
      <c r="AL5609"/>
      <c r="AP5609" t="s">
        <v>116</v>
      </c>
    </row>
    <row r="5610" spans="1:42" s="6" customFormat="1">
      <c r="A5610" s="12">
        <v>43875</v>
      </c>
      <c r="B5610">
        <v>5</v>
      </c>
      <c r="C5610">
        <v>239</v>
      </c>
      <c r="D5610">
        <v>10231</v>
      </c>
      <c r="E5610" t="s">
        <v>37</v>
      </c>
      <c r="F5610" t="s">
        <v>90</v>
      </c>
      <c r="G5610">
        <v>2</v>
      </c>
      <c r="H5610">
        <v>24</v>
      </c>
      <c r="I5610" s="25">
        <v>491</v>
      </c>
      <c r="J5610"/>
      <c r="K5610" t="s">
        <v>98</v>
      </c>
      <c r="L5610" t="s">
        <v>141</v>
      </c>
      <c r="M5610" t="s">
        <v>52</v>
      </c>
      <c r="N5610" t="s">
        <v>40</v>
      </c>
      <c r="O5610">
        <v>53</v>
      </c>
      <c r="P5610"/>
      <c r="Q5610">
        <f t="shared" si="80"/>
        <v>2</v>
      </c>
      <c r="R5610">
        <v>1</v>
      </c>
      <c r="S5610">
        <v>0</v>
      </c>
      <c r="T5610">
        <v>0</v>
      </c>
      <c r="U5610">
        <v>1</v>
      </c>
      <c r="V5610">
        <v>1</v>
      </c>
      <c r="W5610">
        <v>0</v>
      </c>
      <c r="X5610" s="21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/>
      <c r="AI5610"/>
      <c r="AJ5610" t="s">
        <v>51</v>
      </c>
      <c r="AK5610" t="s">
        <v>95</v>
      </c>
      <c r="AL5610"/>
      <c r="AP5610" t="s">
        <v>116</v>
      </c>
    </row>
    <row r="5611" spans="1:42" s="6" customFormat="1">
      <c r="A5611" s="12">
        <v>43875</v>
      </c>
      <c r="B5611">
        <v>5</v>
      </c>
      <c r="C5611">
        <v>239</v>
      </c>
      <c r="D5611">
        <v>10231</v>
      </c>
      <c r="E5611" t="s">
        <v>37</v>
      </c>
      <c r="F5611" t="s">
        <v>90</v>
      </c>
      <c r="G5611">
        <v>2</v>
      </c>
      <c r="H5611">
        <v>25</v>
      </c>
      <c r="I5611" s="25">
        <v>449</v>
      </c>
      <c r="J5611"/>
      <c r="K5611" t="s">
        <v>98</v>
      </c>
      <c r="L5611" t="s">
        <v>141</v>
      </c>
      <c r="M5611" t="s">
        <v>52</v>
      </c>
      <c r="N5611" t="s">
        <v>44</v>
      </c>
      <c r="O5611">
        <v>182</v>
      </c>
      <c r="P5611"/>
      <c r="Q5611">
        <f t="shared" si="80"/>
        <v>3</v>
      </c>
      <c r="R5611">
        <v>1</v>
      </c>
      <c r="S5611">
        <v>0</v>
      </c>
      <c r="T5611">
        <v>0</v>
      </c>
      <c r="U5611">
        <v>0</v>
      </c>
      <c r="V5611">
        <v>3</v>
      </c>
      <c r="W5611">
        <v>0</v>
      </c>
      <c r="X5611" s="2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/>
      <c r="AI5611"/>
      <c r="AJ5611" t="s">
        <v>51</v>
      </c>
      <c r="AK5611" t="s">
        <v>52</v>
      </c>
      <c r="AL5611" t="s">
        <v>1762</v>
      </c>
      <c r="AP5611" t="s">
        <v>116</v>
      </c>
    </row>
    <row r="5612" spans="1:42" s="6" customFormat="1">
      <c r="A5612" s="12">
        <v>43875</v>
      </c>
      <c r="B5612">
        <v>5</v>
      </c>
      <c r="C5612">
        <v>239</v>
      </c>
      <c r="D5612">
        <v>10231</v>
      </c>
      <c r="E5612" t="s">
        <v>37</v>
      </c>
      <c r="F5612" t="s">
        <v>90</v>
      </c>
      <c r="G5612">
        <v>2</v>
      </c>
      <c r="H5612">
        <v>26</v>
      </c>
      <c r="I5612" s="25">
        <v>445</v>
      </c>
      <c r="J5612"/>
      <c r="K5612" t="s">
        <v>98</v>
      </c>
      <c r="L5612" t="s">
        <v>141</v>
      </c>
      <c r="M5612" t="s">
        <v>52</v>
      </c>
      <c r="N5612" t="s">
        <v>1703</v>
      </c>
      <c r="O5612">
        <v>111</v>
      </c>
      <c r="P5612"/>
      <c r="Q5612">
        <f t="shared" si="80"/>
        <v>4</v>
      </c>
      <c r="R5612">
        <v>1</v>
      </c>
      <c r="S5612">
        <v>0</v>
      </c>
      <c r="T5612">
        <v>0</v>
      </c>
      <c r="U5612">
        <v>0</v>
      </c>
      <c r="V5612">
        <v>4</v>
      </c>
      <c r="W5612">
        <v>0</v>
      </c>
      <c r="X5612" s="21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/>
      <c r="AI5612"/>
      <c r="AJ5612" t="s">
        <v>51</v>
      </c>
      <c r="AK5612" t="s">
        <v>52</v>
      </c>
      <c r="AL5612" t="s">
        <v>1860</v>
      </c>
      <c r="AP5612" t="s">
        <v>116</v>
      </c>
    </row>
    <row r="5613" spans="1:42" s="6" customFormat="1">
      <c r="A5613" s="12">
        <v>43875</v>
      </c>
      <c r="B5613">
        <v>5</v>
      </c>
      <c r="C5613">
        <v>239</v>
      </c>
      <c r="D5613">
        <v>10231</v>
      </c>
      <c r="E5613" t="s">
        <v>37</v>
      </c>
      <c r="F5613" t="s">
        <v>90</v>
      </c>
      <c r="G5613">
        <v>2</v>
      </c>
      <c r="H5613">
        <v>27</v>
      </c>
      <c r="I5613" s="25">
        <v>438</v>
      </c>
      <c r="J5613"/>
      <c r="K5613" t="s">
        <v>98</v>
      </c>
      <c r="L5613" t="s">
        <v>114</v>
      </c>
      <c r="M5613" t="s">
        <v>52</v>
      </c>
      <c r="N5613" t="s">
        <v>40</v>
      </c>
      <c r="O5613">
        <v>50</v>
      </c>
      <c r="P5613"/>
      <c r="Q5613">
        <f t="shared" si="80"/>
        <v>3</v>
      </c>
      <c r="R5613">
        <v>1</v>
      </c>
      <c r="S5613">
        <v>0</v>
      </c>
      <c r="T5613">
        <v>0</v>
      </c>
      <c r="U5613">
        <v>0</v>
      </c>
      <c r="V5613">
        <v>0</v>
      </c>
      <c r="W5613">
        <v>3</v>
      </c>
      <c r="X5613" s="21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/>
      <c r="AI5613"/>
      <c r="AJ5613" t="s">
        <v>51</v>
      </c>
      <c r="AK5613" t="s">
        <v>52</v>
      </c>
      <c r="AL5613"/>
      <c r="AP5613" t="s">
        <v>116</v>
      </c>
    </row>
    <row r="5614" spans="1:42" s="6" customFormat="1">
      <c r="A5614" s="12">
        <v>43875</v>
      </c>
      <c r="B5614">
        <v>5</v>
      </c>
      <c r="C5614">
        <v>239</v>
      </c>
      <c r="D5614">
        <v>10231</v>
      </c>
      <c r="E5614" t="s">
        <v>37</v>
      </c>
      <c r="F5614" t="s">
        <v>90</v>
      </c>
      <c r="G5614">
        <v>2</v>
      </c>
      <c r="H5614">
        <v>28</v>
      </c>
      <c r="I5614" s="25" t="s">
        <v>1866</v>
      </c>
      <c r="J5614"/>
      <c r="K5614" t="s">
        <v>98</v>
      </c>
      <c r="L5614" t="s">
        <v>1846</v>
      </c>
      <c r="M5614" t="s">
        <v>52</v>
      </c>
      <c r="N5614" t="s">
        <v>40</v>
      </c>
      <c r="O5614">
        <v>45</v>
      </c>
      <c r="P5614"/>
      <c r="Q5614">
        <f t="shared" si="80"/>
        <v>3</v>
      </c>
      <c r="R5614">
        <v>1</v>
      </c>
      <c r="S5614">
        <v>0</v>
      </c>
      <c r="T5614">
        <v>0</v>
      </c>
      <c r="U5614">
        <v>1</v>
      </c>
      <c r="V5614">
        <v>1</v>
      </c>
      <c r="W5614">
        <v>1</v>
      </c>
      <c r="X5614" s="21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/>
      <c r="AI5614"/>
      <c r="AJ5614" t="s">
        <v>51</v>
      </c>
      <c r="AK5614" t="s">
        <v>95</v>
      </c>
      <c r="AL5614"/>
      <c r="AP5614" t="s">
        <v>116</v>
      </c>
    </row>
    <row r="5615" spans="1:42" s="6" customFormat="1">
      <c r="A5615" s="12">
        <v>43875</v>
      </c>
      <c r="B5615">
        <v>5</v>
      </c>
      <c r="C5615">
        <v>239</v>
      </c>
      <c r="D5615">
        <v>10231</v>
      </c>
      <c r="E5615" t="s">
        <v>37</v>
      </c>
      <c r="F5615" t="s">
        <v>90</v>
      </c>
      <c r="G5615">
        <v>2</v>
      </c>
      <c r="H5615">
        <v>29</v>
      </c>
      <c r="I5615" s="25">
        <v>411</v>
      </c>
      <c r="J5615"/>
      <c r="K5615" t="s">
        <v>98</v>
      </c>
      <c r="L5615" t="s">
        <v>141</v>
      </c>
      <c r="M5615" t="s">
        <v>95</v>
      </c>
      <c r="N5615" t="s">
        <v>40</v>
      </c>
      <c r="O5615">
        <v>64</v>
      </c>
      <c r="P5615"/>
      <c r="Q5615">
        <f t="shared" si="80"/>
        <v>3</v>
      </c>
      <c r="R5615">
        <v>1</v>
      </c>
      <c r="S5615">
        <v>0</v>
      </c>
      <c r="T5615">
        <v>0</v>
      </c>
      <c r="U5615">
        <v>0</v>
      </c>
      <c r="V5615">
        <v>0</v>
      </c>
      <c r="W5615">
        <v>3</v>
      </c>
      <c r="X5615" s="21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/>
      <c r="AI5615"/>
      <c r="AJ5615" t="s">
        <v>51</v>
      </c>
      <c r="AK5615" t="s">
        <v>95</v>
      </c>
      <c r="AL5615"/>
      <c r="AP5615" t="s">
        <v>116</v>
      </c>
    </row>
    <row r="5616" spans="1:42" s="6" customFormat="1">
      <c r="A5616" s="12">
        <v>43875</v>
      </c>
      <c r="B5616">
        <v>5</v>
      </c>
      <c r="C5616">
        <v>239</v>
      </c>
      <c r="D5616">
        <v>10231</v>
      </c>
      <c r="E5616" t="s">
        <v>37</v>
      </c>
      <c r="F5616" t="s">
        <v>90</v>
      </c>
      <c r="G5616">
        <v>2</v>
      </c>
      <c r="H5616">
        <v>30</v>
      </c>
      <c r="I5616" s="25">
        <v>401</v>
      </c>
      <c r="J5616"/>
      <c r="K5616" t="s">
        <v>98</v>
      </c>
      <c r="L5616" t="s">
        <v>141</v>
      </c>
      <c r="M5616" t="s">
        <v>52</v>
      </c>
      <c r="N5616" t="s">
        <v>40</v>
      </c>
      <c r="O5616">
        <v>120</v>
      </c>
      <c r="P5616"/>
      <c r="Q5616">
        <f t="shared" si="80"/>
        <v>8</v>
      </c>
      <c r="R5616">
        <v>1</v>
      </c>
      <c r="S5616">
        <v>0</v>
      </c>
      <c r="T5616">
        <v>0</v>
      </c>
      <c r="U5616">
        <v>0</v>
      </c>
      <c r="V5616">
        <v>0</v>
      </c>
      <c r="W5616">
        <v>8</v>
      </c>
      <c r="X5616" s="21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/>
      <c r="AI5616"/>
      <c r="AJ5616" t="s">
        <v>51</v>
      </c>
      <c r="AK5616" t="s">
        <v>95</v>
      </c>
      <c r="AL5616"/>
      <c r="AP5616" t="s">
        <v>116</v>
      </c>
    </row>
    <row r="5617" spans="1:42" s="6" customFormat="1">
      <c r="A5617" s="12">
        <v>43875</v>
      </c>
      <c r="B5617">
        <v>5</v>
      </c>
      <c r="C5617">
        <v>239</v>
      </c>
      <c r="D5617">
        <v>10231</v>
      </c>
      <c r="E5617" t="s">
        <v>37</v>
      </c>
      <c r="F5617" t="s">
        <v>90</v>
      </c>
      <c r="G5617">
        <v>2</v>
      </c>
      <c r="H5617">
        <v>31</v>
      </c>
      <c r="I5617" s="25">
        <v>495</v>
      </c>
      <c r="J5617"/>
      <c r="K5617" t="s">
        <v>74</v>
      </c>
      <c r="L5617" t="s">
        <v>141</v>
      </c>
      <c r="M5617" t="s">
        <v>52</v>
      </c>
      <c r="N5617" t="s">
        <v>40</v>
      </c>
      <c r="O5617">
        <v>96</v>
      </c>
      <c r="P5617"/>
      <c r="Q5617">
        <f t="shared" si="80"/>
        <v>7</v>
      </c>
      <c r="R5617">
        <v>1</v>
      </c>
      <c r="S5617">
        <v>0</v>
      </c>
      <c r="T5617">
        <v>0</v>
      </c>
      <c r="U5617">
        <v>0</v>
      </c>
      <c r="V5617">
        <v>0</v>
      </c>
      <c r="W5617">
        <v>7</v>
      </c>
      <c r="X5617" s="21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/>
      <c r="AI5617"/>
      <c r="AJ5617" t="s">
        <v>51</v>
      </c>
      <c r="AK5617" t="s">
        <v>52</v>
      </c>
      <c r="AL5617"/>
      <c r="AP5617" t="s">
        <v>116</v>
      </c>
    </row>
    <row r="5618" spans="1:42" s="6" customFormat="1">
      <c r="A5618" s="12">
        <v>43875</v>
      </c>
      <c r="B5618">
        <v>5</v>
      </c>
      <c r="C5618">
        <v>239</v>
      </c>
      <c r="D5618">
        <v>10231</v>
      </c>
      <c r="E5618" t="s">
        <v>37</v>
      </c>
      <c r="F5618" t="s">
        <v>90</v>
      </c>
      <c r="G5618">
        <v>2</v>
      </c>
      <c r="H5618">
        <v>32</v>
      </c>
      <c r="I5618" s="25">
        <v>545</v>
      </c>
      <c r="J5618"/>
      <c r="K5618" t="s">
        <v>103</v>
      </c>
      <c r="L5618" t="s">
        <v>141</v>
      </c>
      <c r="M5618" t="s">
        <v>95</v>
      </c>
      <c r="N5618" t="s">
        <v>40</v>
      </c>
      <c r="O5618">
        <v>35</v>
      </c>
      <c r="P5618"/>
      <c r="Q5618">
        <f t="shared" si="80"/>
        <v>1</v>
      </c>
      <c r="R5618">
        <v>1</v>
      </c>
      <c r="S5618">
        <v>0</v>
      </c>
      <c r="T5618">
        <v>0</v>
      </c>
      <c r="U5618">
        <v>0</v>
      </c>
      <c r="V5618">
        <v>0</v>
      </c>
      <c r="W5618">
        <v>1</v>
      </c>
      <c r="X5618" s="21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/>
      <c r="AI5618"/>
      <c r="AJ5618" t="s">
        <v>51</v>
      </c>
      <c r="AK5618" t="s">
        <v>52</v>
      </c>
      <c r="AL5618"/>
      <c r="AP5618" t="s">
        <v>116</v>
      </c>
    </row>
    <row r="5619" spans="1:42" s="6" customFormat="1">
      <c r="A5619" s="12">
        <v>43875</v>
      </c>
      <c r="B5619">
        <v>5</v>
      </c>
      <c r="C5619">
        <v>239</v>
      </c>
      <c r="D5619">
        <v>10231</v>
      </c>
      <c r="E5619" t="s">
        <v>37</v>
      </c>
      <c r="F5619" t="s">
        <v>90</v>
      </c>
      <c r="G5619">
        <v>2</v>
      </c>
      <c r="H5619">
        <v>33</v>
      </c>
      <c r="I5619" s="25">
        <v>556</v>
      </c>
      <c r="J5619"/>
      <c r="K5619" t="s">
        <v>103</v>
      </c>
      <c r="L5619" t="s">
        <v>114</v>
      </c>
      <c r="M5619" t="s">
        <v>52</v>
      </c>
      <c r="N5619" t="s">
        <v>40</v>
      </c>
      <c r="O5619">
        <v>89</v>
      </c>
      <c r="P5619"/>
      <c r="Q5619">
        <f t="shared" si="80"/>
        <v>4</v>
      </c>
      <c r="R5619">
        <v>1</v>
      </c>
      <c r="S5619">
        <v>0</v>
      </c>
      <c r="T5619">
        <v>0</v>
      </c>
      <c r="U5619">
        <v>0</v>
      </c>
      <c r="V5619">
        <v>2</v>
      </c>
      <c r="W5619">
        <v>2</v>
      </c>
      <c r="X5619" s="21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/>
      <c r="AI5619"/>
      <c r="AJ5619" t="s">
        <v>51</v>
      </c>
      <c r="AK5619" t="s">
        <v>52</v>
      </c>
      <c r="AL5619"/>
      <c r="AP5619" t="s">
        <v>116</v>
      </c>
    </row>
    <row r="5620" spans="1:42" s="6" customFormat="1">
      <c r="A5620" s="12">
        <v>43875</v>
      </c>
      <c r="B5620">
        <v>5</v>
      </c>
      <c r="C5620">
        <v>239</v>
      </c>
      <c r="D5620">
        <v>10231</v>
      </c>
      <c r="E5620" t="s">
        <v>37</v>
      </c>
      <c r="F5620" t="s">
        <v>90</v>
      </c>
      <c r="G5620">
        <v>2</v>
      </c>
      <c r="H5620">
        <v>34</v>
      </c>
      <c r="I5620" s="25">
        <v>548</v>
      </c>
      <c r="J5620"/>
      <c r="K5620" t="s">
        <v>103</v>
      </c>
      <c r="L5620" t="s">
        <v>114</v>
      </c>
      <c r="M5620" t="s">
        <v>52</v>
      </c>
      <c r="N5620" t="s">
        <v>40</v>
      </c>
      <c r="O5620">
        <v>49</v>
      </c>
      <c r="P5620"/>
      <c r="Q5620">
        <f t="shared" si="80"/>
        <v>1</v>
      </c>
      <c r="R5620">
        <v>1</v>
      </c>
      <c r="S5620">
        <v>0</v>
      </c>
      <c r="T5620">
        <v>0</v>
      </c>
      <c r="U5620">
        <v>1</v>
      </c>
      <c r="V5620">
        <v>0</v>
      </c>
      <c r="W5620">
        <v>0</v>
      </c>
      <c r="X5620" s="21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/>
      <c r="AI5620"/>
      <c r="AJ5620" t="s">
        <v>51</v>
      </c>
      <c r="AK5620" t="s">
        <v>52</v>
      </c>
      <c r="AL5620"/>
      <c r="AP5620" t="s">
        <v>116</v>
      </c>
    </row>
    <row r="5621" spans="1:42" s="6" customFormat="1">
      <c r="A5621" s="12">
        <v>43875</v>
      </c>
      <c r="B5621">
        <v>5</v>
      </c>
      <c r="C5621">
        <v>239</v>
      </c>
      <c r="D5621">
        <v>10231</v>
      </c>
      <c r="E5621" t="s">
        <v>37</v>
      </c>
      <c r="F5621" t="s">
        <v>90</v>
      </c>
      <c r="G5621">
        <v>2</v>
      </c>
      <c r="H5621">
        <v>35</v>
      </c>
      <c r="I5621" s="25">
        <v>555</v>
      </c>
      <c r="J5621"/>
      <c r="K5621" t="s">
        <v>103</v>
      </c>
      <c r="L5621" t="s">
        <v>141</v>
      </c>
      <c r="M5621" t="s">
        <v>95</v>
      </c>
      <c r="N5621" t="s">
        <v>44</v>
      </c>
      <c r="O5621">
        <v>269</v>
      </c>
      <c r="P5621"/>
      <c r="Q5621">
        <f t="shared" si="80"/>
        <v>3</v>
      </c>
      <c r="R5621">
        <v>1</v>
      </c>
      <c r="S5621">
        <v>0</v>
      </c>
      <c r="T5621">
        <v>0</v>
      </c>
      <c r="U5621">
        <v>0</v>
      </c>
      <c r="V5621">
        <v>1</v>
      </c>
      <c r="W5621">
        <v>2</v>
      </c>
      <c r="X5621" s="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/>
      <c r="AI5621"/>
      <c r="AJ5621" t="s">
        <v>51</v>
      </c>
      <c r="AK5621" t="s">
        <v>52</v>
      </c>
      <c r="AL5621"/>
      <c r="AP5621" t="s">
        <v>116</v>
      </c>
    </row>
    <row r="5622" spans="1:42" s="6" customFormat="1">
      <c r="A5622" s="12">
        <v>43875</v>
      </c>
      <c r="B5622">
        <v>5</v>
      </c>
      <c r="C5622">
        <v>239</v>
      </c>
      <c r="D5622">
        <v>10231</v>
      </c>
      <c r="E5622" t="s">
        <v>37</v>
      </c>
      <c r="F5622" t="s">
        <v>90</v>
      </c>
      <c r="G5622">
        <v>2</v>
      </c>
      <c r="H5622">
        <v>36</v>
      </c>
      <c r="I5622" s="25">
        <v>532</v>
      </c>
      <c r="J5622"/>
      <c r="K5622" t="s">
        <v>103</v>
      </c>
      <c r="L5622" t="s">
        <v>114</v>
      </c>
      <c r="M5622" t="s">
        <v>52</v>
      </c>
      <c r="N5622" t="s">
        <v>40</v>
      </c>
      <c r="O5622">
        <v>26</v>
      </c>
      <c r="P5622"/>
      <c r="Q5622">
        <f t="shared" si="80"/>
        <v>1</v>
      </c>
      <c r="R5622">
        <v>1</v>
      </c>
      <c r="S5622">
        <v>0</v>
      </c>
      <c r="T5622">
        <v>0</v>
      </c>
      <c r="U5622">
        <v>0</v>
      </c>
      <c r="V5622">
        <v>0</v>
      </c>
      <c r="W5622">
        <v>1</v>
      </c>
      <c r="X5622" s="21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/>
      <c r="AI5622"/>
      <c r="AJ5622" t="s">
        <v>51</v>
      </c>
      <c r="AK5622" t="s">
        <v>52</v>
      </c>
      <c r="AL5622"/>
      <c r="AP5622" t="s">
        <v>116</v>
      </c>
    </row>
    <row r="5623" spans="1:42" s="6" customFormat="1">
      <c r="A5623" s="12">
        <v>43875</v>
      </c>
      <c r="B5623">
        <v>5</v>
      </c>
      <c r="C5623">
        <v>239</v>
      </c>
      <c r="D5623">
        <v>10231</v>
      </c>
      <c r="E5623" t="s">
        <v>37</v>
      </c>
      <c r="F5623" t="s">
        <v>90</v>
      </c>
      <c r="G5623">
        <v>2</v>
      </c>
      <c r="H5623">
        <v>37</v>
      </c>
      <c r="I5623" s="25">
        <v>540</v>
      </c>
      <c r="J5623"/>
      <c r="K5623" t="s">
        <v>103</v>
      </c>
      <c r="L5623" t="s">
        <v>114</v>
      </c>
      <c r="M5623" t="s">
        <v>52</v>
      </c>
      <c r="N5623" t="s">
        <v>40</v>
      </c>
      <c r="O5623">
        <v>132</v>
      </c>
      <c r="P5623"/>
      <c r="Q5623">
        <f t="shared" si="80"/>
        <v>5</v>
      </c>
      <c r="R5623">
        <v>1</v>
      </c>
      <c r="S5623">
        <v>0</v>
      </c>
      <c r="T5623">
        <v>0</v>
      </c>
      <c r="U5623">
        <v>0</v>
      </c>
      <c r="V5623">
        <v>4</v>
      </c>
      <c r="W5623">
        <v>1</v>
      </c>
      <c r="X5623" s="21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/>
      <c r="AI5623"/>
      <c r="AJ5623" t="s">
        <v>51</v>
      </c>
      <c r="AK5623" t="s">
        <v>52</v>
      </c>
      <c r="AL5623"/>
      <c r="AP5623" t="s">
        <v>116</v>
      </c>
    </row>
    <row r="5624" spans="1:42" s="6" customFormat="1">
      <c r="A5624" s="12">
        <v>43875</v>
      </c>
      <c r="B5624">
        <v>5</v>
      </c>
      <c r="C5624">
        <v>239</v>
      </c>
      <c r="D5624">
        <v>10231</v>
      </c>
      <c r="E5624" t="s">
        <v>37</v>
      </c>
      <c r="F5624" t="s">
        <v>90</v>
      </c>
      <c r="G5624">
        <v>2</v>
      </c>
      <c r="H5624">
        <v>38</v>
      </c>
      <c r="I5624" s="25">
        <v>533</v>
      </c>
      <c r="J5624"/>
      <c r="K5624" t="s">
        <v>103</v>
      </c>
      <c r="L5624" t="s">
        <v>141</v>
      </c>
      <c r="M5624" t="s">
        <v>95</v>
      </c>
      <c r="N5624" t="s">
        <v>40</v>
      </c>
      <c r="O5624">
        <v>51</v>
      </c>
      <c r="P5624"/>
      <c r="Q5624">
        <f t="shared" si="80"/>
        <v>2</v>
      </c>
      <c r="R5624">
        <v>1</v>
      </c>
      <c r="S5624">
        <v>0</v>
      </c>
      <c r="T5624">
        <v>0</v>
      </c>
      <c r="U5624">
        <v>0</v>
      </c>
      <c r="V5624">
        <v>0</v>
      </c>
      <c r="W5624">
        <v>2</v>
      </c>
      <c r="X5624" s="21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/>
      <c r="AI5624"/>
      <c r="AJ5624" t="s">
        <v>51</v>
      </c>
      <c r="AK5624" t="s">
        <v>52</v>
      </c>
      <c r="AL5624"/>
      <c r="AP5624" t="s">
        <v>116</v>
      </c>
    </row>
    <row r="5625" spans="1:42" s="6" customFormat="1">
      <c r="A5625" s="12">
        <v>43875</v>
      </c>
      <c r="B5625">
        <v>5</v>
      </c>
      <c r="C5625">
        <v>239</v>
      </c>
      <c r="D5625">
        <v>10231</v>
      </c>
      <c r="E5625" t="s">
        <v>37</v>
      </c>
      <c r="F5625" t="s">
        <v>90</v>
      </c>
      <c r="G5625">
        <v>2</v>
      </c>
      <c r="H5625">
        <v>39</v>
      </c>
      <c r="I5625" s="25" t="s">
        <v>1867</v>
      </c>
      <c r="J5625"/>
      <c r="K5625" t="s">
        <v>1868</v>
      </c>
      <c r="L5625" t="s">
        <v>141</v>
      </c>
      <c r="M5625" t="s">
        <v>95</v>
      </c>
      <c r="N5625" t="s">
        <v>40</v>
      </c>
      <c r="O5625">
        <v>208</v>
      </c>
      <c r="P5625"/>
      <c r="Q5625">
        <f t="shared" si="80"/>
        <v>13</v>
      </c>
      <c r="R5625">
        <v>1</v>
      </c>
      <c r="S5625">
        <v>0</v>
      </c>
      <c r="T5625">
        <v>0</v>
      </c>
      <c r="U5625">
        <v>4</v>
      </c>
      <c r="V5625">
        <v>0</v>
      </c>
      <c r="W5625">
        <v>9</v>
      </c>
      <c r="X5625" s="21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/>
      <c r="AI5625"/>
      <c r="AJ5625" t="s">
        <v>51</v>
      </c>
      <c r="AK5625" t="s">
        <v>95</v>
      </c>
      <c r="AL5625"/>
      <c r="AP5625" t="s">
        <v>116</v>
      </c>
    </row>
    <row r="5626" spans="1:42" s="6" customFormat="1">
      <c r="A5626" s="12">
        <v>43875</v>
      </c>
      <c r="B5626">
        <v>5</v>
      </c>
      <c r="C5626">
        <v>239</v>
      </c>
      <c r="D5626">
        <v>10231</v>
      </c>
      <c r="E5626" t="s">
        <v>37</v>
      </c>
      <c r="F5626" t="s">
        <v>90</v>
      </c>
      <c r="G5626">
        <v>2</v>
      </c>
      <c r="H5626">
        <v>40</v>
      </c>
      <c r="I5626" s="25">
        <v>439</v>
      </c>
      <c r="J5626"/>
      <c r="K5626" t="s">
        <v>103</v>
      </c>
      <c r="L5626" t="s">
        <v>141</v>
      </c>
      <c r="M5626" t="s">
        <v>52</v>
      </c>
      <c r="N5626" t="s">
        <v>40</v>
      </c>
      <c r="O5626">
        <v>42</v>
      </c>
      <c r="P5626"/>
      <c r="Q5626">
        <f t="shared" si="80"/>
        <v>2</v>
      </c>
      <c r="R5626">
        <v>1</v>
      </c>
      <c r="S5626">
        <v>0</v>
      </c>
      <c r="T5626">
        <v>0</v>
      </c>
      <c r="U5626">
        <v>0</v>
      </c>
      <c r="V5626">
        <v>2</v>
      </c>
      <c r="W5626">
        <v>0</v>
      </c>
      <c r="X5626" s="21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/>
      <c r="AI5626"/>
      <c r="AJ5626" t="s">
        <v>54</v>
      </c>
      <c r="AK5626" t="s">
        <v>95</v>
      </c>
      <c r="AL5626"/>
      <c r="AP5626" t="s">
        <v>116</v>
      </c>
    </row>
    <row r="5627" spans="1:42" s="6" customFormat="1">
      <c r="A5627" s="12">
        <v>43875</v>
      </c>
      <c r="B5627">
        <v>5</v>
      </c>
      <c r="C5627">
        <v>239</v>
      </c>
      <c r="D5627">
        <v>10231</v>
      </c>
      <c r="E5627" t="s">
        <v>37</v>
      </c>
      <c r="F5627" t="s">
        <v>90</v>
      </c>
      <c r="G5627">
        <v>2</v>
      </c>
      <c r="H5627">
        <v>41</v>
      </c>
      <c r="I5627" s="25" t="s">
        <v>1869</v>
      </c>
      <c r="J5627"/>
      <c r="K5627" t="s">
        <v>103</v>
      </c>
      <c r="L5627" t="s">
        <v>141</v>
      </c>
      <c r="M5627" t="s">
        <v>52</v>
      </c>
      <c r="N5627" t="s">
        <v>40</v>
      </c>
      <c r="O5627">
        <v>61</v>
      </c>
      <c r="P5627"/>
      <c r="Q5627">
        <f t="shared" si="80"/>
        <v>1</v>
      </c>
      <c r="R5627">
        <v>1</v>
      </c>
      <c r="S5627">
        <v>0</v>
      </c>
      <c r="T5627">
        <v>0</v>
      </c>
      <c r="U5627">
        <v>0</v>
      </c>
      <c r="V5627">
        <v>1</v>
      </c>
      <c r="W5627">
        <v>0</v>
      </c>
      <c r="X5627" s="21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/>
      <c r="AI5627"/>
      <c r="AJ5627" t="s">
        <v>54</v>
      </c>
      <c r="AK5627" t="s">
        <v>52</v>
      </c>
      <c r="AL5627"/>
      <c r="AP5627" t="s">
        <v>116</v>
      </c>
    </row>
    <row r="5628" spans="1:42" s="6" customFormat="1">
      <c r="A5628" s="12">
        <v>43875</v>
      </c>
      <c r="B5628">
        <v>5</v>
      </c>
      <c r="C5628">
        <v>239</v>
      </c>
      <c r="D5628">
        <v>10231</v>
      </c>
      <c r="E5628" t="s">
        <v>37</v>
      </c>
      <c r="F5628" t="s">
        <v>90</v>
      </c>
      <c r="G5628">
        <v>2</v>
      </c>
      <c r="H5628">
        <v>42</v>
      </c>
      <c r="I5628" s="25">
        <v>450</v>
      </c>
      <c r="J5628"/>
      <c r="K5628" t="s">
        <v>103</v>
      </c>
      <c r="L5628" t="s">
        <v>114</v>
      </c>
      <c r="M5628" t="s">
        <v>52</v>
      </c>
      <c r="N5628" t="s">
        <v>40</v>
      </c>
      <c r="O5628">
        <v>45</v>
      </c>
      <c r="P5628"/>
      <c r="Q5628">
        <f t="shared" si="80"/>
        <v>2</v>
      </c>
      <c r="R5628">
        <v>1</v>
      </c>
      <c r="S5628">
        <v>0</v>
      </c>
      <c r="T5628">
        <v>0</v>
      </c>
      <c r="U5628">
        <v>0</v>
      </c>
      <c r="V5628">
        <v>0</v>
      </c>
      <c r="W5628">
        <v>2</v>
      </c>
      <c r="X5628" s="21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/>
      <c r="AI5628"/>
      <c r="AJ5628" t="s">
        <v>54</v>
      </c>
      <c r="AK5628" t="s">
        <v>52</v>
      </c>
      <c r="AL5628"/>
      <c r="AP5628" t="s">
        <v>116</v>
      </c>
    </row>
    <row r="5629" spans="1:42" s="6" customFormat="1">
      <c r="A5629" s="12">
        <v>43875</v>
      </c>
      <c r="B5629">
        <v>5</v>
      </c>
      <c r="C5629">
        <v>239</v>
      </c>
      <c r="D5629">
        <v>10231</v>
      </c>
      <c r="E5629" t="s">
        <v>37</v>
      </c>
      <c r="F5629" t="s">
        <v>90</v>
      </c>
      <c r="G5629">
        <v>2</v>
      </c>
      <c r="H5629">
        <v>43</v>
      </c>
      <c r="I5629" s="25">
        <v>415</v>
      </c>
      <c r="J5629"/>
      <c r="K5629" t="s">
        <v>103</v>
      </c>
      <c r="L5629" t="s">
        <v>141</v>
      </c>
      <c r="M5629" t="s">
        <v>52</v>
      </c>
      <c r="N5629" t="s">
        <v>40</v>
      </c>
      <c r="O5629">
        <v>68</v>
      </c>
      <c r="P5629"/>
      <c r="Q5629">
        <f t="shared" si="80"/>
        <v>4</v>
      </c>
      <c r="R5629">
        <v>1</v>
      </c>
      <c r="S5629">
        <v>0</v>
      </c>
      <c r="T5629">
        <v>0</v>
      </c>
      <c r="U5629">
        <v>0</v>
      </c>
      <c r="V5629">
        <v>0</v>
      </c>
      <c r="W5629">
        <v>4</v>
      </c>
      <c r="X5629" s="21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/>
      <c r="AI5629"/>
      <c r="AJ5629" t="s">
        <v>54</v>
      </c>
      <c r="AK5629" t="s">
        <v>95</v>
      </c>
      <c r="AL5629"/>
      <c r="AP5629" t="s">
        <v>116</v>
      </c>
    </row>
    <row r="5630" spans="1:42" s="6" customFormat="1">
      <c r="A5630" s="12">
        <v>43875</v>
      </c>
      <c r="B5630">
        <v>5</v>
      </c>
      <c r="C5630">
        <v>239</v>
      </c>
      <c r="D5630">
        <v>10231</v>
      </c>
      <c r="E5630" t="s">
        <v>37</v>
      </c>
      <c r="F5630" t="s">
        <v>90</v>
      </c>
      <c r="G5630">
        <v>2</v>
      </c>
      <c r="H5630">
        <v>44</v>
      </c>
      <c r="I5630" s="25">
        <v>219</v>
      </c>
      <c r="J5630"/>
      <c r="K5630" t="s">
        <v>103</v>
      </c>
      <c r="L5630" t="s">
        <v>141</v>
      </c>
      <c r="M5630" t="s">
        <v>52</v>
      </c>
      <c r="N5630" t="s">
        <v>40</v>
      </c>
      <c r="O5630">
        <v>24</v>
      </c>
      <c r="P5630"/>
      <c r="Q5630">
        <f t="shared" si="80"/>
        <v>1</v>
      </c>
      <c r="R5630">
        <v>1</v>
      </c>
      <c r="S5630">
        <v>0</v>
      </c>
      <c r="T5630">
        <v>0</v>
      </c>
      <c r="U5630">
        <v>0</v>
      </c>
      <c r="V5630">
        <v>1</v>
      </c>
      <c r="W5630">
        <v>0</v>
      </c>
      <c r="X5630" s="21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/>
      <c r="AI5630"/>
      <c r="AJ5630" t="s">
        <v>51</v>
      </c>
      <c r="AK5630" t="s">
        <v>95</v>
      </c>
      <c r="AL5630"/>
      <c r="AP5630" t="s">
        <v>116</v>
      </c>
    </row>
    <row r="5631" spans="1:42" s="6" customFormat="1">
      <c r="A5631" s="12">
        <v>43875</v>
      </c>
      <c r="B5631">
        <v>5</v>
      </c>
      <c r="C5631">
        <v>239</v>
      </c>
      <c r="D5631">
        <v>10231</v>
      </c>
      <c r="E5631" t="s">
        <v>37</v>
      </c>
      <c r="F5631" t="s">
        <v>90</v>
      </c>
      <c r="G5631">
        <v>2</v>
      </c>
      <c r="H5631">
        <v>45</v>
      </c>
      <c r="I5631" s="25">
        <v>140</v>
      </c>
      <c r="J5631"/>
      <c r="K5631" t="s">
        <v>103</v>
      </c>
      <c r="L5631" t="s">
        <v>114</v>
      </c>
      <c r="M5631" t="s">
        <v>52</v>
      </c>
      <c r="N5631" t="s">
        <v>40</v>
      </c>
      <c r="O5631">
        <v>66</v>
      </c>
      <c r="P5631"/>
      <c r="Q5631">
        <f t="shared" si="80"/>
        <v>2</v>
      </c>
      <c r="R5631">
        <v>1</v>
      </c>
      <c r="S5631">
        <v>0</v>
      </c>
      <c r="T5631">
        <v>0</v>
      </c>
      <c r="U5631">
        <v>0</v>
      </c>
      <c r="V5631">
        <v>1</v>
      </c>
      <c r="W5631">
        <v>1</v>
      </c>
      <c r="X5631" s="2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/>
      <c r="AI5631"/>
      <c r="AJ5631" t="s">
        <v>51</v>
      </c>
      <c r="AK5631" t="s">
        <v>52</v>
      </c>
      <c r="AL5631"/>
      <c r="AP5631" t="s">
        <v>116</v>
      </c>
    </row>
    <row r="5632" spans="1:42" s="6" customFormat="1">
      <c r="A5632" s="12">
        <v>43875</v>
      </c>
      <c r="B5632">
        <v>5</v>
      </c>
      <c r="C5632">
        <v>239</v>
      </c>
      <c r="D5632">
        <v>10231</v>
      </c>
      <c r="E5632" t="s">
        <v>37</v>
      </c>
      <c r="F5632" t="s">
        <v>90</v>
      </c>
      <c r="G5632">
        <v>2</v>
      </c>
      <c r="H5632">
        <v>46</v>
      </c>
      <c r="I5632" s="25" t="s">
        <v>1870</v>
      </c>
      <c r="J5632"/>
      <c r="K5632" t="s">
        <v>103</v>
      </c>
      <c r="L5632" t="s">
        <v>1846</v>
      </c>
      <c r="M5632" t="s">
        <v>95</v>
      </c>
      <c r="N5632" t="s">
        <v>1703</v>
      </c>
      <c r="O5632">
        <v>139</v>
      </c>
      <c r="P5632"/>
      <c r="Q5632">
        <f t="shared" si="80"/>
        <v>11</v>
      </c>
      <c r="R5632">
        <v>1</v>
      </c>
      <c r="S5632">
        <v>0</v>
      </c>
      <c r="T5632">
        <v>0</v>
      </c>
      <c r="U5632">
        <v>0</v>
      </c>
      <c r="V5632">
        <v>9</v>
      </c>
      <c r="W5632">
        <v>2</v>
      </c>
      <c r="X5632" s="21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/>
      <c r="AI5632"/>
      <c r="AJ5632" t="s">
        <v>51</v>
      </c>
      <c r="AK5632" t="s">
        <v>95</v>
      </c>
      <c r="AL5632" t="s">
        <v>1860</v>
      </c>
      <c r="AP5632" t="s">
        <v>116</v>
      </c>
    </row>
    <row r="5633" spans="1:42" s="6" customFormat="1">
      <c r="A5633" s="12">
        <v>43875</v>
      </c>
      <c r="B5633">
        <v>5</v>
      </c>
      <c r="C5633">
        <v>239</v>
      </c>
      <c r="D5633">
        <v>10231</v>
      </c>
      <c r="E5633" t="s">
        <v>37</v>
      </c>
      <c r="F5633" t="s">
        <v>90</v>
      </c>
      <c r="G5633">
        <v>2</v>
      </c>
      <c r="H5633">
        <v>47</v>
      </c>
      <c r="I5633" s="25">
        <v>25</v>
      </c>
      <c r="J5633"/>
      <c r="K5633" t="s">
        <v>430</v>
      </c>
      <c r="L5633" t="s">
        <v>141</v>
      </c>
      <c r="M5633" t="s">
        <v>52</v>
      </c>
      <c r="N5633" t="s">
        <v>40</v>
      </c>
      <c r="O5633">
        <v>36</v>
      </c>
      <c r="P5633"/>
      <c r="Q5633">
        <f t="shared" si="80"/>
        <v>1</v>
      </c>
      <c r="R5633">
        <v>1</v>
      </c>
      <c r="S5633">
        <v>0</v>
      </c>
      <c r="T5633">
        <v>0</v>
      </c>
      <c r="U5633">
        <v>1</v>
      </c>
      <c r="V5633">
        <v>0</v>
      </c>
      <c r="W5633">
        <v>0</v>
      </c>
      <c r="X5633" s="21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/>
      <c r="AI5633"/>
      <c r="AJ5633" t="s">
        <v>51</v>
      </c>
      <c r="AK5633" t="s">
        <v>95</v>
      </c>
      <c r="AL5633"/>
      <c r="AP5633" t="s">
        <v>116</v>
      </c>
    </row>
    <row r="5634" spans="1:42" s="6" customFormat="1">
      <c r="A5634" s="12">
        <v>43875</v>
      </c>
      <c r="B5634">
        <v>5</v>
      </c>
      <c r="C5634">
        <v>239</v>
      </c>
      <c r="D5634">
        <v>10231</v>
      </c>
      <c r="E5634" t="s">
        <v>37</v>
      </c>
      <c r="F5634" t="s">
        <v>90</v>
      </c>
      <c r="G5634">
        <v>2</v>
      </c>
      <c r="H5634">
        <v>48</v>
      </c>
      <c r="I5634" s="25">
        <v>1</v>
      </c>
      <c r="J5634"/>
      <c r="K5634" t="s">
        <v>1871</v>
      </c>
      <c r="L5634" t="s">
        <v>141</v>
      </c>
      <c r="M5634" t="s">
        <v>52</v>
      </c>
      <c r="N5634" t="s">
        <v>44</v>
      </c>
      <c r="O5634">
        <v>161</v>
      </c>
      <c r="P5634"/>
      <c r="Q5634">
        <f t="shared" si="80"/>
        <v>6</v>
      </c>
      <c r="R5634">
        <v>1</v>
      </c>
      <c r="S5634">
        <v>0</v>
      </c>
      <c r="T5634">
        <v>0</v>
      </c>
      <c r="U5634">
        <v>0</v>
      </c>
      <c r="V5634">
        <v>0</v>
      </c>
      <c r="W5634">
        <v>6</v>
      </c>
      <c r="X5634" s="21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/>
      <c r="AI5634"/>
      <c r="AJ5634" t="s">
        <v>51</v>
      </c>
      <c r="AK5634" t="s">
        <v>95</v>
      </c>
      <c r="AL5634" t="s">
        <v>1872</v>
      </c>
      <c r="AP5634" t="s">
        <v>116</v>
      </c>
    </row>
    <row r="5635" spans="1:42" s="6" customFormat="1">
      <c r="A5635" s="12">
        <v>43875</v>
      </c>
      <c r="B5635">
        <v>5</v>
      </c>
      <c r="C5635">
        <v>239</v>
      </c>
      <c r="D5635">
        <v>10231</v>
      </c>
      <c r="E5635" t="s">
        <v>37</v>
      </c>
      <c r="F5635" t="s">
        <v>90</v>
      </c>
      <c r="G5635">
        <v>2</v>
      </c>
      <c r="H5635">
        <v>49</v>
      </c>
      <c r="I5635" s="25">
        <v>234</v>
      </c>
      <c r="J5635"/>
      <c r="K5635" t="s">
        <v>415</v>
      </c>
      <c r="L5635" t="s">
        <v>114</v>
      </c>
      <c r="M5635" t="s">
        <v>52</v>
      </c>
      <c r="N5635" t="s">
        <v>44</v>
      </c>
      <c r="O5635">
        <v>53</v>
      </c>
      <c r="P5635"/>
      <c r="Q5635">
        <f t="shared" si="80"/>
        <v>2</v>
      </c>
      <c r="R5635">
        <v>1</v>
      </c>
      <c r="S5635">
        <v>0</v>
      </c>
      <c r="T5635">
        <v>0</v>
      </c>
      <c r="U5635">
        <v>0</v>
      </c>
      <c r="V5635">
        <v>2</v>
      </c>
      <c r="W5635">
        <v>0</v>
      </c>
      <c r="X5635" s="21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/>
      <c r="AI5635"/>
      <c r="AJ5635" t="s">
        <v>51</v>
      </c>
      <c r="AK5635" t="s">
        <v>52</v>
      </c>
      <c r="AL5635" t="s">
        <v>67</v>
      </c>
      <c r="AP5635" t="s">
        <v>116</v>
      </c>
    </row>
    <row r="5636" spans="1:42" s="6" customFormat="1">
      <c r="A5636" s="12">
        <v>43875</v>
      </c>
      <c r="B5636">
        <v>5</v>
      </c>
      <c r="C5636">
        <v>239</v>
      </c>
      <c r="D5636">
        <v>10231</v>
      </c>
      <c r="E5636" t="s">
        <v>37</v>
      </c>
      <c r="F5636" t="s">
        <v>90</v>
      </c>
      <c r="G5636">
        <v>2</v>
      </c>
      <c r="H5636">
        <v>50</v>
      </c>
      <c r="I5636" s="25">
        <v>101</v>
      </c>
      <c r="J5636"/>
      <c r="K5636" t="s">
        <v>430</v>
      </c>
      <c r="L5636" t="s">
        <v>141</v>
      </c>
      <c r="M5636" t="s">
        <v>52</v>
      </c>
      <c r="N5636" t="s">
        <v>44</v>
      </c>
      <c r="O5636">
        <v>484</v>
      </c>
      <c r="P5636"/>
      <c r="Q5636">
        <f t="shared" si="80"/>
        <v>12</v>
      </c>
      <c r="R5636">
        <v>1</v>
      </c>
      <c r="S5636">
        <v>0</v>
      </c>
      <c r="T5636">
        <v>0</v>
      </c>
      <c r="U5636">
        <v>0</v>
      </c>
      <c r="V5636">
        <v>0</v>
      </c>
      <c r="W5636">
        <v>12</v>
      </c>
      <c r="X5636" s="21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/>
      <c r="AI5636"/>
      <c r="AJ5636" t="s">
        <v>51</v>
      </c>
      <c r="AK5636" t="s">
        <v>52</v>
      </c>
      <c r="AL5636" t="s">
        <v>1873</v>
      </c>
      <c r="AP5636" t="s">
        <v>116</v>
      </c>
    </row>
    <row r="5637" spans="1:42" s="6" customFormat="1">
      <c r="A5637" s="12">
        <v>43875</v>
      </c>
      <c r="B5637">
        <v>5</v>
      </c>
      <c r="C5637">
        <v>239</v>
      </c>
      <c r="D5637">
        <v>10231</v>
      </c>
      <c r="E5637" t="s">
        <v>37</v>
      </c>
      <c r="F5637" t="s">
        <v>90</v>
      </c>
      <c r="G5637">
        <v>2</v>
      </c>
      <c r="H5637">
        <v>51</v>
      </c>
      <c r="I5637" s="25">
        <v>39</v>
      </c>
      <c r="J5637"/>
      <c r="K5637" t="s">
        <v>414</v>
      </c>
      <c r="L5637" t="s">
        <v>141</v>
      </c>
      <c r="M5637" t="s">
        <v>52</v>
      </c>
      <c r="N5637" t="s">
        <v>40</v>
      </c>
      <c r="O5637">
        <v>19</v>
      </c>
      <c r="P5637"/>
      <c r="Q5637">
        <f t="shared" si="80"/>
        <v>0</v>
      </c>
      <c r="R5637">
        <v>1</v>
      </c>
      <c r="S5637">
        <v>0</v>
      </c>
      <c r="T5637">
        <v>0</v>
      </c>
      <c r="U5637">
        <v>0</v>
      </c>
      <c r="V5637">
        <v>0</v>
      </c>
      <c r="W5637">
        <v>0</v>
      </c>
      <c r="X5637" s="21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/>
      <c r="AI5637"/>
      <c r="AJ5637" t="s">
        <v>51</v>
      </c>
      <c r="AK5637" t="s">
        <v>95</v>
      </c>
      <c r="AL5637"/>
      <c r="AP5637" t="s">
        <v>116</v>
      </c>
    </row>
    <row r="5638" spans="1:42" s="6" customFormat="1">
      <c r="A5638" s="12">
        <v>43875</v>
      </c>
      <c r="B5638">
        <v>5</v>
      </c>
      <c r="C5638">
        <v>239</v>
      </c>
      <c r="D5638">
        <v>10231</v>
      </c>
      <c r="E5638" t="s">
        <v>37</v>
      </c>
      <c r="F5638" t="s">
        <v>90</v>
      </c>
      <c r="G5638">
        <v>2</v>
      </c>
      <c r="H5638">
        <v>52</v>
      </c>
      <c r="I5638" s="25">
        <v>50</v>
      </c>
      <c r="J5638"/>
      <c r="K5638" t="s">
        <v>1789</v>
      </c>
      <c r="L5638" t="s">
        <v>114</v>
      </c>
      <c r="M5638" t="s">
        <v>52</v>
      </c>
      <c r="N5638" t="s">
        <v>40</v>
      </c>
      <c r="O5638">
        <v>39</v>
      </c>
      <c r="P5638"/>
      <c r="Q5638">
        <f t="shared" si="80"/>
        <v>2</v>
      </c>
      <c r="R5638">
        <v>1</v>
      </c>
      <c r="S5638">
        <v>0</v>
      </c>
      <c r="T5638">
        <v>0</v>
      </c>
      <c r="U5638">
        <v>0</v>
      </c>
      <c r="V5638">
        <v>0</v>
      </c>
      <c r="W5638">
        <v>2</v>
      </c>
      <c r="X5638" s="21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/>
      <c r="AI5638"/>
      <c r="AJ5638" t="s">
        <v>51</v>
      </c>
      <c r="AK5638" t="s">
        <v>95</v>
      </c>
      <c r="AL5638"/>
      <c r="AP5638" t="s">
        <v>116</v>
      </c>
    </row>
    <row r="5639" spans="1:42" s="6" customFormat="1">
      <c r="A5639" s="12">
        <v>43875</v>
      </c>
      <c r="B5639">
        <v>5</v>
      </c>
      <c r="C5639">
        <v>239</v>
      </c>
      <c r="D5639">
        <v>10231</v>
      </c>
      <c r="E5639" t="s">
        <v>37</v>
      </c>
      <c r="F5639" t="s">
        <v>90</v>
      </c>
      <c r="G5639">
        <v>2</v>
      </c>
      <c r="H5639">
        <v>53</v>
      </c>
      <c r="I5639" s="25">
        <v>39</v>
      </c>
      <c r="J5639"/>
      <c r="K5639" t="s">
        <v>1789</v>
      </c>
      <c r="L5639" t="s">
        <v>141</v>
      </c>
      <c r="M5639" t="s">
        <v>52</v>
      </c>
      <c r="N5639" t="s">
        <v>40</v>
      </c>
      <c r="O5639">
        <v>76</v>
      </c>
      <c r="P5639"/>
      <c r="Q5639">
        <f t="shared" si="80"/>
        <v>5</v>
      </c>
      <c r="R5639">
        <v>1</v>
      </c>
      <c r="S5639">
        <v>0</v>
      </c>
      <c r="T5639">
        <v>0</v>
      </c>
      <c r="U5639">
        <v>0</v>
      </c>
      <c r="V5639">
        <v>0</v>
      </c>
      <c r="W5639">
        <v>5</v>
      </c>
      <c r="X5639" s="21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/>
      <c r="AI5639"/>
      <c r="AJ5639" t="s">
        <v>51</v>
      </c>
      <c r="AK5639" t="s">
        <v>95</v>
      </c>
      <c r="AL5639"/>
      <c r="AP5639" t="s">
        <v>116</v>
      </c>
    </row>
    <row r="5640" spans="1:42" s="6" customFormat="1">
      <c r="A5640" s="12">
        <v>43875</v>
      </c>
      <c r="B5640">
        <v>5</v>
      </c>
      <c r="C5640">
        <v>239</v>
      </c>
      <c r="D5640">
        <v>10231</v>
      </c>
      <c r="E5640" t="s">
        <v>37</v>
      </c>
      <c r="F5640" t="s">
        <v>90</v>
      </c>
      <c r="G5640">
        <v>2</v>
      </c>
      <c r="H5640">
        <v>54</v>
      </c>
      <c r="I5640" s="25">
        <v>1414</v>
      </c>
      <c r="J5640"/>
      <c r="K5640" t="s">
        <v>73</v>
      </c>
      <c r="L5640" t="s">
        <v>114</v>
      </c>
      <c r="M5640" t="s">
        <v>52</v>
      </c>
      <c r="N5640" t="s">
        <v>40</v>
      </c>
      <c r="O5640">
        <v>80</v>
      </c>
      <c r="P5640"/>
      <c r="Q5640">
        <f t="shared" si="80"/>
        <v>1</v>
      </c>
      <c r="R5640">
        <v>1</v>
      </c>
      <c r="S5640">
        <v>0</v>
      </c>
      <c r="T5640">
        <v>0</v>
      </c>
      <c r="U5640">
        <v>1</v>
      </c>
      <c r="V5640">
        <v>0</v>
      </c>
      <c r="W5640">
        <v>0</v>
      </c>
      <c r="X5640" s="21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/>
      <c r="AI5640"/>
      <c r="AJ5640" t="s">
        <v>51</v>
      </c>
      <c r="AK5640" t="s">
        <v>52</v>
      </c>
      <c r="AL5640"/>
      <c r="AP5640" t="s">
        <v>116</v>
      </c>
    </row>
    <row r="5641" spans="1:42" s="6" customFormat="1">
      <c r="A5641" s="12">
        <v>43875</v>
      </c>
      <c r="B5641">
        <v>5</v>
      </c>
      <c r="C5641">
        <v>239</v>
      </c>
      <c r="D5641">
        <v>10231</v>
      </c>
      <c r="E5641" t="s">
        <v>37</v>
      </c>
      <c r="F5641" t="s">
        <v>90</v>
      </c>
      <c r="G5641">
        <v>2</v>
      </c>
      <c r="H5641">
        <v>55</v>
      </c>
      <c r="I5641" s="25">
        <v>35</v>
      </c>
      <c r="J5641"/>
      <c r="K5641" t="s">
        <v>1789</v>
      </c>
      <c r="L5641" t="s">
        <v>141</v>
      </c>
      <c r="M5641" t="s">
        <v>52</v>
      </c>
      <c r="N5641" t="s">
        <v>44</v>
      </c>
      <c r="O5641">
        <v>92</v>
      </c>
      <c r="P5641"/>
      <c r="Q5641">
        <f t="shared" si="80"/>
        <v>2</v>
      </c>
      <c r="R5641">
        <v>1</v>
      </c>
      <c r="S5641">
        <v>0</v>
      </c>
      <c r="T5641">
        <v>0</v>
      </c>
      <c r="U5641">
        <v>1</v>
      </c>
      <c r="V5641">
        <v>1</v>
      </c>
      <c r="W5641">
        <v>0</v>
      </c>
      <c r="X5641" s="2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/>
      <c r="AI5641"/>
      <c r="AJ5641" t="s">
        <v>51</v>
      </c>
      <c r="AK5641" t="s">
        <v>52</v>
      </c>
      <c r="AL5641"/>
      <c r="AP5641" t="s">
        <v>116</v>
      </c>
    </row>
    <row r="5642" spans="1:42" s="6" customFormat="1">
      <c r="A5642" s="12">
        <v>43875</v>
      </c>
      <c r="B5642">
        <v>5</v>
      </c>
      <c r="C5642">
        <v>239</v>
      </c>
      <c r="D5642">
        <v>10231</v>
      </c>
      <c r="E5642" t="s">
        <v>37</v>
      </c>
      <c r="F5642" t="s">
        <v>90</v>
      </c>
      <c r="G5642">
        <v>2</v>
      </c>
      <c r="H5642">
        <v>56</v>
      </c>
      <c r="I5642" s="25">
        <v>1400</v>
      </c>
      <c r="J5642"/>
      <c r="K5642" t="s">
        <v>73</v>
      </c>
      <c r="L5642" t="s">
        <v>114</v>
      </c>
      <c r="M5642" t="s">
        <v>52</v>
      </c>
      <c r="N5642" t="s">
        <v>40</v>
      </c>
      <c r="O5642">
        <v>59</v>
      </c>
      <c r="P5642"/>
      <c r="Q5642">
        <f t="shared" si="80"/>
        <v>2</v>
      </c>
      <c r="R5642">
        <v>1</v>
      </c>
      <c r="S5642">
        <v>0</v>
      </c>
      <c r="T5642">
        <v>0</v>
      </c>
      <c r="U5642">
        <v>0</v>
      </c>
      <c r="V5642">
        <v>0</v>
      </c>
      <c r="W5642">
        <v>2</v>
      </c>
      <c r="X5642" s="21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/>
      <c r="AI5642"/>
      <c r="AJ5642" t="s">
        <v>51</v>
      </c>
      <c r="AK5642" t="s">
        <v>95</v>
      </c>
      <c r="AL5642"/>
      <c r="AP5642" t="s">
        <v>116</v>
      </c>
    </row>
    <row r="5643" spans="1:42" s="6" customFormat="1">
      <c r="A5643" s="12">
        <v>43875</v>
      </c>
      <c r="B5643">
        <v>5</v>
      </c>
      <c r="C5643">
        <v>239</v>
      </c>
      <c r="D5643">
        <v>10231</v>
      </c>
      <c r="E5643" t="s">
        <v>37</v>
      </c>
      <c r="F5643" t="s">
        <v>90</v>
      </c>
      <c r="G5643">
        <v>2</v>
      </c>
      <c r="H5643">
        <v>57</v>
      </c>
      <c r="I5643" s="25" t="s">
        <v>1874</v>
      </c>
      <c r="J5643"/>
      <c r="K5643" t="s">
        <v>73</v>
      </c>
      <c r="L5643" t="s">
        <v>114</v>
      </c>
      <c r="M5643" t="s">
        <v>52</v>
      </c>
      <c r="N5643" t="s">
        <v>40</v>
      </c>
      <c r="O5643">
        <v>154</v>
      </c>
      <c r="P5643"/>
      <c r="Q5643">
        <f t="shared" si="80"/>
        <v>6</v>
      </c>
      <c r="R5643">
        <v>1</v>
      </c>
      <c r="S5643">
        <v>0</v>
      </c>
      <c r="T5643">
        <v>0</v>
      </c>
      <c r="U5643">
        <v>0</v>
      </c>
      <c r="V5643">
        <v>1</v>
      </c>
      <c r="W5643">
        <v>5</v>
      </c>
      <c r="X5643" s="21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/>
      <c r="AI5643"/>
      <c r="AJ5643" t="s">
        <v>51</v>
      </c>
      <c r="AK5643" t="s">
        <v>52</v>
      </c>
      <c r="AL5643"/>
      <c r="AP5643" t="s">
        <v>116</v>
      </c>
    </row>
    <row r="5644" spans="1:42" s="6" customFormat="1">
      <c r="A5644" s="12">
        <v>43875</v>
      </c>
      <c r="B5644">
        <v>5</v>
      </c>
      <c r="C5644">
        <v>239</v>
      </c>
      <c r="D5644">
        <v>10231</v>
      </c>
      <c r="E5644" t="s">
        <v>37</v>
      </c>
      <c r="F5644" t="s">
        <v>90</v>
      </c>
      <c r="G5644">
        <v>2</v>
      </c>
      <c r="H5644">
        <v>58</v>
      </c>
      <c r="I5644" s="25">
        <v>180</v>
      </c>
      <c r="J5644"/>
      <c r="K5644" t="s">
        <v>96</v>
      </c>
      <c r="L5644" t="s">
        <v>114</v>
      </c>
      <c r="M5644" t="s">
        <v>52</v>
      </c>
      <c r="N5644" t="s">
        <v>40</v>
      </c>
      <c r="O5644">
        <v>39</v>
      </c>
      <c r="P5644"/>
      <c r="Q5644">
        <f t="shared" si="80"/>
        <v>2</v>
      </c>
      <c r="R5644">
        <v>1</v>
      </c>
      <c r="S5644">
        <v>0</v>
      </c>
      <c r="T5644">
        <v>0</v>
      </c>
      <c r="U5644">
        <v>1</v>
      </c>
      <c r="V5644">
        <v>1</v>
      </c>
      <c r="W5644">
        <v>0</v>
      </c>
      <c r="X5644" s="21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/>
      <c r="AI5644"/>
      <c r="AJ5644" t="s">
        <v>51</v>
      </c>
      <c r="AK5644" t="s">
        <v>95</v>
      </c>
      <c r="AL5644"/>
      <c r="AP5644" t="s">
        <v>116</v>
      </c>
    </row>
    <row r="5645" spans="1:42" s="6" customFormat="1">
      <c r="A5645" s="12">
        <v>43875</v>
      </c>
      <c r="B5645">
        <v>5</v>
      </c>
      <c r="C5645">
        <v>239</v>
      </c>
      <c r="D5645">
        <v>10231</v>
      </c>
      <c r="E5645" t="s">
        <v>37</v>
      </c>
      <c r="F5645" t="s">
        <v>90</v>
      </c>
      <c r="G5645">
        <v>2</v>
      </c>
      <c r="H5645">
        <v>59</v>
      </c>
      <c r="I5645" s="25">
        <v>205</v>
      </c>
      <c r="J5645"/>
      <c r="K5645" t="s">
        <v>103</v>
      </c>
      <c r="L5645" t="s">
        <v>141</v>
      </c>
      <c r="M5645" t="s">
        <v>52</v>
      </c>
      <c r="N5645" t="s">
        <v>44</v>
      </c>
      <c r="O5645">
        <v>121</v>
      </c>
      <c r="P5645"/>
      <c r="Q5645">
        <f t="shared" si="80"/>
        <v>5</v>
      </c>
      <c r="R5645">
        <v>1</v>
      </c>
      <c r="S5645">
        <v>0</v>
      </c>
      <c r="T5645">
        <v>0</v>
      </c>
      <c r="U5645">
        <v>0</v>
      </c>
      <c r="V5645">
        <v>0</v>
      </c>
      <c r="W5645">
        <v>5</v>
      </c>
      <c r="X5645" s="21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/>
      <c r="AI5645"/>
      <c r="AJ5645" t="s">
        <v>51</v>
      </c>
      <c r="AK5645" t="s">
        <v>52</v>
      </c>
      <c r="AL5645"/>
      <c r="AP5645" t="s">
        <v>116</v>
      </c>
    </row>
    <row r="5646" spans="1:42" s="6" customFormat="1">
      <c r="A5646" s="12">
        <v>43875</v>
      </c>
      <c r="B5646">
        <v>5</v>
      </c>
      <c r="C5646">
        <v>239</v>
      </c>
      <c r="D5646">
        <v>10231</v>
      </c>
      <c r="E5646" t="s">
        <v>37</v>
      </c>
      <c r="F5646" t="s">
        <v>90</v>
      </c>
      <c r="G5646">
        <v>2</v>
      </c>
      <c r="H5646">
        <v>60</v>
      </c>
      <c r="I5646" s="25">
        <v>275</v>
      </c>
      <c r="J5646"/>
      <c r="K5646" t="s">
        <v>96</v>
      </c>
      <c r="L5646" t="s">
        <v>141</v>
      </c>
      <c r="M5646" t="s">
        <v>52</v>
      </c>
      <c r="N5646" t="s">
        <v>44</v>
      </c>
      <c r="O5646">
        <v>143</v>
      </c>
      <c r="P5646"/>
      <c r="Q5646">
        <f t="shared" si="80"/>
        <v>4</v>
      </c>
      <c r="R5646">
        <v>1</v>
      </c>
      <c r="S5646">
        <v>0</v>
      </c>
      <c r="T5646">
        <v>0</v>
      </c>
      <c r="U5646">
        <v>0</v>
      </c>
      <c r="V5646">
        <v>0</v>
      </c>
      <c r="W5646">
        <v>4</v>
      </c>
      <c r="X5646" s="21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/>
      <c r="AI5646"/>
      <c r="AJ5646" t="s">
        <v>51</v>
      </c>
      <c r="AK5646" t="s">
        <v>52</v>
      </c>
      <c r="AL5646"/>
      <c r="AP5646" t="s">
        <v>116</v>
      </c>
    </row>
    <row r="5647" spans="1:42" s="6" customFormat="1">
      <c r="A5647" s="12">
        <v>43875</v>
      </c>
      <c r="B5647">
        <v>5</v>
      </c>
      <c r="C5647">
        <v>239</v>
      </c>
      <c r="D5647">
        <v>10231</v>
      </c>
      <c r="E5647" t="s">
        <v>37</v>
      </c>
      <c r="F5647" t="s">
        <v>90</v>
      </c>
      <c r="G5647">
        <v>2</v>
      </c>
      <c r="H5647">
        <v>61</v>
      </c>
      <c r="I5647" s="25">
        <v>270</v>
      </c>
      <c r="J5647"/>
      <c r="K5647" t="s">
        <v>96</v>
      </c>
      <c r="L5647" t="s">
        <v>114</v>
      </c>
      <c r="M5647" t="s">
        <v>52</v>
      </c>
      <c r="N5647" t="s">
        <v>44</v>
      </c>
      <c r="O5647">
        <v>329</v>
      </c>
      <c r="P5647"/>
      <c r="Q5647">
        <f t="shared" si="80"/>
        <v>8</v>
      </c>
      <c r="R5647">
        <v>1</v>
      </c>
      <c r="S5647">
        <v>0</v>
      </c>
      <c r="T5647">
        <v>0</v>
      </c>
      <c r="U5647">
        <v>0</v>
      </c>
      <c r="V5647">
        <v>0</v>
      </c>
      <c r="W5647">
        <v>8</v>
      </c>
      <c r="X5647" s="21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/>
      <c r="AI5647"/>
      <c r="AJ5647" t="s">
        <v>51</v>
      </c>
      <c r="AK5647" t="s">
        <v>52</v>
      </c>
      <c r="AL5647"/>
      <c r="AP5647" t="s">
        <v>116</v>
      </c>
    </row>
    <row r="5648" spans="1:42" s="6" customFormat="1">
      <c r="A5648" s="12">
        <v>43875</v>
      </c>
      <c r="B5648">
        <v>5</v>
      </c>
      <c r="C5648">
        <v>239</v>
      </c>
      <c r="D5648">
        <v>10231</v>
      </c>
      <c r="E5648" t="s">
        <v>37</v>
      </c>
      <c r="F5648" t="s">
        <v>90</v>
      </c>
      <c r="G5648">
        <v>2</v>
      </c>
      <c r="H5648">
        <v>62</v>
      </c>
      <c r="I5648" s="25">
        <v>285</v>
      </c>
      <c r="J5648"/>
      <c r="K5648" t="s">
        <v>96</v>
      </c>
      <c r="L5648" t="s">
        <v>141</v>
      </c>
      <c r="M5648" t="s">
        <v>52</v>
      </c>
      <c r="N5648" t="s">
        <v>44</v>
      </c>
      <c r="O5648">
        <v>363</v>
      </c>
      <c r="P5648"/>
      <c r="Q5648">
        <f t="shared" si="80"/>
        <v>5</v>
      </c>
      <c r="R5648">
        <v>1</v>
      </c>
      <c r="S5648">
        <v>0</v>
      </c>
      <c r="T5648">
        <v>0</v>
      </c>
      <c r="U5648">
        <v>0</v>
      </c>
      <c r="V5648">
        <v>1</v>
      </c>
      <c r="W5648">
        <v>4</v>
      </c>
      <c r="X5648" s="21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/>
      <c r="AI5648"/>
      <c r="AJ5648" t="s">
        <v>51</v>
      </c>
      <c r="AK5648" t="s">
        <v>52</v>
      </c>
      <c r="AL5648"/>
      <c r="AP5648" t="s">
        <v>116</v>
      </c>
    </row>
    <row r="5649" spans="1:42" s="6" customFormat="1">
      <c r="A5649" s="12">
        <v>43875</v>
      </c>
      <c r="B5649">
        <v>5</v>
      </c>
      <c r="C5649">
        <v>239</v>
      </c>
      <c r="D5649">
        <v>10231</v>
      </c>
      <c r="E5649" t="s">
        <v>37</v>
      </c>
      <c r="F5649" t="s">
        <v>90</v>
      </c>
      <c r="G5649">
        <v>2</v>
      </c>
      <c r="H5649">
        <v>63</v>
      </c>
      <c r="I5649" s="25">
        <v>290</v>
      </c>
      <c r="J5649"/>
      <c r="K5649" t="s">
        <v>96</v>
      </c>
      <c r="L5649" t="s">
        <v>114</v>
      </c>
      <c r="M5649" t="s">
        <v>52</v>
      </c>
      <c r="N5649" t="s">
        <v>40</v>
      </c>
      <c r="O5649">
        <v>40</v>
      </c>
      <c r="P5649"/>
      <c r="Q5649">
        <f t="shared" si="80"/>
        <v>1</v>
      </c>
      <c r="R5649">
        <v>1</v>
      </c>
      <c r="S5649">
        <v>0</v>
      </c>
      <c r="T5649">
        <v>0</v>
      </c>
      <c r="U5649">
        <v>0</v>
      </c>
      <c r="V5649">
        <v>0</v>
      </c>
      <c r="W5649">
        <v>1</v>
      </c>
      <c r="X5649" s="21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/>
      <c r="AI5649"/>
      <c r="AJ5649" t="s">
        <v>51</v>
      </c>
      <c r="AK5649" t="s">
        <v>52</v>
      </c>
      <c r="AL5649"/>
      <c r="AP5649" t="s">
        <v>116</v>
      </c>
    </row>
    <row r="5650" spans="1:42" s="6" customFormat="1">
      <c r="A5650" s="12">
        <v>43875</v>
      </c>
      <c r="B5650">
        <v>5</v>
      </c>
      <c r="C5650">
        <v>239</v>
      </c>
      <c r="D5650">
        <v>10231</v>
      </c>
      <c r="E5650" t="s">
        <v>37</v>
      </c>
      <c r="F5650" t="s">
        <v>90</v>
      </c>
      <c r="G5650">
        <v>2</v>
      </c>
      <c r="H5650">
        <v>64</v>
      </c>
      <c r="I5650" s="25">
        <v>380</v>
      </c>
      <c r="J5650"/>
      <c r="K5650" t="s">
        <v>94</v>
      </c>
      <c r="L5650" t="s">
        <v>114</v>
      </c>
      <c r="M5650" t="s">
        <v>52</v>
      </c>
      <c r="N5650" t="s">
        <v>40</v>
      </c>
      <c r="O5650">
        <v>152</v>
      </c>
      <c r="P5650"/>
      <c r="Q5650">
        <f t="shared" si="80"/>
        <v>5</v>
      </c>
      <c r="R5650">
        <v>1</v>
      </c>
      <c r="S5650">
        <v>0</v>
      </c>
      <c r="T5650">
        <v>0</v>
      </c>
      <c r="U5650">
        <v>0</v>
      </c>
      <c r="V5650">
        <v>0</v>
      </c>
      <c r="W5650">
        <v>5</v>
      </c>
      <c r="X5650" s="21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/>
      <c r="AI5650"/>
      <c r="AJ5650" t="s">
        <v>51</v>
      </c>
      <c r="AK5650" t="s">
        <v>52</v>
      </c>
      <c r="AL5650"/>
      <c r="AP5650" t="s">
        <v>116</v>
      </c>
    </row>
    <row r="5651" spans="1:42" s="6" customFormat="1">
      <c r="A5651" s="12">
        <v>43875</v>
      </c>
      <c r="B5651">
        <v>5</v>
      </c>
      <c r="C5651">
        <v>239</v>
      </c>
      <c r="D5651">
        <v>10231</v>
      </c>
      <c r="E5651" t="s">
        <v>37</v>
      </c>
      <c r="F5651" t="s">
        <v>90</v>
      </c>
      <c r="G5651">
        <v>2</v>
      </c>
      <c r="H5651">
        <v>65</v>
      </c>
      <c r="I5651" s="25">
        <v>395</v>
      </c>
      <c r="J5651"/>
      <c r="K5651" t="s">
        <v>94</v>
      </c>
      <c r="L5651" t="s">
        <v>141</v>
      </c>
      <c r="M5651" t="s">
        <v>52</v>
      </c>
      <c r="N5651" t="s">
        <v>40</v>
      </c>
      <c r="O5651">
        <v>75</v>
      </c>
      <c r="P5651"/>
      <c r="Q5651">
        <f t="shared" si="80"/>
        <v>1</v>
      </c>
      <c r="R5651">
        <v>1</v>
      </c>
      <c r="S5651">
        <v>0</v>
      </c>
      <c r="T5651">
        <v>0</v>
      </c>
      <c r="U5651">
        <v>0</v>
      </c>
      <c r="V5651">
        <v>0</v>
      </c>
      <c r="W5651">
        <v>1</v>
      </c>
      <c r="X5651" s="2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/>
      <c r="AI5651"/>
      <c r="AJ5651" t="s">
        <v>51</v>
      </c>
      <c r="AK5651" t="s">
        <v>52</v>
      </c>
      <c r="AL5651"/>
      <c r="AP5651" t="s">
        <v>116</v>
      </c>
    </row>
    <row r="5652" spans="1:42" s="6" customFormat="1">
      <c r="A5652" s="12">
        <v>43875</v>
      </c>
      <c r="B5652">
        <v>5</v>
      </c>
      <c r="C5652">
        <v>239</v>
      </c>
      <c r="D5652">
        <v>10231</v>
      </c>
      <c r="E5652" t="s">
        <v>37</v>
      </c>
      <c r="F5652" t="s">
        <v>90</v>
      </c>
      <c r="G5652">
        <v>2</v>
      </c>
      <c r="H5652">
        <v>66</v>
      </c>
      <c r="I5652" s="25">
        <v>385</v>
      </c>
      <c r="J5652"/>
      <c r="K5652" t="s">
        <v>94</v>
      </c>
      <c r="L5652" t="s">
        <v>141</v>
      </c>
      <c r="M5652" t="s">
        <v>52</v>
      </c>
      <c r="N5652" t="s">
        <v>40</v>
      </c>
      <c r="O5652">
        <v>60</v>
      </c>
      <c r="P5652"/>
      <c r="Q5652">
        <f t="shared" si="80"/>
        <v>2</v>
      </c>
      <c r="R5652">
        <v>1</v>
      </c>
      <c r="S5652">
        <v>0</v>
      </c>
      <c r="T5652">
        <v>0</v>
      </c>
      <c r="U5652">
        <v>0</v>
      </c>
      <c r="V5652">
        <v>0</v>
      </c>
      <c r="W5652">
        <v>2</v>
      </c>
      <c r="X5652" s="21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/>
      <c r="AI5652"/>
      <c r="AJ5652" t="s">
        <v>51</v>
      </c>
      <c r="AK5652" t="s">
        <v>52</v>
      </c>
      <c r="AL5652"/>
      <c r="AP5652" t="s">
        <v>116</v>
      </c>
    </row>
    <row r="5653" spans="1:42" s="6" customFormat="1">
      <c r="A5653" s="12">
        <v>43875</v>
      </c>
      <c r="B5653">
        <v>5</v>
      </c>
      <c r="C5653">
        <v>239</v>
      </c>
      <c r="D5653">
        <v>10231</v>
      </c>
      <c r="E5653" t="s">
        <v>37</v>
      </c>
      <c r="F5653" t="s">
        <v>90</v>
      </c>
      <c r="G5653">
        <v>2</v>
      </c>
      <c r="H5653">
        <v>67</v>
      </c>
      <c r="I5653" s="25">
        <v>364</v>
      </c>
      <c r="J5653"/>
      <c r="K5653" t="s">
        <v>94</v>
      </c>
      <c r="L5653" t="s">
        <v>114</v>
      </c>
      <c r="M5653" t="s">
        <v>52</v>
      </c>
      <c r="N5653" t="s">
        <v>40</v>
      </c>
      <c r="O5653">
        <v>110</v>
      </c>
      <c r="P5653"/>
      <c r="Q5653">
        <f t="shared" si="80"/>
        <v>4</v>
      </c>
      <c r="R5653">
        <v>1</v>
      </c>
      <c r="S5653">
        <v>0</v>
      </c>
      <c r="T5653">
        <v>0</v>
      </c>
      <c r="U5653">
        <v>0</v>
      </c>
      <c r="V5653">
        <v>0</v>
      </c>
      <c r="W5653">
        <v>4</v>
      </c>
      <c r="X5653" s="21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/>
      <c r="AI5653"/>
      <c r="AJ5653" t="s">
        <v>51</v>
      </c>
      <c r="AK5653" t="s">
        <v>52</v>
      </c>
      <c r="AL5653"/>
      <c r="AP5653" t="s">
        <v>116</v>
      </c>
    </row>
    <row r="5654" spans="1:42" s="6" customFormat="1">
      <c r="A5654" s="12">
        <v>43875</v>
      </c>
      <c r="B5654">
        <v>5</v>
      </c>
      <c r="C5654">
        <v>239</v>
      </c>
      <c r="D5654">
        <v>10231</v>
      </c>
      <c r="E5654" t="s">
        <v>37</v>
      </c>
      <c r="F5654" t="s">
        <v>90</v>
      </c>
      <c r="G5654">
        <v>2</v>
      </c>
      <c r="H5654">
        <v>68</v>
      </c>
      <c r="I5654" s="25">
        <v>375</v>
      </c>
      <c r="J5654"/>
      <c r="K5654" t="s">
        <v>94</v>
      </c>
      <c r="L5654" t="s">
        <v>141</v>
      </c>
      <c r="M5654" t="s">
        <v>52</v>
      </c>
      <c r="N5654" t="s">
        <v>44</v>
      </c>
      <c r="O5654">
        <v>93</v>
      </c>
      <c r="P5654"/>
      <c r="Q5654">
        <f t="shared" si="80"/>
        <v>2</v>
      </c>
      <c r="R5654">
        <v>1</v>
      </c>
      <c r="S5654">
        <v>0</v>
      </c>
      <c r="T5654">
        <v>0</v>
      </c>
      <c r="U5654">
        <v>0</v>
      </c>
      <c r="V5654">
        <v>0</v>
      </c>
      <c r="W5654">
        <v>2</v>
      </c>
      <c r="X5654" s="21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/>
      <c r="AI5654"/>
      <c r="AJ5654" t="s">
        <v>51</v>
      </c>
      <c r="AK5654" t="s">
        <v>52</v>
      </c>
      <c r="AL5654"/>
      <c r="AP5654" t="s">
        <v>116</v>
      </c>
    </row>
    <row r="5655" spans="1:42" s="6" customFormat="1">
      <c r="A5655" s="12">
        <v>43875</v>
      </c>
      <c r="B5655">
        <v>5</v>
      </c>
      <c r="C5655">
        <v>239</v>
      </c>
      <c r="D5655">
        <v>10231</v>
      </c>
      <c r="E5655" t="s">
        <v>37</v>
      </c>
      <c r="F5655" t="s">
        <v>90</v>
      </c>
      <c r="G5655">
        <v>2</v>
      </c>
      <c r="H5655">
        <v>69</v>
      </c>
      <c r="I5655" s="25">
        <v>366</v>
      </c>
      <c r="J5655"/>
      <c r="K5655" t="s">
        <v>94</v>
      </c>
      <c r="L5655" t="s">
        <v>114</v>
      </c>
      <c r="M5655" t="s">
        <v>52</v>
      </c>
      <c r="N5655" t="s">
        <v>40</v>
      </c>
      <c r="O5655">
        <v>76</v>
      </c>
      <c r="P5655"/>
      <c r="Q5655">
        <f t="shared" si="80"/>
        <v>2</v>
      </c>
      <c r="R5655">
        <v>1</v>
      </c>
      <c r="S5655">
        <v>0</v>
      </c>
      <c r="T5655">
        <v>0</v>
      </c>
      <c r="U5655">
        <v>0</v>
      </c>
      <c r="V5655">
        <v>0</v>
      </c>
      <c r="W5655">
        <v>2</v>
      </c>
      <c r="X5655" s="21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/>
      <c r="AI5655"/>
      <c r="AJ5655" t="s">
        <v>51</v>
      </c>
      <c r="AK5655" t="s">
        <v>52</v>
      </c>
      <c r="AL5655"/>
      <c r="AP5655" t="s">
        <v>116</v>
      </c>
    </row>
    <row r="5656" spans="1:42" s="6" customFormat="1">
      <c r="A5656" s="12">
        <v>43875</v>
      </c>
      <c r="B5656">
        <v>5</v>
      </c>
      <c r="C5656">
        <v>239</v>
      </c>
      <c r="D5656">
        <v>10231</v>
      </c>
      <c r="E5656" t="s">
        <v>37</v>
      </c>
      <c r="F5656" t="s">
        <v>90</v>
      </c>
      <c r="G5656">
        <v>2</v>
      </c>
      <c r="H5656">
        <v>70</v>
      </c>
      <c r="I5656" s="25">
        <v>355</v>
      </c>
      <c r="J5656"/>
      <c r="K5656" t="s">
        <v>94</v>
      </c>
      <c r="L5656" t="s">
        <v>141</v>
      </c>
      <c r="M5656" t="s">
        <v>52</v>
      </c>
      <c r="N5656" t="s">
        <v>44</v>
      </c>
      <c r="O5656">
        <v>65</v>
      </c>
      <c r="P5656"/>
      <c r="Q5656">
        <f t="shared" si="80"/>
        <v>2</v>
      </c>
      <c r="R5656">
        <v>1</v>
      </c>
      <c r="S5656">
        <v>0</v>
      </c>
      <c r="T5656">
        <v>0</v>
      </c>
      <c r="U5656">
        <v>0</v>
      </c>
      <c r="V5656">
        <v>0</v>
      </c>
      <c r="W5656">
        <v>2</v>
      </c>
      <c r="X5656" s="21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/>
      <c r="AI5656"/>
      <c r="AJ5656" t="s">
        <v>51</v>
      </c>
      <c r="AK5656" t="s">
        <v>52</v>
      </c>
      <c r="AL5656"/>
      <c r="AP5656" t="s">
        <v>116</v>
      </c>
    </row>
    <row r="5657" spans="1:42" s="6" customFormat="1">
      <c r="A5657" s="12">
        <v>43875</v>
      </c>
      <c r="B5657">
        <v>5</v>
      </c>
      <c r="C5657">
        <v>239</v>
      </c>
      <c r="D5657">
        <v>10231</v>
      </c>
      <c r="E5657" t="s">
        <v>37</v>
      </c>
      <c r="F5657" t="s">
        <v>90</v>
      </c>
      <c r="G5657">
        <v>2</v>
      </c>
      <c r="H5657">
        <v>71</v>
      </c>
      <c r="I5657" s="25">
        <v>347</v>
      </c>
      <c r="J5657"/>
      <c r="K5657" t="s">
        <v>94</v>
      </c>
      <c r="L5657" t="s">
        <v>141</v>
      </c>
      <c r="M5657" t="s">
        <v>52</v>
      </c>
      <c r="N5657" t="s">
        <v>40</v>
      </c>
      <c r="O5657">
        <v>51</v>
      </c>
      <c r="P5657"/>
      <c r="Q5657">
        <f t="shared" si="80"/>
        <v>2</v>
      </c>
      <c r="R5657">
        <v>1</v>
      </c>
      <c r="S5657">
        <v>0</v>
      </c>
      <c r="T5657">
        <v>0</v>
      </c>
      <c r="U5657">
        <v>0</v>
      </c>
      <c r="V5657">
        <v>2</v>
      </c>
      <c r="W5657">
        <v>0</v>
      </c>
      <c r="X5657" s="21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/>
      <c r="AI5657"/>
      <c r="AJ5657" t="s">
        <v>51</v>
      </c>
      <c r="AK5657" t="s">
        <v>52</v>
      </c>
      <c r="AL5657"/>
      <c r="AP5657" t="s">
        <v>116</v>
      </c>
    </row>
    <row r="5658" spans="1:42" s="6" customFormat="1">
      <c r="A5658" s="12">
        <v>43875</v>
      </c>
      <c r="B5658">
        <v>5</v>
      </c>
      <c r="C5658">
        <v>239</v>
      </c>
      <c r="D5658">
        <v>10231</v>
      </c>
      <c r="E5658" t="s">
        <v>37</v>
      </c>
      <c r="F5658" t="s">
        <v>90</v>
      </c>
      <c r="G5658">
        <v>2</v>
      </c>
      <c r="H5658">
        <v>72</v>
      </c>
      <c r="I5658" s="25">
        <v>326</v>
      </c>
      <c r="J5658"/>
      <c r="K5658" t="s">
        <v>94</v>
      </c>
      <c r="L5658" t="s">
        <v>114</v>
      </c>
      <c r="M5658" t="s">
        <v>52</v>
      </c>
      <c r="N5658" t="s">
        <v>40</v>
      </c>
      <c r="O5658">
        <v>89</v>
      </c>
      <c r="P5658"/>
      <c r="Q5658">
        <f t="shared" si="80"/>
        <v>3</v>
      </c>
      <c r="R5658">
        <v>1</v>
      </c>
      <c r="S5658">
        <v>0</v>
      </c>
      <c r="T5658">
        <v>0</v>
      </c>
      <c r="U5658">
        <v>0</v>
      </c>
      <c r="V5658">
        <v>2</v>
      </c>
      <c r="W5658">
        <v>1</v>
      </c>
      <c r="X5658" s="21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/>
      <c r="AI5658"/>
      <c r="AJ5658" t="s">
        <v>51</v>
      </c>
      <c r="AK5658" t="s">
        <v>52</v>
      </c>
      <c r="AL5658"/>
      <c r="AP5658" t="s">
        <v>116</v>
      </c>
    </row>
    <row r="5659" spans="1:42" s="6" customFormat="1">
      <c r="A5659" s="12">
        <v>43875</v>
      </c>
      <c r="B5659">
        <v>5</v>
      </c>
      <c r="C5659">
        <v>239</v>
      </c>
      <c r="D5659">
        <v>10231</v>
      </c>
      <c r="E5659" t="s">
        <v>37</v>
      </c>
      <c r="F5659" t="s">
        <v>90</v>
      </c>
      <c r="G5659">
        <v>2</v>
      </c>
      <c r="H5659">
        <v>73</v>
      </c>
      <c r="I5659" s="25">
        <v>340</v>
      </c>
      <c r="J5659"/>
      <c r="K5659" t="s">
        <v>94</v>
      </c>
      <c r="L5659" t="s">
        <v>114</v>
      </c>
      <c r="M5659" t="s">
        <v>52</v>
      </c>
      <c r="N5659" t="s">
        <v>40</v>
      </c>
      <c r="O5659">
        <v>53</v>
      </c>
      <c r="P5659"/>
      <c r="Q5659">
        <f t="shared" si="80"/>
        <v>2</v>
      </c>
      <c r="R5659">
        <v>1</v>
      </c>
      <c r="S5659">
        <v>0</v>
      </c>
      <c r="T5659">
        <v>0</v>
      </c>
      <c r="U5659">
        <v>0</v>
      </c>
      <c r="V5659">
        <v>0</v>
      </c>
      <c r="W5659">
        <v>2</v>
      </c>
      <c r="X5659" s="21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/>
      <c r="AI5659"/>
      <c r="AJ5659" t="s">
        <v>51</v>
      </c>
      <c r="AK5659" t="s">
        <v>52</v>
      </c>
      <c r="AL5659"/>
      <c r="AP5659" t="s">
        <v>116</v>
      </c>
    </row>
    <row r="5660" spans="1:42" s="6" customFormat="1">
      <c r="A5660" s="12">
        <v>43875</v>
      </c>
      <c r="B5660">
        <v>5</v>
      </c>
      <c r="C5660">
        <v>239</v>
      </c>
      <c r="D5660">
        <v>10231</v>
      </c>
      <c r="E5660" t="s">
        <v>37</v>
      </c>
      <c r="F5660" t="s">
        <v>90</v>
      </c>
      <c r="G5660">
        <v>2</v>
      </c>
      <c r="H5660">
        <v>74</v>
      </c>
      <c r="I5660" s="25" t="s">
        <v>1875</v>
      </c>
      <c r="J5660"/>
      <c r="K5660" t="s">
        <v>94</v>
      </c>
      <c r="L5660" t="s">
        <v>11</v>
      </c>
      <c r="M5660" t="s">
        <v>52</v>
      </c>
      <c r="N5660" t="s">
        <v>40</v>
      </c>
      <c r="O5660">
        <v>78</v>
      </c>
      <c r="P5660"/>
      <c r="Q5660">
        <f t="shared" si="80"/>
        <v>6</v>
      </c>
      <c r="R5660">
        <v>1</v>
      </c>
      <c r="S5660">
        <v>0</v>
      </c>
      <c r="T5660">
        <v>0</v>
      </c>
      <c r="U5660">
        <v>0</v>
      </c>
      <c r="V5660">
        <v>1</v>
      </c>
      <c r="W5660">
        <v>5</v>
      </c>
      <c r="X5660" s="21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/>
      <c r="AI5660"/>
      <c r="AJ5660" t="s">
        <v>51</v>
      </c>
      <c r="AK5660" t="s">
        <v>52</v>
      </c>
      <c r="AL5660"/>
      <c r="AP5660" t="s">
        <v>116</v>
      </c>
    </row>
    <row r="5661" spans="1:42" s="6" customFormat="1">
      <c r="A5661" s="12">
        <v>43875</v>
      </c>
      <c r="B5661">
        <v>5</v>
      </c>
      <c r="C5661">
        <v>239</v>
      </c>
      <c r="D5661">
        <v>10231</v>
      </c>
      <c r="E5661" t="s">
        <v>37</v>
      </c>
      <c r="F5661" t="s">
        <v>90</v>
      </c>
      <c r="G5661">
        <v>2</v>
      </c>
      <c r="H5661">
        <v>75</v>
      </c>
      <c r="I5661" s="25" t="s">
        <v>1876</v>
      </c>
      <c r="J5661"/>
      <c r="K5661" t="s">
        <v>94</v>
      </c>
      <c r="L5661" t="s">
        <v>11</v>
      </c>
      <c r="M5661" t="s">
        <v>52</v>
      </c>
      <c r="N5661" t="s">
        <v>40</v>
      </c>
      <c r="O5661">
        <v>187</v>
      </c>
      <c r="P5661"/>
      <c r="Q5661">
        <f t="shared" si="80"/>
        <v>13</v>
      </c>
      <c r="R5661">
        <v>1</v>
      </c>
      <c r="S5661">
        <v>0</v>
      </c>
      <c r="T5661">
        <v>0</v>
      </c>
      <c r="U5661">
        <v>0</v>
      </c>
      <c r="V5661">
        <v>5</v>
      </c>
      <c r="W5661">
        <v>8</v>
      </c>
      <c r="X5661" s="2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/>
      <c r="AI5661"/>
      <c r="AJ5661" t="s">
        <v>51</v>
      </c>
      <c r="AK5661" t="s">
        <v>52</v>
      </c>
      <c r="AL5661"/>
      <c r="AP5661" t="s">
        <v>116</v>
      </c>
    </row>
    <row r="5662" spans="1:42" s="6" customFormat="1">
      <c r="A5662" s="12">
        <v>43875</v>
      </c>
      <c r="B5662">
        <v>5</v>
      </c>
      <c r="C5662">
        <v>239</v>
      </c>
      <c r="D5662">
        <v>10231</v>
      </c>
      <c r="E5662" t="s">
        <v>37</v>
      </c>
      <c r="F5662" t="s">
        <v>90</v>
      </c>
      <c r="G5662">
        <v>2</v>
      </c>
      <c r="H5662">
        <v>76</v>
      </c>
      <c r="I5662" s="25" t="s">
        <v>1877</v>
      </c>
      <c r="J5662"/>
      <c r="K5662" t="s">
        <v>94</v>
      </c>
      <c r="L5662" t="s">
        <v>11</v>
      </c>
      <c r="M5662" t="s">
        <v>52</v>
      </c>
      <c r="N5662" t="s">
        <v>40</v>
      </c>
      <c r="O5662">
        <v>357</v>
      </c>
      <c r="P5662"/>
      <c r="Q5662">
        <f t="shared" ref="Q5662:Q5725" si="81">S5662+T5662+U5662+V5662+W5662+Y5662+Z5662+AA5662+AB5662+AC5662+AD5662+AE5662+AF5662</f>
        <v>18</v>
      </c>
      <c r="R5662">
        <v>1</v>
      </c>
      <c r="S5662">
        <v>0</v>
      </c>
      <c r="T5662">
        <v>0</v>
      </c>
      <c r="U5662">
        <v>1</v>
      </c>
      <c r="V5662">
        <v>1</v>
      </c>
      <c r="W5662">
        <v>16</v>
      </c>
      <c r="X5662" s="21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/>
      <c r="AI5662"/>
      <c r="AJ5662" t="s">
        <v>51</v>
      </c>
      <c r="AK5662" t="s">
        <v>52</v>
      </c>
      <c r="AL5662" t="s">
        <v>1878</v>
      </c>
      <c r="AP5662" t="s">
        <v>116</v>
      </c>
    </row>
    <row r="5663" spans="1:42" s="6" customFormat="1">
      <c r="A5663" s="12">
        <v>43875</v>
      </c>
      <c r="B5663">
        <v>5</v>
      </c>
      <c r="C5663">
        <v>239</v>
      </c>
      <c r="D5663">
        <v>10231</v>
      </c>
      <c r="E5663" t="s">
        <v>37</v>
      </c>
      <c r="F5663" t="s">
        <v>90</v>
      </c>
      <c r="G5663">
        <v>2</v>
      </c>
      <c r="H5663">
        <v>77</v>
      </c>
      <c r="I5663" s="25">
        <v>424</v>
      </c>
      <c r="J5663"/>
      <c r="K5663" t="s">
        <v>100</v>
      </c>
      <c r="L5663" t="s">
        <v>114</v>
      </c>
      <c r="M5663" t="s">
        <v>52</v>
      </c>
      <c r="N5663" t="s">
        <v>44</v>
      </c>
      <c r="O5663">
        <v>139</v>
      </c>
      <c r="P5663"/>
      <c r="Q5663">
        <f t="shared" si="81"/>
        <v>3</v>
      </c>
      <c r="R5663">
        <v>1</v>
      </c>
      <c r="S5663">
        <v>0</v>
      </c>
      <c r="T5663">
        <v>0</v>
      </c>
      <c r="U5663">
        <v>0</v>
      </c>
      <c r="V5663">
        <v>0</v>
      </c>
      <c r="W5663">
        <v>3</v>
      </c>
      <c r="X5663" s="21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/>
      <c r="AI5663"/>
      <c r="AJ5663" t="s">
        <v>51</v>
      </c>
      <c r="AK5663" t="s">
        <v>52</v>
      </c>
      <c r="AL5663" t="s">
        <v>1879</v>
      </c>
      <c r="AP5663" t="s">
        <v>116</v>
      </c>
    </row>
    <row r="5664" spans="1:42" s="6" customFormat="1">
      <c r="A5664" s="12">
        <v>43875</v>
      </c>
      <c r="B5664">
        <v>5</v>
      </c>
      <c r="C5664">
        <v>239</v>
      </c>
      <c r="D5664">
        <v>10231</v>
      </c>
      <c r="E5664" t="s">
        <v>37</v>
      </c>
      <c r="F5664" t="s">
        <v>90</v>
      </c>
      <c r="G5664">
        <v>2</v>
      </c>
      <c r="H5664">
        <v>78</v>
      </c>
      <c r="I5664" s="25">
        <v>434</v>
      </c>
      <c r="J5664"/>
      <c r="K5664" t="s">
        <v>100</v>
      </c>
      <c r="L5664" t="s">
        <v>114</v>
      </c>
      <c r="M5664" t="s">
        <v>52</v>
      </c>
      <c r="N5664" t="s">
        <v>44</v>
      </c>
      <c r="O5664">
        <v>78</v>
      </c>
      <c r="P5664"/>
      <c r="Q5664">
        <f t="shared" si="81"/>
        <v>3</v>
      </c>
      <c r="R5664">
        <v>1</v>
      </c>
      <c r="S5664">
        <v>0</v>
      </c>
      <c r="T5664">
        <v>0</v>
      </c>
      <c r="U5664">
        <v>0</v>
      </c>
      <c r="V5664">
        <v>0</v>
      </c>
      <c r="W5664">
        <v>3</v>
      </c>
      <c r="X5664" s="21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/>
      <c r="AI5664"/>
      <c r="AJ5664" t="s">
        <v>51</v>
      </c>
      <c r="AK5664" t="s">
        <v>52</v>
      </c>
      <c r="AL5664"/>
      <c r="AP5664" t="s">
        <v>116</v>
      </c>
    </row>
    <row r="5665" spans="1:42" s="6" customFormat="1">
      <c r="A5665" s="12">
        <v>43875</v>
      </c>
      <c r="B5665">
        <v>5</v>
      </c>
      <c r="C5665">
        <v>239</v>
      </c>
      <c r="D5665">
        <v>10231</v>
      </c>
      <c r="E5665" t="s">
        <v>37</v>
      </c>
      <c r="F5665" t="s">
        <v>90</v>
      </c>
      <c r="G5665">
        <v>2</v>
      </c>
      <c r="H5665">
        <v>79</v>
      </c>
      <c r="I5665" s="25">
        <v>500</v>
      </c>
      <c r="J5665"/>
      <c r="K5665" t="s">
        <v>100</v>
      </c>
      <c r="L5665" t="s">
        <v>114</v>
      </c>
      <c r="M5665" t="s">
        <v>52</v>
      </c>
      <c r="N5665" t="s">
        <v>44</v>
      </c>
      <c r="O5665">
        <v>63</v>
      </c>
      <c r="P5665"/>
      <c r="Q5665">
        <f t="shared" si="81"/>
        <v>1</v>
      </c>
      <c r="R5665">
        <v>1</v>
      </c>
      <c r="S5665">
        <v>0</v>
      </c>
      <c r="T5665">
        <v>0</v>
      </c>
      <c r="U5665">
        <v>0</v>
      </c>
      <c r="V5665">
        <v>0</v>
      </c>
      <c r="W5665">
        <v>1</v>
      </c>
      <c r="X5665" s="21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/>
      <c r="AI5665"/>
      <c r="AJ5665" t="s">
        <v>51</v>
      </c>
      <c r="AK5665" t="s">
        <v>52</v>
      </c>
      <c r="AL5665"/>
      <c r="AP5665" t="s">
        <v>116</v>
      </c>
    </row>
    <row r="5666" spans="1:42" s="6" customFormat="1">
      <c r="A5666" s="12">
        <v>43875</v>
      </c>
      <c r="B5666">
        <v>5</v>
      </c>
      <c r="C5666">
        <v>239</v>
      </c>
      <c r="D5666">
        <v>10231</v>
      </c>
      <c r="E5666" t="s">
        <v>37</v>
      </c>
      <c r="F5666" t="s">
        <v>90</v>
      </c>
      <c r="G5666">
        <v>2</v>
      </c>
      <c r="H5666">
        <v>80</v>
      </c>
      <c r="I5666" s="25">
        <v>536</v>
      </c>
      <c r="J5666"/>
      <c r="K5666" t="s">
        <v>100</v>
      </c>
      <c r="L5666" t="s">
        <v>114</v>
      </c>
      <c r="M5666" t="s">
        <v>52</v>
      </c>
      <c r="N5666" t="s">
        <v>44</v>
      </c>
      <c r="O5666">
        <v>264</v>
      </c>
      <c r="P5666"/>
      <c r="Q5666">
        <f t="shared" si="81"/>
        <v>7</v>
      </c>
      <c r="R5666">
        <v>1</v>
      </c>
      <c r="S5666">
        <v>0</v>
      </c>
      <c r="T5666">
        <v>0</v>
      </c>
      <c r="U5666">
        <v>0</v>
      </c>
      <c r="V5666">
        <v>0</v>
      </c>
      <c r="W5666">
        <v>7</v>
      </c>
      <c r="X5666" s="21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/>
      <c r="AI5666"/>
      <c r="AJ5666" t="s">
        <v>54</v>
      </c>
      <c r="AK5666" t="s">
        <v>52</v>
      </c>
      <c r="AL5666"/>
      <c r="AP5666" t="s">
        <v>116</v>
      </c>
    </row>
    <row r="5667" spans="1:42" s="6" customFormat="1">
      <c r="A5667" s="12">
        <v>43875</v>
      </c>
      <c r="B5667">
        <v>5</v>
      </c>
      <c r="C5667">
        <v>239</v>
      </c>
      <c r="D5667">
        <v>10231</v>
      </c>
      <c r="E5667" t="s">
        <v>37</v>
      </c>
      <c r="F5667" t="s">
        <v>90</v>
      </c>
      <c r="G5667">
        <v>2</v>
      </c>
      <c r="H5667">
        <v>81</v>
      </c>
      <c r="I5667" s="25">
        <v>525</v>
      </c>
      <c r="J5667"/>
      <c r="K5667" t="s">
        <v>100</v>
      </c>
      <c r="L5667" t="s">
        <v>141</v>
      </c>
      <c r="M5667" t="s">
        <v>52</v>
      </c>
      <c r="N5667" t="s">
        <v>44</v>
      </c>
      <c r="O5667">
        <v>170</v>
      </c>
      <c r="P5667"/>
      <c r="Q5667">
        <f t="shared" si="81"/>
        <v>2</v>
      </c>
      <c r="R5667">
        <v>1</v>
      </c>
      <c r="S5667">
        <v>0</v>
      </c>
      <c r="T5667">
        <v>0</v>
      </c>
      <c r="U5667">
        <v>0</v>
      </c>
      <c r="V5667">
        <v>0</v>
      </c>
      <c r="W5667">
        <v>2</v>
      </c>
      <c r="X5667" s="21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/>
      <c r="AI5667"/>
      <c r="AJ5667" t="s">
        <v>54</v>
      </c>
      <c r="AK5667" t="s">
        <v>52</v>
      </c>
      <c r="AL5667"/>
      <c r="AP5667" t="s">
        <v>116</v>
      </c>
    </row>
    <row r="5668" spans="1:42" s="6" customFormat="1">
      <c r="A5668" s="12">
        <v>43875</v>
      </c>
      <c r="B5668">
        <v>5</v>
      </c>
      <c r="C5668">
        <v>239</v>
      </c>
      <c r="D5668">
        <v>10231</v>
      </c>
      <c r="E5668" t="s">
        <v>37</v>
      </c>
      <c r="F5668" t="s">
        <v>90</v>
      </c>
      <c r="G5668">
        <v>2</v>
      </c>
      <c r="H5668">
        <v>82</v>
      </c>
      <c r="I5668" s="25">
        <v>535</v>
      </c>
      <c r="J5668"/>
      <c r="K5668" t="s">
        <v>100</v>
      </c>
      <c r="L5668" t="s">
        <v>141</v>
      </c>
      <c r="M5668" t="s">
        <v>52</v>
      </c>
      <c r="N5668" t="s">
        <v>44</v>
      </c>
      <c r="O5668">
        <v>108</v>
      </c>
      <c r="P5668"/>
      <c r="Q5668">
        <f t="shared" si="81"/>
        <v>2</v>
      </c>
      <c r="R5668">
        <v>1</v>
      </c>
      <c r="S5668">
        <v>0</v>
      </c>
      <c r="T5668">
        <v>0</v>
      </c>
      <c r="U5668">
        <v>0</v>
      </c>
      <c r="V5668">
        <v>0</v>
      </c>
      <c r="W5668">
        <v>2</v>
      </c>
      <c r="X5668" s="21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/>
      <c r="AI5668"/>
      <c r="AJ5668" t="s">
        <v>54</v>
      </c>
      <c r="AK5668" t="s">
        <v>52</v>
      </c>
      <c r="AL5668"/>
      <c r="AP5668" t="s">
        <v>116</v>
      </c>
    </row>
    <row r="5669" spans="1:42" s="6" customFormat="1">
      <c r="A5669" s="12">
        <v>43875</v>
      </c>
      <c r="B5669">
        <v>5</v>
      </c>
      <c r="C5669">
        <v>239</v>
      </c>
      <c r="D5669">
        <v>10231</v>
      </c>
      <c r="E5669" t="s">
        <v>37</v>
      </c>
      <c r="F5669" t="s">
        <v>90</v>
      </c>
      <c r="G5669">
        <v>2</v>
      </c>
      <c r="H5669">
        <v>83</v>
      </c>
      <c r="I5669" s="25">
        <v>550</v>
      </c>
      <c r="J5669"/>
      <c r="K5669" t="s">
        <v>100</v>
      </c>
      <c r="L5669" t="s">
        <v>114</v>
      </c>
      <c r="M5669" t="s">
        <v>52</v>
      </c>
      <c r="N5669" t="s">
        <v>44</v>
      </c>
      <c r="O5669">
        <v>136</v>
      </c>
      <c r="P5669"/>
      <c r="Q5669">
        <f t="shared" si="81"/>
        <v>3</v>
      </c>
      <c r="R5669">
        <v>1</v>
      </c>
      <c r="S5669">
        <v>0</v>
      </c>
      <c r="T5669">
        <v>0</v>
      </c>
      <c r="U5669">
        <v>0</v>
      </c>
      <c r="V5669">
        <v>3</v>
      </c>
      <c r="W5669">
        <v>0</v>
      </c>
      <c r="X5669" s="21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/>
      <c r="AI5669"/>
      <c r="AJ5669" t="s">
        <v>54</v>
      </c>
      <c r="AK5669" t="s">
        <v>52</v>
      </c>
      <c r="AL5669"/>
      <c r="AP5669" t="s">
        <v>116</v>
      </c>
    </row>
    <row r="5670" spans="1:42" s="6" customFormat="1">
      <c r="A5670" s="12">
        <v>43875</v>
      </c>
      <c r="B5670">
        <v>5</v>
      </c>
      <c r="C5670">
        <v>239</v>
      </c>
      <c r="D5670">
        <v>10231</v>
      </c>
      <c r="E5670" t="s">
        <v>37</v>
      </c>
      <c r="F5670" t="s">
        <v>90</v>
      </c>
      <c r="G5670">
        <v>2</v>
      </c>
      <c r="H5670">
        <v>84</v>
      </c>
      <c r="I5670" s="25">
        <v>709</v>
      </c>
      <c r="J5670"/>
      <c r="K5670" t="s">
        <v>74</v>
      </c>
      <c r="L5670" t="s">
        <v>141</v>
      </c>
      <c r="M5670" t="s">
        <v>52</v>
      </c>
      <c r="N5670" t="s">
        <v>44</v>
      </c>
      <c r="O5670">
        <v>384</v>
      </c>
      <c r="P5670"/>
      <c r="Q5670">
        <f t="shared" si="81"/>
        <v>7</v>
      </c>
      <c r="R5670">
        <v>1</v>
      </c>
      <c r="S5670">
        <v>0</v>
      </c>
      <c r="T5670">
        <v>0</v>
      </c>
      <c r="U5670">
        <v>0</v>
      </c>
      <c r="V5670">
        <v>2</v>
      </c>
      <c r="W5670">
        <v>5</v>
      </c>
      <c r="X5670" s="21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/>
      <c r="AI5670"/>
      <c r="AJ5670" t="s">
        <v>54</v>
      </c>
      <c r="AK5670" t="s">
        <v>52</v>
      </c>
      <c r="AL5670" t="s">
        <v>1837</v>
      </c>
      <c r="AP5670" t="s">
        <v>116</v>
      </c>
    </row>
    <row r="5671" spans="1:42" s="6" customFormat="1">
      <c r="A5671" s="12">
        <v>43875</v>
      </c>
      <c r="B5671">
        <v>5</v>
      </c>
      <c r="C5671">
        <v>239</v>
      </c>
      <c r="D5671">
        <v>10231</v>
      </c>
      <c r="E5671" t="s">
        <v>37</v>
      </c>
      <c r="F5671" t="s">
        <v>90</v>
      </c>
      <c r="G5671">
        <v>2</v>
      </c>
      <c r="H5671">
        <v>85</v>
      </c>
      <c r="I5671" s="25">
        <v>540</v>
      </c>
      <c r="J5671"/>
      <c r="K5671" t="s">
        <v>91</v>
      </c>
      <c r="L5671" t="s">
        <v>114</v>
      </c>
      <c r="M5671" t="s">
        <v>52</v>
      </c>
      <c r="N5671" t="s">
        <v>44</v>
      </c>
      <c r="O5671">
        <v>308</v>
      </c>
      <c r="P5671"/>
      <c r="Q5671">
        <f t="shared" si="81"/>
        <v>7</v>
      </c>
      <c r="R5671">
        <v>1</v>
      </c>
      <c r="S5671">
        <v>0</v>
      </c>
      <c r="T5671">
        <v>0</v>
      </c>
      <c r="U5671">
        <v>0</v>
      </c>
      <c r="V5671">
        <v>7</v>
      </c>
      <c r="W5671">
        <v>0</v>
      </c>
      <c r="X5671" s="2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/>
      <c r="AI5671"/>
      <c r="AJ5671" t="s">
        <v>54</v>
      </c>
      <c r="AK5671" t="s">
        <v>52</v>
      </c>
      <c r="AL5671"/>
      <c r="AP5671" t="s">
        <v>116</v>
      </c>
    </row>
    <row r="5672" spans="1:42" s="6" customFormat="1">
      <c r="A5672" s="12">
        <v>43875</v>
      </c>
      <c r="B5672">
        <v>5</v>
      </c>
      <c r="C5672">
        <v>239</v>
      </c>
      <c r="D5672">
        <v>10231</v>
      </c>
      <c r="E5672" t="s">
        <v>37</v>
      </c>
      <c r="F5672" t="s">
        <v>90</v>
      </c>
      <c r="G5672">
        <v>2</v>
      </c>
      <c r="H5672">
        <v>86</v>
      </c>
      <c r="I5672" s="25">
        <v>687</v>
      </c>
      <c r="J5672"/>
      <c r="K5672" t="s">
        <v>74</v>
      </c>
      <c r="L5672" t="s">
        <v>141</v>
      </c>
      <c r="M5672" t="s">
        <v>52</v>
      </c>
      <c r="N5672" t="s">
        <v>44</v>
      </c>
      <c r="O5672">
        <v>259</v>
      </c>
      <c r="P5672"/>
      <c r="Q5672">
        <f t="shared" si="81"/>
        <v>6</v>
      </c>
      <c r="R5672">
        <v>1</v>
      </c>
      <c r="S5672">
        <v>0</v>
      </c>
      <c r="T5672">
        <v>0</v>
      </c>
      <c r="U5672">
        <v>0</v>
      </c>
      <c r="V5672">
        <v>3</v>
      </c>
      <c r="W5672">
        <v>3</v>
      </c>
      <c r="X5672" s="21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/>
      <c r="AI5672"/>
      <c r="AJ5672" t="s">
        <v>54</v>
      </c>
      <c r="AK5672" t="s">
        <v>52</v>
      </c>
      <c r="AL5672"/>
      <c r="AP5672" t="s">
        <v>116</v>
      </c>
    </row>
    <row r="5673" spans="1:42" s="6" customFormat="1">
      <c r="A5673" s="12">
        <v>43875</v>
      </c>
      <c r="B5673">
        <v>5</v>
      </c>
      <c r="C5673">
        <v>239</v>
      </c>
      <c r="D5673">
        <v>10231</v>
      </c>
      <c r="E5673" t="s">
        <v>37</v>
      </c>
      <c r="F5673" t="s">
        <v>90</v>
      </c>
      <c r="G5673">
        <v>2</v>
      </c>
      <c r="H5673">
        <v>87</v>
      </c>
      <c r="I5673" s="25">
        <v>696</v>
      </c>
      <c r="J5673"/>
      <c r="K5673" t="s">
        <v>74</v>
      </c>
      <c r="L5673" t="s">
        <v>114</v>
      </c>
      <c r="M5673" t="s">
        <v>52</v>
      </c>
      <c r="N5673" t="s">
        <v>40</v>
      </c>
      <c r="O5673">
        <v>49</v>
      </c>
      <c r="P5673"/>
      <c r="Q5673">
        <f t="shared" si="81"/>
        <v>1</v>
      </c>
      <c r="R5673">
        <v>1</v>
      </c>
      <c r="S5673">
        <v>0</v>
      </c>
      <c r="T5673">
        <v>0</v>
      </c>
      <c r="U5673">
        <v>0</v>
      </c>
      <c r="V5673">
        <v>1</v>
      </c>
      <c r="W5673">
        <v>0</v>
      </c>
      <c r="X5673" s="21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/>
      <c r="AI5673"/>
      <c r="AJ5673" t="s">
        <v>54</v>
      </c>
      <c r="AK5673" t="s">
        <v>52</v>
      </c>
      <c r="AL5673" t="s">
        <v>1837</v>
      </c>
      <c r="AP5673" t="s">
        <v>116</v>
      </c>
    </row>
    <row r="5674" spans="1:42" s="6" customFormat="1">
      <c r="A5674" s="12">
        <v>43875</v>
      </c>
      <c r="B5674">
        <v>5</v>
      </c>
      <c r="C5674">
        <v>239</v>
      </c>
      <c r="D5674">
        <v>10231</v>
      </c>
      <c r="E5674" t="s">
        <v>37</v>
      </c>
      <c r="F5674" t="s">
        <v>90</v>
      </c>
      <c r="G5674">
        <v>2</v>
      </c>
      <c r="H5674">
        <v>88</v>
      </c>
      <c r="I5674" s="25">
        <v>615</v>
      </c>
      <c r="J5674"/>
      <c r="K5674" t="s">
        <v>91</v>
      </c>
      <c r="L5674" t="s">
        <v>141</v>
      </c>
      <c r="M5674" t="s">
        <v>52</v>
      </c>
      <c r="N5674" t="s">
        <v>44</v>
      </c>
      <c r="O5674">
        <v>101</v>
      </c>
      <c r="P5674"/>
      <c r="Q5674">
        <f t="shared" si="81"/>
        <v>2</v>
      </c>
      <c r="R5674">
        <v>1</v>
      </c>
      <c r="S5674">
        <v>0</v>
      </c>
      <c r="T5674">
        <v>0</v>
      </c>
      <c r="U5674">
        <v>0</v>
      </c>
      <c r="V5674">
        <v>0</v>
      </c>
      <c r="W5674">
        <v>2</v>
      </c>
      <c r="X5674" s="21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/>
      <c r="AI5674"/>
      <c r="AJ5674" t="s">
        <v>54</v>
      </c>
      <c r="AK5674" t="s">
        <v>52</v>
      </c>
      <c r="AL5674"/>
      <c r="AP5674" t="s">
        <v>116</v>
      </c>
    </row>
    <row r="5675" spans="1:42" s="6" customFormat="1">
      <c r="A5675" s="12">
        <v>43875</v>
      </c>
      <c r="B5675">
        <v>5</v>
      </c>
      <c r="C5675">
        <v>239</v>
      </c>
      <c r="D5675">
        <v>10231</v>
      </c>
      <c r="E5675" t="s">
        <v>37</v>
      </c>
      <c r="F5675" t="s">
        <v>90</v>
      </c>
      <c r="G5675">
        <v>2</v>
      </c>
      <c r="H5675">
        <v>89</v>
      </c>
      <c r="I5675" s="25" t="s">
        <v>1880</v>
      </c>
      <c r="J5675"/>
      <c r="K5675" t="s">
        <v>1881</v>
      </c>
      <c r="L5675" t="s">
        <v>11</v>
      </c>
      <c r="M5675" t="s">
        <v>52</v>
      </c>
      <c r="N5675" t="s">
        <v>44</v>
      </c>
      <c r="O5675">
        <v>235</v>
      </c>
      <c r="P5675"/>
      <c r="Q5675">
        <f t="shared" si="81"/>
        <v>2</v>
      </c>
      <c r="R5675">
        <v>1</v>
      </c>
      <c r="S5675">
        <v>0</v>
      </c>
      <c r="T5675">
        <v>0</v>
      </c>
      <c r="U5675">
        <v>0</v>
      </c>
      <c r="V5675">
        <v>0</v>
      </c>
      <c r="W5675">
        <v>2</v>
      </c>
      <c r="X5675" s="21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/>
      <c r="AI5675"/>
      <c r="AJ5675" t="s">
        <v>54</v>
      </c>
      <c r="AK5675" t="s">
        <v>52</v>
      </c>
      <c r="AL5675"/>
      <c r="AP5675" t="s">
        <v>116</v>
      </c>
    </row>
    <row r="5676" spans="1:42" s="6" customFormat="1">
      <c r="A5676" s="12">
        <v>43875</v>
      </c>
      <c r="B5676">
        <v>5</v>
      </c>
      <c r="C5676">
        <v>239</v>
      </c>
      <c r="D5676">
        <v>10231</v>
      </c>
      <c r="E5676" t="s">
        <v>37</v>
      </c>
      <c r="F5676" t="s">
        <v>90</v>
      </c>
      <c r="G5676">
        <v>2</v>
      </c>
      <c r="H5676">
        <v>90</v>
      </c>
      <c r="I5676" s="25">
        <v>610</v>
      </c>
      <c r="J5676"/>
      <c r="K5676" t="s">
        <v>91</v>
      </c>
      <c r="L5676" t="s">
        <v>114</v>
      </c>
      <c r="M5676" t="s">
        <v>52</v>
      </c>
      <c r="N5676" t="s">
        <v>44</v>
      </c>
      <c r="O5676">
        <v>127</v>
      </c>
      <c r="P5676"/>
      <c r="Q5676">
        <f t="shared" si="81"/>
        <v>0</v>
      </c>
      <c r="R5676">
        <v>1</v>
      </c>
      <c r="S5676">
        <v>0</v>
      </c>
      <c r="T5676">
        <v>0</v>
      </c>
      <c r="U5676">
        <v>0</v>
      </c>
      <c r="V5676">
        <v>0</v>
      </c>
      <c r="W5676">
        <v>0</v>
      </c>
      <c r="X5676" s="21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/>
      <c r="AI5676"/>
      <c r="AJ5676" t="s">
        <v>54</v>
      </c>
      <c r="AK5676" t="s">
        <v>52</v>
      </c>
      <c r="AL5676"/>
      <c r="AP5676" t="s">
        <v>116</v>
      </c>
    </row>
    <row r="5677" spans="1:42" s="6" customFormat="1">
      <c r="A5677" s="12">
        <v>43875</v>
      </c>
      <c r="B5677">
        <v>5</v>
      </c>
      <c r="C5677">
        <v>239</v>
      </c>
      <c r="D5677">
        <v>10231</v>
      </c>
      <c r="E5677" t="s">
        <v>37</v>
      </c>
      <c r="F5677" t="s">
        <v>90</v>
      </c>
      <c r="G5677">
        <v>2</v>
      </c>
      <c r="H5677">
        <v>91</v>
      </c>
      <c r="I5677" s="25" t="s">
        <v>1882</v>
      </c>
      <c r="J5677"/>
      <c r="K5677" t="s">
        <v>1883</v>
      </c>
      <c r="L5677" t="s">
        <v>141</v>
      </c>
      <c r="M5677" t="s">
        <v>52</v>
      </c>
      <c r="N5677" t="s">
        <v>44</v>
      </c>
      <c r="O5677">
        <v>181</v>
      </c>
      <c r="P5677"/>
      <c r="Q5677">
        <f t="shared" si="81"/>
        <v>9</v>
      </c>
      <c r="R5677">
        <v>1</v>
      </c>
      <c r="S5677">
        <v>0</v>
      </c>
      <c r="T5677">
        <v>0</v>
      </c>
      <c r="U5677">
        <v>0</v>
      </c>
      <c r="V5677">
        <v>0</v>
      </c>
      <c r="W5677">
        <v>9</v>
      </c>
      <c r="X5677" s="21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/>
      <c r="AI5677"/>
      <c r="AJ5677" t="s">
        <v>54</v>
      </c>
      <c r="AK5677" t="s">
        <v>95</v>
      </c>
      <c r="AL5677" t="s">
        <v>1884</v>
      </c>
      <c r="AP5677" t="s">
        <v>116</v>
      </c>
    </row>
    <row r="5678" spans="1:42" s="6" customFormat="1">
      <c r="A5678" s="12">
        <v>43875</v>
      </c>
      <c r="B5678">
        <v>5</v>
      </c>
      <c r="C5678">
        <v>239</v>
      </c>
      <c r="D5678">
        <v>10231</v>
      </c>
      <c r="E5678" t="s">
        <v>37</v>
      </c>
      <c r="F5678" t="s">
        <v>90</v>
      </c>
      <c r="G5678">
        <v>2</v>
      </c>
      <c r="H5678">
        <v>92</v>
      </c>
      <c r="I5678" s="25">
        <v>775</v>
      </c>
      <c r="J5678"/>
      <c r="K5678" t="s">
        <v>53</v>
      </c>
      <c r="L5678" t="s">
        <v>141</v>
      </c>
      <c r="M5678" t="s">
        <v>52</v>
      </c>
      <c r="N5678" t="s">
        <v>44</v>
      </c>
      <c r="O5678">
        <v>221</v>
      </c>
      <c r="P5678"/>
      <c r="Q5678">
        <f t="shared" si="81"/>
        <v>11</v>
      </c>
      <c r="R5678">
        <v>1</v>
      </c>
      <c r="S5678">
        <v>0</v>
      </c>
      <c r="T5678">
        <v>0</v>
      </c>
      <c r="U5678">
        <v>0</v>
      </c>
      <c r="V5678">
        <v>0</v>
      </c>
      <c r="W5678">
        <v>11</v>
      </c>
      <c r="X5678" s="21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/>
      <c r="AI5678"/>
      <c r="AJ5678" t="s">
        <v>54</v>
      </c>
      <c r="AK5678" t="s">
        <v>52</v>
      </c>
      <c r="AL5678" t="s">
        <v>1884</v>
      </c>
      <c r="AP5678" t="s">
        <v>116</v>
      </c>
    </row>
    <row r="5679" spans="1:42" s="6" customFormat="1">
      <c r="A5679" s="12">
        <v>43875</v>
      </c>
      <c r="B5679">
        <v>5</v>
      </c>
      <c r="C5679">
        <v>239</v>
      </c>
      <c r="D5679">
        <v>10231</v>
      </c>
      <c r="E5679" t="s">
        <v>37</v>
      </c>
      <c r="F5679" t="s">
        <v>90</v>
      </c>
      <c r="G5679">
        <v>2</v>
      </c>
      <c r="H5679">
        <v>93</v>
      </c>
      <c r="I5679" s="25" t="s">
        <v>1885</v>
      </c>
      <c r="J5679"/>
      <c r="K5679" t="s">
        <v>91</v>
      </c>
      <c r="L5679" t="s">
        <v>1846</v>
      </c>
      <c r="M5679" t="s">
        <v>52</v>
      </c>
      <c r="N5679" t="s">
        <v>44</v>
      </c>
      <c r="O5679">
        <v>174</v>
      </c>
      <c r="P5679"/>
      <c r="Q5679">
        <f t="shared" si="81"/>
        <v>5</v>
      </c>
      <c r="R5679">
        <v>1</v>
      </c>
      <c r="S5679">
        <v>0</v>
      </c>
      <c r="T5679">
        <v>0</v>
      </c>
      <c r="U5679">
        <v>0</v>
      </c>
      <c r="V5679">
        <v>0</v>
      </c>
      <c r="W5679">
        <v>5</v>
      </c>
      <c r="X5679" s="21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/>
      <c r="AI5679"/>
      <c r="AJ5679" t="s">
        <v>54</v>
      </c>
      <c r="AK5679" t="s">
        <v>52</v>
      </c>
      <c r="AL5679"/>
      <c r="AP5679" t="s">
        <v>116</v>
      </c>
    </row>
    <row r="5680" spans="1:42" s="6" customFormat="1">
      <c r="A5680" s="12">
        <v>43875</v>
      </c>
      <c r="B5680">
        <v>5</v>
      </c>
      <c r="C5680">
        <v>239</v>
      </c>
      <c r="D5680">
        <v>10231</v>
      </c>
      <c r="E5680" t="s">
        <v>37</v>
      </c>
      <c r="F5680" t="s">
        <v>90</v>
      </c>
      <c r="G5680">
        <v>2</v>
      </c>
      <c r="H5680">
        <v>94</v>
      </c>
      <c r="I5680" s="25">
        <v>730</v>
      </c>
      <c r="J5680"/>
      <c r="K5680" t="s">
        <v>91</v>
      </c>
      <c r="L5680" t="s">
        <v>114</v>
      </c>
      <c r="M5680" t="s">
        <v>52</v>
      </c>
      <c r="N5680" t="s">
        <v>44</v>
      </c>
      <c r="O5680">
        <v>50</v>
      </c>
      <c r="P5680"/>
      <c r="Q5680">
        <f t="shared" si="81"/>
        <v>2</v>
      </c>
      <c r="R5680">
        <v>1</v>
      </c>
      <c r="S5680">
        <v>0</v>
      </c>
      <c r="T5680">
        <v>0</v>
      </c>
      <c r="U5680">
        <v>0</v>
      </c>
      <c r="V5680">
        <v>0</v>
      </c>
      <c r="W5680">
        <v>2</v>
      </c>
      <c r="X5680" s="21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/>
      <c r="AI5680"/>
      <c r="AJ5680" t="s">
        <v>54</v>
      </c>
      <c r="AK5680" t="s">
        <v>52</v>
      </c>
      <c r="AL5680"/>
      <c r="AP5680" t="s">
        <v>116</v>
      </c>
    </row>
    <row r="5681" spans="1:42" s="6" customFormat="1">
      <c r="A5681" s="12">
        <v>43875</v>
      </c>
      <c r="B5681">
        <v>5</v>
      </c>
      <c r="C5681">
        <v>239</v>
      </c>
      <c r="D5681">
        <v>10231</v>
      </c>
      <c r="E5681" t="s">
        <v>37</v>
      </c>
      <c r="F5681" t="s">
        <v>90</v>
      </c>
      <c r="G5681">
        <v>2</v>
      </c>
      <c r="H5681">
        <v>95</v>
      </c>
      <c r="I5681" s="25" t="s">
        <v>1886</v>
      </c>
      <c r="J5681"/>
      <c r="K5681" t="s">
        <v>91</v>
      </c>
      <c r="L5681" t="s">
        <v>141</v>
      </c>
      <c r="M5681" t="s">
        <v>52</v>
      </c>
      <c r="N5681" t="s">
        <v>44</v>
      </c>
      <c r="O5681">
        <v>61</v>
      </c>
      <c r="P5681"/>
      <c r="Q5681">
        <f t="shared" si="81"/>
        <v>2</v>
      </c>
      <c r="R5681">
        <v>1</v>
      </c>
      <c r="S5681">
        <v>0</v>
      </c>
      <c r="T5681">
        <v>0</v>
      </c>
      <c r="U5681">
        <v>0</v>
      </c>
      <c r="V5681">
        <v>0</v>
      </c>
      <c r="W5681">
        <v>2</v>
      </c>
      <c r="X5681" s="2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/>
      <c r="AI5681"/>
      <c r="AJ5681" t="s">
        <v>54</v>
      </c>
      <c r="AK5681" t="s">
        <v>52</v>
      </c>
      <c r="AL5681"/>
      <c r="AP5681" t="s">
        <v>116</v>
      </c>
    </row>
    <row r="5682" spans="1:42" s="6" customFormat="1">
      <c r="A5682" s="12">
        <v>43875</v>
      </c>
      <c r="B5682">
        <v>5</v>
      </c>
      <c r="C5682">
        <v>239</v>
      </c>
      <c r="D5682">
        <v>10231</v>
      </c>
      <c r="E5682" t="s">
        <v>37</v>
      </c>
      <c r="F5682" t="s">
        <v>90</v>
      </c>
      <c r="G5682">
        <v>2</v>
      </c>
      <c r="H5682">
        <v>96</v>
      </c>
      <c r="I5682" s="25">
        <v>736</v>
      </c>
      <c r="J5682"/>
      <c r="K5682" t="s">
        <v>91</v>
      </c>
      <c r="L5682" t="s">
        <v>114</v>
      </c>
      <c r="M5682" t="s">
        <v>52</v>
      </c>
      <c r="N5682" t="s">
        <v>44</v>
      </c>
      <c r="O5682">
        <v>120</v>
      </c>
      <c r="P5682"/>
      <c r="Q5682">
        <f t="shared" si="81"/>
        <v>2</v>
      </c>
      <c r="R5682">
        <v>1</v>
      </c>
      <c r="S5682">
        <v>0</v>
      </c>
      <c r="T5682">
        <v>0</v>
      </c>
      <c r="U5682">
        <v>0</v>
      </c>
      <c r="V5682">
        <v>1</v>
      </c>
      <c r="W5682">
        <v>1</v>
      </c>
      <c r="X5682" s="21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/>
      <c r="AI5682"/>
      <c r="AJ5682" t="s">
        <v>54</v>
      </c>
      <c r="AK5682" t="s">
        <v>52</v>
      </c>
      <c r="AL5682"/>
      <c r="AP5682" t="s">
        <v>116</v>
      </c>
    </row>
    <row r="5683" spans="1:42" s="6" customFormat="1">
      <c r="A5683" s="12">
        <v>43875</v>
      </c>
      <c r="B5683">
        <v>5</v>
      </c>
      <c r="C5683">
        <v>239</v>
      </c>
      <c r="D5683">
        <v>10231</v>
      </c>
      <c r="E5683" t="s">
        <v>37</v>
      </c>
      <c r="F5683" t="s">
        <v>90</v>
      </c>
      <c r="G5683">
        <v>2</v>
      </c>
      <c r="H5683">
        <v>97</v>
      </c>
      <c r="I5683" s="25">
        <v>740</v>
      </c>
      <c r="J5683"/>
      <c r="K5683" t="s">
        <v>91</v>
      </c>
      <c r="L5683" t="s">
        <v>114</v>
      </c>
      <c r="M5683" t="s">
        <v>52</v>
      </c>
      <c r="N5683" t="s">
        <v>44</v>
      </c>
      <c r="O5683">
        <v>127</v>
      </c>
      <c r="P5683"/>
      <c r="Q5683">
        <f t="shared" si="81"/>
        <v>2</v>
      </c>
      <c r="R5683">
        <v>1</v>
      </c>
      <c r="S5683">
        <v>0</v>
      </c>
      <c r="T5683">
        <v>0</v>
      </c>
      <c r="U5683">
        <v>0</v>
      </c>
      <c r="V5683">
        <v>0</v>
      </c>
      <c r="W5683">
        <v>2</v>
      </c>
      <c r="X5683" s="21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/>
      <c r="AI5683"/>
      <c r="AJ5683" t="s">
        <v>54</v>
      </c>
      <c r="AK5683" t="s">
        <v>52</v>
      </c>
      <c r="AL5683"/>
      <c r="AP5683" t="s">
        <v>116</v>
      </c>
    </row>
    <row r="5684" spans="1:42" s="6" customFormat="1">
      <c r="A5684" s="12">
        <v>43875</v>
      </c>
      <c r="B5684">
        <v>5</v>
      </c>
      <c r="C5684">
        <v>239</v>
      </c>
      <c r="D5684">
        <v>10231</v>
      </c>
      <c r="E5684" t="s">
        <v>37</v>
      </c>
      <c r="F5684" t="s">
        <v>90</v>
      </c>
      <c r="G5684">
        <v>2</v>
      </c>
      <c r="H5684">
        <v>98</v>
      </c>
      <c r="I5684" s="25">
        <v>753</v>
      </c>
      <c r="J5684"/>
      <c r="K5684" t="s">
        <v>91</v>
      </c>
      <c r="L5684" t="s">
        <v>141</v>
      </c>
      <c r="M5684" t="s">
        <v>52</v>
      </c>
      <c r="N5684" t="s">
        <v>44</v>
      </c>
      <c r="O5684">
        <v>161</v>
      </c>
      <c r="P5684"/>
      <c r="Q5684">
        <f t="shared" si="81"/>
        <v>6</v>
      </c>
      <c r="R5684">
        <v>1</v>
      </c>
      <c r="S5684">
        <v>0</v>
      </c>
      <c r="T5684">
        <v>0</v>
      </c>
      <c r="U5684">
        <v>0</v>
      </c>
      <c r="V5684">
        <v>0</v>
      </c>
      <c r="W5684">
        <v>6</v>
      </c>
      <c r="X5684" s="21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/>
      <c r="AI5684"/>
      <c r="AJ5684" t="s">
        <v>54</v>
      </c>
      <c r="AK5684" t="s">
        <v>52</v>
      </c>
      <c r="AL5684"/>
      <c r="AP5684" t="s">
        <v>116</v>
      </c>
    </row>
    <row r="5685" spans="1:42" s="6" customFormat="1">
      <c r="A5685" s="12">
        <v>43875</v>
      </c>
      <c r="B5685">
        <v>5</v>
      </c>
      <c r="C5685">
        <v>239</v>
      </c>
      <c r="D5685">
        <v>10231</v>
      </c>
      <c r="E5685" t="s">
        <v>37</v>
      </c>
      <c r="F5685" t="s">
        <v>90</v>
      </c>
      <c r="G5685">
        <v>2</v>
      </c>
      <c r="H5685">
        <v>99</v>
      </c>
      <c r="I5685" s="25">
        <v>901</v>
      </c>
      <c r="J5685"/>
      <c r="K5685" t="s">
        <v>49</v>
      </c>
      <c r="L5685" t="s">
        <v>141</v>
      </c>
      <c r="M5685" t="s">
        <v>52</v>
      </c>
      <c r="N5685" t="s">
        <v>40</v>
      </c>
      <c r="O5685">
        <v>68</v>
      </c>
      <c r="P5685"/>
      <c r="Q5685">
        <f t="shared" si="81"/>
        <v>2</v>
      </c>
      <c r="R5685">
        <v>1</v>
      </c>
      <c r="S5685">
        <v>0</v>
      </c>
      <c r="T5685">
        <v>0</v>
      </c>
      <c r="U5685">
        <v>2</v>
      </c>
      <c r="V5685">
        <v>0</v>
      </c>
      <c r="W5685">
        <v>0</v>
      </c>
      <c r="X5685" s="21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/>
      <c r="AI5685"/>
      <c r="AJ5685" t="s">
        <v>54</v>
      </c>
      <c r="AK5685" t="s">
        <v>52</v>
      </c>
      <c r="AL5685"/>
      <c r="AP5685" t="s">
        <v>116</v>
      </c>
    </row>
    <row r="5686" spans="1:42" s="6" customFormat="1">
      <c r="A5686" s="12">
        <v>43875</v>
      </c>
      <c r="B5686">
        <v>5</v>
      </c>
      <c r="C5686">
        <v>239</v>
      </c>
      <c r="D5686">
        <v>10231</v>
      </c>
      <c r="E5686" t="s">
        <v>37</v>
      </c>
      <c r="F5686" t="s">
        <v>90</v>
      </c>
      <c r="G5686">
        <v>2</v>
      </c>
      <c r="H5686">
        <v>100</v>
      </c>
      <c r="I5686" s="25" t="s">
        <v>1887</v>
      </c>
      <c r="J5686"/>
      <c r="K5686" t="s">
        <v>74</v>
      </c>
      <c r="L5686" t="s">
        <v>141</v>
      </c>
      <c r="M5686" t="s">
        <v>52</v>
      </c>
      <c r="N5686" t="s">
        <v>44</v>
      </c>
      <c r="O5686">
        <v>264</v>
      </c>
      <c r="P5686"/>
      <c r="Q5686">
        <f t="shared" si="81"/>
        <v>13</v>
      </c>
      <c r="R5686">
        <v>1</v>
      </c>
      <c r="S5686">
        <v>0</v>
      </c>
      <c r="T5686">
        <v>0</v>
      </c>
      <c r="U5686">
        <v>0</v>
      </c>
      <c r="V5686">
        <v>0</v>
      </c>
      <c r="W5686">
        <v>13</v>
      </c>
      <c r="X5686" s="21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/>
      <c r="AI5686"/>
      <c r="AJ5686" t="s">
        <v>51</v>
      </c>
      <c r="AK5686" t="s">
        <v>52</v>
      </c>
      <c r="AL5686"/>
      <c r="AP5686" t="s">
        <v>116</v>
      </c>
    </row>
    <row r="5687" spans="1:42" s="2" customFormat="1">
      <c r="A5687" s="11">
        <v>43875</v>
      </c>
      <c r="B5687">
        <v>5</v>
      </c>
      <c r="C5687">
        <v>239</v>
      </c>
      <c r="D5687">
        <v>10231</v>
      </c>
      <c r="E5687" t="s">
        <v>37</v>
      </c>
      <c r="F5687" t="s">
        <v>90</v>
      </c>
      <c r="G5687">
        <v>2</v>
      </c>
      <c r="H5687">
        <v>101</v>
      </c>
      <c r="I5687" s="25">
        <v>535</v>
      </c>
      <c r="J5687"/>
      <c r="K5687" t="s">
        <v>74</v>
      </c>
      <c r="L5687" t="s">
        <v>141</v>
      </c>
      <c r="M5687" t="s">
        <v>52</v>
      </c>
      <c r="N5687" t="s">
        <v>44</v>
      </c>
      <c r="O5687">
        <v>42</v>
      </c>
      <c r="P5687"/>
      <c r="Q5687">
        <f t="shared" si="81"/>
        <v>2</v>
      </c>
      <c r="R5687">
        <v>1</v>
      </c>
      <c r="S5687">
        <v>0</v>
      </c>
      <c r="T5687">
        <v>0</v>
      </c>
      <c r="U5687">
        <v>0</v>
      </c>
      <c r="V5687">
        <v>0</v>
      </c>
      <c r="W5687">
        <v>2</v>
      </c>
      <c r="X5687" s="21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/>
      <c r="AI5687"/>
      <c r="AJ5687" t="s">
        <v>51</v>
      </c>
      <c r="AK5687" t="s">
        <v>52</v>
      </c>
      <c r="AL5687"/>
      <c r="AP5687" t="s">
        <v>116</v>
      </c>
    </row>
    <row r="5688" spans="1:42" s="6" customFormat="1">
      <c r="A5688" s="12">
        <v>43878</v>
      </c>
      <c r="B5688">
        <v>1</v>
      </c>
      <c r="C5688">
        <v>239</v>
      </c>
      <c r="D5688">
        <v>10205</v>
      </c>
      <c r="E5688" t="s">
        <v>37</v>
      </c>
      <c r="F5688" t="s">
        <v>90</v>
      </c>
      <c r="G5688">
        <v>2</v>
      </c>
      <c r="H5688">
        <v>1</v>
      </c>
      <c r="I5688" s="25"/>
      <c r="J5688"/>
      <c r="K5688" t="s">
        <v>1888</v>
      </c>
      <c r="L5688" t="s">
        <v>141</v>
      </c>
      <c r="M5688" t="s">
        <v>52</v>
      </c>
      <c r="N5688" t="s">
        <v>40</v>
      </c>
      <c r="O5688">
        <v>24</v>
      </c>
      <c r="P5688"/>
      <c r="Q5688">
        <f t="shared" si="81"/>
        <v>1</v>
      </c>
      <c r="R5688">
        <v>1</v>
      </c>
      <c r="S5688">
        <v>0</v>
      </c>
      <c r="T5688">
        <v>0</v>
      </c>
      <c r="U5688">
        <v>1</v>
      </c>
      <c r="V5688">
        <v>0</v>
      </c>
      <c r="W5688">
        <v>0</v>
      </c>
      <c r="X5688" s="21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/>
      <c r="AI5688"/>
      <c r="AJ5688" t="s">
        <v>51</v>
      </c>
      <c r="AK5688" t="s">
        <v>95</v>
      </c>
      <c r="AL5688" t="s">
        <v>649</v>
      </c>
      <c r="AP5688" t="s">
        <v>116</v>
      </c>
    </row>
    <row r="5689" spans="1:42" s="6" customFormat="1">
      <c r="A5689" s="12">
        <v>43878</v>
      </c>
      <c r="B5689">
        <v>1</v>
      </c>
      <c r="C5689">
        <v>239</v>
      </c>
      <c r="D5689">
        <v>10205</v>
      </c>
      <c r="E5689" t="s">
        <v>37</v>
      </c>
      <c r="F5689" t="s">
        <v>90</v>
      </c>
      <c r="G5689">
        <v>2</v>
      </c>
      <c r="H5689">
        <v>2</v>
      </c>
      <c r="I5689" s="25"/>
      <c r="J5689"/>
      <c r="K5689" t="s">
        <v>1889</v>
      </c>
      <c r="L5689" t="s">
        <v>141</v>
      </c>
      <c r="M5689" t="s">
        <v>52</v>
      </c>
      <c r="N5689" t="s">
        <v>40</v>
      </c>
      <c r="O5689">
        <v>33</v>
      </c>
      <c r="P5689"/>
      <c r="Q5689">
        <f t="shared" si="81"/>
        <v>1</v>
      </c>
      <c r="R5689">
        <v>1</v>
      </c>
      <c r="S5689">
        <v>0</v>
      </c>
      <c r="T5689">
        <v>0</v>
      </c>
      <c r="U5689">
        <v>1</v>
      </c>
      <c r="V5689">
        <v>0</v>
      </c>
      <c r="W5689">
        <v>0</v>
      </c>
      <c r="X5689" s="21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/>
      <c r="AI5689"/>
      <c r="AJ5689" t="s">
        <v>51</v>
      </c>
      <c r="AK5689" t="s">
        <v>95</v>
      </c>
      <c r="AL5689" t="s">
        <v>649</v>
      </c>
      <c r="AP5689" t="s">
        <v>116</v>
      </c>
    </row>
    <row r="5690" spans="1:42" s="6" customFormat="1">
      <c r="A5690" s="12">
        <v>43878</v>
      </c>
      <c r="B5690">
        <v>1</v>
      </c>
      <c r="C5690">
        <v>239</v>
      </c>
      <c r="D5690">
        <v>10205</v>
      </c>
      <c r="E5690" t="s">
        <v>37</v>
      </c>
      <c r="F5690" t="s">
        <v>90</v>
      </c>
      <c r="G5690">
        <v>2</v>
      </c>
      <c r="H5690">
        <v>3</v>
      </c>
      <c r="I5690" s="25"/>
      <c r="J5690"/>
      <c r="K5690" t="s">
        <v>1890</v>
      </c>
      <c r="L5690" t="s">
        <v>141</v>
      </c>
      <c r="M5690" t="s">
        <v>52</v>
      </c>
      <c r="N5690" t="s">
        <v>40</v>
      </c>
      <c r="O5690">
        <v>76</v>
      </c>
      <c r="P5690"/>
      <c r="Q5690">
        <f t="shared" si="81"/>
        <v>2</v>
      </c>
      <c r="R5690">
        <v>1</v>
      </c>
      <c r="S5690">
        <v>0</v>
      </c>
      <c r="T5690">
        <v>0</v>
      </c>
      <c r="U5690">
        <v>2</v>
      </c>
      <c r="V5690">
        <v>0</v>
      </c>
      <c r="W5690">
        <v>0</v>
      </c>
      <c r="X5690" s="21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/>
      <c r="AI5690"/>
      <c r="AJ5690" t="s">
        <v>51</v>
      </c>
      <c r="AK5690" t="s">
        <v>95</v>
      </c>
      <c r="AL5690" t="s">
        <v>1891</v>
      </c>
      <c r="AP5690" t="s">
        <v>116</v>
      </c>
    </row>
    <row r="5691" spans="1:42" s="6" customFormat="1">
      <c r="A5691" s="12">
        <v>43878</v>
      </c>
      <c r="B5691">
        <v>1</v>
      </c>
      <c r="C5691">
        <v>239</v>
      </c>
      <c r="D5691">
        <v>10205</v>
      </c>
      <c r="E5691" t="s">
        <v>37</v>
      </c>
      <c r="F5691" t="s">
        <v>90</v>
      </c>
      <c r="G5691">
        <v>2</v>
      </c>
      <c r="H5691">
        <v>4</v>
      </c>
      <c r="I5691" s="25">
        <v>1</v>
      </c>
      <c r="J5691"/>
      <c r="K5691" t="s">
        <v>1871</v>
      </c>
      <c r="L5691" t="s">
        <v>141</v>
      </c>
      <c r="M5691" t="s">
        <v>52</v>
      </c>
      <c r="N5691" t="s">
        <v>40</v>
      </c>
      <c r="O5691">
        <v>71</v>
      </c>
      <c r="P5691"/>
      <c r="Q5691">
        <f t="shared" si="81"/>
        <v>1</v>
      </c>
      <c r="R5691">
        <v>1</v>
      </c>
      <c r="S5691">
        <v>0</v>
      </c>
      <c r="T5691">
        <v>0</v>
      </c>
      <c r="U5691">
        <v>1</v>
      </c>
      <c r="V5691">
        <v>0</v>
      </c>
      <c r="W5691">
        <v>0</v>
      </c>
      <c r="X5691" s="2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/>
      <c r="AI5691"/>
      <c r="AJ5691" t="s">
        <v>51</v>
      </c>
      <c r="AK5691" t="s">
        <v>95</v>
      </c>
      <c r="AL5691" t="s">
        <v>1891</v>
      </c>
      <c r="AP5691" t="s">
        <v>116</v>
      </c>
    </row>
    <row r="5692" spans="1:42" s="6" customFormat="1">
      <c r="A5692" s="12">
        <v>43878</v>
      </c>
      <c r="B5692">
        <v>1</v>
      </c>
      <c r="C5692">
        <v>239</v>
      </c>
      <c r="D5692">
        <v>10205</v>
      </c>
      <c r="E5692" t="s">
        <v>37</v>
      </c>
      <c r="F5692" t="s">
        <v>90</v>
      </c>
      <c r="G5692">
        <v>2</v>
      </c>
      <c r="H5692">
        <v>5</v>
      </c>
      <c r="I5692" s="25"/>
      <c r="J5692"/>
      <c r="K5692" t="s">
        <v>1892</v>
      </c>
      <c r="L5692" t="s">
        <v>141</v>
      </c>
      <c r="M5692" t="s">
        <v>52</v>
      </c>
      <c r="N5692" t="s">
        <v>40</v>
      </c>
      <c r="O5692">
        <v>28</v>
      </c>
      <c r="P5692"/>
      <c r="Q5692">
        <f t="shared" si="81"/>
        <v>1</v>
      </c>
      <c r="R5692">
        <v>1</v>
      </c>
      <c r="S5692">
        <v>0</v>
      </c>
      <c r="T5692">
        <v>0</v>
      </c>
      <c r="U5692">
        <v>1</v>
      </c>
      <c r="V5692">
        <v>0</v>
      </c>
      <c r="W5692">
        <v>0</v>
      </c>
      <c r="X5692" s="21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/>
      <c r="AI5692"/>
      <c r="AJ5692" t="s">
        <v>51</v>
      </c>
      <c r="AK5692" t="s">
        <v>95</v>
      </c>
      <c r="AL5692" t="s">
        <v>649</v>
      </c>
      <c r="AP5692" t="s">
        <v>116</v>
      </c>
    </row>
    <row r="5693" spans="1:42" s="6" customFormat="1">
      <c r="A5693" s="12">
        <v>43878</v>
      </c>
      <c r="B5693">
        <v>1</v>
      </c>
      <c r="C5693">
        <v>239</v>
      </c>
      <c r="D5693">
        <v>10205</v>
      </c>
      <c r="E5693" t="s">
        <v>37</v>
      </c>
      <c r="F5693" t="s">
        <v>90</v>
      </c>
      <c r="G5693">
        <v>2</v>
      </c>
      <c r="H5693">
        <v>6</v>
      </c>
      <c r="I5693" s="25">
        <v>1</v>
      </c>
      <c r="J5693"/>
      <c r="K5693" t="s">
        <v>1871</v>
      </c>
      <c r="L5693" t="s">
        <v>141</v>
      </c>
      <c r="M5693" t="s">
        <v>52</v>
      </c>
      <c r="N5693" t="s">
        <v>40</v>
      </c>
      <c r="O5693">
        <v>31</v>
      </c>
      <c r="P5693"/>
      <c r="Q5693">
        <f t="shared" si="81"/>
        <v>1</v>
      </c>
      <c r="R5693">
        <v>1</v>
      </c>
      <c r="S5693">
        <v>0</v>
      </c>
      <c r="T5693">
        <v>0</v>
      </c>
      <c r="U5693">
        <v>1</v>
      </c>
      <c r="V5693">
        <v>0</v>
      </c>
      <c r="W5693">
        <v>0</v>
      </c>
      <c r="X5693" s="21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/>
      <c r="AI5693"/>
      <c r="AJ5693" t="s">
        <v>51</v>
      </c>
      <c r="AK5693" t="s">
        <v>95</v>
      </c>
      <c r="AL5693" t="s">
        <v>649</v>
      </c>
      <c r="AP5693" t="s">
        <v>116</v>
      </c>
    </row>
    <row r="5694" spans="1:42" s="6" customFormat="1">
      <c r="A5694" s="12">
        <v>43878</v>
      </c>
      <c r="B5694">
        <v>1</v>
      </c>
      <c r="C5694">
        <v>239</v>
      </c>
      <c r="D5694">
        <v>10205</v>
      </c>
      <c r="E5694" t="s">
        <v>37</v>
      </c>
      <c r="F5694" t="s">
        <v>90</v>
      </c>
      <c r="G5694">
        <v>2</v>
      </c>
      <c r="H5694">
        <v>7</v>
      </c>
      <c r="I5694" s="25">
        <v>1</v>
      </c>
      <c r="J5694"/>
      <c r="K5694" t="s">
        <v>1871</v>
      </c>
      <c r="L5694" t="s">
        <v>141</v>
      </c>
      <c r="M5694" t="s">
        <v>52</v>
      </c>
      <c r="N5694" t="s">
        <v>40</v>
      </c>
      <c r="O5694">
        <v>36</v>
      </c>
      <c r="P5694"/>
      <c r="Q5694">
        <f t="shared" si="81"/>
        <v>1</v>
      </c>
      <c r="R5694">
        <v>1</v>
      </c>
      <c r="S5694">
        <v>0</v>
      </c>
      <c r="T5694">
        <v>0</v>
      </c>
      <c r="U5694">
        <v>1</v>
      </c>
      <c r="V5694">
        <v>0</v>
      </c>
      <c r="W5694">
        <v>0</v>
      </c>
      <c r="X5694" s="21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/>
      <c r="AI5694"/>
      <c r="AJ5694" t="s">
        <v>51</v>
      </c>
      <c r="AK5694" t="s">
        <v>95</v>
      </c>
      <c r="AL5694" t="s">
        <v>649</v>
      </c>
      <c r="AP5694" t="s">
        <v>116</v>
      </c>
    </row>
    <row r="5695" spans="1:42" s="6" customFormat="1">
      <c r="A5695" s="12">
        <v>43878</v>
      </c>
      <c r="B5695">
        <v>1</v>
      </c>
      <c r="C5695">
        <v>239</v>
      </c>
      <c r="D5695">
        <v>10205</v>
      </c>
      <c r="E5695" t="s">
        <v>37</v>
      </c>
      <c r="F5695" t="s">
        <v>90</v>
      </c>
      <c r="G5695">
        <v>2</v>
      </c>
      <c r="H5695">
        <v>8</v>
      </c>
      <c r="I5695" s="25">
        <v>1</v>
      </c>
      <c r="J5695"/>
      <c r="K5695" t="s">
        <v>1871</v>
      </c>
      <c r="L5695" t="s">
        <v>141</v>
      </c>
      <c r="M5695" t="s">
        <v>52</v>
      </c>
      <c r="N5695" t="s">
        <v>40</v>
      </c>
      <c r="O5695">
        <v>29</v>
      </c>
      <c r="P5695"/>
      <c r="Q5695">
        <f t="shared" si="81"/>
        <v>1</v>
      </c>
      <c r="R5695">
        <v>1</v>
      </c>
      <c r="S5695">
        <v>0</v>
      </c>
      <c r="T5695">
        <v>0</v>
      </c>
      <c r="U5695">
        <v>1</v>
      </c>
      <c r="V5695">
        <v>0</v>
      </c>
      <c r="W5695">
        <v>0</v>
      </c>
      <c r="X5695" s="21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/>
      <c r="AI5695"/>
      <c r="AJ5695" t="s">
        <v>51</v>
      </c>
      <c r="AK5695" t="s">
        <v>95</v>
      </c>
      <c r="AL5695" t="s">
        <v>649</v>
      </c>
      <c r="AP5695" t="s">
        <v>116</v>
      </c>
    </row>
    <row r="5696" spans="1:42" s="6" customFormat="1">
      <c r="A5696" s="12">
        <v>43878</v>
      </c>
      <c r="B5696">
        <v>1</v>
      </c>
      <c r="C5696">
        <v>239</v>
      </c>
      <c r="D5696">
        <v>10205</v>
      </c>
      <c r="E5696" t="s">
        <v>37</v>
      </c>
      <c r="F5696" t="s">
        <v>90</v>
      </c>
      <c r="G5696">
        <v>2</v>
      </c>
      <c r="H5696">
        <v>9</v>
      </c>
      <c r="I5696" s="25"/>
      <c r="J5696"/>
      <c r="K5696" t="s">
        <v>1893</v>
      </c>
      <c r="L5696" t="s">
        <v>141</v>
      </c>
      <c r="M5696" t="s">
        <v>52</v>
      </c>
      <c r="N5696" t="s">
        <v>40</v>
      </c>
      <c r="O5696">
        <v>30</v>
      </c>
      <c r="P5696"/>
      <c r="Q5696">
        <f t="shared" si="81"/>
        <v>1</v>
      </c>
      <c r="R5696">
        <v>1</v>
      </c>
      <c r="S5696">
        <v>0</v>
      </c>
      <c r="T5696">
        <v>0</v>
      </c>
      <c r="U5696">
        <v>1</v>
      </c>
      <c r="V5696">
        <v>0</v>
      </c>
      <c r="W5696">
        <v>0</v>
      </c>
      <c r="X5696" s="21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/>
      <c r="AI5696"/>
      <c r="AJ5696" t="s">
        <v>51</v>
      </c>
      <c r="AK5696" t="s">
        <v>95</v>
      </c>
      <c r="AL5696" t="s">
        <v>649</v>
      </c>
      <c r="AP5696" t="s">
        <v>116</v>
      </c>
    </row>
    <row r="5697" spans="1:42" s="6" customFormat="1">
      <c r="A5697" s="12">
        <v>43878</v>
      </c>
      <c r="B5697">
        <v>1</v>
      </c>
      <c r="C5697">
        <v>239</v>
      </c>
      <c r="D5697">
        <v>10205</v>
      </c>
      <c r="E5697" t="s">
        <v>37</v>
      </c>
      <c r="F5697" t="s">
        <v>90</v>
      </c>
      <c r="G5697">
        <v>2</v>
      </c>
      <c r="H5697">
        <v>10</v>
      </c>
      <c r="I5697" s="25">
        <v>99</v>
      </c>
      <c r="J5697"/>
      <c r="K5697" t="s">
        <v>430</v>
      </c>
      <c r="L5697" t="s">
        <v>141</v>
      </c>
      <c r="M5697" t="s">
        <v>95</v>
      </c>
      <c r="N5697" t="s">
        <v>40</v>
      </c>
      <c r="O5697">
        <v>169</v>
      </c>
      <c r="P5697"/>
      <c r="Q5697">
        <f t="shared" si="81"/>
        <v>4</v>
      </c>
      <c r="R5697">
        <v>1</v>
      </c>
      <c r="S5697">
        <v>0</v>
      </c>
      <c r="T5697">
        <v>0</v>
      </c>
      <c r="U5697">
        <v>4</v>
      </c>
      <c r="V5697">
        <v>0</v>
      </c>
      <c r="W5697">
        <v>0</v>
      </c>
      <c r="X5697" s="21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/>
      <c r="AI5697"/>
      <c r="AJ5697" t="s">
        <v>51</v>
      </c>
      <c r="AK5697" t="s">
        <v>95</v>
      </c>
      <c r="AL5697" t="s">
        <v>1894</v>
      </c>
      <c r="AP5697" t="s">
        <v>116</v>
      </c>
    </row>
    <row r="5698" spans="1:42" s="6" customFormat="1">
      <c r="A5698" s="12">
        <v>43878</v>
      </c>
      <c r="B5698">
        <v>1</v>
      </c>
      <c r="C5698">
        <v>239</v>
      </c>
      <c r="D5698">
        <v>10205</v>
      </c>
      <c r="E5698" t="s">
        <v>37</v>
      </c>
      <c r="F5698" t="s">
        <v>90</v>
      </c>
      <c r="G5698">
        <v>2</v>
      </c>
      <c r="H5698">
        <v>11</v>
      </c>
      <c r="I5698" s="25">
        <v>66</v>
      </c>
      <c r="J5698"/>
      <c r="K5698" t="s">
        <v>430</v>
      </c>
      <c r="L5698" t="s">
        <v>141</v>
      </c>
      <c r="M5698" t="s">
        <v>52</v>
      </c>
      <c r="N5698" t="s">
        <v>40</v>
      </c>
      <c r="O5698">
        <v>28</v>
      </c>
      <c r="P5698"/>
      <c r="Q5698">
        <f t="shared" si="81"/>
        <v>1</v>
      </c>
      <c r="R5698">
        <v>1</v>
      </c>
      <c r="S5698">
        <v>0</v>
      </c>
      <c r="T5698">
        <v>0</v>
      </c>
      <c r="U5698">
        <v>1</v>
      </c>
      <c r="V5698">
        <v>0</v>
      </c>
      <c r="W5698">
        <v>0</v>
      </c>
      <c r="X5698" s="21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/>
      <c r="AI5698"/>
      <c r="AJ5698" t="s">
        <v>51</v>
      </c>
      <c r="AK5698" t="s">
        <v>95</v>
      </c>
      <c r="AL5698" t="s">
        <v>649</v>
      </c>
      <c r="AP5698" t="s">
        <v>116</v>
      </c>
    </row>
    <row r="5699" spans="1:42" s="6" customFormat="1">
      <c r="A5699" s="12">
        <v>43878</v>
      </c>
      <c r="B5699">
        <v>1</v>
      </c>
      <c r="C5699">
        <v>239</v>
      </c>
      <c r="D5699">
        <v>10205</v>
      </c>
      <c r="E5699" t="s">
        <v>37</v>
      </c>
      <c r="F5699" t="s">
        <v>90</v>
      </c>
      <c r="G5699">
        <v>2</v>
      </c>
      <c r="H5699">
        <v>12</v>
      </c>
      <c r="I5699" s="25"/>
      <c r="J5699"/>
      <c r="K5699" t="s">
        <v>1895</v>
      </c>
      <c r="L5699" t="s">
        <v>141</v>
      </c>
      <c r="M5699" t="s">
        <v>52</v>
      </c>
      <c r="N5699" t="s">
        <v>40</v>
      </c>
      <c r="O5699">
        <v>27</v>
      </c>
      <c r="P5699"/>
      <c r="Q5699">
        <f t="shared" si="81"/>
        <v>1</v>
      </c>
      <c r="R5699">
        <v>1</v>
      </c>
      <c r="S5699">
        <v>0</v>
      </c>
      <c r="T5699">
        <v>0</v>
      </c>
      <c r="U5699">
        <v>1</v>
      </c>
      <c r="V5699">
        <v>0</v>
      </c>
      <c r="W5699">
        <v>0</v>
      </c>
      <c r="X5699" s="21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/>
      <c r="AI5699"/>
      <c r="AJ5699" t="s">
        <v>51</v>
      </c>
      <c r="AK5699" t="s">
        <v>95</v>
      </c>
      <c r="AL5699" t="s">
        <v>649</v>
      </c>
      <c r="AP5699" t="s">
        <v>116</v>
      </c>
    </row>
    <row r="5700" spans="1:42" s="6" customFormat="1">
      <c r="A5700" s="12">
        <v>43878</v>
      </c>
      <c r="B5700">
        <v>1</v>
      </c>
      <c r="C5700">
        <v>239</v>
      </c>
      <c r="D5700">
        <v>10205</v>
      </c>
      <c r="E5700" t="s">
        <v>37</v>
      </c>
      <c r="F5700" t="s">
        <v>90</v>
      </c>
      <c r="G5700">
        <v>2</v>
      </c>
      <c r="H5700">
        <v>13</v>
      </c>
      <c r="I5700" s="25"/>
      <c r="J5700"/>
      <c r="K5700" t="s">
        <v>1895</v>
      </c>
      <c r="L5700" t="s">
        <v>141</v>
      </c>
      <c r="M5700" t="s">
        <v>52</v>
      </c>
      <c r="N5700" t="s">
        <v>40</v>
      </c>
      <c r="O5700">
        <v>49</v>
      </c>
      <c r="P5700"/>
      <c r="Q5700">
        <f t="shared" si="81"/>
        <v>1</v>
      </c>
      <c r="R5700">
        <v>1</v>
      </c>
      <c r="S5700">
        <v>0</v>
      </c>
      <c r="T5700">
        <v>0</v>
      </c>
      <c r="U5700">
        <v>1</v>
      </c>
      <c r="V5700">
        <v>0</v>
      </c>
      <c r="W5700">
        <v>0</v>
      </c>
      <c r="X5700" s="21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/>
      <c r="AI5700"/>
      <c r="AJ5700" t="s">
        <v>51</v>
      </c>
      <c r="AK5700" t="s">
        <v>95</v>
      </c>
      <c r="AL5700" t="s">
        <v>649</v>
      </c>
      <c r="AP5700" t="s">
        <v>116</v>
      </c>
    </row>
    <row r="5701" spans="1:42" s="6" customFormat="1">
      <c r="A5701" s="12">
        <v>43878</v>
      </c>
      <c r="B5701">
        <v>1</v>
      </c>
      <c r="C5701">
        <v>239</v>
      </c>
      <c r="D5701">
        <v>10205</v>
      </c>
      <c r="E5701" t="s">
        <v>37</v>
      </c>
      <c r="F5701" t="s">
        <v>90</v>
      </c>
      <c r="G5701">
        <v>2</v>
      </c>
      <c r="H5701">
        <v>14</v>
      </c>
      <c r="I5701" s="25"/>
      <c r="J5701"/>
      <c r="K5701" t="s">
        <v>1896</v>
      </c>
      <c r="L5701" t="s">
        <v>141</v>
      </c>
      <c r="M5701" t="s">
        <v>52</v>
      </c>
      <c r="N5701" t="s">
        <v>40</v>
      </c>
      <c r="O5701">
        <v>42</v>
      </c>
      <c r="P5701"/>
      <c r="Q5701">
        <f t="shared" si="81"/>
        <v>1</v>
      </c>
      <c r="R5701">
        <v>1</v>
      </c>
      <c r="S5701">
        <v>0</v>
      </c>
      <c r="T5701">
        <v>0</v>
      </c>
      <c r="U5701">
        <v>1</v>
      </c>
      <c r="V5701">
        <v>0</v>
      </c>
      <c r="W5701">
        <v>0</v>
      </c>
      <c r="X5701" s="2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/>
      <c r="AI5701"/>
      <c r="AJ5701" t="s">
        <v>51</v>
      </c>
      <c r="AK5701" t="s">
        <v>95</v>
      </c>
      <c r="AL5701" t="s">
        <v>649</v>
      </c>
      <c r="AP5701" t="s">
        <v>116</v>
      </c>
    </row>
    <row r="5702" spans="1:42" s="6" customFormat="1">
      <c r="A5702" s="12">
        <v>43878</v>
      </c>
      <c r="B5702">
        <v>1</v>
      </c>
      <c r="C5702">
        <v>239</v>
      </c>
      <c r="D5702">
        <v>10205</v>
      </c>
      <c r="E5702" t="s">
        <v>37</v>
      </c>
      <c r="F5702" t="s">
        <v>90</v>
      </c>
      <c r="G5702">
        <v>2</v>
      </c>
      <c r="H5702">
        <v>15</v>
      </c>
      <c r="I5702" s="25">
        <v>101</v>
      </c>
      <c r="J5702"/>
      <c r="K5702" t="s">
        <v>94</v>
      </c>
      <c r="L5702" t="s">
        <v>141</v>
      </c>
      <c r="M5702" t="s">
        <v>52</v>
      </c>
      <c r="N5702" t="s">
        <v>40</v>
      </c>
      <c r="O5702">
        <v>78</v>
      </c>
      <c r="P5702"/>
      <c r="Q5702">
        <f t="shared" si="81"/>
        <v>2</v>
      </c>
      <c r="R5702">
        <v>1</v>
      </c>
      <c r="S5702">
        <v>0</v>
      </c>
      <c r="T5702">
        <v>0</v>
      </c>
      <c r="U5702">
        <v>0</v>
      </c>
      <c r="V5702">
        <v>1</v>
      </c>
      <c r="W5702">
        <v>1</v>
      </c>
      <c r="X5702" s="21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/>
      <c r="AI5702"/>
      <c r="AJ5702" t="s">
        <v>51</v>
      </c>
      <c r="AK5702" t="s">
        <v>95</v>
      </c>
      <c r="AL5702" t="s">
        <v>1897</v>
      </c>
      <c r="AP5702" t="s">
        <v>116</v>
      </c>
    </row>
    <row r="5703" spans="1:42" s="6" customFormat="1">
      <c r="A5703" s="12">
        <v>43878</v>
      </c>
      <c r="B5703">
        <v>1</v>
      </c>
      <c r="C5703">
        <v>239</v>
      </c>
      <c r="D5703">
        <v>10205</v>
      </c>
      <c r="E5703" t="s">
        <v>37</v>
      </c>
      <c r="F5703" t="s">
        <v>90</v>
      </c>
      <c r="G5703">
        <v>2</v>
      </c>
      <c r="H5703">
        <v>16</v>
      </c>
      <c r="I5703" s="25">
        <v>25</v>
      </c>
      <c r="J5703"/>
      <c r="K5703" t="s">
        <v>102</v>
      </c>
      <c r="L5703" t="s">
        <v>141</v>
      </c>
      <c r="M5703" t="s">
        <v>52</v>
      </c>
      <c r="N5703" t="s">
        <v>40</v>
      </c>
      <c r="O5703">
        <v>42</v>
      </c>
      <c r="P5703"/>
      <c r="Q5703">
        <f t="shared" si="81"/>
        <v>1</v>
      </c>
      <c r="R5703">
        <v>1</v>
      </c>
      <c r="S5703">
        <v>0</v>
      </c>
      <c r="T5703">
        <v>0</v>
      </c>
      <c r="U5703">
        <v>1</v>
      </c>
      <c r="V5703">
        <v>0</v>
      </c>
      <c r="W5703">
        <v>0</v>
      </c>
      <c r="X5703" s="21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/>
      <c r="AI5703"/>
      <c r="AJ5703" t="s">
        <v>51</v>
      </c>
      <c r="AK5703" t="s">
        <v>95</v>
      </c>
      <c r="AL5703" t="s">
        <v>649</v>
      </c>
      <c r="AP5703" t="s">
        <v>116</v>
      </c>
    </row>
    <row r="5704" spans="1:42" s="6" customFormat="1">
      <c r="A5704" s="12">
        <v>43878</v>
      </c>
      <c r="B5704">
        <v>1</v>
      </c>
      <c r="C5704">
        <v>239</v>
      </c>
      <c r="D5704">
        <v>10205</v>
      </c>
      <c r="E5704" t="s">
        <v>37</v>
      </c>
      <c r="F5704" t="s">
        <v>90</v>
      </c>
      <c r="G5704">
        <v>2</v>
      </c>
      <c r="H5704">
        <v>17</v>
      </c>
      <c r="I5704" s="25">
        <v>34</v>
      </c>
      <c r="J5704"/>
      <c r="K5704" t="s">
        <v>96</v>
      </c>
      <c r="L5704" t="s">
        <v>114</v>
      </c>
      <c r="M5704" t="s">
        <v>52</v>
      </c>
      <c r="N5704" t="s">
        <v>40</v>
      </c>
      <c r="O5704">
        <v>326</v>
      </c>
      <c r="P5704"/>
      <c r="Q5704">
        <f t="shared" si="81"/>
        <v>7</v>
      </c>
      <c r="R5704">
        <v>1</v>
      </c>
      <c r="S5704">
        <v>0</v>
      </c>
      <c r="T5704">
        <v>0</v>
      </c>
      <c r="U5704">
        <v>0</v>
      </c>
      <c r="V5704">
        <v>0</v>
      </c>
      <c r="W5704">
        <v>7</v>
      </c>
      <c r="X5704" s="21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/>
      <c r="AI5704"/>
      <c r="AJ5704" t="s">
        <v>51</v>
      </c>
      <c r="AK5704" t="s">
        <v>95</v>
      </c>
      <c r="AL5704"/>
      <c r="AP5704" t="s">
        <v>116</v>
      </c>
    </row>
    <row r="5705" spans="1:42" s="6" customFormat="1">
      <c r="A5705" s="12">
        <v>43878</v>
      </c>
      <c r="B5705">
        <v>1</v>
      </c>
      <c r="C5705">
        <v>239</v>
      </c>
      <c r="D5705">
        <v>10205</v>
      </c>
      <c r="E5705" t="s">
        <v>37</v>
      </c>
      <c r="F5705" t="s">
        <v>90</v>
      </c>
      <c r="G5705">
        <v>2</v>
      </c>
      <c r="H5705">
        <v>18</v>
      </c>
      <c r="I5705" s="25">
        <v>50</v>
      </c>
      <c r="J5705"/>
      <c r="K5705" t="s">
        <v>96</v>
      </c>
      <c r="L5705" t="s">
        <v>114</v>
      </c>
      <c r="M5705" t="s">
        <v>52</v>
      </c>
      <c r="N5705" t="s">
        <v>40</v>
      </c>
      <c r="O5705">
        <v>120</v>
      </c>
      <c r="P5705"/>
      <c r="Q5705">
        <f t="shared" si="81"/>
        <v>3</v>
      </c>
      <c r="R5705">
        <v>1</v>
      </c>
      <c r="S5705">
        <v>0</v>
      </c>
      <c r="T5705">
        <v>0</v>
      </c>
      <c r="U5705">
        <v>0</v>
      </c>
      <c r="V5705">
        <v>0</v>
      </c>
      <c r="W5705">
        <v>3</v>
      </c>
      <c r="X5705" s="21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/>
      <c r="AI5705"/>
      <c r="AJ5705" t="s">
        <v>51</v>
      </c>
      <c r="AK5705" t="s">
        <v>95</v>
      </c>
      <c r="AL5705"/>
      <c r="AP5705" t="s">
        <v>116</v>
      </c>
    </row>
    <row r="5706" spans="1:42" s="6" customFormat="1">
      <c r="A5706" s="12">
        <v>43878</v>
      </c>
      <c r="B5706">
        <v>1</v>
      </c>
      <c r="C5706">
        <v>239</v>
      </c>
      <c r="D5706">
        <v>10205</v>
      </c>
      <c r="E5706" t="s">
        <v>37</v>
      </c>
      <c r="F5706" t="s">
        <v>90</v>
      </c>
      <c r="G5706">
        <v>2</v>
      </c>
      <c r="H5706">
        <v>19</v>
      </c>
      <c r="I5706" s="25">
        <v>74</v>
      </c>
      <c r="J5706"/>
      <c r="K5706" t="s">
        <v>96</v>
      </c>
      <c r="L5706" t="s">
        <v>114</v>
      </c>
      <c r="M5706" t="s">
        <v>52</v>
      </c>
      <c r="N5706" t="s">
        <v>40</v>
      </c>
      <c r="O5706">
        <v>92</v>
      </c>
      <c r="P5706"/>
      <c r="Q5706">
        <f t="shared" si="81"/>
        <v>3</v>
      </c>
      <c r="R5706">
        <v>1</v>
      </c>
      <c r="S5706">
        <v>0</v>
      </c>
      <c r="T5706">
        <v>0</v>
      </c>
      <c r="U5706">
        <v>0</v>
      </c>
      <c r="V5706">
        <v>0</v>
      </c>
      <c r="W5706">
        <v>3</v>
      </c>
      <c r="X5706" s="21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/>
      <c r="AI5706"/>
      <c r="AJ5706" t="s">
        <v>51</v>
      </c>
      <c r="AK5706" t="s">
        <v>95</v>
      </c>
      <c r="AL5706"/>
      <c r="AP5706" t="s">
        <v>116</v>
      </c>
    </row>
    <row r="5707" spans="1:42" s="6" customFormat="1">
      <c r="A5707" s="12">
        <v>43878</v>
      </c>
      <c r="B5707">
        <v>1</v>
      </c>
      <c r="C5707">
        <v>239</v>
      </c>
      <c r="D5707">
        <v>10205</v>
      </c>
      <c r="E5707" t="s">
        <v>37</v>
      </c>
      <c r="F5707" t="s">
        <v>90</v>
      </c>
      <c r="G5707">
        <v>2</v>
      </c>
      <c r="H5707">
        <v>20</v>
      </c>
      <c r="I5707" s="25"/>
      <c r="J5707"/>
      <c r="K5707" t="s">
        <v>1898</v>
      </c>
      <c r="L5707" t="s">
        <v>114</v>
      </c>
      <c r="M5707" t="s">
        <v>52</v>
      </c>
      <c r="N5707" t="s">
        <v>40</v>
      </c>
      <c r="O5707">
        <v>50</v>
      </c>
      <c r="P5707"/>
      <c r="Q5707">
        <f t="shared" si="81"/>
        <v>1</v>
      </c>
      <c r="R5707">
        <v>1</v>
      </c>
      <c r="S5707">
        <v>0</v>
      </c>
      <c r="T5707">
        <v>0</v>
      </c>
      <c r="U5707">
        <v>1</v>
      </c>
      <c r="V5707">
        <v>0</v>
      </c>
      <c r="W5707">
        <v>0</v>
      </c>
      <c r="X5707" s="21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/>
      <c r="AI5707"/>
      <c r="AJ5707" t="s">
        <v>51</v>
      </c>
      <c r="AK5707" t="s">
        <v>95</v>
      </c>
      <c r="AL5707" t="s">
        <v>649</v>
      </c>
      <c r="AP5707" t="s">
        <v>116</v>
      </c>
    </row>
    <row r="5708" spans="1:42" s="6" customFormat="1">
      <c r="A5708" s="12">
        <v>43878</v>
      </c>
      <c r="B5708">
        <v>1</v>
      </c>
      <c r="C5708">
        <v>239</v>
      </c>
      <c r="D5708">
        <v>10205</v>
      </c>
      <c r="E5708" t="s">
        <v>37</v>
      </c>
      <c r="F5708" t="s">
        <v>90</v>
      </c>
      <c r="G5708">
        <v>2</v>
      </c>
      <c r="H5708">
        <v>21</v>
      </c>
      <c r="I5708" s="25">
        <v>116</v>
      </c>
      <c r="J5708"/>
      <c r="K5708" t="s">
        <v>96</v>
      </c>
      <c r="L5708" t="s">
        <v>114</v>
      </c>
      <c r="M5708" t="s">
        <v>52</v>
      </c>
      <c r="N5708" t="s">
        <v>40</v>
      </c>
      <c r="O5708">
        <v>47</v>
      </c>
      <c r="P5708"/>
      <c r="Q5708">
        <f t="shared" si="81"/>
        <v>1</v>
      </c>
      <c r="R5708">
        <v>1</v>
      </c>
      <c r="S5708">
        <v>0</v>
      </c>
      <c r="T5708">
        <v>0</v>
      </c>
      <c r="U5708">
        <v>0</v>
      </c>
      <c r="V5708">
        <v>0</v>
      </c>
      <c r="W5708">
        <v>1</v>
      </c>
      <c r="X5708" s="21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/>
      <c r="AI5708"/>
      <c r="AJ5708" t="s">
        <v>51</v>
      </c>
      <c r="AK5708" t="s">
        <v>52</v>
      </c>
      <c r="AL5708"/>
      <c r="AP5708" t="s">
        <v>116</v>
      </c>
    </row>
    <row r="5709" spans="1:42" s="6" customFormat="1">
      <c r="A5709" s="12">
        <v>43878</v>
      </c>
      <c r="B5709">
        <v>1</v>
      </c>
      <c r="C5709">
        <v>239</v>
      </c>
      <c r="D5709">
        <v>10205</v>
      </c>
      <c r="E5709" t="s">
        <v>37</v>
      </c>
      <c r="F5709" t="s">
        <v>90</v>
      </c>
      <c r="G5709">
        <v>2</v>
      </c>
      <c r="H5709">
        <v>22</v>
      </c>
      <c r="I5709" s="25">
        <v>124</v>
      </c>
      <c r="J5709"/>
      <c r="K5709" t="s">
        <v>96</v>
      </c>
      <c r="L5709" t="s">
        <v>114</v>
      </c>
      <c r="M5709" t="s">
        <v>52</v>
      </c>
      <c r="N5709" t="s">
        <v>40</v>
      </c>
      <c r="O5709">
        <v>152</v>
      </c>
      <c r="P5709"/>
      <c r="Q5709">
        <f t="shared" si="81"/>
        <v>5</v>
      </c>
      <c r="R5709">
        <v>1</v>
      </c>
      <c r="S5709">
        <v>0</v>
      </c>
      <c r="T5709">
        <v>0</v>
      </c>
      <c r="U5709">
        <v>0</v>
      </c>
      <c r="V5709">
        <v>0</v>
      </c>
      <c r="W5709">
        <v>5</v>
      </c>
      <c r="X5709" s="21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/>
      <c r="AI5709"/>
      <c r="AJ5709" t="s">
        <v>51</v>
      </c>
      <c r="AK5709" t="s">
        <v>52</v>
      </c>
      <c r="AL5709"/>
      <c r="AP5709" t="s">
        <v>116</v>
      </c>
    </row>
    <row r="5710" spans="1:42" s="6" customFormat="1">
      <c r="A5710" s="12">
        <v>43878</v>
      </c>
      <c r="B5710">
        <v>1</v>
      </c>
      <c r="C5710">
        <v>239</v>
      </c>
      <c r="D5710">
        <v>10205</v>
      </c>
      <c r="E5710" t="s">
        <v>37</v>
      </c>
      <c r="F5710" t="s">
        <v>90</v>
      </c>
      <c r="G5710">
        <v>2</v>
      </c>
      <c r="H5710">
        <v>23</v>
      </c>
      <c r="I5710" s="25">
        <v>140</v>
      </c>
      <c r="J5710"/>
      <c r="K5710" t="s">
        <v>96</v>
      </c>
      <c r="L5710" t="s">
        <v>114</v>
      </c>
      <c r="M5710" t="s">
        <v>52</v>
      </c>
      <c r="N5710" t="s">
        <v>40</v>
      </c>
      <c r="O5710">
        <v>63</v>
      </c>
      <c r="P5710"/>
      <c r="Q5710">
        <f t="shared" si="81"/>
        <v>1</v>
      </c>
      <c r="R5710">
        <v>1</v>
      </c>
      <c r="S5710">
        <v>0</v>
      </c>
      <c r="T5710">
        <v>0</v>
      </c>
      <c r="U5710">
        <v>0</v>
      </c>
      <c r="V5710">
        <v>0</v>
      </c>
      <c r="W5710">
        <v>1</v>
      </c>
      <c r="X5710" s="21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/>
      <c r="AI5710"/>
      <c r="AJ5710" t="s">
        <v>51</v>
      </c>
      <c r="AK5710" t="s">
        <v>52</v>
      </c>
      <c r="AL5710"/>
      <c r="AP5710" t="s">
        <v>116</v>
      </c>
    </row>
    <row r="5711" spans="1:42" s="6" customFormat="1">
      <c r="A5711" s="12">
        <v>43878</v>
      </c>
      <c r="B5711">
        <v>1</v>
      </c>
      <c r="C5711">
        <v>239</v>
      </c>
      <c r="D5711">
        <v>10205</v>
      </c>
      <c r="E5711" t="s">
        <v>37</v>
      </c>
      <c r="F5711" t="s">
        <v>90</v>
      </c>
      <c r="G5711">
        <v>2</v>
      </c>
      <c r="H5711">
        <v>24</v>
      </c>
      <c r="I5711" s="25">
        <v>133</v>
      </c>
      <c r="J5711"/>
      <c r="K5711" t="s">
        <v>96</v>
      </c>
      <c r="L5711" t="s">
        <v>141</v>
      </c>
      <c r="M5711" t="s">
        <v>95</v>
      </c>
      <c r="N5711" t="s">
        <v>40</v>
      </c>
      <c r="O5711">
        <v>79</v>
      </c>
      <c r="P5711"/>
      <c r="Q5711">
        <f t="shared" si="81"/>
        <v>2</v>
      </c>
      <c r="R5711">
        <v>1</v>
      </c>
      <c r="S5711">
        <v>0</v>
      </c>
      <c r="T5711">
        <v>0</v>
      </c>
      <c r="U5711">
        <v>1</v>
      </c>
      <c r="V5711">
        <v>1</v>
      </c>
      <c r="W5711">
        <v>0</v>
      </c>
      <c r="X5711" s="2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/>
      <c r="AI5711"/>
      <c r="AJ5711" t="s">
        <v>51</v>
      </c>
      <c r="AK5711" t="s">
        <v>52</v>
      </c>
      <c r="AL5711"/>
      <c r="AP5711" t="s">
        <v>116</v>
      </c>
    </row>
    <row r="5712" spans="1:42" s="6" customFormat="1">
      <c r="A5712" s="12">
        <v>43878</v>
      </c>
      <c r="B5712">
        <v>1</v>
      </c>
      <c r="C5712">
        <v>239</v>
      </c>
      <c r="D5712">
        <v>10205</v>
      </c>
      <c r="E5712" t="s">
        <v>37</v>
      </c>
      <c r="F5712" t="s">
        <v>90</v>
      </c>
      <c r="G5712">
        <v>2</v>
      </c>
      <c r="H5712">
        <v>25</v>
      </c>
      <c r="I5712" s="25">
        <v>166</v>
      </c>
      <c r="J5712"/>
      <c r="K5712" t="s">
        <v>96</v>
      </c>
      <c r="L5712" t="s">
        <v>114</v>
      </c>
      <c r="M5712" t="s">
        <v>52</v>
      </c>
      <c r="N5712" t="s">
        <v>40</v>
      </c>
      <c r="O5712">
        <v>46</v>
      </c>
      <c r="P5712"/>
      <c r="Q5712">
        <f t="shared" si="81"/>
        <v>1</v>
      </c>
      <c r="R5712">
        <v>1</v>
      </c>
      <c r="S5712">
        <v>0</v>
      </c>
      <c r="T5712">
        <v>0</v>
      </c>
      <c r="U5712">
        <v>0</v>
      </c>
      <c r="V5712">
        <v>0</v>
      </c>
      <c r="W5712">
        <v>1</v>
      </c>
      <c r="X5712" s="21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/>
      <c r="AI5712"/>
      <c r="AJ5712" t="s">
        <v>51</v>
      </c>
      <c r="AK5712" t="s">
        <v>95</v>
      </c>
      <c r="AL5712"/>
      <c r="AP5712" t="s">
        <v>116</v>
      </c>
    </row>
    <row r="5713" spans="1:42" s="6" customFormat="1">
      <c r="A5713" s="12">
        <v>43878</v>
      </c>
      <c r="B5713">
        <v>1</v>
      </c>
      <c r="C5713">
        <v>239</v>
      </c>
      <c r="D5713">
        <v>10205</v>
      </c>
      <c r="E5713" t="s">
        <v>37</v>
      </c>
      <c r="F5713" t="s">
        <v>90</v>
      </c>
      <c r="G5713">
        <v>2</v>
      </c>
      <c r="H5713">
        <v>26</v>
      </c>
      <c r="I5713" s="25">
        <v>118</v>
      </c>
      <c r="J5713"/>
      <c r="K5713" t="s">
        <v>101</v>
      </c>
      <c r="L5713" t="s">
        <v>114</v>
      </c>
      <c r="M5713" t="s">
        <v>52</v>
      </c>
      <c r="N5713" t="s">
        <v>40</v>
      </c>
      <c r="O5713">
        <v>49</v>
      </c>
      <c r="P5713"/>
      <c r="Q5713">
        <f t="shared" si="81"/>
        <v>2</v>
      </c>
      <c r="R5713">
        <v>1</v>
      </c>
      <c r="S5713">
        <v>0</v>
      </c>
      <c r="T5713">
        <v>0</v>
      </c>
      <c r="U5713">
        <v>0</v>
      </c>
      <c r="V5713">
        <v>0</v>
      </c>
      <c r="W5713">
        <v>2</v>
      </c>
      <c r="X5713" s="21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/>
      <c r="AI5713"/>
      <c r="AJ5713" t="s">
        <v>51</v>
      </c>
      <c r="AK5713" t="s">
        <v>95</v>
      </c>
      <c r="AL5713"/>
      <c r="AP5713" t="s">
        <v>116</v>
      </c>
    </row>
    <row r="5714" spans="1:42" s="6" customFormat="1">
      <c r="A5714" s="12">
        <v>43878</v>
      </c>
      <c r="B5714">
        <v>1</v>
      </c>
      <c r="C5714">
        <v>239</v>
      </c>
      <c r="D5714">
        <v>10205</v>
      </c>
      <c r="E5714" t="s">
        <v>37</v>
      </c>
      <c r="F5714" t="s">
        <v>90</v>
      </c>
      <c r="G5714">
        <v>2</v>
      </c>
      <c r="H5714">
        <v>27</v>
      </c>
      <c r="I5714" s="25">
        <v>111</v>
      </c>
      <c r="J5714"/>
      <c r="K5714" t="s">
        <v>101</v>
      </c>
      <c r="L5714" t="s">
        <v>141</v>
      </c>
      <c r="M5714" t="s">
        <v>52</v>
      </c>
      <c r="N5714" t="s">
        <v>40</v>
      </c>
      <c r="O5714">
        <v>206</v>
      </c>
      <c r="P5714"/>
      <c r="Q5714">
        <f t="shared" si="81"/>
        <v>5</v>
      </c>
      <c r="R5714">
        <v>1</v>
      </c>
      <c r="S5714">
        <v>0</v>
      </c>
      <c r="T5714">
        <v>0</v>
      </c>
      <c r="U5714">
        <v>0</v>
      </c>
      <c r="V5714">
        <v>0</v>
      </c>
      <c r="W5714">
        <v>5</v>
      </c>
      <c r="X5714" s="21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/>
      <c r="AI5714"/>
      <c r="AJ5714" t="s">
        <v>51</v>
      </c>
      <c r="AK5714" t="s">
        <v>52</v>
      </c>
      <c r="AL5714"/>
      <c r="AP5714" t="s">
        <v>116</v>
      </c>
    </row>
    <row r="5715" spans="1:42" s="6" customFormat="1">
      <c r="A5715" s="12">
        <v>43878</v>
      </c>
      <c r="B5715">
        <v>1</v>
      </c>
      <c r="C5715">
        <v>239</v>
      </c>
      <c r="D5715">
        <v>10205</v>
      </c>
      <c r="E5715" t="s">
        <v>37</v>
      </c>
      <c r="F5715" t="s">
        <v>90</v>
      </c>
      <c r="G5715">
        <v>2</v>
      </c>
      <c r="H5715">
        <v>28</v>
      </c>
      <c r="I5715" s="25">
        <v>199</v>
      </c>
      <c r="J5715"/>
      <c r="K5715" t="s">
        <v>94</v>
      </c>
      <c r="L5715" t="s">
        <v>141</v>
      </c>
      <c r="M5715" t="s">
        <v>52</v>
      </c>
      <c r="N5715" t="s">
        <v>40</v>
      </c>
      <c r="O5715">
        <v>48</v>
      </c>
      <c r="P5715"/>
      <c r="Q5715">
        <f t="shared" si="81"/>
        <v>1</v>
      </c>
      <c r="R5715">
        <v>1</v>
      </c>
      <c r="S5715">
        <v>0</v>
      </c>
      <c r="T5715">
        <v>0</v>
      </c>
      <c r="U5715">
        <v>1</v>
      </c>
      <c r="V5715">
        <v>0</v>
      </c>
      <c r="W5715">
        <v>0</v>
      </c>
      <c r="X5715" s="21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/>
      <c r="AI5715"/>
      <c r="AJ5715" t="s">
        <v>51</v>
      </c>
      <c r="AK5715" t="s">
        <v>95</v>
      </c>
      <c r="AL5715" t="s">
        <v>649</v>
      </c>
      <c r="AP5715" t="s">
        <v>116</v>
      </c>
    </row>
    <row r="5716" spans="1:42" s="6" customFormat="1">
      <c r="A5716" s="12">
        <v>43878</v>
      </c>
      <c r="B5716">
        <v>1</v>
      </c>
      <c r="C5716">
        <v>239</v>
      </c>
      <c r="D5716">
        <v>10205</v>
      </c>
      <c r="E5716" t="s">
        <v>37</v>
      </c>
      <c r="F5716" t="s">
        <v>90</v>
      </c>
      <c r="G5716">
        <v>2</v>
      </c>
      <c r="H5716">
        <v>29</v>
      </c>
      <c r="I5716" s="25">
        <v>160</v>
      </c>
      <c r="J5716"/>
      <c r="K5716" t="s">
        <v>94</v>
      </c>
      <c r="L5716" t="s">
        <v>114</v>
      </c>
      <c r="M5716" t="s">
        <v>52</v>
      </c>
      <c r="N5716" t="s">
        <v>40</v>
      </c>
      <c r="O5716">
        <v>170</v>
      </c>
      <c r="P5716"/>
      <c r="Q5716">
        <f t="shared" si="81"/>
        <v>6</v>
      </c>
      <c r="R5716">
        <v>1</v>
      </c>
      <c r="S5716">
        <v>0</v>
      </c>
      <c r="T5716">
        <v>0</v>
      </c>
      <c r="U5716">
        <v>0</v>
      </c>
      <c r="V5716">
        <v>0</v>
      </c>
      <c r="W5716">
        <v>6</v>
      </c>
      <c r="X5716" s="21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/>
      <c r="AI5716"/>
      <c r="AJ5716" t="s">
        <v>51</v>
      </c>
      <c r="AK5716" t="s">
        <v>95</v>
      </c>
      <c r="AL5716"/>
      <c r="AP5716" t="s">
        <v>116</v>
      </c>
    </row>
    <row r="5717" spans="1:42" s="6" customFormat="1">
      <c r="A5717" s="12">
        <v>43878</v>
      </c>
      <c r="B5717">
        <v>1</v>
      </c>
      <c r="C5717">
        <v>239</v>
      </c>
      <c r="D5717">
        <v>10205</v>
      </c>
      <c r="E5717" t="s">
        <v>37</v>
      </c>
      <c r="F5717" t="s">
        <v>90</v>
      </c>
      <c r="G5717">
        <v>2</v>
      </c>
      <c r="H5717">
        <v>30</v>
      </c>
      <c r="I5717" s="25">
        <v>141</v>
      </c>
      <c r="J5717"/>
      <c r="K5717" t="s">
        <v>94</v>
      </c>
      <c r="L5717" t="s">
        <v>141</v>
      </c>
      <c r="M5717" t="s">
        <v>52</v>
      </c>
      <c r="N5717" t="s">
        <v>40</v>
      </c>
      <c r="O5717">
        <v>160</v>
      </c>
      <c r="P5717"/>
      <c r="Q5717">
        <f t="shared" si="81"/>
        <v>4</v>
      </c>
      <c r="R5717">
        <v>1</v>
      </c>
      <c r="S5717">
        <v>0</v>
      </c>
      <c r="T5717">
        <v>0</v>
      </c>
      <c r="U5717">
        <v>0</v>
      </c>
      <c r="V5717">
        <v>0</v>
      </c>
      <c r="W5717">
        <v>4</v>
      </c>
      <c r="X5717" s="21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/>
      <c r="AI5717"/>
      <c r="AJ5717" t="s">
        <v>51</v>
      </c>
      <c r="AK5717" t="s">
        <v>52</v>
      </c>
      <c r="AL5717"/>
      <c r="AP5717" t="s">
        <v>116</v>
      </c>
    </row>
    <row r="5718" spans="1:42" s="6" customFormat="1">
      <c r="A5718" s="12">
        <v>43878</v>
      </c>
      <c r="B5718">
        <v>1</v>
      </c>
      <c r="C5718">
        <v>239</v>
      </c>
      <c r="D5718">
        <v>10205</v>
      </c>
      <c r="E5718" t="s">
        <v>37</v>
      </c>
      <c r="F5718" t="s">
        <v>90</v>
      </c>
      <c r="G5718">
        <v>2</v>
      </c>
      <c r="H5718">
        <v>31</v>
      </c>
      <c r="I5718" s="25">
        <v>144</v>
      </c>
      <c r="J5718"/>
      <c r="K5718" t="s">
        <v>94</v>
      </c>
      <c r="L5718" t="s">
        <v>114</v>
      </c>
      <c r="M5718" t="s">
        <v>52</v>
      </c>
      <c r="N5718" t="s">
        <v>40</v>
      </c>
      <c r="O5718">
        <v>177</v>
      </c>
      <c r="P5718"/>
      <c r="Q5718">
        <f t="shared" si="81"/>
        <v>7</v>
      </c>
      <c r="R5718">
        <v>1</v>
      </c>
      <c r="S5718">
        <v>0</v>
      </c>
      <c r="T5718">
        <v>0</v>
      </c>
      <c r="U5718">
        <v>0</v>
      </c>
      <c r="V5718">
        <v>0</v>
      </c>
      <c r="W5718">
        <v>7</v>
      </c>
      <c r="X5718" s="21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/>
      <c r="AI5718"/>
      <c r="AJ5718" t="s">
        <v>51</v>
      </c>
      <c r="AK5718" t="s">
        <v>95</v>
      </c>
      <c r="AL5718"/>
      <c r="AP5718" t="s">
        <v>116</v>
      </c>
    </row>
    <row r="5719" spans="1:42" s="6" customFormat="1">
      <c r="A5719" s="12">
        <v>43878</v>
      </c>
      <c r="B5719">
        <v>1</v>
      </c>
      <c r="C5719">
        <v>239</v>
      </c>
      <c r="D5719">
        <v>10205</v>
      </c>
      <c r="E5719" t="s">
        <v>37</v>
      </c>
      <c r="F5719" t="s">
        <v>90</v>
      </c>
      <c r="G5719">
        <v>2</v>
      </c>
      <c r="H5719">
        <v>32</v>
      </c>
      <c r="I5719" s="25" t="s">
        <v>1899</v>
      </c>
      <c r="J5719"/>
      <c r="K5719" t="s">
        <v>1900</v>
      </c>
      <c r="L5719" t="s">
        <v>1846</v>
      </c>
      <c r="M5719" t="s">
        <v>52</v>
      </c>
      <c r="N5719" t="s">
        <v>40</v>
      </c>
      <c r="O5719">
        <v>165</v>
      </c>
      <c r="P5719"/>
      <c r="Q5719">
        <f t="shared" si="81"/>
        <v>3</v>
      </c>
      <c r="R5719">
        <v>1</v>
      </c>
      <c r="S5719">
        <v>0</v>
      </c>
      <c r="T5719">
        <v>0</v>
      </c>
      <c r="U5719">
        <v>0</v>
      </c>
      <c r="V5719">
        <v>0</v>
      </c>
      <c r="W5719">
        <v>3</v>
      </c>
      <c r="X5719" s="21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/>
      <c r="AI5719"/>
      <c r="AJ5719" t="s">
        <v>51</v>
      </c>
      <c r="AK5719" t="s">
        <v>95</v>
      </c>
      <c r="AL5719" t="s">
        <v>1844</v>
      </c>
      <c r="AP5719" t="s">
        <v>116</v>
      </c>
    </row>
    <row r="5720" spans="1:42" s="6" customFormat="1">
      <c r="A5720" s="12">
        <v>43878</v>
      </c>
      <c r="B5720">
        <v>1</v>
      </c>
      <c r="C5720">
        <v>239</v>
      </c>
      <c r="D5720">
        <v>10205</v>
      </c>
      <c r="E5720" t="s">
        <v>37</v>
      </c>
      <c r="F5720" t="s">
        <v>90</v>
      </c>
      <c r="G5720">
        <v>2</v>
      </c>
      <c r="H5720">
        <v>33</v>
      </c>
      <c r="I5720" s="25">
        <v>34</v>
      </c>
      <c r="J5720"/>
      <c r="K5720" t="s">
        <v>102</v>
      </c>
      <c r="L5720" t="s">
        <v>114</v>
      </c>
      <c r="M5720" t="s">
        <v>52</v>
      </c>
      <c r="N5720" t="s">
        <v>40</v>
      </c>
      <c r="O5720">
        <v>82</v>
      </c>
      <c r="P5720"/>
      <c r="Q5720">
        <f t="shared" si="81"/>
        <v>1</v>
      </c>
      <c r="R5720">
        <v>1</v>
      </c>
      <c r="S5720">
        <v>0</v>
      </c>
      <c r="T5720">
        <v>0</v>
      </c>
      <c r="U5720">
        <v>0</v>
      </c>
      <c r="V5720">
        <v>0</v>
      </c>
      <c r="W5720">
        <v>1</v>
      </c>
      <c r="X5720" s="21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/>
      <c r="AI5720"/>
      <c r="AJ5720" t="s">
        <v>51</v>
      </c>
      <c r="AK5720" t="s">
        <v>52</v>
      </c>
      <c r="AL5720"/>
      <c r="AP5720" t="s">
        <v>116</v>
      </c>
    </row>
    <row r="5721" spans="1:42" s="6" customFormat="1">
      <c r="A5721" s="12">
        <v>43878</v>
      </c>
      <c r="B5721">
        <v>1</v>
      </c>
      <c r="C5721">
        <v>239</v>
      </c>
      <c r="D5721">
        <v>10205</v>
      </c>
      <c r="E5721" t="s">
        <v>37</v>
      </c>
      <c r="F5721" t="s">
        <v>90</v>
      </c>
      <c r="G5721">
        <v>2</v>
      </c>
      <c r="H5721">
        <v>34</v>
      </c>
      <c r="I5721" s="25" t="s">
        <v>1901</v>
      </c>
      <c r="J5721"/>
      <c r="K5721" t="s">
        <v>94</v>
      </c>
      <c r="L5721" t="s">
        <v>114</v>
      </c>
      <c r="M5721" t="s">
        <v>52</v>
      </c>
      <c r="N5721" t="s">
        <v>40</v>
      </c>
      <c r="O5721">
        <v>242</v>
      </c>
      <c r="P5721"/>
      <c r="Q5721">
        <f t="shared" si="81"/>
        <v>5</v>
      </c>
      <c r="R5721">
        <v>1</v>
      </c>
      <c r="S5721">
        <v>0</v>
      </c>
      <c r="T5721">
        <v>0</v>
      </c>
      <c r="U5721">
        <v>0</v>
      </c>
      <c r="V5721">
        <v>1</v>
      </c>
      <c r="W5721">
        <v>4</v>
      </c>
      <c r="X5721" s="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/>
      <c r="AI5721"/>
      <c r="AJ5721" t="s">
        <v>51</v>
      </c>
      <c r="AK5721" t="s">
        <v>52</v>
      </c>
      <c r="AL5721"/>
      <c r="AP5721" t="s">
        <v>116</v>
      </c>
    </row>
    <row r="5722" spans="1:42" s="6" customFormat="1">
      <c r="A5722" s="12">
        <v>43878</v>
      </c>
      <c r="B5722">
        <v>1</v>
      </c>
      <c r="C5722">
        <v>239</v>
      </c>
      <c r="D5722">
        <v>10205</v>
      </c>
      <c r="E5722" t="s">
        <v>37</v>
      </c>
      <c r="F5722" t="s">
        <v>90</v>
      </c>
      <c r="G5722">
        <v>2</v>
      </c>
      <c r="H5722">
        <v>35</v>
      </c>
      <c r="I5722" s="25">
        <v>238</v>
      </c>
      <c r="J5722"/>
      <c r="K5722" t="s">
        <v>94</v>
      </c>
      <c r="L5722" t="s">
        <v>114</v>
      </c>
      <c r="M5722" t="s">
        <v>52</v>
      </c>
      <c r="N5722" t="s">
        <v>40</v>
      </c>
      <c r="O5722">
        <v>176</v>
      </c>
      <c r="P5722"/>
      <c r="Q5722">
        <f t="shared" si="81"/>
        <v>5</v>
      </c>
      <c r="R5722">
        <v>1</v>
      </c>
      <c r="S5722">
        <v>0</v>
      </c>
      <c r="T5722">
        <v>0</v>
      </c>
      <c r="U5722">
        <v>0</v>
      </c>
      <c r="V5722">
        <v>0</v>
      </c>
      <c r="W5722">
        <v>5</v>
      </c>
      <c r="X5722" s="21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/>
      <c r="AI5722"/>
      <c r="AJ5722" t="s">
        <v>51</v>
      </c>
      <c r="AK5722" t="s">
        <v>52</v>
      </c>
      <c r="AL5722"/>
      <c r="AP5722" t="s">
        <v>116</v>
      </c>
    </row>
    <row r="5723" spans="1:42" s="6" customFormat="1">
      <c r="A5723" s="12">
        <v>43878</v>
      </c>
      <c r="B5723">
        <v>1</v>
      </c>
      <c r="C5723">
        <v>239</v>
      </c>
      <c r="D5723">
        <v>10205</v>
      </c>
      <c r="E5723" t="s">
        <v>37</v>
      </c>
      <c r="F5723" t="s">
        <v>90</v>
      </c>
      <c r="G5723">
        <v>2</v>
      </c>
      <c r="H5723">
        <v>36</v>
      </c>
      <c r="I5723" s="25" t="s">
        <v>1902</v>
      </c>
      <c r="J5723"/>
      <c r="K5723" t="s">
        <v>94</v>
      </c>
      <c r="L5723" t="s">
        <v>114</v>
      </c>
      <c r="M5723" t="s">
        <v>52</v>
      </c>
      <c r="N5723" t="s">
        <v>40</v>
      </c>
      <c r="O5723">
        <v>398</v>
      </c>
      <c r="P5723"/>
      <c r="Q5723">
        <f t="shared" si="81"/>
        <v>10</v>
      </c>
      <c r="R5723">
        <v>1</v>
      </c>
      <c r="S5723">
        <v>0</v>
      </c>
      <c r="T5723">
        <v>0</v>
      </c>
      <c r="U5723">
        <v>0</v>
      </c>
      <c r="V5723">
        <v>1</v>
      </c>
      <c r="W5723">
        <v>9</v>
      </c>
      <c r="X5723" s="21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/>
      <c r="AI5723"/>
      <c r="AJ5723" t="s">
        <v>51</v>
      </c>
      <c r="AK5723" t="s">
        <v>95</v>
      </c>
      <c r="AL5723"/>
      <c r="AP5723" t="s">
        <v>116</v>
      </c>
    </row>
    <row r="5724" spans="1:42" s="6" customFormat="1">
      <c r="A5724" s="12">
        <v>43878</v>
      </c>
      <c r="B5724">
        <v>1</v>
      </c>
      <c r="C5724">
        <v>239</v>
      </c>
      <c r="D5724">
        <v>10205</v>
      </c>
      <c r="E5724" t="s">
        <v>37</v>
      </c>
      <c r="F5724" t="s">
        <v>90</v>
      </c>
      <c r="G5724">
        <v>2</v>
      </c>
      <c r="H5724">
        <v>37</v>
      </c>
      <c r="I5724" s="25" t="s">
        <v>1903</v>
      </c>
      <c r="J5724"/>
      <c r="K5724" t="s">
        <v>94</v>
      </c>
      <c r="L5724" t="s">
        <v>141</v>
      </c>
      <c r="M5724" t="s">
        <v>52</v>
      </c>
      <c r="N5724" t="s">
        <v>40</v>
      </c>
      <c r="O5724">
        <v>329</v>
      </c>
      <c r="P5724"/>
      <c r="Q5724">
        <f t="shared" si="81"/>
        <v>11</v>
      </c>
      <c r="R5724">
        <v>1</v>
      </c>
      <c r="S5724">
        <v>0</v>
      </c>
      <c r="T5724">
        <v>0</v>
      </c>
      <c r="U5724">
        <v>1</v>
      </c>
      <c r="V5724">
        <v>0</v>
      </c>
      <c r="W5724">
        <v>10</v>
      </c>
      <c r="X5724" s="21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/>
      <c r="AI5724"/>
      <c r="AJ5724" t="s">
        <v>51</v>
      </c>
      <c r="AK5724" t="s">
        <v>52</v>
      </c>
      <c r="AL5724" t="s">
        <v>1904</v>
      </c>
      <c r="AP5724" t="s">
        <v>116</v>
      </c>
    </row>
    <row r="5725" spans="1:42" s="6" customFormat="1">
      <c r="A5725" s="12">
        <v>43878</v>
      </c>
      <c r="B5725">
        <v>1</v>
      </c>
      <c r="C5725">
        <v>239</v>
      </c>
      <c r="D5725">
        <v>10205</v>
      </c>
      <c r="E5725" t="s">
        <v>37</v>
      </c>
      <c r="F5725" t="s">
        <v>90</v>
      </c>
      <c r="G5725">
        <v>2</v>
      </c>
      <c r="H5725">
        <v>38</v>
      </c>
      <c r="I5725" s="25">
        <v>347</v>
      </c>
      <c r="J5725"/>
      <c r="K5725" t="s">
        <v>94</v>
      </c>
      <c r="L5725" t="s">
        <v>141</v>
      </c>
      <c r="M5725" t="s">
        <v>52</v>
      </c>
      <c r="N5725" t="s">
        <v>40</v>
      </c>
      <c r="O5725">
        <v>127</v>
      </c>
      <c r="P5725"/>
      <c r="Q5725">
        <f t="shared" si="81"/>
        <v>3</v>
      </c>
      <c r="R5725">
        <v>1</v>
      </c>
      <c r="S5725">
        <v>0</v>
      </c>
      <c r="T5725">
        <v>0</v>
      </c>
      <c r="U5725">
        <v>0</v>
      </c>
      <c r="V5725">
        <v>2</v>
      </c>
      <c r="W5725">
        <v>1</v>
      </c>
      <c r="X5725" s="21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/>
      <c r="AI5725"/>
      <c r="AJ5725" t="s">
        <v>51</v>
      </c>
      <c r="AK5725" t="s">
        <v>52</v>
      </c>
      <c r="AL5725"/>
      <c r="AP5725" t="s">
        <v>116</v>
      </c>
    </row>
    <row r="5726" spans="1:42" s="6" customFormat="1">
      <c r="A5726" s="12">
        <v>43878</v>
      </c>
      <c r="B5726">
        <v>1</v>
      </c>
      <c r="C5726">
        <v>239</v>
      </c>
      <c r="D5726">
        <v>10205</v>
      </c>
      <c r="E5726" t="s">
        <v>37</v>
      </c>
      <c r="F5726" t="s">
        <v>90</v>
      </c>
      <c r="G5726">
        <v>2</v>
      </c>
      <c r="H5726">
        <v>39</v>
      </c>
      <c r="I5726" s="25">
        <v>235</v>
      </c>
      <c r="J5726"/>
      <c r="K5726" t="s">
        <v>94</v>
      </c>
      <c r="L5726" t="s">
        <v>141</v>
      </c>
      <c r="M5726" t="s">
        <v>52</v>
      </c>
      <c r="N5726" t="s">
        <v>40</v>
      </c>
      <c r="O5726">
        <v>152</v>
      </c>
      <c r="P5726"/>
      <c r="Q5726">
        <f t="shared" ref="Q5726:Q5758" si="82">S5726+T5726+U5726+V5726+W5726+Y5726+Z5726+AA5726+AB5726+AC5726+AD5726+AE5726+AF5726</f>
        <v>5</v>
      </c>
      <c r="R5726">
        <v>1</v>
      </c>
      <c r="S5726">
        <v>0</v>
      </c>
      <c r="T5726">
        <v>0</v>
      </c>
      <c r="U5726">
        <v>0</v>
      </c>
      <c r="V5726">
        <v>5</v>
      </c>
      <c r="W5726">
        <v>0</v>
      </c>
      <c r="X5726" s="21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/>
      <c r="AI5726"/>
      <c r="AJ5726" t="s">
        <v>51</v>
      </c>
      <c r="AK5726" t="s">
        <v>52</v>
      </c>
      <c r="AL5726"/>
      <c r="AP5726" t="s">
        <v>116</v>
      </c>
    </row>
    <row r="5727" spans="1:42" s="6" customFormat="1">
      <c r="A5727" s="12">
        <v>43878</v>
      </c>
      <c r="B5727">
        <v>1</v>
      </c>
      <c r="C5727">
        <v>239</v>
      </c>
      <c r="D5727">
        <v>10205</v>
      </c>
      <c r="E5727" t="s">
        <v>37</v>
      </c>
      <c r="F5727" t="s">
        <v>90</v>
      </c>
      <c r="G5727">
        <v>2</v>
      </c>
      <c r="H5727">
        <v>40</v>
      </c>
      <c r="I5727" s="25">
        <v>217</v>
      </c>
      <c r="J5727"/>
      <c r="K5727" t="s">
        <v>94</v>
      </c>
      <c r="L5727" t="s">
        <v>141</v>
      </c>
      <c r="M5727" t="s">
        <v>52</v>
      </c>
      <c r="N5727" t="s">
        <v>40</v>
      </c>
      <c r="O5727">
        <v>290</v>
      </c>
      <c r="P5727"/>
      <c r="Q5727">
        <f t="shared" si="82"/>
        <v>5</v>
      </c>
      <c r="R5727">
        <v>1</v>
      </c>
      <c r="S5727">
        <v>0</v>
      </c>
      <c r="T5727">
        <v>0</v>
      </c>
      <c r="U5727">
        <v>0</v>
      </c>
      <c r="V5727">
        <v>0</v>
      </c>
      <c r="W5727">
        <v>5</v>
      </c>
      <c r="X5727" s="21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/>
      <c r="AI5727"/>
      <c r="AJ5727" t="s">
        <v>51</v>
      </c>
      <c r="AK5727" t="s">
        <v>52</v>
      </c>
      <c r="AL5727"/>
      <c r="AP5727" t="s">
        <v>116</v>
      </c>
    </row>
    <row r="5728" spans="1:42" s="6" customFormat="1">
      <c r="A5728" s="12">
        <v>43878</v>
      </c>
      <c r="B5728">
        <v>1</v>
      </c>
      <c r="C5728">
        <v>239</v>
      </c>
      <c r="D5728">
        <v>10205</v>
      </c>
      <c r="E5728" t="s">
        <v>37</v>
      </c>
      <c r="F5728" t="s">
        <v>90</v>
      </c>
      <c r="G5728">
        <v>2</v>
      </c>
      <c r="H5728">
        <v>41</v>
      </c>
      <c r="I5728" s="25">
        <v>201</v>
      </c>
      <c r="J5728"/>
      <c r="K5728" t="s">
        <v>100</v>
      </c>
      <c r="L5728" t="s">
        <v>141</v>
      </c>
      <c r="M5728" t="s">
        <v>52</v>
      </c>
      <c r="N5728" t="s">
        <v>40</v>
      </c>
      <c r="O5728">
        <v>38</v>
      </c>
      <c r="P5728"/>
      <c r="Q5728">
        <f t="shared" si="82"/>
        <v>2</v>
      </c>
      <c r="R5728">
        <v>1</v>
      </c>
      <c r="S5728">
        <v>0</v>
      </c>
      <c r="T5728">
        <v>0</v>
      </c>
      <c r="U5728">
        <v>2</v>
      </c>
      <c r="V5728">
        <v>0</v>
      </c>
      <c r="W5728">
        <v>0</v>
      </c>
      <c r="X5728" s="21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/>
      <c r="AI5728"/>
      <c r="AJ5728" t="s">
        <v>51</v>
      </c>
      <c r="AK5728" t="s">
        <v>95</v>
      </c>
      <c r="AL5728"/>
      <c r="AP5728" t="s">
        <v>116</v>
      </c>
    </row>
    <row r="5729" spans="1:42" s="6" customFormat="1">
      <c r="A5729" s="12">
        <v>43878</v>
      </c>
      <c r="B5729">
        <v>1</v>
      </c>
      <c r="C5729">
        <v>239</v>
      </c>
      <c r="D5729">
        <v>10205</v>
      </c>
      <c r="E5729" t="s">
        <v>37</v>
      </c>
      <c r="F5729" t="s">
        <v>90</v>
      </c>
      <c r="G5729">
        <v>2</v>
      </c>
      <c r="H5729">
        <v>42</v>
      </c>
      <c r="I5729" s="25">
        <v>355</v>
      </c>
      <c r="J5729"/>
      <c r="K5729" t="s">
        <v>100</v>
      </c>
      <c r="L5729" t="s">
        <v>141</v>
      </c>
      <c r="M5729" t="s">
        <v>52</v>
      </c>
      <c r="N5729" t="s">
        <v>40</v>
      </c>
      <c r="O5729">
        <v>133</v>
      </c>
      <c r="P5729"/>
      <c r="Q5729">
        <f t="shared" si="82"/>
        <v>2</v>
      </c>
      <c r="R5729">
        <v>1</v>
      </c>
      <c r="S5729">
        <v>0</v>
      </c>
      <c r="T5729">
        <v>0</v>
      </c>
      <c r="U5729">
        <v>0</v>
      </c>
      <c r="V5729">
        <v>0</v>
      </c>
      <c r="W5729">
        <v>2</v>
      </c>
      <c r="X5729" s="21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/>
      <c r="AI5729"/>
      <c r="AJ5729" t="s">
        <v>51</v>
      </c>
      <c r="AK5729" t="s">
        <v>52</v>
      </c>
      <c r="AL5729"/>
      <c r="AP5729" t="s">
        <v>116</v>
      </c>
    </row>
    <row r="5730" spans="1:42" s="6" customFormat="1">
      <c r="A5730" s="12">
        <v>43878</v>
      </c>
      <c r="B5730">
        <v>1</v>
      </c>
      <c r="C5730">
        <v>239</v>
      </c>
      <c r="D5730">
        <v>10205</v>
      </c>
      <c r="E5730" t="s">
        <v>37</v>
      </c>
      <c r="F5730" t="s">
        <v>90</v>
      </c>
      <c r="G5730">
        <v>2</v>
      </c>
      <c r="H5730">
        <v>43</v>
      </c>
      <c r="I5730" s="25">
        <v>373</v>
      </c>
      <c r="J5730"/>
      <c r="K5730" t="s">
        <v>100</v>
      </c>
      <c r="L5730" t="s">
        <v>141</v>
      </c>
      <c r="M5730" t="s">
        <v>52</v>
      </c>
      <c r="N5730" t="s">
        <v>40</v>
      </c>
      <c r="O5730">
        <v>159</v>
      </c>
      <c r="P5730"/>
      <c r="Q5730">
        <f t="shared" si="82"/>
        <v>4</v>
      </c>
      <c r="R5730">
        <v>1</v>
      </c>
      <c r="S5730">
        <v>0</v>
      </c>
      <c r="T5730">
        <v>0</v>
      </c>
      <c r="U5730">
        <v>0</v>
      </c>
      <c r="V5730">
        <v>0</v>
      </c>
      <c r="W5730">
        <v>4</v>
      </c>
      <c r="X5730" s="21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/>
      <c r="AI5730"/>
      <c r="AJ5730" t="s">
        <v>51</v>
      </c>
      <c r="AK5730" t="s">
        <v>52</v>
      </c>
      <c r="AL5730"/>
      <c r="AP5730" t="s">
        <v>116</v>
      </c>
    </row>
    <row r="5731" spans="1:42" s="6" customFormat="1">
      <c r="A5731" s="12">
        <v>43878</v>
      </c>
      <c r="B5731">
        <v>1</v>
      </c>
      <c r="C5731">
        <v>239</v>
      </c>
      <c r="D5731">
        <v>10205</v>
      </c>
      <c r="E5731" t="s">
        <v>37</v>
      </c>
      <c r="F5731" t="s">
        <v>90</v>
      </c>
      <c r="G5731">
        <v>2</v>
      </c>
      <c r="H5731">
        <v>44</v>
      </c>
      <c r="I5731" s="25">
        <v>387</v>
      </c>
      <c r="J5731"/>
      <c r="K5731" t="s">
        <v>100</v>
      </c>
      <c r="L5731" t="s">
        <v>141</v>
      </c>
      <c r="M5731" t="s">
        <v>52</v>
      </c>
      <c r="N5731" t="s">
        <v>40</v>
      </c>
      <c r="O5731">
        <v>78</v>
      </c>
      <c r="P5731"/>
      <c r="Q5731">
        <f t="shared" si="82"/>
        <v>2</v>
      </c>
      <c r="R5731">
        <v>1</v>
      </c>
      <c r="S5731">
        <v>0</v>
      </c>
      <c r="T5731">
        <v>0</v>
      </c>
      <c r="U5731">
        <v>0</v>
      </c>
      <c r="V5731">
        <v>0</v>
      </c>
      <c r="W5731">
        <v>2</v>
      </c>
      <c r="X5731" s="2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/>
      <c r="AI5731"/>
      <c r="AJ5731" t="s">
        <v>51</v>
      </c>
      <c r="AK5731" t="s">
        <v>52</v>
      </c>
      <c r="AL5731"/>
      <c r="AP5731" t="s">
        <v>116</v>
      </c>
    </row>
    <row r="5732" spans="1:42" s="6" customFormat="1">
      <c r="A5732" s="12">
        <v>43878</v>
      </c>
      <c r="B5732">
        <v>1</v>
      </c>
      <c r="C5732">
        <v>239</v>
      </c>
      <c r="D5732">
        <v>10205</v>
      </c>
      <c r="E5732" t="s">
        <v>37</v>
      </c>
      <c r="F5732" t="s">
        <v>90</v>
      </c>
      <c r="G5732">
        <v>2</v>
      </c>
      <c r="H5732">
        <v>45</v>
      </c>
      <c r="I5732" s="25">
        <v>473</v>
      </c>
      <c r="J5732"/>
      <c r="K5732" t="s">
        <v>100</v>
      </c>
      <c r="L5732" t="s">
        <v>141</v>
      </c>
      <c r="M5732" t="s">
        <v>52</v>
      </c>
      <c r="N5732" t="s">
        <v>40</v>
      </c>
      <c r="O5732">
        <v>214</v>
      </c>
      <c r="P5732"/>
      <c r="Q5732">
        <f t="shared" si="82"/>
        <v>5</v>
      </c>
      <c r="R5732">
        <v>1</v>
      </c>
      <c r="S5732">
        <v>0</v>
      </c>
      <c r="T5732">
        <v>0</v>
      </c>
      <c r="U5732">
        <v>0</v>
      </c>
      <c r="V5732">
        <v>0</v>
      </c>
      <c r="W5732">
        <v>5</v>
      </c>
      <c r="X5732" s="21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/>
      <c r="AI5732"/>
      <c r="AJ5732" t="s">
        <v>51</v>
      </c>
      <c r="AK5732" t="s">
        <v>52</v>
      </c>
      <c r="AL5732"/>
      <c r="AP5732" t="s">
        <v>116</v>
      </c>
    </row>
    <row r="5733" spans="1:42" s="6" customFormat="1">
      <c r="A5733" s="12">
        <v>43878</v>
      </c>
      <c r="B5733">
        <v>1</v>
      </c>
      <c r="C5733">
        <v>239</v>
      </c>
      <c r="D5733">
        <v>10205</v>
      </c>
      <c r="E5733" t="s">
        <v>37</v>
      </c>
      <c r="F5733" t="s">
        <v>90</v>
      </c>
      <c r="G5733">
        <v>2</v>
      </c>
      <c r="H5733">
        <v>46</v>
      </c>
      <c r="I5733" s="25">
        <v>465</v>
      </c>
      <c r="J5733"/>
      <c r="K5733" t="s">
        <v>100</v>
      </c>
      <c r="L5733" t="s">
        <v>141</v>
      </c>
      <c r="M5733" t="s">
        <v>52</v>
      </c>
      <c r="N5733" t="s">
        <v>40</v>
      </c>
      <c r="O5733">
        <v>69</v>
      </c>
      <c r="P5733"/>
      <c r="Q5733">
        <f t="shared" si="82"/>
        <v>2</v>
      </c>
      <c r="R5733">
        <v>1</v>
      </c>
      <c r="S5733">
        <v>0</v>
      </c>
      <c r="T5733">
        <v>0</v>
      </c>
      <c r="U5733">
        <v>0</v>
      </c>
      <c r="V5733">
        <v>0</v>
      </c>
      <c r="W5733">
        <v>2</v>
      </c>
      <c r="X5733" s="21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/>
      <c r="AI5733"/>
      <c r="AJ5733" t="s">
        <v>51</v>
      </c>
      <c r="AK5733" t="s">
        <v>52</v>
      </c>
      <c r="AL5733"/>
      <c r="AP5733" t="s">
        <v>116</v>
      </c>
    </row>
    <row r="5734" spans="1:42" s="6" customFormat="1">
      <c r="A5734" s="12">
        <v>43878</v>
      </c>
      <c r="B5734">
        <v>1</v>
      </c>
      <c r="C5734">
        <v>239</v>
      </c>
      <c r="D5734">
        <v>10205</v>
      </c>
      <c r="E5734" t="s">
        <v>37</v>
      </c>
      <c r="F5734" t="s">
        <v>90</v>
      </c>
      <c r="G5734">
        <v>2</v>
      </c>
      <c r="H5734">
        <v>47</v>
      </c>
      <c r="I5734" s="25">
        <v>464</v>
      </c>
      <c r="J5734"/>
      <c r="K5734" t="s">
        <v>100</v>
      </c>
      <c r="L5734" t="s">
        <v>114</v>
      </c>
      <c r="M5734" t="s">
        <v>95</v>
      </c>
      <c r="N5734" t="s">
        <v>40</v>
      </c>
      <c r="O5734">
        <v>83</v>
      </c>
      <c r="P5734"/>
      <c r="Q5734">
        <f t="shared" si="82"/>
        <v>2</v>
      </c>
      <c r="R5734">
        <v>1</v>
      </c>
      <c r="S5734">
        <v>0</v>
      </c>
      <c r="T5734">
        <v>0</v>
      </c>
      <c r="U5734">
        <v>0</v>
      </c>
      <c r="V5734">
        <v>0</v>
      </c>
      <c r="W5734">
        <v>2</v>
      </c>
      <c r="X5734" s="21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/>
      <c r="AI5734"/>
      <c r="AJ5734" t="s">
        <v>51</v>
      </c>
      <c r="AK5734" t="s">
        <v>52</v>
      </c>
      <c r="AL5734" t="s">
        <v>1905</v>
      </c>
      <c r="AP5734" t="s">
        <v>116</v>
      </c>
    </row>
    <row r="5735" spans="1:42" s="6" customFormat="1">
      <c r="A5735" s="12">
        <v>43878</v>
      </c>
      <c r="B5735">
        <v>1</v>
      </c>
      <c r="C5735">
        <v>239</v>
      </c>
      <c r="D5735">
        <v>10205</v>
      </c>
      <c r="E5735" t="s">
        <v>37</v>
      </c>
      <c r="F5735" t="s">
        <v>90</v>
      </c>
      <c r="G5735">
        <v>2</v>
      </c>
      <c r="H5735">
        <v>48</v>
      </c>
      <c r="I5735" s="25" t="s">
        <v>1906</v>
      </c>
      <c r="J5735"/>
      <c r="K5735" t="s">
        <v>100</v>
      </c>
      <c r="L5735" t="s">
        <v>11</v>
      </c>
      <c r="M5735" t="s">
        <v>52</v>
      </c>
      <c r="N5735" t="s">
        <v>40</v>
      </c>
      <c r="O5735">
        <v>115</v>
      </c>
      <c r="P5735"/>
      <c r="Q5735">
        <f t="shared" si="82"/>
        <v>4</v>
      </c>
      <c r="R5735">
        <v>1</v>
      </c>
      <c r="S5735">
        <v>0</v>
      </c>
      <c r="T5735">
        <v>0</v>
      </c>
      <c r="U5735">
        <v>1</v>
      </c>
      <c r="V5735">
        <v>0</v>
      </c>
      <c r="W5735">
        <v>3</v>
      </c>
      <c r="X5735" s="21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/>
      <c r="AI5735"/>
      <c r="AJ5735" t="s">
        <v>51</v>
      </c>
      <c r="AK5735" t="s">
        <v>52</v>
      </c>
      <c r="AL5735"/>
      <c r="AP5735" t="s">
        <v>116</v>
      </c>
    </row>
    <row r="5736" spans="1:42" s="6" customFormat="1">
      <c r="A5736" s="12">
        <v>43878</v>
      </c>
      <c r="B5736">
        <v>1</v>
      </c>
      <c r="C5736">
        <v>239</v>
      </c>
      <c r="D5736">
        <v>10205</v>
      </c>
      <c r="E5736" t="s">
        <v>37</v>
      </c>
      <c r="F5736" t="s">
        <v>90</v>
      </c>
      <c r="G5736">
        <v>2</v>
      </c>
      <c r="H5736">
        <v>49</v>
      </c>
      <c r="I5736" s="25" t="s">
        <v>1907</v>
      </c>
      <c r="J5736"/>
      <c r="K5736" t="s">
        <v>100</v>
      </c>
      <c r="L5736" t="s">
        <v>141</v>
      </c>
      <c r="M5736" t="s">
        <v>52</v>
      </c>
      <c r="N5736" t="s">
        <v>40</v>
      </c>
      <c r="O5736">
        <v>128</v>
      </c>
      <c r="P5736"/>
      <c r="Q5736">
        <f t="shared" si="82"/>
        <v>3</v>
      </c>
      <c r="R5736">
        <v>1</v>
      </c>
      <c r="S5736">
        <v>0</v>
      </c>
      <c r="T5736">
        <v>0</v>
      </c>
      <c r="U5736">
        <v>0</v>
      </c>
      <c r="V5736">
        <v>2</v>
      </c>
      <c r="W5736">
        <v>1</v>
      </c>
      <c r="X5736" s="21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/>
      <c r="AI5736"/>
      <c r="AJ5736" t="s">
        <v>51</v>
      </c>
      <c r="AK5736" t="s">
        <v>52</v>
      </c>
      <c r="AL5736"/>
      <c r="AP5736" t="s">
        <v>116</v>
      </c>
    </row>
    <row r="5737" spans="1:42" s="6" customFormat="1">
      <c r="A5737" s="12">
        <v>43878</v>
      </c>
      <c r="B5737">
        <v>1</v>
      </c>
      <c r="C5737">
        <v>239</v>
      </c>
      <c r="D5737">
        <v>10205</v>
      </c>
      <c r="E5737" t="s">
        <v>37</v>
      </c>
      <c r="F5737" t="s">
        <v>90</v>
      </c>
      <c r="G5737">
        <v>2</v>
      </c>
      <c r="H5737">
        <v>50</v>
      </c>
      <c r="I5737" s="25">
        <v>407</v>
      </c>
      <c r="J5737"/>
      <c r="K5737" t="s">
        <v>100</v>
      </c>
      <c r="L5737" t="s">
        <v>141</v>
      </c>
      <c r="M5737" t="s">
        <v>52</v>
      </c>
      <c r="N5737" t="s">
        <v>40</v>
      </c>
      <c r="O5737">
        <v>70</v>
      </c>
      <c r="P5737"/>
      <c r="Q5737">
        <f t="shared" si="82"/>
        <v>2</v>
      </c>
      <c r="R5737">
        <v>1</v>
      </c>
      <c r="S5737">
        <v>0</v>
      </c>
      <c r="T5737">
        <v>0</v>
      </c>
      <c r="U5737">
        <v>2</v>
      </c>
      <c r="V5737">
        <v>0</v>
      </c>
      <c r="W5737">
        <v>0</v>
      </c>
      <c r="X5737" s="21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/>
      <c r="AI5737"/>
      <c r="AJ5737" t="s">
        <v>51</v>
      </c>
      <c r="AK5737" t="s">
        <v>52</v>
      </c>
      <c r="AL5737"/>
      <c r="AP5737" t="s">
        <v>116</v>
      </c>
    </row>
    <row r="5738" spans="1:42" s="6" customFormat="1">
      <c r="A5738" s="12">
        <v>43878</v>
      </c>
      <c r="B5738">
        <v>1</v>
      </c>
      <c r="C5738">
        <v>239</v>
      </c>
      <c r="D5738">
        <v>10205</v>
      </c>
      <c r="E5738" t="s">
        <v>37</v>
      </c>
      <c r="F5738" t="s">
        <v>90</v>
      </c>
      <c r="G5738">
        <v>2</v>
      </c>
      <c r="H5738">
        <v>51</v>
      </c>
      <c r="I5738" s="25">
        <v>345</v>
      </c>
      <c r="J5738"/>
      <c r="K5738" t="s">
        <v>101</v>
      </c>
      <c r="L5738" t="s">
        <v>141</v>
      </c>
      <c r="M5738" t="s">
        <v>52</v>
      </c>
      <c r="N5738" t="s">
        <v>40</v>
      </c>
      <c r="O5738">
        <v>131</v>
      </c>
      <c r="P5738"/>
      <c r="Q5738">
        <f t="shared" si="82"/>
        <v>5</v>
      </c>
      <c r="R5738">
        <v>1</v>
      </c>
      <c r="S5738">
        <v>0</v>
      </c>
      <c r="T5738">
        <v>0</v>
      </c>
      <c r="U5738">
        <v>0</v>
      </c>
      <c r="V5738">
        <v>0</v>
      </c>
      <c r="W5738">
        <v>5</v>
      </c>
      <c r="X5738" s="21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/>
      <c r="AI5738"/>
      <c r="AJ5738" t="s">
        <v>51</v>
      </c>
      <c r="AK5738" t="s">
        <v>52</v>
      </c>
      <c r="AL5738"/>
      <c r="AP5738" t="s">
        <v>116</v>
      </c>
    </row>
    <row r="5739" spans="1:42" s="6" customFormat="1">
      <c r="A5739" s="12">
        <v>43878</v>
      </c>
      <c r="B5739">
        <v>1</v>
      </c>
      <c r="C5739">
        <v>239</v>
      </c>
      <c r="D5739">
        <v>10205</v>
      </c>
      <c r="E5739" t="s">
        <v>37</v>
      </c>
      <c r="F5739" t="s">
        <v>90</v>
      </c>
      <c r="G5739">
        <v>2</v>
      </c>
      <c r="H5739">
        <v>52</v>
      </c>
      <c r="I5739" s="25" t="s">
        <v>1908</v>
      </c>
      <c r="J5739"/>
      <c r="K5739" t="s">
        <v>101</v>
      </c>
      <c r="L5739" t="s">
        <v>141</v>
      </c>
      <c r="M5739" t="s">
        <v>52</v>
      </c>
      <c r="N5739" t="s">
        <v>40</v>
      </c>
      <c r="O5739">
        <v>177</v>
      </c>
      <c r="P5739"/>
      <c r="Q5739">
        <f t="shared" si="82"/>
        <v>5</v>
      </c>
      <c r="R5739">
        <v>1</v>
      </c>
      <c r="S5739">
        <v>0</v>
      </c>
      <c r="T5739">
        <v>0</v>
      </c>
      <c r="U5739">
        <v>3</v>
      </c>
      <c r="V5739">
        <v>2</v>
      </c>
      <c r="W5739">
        <v>0</v>
      </c>
      <c r="X5739" s="21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/>
      <c r="AI5739"/>
      <c r="AJ5739" t="s">
        <v>51</v>
      </c>
      <c r="AK5739" t="s">
        <v>95</v>
      </c>
      <c r="AL5739"/>
      <c r="AP5739" t="s">
        <v>116</v>
      </c>
    </row>
    <row r="5740" spans="1:42" s="6" customFormat="1">
      <c r="A5740" s="12">
        <v>43878</v>
      </c>
      <c r="B5740">
        <v>1</v>
      </c>
      <c r="C5740">
        <v>239</v>
      </c>
      <c r="D5740">
        <v>10205</v>
      </c>
      <c r="E5740" t="s">
        <v>37</v>
      </c>
      <c r="F5740" t="s">
        <v>90</v>
      </c>
      <c r="G5740">
        <v>2</v>
      </c>
      <c r="H5740">
        <v>53</v>
      </c>
      <c r="I5740" s="25">
        <v>401</v>
      </c>
      <c r="J5740"/>
      <c r="K5740" t="s">
        <v>74</v>
      </c>
      <c r="L5740" t="s">
        <v>141</v>
      </c>
      <c r="M5740" t="s">
        <v>52</v>
      </c>
      <c r="N5740" t="s">
        <v>40</v>
      </c>
      <c r="O5740">
        <v>204</v>
      </c>
      <c r="P5740"/>
      <c r="Q5740">
        <f t="shared" si="82"/>
        <v>10</v>
      </c>
      <c r="R5740">
        <v>1</v>
      </c>
      <c r="S5740">
        <v>0</v>
      </c>
      <c r="T5740">
        <v>0</v>
      </c>
      <c r="U5740">
        <v>0</v>
      </c>
      <c r="V5740">
        <v>1</v>
      </c>
      <c r="W5740">
        <v>2</v>
      </c>
      <c r="X5740" s="21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5</v>
      </c>
      <c r="AF5740">
        <v>2</v>
      </c>
      <c r="AG5740">
        <v>0</v>
      </c>
      <c r="AH5740"/>
      <c r="AI5740"/>
      <c r="AJ5740" t="s">
        <v>51</v>
      </c>
      <c r="AK5740" t="s">
        <v>95</v>
      </c>
      <c r="AL5740" t="s">
        <v>1909</v>
      </c>
      <c r="AP5740" t="s">
        <v>116</v>
      </c>
    </row>
    <row r="5741" spans="1:42" s="6" customFormat="1">
      <c r="A5741" s="12">
        <v>43878</v>
      </c>
      <c r="B5741">
        <v>1</v>
      </c>
      <c r="C5741">
        <v>239</v>
      </c>
      <c r="D5741">
        <v>10205</v>
      </c>
      <c r="E5741" t="s">
        <v>37</v>
      </c>
      <c r="F5741" t="s">
        <v>90</v>
      </c>
      <c r="G5741">
        <v>2</v>
      </c>
      <c r="H5741">
        <v>54</v>
      </c>
      <c r="I5741" s="25">
        <v>399</v>
      </c>
      <c r="J5741"/>
      <c r="K5741" t="s">
        <v>74</v>
      </c>
      <c r="L5741" t="s">
        <v>141</v>
      </c>
      <c r="M5741" t="s">
        <v>52</v>
      </c>
      <c r="N5741" t="s">
        <v>40</v>
      </c>
      <c r="O5741">
        <v>147</v>
      </c>
      <c r="P5741"/>
      <c r="Q5741">
        <f t="shared" si="82"/>
        <v>7</v>
      </c>
      <c r="R5741">
        <v>1</v>
      </c>
      <c r="S5741">
        <v>0</v>
      </c>
      <c r="T5741">
        <v>0</v>
      </c>
      <c r="U5741">
        <v>0</v>
      </c>
      <c r="V5741">
        <v>0</v>
      </c>
      <c r="W5741">
        <v>7</v>
      </c>
      <c r="X5741" s="2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/>
      <c r="AI5741"/>
      <c r="AJ5741" t="s">
        <v>51</v>
      </c>
      <c r="AK5741" t="s">
        <v>95</v>
      </c>
      <c r="AL5741" t="s">
        <v>1897</v>
      </c>
      <c r="AP5741" t="s">
        <v>116</v>
      </c>
    </row>
    <row r="5742" spans="1:42" s="6" customFormat="1">
      <c r="A5742" s="12">
        <v>43878</v>
      </c>
      <c r="B5742">
        <v>1</v>
      </c>
      <c r="C5742">
        <v>239</v>
      </c>
      <c r="D5742">
        <v>10205</v>
      </c>
      <c r="E5742" t="s">
        <v>37</v>
      </c>
      <c r="F5742" t="s">
        <v>90</v>
      </c>
      <c r="G5742">
        <v>2</v>
      </c>
      <c r="H5742">
        <v>55</v>
      </c>
      <c r="I5742" s="25">
        <v>334</v>
      </c>
      <c r="J5742"/>
      <c r="K5742" t="s">
        <v>102</v>
      </c>
      <c r="L5742" t="s">
        <v>114</v>
      </c>
      <c r="M5742" t="s">
        <v>52</v>
      </c>
      <c r="N5742" t="s">
        <v>40</v>
      </c>
      <c r="O5742">
        <v>130</v>
      </c>
      <c r="P5742"/>
      <c r="Q5742">
        <f t="shared" si="82"/>
        <v>4</v>
      </c>
      <c r="R5742">
        <v>1</v>
      </c>
      <c r="S5742">
        <v>0</v>
      </c>
      <c r="T5742">
        <v>0</v>
      </c>
      <c r="U5742">
        <v>0</v>
      </c>
      <c r="V5742">
        <v>0</v>
      </c>
      <c r="W5742">
        <v>4</v>
      </c>
      <c r="X5742" s="21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/>
      <c r="AI5742"/>
      <c r="AJ5742" t="s">
        <v>51</v>
      </c>
      <c r="AK5742" t="s">
        <v>95</v>
      </c>
      <c r="AL5742"/>
      <c r="AP5742" t="s">
        <v>116</v>
      </c>
    </row>
    <row r="5743" spans="1:42" s="6" customFormat="1">
      <c r="A5743" s="12">
        <v>43878</v>
      </c>
      <c r="B5743">
        <v>1</v>
      </c>
      <c r="C5743">
        <v>239</v>
      </c>
      <c r="D5743">
        <v>10205</v>
      </c>
      <c r="E5743" t="s">
        <v>37</v>
      </c>
      <c r="F5743" t="s">
        <v>90</v>
      </c>
      <c r="G5743">
        <v>2</v>
      </c>
      <c r="H5743">
        <v>56</v>
      </c>
      <c r="I5743" s="25">
        <v>320</v>
      </c>
      <c r="J5743"/>
      <c r="K5743" t="s">
        <v>102</v>
      </c>
      <c r="L5743" t="s">
        <v>114</v>
      </c>
      <c r="M5743" t="s">
        <v>52</v>
      </c>
      <c r="N5743" t="s">
        <v>40</v>
      </c>
      <c r="O5743">
        <v>42</v>
      </c>
      <c r="P5743"/>
      <c r="Q5743">
        <f t="shared" si="82"/>
        <v>1</v>
      </c>
      <c r="R5743">
        <v>1</v>
      </c>
      <c r="S5743">
        <v>0</v>
      </c>
      <c r="T5743">
        <v>0</v>
      </c>
      <c r="U5743">
        <v>0</v>
      </c>
      <c r="V5743">
        <v>0</v>
      </c>
      <c r="W5743">
        <v>1</v>
      </c>
      <c r="X5743" s="21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/>
      <c r="AI5743"/>
      <c r="AJ5743" t="s">
        <v>51</v>
      </c>
      <c r="AK5743" t="s">
        <v>52</v>
      </c>
      <c r="AL5743"/>
      <c r="AP5743" t="s">
        <v>116</v>
      </c>
    </row>
    <row r="5744" spans="1:42" s="6" customFormat="1">
      <c r="A5744" s="12">
        <v>43878</v>
      </c>
      <c r="B5744">
        <v>1</v>
      </c>
      <c r="C5744">
        <v>239</v>
      </c>
      <c r="D5744">
        <v>10205</v>
      </c>
      <c r="E5744" t="s">
        <v>37</v>
      </c>
      <c r="F5744" t="s">
        <v>90</v>
      </c>
      <c r="G5744">
        <v>2</v>
      </c>
      <c r="H5744">
        <v>57</v>
      </c>
      <c r="I5744" s="25">
        <v>312</v>
      </c>
      <c r="J5744"/>
      <c r="K5744" t="s">
        <v>102</v>
      </c>
      <c r="L5744" t="s">
        <v>114</v>
      </c>
      <c r="M5744" t="s">
        <v>52</v>
      </c>
      <c r="N5744" t="s">
        <v>40</v>
      </c>
      <c r="O5744">
        <v>181</v>
      </c>
      <c r="P5744"/>
      <c r="Q5744">
        <f t="shared" si="82"/>
        <v>7</v>
      </c>
      <c r="R5744">
        <v>1</v>
      </c>
      <c r="S5744">
        <v>0</v>
      </c>
      <c r="T5744">
        <v>0</v>
      </c>
      <c r="U5744">
        <v>0</v>
      </c>
      <c r="V5744">
        <v>0</v>
      </c>
      <c r="W5744">
        <v>7</v>
      </c>
      <c r="X5744" s="21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/>
      <c r="AI5744"/>
      <c r="AJ5744" t="s">
        <v>51</v>
      </c>
      <c r="AK5744" t="s">
        <v>52</v>
      </c>
      <c r="AL5744"/>
      <c r="AP5744" t="s">
        <v>116</v>
      </c>
    </row>
    <row r="5745" spans="1:42" s="6" customFormat="1">
      <c r="A5745" s="12">
        <v>43878</v>
      </c>
      <c r="B5745">
        <v>1</v>
      </c>
      <c r="C5745">
        <v>239</v>
      </c>
      <c r="D5745">
        <v>10205</v>
      </c>
      <c r="E5745" t="s">
        <v>37</v>
      </c>
      <c r="F5745" t="s">
        <v>90</v>
      </c>
      <c r="G5745">
        <v>2</v>
      </c>
      <c r="H5745">
        <v>58</v>
      </c>
      <c r="I5745" s="25"/>
      <c r="J5745"/>
      <c r="K5745" t="s">
        <v>1910</v>
      </c>
      <c r="L5745" t="s">
        <v>114</v>
      </c>
      <c r="M5745" t="s">
        <v>52</v>
      </c>
      <c r="N5745" t="s">
        <v>40</v>
      </c>
      <c r="O5745">
        <v>25</v>
      </c>
      <c r="P5745"/>
      <c r="Q5745">
        <f t="shared" si="82"/>
        <v>1</v>
      </c>
      <c r="R5745">
        <v>1</v>
      </c>
      <c r="S5745">
        <v>0</v>
      </c>
      <c r="T5745">
        <v>0</v>
      </c>
      <c r="U5745">
        <v>1</v>
      </c>
      <c r="V5745">
        <v>0</v>
      </c>
      <c r="W5745">
        <v>0</v>
      </c>
      <c r="X5745" s="21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/>
      <c r="AI5745"/>
      <c r="AJ5745" t="s">
        <v>51</v>
      </c>
      <c r="AK5745" t="s">
        <v>95</v>
      </c>
      <c r="AL5745" t="s">
        <v>649</v>
      </c>
      <c r="AP5745" t="s">
        <v>116</v>
      </c>
    </row>
    <row r="5746" spans="1:42" s="6" customFormat="1">
      <c r="A5746" s="12">
        <v>43878</v>
      </c>
      <c r="B5746">
        <v>1</v>
      </c>
      <c r="C5746">
        <v>239</v>
      </c>
      <c r="D5746">
        <v>10205</v>
      </c>
      <c r="E5746" t="s">
        <v>37</v>
      </c>
      <c r="F5746" t="s">
        <v>90</v>
      </c>
      <c r="G5746">
        <v>2</v>
      </c>
      <c r="H5746">
        <v>59</v>
      </c>
      <c r="I5746" s="25"/>
      <c r="J5746"/>
      <c r="K5746" t="s">
        <v>1911</v>
      </c>
      <c r="L5746" t="s">
        <v>114</v>
      </c>
      <c r="M5746" t="s">
        <v>52</v>
      </c>
      <c r="N5746" t="s">
        <v>40</v>
      </c>
      <c r="O5746">
        <v>120</v>
      </c>
      <c r="P5746"/>
      <c r="Q5746">
        <f t="shared" si="82"/>
        <v>5</v>
      </c>
      <c r="R5746">
        <v>1</v>
      </c>
      <c r="S5746">
        <v>0</v>
      </c>
      <c r="T5746">
        <v>0</v>
      </c>
      <c r="U5746">
        <v>1</v>
      </c>
      <c r="V5746">
        <v>0</v>
      </c>
      <c r="W5746">
        <v>0</v>
      </c>
      <c r="X5746" s="21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4</v>
      </c>
      <c r="AF5746">
        <v>0</v>
      </c>
      <c r="AG5746">
        <v>0</v>
      </c>
      <c r="AH5746"/>
      <c r="AI5746"/>
      <c r="AJ5746" t="s">
        <v>51</v>
      </c>
      <c r="AK5746" t="s">
        <v>52</v>
      </c>
      <c r="AL5746" t="s">
        <v>649</v>
      </c>
      <c r="AP5746" t="s">
        <v>116</v>
      </c>
    </row>
    <row r="5747" spans="1:42" s="6" customFormat="1">
      <c r="A5747" s="12">
        <v>43878</v>
      </c>
      <c r="B5747">
        <v>1</v>
      </c>
      <c r="C5747">
        <v>239</v>
      </c>
      <c r="D5747">
        <v>10205</v>
      </c>
      <c r="E5747" t="s">
        <v>37</v>
      </c>
      <c r="F5747" t="s">
        <v>90</v>
      </c>
      <c r="G5747">
        <v>2</v>
      </c>
      <c r="H5747">
        <v>60</v>
      </c>
      <c r="I5747" s="25">
        <v>115</v>
      </c>
      <c r="J5747"/>
      <c r="K5747" t="s">
        <v>102</v>
      </c>
      <c r="L5747" t="s">
        <v>141</v>
      </c>
      <c r="M5747" t="s">
        <v>52</v>
      </c>
      <c r="N5747" t="s">
        <v>40</v>
      </c>
      <c r="O5747">
        <v>36</v>
      </c>
      <c r="P5747"/>
      <c r="Q5747">
        <f t="shared" si="82"/>
        <v>2</v>
      </c>
      <c r="R5747">
        <v>1</v>
      </c>
      <c r="S5747">
        <v>0</v>
      </c>
      <c r="T5747">
        <v>0</v>
      </c>
      <c r="U5747">
        <v>0</v>
      </c>
      <c r="V5747">
        <v>2</v>
      </c>
      <c r="W5747">
        <v>0</v>
      </c>
      <c r="X5747" s="21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/>
      <c r="AI5747"/>
      <c r="AJ5747" t="s">
        <v>51</v>
      </c>
      <c r="AK5747" t="s">
        <v>52</v>
      </c>
      <c r="AL5747"/>
      <c r="AP5747" t="s">
        <v>116</v>
      </c>
    </row>
    <row r="5748" spans="1:42" s="6" customFormat="1">
      <c r="A5748" s="12">
        <v>43878</v>
      </c>
      <c r="B5748">
        <v>1</v>
      </c>
      <c r="C5748">
        <v>239</v>
      </c>
      <c r="D5748">
        <v>10205</v>
      </c>
      <c r="E5748" t="s">
        <v>37</v>
      </c>
      <c r="F5748" t="s">
        <v>90</v>
      </c>
      <c r="G5748">
        <v>2</v>
      </c>
      <c r="H5748">
        <v>61</v>
      </c>
      <c r="I5748" s="25">
        <v>530</v>
      </c>
      <c r="J5748"/>
      <c r="K5748" t="s">
        <v>100</v>
      </c>
      <c r="L5748" t="s">
        <v>114</v>
      </c>
      <c r="M5748" t="s">
        <v>52</v>
      </c>
      <c r="N5748" t="s">
        <v>40</v>
      </c>
      <c r="O5748">
        <v>123</v>
      </c>
      <c r="P5748"/>
      <c r="Q5748">
        <f t="shared" si="82"/>
        <v>4</v>
      </c>
      <c r="R5748">
        <v>1</v>
      </c>
      <c r="S5748">
        <v>0</v>
      </c>
      <c r="T5748">
        <v>0</v>
      </c>
      <c r="U5748">
        <v>0</v>
      </c>
      <c r="V5748">
        <v>0</v>
      </c>
      <c r="W5748">
        <v>4</v>
      </c>
      <c r="X5748" s="21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/>
      <c r="AI5748"/>
      <c r="AJ5748" t="s">
        <v>51</v>
      </c>
      <c r="AK5748" t="s">
        <v>52</v>
      </c>
      <c r="AL5748"/>
      <c r="AP5748" t="s">
        <v>116</v>
      </c>
    </row>
    <row r="5749" spans="1:42" s="6" customFormat="1">
      <c r="A5749" s="12">
        <v>43878</v>
      </c>
      <c r="B5749">
        <v>1</v>
      </c>
      <c r="C5749">
        <v>239</v>
      </c>
      <c r="D5749">
        <v>10205</v>
      </c>
      <c r="E5749" t="s">
        <v>37</v>
      </c>
      <c r="F5749" t="s">
        <v>90</v>
      </c>
      <c r="G5749">
        <v>2</v>
      </c>
      <c r="H5749">
        <v>62</v>
      </c>
      <c r="I5749" s="25">
        <v>626</v>
      </c>
      <c r="J5749"/>
      <c r="K5749" t="s">
        <v>100</v>
      </c>
      <c r="L5749" t="s">
        <v>114</v>
      </c>
      <c r="M5749" t="s">
        <v>52</v>
      </c>
      <c r="N5749" t="s">
        <v>40</v>
      </c>
      <c r="O5749">
        <v>69</v>
      </c>
      <c r="P5749"/>
      <c r="Q5749">
        <f t="shared" si="82"/>
        <v>2</v>
      </c>
      <c r="R5749">
        <v>1</v>
      </c>
      <c r="S5749">
        <v>0</v>
      </c>
      <c r="T5749">
        <v>0</v>
      </c>
      <c r="U5749">
        <v>0</v>
      </c>
      <c r="V5749">
        <v>0</v>
      </c>
      <c r="W5749">
        <v>2</v>
      </c>
      <c r="X5749" s="21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/>
      <c r="AI5749"/>
      <c r="AJ5749" t="s">
        <v>51</v>
      </c>
      <c r="AK5749" t="s">
        <v>95</v>
      </c>
      <c r="AL5749"/>
      <c r="AP5749" t="s">
        <v>116</v>
      </c>
    </row>
    <row r="5750" spans="1:42" s="6" customFormat="1">
      <c r="A5750" s="12">
        <v>43878</v>
      </c>
      <c r="B5750">
        <v>1</v>
      </c>
      <c r="C5750">
        <v>239</v>
      </c>
      <c r="D5750">
        <v>10205</v>
      </c>
      <c r="E5750" t="s">
        <v>37</v>
      </c>
      <c r="F5750" t="s">
        <v>90</v>
      </c>
      <c r="G5750">
        <v>2</v>
      </c>
      <c r="H5750">
        <v>63</v>
      </c>
      <c r="I5750" s="25">
        <v>646</v>
      </c>
      <c r="J5750"/>
      <c r="K5750" t="s">
        <v>100</v>
      </c>
      <c r="L5750" t="s">
        <v>114</v>
      </c>
      <c r="M5750" t="s">
        <v>52</v>
      </c>
      <c r="N5750" t="s">
        <v>40</v>
      </c>
      <c r="O5750">
        <v>58</v>
      </c>
      <c r="P5750"/>
      <c r="Q5750">
        <f t="shared" si="82"/>
        <v>1</v>
      </c>
      <c r="R5750">
        <v>1</v>
      </c>
      <c r="S5750">
        <v>0</v>
      </c>
      <c r="T5750">
        <v>0</v>
      </c>
      <c r="U5750">
        <v>0</v>
      </c>
      <c r="V5750">
        <v>0</v>
      </c>
      <c r="W5750">
        <v>1</v>
      </c>
      <c r="X5750" s="21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/>
      <c r="AI5750"/>
      <c r="AJ5750" t="s">
        <v>51</v>
      </c>
      <c r="AK5750" t="s">
        <v>95</v>
      </c>
      <c r="AL5750"/>
      <c r="AP5750" t="s">
        <v>116</v>
      </c>
    </row>
    <row r="5751" spans="1:42" s="6" customFormat="1">
      <c r="A5751" s="12">
        <v>43878</v>
      </c>
      <c r="B5751">
        <v>1</v>
      </c>
      <c r="C5751">
        <v>239</v>
      </c>
      <c r="D5751">
        <v>10205</v>
      </c>
      <c r="E5751" t="s">
        <v>37</v>
      </c>
      <c r="F5751" t="s">
        <v>90</v>
      </c>
      <c r="G5751">
        <v>2</v>
      </c>
      <c r="H5751">
        <v>64</v>
      </c>
      <c r="I5751" s="25">
        <v>701</v>
      </c>
      <c r="J5751"/>
      <c r="K5751" t="s">
        <v>420</v>
      </c>
      <c r="L5751" t="s">
        <v>141</v>
      </c>
      <c r="M5751" t="s">
        <v>52</v>
      </c>
      <c r="N5751" t="s">
        <v>40</v>
      </c>
      <c r="O5751">
        <v>70</v>
      </c>
      <c r="P5751"/>
      <c r="Q5751">
        <f t="shared" si="82"/>
        <v>1</v>
      </c>
      <c r="R5751">
        <v>1</v>
      </c>
      <c r="S5751">
        <v>0</v>
      </c>
      <c r="T5751">
        <v>0</v>
      </c>
      <c r="U5751">
        <v>0</v>
      </c>
      <c r="V5751">
        <v>1</v>
      </c>
      <c r="W5751">
        <v>0</v>
      </c>
      <c r="X5751" s="2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/>
      <c r="AI5751"/>
      <c r="AJ5751" t="s">
        <v>51</v>
      </c>
      <c r="AK5751" t="s">
        <v>52</v>
      </c>
      <c r="AL5751" t="s">
        <v>1912</v>
      </c>
      <c r="AP5751" t="s">
        <v>116</v>
      </c>
    </row>
    <row r="5752" spans="1:42" s="6" customFormat="1">
      <c r="A5752" s="12">
        <v>43878</v>
      </c>
      <c r="B5752">
        <v>1</v>
      </c>
      <c r="C5752">
        <v>239</v>
      </c>
      <c r="D5752">
        <v>10205</v>
      </c>
      <c r="E5752" t="s">
        <v>37</v>
      </c>
      <c r="F5752" t="s">
        <v>90</v>
      </c>
      <c r="G5752">
        <v>2</v>
      </c>
      <c r="H5752">
        <v>65</v>
      </c>
      <c r="I5752" s="25">
        <v>750</v>
      </c>
      <c r="J5752"/>
      <c r="K5752" t="s">
        <v>100</v>
      </c>
      <c r="L5752" t="s">
        <v>114</v>
      </c>
      <c r="M5752" t="s">
        <v>52</v>
      </c>
      <c r="N5752" t="s">
        <v>40</v>
      </c>
      <c r="O5752">
        <v>72</v>
      </c>
      <c r="P5752"/>
      <c r="Q5752">
        <f t="shared" si="82"/>
        <v>2</v>
      </c>
      <c r="R5752">
        <v>1</v>
      </c>
      <c r="S5752">
        <v>0</v>
      </c>
      <c r="T5752">
        <v>0</v>
      </c>
      <c r="U5752">
        <v>0</v>
      </c>
      <c r="V5752">
        <v>2</v>
      </c>
      <c r="W5752">
        <v>0</v>
      </c>
      <c r="X5752" s="21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/>
      <c r="AI5752"/>
      <c r="AJ5752" t="s">
        <v>51</v>
      </c>
      <c r="AK5752" t="s">
        <v>52</v>
      </c>
      <c r="AL5752"/>
      <c r="AP5752" t="s">
        <v>116</v>
      </c>
    </row>
    <row r="5753" spans="1:42" s="6" customFormat="1">
      <c r="A5753" s="12">
        <v>43878</v>
      </c>
      <c r="B5753">
        <v>1</v>
      </c>
      <c r="C5753">
        <v>239</v>
      </c>
      <c r="D5753">
        <v>10205</v>
      </c>
      <c r="E5753" t="s">
        <v>37</v>
      </c>
      <c r="F5753" t="s">
        <v>90</v>
      </c>
      <c r="G5753">
        <v>2</v>
      </c>
      <c r="H5753">
        <v>66</v>
      </c>
      <c r="I5753" s="25">
        <v>771</v>
      </c>
      <c r="J5753"/>
      <c r="K5753" t="s">
        <v>100</v>
      </c>
      <c r="L5753" t="s">
        <v>141</v>
      </c>
      <c r="M5753" t="s">
        <v>52</v>
      </c>
      <c r="N5753" t="s">
        <v>40</v>
      </c>
      <c r="O5753">
        <v>54</v>
      </c>
      <c r="P5753"/>
      <c r="Q5753">
        <f t="shared" si="82"/>
        <v>1</v>
      </c>
      <c r="R5753">
        <v>1</v>
      </c>
      <c r="S5753">
        <v>0</v>
      </c>
      <c r="T5753">
        <v>0</v>
      </c>
      <c r="U5753">
        <v>0</v>
      </c>
      <c r="V5753">
        <v>1</v>
      </c>
      <c r="W5753">
        <v>0</v>
      </c>
      <c r="X5753" s="21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/>
      <c r="AI5753"/>
      <c r="AJ5753" t="s">
        <v>51</v>
      </c>
      <c r="AK5753" t="s">
        <v>52</v>
      </c>
      <c r="AL5753"/>
      <c r="AP5753" t="s">
        <v>116</v>
      </c>
    </row>
    <row r="5754" spans="1:42" s="6" customFormat="1">
      <c r="A5754" s="12">
        <v>43878</v>
      </c>
      <c r="B5754">
        <v>1</v>
      </c>
      <c r="C5754">
        <v>239</v>
      </c>
      <c r="D5754">
        <v>10205</v>
      </c>
      <c r="E5754" t="s">
        <v>37</v>
      </c>
      <c r="F5754" t="s">
        <v>90</v>
      </c>
      <c r="G5754">
        <v>2</v>
      </c>
      <c r="H5754">
        <v>67</v>
      </c>
      <c r="I5754" s="25">
        <v>719</v>
      </c>
      <c r="J5754"/>
      <c r="K5754" t="s">
        <v>100</v>
      </c>
      <c r="L5754" t="s">
        <v>141</v>
      </c>
      <c r="M5754" t="s">
        <v>52</v>
      </c>
      <c r="N5754" t="s">
        <v>40</v>
      </c>
      <c r="O5754">
        <v>47</v>
      </c>
      <c r="P5754"/>
      <c r="Q5754">
        <f t="shared" si="82"/>
        <v>1</v>
      </c>
      <c r="R5754">
        <v>1</v>
      </c>
      <c r="S5754">
        <v>0</v>
      </c>
      <c r="T5754">
        <v>0</v>
      </c>
      <c r="U5754">
        <v>0</v>
      </c>
      <c r="V5754">
        <v>1</v>
      </c>
      <c r="W5754">
        <v>0</v>
      </c>
      <c r="X5754" s="21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/>
      <c r="AI5754"/>
      <c r="AJ5754" t="s">
        <v>51</v>
      </c>
      <c r="AK5754" t="s">
        <v>52</v>
      </c>
      <c r="AL5754"/>
      <c r="AP5754" t="s">
        <v>116</v>
      </c>
    </row>
    <row r="5755" spans="1:42" s="6" customFormat="1">
      <c r="A5755" s="12">
        <v>43878</v>
      </c>
      <c r="B5755">
        <v>1</v>
      </c>
      <c r="C5755">
        <v>239</v>
      </c>
      <c r="D5755">
        <v>10205</v>
      </c>
      <c r="E5755" t="s">
        <v>37</v>
      </c>
      <c r="F5755" t="s">
        <v>90</v>
      </c>
      <c r="G5755">
        <v>2</v>
      </c>
      <c r="H5755">
        <v>68</v>
      </c>
      <c r="I5755" s="25">
        <v>707</v>
      </c>
      <c r="J5755"/>
      <c r="K5755" t="s">
        <v>100</v>
      </c>
      <c r="L5755" t="s">
        <v>141</v>
      </c>
      <c r="M5755" t="s">
        <v>52</v>
      </c>
      <c r="N5755" t="s">
        <v>40</v>
      </c>
      <c r="O5755">
        <v>70</v>
      </c>
      <c r="P5755"/>
      <c r="Q5755">
        <f t="shared" si="82"/>
        <v>1</v>
      </c>
      <c r="R5755">
        <v>1</v>
      </c>
      <c r="S5755">
        <v>0</v>
      </c>
      <c r="T5755">
        <v>0</v>
      </c>
      <c r="U5755">
        <v>1</v>
      </c>
      <c r="V5755">
        <v>0</v>
      </c>
      <c r="W5755">
        <v>0</v>
      </c>
      <c r="X5755" s="21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/>
      <c r="AI5755"/>
      <c r="AJ5755" t="s">
        <v>51</v>
      </c>
      <c r="AK5755" t="s">
        <v>52</v>
      </c>
      <c r="AL5755"/>
      <c r="AP5755" t="s">
        <v>116</v>
      </c>
    </row>
    <row r="5756" spans="1:42" s="6" customFormat="1">
      <c r="A5756" s="12">
        <v>43878</v>
      </c>
      <c r="B5756">
        <v>1</v>
      </c>
      <c r="C5756">
        <v>239</v>
      </c>
      <c r="D5756">
        <v>10205</v>
      </c>
      <c r="E5756" t="s">
        <v>37</v>
      </c>
      <c r="F5756" t="s">
        <v>90</v>
      </c>
      <c r="G5756">
        <v>2</v>
      </c>
      <c r="H5756">
        <v>69</v>
      </c>
      <c r="I5756" s="25">
        <v>685</v>
      </c>
      <c r="J5756"/>
      <c r="K5756" t="s">
        <v>100</v>
      </c>
      <c r="L5756" t="s">
        <v>141</v>
      </c>
      <c r="M5756" t="s">
        <v>52</v>
      </c>
      <c r="N5756" t="s">
        <v>40</v>
      </c>
      <c r="O5756">
        <v>116</v>
      </c>
      <c r="P5756"/>
      <c r="Q5756">
        <f t="shared" si="82"/>
        <v>3</v>
      </c>
      <c r="R5756">
        <v>1</v>
      </c>
      <c r="S5756">
        <v>0</v>
      </c>
      <c r="T5756">
        <v>0</v>
      </c>
      <c r="U5756">
        <v>0</v>
      </c>
      <c r="V5756">
        <v>0</v>
      </c>
      <c r="W5756">
        <v>3</v>
      </c>
      <c r="X5756" s="21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/>
      <c r="AI5756"/>
      <c r="AJ5756" t="s">
        <v>51</v>
      </c>
      <c r="AK5756" t="s">
        <v>52</v>
      </c>
      <c r="AL5756"/>
      <c r="AP5756" t="s">
        <v>116</v>
      </c>
    </row>
    <row r="5757" spans="1:42" s="6" customFormat="1">
      <c r="A5757" s="12">
        <v>43878</v>
      </c>
      <c r="B5757">
        <v>1</v>
      </c>
      <c r="C5757">
        <v>239</v>
      </c>
      <c r="D5757">
        <v>10205</v>
      </c>
      <c r="E5757" t="s">
        <v>37</v>
      </c>
      <c r="F5757" t="s">
        <v>90</v>
      </c>
      <c r="G5757">
        <v>2</v>
      </c>
      <c r="H5757">
        <v>70</v>
      </c>
      <c r="I5757" s="25" t="s">
        <v>1913</v>
      </c>
      <c r="J5757"/>
      <c r="K5757" t="s">
        <v>100</v>
      </c>
      <c r="L5757" t="s">
        <v>141</v>
      </c>
      <c r="M5757" t="s">
        <v>52</v>
      </c>
      <c r="N5757" t="s">
        <v>40</v>
      </c>
      <c r="O5757">
        <v>123</v>
      </c>
      <c r="P5757"/>
      <c r="Q5757">
        <f t="shared" si="82"/>
        <v>4</v>
      </c>
      <c r="R5757">
        <v>1</v>
      </c>
      <c r="S5757">
        <v>0</v>
      </c>
      <c r="T5757">
        <v>0</v>
      </c>
      <c r="U5757">
        <v>4</v>
      </c>
      <c r="V5757">
        <v>0</v>
      </c>
      <c r="W5757">
        <v>0</v>
      </c>
      <c r="X5757" s="21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/>
      <c r="AI5757"/>
      <c r="AJ5757" t="s">
        <v>51</v>
      </c>
      <c r="AK5757" t="s">
        <v>52</v>
      </c>
      <c r="AL5757"/>
      <c r="AP5757" t="s">
        <v>116</v>
      </c>
    </row>
    <row r="5758" spans="1:42" s="6" customFormat="1">
      <c r="A5758" s="12">
        <v>43878</v>
      </c>
      <c r="B5758">
        <v>1</v>
      </c>
      <c r="C5758">
        <v>239</v>
      </c>
      <c r="D5758">
        <v>10205</v>
      </c>
      <c r="E5758" t="s">
        <v>37</v>
      </c>
      <c r="F5758" t="s">
        <v>90</v>
      </c>
      <c r="G5758">
        <v>2</v>
      </c>
      <c r="H5758">
        <v>71</v>
      </c>
      <c r="I5758" s="25">
        <v>519</v>
      </c>
      <c r="J5758"/>
      <c r="K5758" t="s">
        <v>100</v>
      </c>
      <c r="L5758" t="s">
        <v>141</v>
      </c>
      <c r="M5758" t="s">
        <v>52</v>
      </c>
      <c r="N5758" t="s">
        <v>40</v>
      </c>
      <c r="O5758">
        <v>188</v>
      </c>
      <c r="P5758"/>
      <c r="Q5758">
        <f t="shared" si="82"/>
        <v>6</v>
      </c>
      <c r="R5758">
        <v>1</v>
      </c>
      <c r="S5758">
        <v>0</v>
      </c>
      <c r="T5758">
        <v>0</v>
      </c>
      <c r="U5758">
        <v>0</v>
      </c>
      <c r="V5758">
        <v>0</v>
      </c>
      <c r="W5758">
        <v>6</v>
      </c>
      <c r="X5758" s="21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/>
      <c r="AI5758"/>
      <c r="AJ5758" t="s">
        <v>51</v>
      </c>
      <c r="AK5758" t="s">
        <v>52</v>
      </c>
      <c r="AL5758" t="s">
        <v>1914</v>
      </c>
      <c r="AP5758" t="s">
        <v>116</v>
      </c>
    </row>
    <row r="5759" spans="1:42">
      <c r="A5759" s="1">
        <v>43782</v>
      </c>
      <c r="B5759">
        <v>3</v>
      </c>
      <c r="C5759">
        <v>976</v>
      </c>
      <c r="D5759">
        <v>10420</v>
      </c>
      <c r="E5759" t="s">
        <v>37</v>
      </c>
      <c r="F5759" t="s">
        <v>520</v>
      </c>
      <c r="G5759">
        <v>2</v>
      </c>
      <c r="H5759">
        <v>1</v>
      </c>
      <c r="I5759" s="25">
        <v>400</v>
      </c>
      <c r="K5759" t="s">
        <v>1115</v>
      </c>
      <c r="M5759" t="s">
        <v>52</v>
      </c>
      <c r="N5759" t="s">
        <v>40</v>
      </c>
      <c r="O5759">
        <f>SUM(48+60+60+36)</f>
        <v>204</v>
      </c>
      <c r="Q5759">
        <f>SUM(S5759:AE5759)</f>
        <v>2</v>
      </c>
      <c r="R5759">
        <v>1</v>
      </c>
      <c r="S5759">
        <v>0</v>
      </c>
      <c r="T5759">
        <v>0</v>
      </c>
      <c r="U5759">
        <v>1</v>
      </c>
      <c r="V5759">
        <v>0</v>
      </c>
      <c r="W5759">
        <v>1</v>
      </c>
      <c r="X5759" s="21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f>(16*S5759)+(20*T5759)+(32*U5759)+(64*V5759)+(96*W5759)</f>
        <v>128</v>
      </c>
      <c r="AJ5759" t="s">
        <v>51</v>
      </c>
      <c r="AK5759" t="s">
        <v>95</v>
      </c>
      <c r="AP5759" t="s">
        <v>1915</v>
      </c>
    </row>
    <row r="5760" spans="1:42">
      <c r="A5760" s="1">
        <v>43782</v>
      </c>
      <c r="B5760">
        <v>3</v>
      </c>
      <c r="C5760">
        <v>976</v>
      </c>
      <c r="D5760">
        <v>10420</v>
      </c>
      <c r="E5760" t="s">
        <v>37</v>
      </c>
      <c r="F5760" t="s">
        <v>520</v>
      </c>
      <c r="G5760">
        <v>2</v>
      </c>
      <c r="H5760">
        <v>2</v>
      </c>
      <c r="I5760" s="25">
        <v>400</v>
      </c>
      <c r="K5760" t="s">
        <v>1115</v>
      </c>
      <c r="M5760" t="s">
        <v>52</v>
      </c>
      <c r="N5760" t="s">
        <v>40</v>
      </c>
      <c r="O5760">
        <f>60+60+36</f>
        <v>156</v>
      </c>
      <c r="Q5760">
        <f t="shared" ref="Q5760:Q5823" si="83">SUM(S5760:AE5760)</f>
        <v>4</v>
      </c>
      <c r="R5760">
        <v>1</v>
      </c>
      <c r="S5760">
        <v>0</v>
      </c>
      <c r="T5760">
        <v>0</v>
      </c>
      <c r="U5760">
        <v>0</v>
      </c>
      <c r="V5760">
        <v>2</v>
      </c>
      <c r="W5760">
        <v>2</v>
      </c>
      <c r="X5760" s="21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f t="shared" ref="AH5760:AH5823" si="84">(16*S5760)+(20*T5760)+(32*U5760)+(64*V5760)+(96*W5760)</f>
        <v>320</v>
      </c>
      <c r="AJ5760" t="s">
        <v>51</v>
      </c>
      <c r="AK5760" t="s">
        <v>95</v>
      </c>
      <c r="AP5760" t="s">
        <v>1915</v>
      </c>
    </row>
    <row r="5761" spans="1:42">
      <c r="A5761" s="1">
        <v>43782</v>
      </c>
      <c r="B5761">
        <v>3</v>
      </c>
      <c r="C5761">
        <v>976</v>
      </c>
      <c r="D5761">
        <v>10420</v>
      </c>
      <c r="E5761" t="s">
        <v>37</v>
      </c>
      <c r="F5761" t="s">
        <v>520</v>
      </c>
      <c r="G5761">
        <v>2</v>
      </c>
      <c r="H5761">
        <v>3</v>
      </c>
      <c r="I5761" s="25">
        <v>600</v>
      </c>
      <c r="K5761" t="s">
        <v>156</v>
      </c>
      <c r="M5761" t="s">
        <v>52</v>
      </c>
      <c r="N5761" t="s">
        <v>40</v>
      </c>
      <c r="O5761">
        <f>60+60+60+21</f>
        <v>201</v>
      </c>
      <c r="Q5761">
        <f t="shared" si="83"/>
        <v>5</v>
      </c>
      <c r="R5761">
        <v>1</v>
      </c>
      <c r="S5761">
        <v>0</v>
      </c>
      <c r="T5761">
        <v>0</v>
      </c>
      <c r="U5761">
        <v>1</v>
      </c>
      <c r="V5761">
        <v>0</v>
      </c>
      <c r="W5761">
        <v>4</v>
      </c>
      <c r="X5761" s="2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1</v>
      </c>
      <c r="AG5761">
        <v>0</v>
      </c>
      <c r="AH5761">
        <f t="shared" si="84"/>
        <v>416</v>
      </c>
      <c r="AJ5761" t="s">
        <v>51</v>
      </c>
      <c r="AK5761" t="s">
        <v>95</v>
      </c>
      <c r="AP5761" t="s">
        <v>1915</v>
      </c>
    </row>
    <row r="5762" spans="1:42">
      <c r="A5762" s="1">
        <v>43782</v>
      </c>
      <c r="B5762">
        <v>3</v>
      </c>
      <c r="C5762">
        <v>976</v>
      </c>
      <c r="D5762">
        <v>10420</v>
      </c>
      <c r="E5762" t="s">
        <v>37</v>
      </c>
      <c r="F5762" t="s">
        <v>520</v>
      </c>
      <c r="G5762">
        <v>2</v>
      </c>
      <c r="H5762">
        <v>4</v>
      </c>
      <c r="I5762" s="25">
        <v>1500</v>
      </c>
      <c r="K5762" t="s">
        <v>50</v>
      </c>
      <c r="M5762" t="s">
        <v>52</v>
      </c>
      <c r="N5762" t="s">
        <v>40</v>
      </c>
      <c r="O5762">
        <f>60+60+58</f>
        <v>178</v>
      </c>
      <c r="Q5762">
        <f t="shared" si="83"/>
        <v>3</v>
      </c>
      <c r="R5762">
        <v>1</v>
      </c>
      <c r="S5762">
        <v>0</v>
      </c>
      <c r="T5762">
        <v>0</v>
      </c>
      <c r="U5762">
        <v>0</v>
      </c>
      <c r="V5762">
        <v>1</v>
      </c>
      <c r="W5762">
        <v>2</v>
      </c>
      <c r="X5762" s="21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1</v>
      </c>
      <c r="AG5762">
        <v>0</v>
      </c>
      <c r="AH5762">
        <f t="shared" si="84"/>
        <v>256</v>
      </c>
      <c r="AJ5762" t="s">
        <v>54</v>
      </c>
      <c r="AK5762" t="s">
        <v>52</v>
      </c>
      <c r="AP5762" t="s">
        <v>1915</v>
      </c>
    </row>
    <row r="5763" spans="1:42">
      <c r="A5763" s="1">
        <v>43782</v>
      </c>
      <c r="B5763">
        <v>3</v>
      </c>
      <c r="C5763">
        <v>976</v>
      </c>
      <c r="D5763">
        <v>10420</v>
      </c>
      <c r="E5763" t="s">
        <v>37</v>
      </c>
      <c r="F5763" t="s">
        <v>520</v>
      </c>
      <c r="G5763">
        <v>2</v>
      </c>
      <c r="H5763">
        <v>5</v>
      </c>
      <c r="I5763" s="25">
        <v>1500</v>
      </c>
      <c r="K5763" t="s">
        <v>50</v>
      </c>
      <c r="M5763" t="s">
        <v>52</v>
      </c>
      <c r="N5763" t="s">
        <v>42</v>
      </c>
      <c r="O5763">
        <f>60+60+60+60+60+58</f>
        <v>358</v>
      </c>
      <c r="Q5763">
        <f t="shared" si="83"/>
        <v>6</v>
      </c>
      <c r="R5763">
        <v>1</v>
      </c>
      <c r="S5763">
        <v>0</v>
      </c>
      <c r="T5763">
        <v>0</v>
      </c>
      <c r="U5763">
        <v>2</v>
      </c>
      <c r="V5763">
        <v>0</v>
      </c>
      <c r="W5763">
        <v>4</v>
      </c>
      <c r="X5763" s="21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4</v>
      </c>
      <c r="AG5763">
        <v>0</v>
      </c>
      <c r="AH5763">
        <f t="shared" si="84"/>
        <v>448</v>
      </c>
      <c r="AJ5763" t="s">
        <v>54</v>
      </c>
      <c r="AK5763" t="s">
        <v>52</v>
      </c>
      <c r="AP5763" t="s">
        <v>1915</v>
      </c>
    </row>
    <row r="5764" spans="1:42">
      <c r="A5764" s="1">
        <v>43782</v>
      </c>
      <c r="B5764">
        <v>3</v>
      </c>
      <c r="C5764">
        <v>976</v>
      </c>
      <c r="D5764">
        <v>10420</v>
      </c>
      <c r="E5764" t="s">
        <v>37</v>
      </c>
      <c r="F5764" t="s">
        <v>520</v>
      </c>
      <c r="G5764">
        <v>2</v>
      </c>
      <c r="H5764">
        <v>6</v>
      </c>
      <c r="I5764" s="25">
        <v>1500</v>
      </c>
      <c r="K5764" t="s">
        <v>50</v>
      </c>
      <c r="M5764" t="s">
        <v>52</v>
      </c>
      <c r="N5764" t="s">
        <v>40</v>
      </c>
      <c r="O5764">
        <v>60</v>
      </c>
      <c r="Q5764">
        <f t="shared" si="83"/>
        <v>2</v>
      </c>
      <c r="R5764">
        <v>1</v>
      </c>
      <c r="S5764">
        <v>0</v>
      </c>
      <c r="T5764">
        <v>0</v>
      </c>
      <c r="U5764">
        <v>0</v>
      </c>
      <c r="V5764">
        <v>2</v>
      </c>
      <c r="W5764">
        <v>0</v>
      </c>
      <c r="X5764" s="21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f t="shared" si="84"/>
        <v>128</v>
      </c>
      <c r="AJ5764" t="s">
        <v>54</v>
      </c>
      <c r="AK5764" t="s">
        <v>52</v>
      </c>
      <c r="AP5764" t="s">
        <v>1915</v>
      </c>
    </row>
    <row r="5765" spans="1:42">
      <c r="A5765" s="1">
        <v>43782</v>
      </c>
      <c r="B5765">
        <v>3</v>
      </c>
      <c r="C5765">
        <v>976</v>
      </c>
      <c r="D5765">
        <v>10420</v>
      </c>
      <c r="E5765" t="s">
        <v>37</v>
      </c>
      <c r="F5765" t="s">
        <v>520</v>
      </c>
      <c r="G5765">
        <v>2</v>
      </c>
      <c r="H5765">
        <v>7</v>
      </c>
      <c r="I5765" s="25">
        <v>600</v>
      </c>
      <c r="K5765" t="s">
        <v>119</v>
      </c>
      <c r="M5765" t="s">
        <v>52</v>
      </c>
      <c r="N5765" t="s">
        <v>42</v>
      </c>
      <c r="O5765">
        <f>60+60+60+60+28</f>
        <v>268</v>
      </c>
      <c r="Q5765">
        <f t="shared" si="83"/>
        <v>4</v>
      </c>
      <c r="R5765">
        <v>1</v>
      </c>
      <c r="S5765">
        <v>0</v>
      </c>
      <c r="T5765">
        <v>0</v>
      </c>
      <c r="U5765">
        <v>0</v>
      </c>
      <c r="V5765">
        <v>0</v>
      </c>
      <c r="W5765">
        <v>4</v>
      </c>
      <c r="X5765" s="21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f t="shared" si="84"/>
        <v>384</v>
      </c>
      <c r="AJ5765" t="s">
        <v>51</v>
      </c>
      <c r="AK5765" t="s">
        <v>52</v>
      </c>
      <c r="AP5765" t="s">
        <v>1915</v>
      </c>
    </row>
    <row r="5766" spans="1:42">
      <c r="A5766" s="1">
        <v>43782</v>
      </c>
      <c r="B5766">
        <v>3</v>
      </c>
      <c r="C5766">
        <v>976</v>
      </c>
      <c r="D5766">
        <v>10420</v>
      </c>
      <c r="E5766" t="s">
        <v>37</v>
      </c>
      <c r="F5766" t="s">
        <v>520</v>
      </c>
      <c r="G5766">
        <v>2</v>
      </c>
      <c r="H5766">
        <v>8</v>
      </c>
      <c r="I5766" s="25">
        <v>1600</v>
      </c>
      <c r="K5766" t="s">
        <v>407</v>
      </c>
      <c r="M5766" t="s">
        <v>52</v>
      </c>
      <c r="N5766" t="s">
        <v>40</v>
      </c>
      <c r="O5766">
        <f>60+34</f>
        <v>94</v>
      </c>
      <c r="Q5766">
        <f t="shared" si="83"/>
        <v>2</v>
      </c>
      <c r="R5766">
        <v>1</v>
      </c>
      <c r="S5766">
        <v>0</v>
      </c>
      <c r="T5766">
        <v>0</v>
      </c>
      <c r="U5766">
        <v>1</v>
      </c>
      <c r="V5766">
        <v>0</v>
      </c>
      <c r="W5766">
        <v>1</v>
      </c>
      <c r="X5766" s="21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f t="shared" si="84"/>
        <v>128</v>
      </c>
      <c r="AJ5766" t="s">
        <v>54</v>
      </c>
      <c r="AK5766" t="s">
        <v>52</v>
      </c>
      <c r="AP5766" t="s">
        <v>1915</v>
      </c>
    </row>
    <row r="5767" spans="1:42">
      <c r="A5767" s="1">
        <v>43782</v>
      </c>
      <c r="B5767">
        <v>3</v>
      </c>
      <c r="C5767">
        <v>976</v>
      </c>
      <c r="D5767">
        <v>10420</v>
      </c>
      <c r="E5767" t="s">
        <v>37</v>
      </c>
      <c r="F5767" t="s">
        <v>520</v>
      </c>
      <c r="G5767">
        <v>2</v>
      </c>
      <c r="H5767">
        <v>9</v>
      </c>
      <c r="I5767" s="25">
        <v>1800</v>
      </c>
      <c r="K5767" t="s">
        <v>102</v>
      </c>
      <c r="M5767" t="s">
        <v>52</v>
      </c>
      <c r="N5767" t="s">
        <v>40</v>
      </c>
      <c r="O5767">
        <f>60+38</f>
        <v>98</v>
      </c>
      <c r="Q5767">
        <f t="shared" si="83"/>
        <v>1</v>
      </c>
      <c r="R5767">
        <v>1</v>
      </c>
      <c r="S5767">
        <v>0</v>
      </c>
      <c r="T5767">
        <v>0</v>
      </c>
      <c r="U5767">
        <v>0</v>
      </c>
      <c r="V5767">
        <v>0</v>
      </c>
      <c r="W5767">
        <v>1</v>
      </c>
      <c r="X5767" s="21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2</v>
      </c>
      <c r="AG5767">
        <v>0</v>
      </c>
      <c r="AH5767">
        <f t="shared" si="84"/>
        <v>96</v>
      </c>
      <c r="AJ5767" t="s">
        <v>54</v>
      </c>
      <c r="AK5767" t="s">
        <v>52</v>
      </c>
      <c r="AP5767" t="s">
        <v>1915</v>
      </c>
    </row>
    <row r="5768" spans="1:42">
      <c r="A5768" s="1">
        <v>43782</v>
      </c>
      <c r="B5768">
        <v>3</v>
      </c>
      <c r="C5768">
        <v>976</v>
      </c>
      <c r="D5768">
        <v>10420</v>
      </c>
      <c r="E5768" t="s">
        <v>37</v>
      </c>
      <c r="F5768" t="s">
        <v>520</v>
      </c>
      <c r="G5768">
        <v>2</v>
      </c>
      <c r="H5768">
        <v>10</v>
      </c>
      <c r="I5768" s="25">
        <v>700</v>
      </c>
      <c r="K5768" t="s">
        <v>1115</v>
      </c>
      <c r="M5768" t="s">
        <v>52</v>
      </c>
      <c r="N5768" t="s">
        <v>44</v>
      </c>
      <c r="O5768">
        <f>60+40</f>
        <v>100</v>
      </c>
      <c r="Q5768">
        <f t="shared" si="83"/>
        <v>1</v>
      </c>
      <c r="R5768">
        <v>1</v>
      </c>
      <c r="S5768">
        <v>0</v>
      </c>
      <c r="T5768">
        <v>0</v>
      </c>
      <c r="U5768">
        <v>0</v>
      </c>
      <c r="V5768">
        <v>0</v>
      </c>
      <c r="W5768">
        <v>1</v>
      </c>
      <c r="X5768" s="21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f t="shared" si="84"/>
        <v>96</v>
      </c>
      <c r="AJ5768" t="s">
        <v>54</v>
      </c>
      <c r="AK5768" t="s">
        <v>52</v>
      </c>
      <c r="AP5768" t="s">
        <v>1915</v>
      </c>
    </row>
    <row r="5769" spans="1:42">
      <c r="A5769" s="1">
        <v>43782</v>
      </c>
      <c r="B5769">
        <v>3</v>
      </c>
      <c r="C5769">
        <v>976</v>
      </c>
      <c r="D5769">
        <v>10420</v>
      </c>
      <c r="E5769" t="s">
        <v>37</v>
      </c>
      <c r="F5769" t="s">
        <v>520</v>
      </c>
      <c r="G5769">
        <v>2</v>
      </c>
      <c r="H5769">
        <v>11</v>
      </c>
      <c r="I5769" s="25">
        <v>700</v>
      </c>
      <c r="K5769" t="s">
        <v>1115</v>
      </c>
      <c r="M5769" t="s">
        <v>52</v>
      </c>
      <c r="N5769" t="s">
        <v>40</v>
      </c>
      <c r="O5769">
        <v>48</v>
      </c>
      <c r="Q5769">
        <f t="shared" si="83"/>
        <v>1</v>
      </c>
      <c r="R5769">
        <v>1</v>
      </c>
      <c r="S5769">
        <v>0</v>
      </c>
      <c r="T5769">
        <v>0</v>
      </c>
      <c r="U5769">
        <v>0</v>
      </c>
      <c r="V5769">
        <v>1</v>
      </c>
      <c r="W5769">
        <v>0</v>
      </c>
      <c r="X5769" s="21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f t="shared" si="84"/>
        <v>64</v>
      </c>
      <c r="AJ5769" t="s">
        <v>54</v>
      </c>
      <c r="AK5769" t="s">
        <v>52</v>
      </c>
      <c r="AP5769" t="s">
        <v>1915</v>
      </c>
    </row>
    <row r="5770" spans="1:42">
      <c r="A5770" s="1">
        <v>43782</v>
      </c>
      <c r="B5770">
        <v>3</v>
      </c>
      <c r="C5770">
        <v>976</v>
      </c>
      <c r="D5770">
        <v>10420</v>
      </c>
      <c r="E5770" t="s">
        <v>37</v>
      </c>
      <c r="F5770" t="s">
        <v>520</v>
      </c>
      <c r="G5770">
        <v>2</v>
      </c>
      <c r="H5770">
        <v>12</v>
      </c>
      <c r="I5770" s="25">
        <v>700</v>
      </c>
      <c r="K5770" t="s">
        <v>378</v>
      </c>
      <c r="M5770" t="s">
        <v>52</v>
      </c>
      <c r="N5770" t="s">
        <v>44</v>
      </c>
      <c r="O5770">
        <f>60+60</f>
        <v>120</v>
      </c>
      <c r="Q5770">
        <f t="shared" si="83"/>
        <v>1</v>
      </c>
      <c r="R5770">
        <v>1</v>
      </c>
      <c r="S5770">
        <v>0</v>
      </c>
      <c r="T5770">
        <v>0</v>
      </c>
      <c r="U5770">
        <v>0</v>
      </c>
      <c r="V5770">
        <v>0</v>
      </c>
      <c r="W5770">
        <v>1</v>
      </c>
      <c r="X5770" s="21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f t="shared" si="84"/>
        <v>96</v>
      </c>
      <c r="AJ5770" t="s">
        <v>51</v>
      </c>
      <c r="AK5770" t="s">
        <v>95</v>
      </c>
      <c r="AP5770" t="s">
        <v>1915</v>
      </c>
    </row>
    <row r="5771" spans="1:42">
      <c r="A5771" s="1">
        <v>43782</v>
      </c>
      <c r="B5771">
        <v>3</v>
      </c>
      <c r="C5771">
        <v>976</v>
      </c>
      <c r="D5771">
        <v>10420</v>
      </c>
      <c r="E5771" t="s">
        <v>37</v>
      </c>
      <c r="F5771" t="s">
        <v>520</v>
      </c>
      <c r="G5771">
        <v>2</v>
      </c>
      <c r="H5771">
        <v>13</v>
      </c>
      <c r="I5771" s="25">
        <v>1700</v>
      </c>
      <c r="K5771" t="s">
        <v>407</v>
      </c>
      <c r="M5771" t="s">
        <v>52</v>
      </c>
      <c r="N5771" t="s">
        <v>1703</v>
      </c>
      <c r="O5771">
        <f>60+60+60+60+16</f>
        <v>256</v>
      </c>
      <c r="Q5771">
        <f t="shared" si="83"/>
        <v>4</v>
      </c>
      <c r="R5771">
        <v>1</v>
      </c>
      <c r="S5771">
        <v>0</v>
      </c>
      <c r="T5771">
        <v>0</v>
      </c>
      <c r="U5771">
        <v>0</v>
      </c>
      <c r="V5771">
        <v>0</v>
      </c>
      <c r="W5771">
        <v>4</v>
      </c>
      <c r="X5771" s="2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1</v>
      </c>
      <c r="AG5771">
        <v>0</v>
      </c>
      <c r="AH5771">
        <f t="shared" si="84"/>
        <v>384</v>
      </c>
      <c r="AJ5771" t="s">
        <v>51</v>
      </c>
      <c r="AK5771" t="s">
        <v>52</v>
      </c>
      <c r="AL5771" t="s">
        <v>1916</v>
      </c>
      <c r="AP5771" t="s">
        <v>1915</v>
      </c>
    </row>
    <row r="5772" spans="1:42">
      <c r="A5772" s="1">
        <v>43782</v>
      </c>
      <c r="B5772">
        <v>3</v>
      </c>
      <c r="C5772">
        <v>976</v>
      </c>
      <c r="D5772">
        <v>10420</v>
      </c>
      <c r="E5772" t="s">
        <v>37</v>
      </c>
      <c r="F5772" t="s">
        <v>520</v>
      </c>
      <c r="G5772">
        <v>2</v>
      </c>
      <c r="H5772">
        <v>14</v>
      </c>
      <c r="I5772" s="25">
        <v>1400</v>
      </c>
      <c r="K5772" t="s">
        <v>50</v>
      </c>
      <c r="M5772" t="s">
        <v>52</v>
      </c>
      <c r="N5772" t="s">
        <v>40</v>
      </c>
      <c r="O5772">
        <f>60+60+60+60+60+8</f>
        <v>308</v>
      </c>
      <c r="Q5772">
        <f t="shared" si="83"/>
        <v>6</v>
      </c>
      <c r="R5772">
        <v>1</v>
      </c>
      <c r="S5772">
        <v>0</v>
      </c>
      <c r="T5772">
        <v>0</v>
      </c>
      <c r="U5772">
        <v>1</v>
      </c>
      <c r="V5772">
        <v>5</v>
      </c>
      <c r="W5772">
        <v>0</v>
      </c>
      <c r="X5772" s="21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f t="shared" si="84"/>
        <v>352</v>
      </c>
      <c r="AJ5772" t="s">
        <v>51</v>
      </c>
      <c r="AK5772" t="s">
        <v>95</v>
      </c>
      <c r="AP5772" t="s">
        <v>1915</v>
      </c>
    </row>
    <row r="5773" spans="1:42">
      <c r="A5773" s="1">
        <v>43782</v>
      </c>
      <c r="B5773">
        <v>3</v>
      </c>
      <c r="C5773">
        <v>976</v>
      </c>
      <c r="D5773">
        <v>10420</v>
      </c>
      <c r="E5773" t="s">
        <v>37</v>
      </c>
      <c r="F5773" t="s">
        <v>520</v>
      </c>
      <c r="G5773">
        <v>2</v>
      </c>
      <c r="H5773">
        <v>15</v>
      </c>
      <c r="I5773" s="25">
        <v>1400</v>
      </c>
      <c r="K5773" t="s">
        <v>50</v>
      </c>
      <c r="M5773" t="s">
        <v>52</v>
      </c>
      <c r="N5773" t="s">
        <v>42</v>
      </c>
      <c r="O5773">
        <f>60+60+60+60+60+60+60+60+60+33</f>
        <v>573</v>
      </c>
      <c r="Q5773">
        <f t="shared" si="83"/>
        <v>7</v>
      </c>
      <c r="R5773">
        <v>1</v>
      </c>
      <c r="S5773">
        <v>0</v>
      </c>
      <c r="T5773">
        <v>0</v>
      </c>
      <c r="U5773">
        <v>3</v>
      </c>
      <c r="V5773">
        <v>1</v>
      </c>
      <c r="W5773">
        <v>3</v>
      </c>
      <c r="X5773" s="21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f t="shared" si="84"/>
        <v>448</v>
      </c>
      <c r="AJ5773" t="s">
        <v>51</v>
      </c>
      <c r="AK5773" t="s">
        <v>95</v>
      </c>
      <c r="AP5773" t="s">
        <v>1915</v>
      </c>
    </row>
    <row r="5774" spans="1:42">
      <c r="A5774" s="1">
        <v>43782</v>
      </c>
      <c r="B5774">
        <v>3</v>
      </c>
      <c r="C5774">
        <v>976</v>
      </c>
      <c r="D5774">
        <v>10420</v>
      </c>
      <c r="E5774" t="s">
        <v>37</v>
      </c>
      <c r="F5774" t="s">
        <v>520</v>
      </c>
      <c r="G5774">
        <v>2</v>
      </c>
      <c r="H5774">
        <f>H5773+1</f>
        <v>16</v>
      </c>
      <c r="I5774" s="25">
        <v>600</v>
      </c>
      <c r="K5774" t="s">
        <v>585</v>
      </c>
      <c r="M5774" t="s">
        <v>52</v>
      </c>
      <c r="N5774" t="s">
        <v>42</v>
      </c>
      <c r="O5774">
        <f>60+60+60+60+60+20</f>
        <v>320</v>
      </c>
      <c r="Q5774">
        <f t="shared" si="83"/>
        <v>5</v>
      </c>
      <c r="R5774">
        <v>1</v>
      </c>
      <c r="S5774">
        <v>0</v>
      </c>
      <c r="T5774">
        <v>0</v>
      </c>
      <c r="U5774">
        <v>1</v>
      </c>
      <c r="V5774">
        <v>0</v>
      </c>
      <c r="W5774">
        <v>4</v>
      </c>
      <c r="X5774" s="21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f t="shared" si="84"/>
        <v>416</v>
      </c>
      <c r="AJ5774" t="s">
        <v>51</v>
      </c>
      <c r="AK5774" t="s">
        <v>95</v>
      </c>
      <c r="AP5774" t="s">
        <v>1915</v>
      </c>
    </row>
    <row r="5775" spans="1:42">
      <c r="A5775" s="1">
        <v>43782</v>
      </c>
      <c r="B5775">
        <v>3</v>
      </c>
      <c r="C5775">
        <v>976</v>
      </c>
      <c r="D5775">
        <v>10420</v>
      </c>
      <c r="E5775" t="s">
        <v>37</v>
      </c>
      <c r="F5775" t="s">
        <v>520</v>
      </c>
      <c r="G5775">
        <v>2</v>
      </c>
      <c r="H5775">
        <f t="shared" ref="H5775:H5838" si="85">H5774+1</f>
        <v>17</v>
      </c>
      <c r="I5775" s="25">
        <v>300</v>
      </c>
      <c r="K5775" t="s">
        <v>1115</v>
      </c>
      <c r="M5775" t="s">
        <v>52</v>
      </c>
      <c r="N5775" t="s">
        <v>42</v>
      </c>
      <c r="O5775">
        <f>60+60+60+60+24</f>
        <v>264</v>
      </c>
      <c r="Q5775">
        <f t="shared" si="83"/>
        <v>3</v>
      </c>
      <c r="R5775">
        <v>1</v>
      </c>
      <c r="S5775">
        <v>0</v>
      </c>
      <c r="T5775">
        <v>0</v>
      </c>
      <c r="U5775">
        <v>2</v>
      </c>
      <c r="V5775">
        <v>1</v>
      </c>
      <c r="W5775">
        <v>0</v>
      </c>
      <c r="X5775" s="21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f t="shared" si="84"/>
        <v>128</v>
      </c>
      <c r="AJ5775" t="s">
        <v>54</v>
      </c>
      <c r="AK5775" t="s">
        <v>95</v>
      </c>
      <c r="AP5775" t="s">
        <v>1915</v>
      </c>
    </row>
    <row r="5776" spans="1:42">
      <c r="A5776" s="1">
        <v>43782</v>
      </c>
      <c r="B5776">
        <v>3</v>
      </c>
      <c r="C5776">
        <v>976</v>
      </c>
      <c r="D5776">
        <v>10420</v>
      </c>
      <c r="E5776" t="s">
        <v>37</v>
      </c>
      <c r="F5776" t="s">
        <v>520</v>
      </c>
      <c r="G5776">
        <v>2</v>
      </c>
      <c r="H5776">
        <f t="shared" si="85"/>
        <v>18</v>
      </c>
      <c r="I5776" s="25">
        <v>300</v>
      </c>
      <c r="K5776" t="s">
        <v>1115</v>
      </c>
      <c r="M5776" t="s">
        <v>52</v>
      </c>
      <c r="N5776" t="s">
        <v>40</v>
      </c>
      <c r="O5776">
        <f>60+12</f>
        <v>72</v>
      </c>
      <c r="Q5776">
        <f t="shared" si="83"/>
        <v>1</v>
      </c>
      <c r="R5776">
        <v>1</v>
      </c>
      <c r="S5776">
        <v>0</v>
      </c>
      <c r="T5776">
        <v>0</v>
      </c>
      <c r="U5776">
        <v>0</v>
      </c>
      <c r="V5776">
        <v>1</v>
      </c>
      <c r="W5776">
        <v>0</v>
      </c>
      <c r="X5776" s="21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3</v>
      </c>
      <c r="AG5776">
        <v>0</v>
      </c>
      <c r="AH5776">
        <f t="shared" si="84"/>
        <v>64</v>
      </c>
      <c r="AJ5776" t="s">
        <v>54</v>
      </c>
      <c r="AK5776" t="s">
        <v>95</v>
      </c>
      <c r="AP5776" t="s">
        <v>1915</v>
      </c>
    </row>
    <row r="5777" spans="1:42">
      <c r="A5777" s="1">
        <v>43782</v>
      </c>
      <c r="B5777">
        <v>3</v>
      </c>
      <c r="C5777">
        <v>976</v>
      </c>
      <c r="D5777">
        <v>10420</v>
      </c>
      <c r="E5777" t="s">
        <v>37</v>
      </c>
      <c r="F5777" t="s">
        <v>520</v>
      </c>
      <c r="G5777">
        <v>2</v>
      </c>
      <c r="H5777">
        <f t="shared" si="85"/>
        <v>19</v>
      </c>
      <c r="I5777" s="25">
        <v>1500</v>
      </c>
      <c r="K5777" t="s">
        <v>102</v>
      </c>
      <c r="M5777" t="s">
        <v>52</v>
      </c>
      <c r="N5777" t="s">
        <v>42</v>
      </c>
      <c r="O5777">
        <f>60+60+60+60+60+60+60+60</f>
        <v>480</v>
      </c>
      <c r="Q5777">
        <f t="shared" si="83"/>
        <v>6</v>
      </c>
      <c r="R5777">
        <v>1</v>
      </c>
      <c r="S5777">
        <v>0</v>
      </c>
      <c r="T5777">
        <v>0</v>
      </c>
      <c r="U5777">
        <v>2</v>
      </c>
      <c r="V5777">
        <v>0</v>
      </c>
      <c r="W5777">
        <v>4</v>
      </c>
      <c r="X5777" s="21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1</v>
      </c>
      <c r="AG5777">
        <v>0</v>
      </c>
      <c r="AH5777">
        <f t="shared" si="84"/>
        <v>448</v>
      </c>
      <c r="AJ5777" t="s">
        <v>51</v>
      </c>
      <c r="AK5777" t="s">
        <v>52</v>
      </c>
      <c r="AL5777" t="s">
        <v>1917</v>
      </c>
      <c r="AP5777" t="s">
        <v>1915</v>
      </c>
    </row>
    <row r="5778" spans="1:42">
      <c r="A5778" s="1">
        <v>43782</v>
      </c>
      <c r="B5778">
        <v>3</v>
      </c>
      <c r="C5778">
        <v>976</v>
      </c>
      <c r="D5778">
        <v>10420</v>
      </c>
      <c r="E5778" t="s">
        <v>37</v>
      </c>
      <c r="F5778" t="s">
        <v>520</v>
      </c>
      <c r="G5778">
        <v>2</v>
      </c>
      <c r="H5778">
        <f t="shared" si="85"/>
        <v>20</v>
      </c>
      <c r="I5778" s="25">
        <v>1500</v>
      </c>
      <c r="K5778" t="s">
        <v>102</v>
      </c>
      <c r="M5778" t="s">
        <v>52</v>
      </c>
      <c r="N5778" t="s">
        <v>40</v>
      </c>
      <c r="O5778">
        <f>60+60+55</f>
        <v>175</v>
      </c>
      <c r="Q5778">
        <f t="shared" si="83"/>
        <v>3</v>
      </c>
      <c r="R5778">
        <v>1</v>
      </c>
      <c r="S5778">
        <v>0</v>
      </c>
      <c r="T5778">
        <v>0</v>
      </c>
      <c r="U5778">
        <v>1</v>
      </c>
      <c r="V5778">
        <v>0</v>
      </c>
      <c r="W5778">
        <v>2</v>
      </c>
      <c r="X5778" s="21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1</v>
      </c>
      <c r="AG5778">
        <v>0</v>
      </c>
      <c r="AH5778">
        <f t="shared" si="84"/>
        <v>224</v>
      </c>
      <c r="AJ5778" t="s">
        <v>54</v>
      </c>
      <c r="AK5778" t="s">
        <v>52</v>
      </c>
      <c r="AP5778" t="s">
        <v>1915</v>
      </c>
    </row>
    <row r="5779" spans="1:42">
      <c r="A5779" s="1">
        <v>43782</v>
      </c>
      <c r="B5779">
        <v>3</v>
      </c>
      <c r="C5779">
        <v>976</v>
      </c>
      <c r="D5779">
        <v>10420</v>
      </c>
      <c r="E5779" t="s">
        <v>37</v>
      </c>
      <c r="F5779" t="s">
        <v>520</v>
      </c>
      <c r="G5779">
        <v>2</v>
      </c>
      <c r="H5779">
        <f t="shared" si="85"/>
        <v>21</v>
      </c>
      <c r="I5779" s="25">
        <v>1600</v>
      </c>
      <c r="K5779" t="s">
        <v>102</v>
      </c>
      <c r="M5779" t="s">
        <v>52</v>
      </c>
      <c r="N5779" t="s">
        <v>42</v>
      </c>
      <c r="O5779">
        <f>60+60+48</f>
        <v>168</v>
      </c>
      <c r="Q5779">
        <f t="shared" si="83"/>
        <v>2</v>
      </c>
      <c r="R5779">
        <v>1</v>
      </c>
      <c r="S5779">
        <v>0</v>
      </c>
      <c r="T5779">
        <v>0</v>
      </c>
      <c r="U5779">
        <v>1</v>
      </c>
      <c r="V5779">
        <v>0</v>
      </c>
      <c r="W5779">
        <v>1</v>
      </c>
      <c r="X5779" s="21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f t="shared" si="84"/>
        <v>128</v>
      </c>
      <c r="AJ5779" t="s">
        <v>51</v>
      </c>
      <c r="AK5779" t="s">
        <v>52</v>
      </c>
      <c r="AP5779" t="s">
        <v>1915</v>
      </c>
    </row>
    <row r="5780" spans="1:42">
      <c r="A5780" s="1">
        <v>43782</v>
      </c>
      <c r="B5780">
        <v>3</v>
      </c>
      <c r="C5780">
        <v>976</v>
      </c>
      <c r="D5780">
        <v>10420</v>
      </c>
      <c r="E5780" t="s">
        <v>37</v>
      </c>
      <c r="F5780" t="s">
        <v>520</v>
      </c>
      <c r="G5780">
        <v>2</v>
      </c>
      <c r="H5780">
        <f t="shared" si="85"/>
        <v>22</v>
      </c>
      <c r="I5780" s="25">
        <v>1600</v>
      </c>
      <c r="K5780" t="s">
        <v>102</v>
      </c>
      <c r="M5780" t="s">
        <v>52</v>
      </c>
      <c r="N5780" t="s">
        <v>40</v>
      </c>
      <c r="O5780">
        <f>60+60+41</f>
        <v>161</v>
      </c>
      <c r="Q5780">
        <f t="shared" si="83"/>
        <v>3</v>
      </c>
      <c r="R5780">
        <v>1</v>
      </c>
      <c r="S5780">
        <v>0</v>
      </c>
      <c r="T5780">
        <v>0</v>
      </c>
      <c r="U5780">
        <v>1</v>
      </c>
      <c r="V5780">
        <v>1</v>
      </c>
      <c r="W5780">
        <v>1</v>
      </c>
      <c r="X5780" s="21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f t="shared" si="84"/>
        <v>192</v>
      </c>
      <c r="AJ5780" t="s">
        <v>51</v>
      </c>
      <c r="AK5780" t="s">
        <v>52</v>
      </c>
      <c r="AP5780" t="s">
        <v>1915</v>
      </c>
    </row>
    <row r="5781" spans="1:42">
      <c r="A5781" s="1">
        <v>43782</v>
      </c>
      <c r="B5781">
        <v>3</v>
      </c>
      <c r="C5781">
        <v>976</v>
      </c>
      <c r="D5781">
        <v>10420</v>
      </c>
      <c r="E5781" t="s">
        <v>37</v>
      </c>
      <c r="F5781" t="s">
        <v>520</v>
      </c>
      <c r="G5781">
        <v>2</v>
      </c>
      <c r="H5781">
        <f t="shared" si="85"/>
        <v>23</v>
      </c>
      <c r="I5781" s="25">
        <v>1500</v>
      </c>
      <c r="K5781" t="s">
        <v>407</v>
      </c>
      <c r="M5781" t="s">
        <v>52</v>
      </c>
      <c r="N5781" t="s">
        <v>40</v>
      </c>
      <c r="O5781">
        <f>60+60+53</f>
        <v>173</v>
      </c>
      <c r="Q5781">
        <f t="shared" si="83"/>
        <v>6</v>
      </c>
      <c r="R5781">
        <v>1</v>
      </c>
      <c r="S5781">
        <v>0</v>
      </c>
      <c r="T5781">
        <v>0</v>
      </c>
      <c r="U5781">
        <v>3</v>
      </c>
      <c r="V5781">
        <v>3</v>
      </c>
      <c r="W5781">
        <v>0</v>
      </c>
      <c r="X5781" s="2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f t="shared" si="84"/>
        <v>288</v>
      </c>
      <c r="AJ5781" t="s">
        <v>54</v>
      </c>
      <c r="AK5781" t="s">
        <v>52</v>
      </c>
      <c r="AP5781" t="s">
        <v>1915</v>
      </c>
    </row>
    <row r="5782" spans="1:42">
      <c r="A5782" s="1">
        <v>43782</v>
      </c>
      <c r="B5782">
        <v>3</v>
      </c>
      <c r="C5782">
        <v>976</v>
      </c>
      <c r="D5782">
        <v>10420</v>
      </c>
      <c r="E5782" t="s">
        <v>37</v>
      </c>
      <c r="F5782" t="s">
        <v>520</v>
      </c>
      <c r="G5782">
        <v>2</v>
      </c>
      <c r="H5782">
        <f t="shared" si="85"/>
        <v>24</v>
      </c>
      <c r="I5782" s="25">
        <v>1500</v>
      </c>
      <c r="K5782" t="s">
        <v>407</v>
      </c>
      <c r="M5782" t="s">
        <v>52</v>
      </c>
      <c r="N5782" t="s">
        <v>40</v>
      </c>
      <c r="O5782">
        <f>60+45</f>
        <v>105</v>
      </c>
      <c r="Q5782">
        <f t="shared" si="83"/>
        <v>3</v>
      </c>
      <c r="R5782">
        <v>1</v>
      </c>
      <c r="S5782">
        <v>0</v>
      </c>
      <c r="T5782">
        <v>0</v>
      </c>
      <c r="U5782">
        <v>3</v>
      </c>
      <c r="V5782">
        <v>0</v>
      </c>
      <c r="W5782">
        <v>0</v>
      </c>
      <c r="X5782" s="21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f t="shared" si="84"/>
        <v>96</v>
      </c>
      <c r="AJ5782" t="s">
        <v>54</v>
      </c>
      <c r="AK5782" t="s">
        <v>52</v>
      </c>
      <c r="AP5782" t="s">
        <v>1915</v>
      </c>
    </row>
    <row r="5783" spans="1:42">
      <c r="A5783" s="1">
        <v>43782</v>
      </c>
      <c r="B5783">
        <v>3</v>
      </c>
      <c r="C5783">
        <v>976</v>
      </c>
      <c r="D5783">
        <v>10420</v>
      </c>
      <c r="E5783" t="s">
        <v>37</v>
      </c>
      <c r="F5783" t="s">
        <v>520</v>
      </c>
      <c r="G5783">
        <v>2</v>
      </c>
      <c r="H5783">
        <f t="shared" si="85"/>
        <v>25</v>
      </c>
      <c r="I5783" s="25">
        <v>1500</v>
      </c>
      <c r="K5783" t="s">
        <v>407</v>
      </c>
      <c r="M5783" t="s">
        <v>52</v>
      </c>
      <c r="N5783" t="s">
        <v>40</v>
      </c>
      <c r="O5783">
        <f>60+26</f>
        <v>86</v>
      </c>
      <c r="Q5783">
        <f t="shared" si="83"/>
        <v>3</v>
      </c>
      <c r="R5783">
        <v>1</v>
      </c>
      <c r="S5783">
        <v>0</v>
      </c>
      <c r="T5783">
        <v>0</v>
      </c>
      <c r="U5783">
        <v>0</v>
      </c>
      <c r="V5783">
        <v>3</v>
      </c>
      <c r="W5783">
        <v>0</v>
      </c>
      <c r="X5783" s="21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f t="shared" si="84"/>
        <v>192</v>
      </c>
      <c r="AJ5783" t="s">
        <v>54</v>
      </c>
      <c r="AK5783" t="s">
        <v>52</v>
      </c>
      <c r="AP5783" t="s">
        <v>1915</v>
      </c>
    </row>
    <row r="5784" spans="1:42">
      <c r="A5784" s="1">
        <v>43782</v>
      </c>
      <c r="B5784">
        <v>3</v>
      </c>
      <c r="C5784">
        <v>976</v>
      </c>
      <c r="D5784">
        <v>10420</v>
      </c>
      <c r="E5784" t="s">
        <v>37</v>
      </c>
      <c r="F5784" t="s">
        <v>520</v>
      </c>
      <c r="G5784">
        <v>2</v>
      </c>
      <c r="H5784">
        <f t="shared" si="85"/>
        <v>26</v>
      </c>
      <c r="I5784" s="25">
        <v>1500</v>
      </c>
      <c r="K5784" t="s">
        <v>407</v>
      </c>
      <c r="M5784" t="s">
        <v>52</v>
      </c>
      <c r="N5784" t="s">
        <v>42</v>
      </c>
      <c r="O5784">
        <f>60+60+41</f>
        <v>161</v>
      </c>
      <c r="Q5784">
        <f t="shared" si="83"/>
        <v>3</v>
      </c>
      <c r="R5784">
        <v>1</v>
      </c>
      <c r="S5784">
        <v>0</v>
      </c>
      <c r="T5784">
        <v>0</v>
      </c>
      <c r="U5784">
        <v>2</v>
      </c>
      <c r="V5784">
        <v>0</v>
      </c>
      <c r="W5784">
        <v>1</v>
      </c>
      <c r="X5784" s="21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f t="shared" si="84"/>
        <v>160</v>
      </c>
      <c r="AJ5784" t="s">
        <v>54</v>
      </c>
      <c r="AK5784" t="s">
        <v>52</v>
      </c>
      <c r="AP5784" t="s">
        <v>1915</v>
      </c>
    </row>
    <row r="5785" spans="1:42">
      <c r="A5785" s="1">
        <v>43782</v>
      </c>
      <c r="B5785">
        <v>3</v>
      </c>
      <c r="C5785">
        <v>976</v>
      </c>
      <c r="D5785">
        <v>10420</v>
      </c>
      <c r="E5785" t="s">
        <v>37</v>
      </c>
      <c r="F5785" t="s">
        <v>520</v>
      </c>
      <c r="G5785">
        <v>2</v>
      </c>
      <c r="H5785">
        <f t="shared" si="85"/>
        <v>27</v>
      </c>
      <c r="I5785" s="25">
        <v>1600</v>
      </c>
      <c r="K5785" t="s">
        <v>102</v>
      </c>
      <c r="M5785" t="s">
        <v>52</v>
      </c>
      <c r="N5785" t="s">
        <v>42</v>
      </c>
      <c r="O5785">
        <f>60+60+14</f>
        <v>134</v>
      </c>
      <c r="Q5785">
        <f t="shared" si="83"/>
        <v>2</v>
      </c>
      <c r="R5785">
        <v>1</v>
      </c>
      <c r="S5785">
        <v>0</v>
      </c>
      <c r="T5785">
        <v>0</v>
      </c>
      <c r="U5785">
        <v>1</v>
      </c>
      <c r="V5785">
        <v>0</v>
      </c>
      <c r="W5785">
        <v>1</v>
      </c>
      <c r="X5785" s="21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f t="shared" si="84"/>
        <v>128</v>
      </c>
      <c r="AJ5785" t="s">
        <v>51</v>
      </c>
      <c r="AK5785" t="s">
        <v>52</v>
      </c>
      <c r="AP5785" t="s">
        <v>1915</v>
      </c>
    </row>
    <row r="5786" spans="1:42">
      <c r="A5786" s="1">
        <v>43782</v>
      </c>
      <c r="B5786">
        <v>3</v>
      </c>
      <c r="C5786">
        <v>976</v>
      </c>
      <c r="D5786">
        <v>10420</v>
      </c>
      <c r="E5786" t="s">
        <v>37</v>
      </c>
      <c r="F5786" t="s">
        <v>520</v>
      </c>
      <c r="G5786">
        <v>2</v>
      </c>
      <c r="H5786">
        <f t="shared" si="85"/>
        <v>28</v>
      </c>
      <c r="I5786" s="25">
        <v>800</v>
      </c>
      <c r="K5786" t="s">
        <v>585</v>
      </c>
      <c r="M5786" t="s">
        <v>52</v>
      </c>
      <c r="N5786" t="s">
        <v>40</v>
      </c>
      <c r="O5786">
        <f>60+60+30</f>
        <v>150</v>
      </c>
      <c r="Q5786">
        <f t="shared" si="83"/>
        <v>5</v>
      </c>
      <c r="R5786">
        <v>1</v>
      </c>
      <c r="S5786">
        <v>0</v>
      </c>
      <c r="T5786">
        <v>0</v>
      </c>
      <c r="U5786">
        <v>4</v>
      </c>
      <c r="V5786">
        <v>1</v>
      </c>
      <c r="W5786">
        <v>0</v>
      </c>
      <c r="X5786" s="21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f t="shared" si="84"/>
        <v>192</v>
      </c>
      <c r="AJ5786" t="s">
        <v>54</v>
      </c>
      <c r="AK5786" t="s">
        <v>52</v>
      </c>
      <c r="AP5786" t="s">
        <v>1915</v>
      </c>
    </row>
    <row r="5787" spans="1:42">
      <c r="A5787" s="1">
        <v>43782</v>
      </c>
      <c r="B5787">
        <v>3</v>
      </c>
      <c r="C5787">
        <v>976</v>
      </c>
      <c r="D5787">
        <v>10420</v>
      </c>
      <c r="E5787" t="s">
        <v>37</v>
      </c>
      <c r="F5787" t="s">
        <v>520</v>
      </c>
      <c r="G5787">
        <v>2</v>
      </c>
      <c r="H5787">
        <f t="shared" si="85"/>
        <v>29</v>
      </c>
      <c r="I5787" s="25">
        <v>800</v>
      </c>
      <c r="K5787" t="s">
        <v>585</v>
      </c>
      <c r="M5787" t="s">
        <v>52</v>
      </c>
      <c r="N5787" t="s">
        <v>40</v>
      </c>
      <c r="O5787">
        <f>60+60+60+27</f>
        <v>207</v>
      </c>
      <c r="Q5787">
        <f t="shared" si="83"/>
        <v>8</v>
      </c>
      <c r="R5787">
        <v>1</v>
      </c>
      <c r="S5787">
        <v>0</v>
      </c>
      <c r="T5787">
        <v>0</v>
      </c>
      <c r="U5787">
        <v>3</v>
      </c>
      <c r="V5787">
        <v>4</v>
      </c>
      <c r="W5787">
        <v>1</v>
      </c>
      <c r="X5787" s="21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f t="shared" si="84"/>
        <v>448</v>
      </c>
      <c r="AJ5787" t="s">
        <v>54</v>
      </c>
      <c r="AK5787" t="s">
        <v>52</v>
      </c>
      <c r="AP5787" t="s">
        <v>1915</v>
      </c>
    </row>
    <row r="5788" spans="1:42">
      <c r="A5788" s="1">
        <v>43782</v>
      </c>
      <c r="B5788">
        <v>3</v>
      </c>
      <c r="C5788">
        <v>976</v>
      </c>
      <c r="D5788">
        <v>10420</v>
      </c>
      <c r="E5788" t="s">
        <v>37</v>
      </c>
      <c r="F5788" t="s">
        <v>520</v>
      </c>
      <c r="G5788">
        <v>2</v>
      </c>
      <c r="H5788">
        <f t="shared" si="85"/>
        <v>30</v>
      </c>
      <c r="I5788" s="25">
        <v>800</v>
      </c>
      <c r="K5788" t="s">
        <v>585</v>
      </c>
      <c r="M5788" t="s">
        <v>52</v>
      </c>
      <c r="N5788" t="s">
        <v>40</v>
      </c>
      <c r="O5788">
        <v>31</v>
      </c>
      <c r="Q5788">
        <f t="shared" si="83"/>
        <v>2</v>
      </c>
      <c r="R5788">
        <v>1</v>
      </c>
      <c r="S5788">
        <v>0</v>
      </c>
      <c r="T5788">
        <v>0</v>
      </c>
      <c r="U5788">
        <v>1</v>
      </c>
      <c r="V5788">
        <v>1</v>
      </c>
      <c r="W5788">
        <v>0</v>
      </c>
      <c r="X5788" s="21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f t="shared" si="84"/>
        <v>96</v>
      </c>
      <c r="AJ5788" t="s">
        <v>54</v>
      </c>
      <c r="AK5788" t="s">
        <v>52</v>
      </c>
      <c r="AP5788" t="s">
        <v>1915</v>
      </c>
    </row>
    <row r="5789" spans="1:42">
      <c r="A5789" s="1">
        <v>43782</v>
      </c>
      <c r="B5789">
        <v>3</v>
      </c>
      <c r="C5789">
        <v>976</v>
      </c>
      <c r="D5789">
        <v>10420</v>
      </c>
      <c r="E5789" t="s">
        <v>37</v>
      </c>
      <c r="F5789" t="s">
        <v>520</v>
      </c>
      <c r="G5789">
        <v>2</v>
      </c>
      <c r="H5789">
        <f t="shared" si="85"/>
        <v>31</v>
      </c>
      <c r="I5789" s="25">
        <v>800</v>
      </c>
      <c r="K5789" t="s">
        <v>585</v>
      </c>
      <c r="M5789" t="s">
        <v>52</v>
      </c>
      <c r="N5789" t="s">
        <v>42</v>
      </c>
      <c r="O5789">
        <f>60+60+60+40</f>
        <v>220</v>
      </c>
      <c r="Q5789">
        <f t="shared" si="83"/>
        <v>4</v>
      </c>
      <c r="R5789">
        <v>1</v>
      </c>
      <c r="S5789">
        <v>0</v>
      </c>
      <c r="T5789">
        <v>0</v>
      </c>
      <c r="U5789">
        <v>1</v>
      </c>
      <c r="V5789">
        <v>0</v>
      </c>
      <c r="W5789">
        <v>3</v>
      </c>
      <c r="X5789" s="21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f t="shared" si="84"/>
        <v>320</v>
      </c>
      <c r="AJ5789" t="s">
        <v>54</v>
      </c>
      <c r="AK5789" t="s">
        <v>52</v>
      </c>
      <c r="AP5789" t="s">
        <v>1915</v>
      </c>
    </row>
    <row r="5790" spans="1:42">
      <c r="A5790" s="1">
        <v>43782</v>
      </c>
      <c r="B5790">
        <v>3</v>
      </c>
      <c r="C5790">
        <v>976</v>
      </c>
      <c r="D5790">
        <v>10420</v>
      </c>
      <c r="E5790" t="s">
        <v>37</v>
      </c>
      <c r="F5790" t="s">
        <v>520</v>
      </c>
      <c r="G5790">
        <v>2</v>
      </c>
      <c r="H5790">
        <f t="shared" si="85"/>
        <v>32</v>
      </c>
      <c r="I5790" s="25">
        <v>900</v>
      </c>
      <c r="K5790" t="s">
        <v>585</v>
      </c>
      <c r="M5790" t="s">
        <v>52</v>
      </c>
      <c r="N5790" t="s">
        <v>44</v>
      </c>
      <c r="O5790">
        <f>60+60+60+60+60+60+60+37</f>
        <v>457</v>
      </c>
      <c r="Q5790">
        <f t="shared" si="83"/>
        <v>5</v>
      </c>
      <c r="R5790">
        <v>1</v>
      </c>
      <c r="S5790">
        <v>0</v>
      </c>
      <c r="T5790">
        <v>0</v>
      </c>
      <c r="U5790">
        <v>0</v>
      </c>
      <c r="V5790">
        <v>0</v>
      </c>
      <c r="W5790">
        <v>5</v>
      </c>
      <c r="X5790" s="21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f t="shared" si="84"/>
        <v>480</v>
      </c>
      <c r="AJ5790" t="s">
        <v>54</v>
      </c>
      <c r="AK5790" t="s">
        <v>52</v>
      </c>
      <c r="AL5790" t="s">
        <v>1918</v>
      </c>
      <c r="AP5790" t="s">
        <v>1915</v>
      </c>
    </row>
    <row r="5791" spans="1:42">
      <c r="A5791" s="1">
        <v>43782</v>
      </c>
      <c r="B5791">
        <v>3</v>
      </c>
      <c r="C5791">
        <v>976</v>
      </c>
      <c r="D5791">
        <v>10420</v>
      </c>
      <c r="E5791" t="s">
        <v>37</v>
      </c>
      <c r="F5791" t="s">
        <v>520</v>
      </c>
      <c r="G5791">
        <v>2</v>
      </c>
      <c r="H5791">
        <f t="shared" si="85"/>
        <v>33</v>
      </c>
      <c r="I5791" s="25">
        <v>1600</v>
      </c>
      <c r="K5791" t="s">
        <v>50</v>
      </c>
      <c r="M5791" t="s">
        <v>52</v>
      </c>
      <c r="N5791" t="s">
        <v>1703</v>
      </c>
      <c r="O5791">
        <f>60+60+60+60+40</f>
        <v>280</v>
      </c>
      <c r="Q5791">
        <f t="shared" si="83"/>
        <v>5</v>
      </c>
      <c r="R5791">
        <v>1</v>
      </c>
      <c r="S5791">
        <v>0</v>
      </c>
      <c r="T5791">
        <v>0</v>
      </c>
      <c r="U5791">
        <v>0</v>
      </c>
      <c r="V5791">
        <v>0</v>
      </c>
      <c r="W5791">
        <v>5</v>
      </c>
      <c r="X5791" s="2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f t="shared" si="84"/>
        <v>480</v>
      </c>
      <c r="AJ5791" t="s">
        <v>51</v>
      </c>
      <c r="AK5791" t="s">
        <v>52</v>
      </c>
      <c r="AL5791" t="s">
        <v>1919</v>
      </c>
      <c r="AP5791" t="s">
        <v>1915</v>
      </c>
    </row>
    <row r="5792" spans="1:42">
      <c r="A5792" s="1">
        <v>43782</v>
      </c>
      <c r="B5792">
        <v>3</v>
      </c>
      <c r="C5792">
        <v>976</v>
      </c>
      <c r="D5792">
        <v>10420</v>
      </c>
      <c r="E5792" t="s">
        <v>37</v>
      </c>
      <c r="F5792" t="s">
        <v>520</v>
      </c>
      <c r="G5792">
        <v>2</v>
      </c>
      <c r="H5792">
        <f t="shared" si="85"/>
        <v>34</v>
      </c>
      <c r="I5792" s="25">
        <v>1600</v>
      </c>
      <c r="K5792" t="s">
        <v>50</v>
      </c>
      <c r="M5792" t="s">
        <v>52</v>
      </c>
      <c r="N5792" t="s">
        <v>40</v>
      </c>
      <c r="O5792">
        <f>60+29</f>
        <v>89</v>
      </c>
      <c r="Q5792">
        <f t="shared" si="83"/>
        <v>2</v>
      </c>
      <c r="R5792">
        <v>1</v>
      </c>
      <c r="S5792">
        <v>0</v>
      </c>
      <c r="T5792">
        <v>0</v>
      </c>
      <c r="U5792">
        <v>0</v>
      </c>
      <c r="V5792">
        <v>2</v>
      </c>
      <c r="W5792">
        <v>0</v>
      </c>
      <c r="X5792" s="21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f t="shared" si="84"/>
        <v>128</v>
      </c>
      <c r="AJ5792" t="s">
        <v>51</v>
      </c>
      <c r="AK5792" t="s">
        <v>52</v>
      </c>
      <c r="AP5792" t="s">
        <v>1915</v>
      </c>
    </row>
    <row r="5793" spans="1:42">
      <c r="A5793" s="1">
        <v>43782</v>
      </c>
      <c r="B5793">
        <v>3</v>
      </c>
      <c r="C5793">
        <v>976</v>
      </c>
      <c r="D5793">
        <v>10420</v>
      </c>
      <c r="E5793" t="s">
        <v>37</v>
      </c>
      <c r="F5793" t="s">
        <v>520</v>
      </c>
      <c r="G5793">
        <v>2</v>
      </c>
      <c r="H5793">
        <f t="shared" si="85"/>
        <v>35</v>
      </c>
      <c r="I5793" s="25">
        <v>500</v>
      </c>
      <c r="K5793" t="s">
        <v>148</v>
      </c>
      <c r="M5793" t="s">
        <v>52</v>
      </c>
      <c r="N5793" t="s">
        <v>40</v>
      </c>
      <c r="O5793">
        <f>50</f>
        <v>50</v>
      </c>
      <c r="Q5793">
        <f t="shared" si="83"/>
        <v>1</v>
      </c>
      <c r="R5793">
        <v>1</v>
      </c>
      <c r="S5793">
        <v>0</v>
      </c>
      <c r="T5793">
        <v>0</v>
      </c>
      <c r="U5793">
        <v>0</v>
      </c>
      <c r="V5793">
        <v>1</v>
      </c>
      <c r="W5793">
        <v>0</v>
      </c>
      <c r="X5793" s="21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f t="shared" si="84"/>
        <v>64</v>
      </c>
      <c r="AJ5793" t="s">
        <v>54</v>
      </c>
      <c r="AK5793" t="s">
        <v>52</v>
      </c>
      <c r="AP5793" t="s">
        <v>1915</v>
      </c>
    </row>
    <row r="5794" spans="1:42">
      <c r="A5794" s="1">
        <v>43782</v>
      </c>
      <c r="B5794">
        <v>3</v>
      </c>
      <c r="C5794">
        <v>976</v>
      </c>
      <c r="D5794">
        <v>10420</v>
      </c>
      <c r="E5794" t="s">
        <v>37</v>
      </c>
      <c r="F5794" t="s">
        <v>520</v>
      </c>
      <c r="G5794">
        <v>2</v>
      </c>
      <c r="H5794">
        <f t="shared" si="85"/>
        <v>36</v>
      </c>
      <c r="I5794" s="25">
        <v>500</v>
      </c>
      <c r="K5794" t="s">
        <v>148</v>
      </c>
      <c r="M5794" t="s">
        <v>52</v>
      </c>
      <c r="N5794" t="s">
        <v>44</v>
      </c>
      <c r="O5794">
        <f>60+60+26</f>
        <v>146</v>
      </c>
      <c r="Q5794">
        <f t="shared" si="83"/>
        <v>2</v>
      </c>
      <c r="R5794">
        <v>1</v>
      </c>
      <c r="S5794">
        <v>0</v>
      </c>
      <c r="T5794">
        <v>0</v>
      </c>
      <c r="U5794">
        <v>0</v>
      </c>
      <c r="V5794">
        <v>0</v>
      </c>
      <c r="W5794">
        <v>2</v>
      </c>
      <c r="X5794" s="21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f t="shared" si="84"/>
        <v>192</v>
      </c>
      <c r="AJ5794" t="s">
        <v>54</v>
      </c>
      <c r="AK5794" t="s">
        <v>52</v>
      </c>
      <c r="AP5794" t="s">
        <v>1915</v>
      </c>
    </row>
    <row r="5795" spans="1:42">
      <c r="A5795" s="1">
        <v>43782</v>
      </c>
      <c r="B5795">
        <v>3</v>
      </c>
      <c r="C5795">
        <v>976</v>
      </c>
      <c r="D5795">
        <v>10420</v>
      </c>
      <c r="E5795" t="s">
        <v>37</v>
      </c>
      <c r="F5795" t="s">
        <v>520</v>
      </c>
      <c r="G5795">
        <v>2</v>
      </c>
      <c r="H5795">
        <f t="shared" si="85"/>
        <v>37</v>
      </c>
      <c r="I5795" s="25">
        <v>500</v>
      </c>
      <c r="K5795" t="s">
        <v>213</v>
      </c>
      <c r="M5795" t="s">
        <v>52</v>
      </c>
      <c r="N5795" t="s">
        <v>44</v>
      </c>
      <c r="O5795">
        <v>54</v>
      </c>
      <c r="Q5795">
        <f t="shared" si="83"/>
        <v>0</v>
      </c>
      <c r="R5795">
        <v>1</v>
      </c>
      <c r="S5795">
        <v>0</v>
      </c>
      <c r="T5795">
        <v>0</v>
      </c>
      <c r="U5795">
        <v>0</v>
      </c>
      <c r="V5795">
        <v>0</v>
      </c>
      <c r="W5795">
        <v>0</v>
      </c>
      <c r="X5795" s="21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1</v>
      </c>
      <c r="AG5795">
        <v>0</v>
      </c>
      <c r="AH5795">
        <f t="shared" si="84"/>
        <v>0</v>
      </c>
      <c r="AJ5795" t="s">
        <v>54</v>
      </c>
      <c r="AK5795" t="s">
        <v>52</v>
      </c>
      <c r="AL5795" t="s">
        <v>1920</v>
      </c>
      <c r="AP5795" t="s">
        <v>1915</v>
      </c>
    </row>
    <row r="5796" spans="1:42">
      <c r="A5796" s="1">
        <v>43782</v>
      </c>
      <c r="B5796">
        <v>3</v>
      </c>
      <c r="C5796">
        <v>976</v>
      </c>
      <c r="D5796">
        <v>10420</v>
      </c>
      <c r="E5796" t="s">
        <v>37</v>
      </c>
      <c r="F5796" t="s">
        <v>520</v>
      </c>
      <c r="G5796">
        <v>2</v>
      </c>
      <c r="H5796">
        <f t="shared" si="85"/>
        <v>38</v>
      </c>
      <c r="I5796" s="25">
        <v>500</v>
      </c>
      <c r="K5796" t="s">
        <v>213</v>
      </c>
      <c r="M5796" t="s">
        <v>52</v>
      </c>
      <c r="N5796" t="s">
        <v>42</v>
      </c>
      <c r="O5796">
        <f>60+60+60+60</f>
        <v>240</v>
      </c>
      <c r="Q5796">
        <f t="shared" si="83"/>
        <v>6</v>
      </c>
      <c r="R5796">
        <v>1</v>
      </c>
      <c r="S5796">
        <v>0</v>
      </c>
      <c r="T5796">
        <v>0</v>
      </c>
      <c r="U5796">
        <v>3</v>
      </c>
      <c r="V5796">
        <v>2</v>
      </c>
      <c r="W5796">
        <v>1</v>
      </c>
      <c r="X5796" s="21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f t="shared" si="84"/>
        <v>320</v>
      </c>
      <c r="AP5796" t="s">
        <v>1915</v>
      </c>
    </row>
    <row r="5797" spans="1:42">
      <c r="A5797" s="1">
        <v>43782</v>
      </c>
      <c r="B5797">
        <v>3</v>
      </c>
      <c r="C5797">
        <v>976</v>
      </c>
      <c r="D5797">
        <v>10420</v>
      </c>
      <c r="E5797" t="s">
        <v>37</v>
      </c>
      <c r="F5797" t="s">
        <v>520</v>
      </c>
      <c r="G5797">
        <v>2</v>
      </c>
      <c r="H5797">
        <f t="shared" si="85"/>
        <v>39</v>
      </c>
      <c r="I5797" s="25">
        <v>500</v>
      </c>
      <c r="K5797" t="s">
        <v>213</v>
      </c>
      <c r="M5797" t="s">
        <v>52</v>
      </c>
      <c r="N5797" t="s">
        <v>40</v>
      </c>
      <c r="O5797">
        <f>60+52</f>
        <v>112</v>
      </c>
      <c r="Q5797">
        <f t="shared" si="83"/>
        <v>3</v>
      </c>
      <c r="R5797">
        <v>1</v>
      </c>
      <c r="S5797">
        <v>0</v>
      </c>
      <c r="T5797">
        <v>0</v>
      </c>
      <c r="U5797">
        <v>2</v>
      </c>
      <c r="V5797">
        <v>0</v>
      </c>
      <c r="W5797">
        <v>1</v>
      </c>
      <c r="X5797" s="21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f t="shared" si="84"/>
        <v>160</v>
      </c>
      <c r="AP5797" t="s">
        <v>1915</v>
      </c>
    </row>
    <row r="5798" spans="1:42">
      <c r="A5798" s="1">
        <v>43782</v>
      </c>
      <c r="B5798">
        <v>3</v>
      </c>
      <c r="C5798">
        <v>976</v>
      </c>
      <c r="D5798">
        <v>10420</v>
      </c>
      <c r="E5798" t="s">
        <v>37</v>
      </c>
      <c r="F5798" t="s">
        <v>520</v>
      </c>
      <c r="G5798">
        <v>2</v>
      </c>
      <c r="H5798">
        <f t="shared" si="85"/>
        <v>40</v>
      </c>
      <c r="I5798" s="25">
        <v>1000</v>
      </c>
      <c r="K5798" t="s">
        <v>50</v>
      </c>
      <c r="M5798" t="s">
        <v>52</v>
      </c>
      <c r="N5798" t="s">
        <v>40</v>
      </c>
      <c r="O5798">
        <f>60+60+60+27</f>
        <v>207</v>
      </c>
      <c r="Q5798">
        <f t="shared" si="83"/>
        <v>5</v>
      </c>
      <c r="R5798">
        <v>1</v>
      </c>
      <c r="S5798">
        <v>0</v>
      </c>
      <c r="T5798">
        <v>0</v>
      </c>
      <c r="U5798">
        <v>0</v>
      </c>
      <c r="V5798">
        <v>3</v>
      </c>
      <c r="W5798">
        <v>2</v>
      </c>
      <c r="X5798" s="21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f t="shared" si="84"/>
        <v>384</v>
      </c>
      <c r="AP5798" t="s">
        <v>1915</v>
      </c>
    </row>
    <row r="5799" spans="1:42">
      <c r="A5799" s="1">
        <v>43782</v>
      </c>
      <c r="B5799">
        <v>3</v>
      </c>
      <c r="C5799">
        <v>976</v>
      </c>
      <c r="D5799">
        <v>10420</v>
      </c>
      <c r="E5799" t="s">
        <v>37</v>
      </c>
      <c r="F5799" t="s">
        <v>520</v>
      </c>
      <c r="G5799">
        <v>2</v>
      </c>
      <c r="H5799">
        <f t="shared" si="85"/>
        <v>41</v>
      </c>
      <c r="I5799" s="25">
        <v>1000</v>
      </c>
      <c r="K5799" t="s">
        <v>50</v>
      </c>
      <c r="M5799" t="s">
        <v>52</v>
      </c>
      <c r="N5799" t="s">
        <v>42</v>
      </c>
      <c r="O5799">
        <f>60+60+60+60+9</f>
        <v>249</v>
      </c>
      <c r="Q5799">
        <f t="shared" si="83"/>
        <v>5</v>
      </c>
      <c r="R5799">
        <v>1</v>
      </c>
      <c r="S5799">
        <v>0</v>
      </c>
      <c r="T5799">
        <v>0</v>
      </c>
      <c r="U5799">
        <v>0</v>
      </c>
      <c r="V5799">
        <v>5</v>
      </c>
      <c r="W5799">
        <v>0</v>
      </c>
      <c r="X5799" s="21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f t="shared" si="84"/>
        <v>320</v>
      </c>
      <c r="AP5799" t="s">
        <v>1915</v>
      </c>
    </row>
    <row r="5800" spans="1:42">
      <c r="A5800" s="1">
        <v>43782</v>
      </c>
      <c r="B5800">
        <v>3</v>
      </c>
      <c r="C5800">
        <v>976</v>
      </c>
      <c r="D5800">
        <v>10420</v>
      </c>
      <c r="E5800" t="s">
        <v>37</v>
      </c>
      <c r="F5800" t="s">
        <v>520</v>
      </c>
      <c r="G5800">
        <v>2</v>
      </c>
      <c r="H5800">
        <f t="shared" si="85"/>
        <v>42</v>
      </c>
      <c r="I5800" s="25">
        <v>1000</v>
      </c>
      <c r="K5800" t="s">
        <v>50</v>
      </c>
      <c r="M5800" t="s">
        <v>52</v>
      </c>
      <c r="N5800" t="s">
        <v>40</v>
      </c>
      <c r="O5800">
        <f>56</f>
        <v>56</v>
      </c>
      <c r="Q5800">
        <f t="shared" si="83"/>
        <v>1</v>
      </c>
      <c r="R5800">
        <v>1</v>
      </c>
      <c r="S5800">
        <v>0</v>
      </c>
      <c r="T5800">
        <v>0</v>
      </c>
      <c r="U5800">
        <v>0</v>
      </c>
      <c r="V5800">
        <v>1</v>
      </c>
      <c r="W5800">
        <v>0</v>
      </c>
      <c r="X5800" s="21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f t="shared" si="84"/>
        <v>64</v>
      </c>
      <c r="AP5800" t="s">
        <v>1915</v>
      </c>
    </row>
    <row r="5801" spans="1:42">
      <c r="A5801" s="1">
        <v>43782</v>
      </c>
      <c r="B5801">
        <v>3</v>
      </c>
      <c r="C5801">
        <v>976</v>
      </c>
      <c r="D5801">
        <v>10420</v>
      </c>
      <c r="E5801" t="s">
        <v>37</v>
      </c>
      <c r="F5801" t="s">
        <v>520</v>
      </c>
      <c r="G5801">
        <v>2</v>
      </c>
      <c r="H5801">
        <f t="shared" si="85"/>
        <v>43</v>
      </c>
      <c r="I5801" s="25">
        <v>500</v>
      </c>
      <c r="K5801" t="s">
        <v>213</v>
      </c>
      <c r="M5801" t="s">
        <v>52</v>
      </c>
      <c r="N5801" t="s">
        <v>44</v>
      </c>
      <c r="O5801">
        <f>60+44</f>
        <v>104</v>
      </c>
      <c r="Q5801">
        <f t="shared" si="83"/>
        <v>1</v>
      </c>
      <c r="R5801">
        <v>1</v>
      </c>
      <c r="S5801">
        <v>0</v>
      </c>
      <c r="T5801">
        <v>0</v>
      </c>
      <c r="U5801">
        <v>0</v>
      </c>
      <c r="V5801">
        <v>0</v>
      </c>
      <c r="W5801">
        <v>1</v>
      </c>
      <c r="X5801" s="2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f t="shared" si="84"/>
        <v>96</v>
      </c>
      <c r="AP5801" t="s">
        <v>1915</v>
      </c>
    </row>
    <row r="5802" spans="1:42">
      <c r="A5802" s="1">
        <v>43782</v>
      </c>
      <c r="B5802">
        <v>3</v>
      </c>
      <c r="C5802">
        <v>976</v>
      </c>
      <c r="D5802">
        <v>10420</v>
      </c>
      <c r="E5802" t="s">
        <v>37</v>
      </c>
      <c r="F5802" t="s">
        <v>520</v>
      </c>
      <c r="G5802">
        <v>2</v>
      </c>
      <c r="H5802">
        <f t="shared" si="85"/>
        <v>44</v>
      </c>
      <c r="I5802" s="25">
        <v>400</v>
      </c>
      <c r="K5802" t="s">
        <v>324</v>
      </c>
      <c r="M5802" t="s">
        <v>52</v>
      </c>
      <c r="N5802" t="s">
        <v>42</v>
      </c>
      <c r="O5802">
        <f>60+60+60+30</f>
        <v>210</v>
      </c>
      <c r="Q5802">
        <f t="shared" si="83"/>
        <v>3</v>
      </c>
      <c r="R5802">
        <v>1</v>
      </c>
      <c r="S5802">
        <v>0</v>
      </c>
      <c r="T5802">
        <v>0</v>
      </c>
      <c r="U5802">
        <v>0</v>
      </c>
      <c r="V5802">
        <v>0</v>
      </c>
      <c r="W5802">
        <v>3</v>
      </c>
      <c r="X5802" s="21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f t="shared" si="84"/>
        <v>288</v>
      </c>
      <c r="AP5802" t="s">
        <v>1915</v>
      </c>
    </row>
    <row r="5803" spans="1:42">
      <c r="A5803" s="1">
        <v>43782</v>
      </c>
      <c r="B5803">
        <v>3</v>
      </c>
      <c r="C5803">
        <v>976</v>
      </c>
      <c r="D5803">
        <v>10420</v>
      </c>
      <c r="E5803" t="s">
        <v>37</v>
      </c>
      <c r="F5803" t="s">
        <v>520</v>
      </c>
      <c r="G5803">
        <v>2</v>
      </c>
      <c r="H5803">
        <f t="shared" si="85"/>
        <v>45</v>
      </c>
      <c r="I5803" s="25">
        <v>400</v>
      </c>
      <c r="K5803" t="s">
        <v>324</v>
      </c>
      <c r="M5803" t="s">
        <v>52</v>
      </c>
      <c r="N5803" t="s">
        <v>42</v>
      </c>
      <c r="O5803">
        <f>60+60+60+60+60+41</f>
        <v>341</v>
      </c>
      <c r="Q5803">
        <f t="shared" si="83"/>
        <v>6</v>
      </c>
      <c r="R5803">
        <v>1</v>
      </c>
      <c r="S5803">
        <v>0</v>
      </c>
      <c r="T5803">
        <v>0</v>
      </c>
      <c r="U5803">
        <v>1</v>
      </c>
      <c r="V5803">
        <v>1</v>
      </c>
      <c r="W5803">
        <v>4</v>
      </c>
      <c r="X5803" s="21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f t="shared" si="84"/>
        <v>480</v>
      </c>
      <c r="AP5803" t="s">
        <v>1915</v>
      </c>
    </row>
    <row r="5804" spans="1:42">
      <c r="A5804" s="1">
        <v>43782</v>
      </c>
      <c r="B5804">
        <v>3</v>
      </c>
      <c r="C5804">
        <v>976</v>
      </c>
      <c r="D5804">
        <v>10420</v>
      </c>
      <c r="E5804" t="s">
        <v>37</v>
      </c>
      <c r="F5804" t="s">
        <v>520</v>
      </c>
      <c r="G5804">
        <v>2</v>
      </c>
      <c r="H5804">
        <f t="shared" si="85"/>
        <v>46</v>
      </c>
      <c r="I5804" s="25">
        <v>400</v>
      </c>
      <c r="K5804" t="s">
        <v>324</v>
      </c>
      <c r="M5804" t="s">
        <v>52</v>
      </c>
      <c r="N5804" t="s">
        <v>40</v>
      </c>
      <c r="O5804">
        <f>60+46</f>
        <v>106</v>
      </c>
      <c r="Q5804">
        <f t="shared" si="83"/>
        <v>2</v>
      </c>
      <c r="R5804">
        <v>1</v>
      </c>
      <c r="S5804">
        <v>0</v>
      </c>
      <c r="T5804">
        <v>0</v>
      </c>
      <c r="U5804">
        <v>2</v>
      </c>
      <c r="V5804">
        <v>0</v>
      </c>
      <c r="W5804">
        <v>0</v>
      </c>
      <c r="X5804" s="21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f t="shared" si="84"/>
        <v>64</v>
      </c>
      <c r="AP5804" t="s">
        <v>1915</v>
      </c>
    </row>
    <row r="5805" spans="1:42">
      <c r="A5805" s="1">
        <v>43782</v>
      </c>
      <c r="B5805">
        <v>3</v>
      </c>
      <c r="C5805">
        <v>976</v>
      </c>
      <c r="D5805">
        <v>10420</v>
      </c>
      <c r="E5805" t="s">
        <v>37</v>
      </c>
      <c r="F5805" t="s">
        <v>520</v>
      </c>
      <c r="G5805">
        <v>2</v>
      </c>
      <c r="H5805">
        <f t="shared" si="85"/>
        <v>47</v>
      </c>
      <c r="I5805" s="25">
        <v>400</v>
      </c>
      <c r="K5805" t="s">
        <v>324</v>
      </c>
      <c r="M5805" t="s">
        <v>52</v>
      </c>
      <c r="N5805" t="s">
        <v>44</v>
      </c>
      <c r="O5805">
        <f>60+60+60+49</f>
        <v>229</v>
      </c>
      <c r="Q5805">
        <f t="shared" si="83"/>
        <v>2</v>
      </c>
      <c r="R5805">
        <v>1</v>
      </c>
      <c r="S5805">
        <v>0</v>
      </c>
      <c r="T5805">
        <v>0</v>
      </c>
      <c r="U5805">
        <v>0</v>
      </c>
      <c r="V5805">
        <v>0</v>
      </c>
      <c r="W5805">
        <v>2</v>
      </c>
      <c r="X5805" s="21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f t="shared" si="84"/>
        <v>192</v>
      </c>
      <c r="AL5805" t="s">
        <v>1921</v>
      </c>
      <c r="AP5805" t="s">
        <v>1915</v>
      </c>
    </row>
    <row r="5806" spans="1:42">
      <c r="A5806" s="1">
        <v>43782</v>
      </c>
      <c r="B5806">
        <v>3</v>
      </c>
      <c r="C5806">
        <v>976</v>
      </c>
      <c r="D5806">
        <v>10420</v>
      </c>
      <c r="E5806" t="s">
        <v>37</v>
      </c>
      <c r="F5806" t="s">
        <v>520</v>
      </c>
      <c r="G5806">
        <v>2</v>
      </c>
      <c r="H5806">
        <f t="shared" si="85"/>
        <v>48</v>
      </c>
      <c r="I5806" s="25">
        <v>500</v>
      </c>
      <c r="K5806" t="s">
        <v>324</v>
      </c>
      <c r="M5806" t="s">
        <v>52</v>
      </c>
      <c r="N5806" t="s">
        <v>42</v>
      </c>
      <c r="O5806">
        <f>60+60+60+60+60+60+28</f>
        <v>388</v>
      </c>
      <c r="Q5806">
        <f t="shared" si="83"/>
        <v>10</v>
      </c>
      <c r="R5806">
        <v>1</v>
      </c>
      <c r="S5806">
        <v>0</v>
      </c>
      <c r="T5806">
        <v>0</v>
      </c>
      <c r="U5806">
        <v>1</v>
      </c>
      <c r="V5806">
        <v>1</v>
      </c>
      <c r="W5806">
        <v>8</v>
      </c>
      <c r="X5806" s="21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f t="shared" si="84"/>
        <v>864</v>
      </c>
      <c r="AL5806" t="s">
        <v>1922</v>
      </c>
      <c r="AP5806" t="s">
        <v>1915</v>
      </c>
    </row>
    <row r="5807" spans="1:42">
      <c r="A5807" s="1">
        <v>43782</v>
      </c>
      <c r="B5807">
        <v>3</v>
      </c>
      <c r="C5807">
        <v>976</v>
      </c>
      <c r="D5807">
        <v>10420</v>
      </c>
      <c r="E5807" t="s">
        <v>37</v>
      </c>
      <c r="F5807" t="s">
        <v>520</v>
      </c>
      <c r="G5807">
        <v>2</v>
      </c>
      <c r="H5807">
        <f t="shared" si="85"/>
        <v>49</v>
      </c>
      <c r="I5807" s="25">
        <v>500</v>
      </c>
      <c r="K5807" t="s">
        <v>324</v>
      </c>
      <c r="M5807" t="s">
        <v>52</v>
      </c>
      <c r="N5807" t="s">
        <v>40</v>
      </c>
      <c r="O5807">
        <f>60+23</f>
        <v>83</v>
      </c>
      <c r="Q5807">
        <f t="shared" si="83"/>
        <v>2</v>
      </c>
      <c r="R5807">
        <v>1</v>
      </c>
      <c r="S5807">
        <v>0</v>
      </c>
      <c r="T5807">
        <v>0</v>
      </c>
      <c r="U5807">
        <v>0</v>
      </c>
      <c r="V5807">
        <v>0</v>
      </c>
      <c r="W5807">
        <v>2</v>
      </c>
      <c r="X5807" s="21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f t="shared" si="84"/>
        <v>192</v>
      </c>
      <c r="AP5807" t="s">
        <v>1915</v>
      </c>
    </row>
    <row r="5808" spans="1:42">
      <c r="A5808" s="1">
        <v>43782</v>
      </c>
      <c r="B5808">
        <v>3</v>
      </c>
      <c r="C5808">
        <v>976</v>
      </c>
      <c r="D5808">
        <v>10420</v>
      </c>
      <c r="E5808" t="s">
        <v>37</v>
      </c>
      <c r="F5808" t="s">
        <v>520</v>
      </c>
      <c r="G5808">
        <v>2</v>
      </c>
      <c r="H5808">
        <f t="shared" si="85"/>
        <v>50</v>
      </c>
      <c r="I5808" s="25">
        <v>0</v>
      </c>
      <c r="K5808" t="s">
        <v>1923</v>
      </c>
      <c r="M5808" t="s">
        <v>52</v>
      </c>
      <c r="N5808" t="s">
        <v>42</v>
      </c>
      <c r="O5808">
        <f>60+60+60+26</f>
        <v>206</v>
      </c>
      <c r="Q5808">
        <f t="shared" si="83"/>
        <v>4</v>
      </c>
      <c r="R5808">
        <v>1</v>
      </c>
      <c r="S5808">
        <v>0</v>
      </c>
      <c r="T5808">
        <v>0</v>
      </c>
      <c r="U5808">
        <v>0</v>
      </c>
      <c r="V5808">
        <v>4</v>
      </c>
      <c r="W5808">
        <v>0</v>
      </c>
      <c r="X5808" s="21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f t="shared" si="84"/>
        <v>256</v>
      </c>
      <c r="AP5808" t="s">
        <v>1915</v>
      </c>
    </row>
    <row r="5809" spans="1:42">
      <c r="A5809" s="1">
        <v>43782</v>
      </c>
      <c r="B5809">
        <v>3</v>
      </c>
      <c r="C5809">
        <v>976</v>
      </c>
      <c r="D5809">
        <v>10420</v>
      </c>
      <c r="E5809" t="s">
        <v>37</v>
      </c>
      <c r="F5809" t="s">
        <v>520</v>
      </c>
      <c r="G5809">
        <v>2</v>
      </c>
      <c r="H5809">
        <f t="shared" si="85"/>
        <v>51</v>
      </c>
      <c r="I5809" s="25">
        <v>500</v>
      </c>
      <c r="K5809" t="s">
        <v>324</v>
      </c>
      <c r="M5809" t="s">
        <v>52</v>
      </c>
      <c r="N5809" t="s">
        <v>40</v>
      </c>
      <c r="O5809">
        <f>60+47</f>
        <v>107</v>
      </c>
      <c r="Q5809">
        <f t="shared" si="83"/>
        <v>2</v>
      </c>
      <c r="R5809">
        <v>1</v>
      </c>
      <c r="S5809">
        <v>0</v>
      </c>
      <c r="T5809">
        <v>0</v>
      </c>
      <c r="U5809">
        <v>1</v>
      </c>
      <c r="V5809">
        <v>1</v>
      </c>
      <c r="W5809">
        <v>0</v>
      </c>
      <c r="X5809" s="21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f t="shared" si="84"/>
        <v>96</v>
      </c>
      <c r="AP5809" t="s">
        <v>1915</v>
      </c>
    </row>
    <row r="5810" spans="1:42">
      <c r="A5810" s="1">
        <v>43782</v>
      </c>
      <c r="B5810">
        <v>3</v>
      </c>
      <c r="C5810">
        <v>976</v>
      </c>
      <c r="D5810">
        <v>10420</v>
      </c>
      <c r="E5810" t="s">
        <v>37</v>
      </c>
      <c r="F5810" t="s">
        <v>520</v>
      </c>
      <c r="G5810">
        <v>2</v>
      </c>
      <c r="H5810">
        <f t="shared" si="85"/>
        <v>52</v>
      </c>
      <c r="I5810" s="25">
        <v>500</v>
      </c>
      <c r="K5810" t="s">
        <v>324</v>
      </c>
      <c r="M5810" t="s">
        <v>52</v>
      </c>
      <c r="N5810" t="s">
        <v>40</v>
      </c>
      <c r="O5810">
        <f>44</f>
        <v>44</v>
      </c>
      <c r="Q5810">
        <f t="shared" si="83"/>
        <v>1</v>
      </c>
      <c r="R5810">
        <v>1</v>
      </c>
      <c r="S5810">
        <v>0</v>
      </c>
      <c r="T5810">
        <v>0</v>
      </c>
      <c r="U5810">
        <v>0</v>
      </c>
      <c r="V5810">
        <v>0</v>
      </c>
      <c r="W5810">
        <v>1</v>
      </c>
      <c r="X5810" s="21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f t="shared" si="84"/>
        <v>96</v>
      </c>
      <c r="AP5810" t="s">
        <v>1915</v>
      </c>
    </row>
    <row r="5811" spans="1:42">
      <c r="A5811" s="1">
        <v>43782</v>
      </c>
      <c r="B5811">
        <v>3</v>
      </c>
      <c r="C5811">
        <v>976</v>
      </c>
      <c r="D5811">
        <v>10420</v>
      </c>
      <c r="E5811" t="s">
        <v>37</v>
      </c>
      <c r="F5811" t="s">
        <v>520</v>
      </c>
      <c r="G5811">
        <v>2</v>
      </c>
      <c r="H5811">
        <f t="shared" si="85"/>
        <v>53</v>
      </c>
      <c r="I5811" s="25">
        <v>500</v>
      </c>
      <c r="K5811" t="s">
        <v>324</v>
      </c>
      <c r="M5811" t="s">
        <v>52</v>
      </c>
      <c r="N5811" t="s">
        <v>40</v>
      </c>
      <c r="O5811">
        <f>60+60+60+42</f>
        <v>222</v>
      </c>
      <c r="Q5811">
        <f t="shared" si="83"/>
        <v>1</v>
      </c>
      <c r="R5811">
        <v>1</v>
      </c>
      <c r="S5811">
        <v>0</v>
      </c>
      <c r="T5811">
        <v>0</v>
      </c>
      <c r="U5811">
        <v>0</v>
      </c>
      <c r="V5811">
        <v>0</v>
      </c>
      <c r="W5811">
        <v>0</v>
      </c>
      <c r="X5811" s="21">
        <v>0</v>
      </c>
      <c r="Y5811">
        <v>0</v>
      </c>
      <c r="Z5811">
        <v>0</v>
      </c>
      <c r="AA5811">
        <v>1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f t="shared" si="84"/>
        <v>0</v>
      </c>
      <c r="AP5811" t="s">
        <v>1915</v>
      </c>
    </row>
    <row r="5812" spans="1:42">
      <c r="A5812" s="1">
        <v>43782</v>
      </c>
      <c r="B5812">
        <v>3</v>
      </c>
      <c r="C5812">
        <v>976</v>
      </c>
      <c r="D5812">
        <v>10420</v>
      </c>
      <c r="E5812" t="s">
        <v>37</v>
      </c>
      <c r="F5812" t="s">
        <v>520</v>
      </c>
      <c r="G5812">
        <v>2</v>
      </c>
      <c r="H5812">
        <f t="shared" si="85"/>
        <v>54</v>
      </c>
      <c r="I5812" s="25">
        <v>1200</v>
      </c>
      <c r="K5812" t="s">
        <v>1115</v>
      </c>
      <c r="M5812" t="s">
        <v>52</v>
      </c>
      <c r="N5812" t="s">
        <v>44</v>
      </c>
      <c r="O5812">
        <f>60+60+60+60+60+42</f>
        <v>342</v>
      </c>
      <c r="Q5812">
        <f t="shared" si="83"/>
        <v>3</v>
      </c>
      <c r="R5812">
        <v>1</v>
      </c>
      <c r="S5812">
        <v>0</v>
      </c>
      <c r="T5812">
        <v>0</v>
      </c>
      <c r="U5812">
        <v>0</v>
      </c>
      <c r="V5812">
        <v>0</v>
      </c>
      <c r="W5812">
        <v>3</v>
      </c>
      <c r="X5812" s="21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f t="shared" si="84"/>
        <v>288</v>
      </c>
      <c r="AP5812" t="s">
        <v>1915</v>
      </c>
    </row>
    <row r="5813" spans="1:42">
      <c r="A5813" s="1">
        <v>43782</v>
      </c>
      <c r="B5813">
        <v>3</v>
      </c>
      <c r="C5813">
        <v>976</v>
      </c>
      <c r="D5813">
        <v>10420</v>
      </c>
      <c r="E5813" t="s">
        <v>37</v>
      </c>
      <c r="F5813" t="s">
        <v>520</v>
      </c>
      <c r="G5813">
        <v>2</v>
      </c>
      <c r="H5813">
        <f t="shared" si="85"/>
        <v>55</v>
      </c>
      <c r="I5813" s="25">
        <v>600</v>
      </c>
      <c r="K5813" t="s">
        <v>862</v>
      </c>
      <c r="M5813" t="s">
        <v>52</v>
      </c>
      <c r="N5813" t="s">
        <v>44</v>
      </c>
      <c r="O5813">
        <f>60+24</f>
        <v>84</v>
      </c>
      <c r="Q5813">
        <f t="shared" si="83"/>
        <v>1</v>
      </c>
      <c r="R5813">
        <v>1</v>
      </c>
      <c r="S5813">
        <v>0</v>
      </c>
      <c r="T5813">
        <v>0</v>
      </c>
      <c r="U5813">
        <v>0</v>
      </c>
      <c r="V5813">
        <v>1</v>
      </c>
      <c r="W5813">
        <v>0</v>
      </c>
      <c r="X5813" s="21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f t="shared" si="84"/>
        <v>64</v>
      </c>
      <c r="AP5813" t="s">
        <v>1915</v>
      </c>
    </row>
    <row r="5814" spans="1:42">
      <c r="A5814" s="1">
        <v>43782</v>
      </c>
      <c r="B5814">
        <v>3</v>
      </c>
      <c r="C5814">
        <v>976</v>
      </c>
      <c r="D5814">
        <v>10420</v>
      </c>
      <c r="E5814" t="s">
        <v>37</v>
      </c>
      <c r="F5814" t="s">
        <v>520</v>
      </c>
      <c r="G5814">
        <v>2</v>
      </c>
      <c r="H5814">
        <f t="shared" si="85"/>
        <v>56</v>
      </c>
      <c r="I5814" s="25">
        <v>500</v>
      </c>
      <c r="K5814" t="s">
        <v>862</v>
      </c>
      <c r="M5814" t="s">
        <v>52</v>
      </c>
      <c r="N5814" t="s">
        <v>40</v>
      </c>
      <c r="O5814">
        <f>60+55</f>
        <v>115</v>
      </c>
      <c r="Q5814">
        <f t="shared" si="83"/>
        <v>4</v>
      </c>
      <c r="R5814">
        <v>1</v>
      </c>
      <c r="S5814">
        <v>0</v>
      </c>
      <c r="T5814">
        <v>0</v>
      </c>
      <c r="U5814">
        <v>0</v>
      </c>
      <c r="V5814">
        <v>0</v>
      </c>
      <c r="W5814">
        <v>4</v>
      </c>
      <c r="X5814" s="21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f t="shared" si="84"/>
        <v>384</v>
      </c>
      <c r="AP5814" t="s">
        <v>1915</v>
      </c>
    </row>
    <row r="5815" spans="1:42">
      <c r="A5815" s="1">
        <v>43782</v>
      </c>
      <c r="B5815">
        <v>3</v>
      </c>
      <c r="C5815">
        <v>976</v>
      </c>
      <c r="D5815">
        <v>10420</v>
      </c>
      <c r="E5815" t="s">
        <v>37</v>
      </c>
      <c r="F5815" t="s">
        <v>520</v>
      </c>
      <c r="G5815">
        <v>2</v>
      </c>
      <c r="H5815">
        <f t="shared" si="85"/>
        <v>57</v>
      </c>
      <c r="I5815" s="25">
        <v>400</v>
      </c>
      <c r="K5815" t="s">
        <v>862</v>
      </c>
      <c r="M5815" t="s">
        <v>52</v>
      </c>
      <c r="N5815" t="s">
        <v>40</v>
      </c>
      <c r="O5815">
        <f>60+26</f>
        <v>86</v>
      </c>
      <c r="Q5815">
        <f t="shared" si="83"/>
        <v>2</v>
      </c>
      <c r="R5815">
        <v>1</v>
      </c>
      <c r="S5815">
        <v>0</v>
      </c>
      <c r="T5815">
        <v>0</v>
      </c>
      <c r="U5815">
        <v>0</v>
      </c>
      <c r="V5815">
        <v>2</v>
      </c>
      <c r="W5815">
        <v>0</v>
      </c>
      <c r="X5815" s="21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1</v>
      </c>
      <c r="AG5815">
        <v>0</v>
      </c>
      <c r="AH5815">
        <f t="shared" si="84"/>
        <v>128</v>
      </c>
      <c r="AP5815" t="s">
        <v>1915</v>
      </c>
    </row>
    <row r="5816" spans="1:42">
      <c r="A5816" s="1">
        <v>43782</v>
      </c>
      <c r="B5816">
        <v>3</v>
      </c>
      <c r="C5816">
        <v>976</v>
      </c>
      <c r="D5816">
        <v>10420</v>
      </c>
      <c r="E5816" t="s">
        <v>37</v>
      </c>
      <c r="F5816" t="s">
        <v>520</v>
      </c>
      <c r="G5816">
        <v>2</v>
      </c>
      <c r="H5816">
        <f t="shared" si="85"/>
        <v>58</v>
      </c>
      <c r="I5816" s="25">
        <v>400</v>
      </c>
      <c r="K5816" t="s">
        <v>210</v>
      </c>
      <c r="M5816" t="s">
        <v>52</v>
      </c>
      <c r="N5816" t="s">
        <v>44</v>
      </c>
      <c r="O5816">
        <f>60+37</f>
        <v>97</v>
      </c>
      <c r="Q5816">
        <f t="shared" si="83"/>
        <v>1</v>
      </c>
      <c r="R5816">
        <v>1</v>
      </c>
      <c r="S5816">
        <v>0</v>
      </c>
      <c r="T5816">
        <v>0</v>
      </c>
      <c r="U5816">
        <v>0</v>
      </c>
      <c r="V5816">
        <v>1</v>
      </c>
      <c r="W5816">
        <v>0</v>
      </c>
      <c r="X5816" s="21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f t="shared" si="84"/>
        <v>64</v>
      </c>
      <c r="AP5816" t="s">
        <v>1915</v>
      </c>
    </row>
    <row r="5817" spans="1:42">
      <c r="A5817" s="1">
        <v>43782</v>
      </c>
      <c r="B5817">
        <v>3</v>
      </c>
      <c r="C5817">
        <v>976</v>
      </c>
      <c r="D5817">
        <v>10420</v>
      </c>
      <c r="E5817" t="s">
        <v>37</v>
      </c>
      <c r="F5817" t="s">
        <v>520</v>
      </c>
      <c r="G5817">
        <v>2</v>
      </c>
      <c r="H5817">
        <f t="shared" si="85"/>
        <v>59</v>
      </c>
      <c r="I5817" s="25">
        <v>1900</v>
      </c>
      <c r="K5817" t="s">
        <v>50</v>
      </c>
      <c r="M5817" t="s">
        <v>52</v>
      </c>
      <c r="N5817" t="s">
        <v>44</v>
      </c>
      <c r="O5817">
        <f>60+60+47</f>
        <v>167</v>
      </c>
      <c r="Q5817">
        <f t="shared" si="83"/>
        <v>1</v>
      </c>
      <c r="R5817">
        <v>1</v>
      </c>
      <c r="S5817">
        <v>0</v>
      </c>
      <c r="T5817">
        <v>0</v>
      </c>
      <c r="U5817">
        <v>0</v>
      </c>
      <c r="V5817">
        <v>0</v>
      </c>
      <c r="W5817">
        <v>1</v>
      </c>
      <c r="X5817" s="21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f t="shared" si="84"/>
        <v>96</v>
      </c>
      <c r="AP5817" t="s">
        <v>1915</v>
      </c>
    </row>
    <row r="5818" spans="1:42">
      <c r="A5818" s="1">
        <v>43782</v>
      </c>
      <c r="B5818">
        <v>3</v>
      </c>
      <c r="C5818">
        <v>976</v>
      </c>
      <c r="D5818">
        <v>10420</v>
      </c>
      <c r="E5818" t="s">
        <v>37</v>
      </c>
      <c r="F5818" t="s">
        <v>520</v>
      </c>
      <c r="G5818">
        <v>2</v>
      </c>
      <c r="H5818">
        <f t="shared" si="85"/>
        <v>60</v>
      </c>
      <c r="I5818" s="25">
        <v>1900</v>
      </c>
      <c r="K5818" t="s">
        <v>50</v>
      </c>
      <c r="M5818" t="s">
        <v>52</v>
      </c>
      <c r="N5818" t="s">
        <v>44</v>
      </c>
      <c r="O5818">
        <f>60+45</f>
        <v>105</v>
      </c>
      <c r="Q5818">
        <f t="shared" si="83"/>
        <v>1</v>
      </c>
      <c r="R5818">
        <v>1</v>
      </c>
      <c r="S5818">
        <v>0</v>
      </c>
      <c r="T5818">
        <v>0</v>
      </c>
      <c r="U5818">
        <v>0</v>
      </c>
      <c r="V5818">
        <v>0</v>
      </c>
      <c r="W5818">
        <v>1</v>
      </c>
      <c r="X5818" s="21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f t="shared" si="84"/>
        <v>96</v>
      </c>
      <c r="AP5818" t="s">
        <v>1915</v>
      </c>
    </row>
    <row r="5819" spans="1:42">
      <c r="A5819" s="1">
        <v>43782</v>
      </c>
      <c r="B5819">
        <v>3</v>
      </c>
      <c r="C5819">
        <v>976</v>
      </c>
      <c r="D5819">
        <v>10420</v>
      </c>
      <c r="E5819" t="s">
        <v>37</v>
      </c>
      <c r="F5819" t="s">
        <v>520</v>
      </c>
      <c r="G5819">
        <v>2</v>
      </c>
      <c r="H5819">
        <f t="shared" si="85"/>
        <v>61</v>
      </c>
      <c r="I5819" s="25">
        <v>2100</v>
      </c>
      <c r="K5819" t="s">
        <v>50</v>
      </c>
      <c r="M5819" t="s">
        <v>52</v>
      </c>
      <c r="N5819" t="s">
        <v>44</v>
      </c>
      <c r="O5819">
        <f>60+60+60+60+60+60+60+60+60+33</f>
        <v>573</v>
      </c>
      <c r="Q5819">
        <f t="shared" si="83"/>
        <v>4</v>
      </c>
      <c r="R5819">
        <v>1</v>
      </c>
      <c r="S5819">
        <v>0</v>
      </c>
      <c r="T5819">
        <v>0</v>
      </c>
      <c r="U5819">
        <v>0</v>
      </c>
      <c r="V5819">
        <v>0</v>
      </c>
      <c r="W5819">
        <v>4</v>
      </c>
      <c r="X5819" s="21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3</v>
      </c>
      <c r="AG5819">
        <v>0</v>
      </c>
      <c r="AH5819">
        <f t="shared" si="84"/>
        <v>384</v>
      </c>
      <c r="AP5819" t="s">
        <v>1915</v>
      </c>
    </row>
    <row r="5820" spans="1:42">
      <c r="A5820" s="1">
        <v>43782</v>
      </c>
      <c r="B5820">
        <v>3</v>
      </c>
      <c r="C5820">
        <v>976</v>
      </c>
      <c r="D5820">
        <v>10420</v>
      </c>
      <c r="E5820" t="s">
        <v>37</v>
      </c>
      <c r="F5820" t="s">
        <v>520</v>
      </c>
      <c r="G5820">
        <v>2</v>
      </c>
      <c r="H5820">
        <f t="shared" si="85"/>
        <v>62</v>
      </c>
      <c r="I5820" s="25">
        <v>2100</v>
      </c>
      <c r="K5820" t="s">
        <v>50</v>
      </c>
      <c r="M5820" t="s">
        <v>52</v>
      </c>
      <c r="N5820" t="s">
        <v>44</v>
      </c>
      <c r="O5820">
        <f>60+60+60+60+60+60+60+18</f>
        <v>438</v>
      </c>
      <c r="Q5820">
        <f t="shared" si="83"/>
        <v>6</v>
      </c>
      <c r="R5820">
        <v>1</v>
      </c>
      <c r="S5820">
        <v>0</v>
      </c>
      <c r="T5820">
        <v>0</v>
      </c>
      <c r="U5820">
        <v>0</v>
      </c>
      <c r="V5820">
        <v>0</v>
      </c>
      <c r="W5820">
        <v>6</v>
      </c>
      <c r="X5820" s="21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f t="shared" si="84"/>
        <v>576</v>
      </c>
      <c r="AP5820" t="s">
        <v>1915</v>
      </c>
    </row>
    <row r="5821" spans="1:42">
      <c r="A5821" s="1">
        <v>43782</v>
      </c>
      <c r="B5821">
        <v>3</v>
      </c>
      <c r="C5821">
        <v>976</v>
      </c>
      <c r="D5821">
        <v>10420</v>
      </c>
      <c r="E5821" t="s">
        <v>37</v>
      </c>
      <c r="F5821" t="s">
        <v>520</v>
      </c>
      <c r="G5821">
        <v>2</v>
      </c>
      <c r="H5821">
        <f t="shared" si="85"/>
        <v>63</v>
      </c>
      <c r="I5821" s="25">
        <v>0</v>
      </c>
      <c r="K5821" t="s">
        <v>1924</v>
      </c>
      <c r="M5821" t="s">
        <v>52</v>
      </c>
      <c r="N5821" t="s">
        <v>44</v>
      </c>
      <c r="O5821">
        <f>60+60+60+60+3</f>
        <v>243</v>
      </c>
      <c r="Q5821">
        <f t="shared" si="83"/>
        <v>1</v>
      </c>
      <c r="R5821">
        <v>1</v>
      </c>
      <c r="S5821">
        <v>0</v>
      </c>
      <c r="T5821">
        <v>0</v>
      </c>
      <c r="U5821">
        <v>0</v>
      </c>
      <c r="V5821">
        <v>0</v>
      </c>
      <c r="W5821">
        <v>1</v>
      </c>
      <c r="X5821" s="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6</v>
      </c>
      <c r="AH5821">
        <f t="shared" si="84"/>
        <v>96</v>
      </c>
      <c r="AP5821" t="s">
        <v>1915</v>
      </c>
    </row>
    <row r="5822" spans="1:42">
      <c r="A5822" s="1">
        <v>43782</v>
      </c>
      <c r="B5822">
        <v>3</v>
      </c>
      <c r="C5822">
        <v>976</v>
      </c>
      <c r="D5822">
        <v>10420</v>
      </c>
      <c r="E5822" t="s">
        <v>37</v>
      </c>
      <c r="F5822" t="s">
        <v>520</v>
      </c>
      <c r="G5822">
        <v>2</v>
      </c>
      <c r="H5822">
        <f t="shared" si="85"/>
        <v>64</v>
      </c>
      <c r="I5822" s="25">
        <v>0</v>
      </c>
      <c r="K5822" t="s">
        <v>1924</v>
      </c>
      <c r="M5822" t="s">
        <v>52</v>
      </c>
      <c r="N5822" t="s">
        <v>42</v>
      </c>
      <c r="O5822">
        <f>60+60+60+60+60+14</f>
        <v>314</v>
      </c>
      <c r="Q5822">
        <f t="shared" si="83"/>
        <v>8</v>
      </c>
      <c r="R5822">
        <v>1</v>
      </c>
      <c r="S5822">
        <v>0</v>
      </c>
      <c r="T5822">
        <v>0</v>
      </c>
      <c r="U5822">
        <v>3</v>
      </c>
      <c r="V5822">
        <v>3</v>
      </c>
      <c r="W5822">
        <v>2</v>
      </c>
      <c r="X5822" s="21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f t="shared" si="84"/>
        <v>480</v>
      </c>
      <c r="AP5822" t="s">
        <v>1915</v>
      </c>
    </row>
    <row r="5823" spans="1:42">
      <c r="A5823" s="1">
        <v>43782</v>
      </c>
      <c r="B5823">
        <v>3</v>
      </c>
      <c r="C5823">
        <v>976</v>
      </c>
      <c r="D5823">
        <v>10420</v>
      </c>
      <c r="E5823" t="s">
        <v>37</v>
      </c>
      <c r="F5823" t="s">
        <v>520</v>
      </c>
      <c r="G5823">
        <v>2</v>
      </c>
      <c r="H5823">
        <f t="shared" si="85"/>
        <v>65</v>
      </c>
      <c r="I5823" s="25">
        <v>200</v>
      </c>
      <c r="K5823" t="s">
        <v>862</v>
      </c>
      <c r="M5823" t="s">
        <v>52</v>
      </c>
      <c r="N5823" t="s">
        <v>40</v>
      </c>
      <c r="O5823">
        <f>60+23</f>
        <v>83</v>
      </c>
      <c r="Q5823">
        <f t="shared" si="83"/>
        <v>2</v>
      </c>
      <c r="R5823">
        <v>1</v>
      </c>
      <c r="S5823">
        <v>0</v>
      </c>
      <c r="T5823">
        <v>0</v>
      </c>
      <c r="U5823">
        <v>0</v>
      </c>
      <c r="V5823">
        <v>0</v>
      </c>
      <c r="W5823">
        <v>2</v>
      </c>
      <c r="X5823" s="21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f t="shared" si="84"/>
        <v>192</v>
      </c>
      <c r="AP5823" t="s">
        <v>1915</v>
      </c>
    </row>
    <row r="5824" spans="1:42">
      <c r="A5824" s="1">
        <v>43782</v>
      </c>
      <c r="B5824">
        <v>3</v>
      </c>
      <c r="C5824">
        <v>976</v>
      </c>
      <c r="D5824">
        <v>10420</v>
      </c>
      <c r="E5824" t="s">
        <v>37</v>
      </c>
      <c r="F5824" t="s">
        <v>520</v>
      </c>
      <c r="G5824">
        <v>2</v>
      </c>
      <c r="H5824">
        <f t="shared" si="85"/>
        <v>66</v>
      </c>
      <c r="I5824" s="25">
        <v>300</v>
      </c>
      <c r="K5824" t="s">
        <v>862</v>
      </c>
      <c r="M5824" t="s">
        <v>52</v>
      </c>
      <c r="N5824" t="s">
        <v>40</v>
      </c>
      <c r="O5824">
        <f>60+60+3</f>
        <v>123</v>
      </c>
      <c r="Q5824">
        <f t="shared" ref="Q5824:Q5887" si="86">SUM(S5824:AE5824)</f>
        <v>3</v>
      </c>
      <c r="R5824">
        <v>1</v>
      </c>
      <c r="S5824">
        <v>0</v>
      </c>
      <c r="T5824">
        <v>0</v>
      </c>
      <c r="U5824">
        <v>2</v>
      </c>
      <c r="V5824">
        <v>0</v>
      </c>
      <c r="W5824">
        <v>1</v>
      </c>
      <c r="X5824" s="21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f t="shared" ref="AH5824:AH5887" si="87">(16*S5824)+(20*T5824)+(32*U5824)+(64*V5824)+(96*W5824)</f>
        <v>160</v>
      </c>
      <c r="AP5824" t="s">
        <v>1915</v>
      </c>
    </row>
    <row r="5825" spans="1:42">
      <c r="A5825" s="1">
        <v>43782</v>
      </c>
      <c r="B5825">
        <v>3</v>
      </c>
      <c r="C5825">
        <v>976</v>
      </c>
      <c r="D5825">
        <v>10420</v>
      </c>
      <c r="E5825" t="s">
        <v>37</v>
      </c>
      <c r="F5825" t="s">
        <v>520</v>
      </c>
      <c r="G5825">
        <v>2</v>
      </c>
      <c r="H5825">
        <f t="shared" si="85"/>
        <v>67</v>
      </c>
      <c r="I5825" s="25">
        <v>400</v>
      </c>
      <c r="K5825" t="s">
        <v>862</v>
      </c>
      <c r="M5825" t="s">
        <v>52</v>
      </c>
      <c r="N5825" t="s">
        <v>44</v>
      </c>
      <c r="O5825">
        <v>400</v>
      </c>
      <c r="Q5825">
        <f t="shared" si="86"/>
        <v>3</v>
      </c>
      <c r="R5825">
        <v>1</v>
      </c>
      <c r="S5825">
        <v>0</v>
      </c>
      <c r="T5825">
        <v>0</v>
      </c>
      <c r="U5825">
        <v>0</v>
      </c>
      <c r="V5825">
        <v>0</v>
      </c>
      <c r="W5825">
        <v>3</v>
      </c>
      <c r="X5825" s="21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f t="shared" si="87"/>
        <v>288</v>
      </c>
      <c r="AP5825" t="s">
        <v>1915</v>
      </c>
    </row>
    <row r="5826" spans="1:42">
      <c r="A5826" s="1">
        <v>43782</v>
      </c>
      <c r="B5826">
        <v>3</v>
      </c>
      <c r="C5826">
        <v>976</v>
      </c>
      <c r="D5826">
        <v>10420</v>
      </c>
      <c r="E5826" t="s">
        <v>37</v>
      </c>
      <c r="F5826" t="s">
        <v>520</v>
      </c>
      <c r="G5826">
        <v>2</v>
      </c>
      <c r="H5826">
        <f t="shared" si="85"/>
        <v>68</v>
      </c>
      <c r="I5826" s="25">
        <v>400</v>
      </c>
      <c r="K5826" t="s">
        <v>862</v>
      </c>
      <c r="M5826" t="s">
        <v>52</v>
      </c>
      <c r="N5826" t="s">
        <v>42</v>
      </c>
      <c r="O5826">
        <f>60+60+60+60+60+60+60+17</f>
        <v>437</v>
      </c>
      <c r="Q5826">
        <f t="shared" si="86"/>
        <v>3</v>
      </c>
      <c r="R5826">
        <v>1</v>
      </c>
      <c r="S5826">
        <v>0</v>
      </c>
      <c r="T5826">
        <v>0</v>
      </c>
      <c r="U5826">
        <v>1</v>
      </c>
      <c r="V5826">
        <v>0</v>
      </c>
      <c r="W5826">
        <v>2</v>
      </c>
      <c r="X5826" s="21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f t="shared" si="87"/>
        <v>224</v>
      </c>
      <c r="AP5826" t="s">
        <v>1915</v>
      </c>
    </row>
    <row r="5827" spans="1:42">
      <c r="A5827" s="1">
        <v>43782</v>
      </c>
      <c r="B5827">
        <v>3</v>
      </c>
      <c r="C5827">
        <v>976</v>
      </c>
      <c r="D5827">
        <v>10420</v>
      </c>
      <c r="E5827" t="s">
        <v>37</v>
      </c>
      <c r="F5827" t="s">
        <v>520</v>
      </c>
      <c r="G5827">
        <v>2</v>
      </c>
      <c r="H5827">
        <f t="shared" si="85"/>
        <v>69</v>
      </c>
      <c r="I5827" s="25">
        <v>2300</v>
      </c>
      <c r="K5827" t="s">
        <v>102</v>
      </c>
      <c r="M5827" t="s">
        <v>52</v>
      </c>
      <c r="N5827" t="s">
        <v>40</v>
      </c>
      <c r="O5827">
        <f>60+60+48</f>
        <v>168</v>
      </c>
      <c r="Q5827">
        <f t="shared" si="86"/>
        <v>3</v>
      </c>
      <c r="R5827">
        <v>1</v>
      </c>
      <c r="S5827">
        <v>0</v>
      </c>
      <c r="T5827">
        <v>0</v>
      </c>
      <c r="U5827">
        <v>1</v>
      </c>
      <c r="V5827">
        <v>0</v>
      </c>
      <c r="W5827">
        <v>2</v>
      </c>
      <c r="X5827" s="21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f t="shared" si="87"/>
        <v>224</v>
      </c>
      <c r="AP5827" t="s">
        <v>1915</v>
      </c>
    </row>
    <row r="5828" spans="1:42">
      <c r="A5828" s="1">
        <v>43782</v>
      </c>
      <c r="B5828">
        <v>3</v>
      </c>
      <c r="C5828">
        <v>976</v>
      </c>
      <c r="D5828">
        <v>10420</v>
      </c>
      <c r="E5828" t="s">
        <v>37</v>
      </c>
      <c r="F5828" t="s">
        <v>520</v>
      </c>
      <c r="G5828">
        <v>2</v>
      </c>
      <c r="H5828">
        <f t="shared" si="85"/>
        <v>70</v>
      </c>
      <c r="I5828" s="25">
        <v>2300</v>
      </c>
      <c r="K5828" t="s">
        <v>102</v>
      </c>
      <c r="M5828" t="s">
        <v>52</v>
      </c>
      <c r="N5828" t="s">
        <v>40</v>
      </c>
      <c r="O5828">
        <f>60+18</f>
        <v>78</v>
      </c>
      <c r="Q5828">
        <f t="shared" si="86"/>
        <v>2</v>
      </c>
      <c r="R5828">
        <v>1</v>
      </c>
      <c r="S5828">
        <v>0</v>
      </c>
      <c r="T5828">
        <v>0</v>
      </c>
      <c r="U5828">
        <v>0</v>
      </c>
      <c r="V5828">
        <v>0</v>
      </c>
      <c r="W5828">
        <v>2</v>
      </c>
      <c r="X5828" s="21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f t="shared" si="87"/>
        <v>192</v>
      </c>
      <c r="AP5828" t="s">
        <v>1915</v>
      </c>
    </row>
    <row r="5829" spans="1:42">
      <c r="A5829" s="1">
        <v>43782</v>
      </c>
      <c r="B5829">
        <v>3</v>
      </c>
      <c r="C5829">
        <v>976</v>
      </c>
      <c r="D5829">
        <v>10420</v>
      </c>
      <c r="E5829" t="s">
        <v>37</v>
      </c>
      <c r="F5829" t="s">
        <v>520</v>
      </c>
      <c r="G5829">
        <v>2</v>
      </c>
      <c r="H5829">
        <f t="shared" si="85"/>
        <v>71</v>
      </c>
      <c r="I5829" s="25">
        <v>0</v>
      </c>
      <c r="K5829" t="s">
        <v>1925</v>
      </c>
      <c r="M5829" t="s">
        <v>52</v>
      </c>
      <c r="N5829" t="s">
        <v>40</v>
      </c>
      <c r="O5829">
        <f>60+60+60+60+43</f>
        <v>283</v>
      </c>
      <c r="Q5829">
        <f t="shared" si="86"/>
        <v>5</v>
      </c>
      <c r="R5829">
        <v>1</v>
      </c>
      <c r="S5829">
        <v>0</v>
      </c>
      <c r="T5829">
        <v>0</v>
      </c>
      <c r="U5829">
        <v>0</v>
      </c>
      <c r="V5829">
        <v>0</v>
      </c>
      <c r="W5829">
        <v>5</v>
      </c>
      <c r="X5829" s="21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3</v>
      </c>
      <c r="AG5829">
        <v>0</v>
      </c>
      <c r="AH5829">
        <f t="shared" si="87"/>
        <v>480</v>
      </c>
      <c r="AP5829" t="s">
        <v>1915</v>
      </c>
    </row>
    <row r="5830" spans="1:42">
      <c r="A5830" s="1">
        <v>43782</v>
      </c>
      <c r="B5830">
        <v>3</v>
      </c>
      <c r="C5830">
        <v>976</v>
      </c>
      <c r="D5830">
        <v>10420</v>
      </c>
      <c r="E5830" t="s">
        <v>37</v>
      </c>
      <c r="F5830" t="s">
        <v>520</v>
      </c>
      <c r="G5830">
        <v>2</v>
      </c>
      <c r="H5830">
        <f t="shared" si="85"/>
        <v>72</v>
      </c>
      <c r="I5830" s="25">
        <v>2200</v>
      </c>
      <c r="K5830" t="s">
        <v>407</v>
      </c>
      <c r="M5830" t="s">
        <v>52</v>
      </c>
      <c r="N5830" t="s">
        <v>40</v>
      </c>
      <c r="O5830">
        <f>60+40</f>
        <v>100</v>
      </c>
      <c r="Q5830">
        <f t="shared" si="86"/>
        <v>3</v>
      </c>
      <c r="R5830">
        <v>1</v>
      </c>
      <c r="S5830">
        <v>0</v>
      </c>
      <c r="T5830">
        <v>0</v>
      </c>
      <c r="U5830">
        <v>0</v>
      </c>
      <c r="V5830">
        <v>0</v>
      </c>
      <c r="W5830">
        <v>3</v>
      </c>
      <c r="X5830" s="21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f t="shared" si="87"/>
        <v>288</v>
      </c>
      <c r="AP5830" t="s">
        <v>1915</v>
      </c>
    </row>
    <row r="5831" spans="1:42">
      <c r="A5831" s="1">
        <v>43782</v>
      </c>
      <c r="B5831">
        <v>3</v>
      </c>
      <c r="C5831">
        <v>976</v>
      </c>
      <c r="D5831">
        <v>10420</v>
      </c>
      <c r="E5831" t="s">
        <v>37</v>
      </c>
      <c r="F5831" t="s">
        <v>520</v>
      </c>
      <c r="G5831">
        <v>2</v>
      </c>
      <c r="H5831">
        <f t="shared" si="85"/>
        <v>73</v>
      </c>
      <c r="I5831" s="25">
        <v>2200</v>
      </c>
      <c r="K5831" t="s">
        <v>407</v>
      </c>
      <c r="M5831" t="s">
        <v>52</v>
      </c>
      <c r="N5831" t="s">
        <v>40</v>
      </c>
      <c r="O5831">
        <f>60+50</f>
        <v>110</v>
      </c>
      <c r="Q5831">
        <f t="shared" si="86"/>
        <v>3</v>
      </c>
      <c r="R5831">
        <v>1</v>
      </c>
      <c r="S5831">
        <v>0</v>
      </c>
      <c r="T5831">
        <v>0</v>
      </c>
      <c r="U5831">
        <v>1</v>
      </c>
      <c r="V5831">
        <v>0</v>
      </c>
      <c r="W5831">
        <v>2</v>
      </c>
      <c r="X5831" s="2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f t="shared" si="87"/>
        <v>224</v>
      </c>
      <c r="AP5831" t="s">
        <v>1915</v>
      </c>
    </row>
    <row r="5832" spans="1:42">
      <c r="A5832" s="1">
        <v>43782</v>
      </c>
      <c r="B5832">
        <v>3</v>
      </c>
      <c r="C5832">
        <v>976</v>
      </c>
      <c r="D5832">
        <v>10420</v>
      </c>
      <c r="E5832" t="s">
        <v>37</v>
      </c>
      <c r="F5832" t="s">
        <v>520</v>
      </c>
      <c r="G5832">
        <v>2</v>
      </c>
      <c r="H5832">
        <f t="shared" si="85"/>
        <v>74</v>
      </c>
      <c r="I5832" s="25">
        <v>2100</v>
      </c>
      <c r="K5832" t="s">
        <v>102</v>
      </c>
      <c r="M5832" t="s">
        <v>52</v>
      </c>
      <c r="N5832" t="s">
        <v>42</v>
      </c>
      <c r="O5832">
        <f>60+60+60+60+60+60+60+60+20</f>
        <v>500</v>
      </c>
      <c r="Q5832">
        <f t="shared" si="86"/>
        <v>4</v>
      </c>
      <c r="R5832">
        <v>1</v>
      </c>
      <c r="S5832">
        <v>0</v>
      </c>
      <c r="T5832">
        <v>0</v>
      </c>
      <c r="U5832">
        <v>3</v>
      </c>
      <c r="V5832">
        <v>0</v>
      </c>
      <c r="W5832">
        <v>1</v>
      </c>
      <c r="X5832" s="21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f t="shared" si="87"/>
        <v>192</v>
      </c>
      <c r="AL5832" t="s">
        <v>1926</v>
      </c>
      <c r="AP5832" t="s">
        <v>1915</v>
      </c>
    </row>
    <row r="5833" spans="1:42">
      <c r="A5833" s="1">
        <v>43782</v>
      </c>
      <c r="B5833">
        <v>3</v>
      </c>
      <c r="C5833">
        <v>976</v>
      </c>
      <c r="D5833">
        <v>10420</v>
      </c>
      <c r="E5833" t="s">
        <v>37</v>
      </c>
      <c r="F5833" t="s">
        <v>520</v>
      </c>
      <c r="G5833">
        <v>2</v>
      </c>
      <c r="H5833">
        <f t="shared" si="85"/>
        <v>75</v>
      </c>
      <c r="I5833" s="25">
        <v>2100</v>
      </c>
      <c r="K5833" t="s">
        <v>102</v>
      </c>
      <c r="M5833" t="s">
        <v>52</v>
      </c>
      <c r="N5833" t="s">
        <v>40</v>
      </c>
      <c r="O5833">
        <f>60+57</f>
        <v>117</v>
      </c>
      <c r="Q5833">
        <f t="shared" si="86"/>
        <v>2</v>
      </c>
      <c r="R5833">
        <v>1</v>
      </c>
      <c r="S5833">
        <v>0</v>
      </c>
      <c r="T5833">
        <v>0</v>
      </c>
      <c r="U5833">
        <v>1</v>
      </c>
      <c r="V5833">
        <v>1</v>
      </c>
      <c r="W5833">
        <v>0</v>
      </c>
      <c r="X5833" s="21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f t="shared" si="87"/>
        <v>96</v>
      </c>
      <c r="AP5833" t="s">
        <v>1915</v>
      </c>
    </row>
    <row r="5834" spans="1:42">
      <c r="A5834" s="1">
        <v>43782</v>
      </c>
      <c r="B5834">
        <v>3</v>
      </c>
      <c r="C5834">
        <v>976</v>
      </c>
      <c r="D5834">
        <v>10420</v>
      </c>
      <c r="E5834" t="s">
        <v>37</v>
      </c>
      <c r="F5834" t="s">
        <v>520</v>
      </c>
      <c r="G5834">
        <v>2</v>
      </c>
      <c r="H5834">
        <f t="shared" si="85"/>
        <v>76</v>
      </c>
      <c r="I5834" s="25">
        <v>2100</v>
      </c>
      <c r="K5834" t="s">
        <v>102</v>
      </c>
      <c r="M5834" t="s">
        <v>52</v>
      </c>
      <c r="N5834" t="s">
        <v>42</v>
      </c>
      <c r="O5834">
        <f>60+60+60+60+60+13</f>
        <v>313</v>
      </c>
      <c r="Q5834">
        <f t="shared" si="86"/>
        <v>4</v>
      </c>
      <c r="R5834">
        <v>1</v>
      </c>
      <c r="S5834">
        <v>0</v>
      </c>
      <c r="T5834">
        <v>0</v>
      </c>
      <c r="U5834">
        <v>0</v>
      </c>
      <c r="V5834">
        <v>2</v>
      </c>
      <c r="W5834">
        <v>2</v>
      </c>
      <c r="X5834" s="21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1</v>
      </c>
      <c r="AG5834">
        <v>0</v>
      </c>
      <c r="AH5834">
        <f t="shared" si="87"/>
        <v>320</v>
      </c>
      <c r="AL5834" t="s">
        <v>1927</v>
      </c>
      <c r="AP5834" t="s">
        <v>1915</v>
      </c>
    </row>
    <row r="5835" spans="1:42">
      <c r="A5835" s="1">
        <v>43782</v>
      </c>
      <c r="B5835">
        <v>3</v>
      </c>
      <c r="C5835">
        <v>976</v>
      </c>
      <c r="D5835">
        <v>10420</v>
      </c>
      <c r="E5835" t="s">
        <v>37</v>
      </c>
      <c r="F5835" t="s">
        <v>520</v>
      </c>
      <c r="G5835">
        <v>2</v>
      </c>
      <c r="H5835">
        <f t="shared" si="85"/>
        <v>77</v>
      </c>
      <c r="I5835" s="25">
        <v>2200</v>
      </c>
      <c r="K5835" t="s">
        <v>102</v>
      </c>
      <c r="M5835" t="s">
        <v>52</v>
      </c>
      <c r="N5835" t="s">
        <v>44</v>
      </c>
      <c r="O5835">
        <f>60+60+60+60+60+60+52</f>
        <v>412</v>
      </c>
      <c r="Q5835">
        <f t="shared" si="86"/>
        <v>4</v>
      </c>
      <c r="R5835">
        <v>1</v>
      </c>
      <c r="S5835">
        <v>0</v>
      </c>
      <c r="T5835">
        <v>0</v>
      </c>
      <c r="U5835">
        <v>0</v>
      </c>
      <c r="V5835">
        <v>0</v>
      </c>
      <c r="W5835">
        <v>4</v>
      </c>
      <c r="X5835" s="21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f t="shared" si="87"/>
        <v>384</v>
      </c>
      <c r="AL5835" t="s">
        <v>1928</v>
      </c>
      <c r="AP5835" t="s">
        <v>1915</v>
      </c>
    </row>
    <row r="5836" spans="1:42">
      <c r="A5836" s="1">
        <v>43782</v>
      </c>
      <c r="B5836">
        <v>3</v>
      </c>
      <c r="C5836">
        <v>976</v>
      </c>
      <c r="D5836">
        <v>10420</v>
      </c>
      <c r="E5836" t="s">
        <v>37</v>
      </c>
      <c r="F5836" t="s">
        <v>520</v>
      </c>
      <c r="G5836">
        <v>2</v>
      </c>
      <c r="H5836">
        <f t="shared" si="85"/>
        <v>78</v>
      </c>
      <c r="I5836" s="25">
        <v>600</v>
      </c>
      <c r="K5836" t="s">
        <v>324</v>
      </c>
      <c r="M5836" t="s">
        <v>52</v>
      </c>
      <c r="N5836" t="s">
        <v>40</v>
      </c>
      <c r="O5836">
        <f>60+35</f>
        <v>95</v>
      </c>
      <c r="Q5836">
        <f t="shared" si="86"/>
        <v>3</v>
      </c>
      <c r="R5836">
        <v>1</v>
      </c>
      <c r="S5836">
        <v>0</v>
      </c>
      <c r="T5836">
        <v>0</v>
      </c>
      <c r="U5836">
        <v>0</v>
      </c>
      <c r="V5836">
        <v>2</v>
      </c>
      <c r="W5836">
        <v>1</v>
      </c>
      <c r="X5836" s="21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f t="shared" si="87"/>
        <v>224</v>
      </c>
      <c r="AP5836" t="s">
        <v>1915</v>
      </c>
    </row>
    <row r="5837" spans="1:42">
      <c r="A5837" s="1">
        <v>43782</v>
      </c>
      <c r="B5837">
        <v>3</v>
      </c>
      <c r="C5837">
        <v>976</v>
      </c>
      <c r="D5837">
        <v>10420</v>
      </c>
      <c r="E5837" t="s">
        <v>37</v>
      </c>
      <c r="F5837" t="s">
        <v>520</v>
      </c>
      <c r="G5837">
        <v>2</v>
      </c>
      <c r="H5837">
        <f t="shared" si="85"/>
        <v>79</v>
      </c>
      <c r="I5837" s="25">
        <v>600</v>
      </c>
      <c r="K5837" t="s">
        <v>324</v>
      </c>
      <c r="M5837" t="s">
        <v>52</v>
      </c>
      <c r="N5837" t="s">
        <v>42</v>
      </c>
      <c r="O5837">
        <f>60+60+60+60+47</f>
        <v>287</v>
      </c>
      <c r="Q5837">
        <f t="shared" si="86"/>
        <v>4</v>
      </c>
      <c r="R5837">
        <v>1</v>
      </c>
      <c r="S5837">
        <v>0</v>
      </c>
      <c r="T5837">
        <v>0</v>
      </c>
      <c r="U5837">
        <v>0</v>
      </c>
      <c r="V5837">
        <v>3</v>
      </c>
      <c r="W5837">
        <v>1</v>
      </c>
      <c r="X5837" s="21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f t="shared" si="87"/>
        <v>288</v>
      </c>
      <c r="AP5837" t="s">
        <v>1915</v>
      </c>
    </row>
    <row r="5838" spans="1:42">
      <c r="A5838" s="1">
        <v>43782</v>
      </c>
      <c r="B5838">
        <v>3</v>
      </c>
      <c r="C5838">
        <v>976</v>
      </c>
      <c r="D5838">
        <v>10420</v>
      </c>
      <c r="E5838" t="s">
        <v>37</v>
      </c>
      <c r="F5838" t="s">
        <v>520</v>
      </c>
      <c r="G5838">
        <v>2</v>
      </c>
      <c r="H5838">
        <f t="shared" si="85"/>
        <v>80</v>
      </c>
      <c r="I5838" s="25">
        <v>600</v>
      </c>
      <c r="K5838" t="s">
        <v>213</v>
      </c>
      <c r="M5838" t="s">
        <v>52</v>
      </c>
      <c r="N5838" t="s">
        <v>44</v>
      </c>
      <c r="O5838">
        <f>60+60+60+60+60+60+43</f>
        <v>403</v>
      </c>
      <c r="Q5838">
        <f t="shared" si="86"/>
        <v>4</v>
      </c>
      <c r="R5838">
        <v>1</v>
      </c>
      <c r="S5838">
        <v>0</v>
      </c>
      <c r="T5838">
        <v>0</v>
      </c>
      <c r="U5838">
        <v>0</v>
      </c>
      <c r="V5838">
        <v>2</v>
      </c>
      <c r="W5838">
        <v>2</v>
      </c>
      <c r="X5838" s="21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f t="shared" si="87"/>
        <v>320</v>
      </c>
      <c r="AP5838" t="s">
        <v>1915</v>
      </c>
    </row>
    <row r="5839" spans="1:42">
      <c r="A5839" s="1">
        <v>43782</v>
      </c>
      <c r="B5839">
        <v>3</v>
      </c>
      <c r="C5839">
        <v>976</v>
      </c>
      <c r="D5839">
        <v>10420</v>
      </c>
      <c r="E5839" t="s">
        <v>37</v>
      </c>
      <c r="F5839" t="s">
        <v>520</v>
      </c>
      <c r="G5839">
        <v>2</v>
      </c>
      <c r="H5839">
        <f t="shared" ref="H5839:H5902" si="88">H5838+1</f>
        <v>81</v>
      </c>
      <c r="I5839" s="25">
        <v>600</v>
      </c>
      <c r="K5839" t="s">
        <v>213</v>
      </c>
      <c r="M5839" t="s">
        <v>52</v>
      </c>
      <c r="N5839" t="s">
        <v>40</v>
      </c>
      <c r="O5839">
        <f>60+60+60+43</f>
        <v>223</v>
      </c>
      <c r="Q5839">
        <f t="shared" si="86"/>
        <v>4</v>
      </c>
      <c r="R5839">
        <v>1</v>
      </c>
      <c r="S5839">
        <v>0</v>
      </c>
      <c r="T5839">
        <v>0</v>
      </c>
      <c r="U5839">
        <v>2</v>
      </c>
      <c r="V5839">
        <v>1</v>
      </c>
      <c r="W5839">
        <v>1</v>
      </c>
      <c r="X5839" s="21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f t="shared" si="87"/>
        <v>224</v>
      </c>
      <c r="AP5839" t="s">
        <v>1915</v>
      </c>
    </row>
    <row r="5840" spans="1:42">
      <c r="A5840" s="1">
        <v>43782</v>
      </c>
      <c r="B5840">
        <v>3</v>
      </c>
      <c r="C5840">
        <v>976</v>
      </c>
      <c r="D5840">
        <v>10420</v>
      </c>
      <c r="E5840" t="s">
        <v>37</v>
      </c>
      <c r="F5840" t="s">
        <v>520</v>
      </c>
      <c r="G5840">
        <v>2</v>
      </c>
      <c r="H5840">
        <f t="shared" si="88"/>
        <v>82</v>
      </c>
      <c r="I5840" s="25">
        <v>600</v>
      </c>
      <c r="K5840" t="s">
        <v>213</v>
      </c>
      <c r="M5840" t="s">
        <v>52</v>
      </c>
      <c r="N5840" t="s">
        <v>40</v>
      </c>
      <c r="O5840">
        <f>60+60+60+60+47</f>
        <v>287</v>
      </c>
      <c r="Q5840">
        <f t="shared" si="86"/>
        <v>9</v>
      </c>
      <c r="R5840">
        <v>1</v>
      </c>
      <c r="S5840">
        <v>0</v>
      </c>
      <c r="T5840">
        <v>0</v>
      </c>
      <c r="U5840">
        <v>3</v>
      </c>
      <c r="V5840">
        <v>3</v>
      </c>
      <c r="W5840">
        <v>3</v>
      </c>
      <c r="X5840" s="21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f t="shared" si="87"/>
        <v>576</v>
      </c>
      <c r="AP5840" t="s">
        <v>1915</v>
      </c>
    </row>
    <row r="5841" spans="1:42">
      <c r="A5841" s="1">
        <v>43782</v>
      </c>
      <c r="B5841">
        <v>3</v>
      </c>
      <c r="C5841">
        <v>976</v>
      </c>
      <c r="D5841">
        <v>10420</v>
      </c>
      <c r="E5841" t="s">
        <v>37</v>
      </c>
      <c r="F5841" t="s">
        <v>520</v>
      </c>
      <c r="G5841">
        <v>2</v>
      </c>
      <c r="H5841">
        <f t="shared" si="88"/>
        <v>83</v>
      </c>
      <c r="I5841" s="25">
        <v>600</v>
      </c>
      <c r="K5841" t="s">
        <v>213</v>
      </c>
      <c r="M5841" t="s">
        <v>52</v>
      </c>
      <c r="N5841" t="s">
        <v>42</v>
      </c>
      <c r="O5841">
        <f>60+60+60+60+60+19</f>
        <v>319</v>
      </c>
      <c r="Q5841">
        <f t="shared" si="86"/>
        <v>6</v>
      </c>
      <c r="R5841">
        <v>1</v>
      </c>
      <c r="S5841">
        <v>0</v>
      </c>
      <c r="T5841">
        <v>0</v>
      </c>
      <c r="U5841">
        <v>0</v>
      </c>
      <c r="V5841">
        <v>3</v>
      </c>
      <c r="W5841">
        <v>3</v>
      </c>
      <c r="X5841" s="2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f t="shared" si="87"/>
        <v>480</v>
      </c>
      <c r="AP5841" t="s">
        <v>1915</v>
      </c>
    </row>
    <row r="5842" spans="1:42">
      <c r="A5842" s="1">
        <v>43789</v>
      </c>
      <c r="B5842">
        <v>3</v>
      </c>
      <c r="C5842">
        <v>978</v>
      </c>
      <c r="D5842">
        <v>10376</v>
      </c>
      <c r="E5842" t="s">
        <v>37</v>
      </c>
      <c r="F5842" t="s">
        <v>520</v>
      </c>
      <c r="G5842">
        <v>2</v>
      </c>
      <c r="H5842">
        <v>1</v>
      </c>
      <c r="I5842" s="25">
        <v>1400</v>
      </c>
      <c r="K5842" t="s">
        <v>213</v>
      </c>
      <c r="M5842" t="s">
        <v>52</v>
      </c>
      <c r="N5842" t="s">
        <v>44</v>
      </c>
      <c r="O5842">
        <f>60+60+35</f>
        <v>155</v>
      </c>
      <c r="Q5842">
        <f t="shared" si="86"/>
        <v>1</v>
      </c>
      <c r="R5842">
        <v>1</v>
      </c>
      <c r="S5842">
        <v>0</v>
      </c>
      <c r="T5842">
        <v>0</v>
      </c>
      <c r="U5842">
        <v>0</v>
      </c>
      <c r="V5842">
        <v>0</v>
      </c>
      <c r="W5842">
        <v>1</v>
      </c>
      <c r="X5842" s="21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f t="shared" si="87"/>
        <v>96</v>
      </c>
      <c r="AP5842" t="s">
        <v>1915</v>
      </c>
    </row>
    <row r="5843" spans="1:42">
      <c r="A5843" s="1">
        <v>43789</v>
      </c>
      <c r="B5843">
        <v>3</v>
      </c>
      <c r="C5843">
        <v>978</v>
      </c>
      <c r="D5843">
        <v>10376</v>
      </c>
      <c r="E5843" t="s">
        <v>37</v>
      </c>
      <c r="F5843" t="s">
        <v>520</v>
      </c>
      <c r="G5843">
        <v>2</v>
      </c>
      <c r="H5843">
        <v>2</v>
      </c>
      <c r="I5843" s="25">
        <v>1400</v>
      </c>
      <c r="K5843" t="s">
        <v>213</v>
      </c>
      <c r="M5843" t="s">
        <v>52</v>
      </c>
      <c r="N5843" t="s">
        <v>44</v>
      </c>
      <c r="O5843">
        <f>60+60+16</f>
        <v>136</v>
      </c>
      <c r="Q5843">
        <f t="shared" si="86"/>
        <v>1</v>
      </c>
      <c r="R5843">
        <v>1</v>
      </c>
      <c r="S5843">
        <v>0</v>
      </c>
      <c r="T5843">
        <v>0</v>
      </c>
      <c r="U5843">
        <v>0</v>
      </c>
      <c r="V5843">
        <v>0</v>
      </c>
      <c r="W5843">
        <v>1</v>
      </c>
      <c r="X5843" s="21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f t="shared" si="87"/>
        <v>96</v>
      </c>
      <c r="AP5843" t="s">
        <v>1915</v>
      </c>
    </row>
    <row r="5844" spans="1:42">
      <c r="A5844" s="1">
        <v>43789</v>
      </c>
      <c r="B5844">
        <v>3</v>
      </c>
      <c r="C5844">
        <v>978</v>
      </c>
      <c r="D5844">
        <v>10376</v>
      </c>
      <c r="E5844" t="s">
        <v>37</v>
      </c>
      <c r="F5844" t="s">
        <v>520</v>
      </c>
      <c r="G5844">
        <v>2</v>
      </c>
      <c r="H5844">
        <v>3</v>
      </c>
      <c r="I5844" s="25">
        <v>2400</v>
      </c>
      <c r="K5844" t="s">
        <v>415</v>
      </c>
      <c r="M5844" t="s">
        <v>52</v>
      </c>
      <c r="N5844" t="s">
        <v>44</v>
      </c>
      <c r="O5844">
        <f>60+46</f>
        <v>106</v>
      </c>
      <c r="Q5844">
        <f t="shared" si="86"/>
        <v>1</v>
      </c>
      <c r="R5844">
        <v>1</v>
      </c>
      <c r="S5844">
        <v>0</v>
      </c>
      <c r="T5844">
        <v>0</v>
      </c>
      <c r="U5844">
        <v>0</v>
      </c>
      <c r="V5844">
        <v>1</v>
      </c>
      <c r="W5844">
        <v>0</v>
      </c>
      <c r="X5844" s="21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f t="shared" si="87"/>
        <v>64</v>
      </c>
      <c r="AP5844" t="s">
        <v>1915</v>
      </c>
    </row>
    <row r="5845" spans="1:42">
      <c r="A5845" s="1">
        <v>43789</v>
      </c>
      <c r="B5845">
        <v>3</v>
      </c>
      <c r="C5845">
        <v>978</v>
      </c>
      <c r="D5845">
        <v>10376</v>
      </c>
      <c r="E5845" t="s">
        <v>37</v>
      </c>
      <c r="F5845" t="s">
        <v>520</v>
      </c>
      <c r="G5845">
        <v>2</v>
      </c>
      <c r="H5845">
        <f t="shared" si="88"/>
        <v>4</v>
      </c>
      <c r="I5845" s="25">
        <v>2400</v>
      </c>
      <c r="K5845" t="s">
        <v>415</v>
      </c>
      <c r="M5845" t="s">
        <v>52</v>
      </c>
      <c r="N5845" t="s">
        <v>44</v>
      </c>
      <c r="O5845">
        <f>60+60+1</f>
        <v>121</v>
      </c>
      <c r="Q5845">
        <f t="shared" si="86"/>
        <v>1</v>
      </c>
      <c r="R5845">
        <v>1</v>
      </c>
      <c r="S5845">
        <v>0</v>
      </c>
      <c r="T5845">
        <v>0</v>
      </c>
      <c r="U5845">
        <v>0</v>
      </c>
      <c r="V5845">
        <v>0</v>
      </c>
      <c r="W5845">
        <v>1</v>
      </c>
      <c r="X5845" s="21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f t="shared" si="87"/>
        <v>96</v>
      </c>
      <c r="AP5845" t="s">
        <v>1915</v>
      </c>
    </row>
    <row r="5846" spans="1:42">
      <c r="A5846" s="1">
        <v>43789</v>
      </c>
      <c r="B5846">
        <v>3</v>
      </c>
      <c r="C5846">
        <v>978</v>
      </c>
      <c r="D5846">
        <v>10376</v>
      </c>
      <c r="E5846" t="s">
        <v>37</v>
      </c>
      <c r="F5846" t="s">
        <v>520</v>
      </c>
      <c r="G5846">
        <v>2</v>
      </c>
      <c r="H5846">
        <f t="shared" si="88"/>
        <v>5</v>
      </c>
      <c r="I5846" s="25">
        <v>1400</v>
      </c>
      <c r="K5846" t="s">
        <v>156</v>
      </c>
      <c r="M5846" t="s">
        <v>52</v>
      </c>
      <c r="N5846" t="s">
        <v>44</v>
      </c>
      <c r="O5846">
        <f>60+60+58</f>
        <v>178</v>
      </c>
      <c r="Q5846">
        <f t="shared" si="86"/>
        <v>2</v>
      </c>
      <c r="R5846">
        <v>1</v>
      </c>
      <c r="S5846">
        <v>0</v>
      </c>
      <c r="T5846">
        <v>0</v>
      </c>
      <c r="U5846">
        <v>0</v>
      </c>
      <c r="V5846">
        <v>0</v>
      </c>
      <c r="W5846">
        <v>2</v>
      </c>
      <c r="X5846" s="21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f t="shared" si="87"/>
        <v>192</v>
      </c>
      <c r="AP5846" t="s">
        <v>1915</v>
      </c>
    </row>
    <row r="5847" spans="1:42">
      <c r="A5847" s="1">
        <v>43789</v>
      </c>
      <c r="B5847">
        <v>3</v>
      </c>
      <c r="C5847">
        <v>978</v>
      </c>
      <c r="D5847">
        <v>10376</v>
      </c>
      <c r="E5847" t="s">
        <v>37</v>
      </c>
      <c r="F5847" t="s">
        <v>520</v>
      </c>
      <c r="G5847">
        <v>2</v>
      </c>
      <c r="H5847">
        <f t="shared" si="88"/>
        <v>6</v>
      </c>
      <c r="I5847" s="25">
        <v>1400</v>
      </c>
      <c r="K5847" t="s">
        <v>156</v>
      </c>
      <c r="M5847" t="s">
        <v>52</v>
      </c>
      <c r="N5847" t="s">
        <v>44</v>
      </c>
      <c r="O5847">
        <f>60+44</f>
        <v>104</v>
      </c>
      <c r="Q5847">
        <f t="shared" si="86"/>
        <v>2</v>
      </c>
      <c r="R5847">
        <v>1</v>
      </c>
      <c r="S5847">
        <v>0</v>
      </c>
      <c r="T5847">
        <v>0</v>
      </c>
      <c r="U5847">
        <v>0</v>
      </c>
      <c r="V5847">
        <v>0</v>
      </c>
      <c r="W5847">
        <v>2</v>
      </c>
      <c r="X5847" s="21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f t="shared" si="87"/>
        <v>192</v>
      </c>
      <c r="AP5847" t="s">
        <v>1915</v>
      </c>
    </row>
    <row r="5848" spans="1:42">
      <c r="A5848" s="1">
        <v>43789</v>
      </c>
      <c r="B5848">
        <v>3</v>
      </c>
      <c r="C5848">
        <v>978</v>
      </c>
      <c r="D5848">
        <v>10376</v>
      </c>
      <c r="E5848" t="s">
        <v>37</v>
      </c>
      <c r="F5848" t="s">
        <v>520</v>
      </c>
      <c r="G5848">
        <v>2</v>
      </c>
      <c r="H5848">
        <f t="shared" si="88"/>
        <v>7</v>
      </c>
      <c r="I5848" s="25">
        <v>1300</v>
      </c>
      <c r="K5848" t="s">
        <v>148</v>
      </c>
      <c r="M5848" t="s">
        <v>52</v>
      </c>
      <c r="N5848" t="s">
        <v>44</v>
      </c>
      <c r="O5848">
        <f>60+24</f>
        <v>84</v>
      </c>
      <c r="Q5848">
        <f t="shared" si="86"/>
        <v>1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1</v>
      </c>
      <c r="X5848" s="21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f t="shared" si="87"/>
        <v>96</v>
      </c>
      <c r="AP5848" t="s">
        <v>1915</v>
      </c>
    </row>
    <row r="5849" spans="1:42">
      <c r="A5849" s="1">
        <v>43789</v>
      </c>
      <c r="B5849">
        <v>3</v>
      </c>
      <c r="C5849">
        <v>978</v>
      </c>
      <c r="D5849">
        <v>10376</v>
      </c>
      <c r="E5849" t="s">
        <v>37</v>
      </c>
      <c r="F5849" t="s">
        <v>520</v>
      </c>
      <c r="G5849">
        <v>2</v>
      </c>
      <c r="H5849">
        <f t="shared" si="88"/>
        <v>8</v>
      </c>
      <c r="I5849" s="25">
        <v>1300</v>
      </c>
      <c r="K5849" t="s">
        <v>148</v>
      </c>
      <c r="M5849" t="s">
        <v>52</v>
      </c>
      <c r="N5849" t="s">
        <v>44</v>
      </c>
      <c r="O5849">
        <f>60+23</f>
        <v>83</v>
      </c>
      <c r="Q5849">
        <f t="shared" si="86"/>
        <v>1</v>
      </c>
      <c r="R5849">
        <v>1</v>
      </c>
      <c r="S5849">
        <v>0</v>
      </c>
      <c r="T5849">
        <v>0</v>
      </c>
      <c r="U5849">
        <v>0</v>
      </c>
      <c r="V5849">
        <v>0</v>
      </c>
      <c r="W5849">
        <v>1</v>
      </c>
      <c r="X5849" s="21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f t="shared" si="87"/>
        <v>96</v>
      </c>
      <c r="AP5849" t="s">
        <v>1915</v>
      </c>
    </row>
    <row r="5850" spans="1:42">
      <c r="A5850" s="1">
        <v>43789</v>
      </c>
      <c r="B5850">
        <v>3</v>
      </c>
      <c r="C5850">
        <v>978</v>
      </c>
      <c r="D5850">
        <v>10376</v>
      </c>
      <c r="E5850" t="s">
        <v>37</v>
      </c>
      <c r="F5850" t="s">
        <v>520</v>
      </c>
      <c r="G5850">
        <v>2</v>
      </c>
      <c r="H5850">
        <f t="shared" si="88"/>
        <v>9</v>
      </c>
      <c r="I5850" s="25">
        <v>1200</v>
      </c>
      <c r="K5850" t="s">
        <v>148</v>
      </c>
      <c r="M5850" t="s">
        <v>52</v>
      </c>
      <c r="N5850" t="s">
        <v>40</v>
      </c>
      <c r="O5850">
        <f>31</f>
        <v>31</v>
      </c>
      <c r="Q5850">
        <f t="shared" si="86"/>
        <v>1</v>
      </c>
      <c r="R5850">
        <v>1</v>
      </c>
      <c r="S5850">
        <v>0</v>
      </c>
      <c r="T5850">
        <v>0</v>
      </c>
      <c r="U5850">
        <v>0</v>
      </c>
      <c r="V5850">
        <v>1</v>
      </c>
      <c r="W5850">
        <v>0</v>
      </c>
      <c r="X5850" s="21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f t="shared" si="87"/>
        <v>64</v>
      </c>
      <c r="AP5850" t="s">
        <v>1915</v>
      </c>
    </row>
    <row r="5851" spans="1:42">
      <c r="A5851" s="1">
        <v>43789</v>
      </c>
      <c r="B5851">
        <v>3</v>
      </c>
      <c r="C5851">
        <v>978</v>
      </c>
      <c r="D5851">
        <v>10376</v>
      </c>
      <c r="E5851" t="s">
        <v>37</v>
      </c>
      <c r="F5851" t="s">
        <v>520</v>
      </c>
      <c r="G5851">
        <v>2</v>
      </c>
      <c r="H5851">
        <f t="shared" si="88"/>
        <v>10</v>
      </c>
      <c r="I5851" s="25">
        <v>1200</v>
      </c>
      <c r="K5851" t="s">
        <v>148</v>
      </c>
      <c r="M5851" t="s">
        <v>52</v>
      </c>
      <c r="N5851" t="s">
        <v>40</v>
      </c>
      <c r="O5851">
        <f>60+56</f>
        <v>116</v>
      </c>
      <c r="Q5851">
        <f t="shared" si="86"/>
        <v>2</v>
      </c>
      <c r="R5851">
        <v>1</v>
      </c>
      <c r="S5851">
        <v>0</v>
      </c>
      <c r="T5851">
        <v>0</v>
      </c>
      <c r="U5851">
        <v>1</v>
      </c>
      <c r="V5851">
        <v>1</v>
      </c>
      <c r="W5851">
        <v>0</v>
      </c>
      <c r="X5851" s="2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1</v>
      </c>
      <c r="AG5851">
        <v>0</v>
      </c>
      <c r="AH5851">
        <f t="shared" si="87"/>
        <v>96</v>
      </c>
      <c r="AP5851" t="s">
        <v>1915</v>
      </c>
    </row>
    <row r="5852" spans="1:42">
      <c r="A5852" s="1">
        <v>43789</v>
      </c>
      <c r="B5852">
        <v>3</v>
      </c>
      <c r="C5852">
        <v>978</v>
      </c>
      <c r="D5852">
        <v>10376</v>
      </c>
      <c r="E5852" t="s">
        <v>37</v>
      </c>
      <c r="F5852" t="s">
        <v>520</v>
      </c>
      <c r="G5852">
        <v>2</v>
      </c>
      <c r="H5852">
        <f t="shared" si="88"/>
        <v>11</v>
      </c>
      <c r="I5852" s="25">
        <v>1273</v>
      </c>
      <c r="K5852" t="s">
        <v>148</v>
      </c>
      <c r="M5852" t="s">
        <v>52</v>
      </c>
      <c r="N5852" t="s">
        <v>44</v>
      </c>
      <c r="O5852">
        <f>60+60+31</f>
        <v>151</v>
      </c>
      <c r="Q5852">
        <f t="shared" si="86"/>
        <v>2</v>
      </c>
      <c r="R5852">
        <v>1</v>
      </c>
      <c r="S5852">
        <v>0</v>
      </c>
      <c r="T5852">
        <v>0</v>
      </c>
      <c r="U5852">
        <v>0</v>
      </c>
      <c r="V5852">
        <v>0</v>
      </c>
      <c r="W5852">
        <v>2</v>
      </c>
      <c r="X5852" s="21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f t="shared" si="87"/>
        <v>192</v>
      </c>
      <c r="AL5852" t="s">
        <v>1929</v>
      </c>
      <c r="AP5852" t="s">
        <v>1915</v>
      </c>
    </row>
    <row r="5853" spans="1:42">
      <c r="A5853" s="1">
        <v>43789</v>
      </c>
      <c r="B5853">
        <v>3</v>
      </c>
      <c r="C5853">
        <v>978</v>
      </c>
      <c r="D5853">
        <v>10376</v>
      </c>
      <c r="E5853" t="s">
        <v>37</v>
      </c>
      <c r="F5853" t="s">
        <v>520</v>
      </c>
      <c r="G5853">
        <v>2</v>
      </c>
      <c r="H5853">
        <f t="shared" si="88"/>
        <v>12</v>
      </c>
      <c r="I5853" s="25">
        <v>1200</v>
      </c>
      <c r="K5853" t="s">
        <v>148</v>
      </c>
      <c r="M5853" t="s">
        <v>52</v>
      </c>
      <c r="N5853" t="s">
        <v>42</v>
      </c>
      <c r="O5853">
        <f>60+60+52</f>
        <v>172</v>
      </c>
      <c r="Q5853">
        <f t="shared" si="86"/>
        <v>3</v>
      </c>
      <c r="R5853">
        <v>1</v>
      </c>
      <c r="S5853">
        <v>0</v>
      </c>
      <c r="T5853">
        <v>0</v>
      </c>
      <c r="U5853">
        <v>0</v>
      </c>
      <c r="V5853">
        <v>0</v>
      </c>
      <c r="W5853">
        <v>3</v>
      </c>
      <c r="X5853" s="21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f t="shared" si="87"/>
        <v>288</v>
      </c>
      <c r="AL5853" t="s">
        <v>1930</v>
      </c>
      <c r="AP5853" t="s">
        <v>1915</v>
      </c>
    </row>
    <row r="5854" spans="1:42">
      <c r="A5854" s="1">
        <v>43789</v>
      </c>
      <c r="B5854">
        <v>3</v>
      </c>
      <c r="C5854">
        <v>978</v>
      </c>
      <c r="D5854">
        <v>10376</v>
      </c>
      <c r="E5854" t="s">
        <v>37</v>
      </c>
      <c r="F5854" t="s">
        <v>520</v>
      </c>
      <c r="G5854">
        <v>2</v>
      </c>
      <c r="H5854">
        <f t="shared" si="88"/>
        <v>13</v>
      </c>
      <c r="I5854" s="25">
        <v>1200</v>
      </c>
      <c r="K5854" t="s">
        <v>148</v>
      </c>
      <c r="M5854" t="s">
        <v>52</v>
      </c>
      <c r="N5854" t="s">
        <v>42</v>
      </c>
      <c r="O5854">
        <f>60+60+20</f>
        <v>140</v>
      </c>
      <c r="Q5854">
        <f t="shared" si="86"/>
        <v>2</v>
      </c>
      <c r="R5854">
        <v>1</v>
      </c>
      <c r="S5854">
        <v>0</v>
      </c>
      <c r="T5854">
        <v>0</v>
      </c>
      <c r="U5854">
        <v>0</v>
      </c>
      <c r="V5854">
        <v>0</v>
      </c>
      <c r="W5854">
        <v>2</v>
      </c>
      <c r="X5854" s="21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f t="shared" si="87"/>
        <v>192</v>
      </c>
      <c r="AP5854" t="s">
        <v>1915</v>
      </c>
    </row>
    <row r="5855" spans="1:42">
      <c r="A5855" s="1">
        <v>43789</v>
      </c>
      <c r="B5855">
        <v>3</v>
      </c>
      <c r="C5855">
        <v>978</v>
      </c>
      <c r="D5855">
        <v>10376</v>
      </c>
      <c r="E5855" t="s">
        <v>37</v>
      </c>
      <c r="F5855" t="s">
        <v>520</v>
      </c>
      <c r="G5855">
        <v>2</v>
      </c>
      <c r="H5855">
        <f t="shared" si="88"/>
        <v>14</v>
      </c>
      <c r="I5855" s="25">
        <v>1200</v>
      </c>
      <c r="K5855" t="s">
        <v>148</v>
      </c>
      <c r="M5855" t="s">
        <v>52</v>
      </c>
      <c r="N5855" t="s">
        <v>40</v>
      </c>
      <c r="O5855">
        <v>53</v>
      </c>
      <c r="Q5855">
        <f t="shared" si="86"/>
        <v>1</v>
      </c>
      <c r="R5855">
        <v>1</v>
      </c>
      <c r="S5855">
        <v>0</v>
      </c>
      <c r="T5855">
        <v>0</v>
      </c>
      <c r="U5855">
        <v>0</v>
      </c>
      <c r="V5855">
        <v>1</v>
      </c>
      <c r="W5855">
        <v>0</v>
      </c>
      <c r="X5855" s="21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f t="shared" si="87"/>
        <v>64</v>
      </c>
      <c r="AP5855" t="s">
        <v>1915</v>
      </c>
    </row>
    <row r="5856" spans="1:42">
      <c r="A5856" s="1">
        <v>43789</v>
      </c>
      <c r="B5856">
        <v>3</v>
      </c>
      <c r="C5856">
        <v>978</v>
      </c>
      <c r="D5856">
        <v>10376</v>
      </c>
      <c r="E5856" t="s">
        <v>37</v>
      </c>
      <c r="F5856" t="s">
        <v>520</v>
      </c>
      <c r="G5856">
        <v>2</v>
      </c>
      <c r="H5856">
        <f t="shared" si="88"/>
        <v>15</v>
      </c>
      <c r="I5856" s="25">
        <v>1100</v>
      </c>
      <c r="K5856" t="s">
        <v>148</v>
      </c>
      <c r="M5856" t="s">
        <v>52</v>
      </c>
      <c r="N5856" t="s">
        <v>42</v>
      </c>
      <c r="O5856">
        <f>60+60+41</f>
        <v>161</v>
      </c>
      <c r="Q5856">
        <f t="shared" si="86"/>
        <v>2</v>
      </c>
      <c r="R5856">
        <v>1</v>
      </c>
      <c r="S5856">
        <v>0</v>
      </c>
      <c r="T5856">
        <v>0</v>
      </c>
      <c r="U5856">
        <v>0</v>
      </c>
      <c r="V5856">
        <v>0</v>
      </c>
      <c r="W5856">
        <v>2</v>
      </c>
      <c r="X5856" s="21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f t="shared" si="87"/>
        <v>192</v>
      </c>
      <c r="AP5856" t="s">
        <v>1915</v>
      </c>
    </row>
    <row r="5857" spans="1:42">
      <c r="A5857" s="1">
        <v>43789</v>
      </c>
      <c r="B5857">
        <v>3</v>
      </c>
      <c r="C5857">
        <v>978</v>
      </c>
      <c r="D5857">
        <v>10376</v>
      </c>
      <c r="E5857" t="s">
        <v>37</v>
      </c>
      <c r="F5857" t="s">
        <v>520</v>
      </c>
      <c r="G5857">
        <v>2</v>
      </c>
      <c r="H5857">
        <f t="shared" si="88"/>
        <v>16</v>
      </c>
      <c r="I5857" s="25">
        <v>1200</v>
      </c>
      <c r="K5857" t="s">
        <v>148</v>
      </c>
      <c r="M5857" t="s">
        <v>52</v>
      </c>
      <c r="N5857" t="s">
        <v>42</v>
      </c>
      <c r="O5857">
        <f>60+60+60+54</f>
        <v>234</v>
      </c>
      <c r="Q5857">
        <f t="shared" si="86"/>
        <v>3</v>
      </c>
      <c r="R5857">
        <v>1</v>
      </c>
      <c r="S5857">
        <v>0</v>
      </c>
      <c r="T5857">
        <v>0</v>
      </c>
      <c r="U5857">
        <v>1</v>
      </c>
      <c r="V5857">
        <v>1</v>
      </c>
      <c r="W5857">
        <v>1</v>
      </c>
      <c r="X5857" s="21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f t="shared" si="87"/>
        <v>192</v>
      </c>
      <c r="AL5857" t="s">
        <v>1931</v>
      </c>
      <c r="AP5857" t="s">
        <v>1915</v>
      </c>
    </row>
    <row r="5858" spans="1:42">
      <c r="A5858" s="1">
        <v>43789</v>
      </c>
      <c r="B5858">
        <v>3</v>
      </c>
      <c r="C5858">
        <v>978</v>
      </c>
      <c r="D5858">
        <v>10376</v>
      </c>
      <c r="E5858" t="s">
        <v>37</v>
      </c>
      <c r="F5858" t="s">
        <v>520</v>
      </c>
      <c r="G5858">
        <v>2</v>
      </c>
      <c r="H5858">
        <f t="shared" si="88"/>
        <v>17</v>
      </c>
      <c r="I5858" s="25">
        <v>1200</v>
      </c>
      <c r="K5858" t="s">
        <v>148</v>
      </c>
      <c r="M5858" t="s">
        <v>52</v>
      </c>
      <c r="N5858" t="s">
        <v>40</v>
      </c>
      <c r="O5858">
        <f>48</f>
        <v>48</v>
      </c>
      <c r="Q5858">
        <f t="shared" si="86"/>
        <v>2</v>
      </c>
      <c r="R5858">
        <v>1</v>
      </c>
      <c r="S5858">
        <v>0</v>
      </c>
      <c r="T5858">
        <v>0</v>
      </c>
      <c r="U5858">
        <v>2</v>
      </c>
      <c r="V5858">
        <v>0</v>
      </c>
      <c r="W5858">
        <v>0</v>
      </c>
      <c r="X5858" s="21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f t="shared" si="87"/>
        <v>64</v>
      </c>
      <c r="AP5858" t="s">
        <v>1915</v>
      </c>
    </row>
    <row r="5859" spans="1:42">
      <c r="A5859" s="1">
        <v>43789</v>
      </c>
      <c r="B5859">
        <v>3</v>
      </c>
      <c r="C5859">
        <v>978</v>
      </c>
      <c r="D5859">
        <v>10376</v>
      </c>
      <c r="E5859" t="s">
        <v>37</v>
      </c>
      <c r="F5859" t="s">
        <v>520</v>
      </c>
      <c r="G5859">
        <v>2</v>
      </c>
      <c r="H5859">
        <f t="shared" si="88"/>
        <v>18</v>
      </c>
      <c r="I5859" s="25">
        <v>1200</v>
      </c>
      <c r="K5859" t="s">
        <v>148</v>
      </c>
      <c r="M5859" t="s">
        <v>52</v>
      </c>
      <c r="N5859" t="s">
        <v>40</v>
      </c>
      <c r="O5859">
        <f>60+19</f>
        <v>79</v>
      </c>
      <c r="Q5859">
        <f t="shared" si="86"/>
        <v>2</v>
      </c>
      <c r="R5859">
        <v>1</v>
      </c>
      <c r="S5859">
        <v>0</v>
      </c>
      <c r="T5859">
        <v>0</v>
      </c>
      <c r="U5859">
        <v>0</v>
      </c>
      <c r="V5859">
        <v>0</v>
      </c>
      <c r="W5859">
        <v>2</v>
      </c>
      <c r="X5859" s="21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1</v>
      </c>
      <c r="AG5859">
        <v>0</v>
      </c>
      <c r="AH5859">
        <f t="shared" si="87"/>
        <v>192</v>
      </c>
      <c r="AP5859" t="s">
        <v>1915</v>
      </c>
    </row>
    <row r="5860" spans="1:42">
      <c r="A5860" s="1">
        <v>43789</v>
      </c>
      <c r="B5860">
        <v>3</v>
      </c>
      <c r="C5860">
        <v>978</v>
      </c>
      <c r="D5860">
        <v>10376</v>
      </c>
      <c r="E5860" t="s">
        <v>37</v>
      </c>
      <c r="F5860" t="s">
        <v>520</v>
      </c>
      <c r="G5860">
        <v>2</v>
      </c>
      <c r="H5860">
        <f t="shared" si="88"/>
        <v>19</v>
      </c>
      <c r="I5860" s="25">
        <v>2200</v>
      </c>
      <c r="K5860" t="s">
        <v>420</v>
      </c>
      <c r="M5860" t="s">
        <v>52</v>
      </c>
      <c r="N5860" t="s">
        <v>44</v>
      </c>
      <c r="O5860">
        <f>60+33</f>
        <v>93</v>
      </c>
      <c r="Q5860">
        <f t="shared" si="86"/>
        <v>1</v>
      </c>
      <c r="R5860">
        <v>1</v>
      </c>
      <c r="S5860">
        <v>0</v>
      </c>
      <c r="T5860">
        <v>0</v>
      </c>
      <c r="U5860">
        <v>0</v>
      </c>
      <c r="V5860">
        <v>0</v>
      </c>
      <c r="W5860">
        <v>1</v>
      </c>
      <c r="X5860" s="21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f t="shared" si="87"/>
        <v>96</v>
      </c>
      <c r="AP5860" t="s">
        <v>1915</v>
      </c>
    </row>
    <row r="5861" spans="1:42">
      <c r="A5861" s="1">
        <v>43789</v>
      </c>
      <c r="B5861">
        <v>3</v>
      </c>
      <c r="C5861">
        <v>978</v>
      </c>
      <c r="D5861">
        <v>10376</v>
      </c>
      <c r="E5861" t="s">
        <v>37</v>
      </c>
      <c r="F5861" t="s">
        <v>520</v>
      </c>
      <c r="G5861">
        <v>2</v>
      </c>
      <c r="H5861">
        <f t="shared" si="88"/>
        <v>20</v>
      </c>
      <c r="I5861" s="25">
        <v>2200</v>
      </c>
      <c r="K5861" t="s">
        <v>420</v>
      </c>
      <c r="M5861" t="s">
        <v>52</v>
      </c>
      <c r="N5861" t="s">
        <v>64</v>
      </c>
      <c r="O5861">
        <f>60+58</f>
        <v>118</v>
      </c>
      <c r="Q5861">
        <f t="shared" si="86"/>
        <v>1</v>
      </c>
      <c r="R5861">
        <v>1</v>
      </c>
      <c r="S5861">
        <v>0</v>
      </c>
      <c r="T5861">
        <v>0</v>
      </c>
      <c r="U5861">
        <v>0</v>
      </c>
      <c r="V5861">
        <v>0</v>
      </c>
      <c r="W5861">
        <v>1</v>
      </c>
      <c r="X5861" s="2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f t="shared" si="87"/>
        <v>96</v>
      </c>
      <c r="AP5861" t="s">
        <v>1915</v>
      </c>
    </row>
    <row r="5862" spans="1:42">
      <c r="A5862" s="1">
        <v>43789</v>
      </c>
      <c r="B5862">
        <v>3</v>
      </c>
      <c r="C5862">
        <v>978</v>
      </c>
      <c r="D5862">
        <v>10376</v>
      </c>
      <c r="E5862" t="s">
        <v>37</v>
      </c>
      <c r="F5862" t="s">
        <v>520</v>
      </c>
      <c r="G5862">
        <v>2</v>
      </c>
      <c r="H5862">
        <f t="shared" si="88"/>
        <v>21</v>
      </c>
      <c r="I5862" s="25">
        <v>2200</v>
      </c>
      <c r="K5862" t="s">
        <v>420</v>
      </c>
      <c r="M5862" t="s">
        <v>52</v>
      </c>
      <c r="N5862" t="s">
        <v>40</v>
      </c>
      <c r="O5862">
        <f>60+51</f>
        <v>111</v>
      </c>
      <c r="Q5862">
        <f t="shared" si="86"/>
        <v>0</v>
      </c>
      <c r="R5862">
        <v>1</v>
      </c>
      <c r="S5862">
        <v>0</v>
      </c>
      <c r="T5862">
        <v>0</v>
      </c>
      <c r="U5862">
        <v>0</v>
      </c>
      <c r="V5862">
        <v>0</v>
      </c>
      <c r="W5862">
        <v>0</v>
      </c>
      <c r="X5862" s="21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f t="shared" si="87"/>
        <v>0</v>
      </c>
      <c r="AP5862" t="s">
        <v>1915</v>
      </c>
    </row>
    <row r="5863" spans="1:42">
      <c r="A5863" s="1">
        <v>43789</v>
      </c>
      <c r="B5863">
        <v>3</v>
      </c>
      <c r="C5863">
        <v>978</v>
      </c>
      <c r="D5863">
        <v>10376</v>
      </c>
      <c r="E5863" t="s">
        <v>37</v>
      </c>
      <c r="F5863" t="s">
        <v>520</v>
      </c>
      <c r="G5863">
        <v>2</v>
      </c>
      <c r="H5863">
        <f t="shared" si="88"/>
        <v>22</v>
      </c>
      <c r="I5863" s="25">
        <v>1200</v>
      </c>
      <c r="K5863" t="s">
        <v>156</v>
      </c>
      <c r="M5863" t="s">
        <v>52</v>
      </c>
      <c r="N5863" t="s">
        <v>40</v>
      </c>
      <c r="O5863">
        <v>44</v>
      </c>
      <c r="Q5863">
        <f t="shared" si="86"/>
        <v>1</v>
      </c>
      <c r="R5863">
        <v>1</v>
      </c>
      <c r="S5863">
        <v>0</v>
      </c>
      <c r="T5863">
        <v>0</v>
      </c>
      <c r="U5863">
        <v>0</v>
      </c>
      <c r="V5863">
        <v>1</v>
      </c>
      <c r="W5863">
        <v>0</v>
      </c>
      <c r="X5863" s="21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f t="shared" si="87"/>
        <v>64</v>
      </c>
      <c r="AP5863" t="s">
        <v>1915</v>
      </c>
    </row>
    <row r="5864" spans="1:42">
      <c r="A5864" s="1">
        <v>43789</v>
      </c>
      <c r="B5864">
        <v>3</v>
      </c>
      <c r="C5864">
        <v>978</v>
      </c>
      <c r="D5864">
        <v>10376</v>
      </c>
      <c r="E5864" t="s">
        <v>37</v>
      </c>
      <c r="F5864" t="s">
        <v>520</v>
      </c>
      <c r="G5864">
        <v>2</v>
      </c>
      <c r="H5864">
        <f t="shared" si="88"/>
        <v>23</v>
      </c>
      <c r="I5864" s="25">
        <v>1200</v>
      </c>
      <c r="K5864" t="s">
        <v>156</v>
      </c>
      <c r="M5864" t="s">
        <v>52</v>
      </c>
      <c r="N5864" t="s">
        <v>40</v>
      </c>
      <c r="O5864">
        <f>60+12</f>
        <v>72</v>
      </c>
      <c r="Q5864">
        <f t="shared" si="86"/>
        <v>2</v>
      </c>
      <c r="R5864">
        <v>1</v>
      </c>
      <c r="S5864">
        <v>0</v>
      </c>
      <c r="T5864">
        <v>0</v>
      </c>
      <c r="U5864">
        <v>1</v>
      </c>
      <c r="V5864">
        <v>1</v>
      </c>
      <c r="W5864">
        <v>0</v>
      </c>
      <c r="X5864" s="21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f t="shared" si="87"/>
        <v>96</v>
      </c>
      <c r="AP5864" t="s">
        <v>1915</v>
      </c>
    </row>
    <row r="5865" spans="1:42">
      <c r="A5865" s="1">
        <v>43789</v>
      </c>
      <c r="B5865">
        <v>3</v>
      </c>
      <c r="C5865">
        <v>978</v>
      </c>
      <c r="D5865">
        <v>10376</v>
      </c>
      <c r="E5865" t="s">
        <v>37</v>
      </c>
      <c r="F5865" t="s">
        <v>520</v>
      </c>
      <c r="G5865">
        <v>2</v>
      </c>
      <c r="H5865">
        <f>H5864+1</f>
        <v>24</v>
      </c>
      <c r="I5865" s="25">
        <v>1100</v>
      </c>
      <c r="K5865" t="s">
        <v>156</v>
      </c>
      <c r="M5865" t="s">
        <v>52</v>
      </c>
      <c r="N5865" t="s">
        <v>44</v>
      </c>
      <c r="O5865">
        <f>60+60+27</f>
        <v>147</v>
      </c>
      <c r="Q5865">
        <f t="shared" si="86"/>
        <v>2</v>
      </c>
      <c r="R5865">
        <v>1</v>
      </c>
      <c r="S5865">
        <v>0</v>
      </c>
      <c r="T5865">
        <v>0</v>
      </c>
      <c r="U5865">
        <v>0</v>
      </c>
      <c r="V5865">
        <v>0</v>
      </c>
      <c r="W5865">
        <v>2</v>
      </c>
      <c r="X5865" s="21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f t="shared" si="87"/>
        <v>192</v>
      </c>
      <c r="AP5865" t="s">
        <v>1915</v>
      </c>
    </row>
    <row r="5866" spans="1:42">
      <c r="A5866" s="1">
        <v>43789</v>
      </c>
      <c r="B5866">
        <v>3</v>
      </c>
      <c r="C5866">
        <v>978</v>
      </c>
      <c r="D5866">
        <v>10376</v>
      </c>
      <c r="E5866" t="s">
        <v>37</v>
      </c>
      <c r="F5866" t="s">
        <v>520</v>
      </c>
      <c r="G5866">
        <v>2</v>
      </c>
      <c r="H5866">
        <f t="shared" si="88"/>
        <v>25</v>
      </c>
      <c r="I5866" s="25">
        <v>1100</v>
      </c>
      <c r="K5866" t="s">
        <v>156</v>
      </c>
      <c r="M5866" t="s">
        <v>52</v>
      </c>
      <c r="N5866" t="s">
        <v>44</v>
      </c>
      <c r="O5866">
        <f>60+60+60+60+60+52</f>
        <v>352</v>
      </c>
      <c r="Q5866">
        <f t="shared" si="86"/>
        <v>3</v>
      </c>
      <c r="R5866">
        <v>1</v>
      </c>
      <c r="S5866">
        <v>0</v>
      </c>
      <c r="T5866">
        <v>0</v>
      </c>
      <c r="U5866">
        <v>0</v>
      </c>
      <c r="V5866">
        <v>0</v>
      </c>
      <c r="W5866">
        <v>3</v>
      </c>
      <c r="X5866" s="21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f t="shared" si="87"/>
        <v>288</v>
      </c>
      <c r="AP5866" t="s">
        <v>1915</v>
      </c>
    </row>
    <row r="5867" spans="1:42">
      <c r="A5867" s="1">
        <v>43789</v>
      </c>
      <c r="B5867">
        <v>3</v>
      </c>
      <c r="C5867">
        <v>978</v>
      </c>
      <c r="D5867">
        <v>10376</v>
      </c>
      <c r="E5867" t="s">
        <v>37</v>
      </c>
      <c r="F5867" t="s">
        <v>520</v>
      </c>
      <c r="G5867">
        <v>2</v>
      </c>
      <c r="H5867">
        <f t="shared" si="88"/>
        <v>26</v>
      </c>
      <c r="I5867" s="25">
        <v>1150</v>
      </c>
      <c r="K5867" t="s">
        <v>156</v>
      </c>
      <c r="L5867" t="s">
        <v>114</v>
      </c>
      <c r="M5867" t="s">
        <v>52</v>
      </c>
      <c r="N5867" t="s">
        <v>44</v>
      </c>
      <c r="O5867">
        <f>60+60+60+60+60+42</f>
        <v>342</v>
      </c>
      <c r="Q5867">
        <f t="shared" si="86"/>
        <v>4</v>
      </c>
      <c r="R5867">
        <v>1</v>
      </c>
      <c r="S5867">
        <v>0</v>
      </c>
      <c r="T5867">
        <v>0</v>
      </c>
      <c r="U5867">
        <v>0</v>
      </c>
      <c r="V5867">
        <v>0</v>
      </c>
      <c r="W5867">
        <v>4</v>
      </c>
      <c r="X5867" s="21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f t="shared" si="87"/>
        <v>384</v>
      </c>
      <c r="AL5867" t="s">
        <v>1932</v>
      </c>
      <c r="AP5867" t="s">
        <v>1915</v>
      </c>
    </row>
    <row r="5868" spans="1:42">
      <c r="A5868" s="1">
        <v>43789</v>
      </c>
      <c r="B5868">
        <v>3</v>
      </c>
      <c r="C5868">
        <v>978</v>
      </c>
      <c r="D5868">
        <v>10376</v>
      </c>
      <c r="E5868" t="s">
        <v>37</v>
      </c>
      <c r="F5868" t="s">
        <v>520</v>
      </c>
      <c r="G5868">
        <v>2</v>
      </c>
      <c r="H5868">
        <f t="shared" si="88"/>
        <v>27</v>
      </c>
      <c r="I5868" s="25">
        <v>2400</v>
      </c>
      <c r="K5868" t="s">
        <v>420</v>
      </c>
      <c r="M5868" t="s">
        <v>52</v>
      </c>
      <c r="N5868" t="s">
        <v>40</v>
      </c>
      <c r="O5868">
        <f>44</f>
        <v>44</v>
      </c>
      <c r="Q5868">
        <f t="shared" si="86"/>
        <v>2</v>
      </c>
      <c r="R5868">
        <v>1</v>
      </c>
      <c r="S5868">
        <v>0</v>
      </c>
      <c r="T5868">
        <v>0</v>
      </c>
      <c r="U5868">
        <v>0</v>
      </c>
      <c r="V5868">
        <v>2</v>
      </c>
      <c r="W5868">
        <v>0</v>
      </c>
      <c r="X5868" s="21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f t="shared" si="87"/>
        <v>128</v>
      </c>
      <c r="AP5868" t="s">
        <v>1915</v>
      </c>
    </row>
    <row r="5869" spans="1:42">
      <c r="A5869" s="1">
        <v>43789</v>
      </c>
      <c r="B5869">
        <v>3</v>
      </c>
      <c r="C5869">
        <v>978</v>
      </c>
      <c r="D5869">
        <v>10376</v>
      </c>
      <c r="E5869" t="s">
        <v>37</v>
      </c>
      <c r="F5869" t="s">
        <v>520</v>
      </c>
      <c r="G5869">
        <v>2</v>
      </c>
      <c r="H5869">
        <f t="shared" si="88"/>
        <v>28</v>
      </c>
      <c r="I5869" s="25">
        <v>2600</v>
      </c>
      <c r="K5869" t="s">
        <v>420</v>
      </c>
      <c r="M5869" t="s">
        <v>52</v>
      </c>
      <c r="N5869" t="s">
        <v>40</v>
      </c>
      <c r="O5869">
        <f>60+5</f>
        <v>65</v>
      </c>
      <c r="Q5869">
        <f t="shared" si="86"/>
        <v>3</v>
      </c>
      <c r="R5869">
        <v>1</v>
      </c>
      <c r="S5869">
        <v>0</v>
      </c>
      <c r="T5869">
        <v>0</v>
      </c>
      <c r="U5869">
        <v>3</v>
      </c>
      <c r="V5869">
        <v>0</v>
      </c>
      <c r="W5869">
        <v>0</v>
      </c>
      <c r="X5869" s="21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f t="shared" si="87"/>
        <v>96</v>
      </c>
      <c r="AP5869" t="s">
        <v>1915</v>
      </c>
    </row>
    <row r="5870" spans="1:42">
      <c r="A5870" s="1">
        <v>43789</v>
      </c>
      <c r="B5870">
        <v>3</v>
      </c>
      <c r="C5870">
        <v>978</v>
      </c>
      <c r="D5870">
        <v>10376</v>
      </c>
      <c r="E5870" t="s">
        <v>37</v>
      </c>
      <c r="F5870" t="s">
        <v>520</v>
      </c>
      <c r="G5870">
        <v>2</v>
      </c>
      <c r="H5870">
        <f t="shared" si="88"/>
        <v>29</v>
      </c>
      <c r="I5870" s="25">
        <v>2600</v>
      </c>
      <c r="K5870" t="s">
        <v>420</v>
      </c>
      <c r="M5870" t="s">
        <v>52</v>
      </c>
      <c r="N5870" t="s">
        <v>40</v>
      </c>
      <c r="O5870">
        <v>47</v>
      </c>
      <c r="Q5870">
        <f t="shared" si="86"/>
        <v>2</v>
      </c>
      <c r="R5870">
        <v>1</v>
      </c>
      <c r="S5870">
        <v>0</v>
      </c>
      <c r="T5870">
        <v>0</v>
      </c>
      <c r="U5870">
        <v>0</v>
      </c>
      <c r="V5870">
        <v>0</v>
      </c>
      <c r="W5870">
        <v>2</v>
      </c>
      <c r="X5870" s="21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f t="shared" si="87"/>
        <v>192</v>
      </c>
      <c r="AP5870" t="s">
        <v>1915</v>
      </c>
    </row>
    <row r="5871" spans="1:42">
      <c r="A5871" s="1">
        <v>43789</v>
      </c>
      <c r="B5871">
        <v>3</v>
      </c>
      <c r="C5871">
        <v>978</v>
      </c>
      <c r="D5871">
        <v>10376</v>
      </c>
      <c r="E5871" t="s">
        <v>37</v>
      </c>
      <c r="F5871" t="s">
        <v>520</v>
      </c>
      <c r="G5871">
        <v>2</v>
      </c>
      <c r="H5871">
        <f t="shared" si="88"/>
        <v>30</v>
      </c>
      <c r="I5871" s="25">
        <v>1000</v>
      </c>
      <c r="K5871" t="s">
        <v>324</v>
      </c>
      <c r="M5871" t="s">
        <v>52</v>
      </c>
      <c r="N5871" t="s">
        <v>40</v>
      </c>
      <c r="O5871">
        <f>60+60+60+60+44</f>
        <v>284</v>
      </c>
      <c r="Q5871">
        <f t="shared" si="86"/>
        <v>7</v>
      </c>
      <c r="R5871">
        <v>1</v>
      </c>
      <c r="S5871">
        <v>0</v>
      </c>
      <c r="T5871">
        <v>0</v>
      </c>
      <c r="U5871">
        <v>0</v>
      </c>
      <c r="V5871">
        <v>0</v>
      </c>
      <c r="W5871">
        <v>7</v>
      </c>
      <c r="X5871" s="2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1</v>
      </c>
      <c r="AG5871">
        <v>0</v>
      </c>
      <c r="AH5871">
        <f t="shared" si="87"/>
        <v>672</v>
      </c>
      <c r="AP5871" t="s">
        <v>1915</v>
      </c>
    </row>
    <row r="5872" spans="1:42">
      <c r="A5872" s="1">
        <v>43789</v>
      </c>
      <c r="B5872">
        <v>3</v>
      </c>
      <c r="C5872">
        <v>978</v>
      </c>
      <c r="D5872">
        <v>10376</v>
      </c>
      <c r="E5872" t="s">
        <v>37</v>
      </c>
      <c r="F5872" t="s">
        <v>520</v>
      </c>
      <c r="G5872">
        <v>2</v>
      </c>
      <c r="H5872">
        <f t="shared" si="88"/>
        <v>31</v>
      </c>
      <c r="I5872" s="25">
        <v>2600</v>
      </c>
      <c r="K5872" t="s">
        <v>420</v>
      </c>
      <c r="M5872" t="s">
        <v>52</v>
      </c>
      <c r="N5872" t="s">
        <v>40</v>
      </c>
      <c r="O5872">
        <v>52</v>
      </c>
      <c r="Q5872">
        <f t="shared" si="86"/>
        <v>2</v>
      </c>
      <c r="R5872">
        <v>1</v>
      </c>
      <c r="S5872">
        <v>0</v>
      </c>
      <c r="T5872">
        <v>0</v>
      </c>
      <c r="U5872">
        <v>0</v>
      </c>
      <c r="V5872">
        <v>1</v>
      </c>
      <c r="W5872">
        <v>1</v>
      </c>
      <c r="X5872" s="21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f t="shared" si="87"/>
        <v>160</v>
      </c>
      <c r="AP5872" t="s">
        <v>1915</v>
      </c>
    </row>
    <row r="5873" spans="1:42">
      <c r="A5873" s="1">
        <v>43789</v>
      </c>
      <c r="B5873">
        <v>3</v>
      </c>
      <c r="C5873">
        <v>978</v>
      </c>
      <c r="D5873">
        <v>10376</v>
      </c>
      <c r="E5873" t="s">
        <v>37</v>
      </c>
      <c r="F5873" t="s">
        <v>520</v>
      </c>
      <c r="G5873">
        <v>2</v>
      </c>
      <c r="H5873">
        <f t="shared" si="88"/>
        <v>32</v>
      </c>
      <c r="I5873" s="25">
        <v>2600</v>
      </c>
      <c r="K5873" t="s">
        <v>420</v>
      </c>
      <c r="M5873" t="s">
        <v>52</v>
      </c>
      <c r="N5873" t="s">
        <v>40</v>
      </c>
      <c r="O5873">
        <f>60+45</f>
        <v>105</v>
      </c>
      <c r="Q5873">
        <f t="shared" si="86"/>
        <v>2</v>
      </c>
      <c r="R5873">
        <v>1</v>
      </c>
      <c r="S5873">
        <v>0</v>
      </c>
      <c r="T5873">
        <v>0</v>
      </c>
      <c r="U5873">
        <v>1</v>
      </c>
      <c r="V5873">
        <v>1</v>
      </c>
      <c r="W5873">
        <v>0</v>
      </c>
      <c r="X5873" s="21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f t="shared" si="87"/>
        <v>96</v>
      </c>
      <c r="AP5873" t="s">
        <v>1915</v>
      </c>
    </row>
    <row r="5874" spans="1:42">
      <c r="A5874" s="1">
        <v>43789</v>
      </c>
      <c r="B5874">
        <v>3</v>
      </c>
      <c r="C5874">
        <v>978</v>
      </c>
      <c r="D5874">
        <v>10376</v>
      </c>
      <c r="E5874" t="s">
        <v>37</v>
      </c>
      <c r="F5874" t="s">
        <v>520</v>
      </c>
      <c r="G5874">
        <v>2</v>
      </c>
      <c r="H5874">
        <f t="shared" si="88"/>
        <v>33</v>
      </c>
      <c r="I5874" s="25">
        <v>2600</v>
      </c>
      <c r="K5874" t="s">
        <v>420</v>
      </c>
      <c r="M5874" t="s">
        <v>52</v>
      </c>
      <c r="N5874" t="s">
        <v>40</v>
      </c>
      <c r="O5874">
        <f>60+5</f>
        <v>65</v>
      </c>
      <c r="Q5874">
        <f t="shared" si="86"/>
        <v>1</v>
      </c>
      <c r="R5874">
        <v>1</v>
      </c>
      <c r="S5874">
        <v>0</v>
      </c>
      <c r="T5874">
        <v>0</v>
      </c>
      <c r="U5874">
        <v>0</v>
      </c>
      <c r="V5874">
        <v>1</v>
      </c>
      <c r="W5874">
        <v>0</v>
      </c>
      <c r="X5874" s="21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f t="shared" si="87"/>
        <v>64</v>
      </c>
      <c r="AP5874" t="s">
        <v>1915</v>
      </c>
    </row>
    <row r="5875" spans="1:42">
      <c r="A5875" s="1">
        <v>43789</v>
      </c>
      <c r="B5875">
        <v>3</v>
      </c>
      <c r="C5875">
        <v>978</v>
      </c>
      <c r="D5875">
        <v>10376</v>
      </c>
      <c r="E5875" t="s">
        <v>37</v>
      </c>
      <c r="F5875" t="s">
        <v>520</v>
      </c>
      <c r="G5875">
        <v>2</v>
      </c>
      <c r="H5875">
        <f t="shared" si="88"/>
        <v>34</v>
      </c>
      <c r="I5875" s="25">
        <v>2500</v>
      </c>
      <c r="K5875" t="s">
        <v>420</v>
      </c>
      <c r="M5875" t="s">
        <v>52</v>
      </c>
      <c r="N5875" t="s">
        <v>42</v>
      </c>
      <c r="O5875">
        <f>60+60+51</f>
        <v>171</v>
      </c>
      <c r="Q5875">
        <f t="shared" si="86"/>
        <v>3</v>
      </c>
      <c r="R5875">
        <v>1</v>
      </c>
      <c r="S5875">
        <v>0</v>
      </c>
      <c r="T5875">
        <v>0</v>
      </c>
      <c r="U5875">
        <v>1</v>
      </c>
      <c r="V5875">
        <v>0</v>
      </c>
      <c r="W5875">
        <v>2</v>
      </c>
      <c r="X5875" s="21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f t="shared" si="87"/>
        <v>224</v>
      </c>
      <c r="AP5875" t="s">
        <v>1915</v>
      </c>
    </row>
    <row r="5876" spans="1:42">
      <c r="A5876" s="1">
        <v>43789</v>
      </c>
      <c r="B5876">
        <v>3</v>
      </c>
      <c r="C5876">
        <v>978</v>
      </c>
      <c r="D5876">
        <v>10376</v>
      </c>
      <c r="E5876" t="s">
        <v>37</v>
      </c>
      <c r="F5876" t="s">
        <v>520</v>
      </c>
      <c r="G5876">
        <v>2</v>
      </c>
      <c r="H5876">
        <f t="shared" si="88"/>
        <v>35</v>
      </c>
      <c r="I5876" s="25">
        <v>2500</v>
      </c>
      <c r="K5876" t="s">
        <v>420</v>
      </c>
      <c r="M5876" t="s">
        <v>52</v>
      </c>
      <c r="N5876" t="s">
        <v>40</v>
      </c>
      <c r="O5876">
        <v>45</v>
      </c>
      <c r="Q5876">
        <f t="shared" si="86"/>
        <v>2</v>
      </c>
      <c r="R5876">
        <v>1</v>
      </c>
      <c r="S5876">
        <v>0</v>
      </c>
      <c r="T5876">
        <v>0</v>
      </c>
      <c r="U5876">
        <v>0</v>
      </c>
      <c r="V5876">
        <v>0</v>
      </c>
      <c r="W5876">
        <v>2</v>
      </c>
      <c r="X5876" s="21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f t="shared" si="87"/>
        <v>192</v>
      </c>
      <c r="AP5876" t="s">
        <v>1915</v>
      </c>
    </row>
    <row r="5877" spans="1:42">
      <c r="A5877" s="1">
        <v>43789</v>
      </c>
      <c r="B5877">
        <v>3</v>
      </c>
      <c r="C5877">
        <v>978</v>
      </c>
      <c r="D5877">
        <v>10376</v>
      </c>
      <c r="E5877" t="s">
        <v>37</v>
      </c>
      <c r="F5877" t="s">
        <v>520</v>
      </c>
      <c r="G5877">
        <v>2</v>
      </c>
      <c r="H5877">
        <f t="shared" si="88"/>
        <v>36</v>
      </c>
      <c r="I5877" s="25">
        <v>2500</v>
      </c>
      <c r="K5877" t="s">
        <v>420</v>
      </c>
      <c r="M5877" t="s">
        <v>52</v>
      </c>
      <c r="N5877" t="s">
        <v>44</v>
      </c>
      <c r="O5877">
        <f>60+60+39</f>
        <v>159</v>
      </c>
      <c r="Q5877">
        <f t="shared" si="86"/>
        <v>2</v>
      </c>
      <c r="R5877">
        <v>1</v>
      </c>
      <c r="S5877">
        <v>0</v>
      </c>
      <c r="T5877">
        <v>0</v>
      </c>
      <c r="U5877">
        <v>1</v>
      </c>
      <c r="V5877">
        <v>0</v>
      </c>
      <c r="W5877">
        <v>1</v>
      </c>
      <c r="X5877" s="21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f t="shared" si="87"/>
        <v>128</v>
      </c>
      <c r="AP5877" t="s">
        <v>1915</v>
      </c>
    </row>
    <row r="5878" spans="1:42">
      <c r="A5878" s="1">
        <v>43789</v>
      </c>
      <c r="B5878">
        <v>3</v>
      </c>
      <c r="C5878">
        <v>978</v>
      </c>
      <c r="D5878">
        <v>10376</v>
      </c>
      <c r="E5878" t="s">
        <v>37</v>
      </c>
      <c r="F5878" t="s">
        <v>520</v>
      </c>
      <c r="G5878">
        <v>2</v>
      </c>
      <c r="H5878">
        <f t="shared" si="88"/>
        <v>37</v>
      </c>
      <c r="I5878" s="25">
        <v>1300</v>
      </c>
      <c r="K5878" t="s">
        <v>213</v>
      </c>
      <c r="M5878" t="s">
        <v>52</v>
      </c>
      <c r="N5878" t="s">
        <v>44</v>
      </c>
      <c r="O5878">
        <f>60+2</f>
        <v>62</v>
      </c>
      <c r="Q5878">
        <f t="shared" si="86"/>
        <v>1</v>
      </c>
      <c r="R5878">
        <v>1</v>
      </c>
      <c r="S5878">
        <v>0</v>
      </c>
      <c r="T5878">
        <v>0</v>
      </c>
      <c r="U5878">
        <v>0</v>
      </c>
      <c r="V5878">
        <v>0</v>
      </c>
      <c r="W5878">
        <v>1</v>
      </c>
      <c r="X5878" s="21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f t="shared" si="87"/>
        <v>96</v>
      </c>
      <c r="AP5878" t="s">
        <v>1915</v>
      </c>
    </row>
    <row r="5879" spans="1:42">
      <c r="A5879" s="1">
        <v>43789</v>
      </c>
      <c r="B5879">
        <v>3</v>
      </c>
      <c r="C5879">
        <v>978</v>
      </c>
      <c r="D5879">
        <v>10376</v>
      </c>
      <c r="E5879" t="s">
        <v>37</v>
      </c>
      <c r="F5879" t="s">
        <v>520</v>
      </c>
      <c r="G5879">
        <v>2</v>
      </c>
      <c r="H5879">
        <f t="shared" si="88"/>
        <v>38</v>
      </c>
      <c r="I5879" s="25">
        <v>1300</v>
      </c>
      <c r="K5879" t="s">
        <v>213</v>
      </c>
      <c r="M5879" t="s">
        <v>52</v>
      </c>
      <c r="N5879" t="s">
        <v>40</v>
      </c>
      <c r="O5879">
        <f>46</f>
        <v>46</v>
      </c>
      <c r="Q5879">
        <f t="shared" si="86"/>
        <v>1</v>
      </c>
      <c r="R5879">
        <v>1</v>
      </c>
      <c r="S5879">
        <v>0</v>
      </c>
      <c r="T5879">
        <v>0</v>
      </c>
      <c r="U5879">
        <v>1</v>
      </c>
      <c r="V5879">
        <v>0</v>
      </c>
      <c r="W5879">
        <v>0</v>
      </c>
      <c r="X5879" s="21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f t="shared" si="87"/>
        <v>32</v>
      </c>
      <c r="AP5879" t="s">
        <v>1915</v>
      </c>
    </row>
    <row r="5880" spans="1:42">
      <c r="A5880" s="1">
        <v>43789</v>
      </c>
      <c r="B5880">
        <v>3</v>
      </c>
      <c r="C5880">
        <v>978</v>
      </c>
      <c r="D5880">
        <v>10376</v>
      </c>
      <c r="E5880" t="s">
        <v>37</v>
      </c>
      <c r="F5880" t="s">
        <v>520</v>
      </c>
      <c r="G5880">
        <v>2</v>
      </c>
      <c r="H5880">
        <f t="shared" si="88"/>
        <v>39</v>
      </c>
      <c r="I5880" s="25">
        <v>1300</v>
      </c>
      <c r="K5880" t="s">
        <v>213</v>
      </c>
      <c r="M5880" t="s">
        <v>52</v>
      </c>
      <c r="N5880" t="s">
        <v>40</v>
      </c>
      <c r="O5880">
        <v>44</v>
      </c>
      <c r="Q5880">
        <f t="shared" si="86"/>
        <v>1</v>
      </c>
      <c r="R5880">
        <v>1</v>
      </c>
      <c r="S5880">
        <v>0</v>
      </c>
      <c r="T5880">
        <v>0</v>
      </c>
      <c r="U5880">
        <v>0</v>
      </c>
      <c r="V5880">
        <v>1</v>
      </c>
      <c r="W5880">
        <v>0</v>
      </c>
      <c r="X5880" s="21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f t="shared" si="87"/>
        <v>64</v>
      </c>
      <c r="AP5880" t="s">
        <v>1915</v>
      </c>
    </row>
    <row r="5881" spans="1:42">
      <c r="A5881" s="1">
        <v>43789</v>
      </c>
      <c r="B5881">
        <v>3</v>
      </c>
      <c r="C5881">
        <v>978</v>
      </c>
      <c r="D5881">
        <v>10376</v>
      </c>
      <c r="E5881" t="s">
        <v>37</v>
      </c>
      <c r="F5881" t="s">
        <v>520</v>
      </c>
      <c r="G5881">
        <v>2</v>
      </c>
      <c r="H5881">
        <f t="shared" si="88"/>
        <v>40</v>
      </c>
      <c r="I5881" s="25">
        <v>0</v>
      </c>
      <c r="K5881" t="s">
        <v>1933</v>
      </c>
      <c r="M5881" t="s">
        <v>52</v>
      </c>
      <c r="N5881" t="s">
        <v>40</v>
      </c>
      <c r="O5881">
        <f>60+60+60+60+2</f>
        <v>242</v>
      </c>
      <c r="Q5881">
        <f t="shared" si="86"/>
        <v>4</v>
      </c>
      <c r="R5881">
        <v>1</v>
      </c>
      <c r="S5881">
        <v>0</v>
      </c>
      <c r="T5881">
        <v>0</v>
      </c>
      <c r="U5881">
        <v>0</v>
      </c>
      <c r="V5881">
        <v>1</v>
      </c>
      <c r="W5881">
        <v>3</v>
      </c>
      <c r="X5881" s="2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f t="shared" si="87"/>
        <v>352</v>
      </c>
      <c r="AL5881" t="s">
        <v>1934</v>
      </c>
      <c r="AP5881" t="s">
        <v>1915</v>
      </c>
    </row>
    <row r="5882" spans="1:42">
      <c r="A5882" s="1">
        <v>43789</v>
      </c>
      <c r="B5882">
        <v>3</v>
      </c>
      <c r="C5882">
        <v>978</v>
      </c>
      <c r="D5882">
        <v>10376</v>
      </c>
      <c r="E5882" t="s">
        <v>37</v>
      </c>
      <c r="F5882" t="s">
        <v>520</v>
      </c>
      <c r="G5882">
        <v>2</v>
      </c>
      <c r="H5882">
        <f t="shared" si="88"/>
        <v>41</v>
      </c>
      <c r="I5882" s="25">
        <v>1400</v>
      </c>
      <c r="K5882" t="s">
        <v>213</v>
      </c>
      <c r="M5882" t="s">
        <v>52</v>
      </c>
      <c r="N5882" t="s">
        <v>44</v>
      </c>
      <c r="O5882">
        <f>60+60+60+4</f>
        <v>184</v>
      </c>
      <c r="Q5882">
        <f t="shared" si="86"/>
        <v>2</v>
      </c>
      <c r="R5882">
        <v>1</v>
      </c>
      <c r="S5882">
        <v>0</v>
      </c>
      <c r="T5882">
        <v>0</v>
      </c>
      <c r="U5882">
        <v>0</v>
      </c>
      <c r="V5882">
        <v>0</v>
      </c>
      <c r="W5882">
        <v>2</v>
      </c>
      <c r="X5882" s="21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f t="shared" si="87"/>
        <v>192</v>
      </c>
      <c r="AP5882" t="s">
        <v>1915</v>
      </c>
    </row>
    <row r="5883" spans="1:42">
      <c r="A5883" s="1">
        <v>43789</v>
      </c>
      <c r="B5883">
        <v>3</v>
      </c>
      <c r="C5883">
        <v>978</v>
      </c>
      <c r="D5883">
        <v>10376</v>
      </c>
      <c r="E5883" t="s">
        <v>37</v>
      </c>
      <c r="F5883" t="s">
        <v>520</v>
      </c>
      <c r="G5883">
        <v>2</v>
      </c>
      <c r="H5883">
        <f>H5882+1</f>
        <v>42</v>
      </c>
      <c r="I5883" s="25">
        <v>0</v>
      </c>
      <c r="K5883" t="s">
        <v>210</v>
      </c>
      <c r="M5883" t="s">
        <v>52</v>
      </c>
      <c r="N5883" t="s">
        <v>40</v>
      </c>
      <c r="O5883">
        <v>41</v>
      </c>
      <c r="Q5883">
        <f t="shared" si="86"/>
        <v>1</v>
      </c>
      <c r="R5883">
        <v>1</v>
      </c>
      <c r="S5883">
        <v>0</v>
      </c>
      <c r="T5883">
        <v>0</v>
      </c>
      <c r="U5883">
        <v>1</v>
      </c>
      <c r="V5883">
        <v>0</v>
      </c>
      <c r="W5883">
        <v>0</v>
      </c>
      <c r="X5883" s="21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f t="shared" si="87"/>
        <v>32</v>
      </c>
      <c r="AP5883" t="s">
        <v>1915</v>
      </c>
    </row>
    <row r="5884" spans="1:42">
      <c r="A5884" s="1">
        <v>43789</v>
      </c>
      <c r="B5884">
        <v>3</v>
      </c>
      <c r="C5884">
        <v>978</v>
      </c>
      <c r="D5884">
        <v>10376</v>
      </c>
      <c r="E5884" t="s">
        <v>37</v>
      </c>
      <c r="F5884" t="s">
        <v>520</v>
      </c>
      <c r="G5884">
        <v>2</v>
      </c>
      <c r="H5884">
        <f t="shared" si="88"/>
        <v>43</v>
      </c>
      <c r="I5884" s="25">
        <v>2600</v>
      </c>
      <c r="K5884" t="s">
        <v>414</v>
      </c>
      <c r="M5884" t="s">
        <v>52</v>
      </c>
      <c r="N5884" t="s">
        <v>44</v>
      </c>
      <c r="O5884">
        <f>60+60+55</f>
        <v>175</v>
      </c>
      <c r="Q5884">
        <f t="shared" si="86"/>
        <v>2</v>
      </c>
      <c r="R5884">
        <v>1</v>
      </c>
      <c r="S5884">
        <v>0</v>
      </c>
      <c r="T5884">
        <v>0</v>
      </c>
      <c r="U5884">
        <v>0</v>
      </c>
      <c r="V5884">
        <v>0</v>
      </c>
      <c r="W5884">
        <v>2</v>
      </c>
      <c r="X5884" s="21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f t="shared" si="87"/>
        <v>192</v>
      </c>
      <c r="AP5884" t="s">
        <v>1915</v>
      </c>
    </row>
    <row r="5885" spans="1:42">
      <c r="A5885" s="1">
        <v>43789</v>
      </c>
      <c r="B5885">
        <v>3</v>
      </c>
      <c r="C5885">
        <v>978</v>
      </c>
      <c r="D5885">
        <v>10376</v>
      </c>
      <c r="E5885" t="s">
        <v>37</v>
      </c>
      <c r="F5885" t="s">
        <v>520</v>
      </c>
      <c r="G5885">
        <v>2</v>
      </c>
      <c r="H5885">
        <f t="shared" si="88"/>
        <v>44</v>
      </c>
      <c r="I5885" s="25">
        <v>1400</v>
      </c>
      <c r="K5885" t="s">
        <v>148</v>
      </c>
      <c r="M5885" t="s">
        <v>52</v>
      </c>
      <c r="N5885" t="s">
        <v>44</v>
      </c>
      <c r="O5885">
        <f>60+13</f>
        <v>73</v>
      </c>
      <c r="Q5885">
        <f t="shared" si="86"/>
        <v>1</v>
      </c>
      <c r="R5885">
        <v>1</v>
      </c>
      <c r="S5885">
        <v>0</v>
      </c>
      <c r="T5885">
        <v>0</v>
      </c>
      <c r="U5885">
        <v>0</v>
      </c>
      <c r="V5885">
        <v>0</v>
      </c>
      <c r="W5885">
        <v>1</v>
      </c>
      <c r="X5885" s="21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f t="shared" si="87"/>
        <v>96</v>
      </c>
      <c r="AP5885" t="s">
        <v>1915</v>
      </c>
    </row>
    <row r="5886" spans="1:42">
      <c r="A5886" s="1">
        <v>43789</v>
      </c>
      <c r="B5886">
        <v>3</v>
      </c>
      <c r="C5886">
        <v>978</v>
      </c>
      <c r="D5886">
        <v>10376</v>
      </c>
      <c r="E5886" t="s">
        <v>37</v>
      </c>
      <c r="F5886" t="s">
        <v>520</v>
      </c>
      <c r="G5886">
        <v>2</v>
      </c>
      <c r="H5886">
        <f t="shared" si="88"/>
        <v>45</v>
      </c>
      <c r="I5886" s="25">
        <v>1400</v>
      </c>
      <c r="K5886" t="s">
        <v>148</v>
      </c>
      <c r="M5886" t="s">
        <v>52</v>
      </c>
      <c r="N5886" t="s">
        <v>44</v>
      </c>
      <c r="O5886">
        <f>60+60+1</f>
        <v>121</v>
      </c>
      <c r="Q5886">
        <f t="shared" si="86"/>
        <v>2</v>
      </c>
      <c r="R5886">
        <v>1</v>
      </c>
      <c r="S5886">
        <v>0</v>
      </c>
      <c r="T5886">
        <v>0</v>
      </c>
      <c r="U5886">
        <v>0</v>
      </c>
      <c r="V5886">
        <v>0</v>
      </c>
      <c r="W5886">
        <v>2</v>
      </c>
      <c r="X5886" s="21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f t="shared" si="87"/>
        <v>192</v>
      </c>
      <c r="AP5886" t="s">
        <v>1915</v>
      </c>
    </row>
    <row r="5887" spans="1:42">
      <c r="A5887" s="1">
        <v>43789</v>
      </c>
      <c r="B5887">
        <v>3</v>
      </c>
      <c r="C5887">
        <v>978</v>
      </c>
      <c r="D5887">
        <v>10376</v>
      </c>
      <c r="E5887" t="s">
        <v>37</v>
      </c>
      <c r="F5887" t="s">
        <v>520</v>
      </c>
      <c r="G5887">
        <v>2</v>
      </c>
      <c r="H5887">
        <f>H5886+1</f>
        <v>46</v>
      </c>
      <c r="I5887" s="25">
        <v>1400</v>
      </c>
      <c r="K5887" t="s">
        <v>148</v>
      </c>
      <c r="M5887" t="s">
        <v>52</v>
      </c>
      <c r="N5887" t="s">
        <v>44</v>
      </c>
      <c r="O5887">
        <f>60+25</f>
        <v>85</v>
      </c>
      <c r="Q5887">
        <f t="shared" si="86"/>
        <v>1</v>
      </c>
      <c r="R5887">
        <v>1</v>
      </c>
      <c r="S5887">
        <v>0</v>
      </c>
      <c r="T5887">
        <v>0</v>
      </c>
      <c r="U5887">
        <v>0</v>
      </c>
      <c r="V5887">
        <v>0</v>
      </c>
      <c r="W5887">
        <v>1</v>
      </c>
      <c r="X5887" s="21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f t="shared" si="87"/>
        <v>96</v>
      </c>
      <c r="AP5887" t="s">
        <v>1915</v>
      </c>
    </row>
    <row r="5888" spans="1:42">
      <c r="A5888" s="1">
        <v>43789</v>
      </c>
      <c r="B5888">
        <v>3</v>
      </c>
      <c r="C5888">
        <v>978</v>
      </c>
      <c r="D5888">
        <v>10376</v>
      </c>
      <c r="E5888" t="s">
        <v>37</v>
      </c>
      <c r="F5888" t="s">
        <v>520</v>
      </c>
      <c r="G5888">
        <v>2</v>
      </c>
      <c r="H5888">
        <f t="shared" si="88"/>
        <v>47</v>
      </c>
      <c r="I5888" s="25">
        <v>1400</v>
      </c>
      <c r="K5888" t="s">
        <v>213</v>
      </c>
      <c r="M5888" t="s">
        <v>52</v>
      </c>
      <c r="N5888" t="s">
        <v>44</v>
      </c>
      <c r="O5888">
        <f>60+48</f>
        <v>108</v>
      </c>
      <c r="Q5888">
        <f t="shared" ref="Q5888:Q5951" si="89">SUM(S5888:AE5888)</f>
        <v>1</v>
      </c>
      <c r="R5888">
        <v>1</v>
      </c>
      <c r="S5888">
        <v>0</v>
      </c>
      <c r="T5888">
        <v>0</v>
      </c>
      <c r="U5888">
        <v>0</v>
      </c>
      <c r="V5888">
        <v>0</v>
      </c>
      <c r="W5888">
        <v>1</v>
      </c>
      <c r="X5888" s="21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f t="shared" ref="AH5888:AH5951" si="90">(16*S5888)+(20*T5888)+(32*U5888)+(64*V5888)+(96*W5888)</f>
        <v>96</v>
      </c>
      <c r="AP5888" t="s">
        <v>1915</v>
      </c>
    </row>
    <row r="5889" spans="1:42">
      <c r="A5889" s="1">
        <v>43789</v>
      </c>
      <c r="B5889">
        <v>3</v>
      </c>
      <c r="C5889">
        <v>978</v>
      </c>
      <c r="D5889">
        <v>10376</v>
      </c>
      <c r="E5889" t="s">
        <v>37</v>
      </c>
      <c r="F5889" t="s">
        <v>520</v>
      </c>
      <c r="G5889">
        <v>2</v>
      </c>
      <c r="H5889">
        <f t="shared" si="88"/>
        <v>48</v>
      </c>
      <c r="I5889" s="25">
        <v>1300</v>
      </c>
      <c r="K5889" t="s">
        <v>213</v>
      </c>
      <c r="M5889" t="s">
        <v>52</v>
      </c>
      <c r="N5889" t="s">
        <v>40</v>
      </c>
      <c r="O5889">
        <f>60+13</f>
        <v>73</v>
      </c>
      <c r="Q5889">
        <f t="shared" si="89"/>
        <v>2</v>
      </c>
      <c r="R5889">
        <v>1</v>
      </c>
      <c r="S5889">
        <v>0</v>
      </c>
      <c r="T5889">
        <v>0</v>
      </c>
      <c r="U5889">
        <v>0</v>
      </c>
      <c r="V5889">
        <v>0</v>
      </c>
      <c r="W5889">
        <v>2</v>
      </c>
      <c r="X5889" s="21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f t="shared" si="90"/>
        <v>192</v>
      </c>
      <c r="AP5889" t="s">
        <v>1915</v>
      </c>
    </row>
    <row r="5890" spans="1:42">
      <c r="A5890" s="1">
        <v>43789</v>
      </c>
      <c r="B5890">
        <v>3</v>
      </c>
      <c r="C5890">
        <v>978</v>
      </c>
      <c r="D5890">
        <v>10376</v>
      </c>
      <c r="E5890" t="s">
        <v>37</v>
      </c>
      <c r="F5890" t="s">
        <v>520</v>
      </c>
      <c r="G5890">
        <v>2</v>
      </c>
      <c r="H5890">
        <f t="shared" si="88"/>
        <v>49</v>
      </c>
      <c r="I5890" s="25">
        <v>1300</v>
      </c>
      <c r="K5890" t="s">
        <v>213</v>
      </c>
      <c r="M5890" t="s">
        <v>52</v>
      </c>
      <c r="N5890" t="s">
        <v>44</v>
      </c>
      <c r="O5890">
        <f>60+60+59</f>
        <v>179</v>
      </c>
      <c r="Q5890">
        <f t="shared" si="89"/>
        <v>2</v>
      </c>
      <c r="R5890">
        <v>1</v>
      </c>
      <c r="S5890">
        <v>0</v>
      </c>
      <c r="T5890">
        <v>0</v>
      </c>
      <c r="U5890">
        <v>0</v>
      </c>
      <c r="V5890">
        <v>1</v>
      </c>
      <c r="W5890">
        <v>1</v>
      </c>
      <c r="X5890" s="21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f t="shared" si="90"/>
        <v>160</v>
      </c>
      <c r="AP5890" t="s">
        <v>1915</v>
      </c>
    </row>
    <row r="5891" spans="1:42">
      <c r="A5891" s="1">
        <v>43789</v>
      </c>
      <c r="B5891">
        <v>3</v>
      </c>
      <c r="C5891">
        <v>978</v>
      </c>
      <c r="D5891">
        <v>10376</v>
      </c>
      <c r="E5891" t="s">
        <v>37</v>
      </c>
      <c r="F5891" t="s">
        <v>520</v>
      </c>
      <c r="G5891">
        <v>2</v>
      </c>
      <c r="H5891">
        <f t="shared" si="88"/>
        <v>50</v>
      </c>
      <c r="I5891" s="25">
        <v>1300</v>
      </c>
      <c r="K5891" t="s">
        <v>213</v>
      </c>
      <c r="M5891" t="s">
        <v>52</v>
      </c>
      <c r="N5891" t="s">
        <v>40</v>
      </c>
      <c r="O5891">
        <v>54</v>
      </c>
      <c r="Q5891">
        <f t="shared" si="89"/>
        <v>2</v>
      </c>
      <c r="R5891">
        <v>1</v>
      </c>
      <c r="S5891">
        <v>0</v>
      </c>
      <c r="T5891">
        <v>0</v>
      </c>
      <c r="U5891">
        <v>1</v>
      </c>
      <c r="V5891">
        <v>1</v>
      </c>
      <c r="W5891">
        <v>0</v>
      </c>
      <c r="X5891" s="2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f t="shared" si="90"/>
        <v>96</v>
      </c>
      <c r="AP5891" t="s">
        <v>1915</v>
      </c>
    </row>
    <row r="5892" spans="1:42">
      <c r="A5892" s="1">
        <v>43789</v>
      </c>
      <c r="B5892">
        <v>3</v>
      </c>
      <c r="C5892">
        <v>978</v>
      </c>
      <c r="D5892">
        <v>10376</v>
      </c>
      <c r="E5892" t="s">
        <v>37</v>
      </c>
      <c r="F5892" t="s">
        <v>520</v>
      </c>
      <c r="G5892">
        <v>2</v>
      </c>
      <c r="H5892">
        <f t="shared" si="88"/>
        <v>51</v>
      </c>
      <c r="I5892" s="25">
        <v>1300</v>
      </c>
      <c r="K5892" t="s">
        <v>213</v>
      </c>
      <c r="M5892" t="s">
        <v>52</v>
      </c>
      <c r="N5892" t="s">
        <v>40</v>
      </c>
      <c r="O5892">
        <v>35</v>
      </c>
      <c r="Q5892">
        <f t="shared" si="89"/>
        <v>1</v>
      </c>
      <c r="R5892">
        <v>1</v>
      </c>
      <c r="S5892">
        <v>0</v>
      </c>
      <c r="T5892">
        <v>0</v>
      </c>
      <c r="U5892">
        <v>1</v>
      </c>
      <c r="V5892">
        <v>0</v>
      </c>
      <c r="W5892">
        <v>0</v>
      </c>
      <c r="X5892" s="21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f t="shared" si="90"/>
        <v>32</v>
      </c>
      <c r="AP5892" t="s">
        <v>1915</v>
      </c>
    </row>
    <row r="5893" spans="1:42">
      <c r="A5893" s="1">
        <v>43789</v>
      </c>
      <c r="B5893">
        <v>3</v>
      </c>
      <c r="C5893">
        <v>978</v>
      </c>
      <c r="D5893">
        <v>10376</v>
      </c>
      <c r="E5893" t="s">
        <v>37</v>
      </c>
      <c r="F5893" t="s">
        <v>520</v>
      </c>
      <c r="G5893">
        <v>2</v>
      </c>
      <c r="H5893">
        <f t="shared" si="88"/>
        <v>52</v>
      </c>
      <c r="I5893" s="25">
        <v>1300</v>
      </c>
      <c r="K5893" t="s">
        <v>213</v>
      </c>
      <c r="M5893" t="s">
        <v>52</v>
      </c>
      <c r="N5893" t="s">
        <v>44</v>
      </c>
      <c r="O5893">
        <f>60+60+60+17</f>
        <v>197</v>
      </c>
      <c r="Q5893">
        <f t="shared" si="89"/>
        <v>1</v>
      </c>
      <c r="R5893">
        <v>1</v>
      </c>
      <c r="S5893">
        <v>0</v>
      </c>
      <c r="T5893">
        <v>0</v>
      </c>
      <c r="U5893">
        <v>0</v>
      </c>
      <c r="V5893">
        <v>0</v>
      </c>
      <c r="W5893">
        <v>1</v>
      </c>
      <c r="X5893" s="21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f t="shared" si="90"/>
        <v>96</v>
      </c>
      <c r="AP5893" t="s">
        <v>1915</v>
      </c>
    </row>
    <row r="5894" spans="1:42">
      <c r="A5894" s="1">
        <v>43789</v>
      </c>
      <c r="B5894">
        <v>3</v>
      </c>
      <c r="C5894">
        <v>978</v>
      </c>
      <c r="D5894">
        <v>10376</v>
      </c>
      <c r="E5894" t="s">
        <v>37</v>
      </c>
      <c r="F5894" t="s">
        <v>520</v>
      </c>
      <c r="G5894">
        <v>2</v>
      </c>
      <c r="H5894">
        <f t="shared" si="88"/>
        <v>53</v>
      </c>
      <c r="I5894" s="25">
        <v>1300</v>
      </c>
      <c r="K5894" t="s">
        <v>213</v>
      </c>
      <c r="M5894" t="s">
        <v>52</v>
      </c>
      <c r="N5894" t="s">
        <v>44</v>
      </c>
      <c r="O5894">
        <f>60+37</f>
        <v>97</v>
      </c>
      <c r="Q5894">
        <f t="shared" si="89"/>
        <v>2</v>
      </c>
      <c r="R5894">
        <v>1</v>
      </c>
      <c r="S5894">
        <v>0</v>
      </c>
      <c r="T5894">
        <v>0</v>
      </c>
      <c r="U5894">
        <v>0</v>
      </c>
      <c r="V5894">
        <v>0</v>
      </c>
      <c r="W5894">
        <v>2</v>
      </c>
      <c r="X5894" s="21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f t="shared" si="90"/>
        <v>192</v>
      </c>
      <c r="AP5894" t="s">
        <v>1915</v>
      </c>
    </row>
    <row r="5895" spans="1:42">
      <c r="A5895" s="1">
        <v>43789</v>
      </c>
      <c r="B5895">
        <v>3</v>
      </c>
      <c r="C5895">
        <v>978</v>
      </c>
      <c r="D5895">
        <v>10376</v>
      </c>
      <c r="E5895" t="s">
        <v>37</v>
      </c>
      <c r="F5895" t="s">
        <v>520</v>
      </c>
      <c r="G5895">
        <v>2</v>
      </c>
      <c r="H5895">
        <f t="shared" si="88"/>
        <v>54</v>
      </c>
      <c r="I5895" s="25">
        <v>2400</v>
      </c>
      <c r="K5895" t="s">
        <v>420</v>
      </c>
      <c r="M5895" t="s">
        <v>52</v>
      </c>
      <c r="N5895" t="s">
        <v>40</v>
      </c>
      <c r="O5895">
        <v>49</v>
      </c>
      <c r="Q5895">
        <f t="shared" si="89"/>
        <v>1</v>
      </c>
      <c r="R5895">
        <v>1</v>
      </c>
      <c r="S5895">
        <v>0</v>
      </c>
      <c r="T5895">
        <v>0</v>
      </c>
      <c r="U5895">
        <v>0</v>
      </c>
      <c r="V5895">
        <v>1</v>
      </c>
      <c r="W5895">
        <v>0</v>
      </c>
      <c r="X5895" s="21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f t="shared" si="90"/>
        <v>64</v>
      </c>
      <c r="AP5895" t="s">
        <v>1915</v>
      </c>
    </row>
    <row r="5896" spans="1:42">
      <c r="A5896" s="1">
        <v>43789</v>
      </c>
      <c r="B5896">
        <v>3</v>
      </c>
      <c r="C5896">
        <v>978</v>
      </c>
      <c r="D5896">
        <v>10376</v>
      </c>
      <c r="E5896" t="s">
        <v>37</v>
      </c>
      <c r="F5896" t="s">
        <v>520</v>
      </c>
      <c r="G5896">
        <v>2</v>
      </c>
      <c r="H5896">
        <f t="shared" si="88"/>
        <v>55</v>
      </c>
      <c r="I5896" s="25">
        <v>2400</v>
      </c>
      <c r="K5896" t="s">
        <v>420</v>
      </c>
      <c r="M5896" t="s">
        <v>52</v>
      </c>
      <c r="N5896" t="s">
        <v>44</v>
      </c>
      <c r="O5896">
        <f>60+60+60+34</f>
        <v>214</v>
      </c>
      <c r="Q5896">
        <f t="shared" si="89"/>
        <v>2</v>
      </c>
      <c r="R5896">
        <v>1</v>
      </c>
      <c r="S5896">
        <v>0</v>
      </c>
      <c r="T5896">
        <v>0</v>
      </c>
      <c r="U5896">
        <v>0</v>
      </c>
      <c r="V5896">
        <v>0</v>
      </c>
      <c r="W5896">
        <v>2</v>
      </c>
      <c r="X5896" s="21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f t="shared" si="90"/>
        <v>192</v>
      </c>
      <c r="AP5896" t="s">
        <v>1915</v>
      </c>
    </row>
    <row r="5897" spans="1:42">
      <c r="A5897" s="1">
        <v>43789</v>
      </c>
      <c r="B5897">
        <v>3</v>
      </c>
      <c r="C5897">
        <v>978</v>
      </c>
      <c r="D5897">
        <v>10376</v>
      </c>
      <c r="E5897" t="s">
        <v>37</v>
      </c>
      <c r="F5897" t="s">
        <v>520</v>
      </c>
      <c r="G5897">
        <v>2</v>
      </c>
      <c r="H5897">
        <f t="shared" si="88"/>
        <v>56</v>
      </c>
      <c r="I5897" s="25">
        <v>1300</v>
      </c>
      <c r="K5897" t="s">
        <v>156</v>
      </c>
      <c r="M5897" t="s">
        <v>52</v>
      </c>
      <c r="N5897" t="s">
        <v>40</v>
      </c>
      <c r="O5897">
        <f>60+60+21</f>
        <v>141</v>
      </c>
      <c r="Q5897">
        <f t="shared" si="89"/>
        <v>1</v>
      </c>
      <c r="R5897">
        <v>1</v>
      </c>
      <c r="S5897">
        <v>0</v>
      </c>
      <c r="T5897">
        <v>0</v>
      </c>
      <c r="U5897">
        <v>0</v>
      </c>
      <c r="V5897">
        <v>0</v>
      </c>
      <c r="W5897">
        <v>1</v>
      </c>
      <c r="X5897" s="21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f t="shared" si="90"/>
        <v>96</v>
      </c>
      <c r="AP5897" t="s">
        <v>1915</v>
      </c>
    </row>
    <row r="5898" spans="1:42">
      <c r="A5898" s="1">
        <v>43789</v>
      </c>
      <c r="B5898">
        <v>3</v>
      </c>
      <c r="C5898">
        <v>978</v>
      </c>
      <c r="D5898">
        <v>10376</v>
      </c>
      <c r="E5898" t="s">
        <v>37</v>
      </c>
      <c r="F5898" t="s">
        <v>520</v>
      </c>
      <c r="G5898">
        <v>2</v>
      </c>
      <c r="H5898">
        <f t="shared" si="88"/>
        <v>57</v>
      </c>
      <c r="I5898" s="25">
        <v>1300</v>
      </c>
      <c r="K5898" t="s">
        <v>156</v>
      </c>
      <c r="M5898" t="s">
        <v>52</v>
      </c>
      <c r="N5898" t="s">
        <v>44</v>
      </c>
      <c r="O5898">
        <f>60+60+64</f>
        <v>184</v>
      </c>
      <c r="Q5898">
        <f t="shared" si="89"/>
        <v>1</v>
      </c>
      <c r="R5898">
        <v>1</v>
      </c>
      <c r="S5898">
        <v>0</v>
      </c>
      <c r="T5898">
        <v>0</v>
      </c>
      <c r="U5898">
        <v>0</v>
      </c>
      <c r="V5898">
        <v>0</v>
      </c>
      <c r="W5898">
        <v>1</v>
      </c>
      <c r="X5898" s="21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f t="shared" si="90"/>
        <v>96</v>
      </c>
      <c r="AP5898" t="s">
        <v>1915</v>
      </c>
    </row>
    <row r="5899" spans="1:42">
      <c r="A5899" s="1">
        <v>43789</v>
      </c>
      <c r="B5899">
        <v>3</v>
      </c>
      <c r="C5899">
        <v>978</v>
      </c>
      <c r="D5899">
        <v>10376</v>
      </c>
      <c r="E5899" t="s">
        <v>37</v>
      </c>
      <c r="F5899" t="s">
        <v>520</v>
      </c>
      <c r="G5899">
        <v>2</v>
      </c>
      <c r="H5899">
        <f t="shared" si="88"/>
        <v>58</v>
      </c>
      <c r="I5899" s="25">
        <v>1300</v>
      </c>
      <c r="K5899" t="s">
        <v>156</v>
      </c>
      <c r="M5899" t="s">
        <v>52</v>
      </c>
      <c r="N5899" t="s">
        <v>44</v>
      </c>
      <c r="O5899">
        <f>60+54</f>
        <v>114</v>
      </c>
      <c r="Q5899">
        <f t="shared" si="89"/>
        <v>1</v>
      </c>
      <c r="R5899">
        <v>1</v>
      </c>
      <c r="S5899">
        <v>0</v>
      </c>
      <c r="T5899">
        <v>0</v>
      </c>
      <c r="U5899">
        <v>0</v>
      </c>
      <c r="V5899">
        <v>0</v>
      </c>
      <c r="W5899">
        <v>1</v>
      </c>
      <c r="X5899" s="21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f t="shared" si="90"/>
        <v>96</v>
      </c>
      <c r="AP5899" t="s">
        <v>1915</v>
      </c>
    </row>
    <row r="5900" spans="1:42">
      <c r="A5900" s="1">
        <v>43789</v>
      </c>
      <c r="B5900">
        <v>3</v>
      </c>
      <c r="C5900">
        <v>978</v>
      </c>
      <c r="D5900">
        <v>10376</v>
      </c>
      <c r="E5900" t="s">
        <v>37</v>
      </c>
      <c r="F5900" t="s">
        <v>520</v>
      </c>
      <c r="G5900">
        <v>2</v>
      </c>
      <c r="H5900">
        <f t="shared" si="88"/>
        <v>59</v>
      </c>
      <c r="I5900" s="25">
        <v>1200</v>
      </c>
      <c r="K5900" t="s">
        <v>210</v>
      </c>
      <c r="M5900" t="s">
        <v>52</v>
      </c>
      <c r="N5900" t="s">
        <v>44</v>
      </c>
      <c r="O5900">
        <f>60+60+32</f>
        <v>152</v>
      </c>
      <c r="Q5900">
        <f t="shared" si="89"/>
        <v>1</v>
      </c>
      <c r="R5900">
        <v>1</v>
      </c>
      <c r="S5900">
        <v>0</v>
      </c>
      <c r="T5900">
        <v>0</v>
      </c>
      <c r="U5900">
        <v>0</v>
      </c>
      <c r="V5900">
        <v>0</v>
      </c>
      <c r="W5900">
        <v>1</v>
      </c>
      <c r="X5900" s="21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f t="shared" si="90"/>
        <v>96</v>
      </c>
      <c r="AP5900" t="s">
        <v>1915</v>
      </c>
    </row>
    <row r="5901" spans="1:42">
      <c r="A5901" s="1">
        <v>43789</v>
      </c>
      <c r="B5901">
        <v>3</v>
      </c>
      <c r="C5901">
        <v>978</v>
      </c>
      <c r="D5901">
        <v>10376</v>
      </c>
      <c r="E5901" t="s">
        <v>37</v>
      </c>
      <c r="F5901" t="s">
        <v>520</v>
      </c>
      <c r="G5901">
        <v>2</v>
      </c>
      <c r="H5901">
        <f t="shared" si="88"/>
        <v>60</v>
      </c>
      <c r="I5901" s="25">
        <v>1200</v>
      </c>
      <c r="K5901" t="s">
        <v>210</v>
      </c>
      <c r="M5901" t="s">
        <v>52</v>
      </c>
      <c r="N5901" t="s">
        <v>40</v>
      </c>
      <c r="O5901">
        <v>35</v>
      </c>
      <c r="Q5901">
        <f t="shared" si="89"/>
        <v>2</v>
      </c>
      <c r="R5901">
        <v>1</v>
      </c>
      <c r="S5901">
        <v>0</v>
      </c>
      <c r="T5901">
        <v>0</v>
      </c>
      <c r="U5901">
        <v>0</v>
      </c>
      <c r="V5901">
        <v>0</v>
      </c>
      <c r="W5901">
        <v>2</v>
      </c>
      <c r="X5901" s="2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f t="shared" si="90"/>
        <v>192</v>
      </c>
      <c r="AP5901" t="s">
        <v>1915</v>
      </c>
    </row>
    <row r="5902" spans="1:42">
      <c r="A5902" s="1">
        <v>43789</v>
      </c>
      <c r="B5902">
        <v>3</v>
      </c>
      <c r="C5902">
        <v>978</v>
      </c>
      <c r="D5902">
        <v>10376</v>
      </c>
      <c r="E5902" t="s">
        <v>37</v>
      </c>
      <c r="F5902" t="s">
        <v>520</v>
      </c>
      <c r="G5902">
        <v>2</v>
      </c>
      <c r="H5902">
        <f t="shared" si="88"/>
        <v>61</v>
      </c>
      <c r="I5902" s="25">
        <v>1200</v>
      </c>
      <c r="K5902" t="s">
        <v>210</v>
      </c>
      <c r="M5902" t="s">
        <v>52</v>
      </c>
      <c r="N5902" t="s">
        <v>40</v>
      </c>
      <c r="O5902">
        <v>58</v>
      </c>
      <c r="Q5902">
        <f t="shared" si="89"/>
        <v>2</v>
      </c>
      <c r="R5902">
        <v>1</v>
      </c>
      <c r="S5902">
        <v>0</v>
      </c>
      <c r="T5902">
        <v>0</v>
      </c>
      <c r="U5902">
        <v>0</v>
      </c>
      <c r="V5902">
        <v>0</v>
      </c>
      <c r="W5902">
        <v>2</v>
      </c>
      <c r="X5902" s="21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f t="shared" si="90"/>
        <v>192</v>
      </c>
      <c r="AP5902" t="s">
        <v>1915</v>
      </c>
    </row>
    <row r="5903" spans="1:42">
      <c r="A5903" s="1">
        <v>43789</v>
      </c>
      <c r="B5903">
        <v>3</v>
      </c>
      <c r="C5903">
        <v>978</v>
      </c>
      <c r="D5903">
        <v>10376</v>
      </c>
      <c r="E5903" t="s">
        <v>37</v>
      </c>
      <c r="F5903" t="s">
        <v>520</v>
      </c>
      <c r="G5903">
        <v>2</v>
      </c>
      <c r="H5903">
        <f t="shared" ref="H5903:H5966" si="91">H5902+1</f>
        <v>62</v>
      </c>
      <c r="I5903" s="25">
        <v>1200</v>
      </c>
      <c r="K5903" t="s">
        <v>210</v>
      </c>
      <c r="M5903" t="s">
        <v>52</v>
      </c>
      <c r="N5903" t="s">
        <v>40</v>
      </c>
      <c r="O5903">
        <f>60+11</f>
        <v>71</v>
      </c>
      <c r="Q5903">
        <f t="shared" si="89"/>
        <v>2</v>
      </c>
      <c r="R5903">
        <v>1</v>
      </c>
      <c r="S5903">
        <v>0</v>
      </c>
      <c r="T5903">
        <v>0</v>
      </c>
      <c r="U5903">
        <v>0</v>
      </c>
      <c r="V5903">
        <v>0</v>
      </c>
      <c r="W5903">
        <v>2</v>
      </c>
      <c r="X5903" s="21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f t="shared" si="90"/>
        <v>192</v>
      </c>
      <c r="AP5903" t="s">
        <v>1915</v>
      </c>
    </row>
    <row r="5904" spans="1:42">
      <c r="A5904" s="1">
        <v>43789</v>
      </c>
      <c r="B5904">
        <v>3</v>
      </c>
      <c r="C5904">
        <v>978</v>
      </c>
      <c r="D5904">
        <v>10376</v>
      </c>
      <c r="E5904" t="s">
        <v>37</v>
      </c>
      <c r="F5904" t="s">
        <v>520</v>
      </c>
      <c r="G5904">
        <v>2</v>
      </c>
      <c r="H5904">
        <f>H5903+1</f>
        <v>63</v>
      </c>
      <c r="I5904" s="25">
        <v>1200</v>
      </c>
      <c r="K5904" t="s">
        <v>210</v>
      </c>
      <c r="M5904" t="s">
        <v>52</v>
      </c>
      <c r="N5904" t="s">
        <v>40</v>
      </c>
      <c r="O5904">
        <f>60+21</f>
        <v>81</v>
      </c>
      <c r="Q5904">
        <f t="shared" si="89"/>
        <v>2</v>
      </c>
      <c r="R5904">
        <v>1</v>
      </c>
      <c r="S5904">
        <v>0</v>
      </c>
      <c r="T5904">
        <v>0</v>
      </c>
      <c r="U5904">
        <v>0</v>
      </c>
      <c r="V5904">
        <v>0</v>
      </c>
      <c r="W5904">
        <v>2</v>
      </c>
      <c r="X5904" s="21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f t="shared" si="90"/>
        <v>192</v>
      </c>
      <c r="AP5904" t="s">
        <v>1915</v>
      </c>
    </row>
    <row r="5905" spans="1:42">
      <c r="A5905" s="1">
        <v>43789</v>
      </c>
      <c r="B5905">
        <v>3</v>
      </c>
      <c r="C5905">
        <v>978</v>
      </c>
      <c r="D5905">
        <v>10376</v>
      </c>
      <c r="E5905" t="s">
        <v>37</v>
      </c>
      <c r="F5905" t="s">
        <v>520</v>
      </c>
      <c r="G5905">
        <v>2</v>
      </c>
      <c r="H5905">
        <f t="shared" si="91"/>
        <v>64</v>
      </c>
      <c r="I5905" s="25">
        <v>2300</v>
      </c>
      <c r="K5905" t="s">
        <v>414</v>
      </c>
      <c r="M5905" t="s">
        <v>52</v>
      </c>
      <c r="N5905" t="s">
        <v>40</v>
      </c>
      <c r="O5905">
        <f>60+60+40</f>
        <v>160</v>
      </c>
      <c r="Q5905">
        <f t="shared" si="89"/>
        <v>3</v>
      </c>
      <c r="R5905">
        <v>1</v>
      </c>
      <c r="S5905">
        <v>0</v>
      </c>
      <c r="T5905">
        <v>0</v>
      </c>
      <c r="U5905">
        <v>0</v>
      </c>
      <c r="V5905">
        <v>2</v>
      </c>
      <c r="W5905">
        <v>1</v>
      </c>
      <c r="X5905" s="21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f t="shared" si="90"/>
        <v>224</v>
      </c>
      <c r="AL5905" t="s">
        <v>1935</v>
      </c>
      <c r="AP5905" t="s">
        <v>1915</v>
      </c>
    </row>
    <row r="5906" spans="1:42">
      <c r="A5906" s="1">
        <v>43789</v>
      </c>
      <c r="B5906">
        <v>3</v>
      </c>
      <c r="C5906">
        <v>978</v>
      </c>
      <c r="D5906">
        <v>10376</v>
      </c>
      <c r="E5906" t="s">
        <v>37</v>
      </c>
      <c r="F5906" t="s">
        <v>520</v>
      </c>
      <c r="G5906">
        <v>2</v>
      </c>
      <c r="H5906">
        <f t="shared" si="91"/>
        <v>65</v>
      </c>
      <c r="I5906" s="25">
        <v>2300</v>
      </c>
      <c r="K5906" t="s">
        <v>414</v>
      </c>
      <c r="M5906" t="s">
        <v>52</v>
      </c>
      <c r="N5906" t="s">
        <v>40</v>
      </c>
      <c r="O5906">
        <f>60+14</f>
        <v>74</v>
      </c>
      <c r="Q5906">
        <f t="shared" si="89"/>
        <v>2</v>
      </c>
      <c r="R5906">
        <v>1</v>
      </c>
      <c r="S5906">
        <v>0</v>
      </c>
      <c r="T5906">
        <v>0</v>
      </c>
      <c r="U5906">
        <v>0</v>
      </c>
      <c r="V5906">
        <v>0</v>
      </c>
      <c r="W5906">
        <v>2</v>
      </c>
      <c r="X5906" s="21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f t="shared" si="90"/>
        <v>192</v>
      </c>
      <c r="AP5906" t="s">
        <v>1915</v>
      </c>
    </row>
    <row r="5907" spans="1:42">
      <c r="A5907" s="1">
        <v>43789</v>
      </c>
      <c r="B5907">
        <v>3</v>
      </c>
      <c r="C5907">
        <v>978</v>
      </c>
      <c r="D5907">
        <v>10376</v>
      </c>
      <c r="E5907" t="s">
        <v>37</v>
      </c>
      <c r="F5907" t="s">
        <v>520</v>
      </c>
      <c r="G5907">
        <v>2</v>
      </c>
      <c r="H5907">
        <f t="shared" si="91"/>
        <v>66</v>
      </c>
      <c r="I5907" s="25">
        <v>2300</v>
      </c>
      <c r="K5907" t="s">
        <v>414</v>
      </c>
      <c r="M5907" t="s">
        <v>52</v>
      </c>
      <c r="N5907" t="s">
        <v>40</v>
      </c>
      <c r="O5907">
        <f>60+10</f>
        <v>70</v>
      </c>
      <c r="Q5907">
        <f t="shared" si="89"/>
        <v>2</v>
      </c>
      <c r="R5907">
        <v>1</v>
      </c>
      <c r="S5907">
        <v>0</v>
      </c>
      <c r="T5907">
        <v>0</v>
      </c>
      <c r="U5907">
        <v>0</v>
      </c>
      <c r="V5907">
        <v>2</v>
      </c>
      <c r="W5907">
        <v>0</v>
      </c>
      <c r="X5907" s="21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f t="shared" si="90"/>
        <v>128</v>
      </c>
      <c r="AP5907" t="s">
        <v>1915</v>
      </c>
    </row>
    <row r="5908" spans="1:42">
      <c r="A5908" s="1">
        <v>43789</v>
      </c>
      <c r="B5908">
        <v>3</v>
      </c>
      <c r="C5908">
        <v>978</v>
      </c>
      <c r="D5908">
        <v>10376</v>
      </c>
      <c r="E5908" t="s">
        <v>37</v>
      </c>
      <c r="F5908" t="s">
        <v>520</v>
      </c>
      <c r="G5908">
        <v>2</v>
      </c>
      <c r="H5908">
        <f t="shared" si="91"/>
        <v>67</v>
      </c>
      <c r="I5908" s="25">
        <v>2300</v>
      </c>
      <c r="K5908" t="s">
        <v>414</v>
      </c>
      <c r="M5908" t="s">
        <v>52</v>
      </c>
      <c r="N5908" t="s">
        <v>40</v>
      </c>
      <c r="O5908">
        <v>40</v>
      </c>
      <c r="Q5908">
        <f t="shared" si="89"/>
        <v>1</v>
      </c>
      <c r="R5908">
        <v>1</v>
      </c>
      <c r="S5908">
        <v>0</v>
      </c>
      <c r="T5908">
        <v>0</v>
      </c>
      <c r="U5908">
        <v>0</v>
      </c>
      <c r="V5908">
        <v>0</v>
      </c>
      <c r="W5908">
        <v>1</v>
      </c>
      <c r="X5908" s="21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f t="shared" si="90"/>
        <v>96</v>
      </c>
      <c r="AP5908" t="s">
        <v>1915</v>
      </c>
    </row>
    <row r="5909" spans="1:42">
      <c r="A5909" s="1">
        <v>43789</v>
      </c>
      <c r="B5909">
        <v>3</v>
      </c>
      <c r="C5909">
        <v>978</v>
      </c>
      <c r="D5909">
        <v>10376</v>
      </c>
      <c r="E5909" t="s">
        <v>37</v>
      </c>
      <c r="F5909" t="s">
        <v>520</v>
      </c>
      <c r="G5909">
        <v>2</v>
      </c>
      <c r="H5909">
        <f t="shared" si="91"/>
        <v>68</v>
      </c>
      <c r="I5909" s="25">
        <v>2400</v>
      </c>
      <c r="K5909" t="s">
        <v>414</v>
      </c>
      <c r="M5909" t="s">
        <v>52</v>
      </c>
      <c r="N5909" t="s">
        <v>40</v>
      </c>
      <c r="O5909">
        <v>30</v>
      </c>
      <c r="Q5909">
        <f t="shared" si="89"/>
        <v>1</v>
      </c>
      <c r="R5909">
        <v>1</v>
      </c>
      <c r="S5909">
        <v>0</v>
      </c>
      <c r="T5909">
        <v>0</v>
      </c>
      <c r="U5909">
        <v>1</v>
      </c>
      <c r="V5909">
        <v>0</v>
      </c>
      <c r="W5909">
        <v>0</v>
      </c>
      <c r="X5909" s="21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f t="shared" si="90"/>
        <v>32</v>
      </c>
      <c r="AP5909" t="s">
        <v>1915</v>
      </c>
    </row>
    <row r="5910" spans="1:42">
      <c r="A5910" s="1">
        <v>43789</v>
      </c>
      <c r="B5910">
        <v>3</v>
      </c>
      <c r="C5910">
        <v>978</v>
      </c>
      <c r="D5910">
        <v>10376</v>
      </c>
      <c r="E5910" t="s">
        <v>37</v>
      </c>
      <c r="F5910" t="s">
        <v>520</v>
      </c>
      <c r="G5910">
        <v>2</v>
      </c>
      <c r="H5910">
        <f t="shared" si="91"/>
        <v>69</v>
      </c>
      <c r="I5910" s="25">
        <v>2500</v>
      </c>
      <c r="K5910" t="s">
        <v>414</v>
      </c>
      <c r="M5910" t="s">
        <v>52</v>
      </c>
      <c r="N5910" t="s">
        <v>44</v>
      </c>
      <c r="O5910">
        <f>60+60+30</f>
        <v>150</v>
      </c>
      <c r="Q5910">
        <f t="shared" si="89"/>
        <v>1</v>
      </c>
      <c r="R5910">
        <v>1</v>
      </c>
      <c r="S5910">
        <v>0</v>
      </c>
      <c r="T5910">
        <v>0</v>
      </c>
      <c r="U5910">
        <v>0</v>
      </c>
      <c r="V5910">
        <v>0</v>
      </c>
      <c r="W5910">
        <v>1</v>
      </c>
      <c r="X5910" s="21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f t="shared" si="90"/>
        <v>96</v>
      </c>
      <c r="AP5910" t="s">
        <v>1915</v>
      </c>
    </row>
    <row r="5911" spans="1:42">
      <c r="A5911" s="1">
        <v>43789</v>
      </c>
      <c r="B5911">
        <v>3</v>
      </c>
      <c r="C5911">
        <v>978</v>
      </c>
      <c r="D5911">
        <v>10376</v>
      </c>
      <c r="E5911" t="s">
        <v>37</v>
      </c>
      <c r="F5911" t="s">
        <v>520</v>
      </c>
      <c r="G5911">
        <v>2</v>
      </c>
      <c r="H5911">
        <f t="shared" si="91"/>
        <v>70</v>
      </c>
      <c r="I5911" s="25">
        <v>2539</v>
      </c>
      <c r="K5911" t="s">
        <v>414</v>
      </c>
      <c r="L5911" t="s">
        <v>141</v>
      </c>
      <c r="M5911" t="s">
        <v>52</v>
      </c>
      <c r="N5911" t="s">
        <v>44</v>
      </c>
      <c r="O5911">
        <f>60+25</f>
        <v>85</v>
      </c>
      <c r="Q5911">
        <f t="shared" si="89"/>
        <v>1</v>
      </c>
      <c r="R5911">
        <v>1</v>
      </c>
      <c r="S5911">
        <v>0</v>
      </c>
      <c r="T5911">
        <v>0</v>
      </c>
      <c r="U5911">
        <v>0</v>
      </c>
      <c r="V5911">
        <v>0</v>
      </c>
      <c r="W5911">
        <v>1</v>
      </c>
      <c r="X5911" s="2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f t="shared" si="90"/>
        <v>96</v>
      </c>
      <c r="AP5911" t="s">
        <v>1915</v>
      </c>
    </row>
    <row r="5912" spans="1:42">
      <c r="A5912" s="1">
        <v>43789</v>
      </c>
      <c r="B5912">
        <v>3</v>
      </c>
      <c r="C5912">
        <v>978</v>
      </c>
      <c r="D5912">
        <v>10376</v>
      </c>
      <c r="E5912" t="s">
        <v>37</v>
      </c>
      <c r="F5912" t="s">
        <v>520</v>
      </c>
      <c r="G5912">
        <v>2</v>
      </c>
      <c r="H5912">
        <f t="shared" si="91"/>
        <v>71</v>
      </c>
      <c r="I5912" s="25">
        <v>2455</v>
      </c>
      <c r="K5912" t="s">
        <v>414</v>
      </c>
      <c r="L5912" t="s">
        <v>141</v>
      </c>
      <c r="M5912" t="s">
        <v>52</v>
      </c>
      <c r="N5912" t="s">
        <v>44</v>
      </c>
      <c r="O5912">
        <f>60+60+60+60+60+17</f>
        <v>317</v>
      </c>
      <c r="Q5912">
        <f t="shared" si="89"/>
        <v>2</v>
      </c>
      <c r="R5912">
        <v>1</v>
      </c>
      <c r="S5912">
        <v>0</v>
      </c>
      <c r="T5912">
        <v>0</v>
      </c>
      <c r="U5912">
        <v>0</v>
      </c>
      <c r="V5912">
        <v>0</v>
      </c>
      <c r="W5912">
        <v>2</v>
      </c>
      <c r="X5912" s="21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f t="shared" si="90"/>
        <v>192</v>
      </c>
      <c r="AP5912" t="s">
        <v>1915</v>
      </c>
    </row>
    <row r="5913" spans="1:42">
      <c r="A5913" s="1">
        <v>43789</v>
      </c>
      <c r="B5913">
        <v>3</v>
      </c>
      <c r="C5913">
        <v>978</v>
      </c>
      <c r="D5913">
        <v>10376</v>
      </c>
      <c r="E5913" t="s">
        <v>37</v>
      </c>
      <c r="F5913" t="s">
        <v>520</v>
      </c>
      <c r="G5913">
        <v>2</v>
      </c>
      <c r="H5913">
        <f t="shared" si="91"/>
        <v>72</v>
      </c>
      <c r="I5913" s="25">
        <v>2400</v>
      </c>
      <c r="K5913" t="s">
        <v>414</v>
      </c>
      <c r="M5913" t="s">
        <v>52</v>
      </c>
      <c r="N5913" t="s">
        <v>44</v>
      </c>
      <c r="O5913">
        <f>60+43</f>
        <v>103</v>
      </c>
      <c r="Q5913">
        <f t="shared" si="89"/>
        <v>1</v>
      </c>
      <c r="R5913">
        <v>1</v>
      </c>
      <c r="S5913">
        <v>0</v>
      </c>
      <c r="T5913">
        <v>0</v>
      </c>
      <c r="U5913">
        <v>0</v>
      </c>
      <c r="V5913">
        <v>0</v>
      </c>
      <c r="W5913">
        <v>1</v>
      </c>
      <c r="X5913" s="21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f t="shared" si="90"/>
        <v>96</v>
      </c>
      <c r="AP5913" t="s">
        <v>1915</v>
      </c>
    </row>
    <row r="5914" spans="1:42">
      <c r="A5914" s="1">
        <v>43789</v>
      </c>
      <c r="B5914">
        <v>3</v>
      </c>
      <c r="C5914">
        <v>978</v>
      </c>
      <c r="D5914">
        <v>10376</v>
      </c>
      <c r="E5914" t="s">
        <v>37</v>
      </c>
      <c r="F5914" t="s">
        <v>520</v>
      </c>
      <c r="G5914">
        <v>2</v>
      </c>
      <c r="H5914">
        <f t="shared" si="91"/>
        <v>73</v>
      </c>
      <c r="I5914" s="25">
        <v>2400</v>
      </c>
      <c r="K5914" t="s">
        <v>414</v>
      </c>
      <c r="M5914" t="s">
        <v>52</v>
      </c>
      <c r="N5914" t="s">
        <v>40</v>
      </c>
      <c r="O5914">
        <v>30</v>
      </c>
      <c r="Q5914">
        <f t="shared" si="89"/>
        <v>1</v>
      </c>
      <c r="R5914">
        <v>1</v>
      </c>
      <c r="S5914">
        <v>0</v>
      </c>
      <c r="T5914">
        <v>0</v>
      </c>
      <c r="U5914">
        <v>0</v>
      </c>
      <c r="V5914">
        <v>1</v>
      </c>
      <c r="W5914">
        <v>0</v>
      </c>
      <c r="X5914" s="21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f t="shared" si="90"/>
        <v>64</v>
      </c>
      <c r="AP5914" t="s">
        <v>1915</v>
      </c>
    </row>
    <row r="5915" spans="1:42">
      <c r="A5915" s="1">
        <v>43789</v>
      </c>
      <c r="B5915">
        <v>3</v>
      </c>
      <c r="C5915">
        <v>978</v>
      </c>
      <c r="D5915">
        <v>10376</v>
      </c>
      <c r="E5915" t="s">
        <v>37</v>
      </c>
      <c r="F5915" t="s">
        <v>520</v>
      </c>
      <c r="G5915">
        <v>2</v>
      </c>
      <c r="H5915">
        <f t="shared" si="91"/>
        <v>74</v>
      </c>
      <c r="I5915" s="25">
        <v>2300</v>
      </c>
      <c r="K5915" t="s">
        <v>414</v>
      </c>
      <c r="M5915" t="s">
        <v>52</v>
      </c>
      <c r="N5915" t="s">
        <v>40</v>
      </c>
      <c r="O5915">
        <f>60+24</f>
        <v>84</v>
      </c>
      <c r="Q5915">
        <f t="shared" si="89"/>
        <v>1</v>
      </c>
      <c r="R5915">
        <v>1</v>
      </c>
      <c r="S5915">
        <v>0</v>
      </c>
      <c r="T5915">
        <v>0</v>
      </c>
      <c r="U5915">
        <v>0</v>
      </c>
      <c r="V5915">
        <v>0</v>
      </c>
      <c r="W5915">
        <v>1</v>
      </c>
      <c r="X5915" s="21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6</v>
      </c>
      <c r="AG5915">
        <v>0</v>
      </c>
      <c r="AH5915">
        <f t="shared" si="90"/>
        <v>96</v>
      </c>
      <c r="AP5915" t="s">
        <v>1915</v>
      </c>
    </row>
    <row r="5916" spans="1:42">
      <c r="A5916" s="1">
        <v>43789</v>
      </c>
      <c r="B5916">
        <v>3</v>
      </c>
      <c r="C5916">
        <v>978</v>
      </c>
      <c r="D5916">
        <v>10376</v>
      </c>
      <c r="E5916" t="s">
        <v>37</v>
      </c>
      <c r="F5916" t="s">
        <v>520</v>
      </c>
      <c r="G5916">
        <v>2</v>
      </c>
      <c r="H5916">
        <f t="shared" si="91"/>
        <v>75</v>
      </c>
      <c r="I5916" s="25">
        <v>1100</v>
      </c>
      <c r="K5916" t="s">
        <v>210</v>
      </c>
      <c r="M5916" t="s">
        <v>52</v>
      </c>
      <c r="N5916" t="s">
        <v>44</v>
      </c>
      <c r="O5916">
        <f>60+32</f>
        <v>92</v>
      </c>
      <c r="Q5916">
        <f t="shared" si="89"/>
        <v>1</v>
      </c>
      <c r="R5916">
        <v>1</v>
      </c>
      <c r="S5916">
        <v>0</v>
      </c>
      <c r="T5916">
        <v>0</v>
      </c>
      <c r="U5916">
        <v>0</v>
      </c>
      <c r="V5916">
        <v>0</v>
      </c>
      <c r="W5916">
        <v>1</v>
      </c>
      <c r="X5916" s="21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f t="shared" si="90"/>
        <v>96</v>
      </c>
      <c r="AP5916" t="s">
        <v>1915</v>
      </c>
    </row>
    <row r="5917" spans="1:42">
      <c r="A5917" s="1">
        <v>43789</v>
      </c>
      <c r="B5917">
        <v>3</v>
      </c>
      <c r="C5917">
        <v>978</v>
      </c>
      <c r="D5917">
        <v>10376</v>
      </c>
      <c r="E5917" t="s">
        <v>37</v>
      </c>
      <c r="F5917" t="s">
        <v>520</v>
      </c>
      <c r="G5917">
        <v>2</v>
      </c>
      <c r="H5917">
        <f t="shared" si="91"/>
        <v>76</v>
      </c>
      <c r="I5917" s="25">
        <v>1100</v>
      </c>
      <c r="K5917" t="s">
        <v>210</v>
      </c>
      <c r="M5917" t="s">
        <v>52</v>
      </c>
      <c r="N5917" t="s">
        <v>40</v>
      </c>
      <c r="O5917">
        <f>60+3</f>
        <v>63</v>
      </c>
      <c r="Q5917">
        <f t="shared" si="89"/>
        <v>1</v>
      </c>
      <c r="R5917">
        <v>1</v>
      </c>
      <c r="S5917">
        <v>0</v>
      </c>
      <c r="T5917">
        <v>0</v>
      </c>
      <c r="U5917">
        <v>0</v>
      </c>
      <c r="V5917">
        <v>0</v>
      </c>
      <c r="W5917">
        <v>1</v>
      </c>
      <c r="X5917" s="21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f t="shared" si="90"/>
        <v>96</v>
      </c>
      <c r="AP5917" t="s">
        <v>1915</v>
      </c>
    </row>
    <row r="5918" spans="1:42">
      <c r="A5918" s="1">
        <v>43789</v>
      </c>
      <c r="B5918">
        <v>3</v>
      </c>
      <c r="C5918">
        <v>978</v>
      </c>
      <c r="D5918">
        <v>10376</v>
      </c>
      <c r="E5918" t="s">
        <v>37</v>
      </c>
      <c r="F5918" t="s">
        <v>520</v>
      </c>
      <c r="G5918">
        <v>2</v>
      </c>
      <c r="H5918">
        <f t="shared" si="91"/>
        <v>77</v>
      </c>
      <c r="I5918" s="25">
        <v>1100</v>
      </c>
      <c r="K5918" t="s">
        <v>210</v>
      </c>
      <c r="M5918" t="s">
        <v>52</v>
      </c>
      <c r="N5918" t="s">
        <v>40</v>
      </c>
      <c r="O5918">
        <f>60+3</f>
        <v>63</v>
      </c>
      <c r="Q5918">
        <f t="shared" si="89"/>
        <v>2</v>
      </c>
      <c r="R5918">
        <v>1</v>
      </c>
      <c r="S5918">
        <v>0</v>
      </c>
      <c r="T5918">
        <v>0</v>
      </c>
      <c r="U5918">
        <v>0</v>
      </c>
      <c r="V5918">
        <v>0</v>
      </c>
      <c r="W5918">
        <v>2</v>
      </c>
      <c r="X5918" s="21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f t="shared" si="90"/>
        <v>192</v>
      </c>
      <c r="AP5918" t="s">
        <v>1915</v>
      </c>
    </row>
    <row r="5919" spans="1:42">
      <c r="A5919" s="1">
        <v>43789</v>
      </c>
      <c r="B5919">
        <v>3</v>
      </c>
      <c r="C5919">
        <v>978</v>
      </c>
      <c r="D5919">
        <v>10376</v>
      </c>
      <c r="E5919" t="s">
        <v>37</v>
      </c>
      <c r="F5919" t="s">
        <v>520</v>
      </c>
      <c r="G5919">
        <v>2</v>
      </c>
      <c r="H5919">
        <f t="shared" si="91"/>
        <v>78</v>
      </c>
      <c r="I5919" s="25">
        <v>1200</v>
      </c>
      <c r="K5919" t="s">
        <v>210</v>
      </c>
      <c r="M5919" t="s">
        <v>52</v>
      </c>
      <c r="N5919" t="s">
        <v>40</v>
      </c>
      <c r="O5919">
        <f>60+19</f>
        <v>79</v>
      </c>
      <c r="Q5919">
        <f t="shared" si="89"/>
        <v>1</v>
      </c>
      <c r="R5919">
        <v>1</v>
      </c>
      <c r="S5919">
        <v>0</v>
      </c>
      <c r="T5919">
        <v>0</v>
      </c>
      <c r="U5919">
        <v>0</v>
      </c>
      <c r="V5919">
        <v>0</v>
      </c>
      <c r="W5919">
        <v>1</v>
      </c>
      <c r="X5919" s="21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f t="shared" si="90"/>
        <v>96</v>
      </c>
      <c r="AP5919" t="s">
        <v>1915</v>
      </c>
    </row>
    <row r="5920" spans="1:42">
      <c r="A5920" s="1">
        <v>43789</v>
      </c>
      <c r="B5920">
        <v>3</v>
      </c>
      <c r="C5920">
        <v>978</v>
      </c>
      <c r="D5920">
        <v>10376</v>
      </c>
      <c r="E5920" t="s">
        <v>37</v>
      </c>
      <c r="F5920" t="s">
        <v>520</v>
      </c>
      <c r="G5920">
        <v>2</v>
      </c>
      <c r="H5920">
        <f t="shared" si="91"/>
        <v>79</v>
      </c>
      <c r="I5920" s="25">
        <v>1200</v>
      </c>
      <c r="K5920" t="s">
        <v>210</v>
      </c>
      <c r="M5920" t="s">
        <v>52</v>
      </c>
      <c r="N5920" t="s">
        <v>40</v>
      </c>
      <c r="O5920">
        <v>48</v>
      </c>
      <c r="Q5920">
        <f t="shared" si="89"/>
        <v>1</v>
      </c>
      <c r="R5920">
        <v>1</v>
      </c>
      <c r="S5920">
        <v>0</v>
      </c>
      <c r="T5920">
        <v>0</v>
      </c>
      <c r="U5920">
        <v>0</v>
      </c>
      <c r="V5920">
        <v>1</v>
      </c>
      <c r="W5920">
        <v>0</v>
      </c>
      <c r="X5920" s="21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f t="shared" si="90"/>
        <v>64</v>
      </c>
      <c r="AP5920" t="s">
        <v>1915</v>
      </c>
    </row>
    <row r="5921" spans="1:42">
      <c r="A5921" s="1">
        <v>43789</v>
      </c>
      <c r="B5921">
        <v>3</v>
      </c>
      <c r="C5921">
        <v>978</v>
      </c>
      <c r="D5921">
        <v>10376</v>
      </c>
      <c r="E5921" t="s">
        <v>37</v>
      </c>
      <c r="F5921" t="s">
        <v>520</v>
      </c>
      <c r="G5921">
        <v>2</v>
      </c>
      <c r="H5921">
        <f>H5920+1</f>
        <v>80</v>
      </c>
      <c r="I5921" s="25">
        <v>1200</v>
      </c>
      <c r="K5921" t="s">
        <v>210</v>
      </c>
      <c r="M5921" t="s">
        <v>52</v>
      </c>
      <c r="N5921" t="s">
        <v>44</v>
      </c>
      <c r="O5921">
        <f>60+60+60+25</f>
        <v>205</v>
      </c>
      <c r="Q5921">
        <f t="shared" si="89"/>
        <v>2</v>
      </c>
      <c r="R5921">
        <v>1</v>
      </c>
      <c r="S5921">
        <v>0</v>
      </c>
      <c r="T5921">
        <v>0</v>
      </c>
      <c r="U5921">
        <v>0</v>
      </c>
      <c r="V5921">
        <v>0</v>
      </c>
      <c r="W5921">
        <v>2</v>
      </c>
      <c r="X5921" s="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f t="shared" si="90"/>
        <v>192</v>
      </c>
      <c r="AP5921" t="s">
        <v>1915</v>
      </c>
    </row>
    <row r="5922" spans="1:42">
      <c r="A5922" s="1">
        <v>43789</v>
      </c>
      <c r="B5922">
        <v>3</v>
      </c>
      <c r="C5922">
        <v>978</v>
      </c>
      <c r="D5922">
        <v>10376</v>
      </c>
      <c r="E5922" t="s">
        <v>37</v>
      </c>
      <c r="F5922" t="s">
        <v>520</v>
      </c>
      <c r="G5922">
        <v>2</v>
      </c>
      <c r="H5922">
        <f t="shared" si="91"/>
        <v>81</v>
      </c>
      <c r="I5922" s="25">
        <v>1200</v>
      </c>
      <c r="K5922" t="s">
        <v>210</v>
      </c>
      <c r="M5922" t="s">
        <v>52</v>
      </c>
      <c r="N5922" t="s">
        <v>44</v>
      </c>
      <c r="O5922">
        <f>60+60+15</f>
        <v>135</v>
      </c>
      <c r="Q5922">
        <f t="shared" si="89"/>
        <v>1</v>
      </c>
      <c r="R5922">
        <v>1</v>
      </c>
      <c r="S5922">
        <v>0</v>
      </c>
      <c r="T5922">
        <v>0</v>
      </c>
      <c r="U5922">
        <v>0</v>
      </c>
      <c r="V5922">
        <v>0</v>
      </c>
      <c r="W5922">
        <v>1</v>
      </c>
      <c r="X5922" s="21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f t="shared" si="90"/>
        <v>96</v>
      </c>
      <c r="AP5922" t="s">
        <v>1915</v>
      </c>
    </row>
    <row r="5923" spans="1:42">
      <c r="A5923" s="1">
        <v>43789</v>
      </c>
      <c r="B5923">
        <v>3</v>
      </c>
      <c r="C5923">
        <v>978</v>
      </c>
      <c r="D5923">
        <v>10376</v>
      </c>
      <c r="E5923" t="s">
        <v>37</v>
      </c>
      <c r="F5923" t="s">
        <v>520</v>
      </c>
      <c r="G5923">
        <v>2</v>
      </c>
      <c r="H5923">
        <f t="shared" si="91"/>
        <v>82</v>
      </c>
      <c r="I5923" s="25">
        <v>2900</v>
      </c>
      <c r="K5923" t="s">
        <v>415</v>
      </c>
      <c r="M5923" t="s">
        <v>52</v>
      </c>
      <c r="N5923" t="s">
        <v>44</v>
      </c>
      <c r="O5923">
        <f>60+60+28</f>
        <v>148</v>
      </c>
      <c r="Q5923">
        <f t="shared" si="89"/>
        <v>1</v>
      </c>
      <c r="R5923">
        <v>1</v>
      </c>
      <c r="S5923">
        <v>0</v>
      </c>
      <c r="T5923">
        <v>0</v>
      </c>
      <c r="U5923">
        <v>0</v>
      </c>
      <c r="V5923">
        <v>0</v>
      </c>
      <c r="W5923">
        <v>1</v>
      </c>
      <c r="X5923" s="21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1</v>
      </c>
      <c r="AG5923">
        <v>0</v>
      </c>
      <c r="AH5923">
        <f t="shared" si="90"/>
        <v>96</v>
      </c>
      <c r="AP5923" t="s">
        <v>1915</v>
      </c>
    </row>
    <row r="5924" spans="1:42">
      <c r="A5924" s="1">
        <v>43789</v>
      </c>
      <c r="B5924">
        <v>3</v>
      </c>
      <c r="C5924">
        <v>978</v>
      </c>
      <c r="D5924">
        <v>10376</v>
      </c>
      <c r="E5924" t="s">
        <v>37</v>
      </c>
      <c r="F5924" t="s">
        <v>520</v>
      </c>
      <c r="G5924">
        <v>2</v>
      </c>
      <c r="H5924">
        <f t="shared" si="91"/>
        <v>83</v>
      </c>
      <c r="I5924" s="25">
        <v>2900</v>
      </c>
      <c r="K5924" t="s">
        <v>414</v>
      </c>
      <c r="M5924" t="s">
        <v>52</v>
      </c>
      <c r="N5924" t="s">
        <v>44</v>
      </c>
      <c r="O5924">
        <f>60+51</f>
        <v>111</v>
      </c>
      <c r="Q5924">
        <f t="shared" si="89"/>
        <v>1</v>
      </c>
      <c r="R5924">
        <v>1</v>
      </c>
      <c r="S5924">
        <v>0</v>
      </c>
      <c r="T5924">
        <v>0</v>
      </c>
      <c r="U5924">
        <v>0</v>
      </c>
      <c r="V5924">
        <v>0</v>
      </c>
      <c r="W5924">
        <v>1</v>
      </c>
      <c r="X5924" s="21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f t="shared" si="90"/>
        <v>96</v>
      </c>
      <c r="AL5924" t="s">
        <v>597</v>
      </c>
      <c r="AP5924" t="s">
        <v>1915</v>
      </c>
    </row>
    <row r="5925" spans="1:42">
      <c r="A5925" s="1">
        <v>43789</v>
      </c>
      <c r="B5925">
        <v>3</v>
      </c>
      <c r="C5925">
        <v>978</v>
      </c>
      <c r="D5925">
        <v>10376</v>
      </c>
      <c r="E5925" t="s">
        <v>37</v>
      </c>
      <c r="F5925" t="s">
        <v>520</v>
      </c>
      <c r="G5925">
        <v>2</v>
      </c>
      <c r="H5925">
        <f t="shared" si="91"/>
        <v>84</v>
      </c>
      <c r="I5925" s="25">
        <v>2900</v>
      </c>
      <c r="K5925" t="s">
        <v>414</v>
      </c>
      <c r="M5925" t="s">
        <v>52</v>
      </c>
      <c r="N5925" t="s">
        <v>44</v>
      </c>
      <c r="O5925">
        <f>60+60+15</f>
        <v>135</v>
      </c>
      <c r="Q5925">
        <f t="shared" si="89"/>
        <v>4</v>
      </c>
      <c r="R5925">
        <v>1</v>
      </c>
      <c r="S5925">
        <v>0</v>
      </c>
      <c r="T5925">
        <v>0</v>
      </c>
      <c r="U5925">
        <v>1</v>
      </c>
      <c r="V5925">
        <v>2</v>
      </c>
      <c r="W5925">
        <v>1</v>
      </c>
      <c r="X5925" s="21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f t="shared" si="90"/>
        <v>256</v>
      </c>
      <c r="AP5925" t="s">
        <v>1915</v>
      </c>
    </row>
    <row r="5926" spans="1:42">
      <c r="A5926" s="1">
        <v>43789</v>
      </c>
      <c r="B5926">
        <v>3</v>
      </c>
      <c r="C5926">
        <v>978</v>
      </c>
      <c r="D5926">
        <v>10376</v>
      </c>
      <c r="E5926" t="s">
        <v>37</v>
      </c>
      <c r="F5926" t="s">
        <v>520</v>
      </c>
      <c r="G5926">
        <v>2</v>
      </c>
      <c r="H5926">
        <f t="shared" si="91"/>
        <v>85</v>
      </c>
      <c r="I5926" s="25">
        <v>2900</v>
      </c>
      <c r="K5926" t="s">
        <v>414</v>
      </c>
      <c r="M5926" t="s">
        <v>52</v>
      </c>
      <c r="N5926" t="s">
        <v>40</v>
      </c>
      <c r="O5926">
        <f>60+11</f>
        <v>71</v>
      </c>
      <c r="Q5926">
        <f t="shared" si="89"/>
        <v>2</v>
      </c>
      <c r="R5926">
        <v>1</v>
      </c>
      <c r="S5926">
        <v>0</v>
      </c>
      <c r="T5926">
        <v>0</v>
      </c>
      <c r="U5926">
        <v>1</v>
      </c>
      <c r="V5926">
        <v>0</v>
      </c>
      <c r="W5926">
        <v>1</v>
      </c>
      <c r="X5926" s="21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f t="shared" si="90"/>
        <v>128</v>
      </c>
      <c r="AP5926" t="s">
        <v>1915</v>
      </c>
    </row>
    <row r="5927" spans="1:42">
      <c r="A5927" s="1">
        <v>43789</v>
      </c>
      <c r="B5927">
        <v>3</v>
      </c>
      <c r="C5927">
        <v>978</v>
      </c>
      <c r="D5927">
        <v>10376</v>
      </c>
      <c r="E5927" t="s">
        <v>37</v>
      </c>
      <c r="F5927" t="s">
        <v>520</v>
      </c>
      <c r="G5927">
        <v>2</v>
      </c>
      <c r="H5927">
        <f t="shared" si="91"/>
        <v>86</v>
      </c>
      <c r="I5927" s="25">
        <v>2900</v>
      </c>
      <c r="K5927" t="s">
        <v>414</v>
      </c>
      <c r="M5927" t="s">
        <v>52</v>
      </c>
      <c r="N5927" t="s">
        <v>44</v>
      </c>
      <c r="O5927">
        <f>60+60+4</f>
        <v>124</v>
      </c>
      <c r="Q5927">
        <f t="shared" si="89"/>
        <v>2</v>
      </c>
      <c r="R5927">
        <v>1</v>
      </c>
      <c r="S5927">
        <v>0</v>
      </c>
      <c r="T5927">
        <v>0</v>
      </c>
      <c r="U5927">
        <v>0</v>
      </c>
      <c r="V5927">
        <v>1</v>
      </c>
      <c r="W5927">
        <v>1</v>
      </c>
      <c r="X5927" s="21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f t="shared" si="90"/>
        <v>160</v>
      </c>
      <c r="AP5927" t="s">
        <v>1915</v>
      </c>
    </row>
    <row r="5928" spans="1:42">
      <c r="A5928" s="1">
        <v>43789</v>
      </c>
      <c r="B5928">
        <v>3</v>
      </c>
      <c r="C5928">
        <v>978</v>
      </c>
      <c r="D5928">
        <v>10376</v>
      </c>
      <c r="E5928" t="s">
        <v>37</v>
      </c>
      <c r="F5928" t="s">
        <v>520</v>
      </c>
      <c r="G5928">
        <v>2</v>
      </c>
      <c r="H5928">
        <f t="shared" si="91"/>
        <v>87</v>
      </c>
      <c r="I5928" s="25">
        <v>900</v>
      </c>
      <c r="K5928" t="s">
        <v>570</v>
      </c>
      <c r="M5928" t="s">
        <v>52</v>
      </c>
      <c r="N5928" t="s">
        <v>40</v>
      </c>
      <c r="O5928">
        <f>60</f>
        <v>60</v>
      </c>
      <c r="Q5928">
        <f t="shared" si="89"/>
        <v>1</v>
      </c>
      <c r="R5928">
        <v>1</v>
      </c>
      <c r="S5928">
        <v>0</v>
      </c>
      <c r="T5928">
        <v>0</v>
      </c>
      <c r="U5928">
        <v>0</v>
      </c>
      <c r="V5928">
        <v>0</v>
      </c>
      <c r="W5928">
        <v>1</v>
      </c>
      <c r="X5928" s="21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6</v>
      </c>
      <c r="AG5928">
        <v>0</v>
      </c>
      <c r="AH5928">
        <f t="shared" si="90"/>
        <v>96</v>
      </c>
      <c r="AP5928" t="s">
        <v>1915</v>
      </c>
    </row>
    <row r="5929" spans="1:42">
      <c r="A5929" s="1">
        <v>43789</v>
      </c>
      <c r="B5929">
        <v>3</v>
      </c>
      <c r="C5929">
        <v>978</v>
      </c>
      <c r="D5929">
        <v>10376</v>
      </c>
      <c r="E5929" t="s">
        <v>37</v>
      </c>
      <c r="F5929" t="s">
        <v>520</v>
      </c>
      <c r="G5929">
        <v>2</v>
      </c>
      <c r="H5929">
        <f t="shared" si="91"/>
        <v>88</v>
      </c>
      <c r="I5929" s="25">
        <v>1000</v>
      </c>
      <c r="K5929" t="s">
        <v>570</v>
      </c>
      <c r="M5929" t="s">
        <v>52</v>
      </c>
      <c r="N5929" t="s">
        <v>44</v>
      </c>
      <c r="O5929">
        <f>60+60+60+60+31</f>
        <v>271</v>
      </c>
      <c r="Q5929">
        <f t="shared" si="89"/>
        <v>4</v>
      </c>
      <c r="R5929">
        <v>1</v>
      </c>
      <c r="S5929">
        <v>0</v>
      </c>
      <c r="T5929">
        <v>0</v>
      </c>
      <c r="U5929">
        <v>0</v>
      </c>
      <c r="V5929">
        <v>0</v>
      </c>
      <c r="W5929">
        <v>4</v>
      </c>
      <c r="X5929" s="21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f t="shared" si="90"/>
        <v>384</v>
      </c>
      <c r="AP5929" t="s">
        <v>1915</v>
      </c>
    </row>
    <row r="5930" spans="1:42">
      <c r="A5930" s="1">
        <v>43789</v>
      </c>
      <c r="B5930">
        <v>3</v>
      </c>
      <c r="C5930">
        <v>978</v>
      </c>
      <c r="D5930">
        <v>10376</v>
      </c>
      <c r="E5930" t="s">
        <v>37</v>
      </c>
      <c r="F5930" t="s">
        <v>520</v>
      </c>
      <c r="G5930">
        <v>2</v>
      </c>
      <c r="H5930">
        <f t="shared" si="91"/>
        <v>89</v>
      </c>
      <c r="I5930" s="25">
        <v>900</v>
      </c>
      <c r="K5930" t="s">
        <v>570</v>
      </c>
      <c r="M5930" t="s">
        <v>52</v>
      </c>
      <c r="N5930" t="s">
        <v>40</v>
      </c>
      <c r="O5930">
        <v>43</v>
      </c>
      <c r="Q5930">
        <f t="shared" si="89"/>
        <v>1</v>
      </c>
      <c r="R5930">
        <v>1</v>
      </c>
      <c r="S5930">
        <v>0</v>
      </c>
      <c r="T5930">
        <v>0</v>
      </c>
      <c r="U5930">
        <v>0</v>
      </c>
      <c r="V5930">
        <v>0</v>
      </c>
      <c r="W5930">
        <v>1</v>
      </c>
      <c r="X5930" s="21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f t="shared" si="90"/>
        <v>96</v>
      </c>
      <c r="AP5930" t="s">
        <v>1915</v>
      </c>
    </row>
    <row r="5931" spans="1:42">
      <c r="A5931" s="1">
        <v>43789</v>
      </c>
      <c r="B5931">
        <v>3</v>
      </c>
      <c r="C5931">
        <v>978</v>
      </c>
      <c r="D5931">
        <v>10376</v>
      </c>
      <c r="E5931" t="s">
        <v>37</v>
      </c>
      <c r="F5931" t="s">
        <v>520</v>
      </c>
      <c r="G5931">
        <v>2</v>
      </c>
      <c r="H5931">
        <f t="shared" si="91"/>
        <v>90</v>
      </c>
      <c r="I5931" s="25">
        <v>2900</v>
      </c>
      <c r="K5931" t="s">
        <v>420</v>
      </c>
      <c r="M5931" t="s">
        <v>52</v>
      </c>
      <c r="N5931" t="s">
        <v>40</v>
      </c>
      <c r="O5931">
        <f>60+34</f>
        <v>94</v>
      </c>
      <c r="Q5931">
        <f t="shared" si="89"/>
        <v>1</v>
      </c>
      <c r="R5931">
        <v>1</v>
      </c>
      <c r="S5931">
        <v>0</v>
      </c>
      <c r="T5931">
        <v>0</v>
      </c>
      <c r="U5931">
        <v>0</v>
      </c>
      <c r="V5931">
        <v>1</v>
      </c>
      <c r="W5931">
        <v>0</v>
      </c>
      <c r="X5931" s="2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f t="shared" si="90"/>
        <v>64</v>
      </c>
      <c r="AP5931" t="s">
        <v>1915</v>
      </c>
    </row>
    <row r="5932" spans="1:42">
      <c r="A5932" s="1">
        <v>43789</v>
      </c>
      <c r="B5932">
        <v>3</v>
      </c>
      <c r="C5932">
        <v>978</v>
      </c>
      <c r="D5932">
        <v>10376</v>
      </c>
      <c r="E5932" t="s">
        <v>37</v>
      </c>
      <c r="F5932" t="s">
        <v>520</v>
      </c>
      <c r="G5932">
        <v>2</v>
      </c>
      <c r="H5932">
        <f t="shared" si="91"/>
        <v>91</v>
      </c>
      <c r="I5932" s="25">
        <v>900</v>
      </c>
      <c r="K5932" t="s">
        <v>1122</v>
      </c>
      <c r="M5932" t="s">
        <v>52</v>
      </c>
      <c r="N5932" t="s">
        <v>44</v>
      </c>
      <c r="O5932">
        <f>60+60+10</f>
        <v>130</v>
      </c>
      <c r="Q5932">
        <f t="shared" si="89"/>
        <v>1</v>
      </c>
      <c r="R5932">
        <v>1</v>
      </c>
      <c r="S5932">
        <v>0</v>
      </c>
      <c r="T5932">
        <v>0</v>
      </c>
      <c r="U5932">
        <v>0</v>
      </c>
      <c r="V5932">
        <v>0</v>
      </c>
      <c r="W5932">
        <v>1</v>
      </c>
      <c r="X5932" s="21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f t="shared" si="90"/>
        <v>96</v>
      </c>
      <c r="AP5932" t="s">
        <v>1915</v>
      </c>
    </row>
    <row r="5933" spans="1:42">
      <c r="A5933" s="1">
        <v>43789</v>
      </c>
      <c r="B5933">
        <v>3</v>
      </c>
      <c r="C5933">
        <v>978</v>
      </c>
      <c r="D5933">
        <v>10376</v>
      </c>
      <c r="E5933" t="s">
        <v>37</v>
      </c>
      <c r="F5933" t="s">
        <v>520</v>
      </c>
      <c r="G5933">
        <v>2</v>
      </c>
      <c r="H5933">
        <f t="shared" si="91"/>
        <v>92</v>
      </c>
      <c r="I5933" s="25">
        <v>900</v>
      </c>
      <c r="K5933" t="s">
        <v>1122</v>
      </c>
      <c r="M5933" t="s">
        <v>52</v>
      </c>
      <c r="N5933" t="s">
        <v>44</v>
      </c>
      <c r="O5933">
        <f>60+60+59</f>
        <v>179</v>
      </c>
      <c r="Q5933">
        <f t="shared" si="89"/>
        <v>2</v>
      </c>
      <c r="R5933">
        <v>1</v>
      </c>
      <c r="S5933">
        <v>0</v>
      </c>
      <c r="T5933">
        <v>0</v>
      </c>
      <c r="U5933">
        <v>0</v>
      </c>
      <c r="V5933">
        <v>2</v>
      </c>
      <c r="W5933">
        <v>0</v>
      </c>
      <c r="X5933" s="21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f t="shared" si="90"/>
        <v>128</v>
      </c>
      <c r="AP5933" t="s">
        <v>1915</v>
      </c>
    </row>
    <row r="5934" spans="1:42">
      <c r="A5934" s="1">
        <v>43789</v>
      </c>
      <c r="B5934">
        <v>3</v>
      </c>
      <c r="C5934">
        <v>978</v>
      </c>
      <c r="D5934">
        <v>10376</v>
      </c>
      <c r="E5934" t="s">
        <v>37</v>
      </c>
      <c r="F5934" t="s">
        <v>520</v>
      </c>
      <c r="G5934">
        <v>2</v>
      </c>
      <c r="H5934">
        <f t="shared" si="91"/>
        <v>93</v>
      </c>
      <c r="I5934" s="25">
        <v>900</v>
      </c>
      <c r="K5934" t="s">
        <v>1122</v>
      </c>
      <c r="M5934" t="s">
        <v>52</v>
      </c>
      <c r="N5934" t="s">
        <v>44</v>
      </c>
      <c r="O5934">
        <f>60+60+60+34</f>
        <v>214</v>
      </c>
      <c r="Q5934">
        <f t="shared" si="89"/>
        <v>2</v>
      </c>
      <c r="R5934">
        <v>1</v>
      </c>
      <c r="S5934">
        <v>0</v>
      </c>
      <c r="T5934">
        <v>0</v>
      </c>
      <c r="U5934">
        <v>0</v>
      </c>
      <c r="V5934">
        <v>0</v>
      </c>
      <c r="W5934">
        <v>2</v>
      </c>
      <c r="X5934" s="21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f t="shared" si="90"/>
        <v>192</v>
      </c>
      <c r="AP5934" t="s">
        <v>1915</v>
      </c>
    </row>
    <row r="5935" spans="1:42">
      <c r="A5935" s="1">
        <v>43789</v>
      </c>
      <c r="B5935">
        <v>3</v>
      </c>
      <c r="C5935">
        <v>978</v>
      </c>
      <c r="D5935">
        <v>10376</v>
      </c>
      <c r="E5935" t="s">
        <v>37</v>
      </c>
      <c r="F5935" t="s">
        <v>520</v>
      </c>
      <c r="G5935">
        <v>2</v>
      </c>
      <c r="H5935">
        <f t="shared" si="91"/>
        <v>94</v>
      </c>
      <c r="I5935" s="25">
        <v>900</v>
      </c>
      <c r="K5935" t="s">
        <v>1122</v>
      </c>
      <c r="M5935" t="s">
        <v>52</v>
      </c>
      <c r="N5935" t="s">
        <v>44</v>
      </c>
      <c r="O5935">
        <f>60+31</f>
        <v>91</v>
      </c>
      <c r="Q5935">
        <f t="shared" si="89"/>
        <v>1</v>
      </c>
      <c r="R5935">
        <v>1</v>
      </c>
      <c r="S5935">
        <v>0</v>
      </c>
      <c r="T5935">
        <v>0</v>
      </c>
      <c r="U5935">
        <v>0</v>
      </c>
      <c r="V5935">
        <v>0</v>
      </c>
      <c r="W5935">
        <v>1</v>
      </c>
      <c r="X5935" s="21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f t="shared" si="90"/>
        <v>96</v>
      </c>
      <c r="AL5935" t="s">
        <v>1936</v>
      </c>
      <c r="AP5935" t="s">
        <v>1915</v>
      </c>
    </row>
    <row r="5936" spans="1:42">
      <c r="A5936" s="1">
        <v>43789</v>
      </c>
      <c r="B5936">
        <v>3</v>
      </c>
      <c r="C5936">
        <v>978</v>
      </c>
      <c r="D5936">
        <v>10376</v>
      </c>
      <c r="E5936" t="s">
        <v>37</v>
      </c>
      <c r="F5936" t="s">
        <v>520</v>
      </c>
      <c r="G5936">
        <v>2</v>
      </c>
      <c r="H5936">
        <f t="shared" si="91"/>
        <v>95</v>
      </c>
      <c r="I5936" s="25">
        <v>900</v>
      </c>
      <c r="K5936" t="s">
        <v>1122</v>
      </c>
      <c r="M5936" t="s">
        <v>52</v>
      </c>
      <c r="N5936" t="s">
        <v>44</v>
      </c>
      <c r="O5936">
        <f>60+54</f>
        <v>114</v>
      </c>
      <c r="Q5936">
        <f t="shared" si="89"/>
        <v>1</v>
      </c>
      <c r="R5936">
        <v>1</v>
      </c>
      <c r="S5936">
        <v>0</v>
      </c>
      <c r="T5936">
        <v>0</v>
      </c>
      <c r="U5936">
        <v>0</v>
      </c>
      <c r="V5936">
        <v>0</v>
      </c>
      <c r="W5936">
        <v>1</v>
      </c>
      <c r="X5936" s="21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f t="shared" si="90"/>
        <v>96</v>
      </c>
      <c r="AP5936" t="s">
        <v>1915</v>
      </c>
    </row>
    <row r="5937" spans="1:42">
      <c r="A5937" s="1">
        <v>43789</v>
      </c>
      <c r="B5937">
        <v>3</v>
      </c>
      <c r="C5937">
        <v>978</v>
      </c>
      <c r="D5937">
        <v>10376</v>
      </c>
      <c r="E5937" t="s">
        <v>37</v>
      </c>
      <c r="F5937" t="s">
        <v>520</v>
      </c>
      <c r="G5937">
        <v>2</v>
      </c>
      <c r="H5937">
        <f t="shared" si="91"/>
        <v>96</v>
      </c>
      <c r="I5937" s="25">
        <v>900</v>
      </c>
      <c r="K5937" t="s">
        <v>1122</v>
      </c>
      <c r="M5937" t="s">
        <v>52</v>
      </c>
      <c r="N5937" t="s">
        <v>44</v>
      </c>
      <c r="O5937">
        <f>60+60+40</f>
        <v>160</v>
      </c>
      <c r="Q5937">
        <f t="shared" si="89"/>
        <v>4</v>
      </c>
      <c r="R5937">
        <v>1</v>
      </c>
      <c r="S5937">
        <v>0</v>
      </c>
      <c r="T5937">
        <v>0</v>
      </c>
      <c r="U5937">
        <v>0</v>
      </c>
      <c r="V5937">
        <v>0</v>
      </c>
      <c r="W5937">
        <v>4</v>
      </c>
      <c r="X5937" s="21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f t="shared" si="90"/>
        <v>384</v>
      </c>
      <c r="AP5937" t="s">
        <v>1915</v>
      </c>
    </row>
    <row r="5938" spans="1:42">
      <c r="A5938" s="1">
        <v>43789</v>
      </c>
      <c r="B5938">
        <v>3</v>
      </c>
      <c r="C5938">
        <v>978</v>
      </c>
      <c r="D5938">
        <v>10376</v>
      </c>
      <c r="E5938" t="s">
        <v>37</v>
      </c>
      <c r="F5938" t="s">
        <v>520</v>
      </c>
      <c r="G5938">
        <v>2</v>
      </c>
      <c r="H5938">
        <f t="shared" si="91"/>
        <v>97</v>
      </c>
      <c r="I5938" s="25">
        <v>1300</v>
      </c>
      <c r="K5938" t="s">
        <v>210</v>
      </c>
      <c r="M5938" t="s">
        <v>52</v>
      </c>
      <c r="N5938" t="s">
        <v>44</v>
      </c>
      <c r="O5938">
        <f>60+60+20</f>
        <v>140</v>
      </c>
      <c r="Q5938">
        <f t="shared" si="89"/>
        <v>1</v>
      </c>
      <c r="R5938">
        <v>1</v>
      </c>
      <c r="S5938">
        <v>0</v>
      </c>
      <c r="T5938">
        <v>0</v>
      </c>
      <c r="U5938">
        <v>0</v>
      </c>
      <c r="V5938">
        <v>0</v>
      </c>
      <c r="W5938">
        <v>1</v>
      </c>
      <c r="X5938" s="21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f t="shared" si="90"/>
        <v>96</v>
      </c>
      <c r="AP5938" t="s">
        <v>1915</v>
      </c>
    </row>
    <row r="5939" spans="1:42">
      <c r="A5939" s="1">
        <v>43789</v>
      </c>
      <c r="B5939">
        <v>3</v>
      </c>
      <c r="C5939">
        <v>978</v>
      </c>
      <c r="D5939">
        <v>10376</v>
      </c>
      <c r="E5939" t="s">
        <v>37</v>
      </c>
      <c r="F5939" t="s">
        <v>520</v>
      </c>
      <c r="G5939">
        <v>2</v>
      </c>
      <c r="H5939">
        <f t="shared" si="91"/>
        <v>98</v>
      </c>
      <c r="I5939" s="25">
        <v>1200</v>
      </c>
      <c r="K5939" t="s">
        <v>324</v>
      </c>
      <c r="M5939" t="s">
        <v>52</v>
      </c>
      <c r="N5939" t="s">
        <v>44</v>
      </c>
      <c r="O5939">
        <f>60+60+38</f>
        <v>158</v>
      </c>
      <c r="Q5939">
        <f t="shared" si="89"/>
        <v>1</v>
      </c>
      <c r="R5939">
        <v>1</v>
      </c>
      <c r="S5939">
        <v>0</v>
      </c>
      <c r="T5939">
        <v>0</v>
      </c>
      <c r="U5939">
        <v>0</v>
      </c>
      <c r="V5939">
        <v>0</v>
      </c>
      <c r="W5939">
        <v>1</v>
      </c>
      <c r="X5939" s="21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f t="shared" si="90"/>
        <v>96</v>
      </c>
      <c r="AP5939" t="s">
        <v>1915</v>
      </c>
    </row>
    <row r="5940" spans="1:42">
      <c r="A5940" s="1">
        <v>43789</v>
      </c>
      <c r="B5940">
        <v>3</v>
      </c>
      <c r="C5940">
        <v>978</v>
      </c>
      <c r="D5940">
        <v>10376</v>
      </c>
      <c r="E5940" t="s">
        <v>37</v>
      </c>
      <c r="F5940" t="s">
        <v>520</v>
      </c>
      <c r="G5940">
        <v>2</v>
      </c>
      <c r="H5940">
        <f t="shared" si="91"/>
        <v>99</v>
      </c>
      <c r="I5940" s="25">
        <v>1200</v>
      </c>
      <c r="K5940" t="s">
        <v>324</v>
      </c>
      <c r="M5940" t="s">
        <v>52</v>
      </c>
      <c r="N5940" t="s">
        <v>44</v>
      </c>
      <c r="O5940">
        <f>60+60+44</f>
        <v>164</v>
      </c>
      <c r="Q5940">
        <f t="shared" si="89"/>
        <v>2</v>
      </c>
      <c r="R5940">
        <v>1</v>
      </c>
      <c r="S5940">
        <v>0</v>
      </c>
      <c r="T5940">
        <v>0</v>
      </c>
      <c r="U5940">
        <v>0</v>
      </c>
      <c r="V5940">
        <v>0</v>
      </c>
      <c r="W5940">
        <v>2</v>
      </c>
      <c r="X5940" s="21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f t="shared" si="90"/>
        <v>192</v>
      </c>
      <c r="AP5940" t="s">
        <v>1915</v>
      </c>
    </row>
    <row r="5941" spans="1:42">
      <c r="A5941" s="1">
        <v>43789</v>
      </c>
      <c r="B5941">
        <v>3</v>
      </c>
      <c r="C5941">
        <v>978</v>
      </c>
      <c r="D5941">
        <v>10376</v>
      </c>
      <c r="E5941" t="s">
        <v>37</v>
      </c>
      <c r="F5941" t="s">
        <v>520</v>
      </c>
      <c r="G5941">
        <v>2</v>
      </c>
      <c r="H5941">
        <f t="shared" si="91"/>
        <v>100</v>
      </c>
      <c r="I5941" s="25">
        <v>1200</v>
      </c>
      <c r="K5941" t="s">
        <v>324</v>
      </c>
      <c r="M5941" t="s">
        <v>52</v>
      </c>
      <c r="N5941" t="s">
        <v>44</v>
      </c>
      <c r="O5941">
        <v>56</v>
      </c>
      <c r="Q5941">
        <f t="shared" si="89"/>
        <v>1</v>
      </c>
      <c r="R5941">
        <v>1</v>
      </c>
      <c r="S5941">
        <v>0</v>
      </c>
      <c r="T5941">
        <v>0</v>
      </c>
      <c r="U5941">
        <v>0</v>
      </c>
      <c r="V5941">
        <v>0</v>
      </c>
      <c r="W5941">
        <v>1</v>
      </c>
      <c r="X5941" s="2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f t="shared" si="90"/>
        <v>96</v>
      </c>
      <c r="AP5941" t="s">
        <v>1915</v>
      </c>
    </row>
    <row r="5942" spans="1:42">
      <c r="A5942" s="1">
        <v>43789</v>
      </c>
      <c r="B5942">
        <v>3</v>
      </c>
      <c r="C5942">
        <v>978</v>
      </c>
      <c r="D5942">
        <v>10376</v>
      </c>
      <c r="E5942" t="s">
        <v>37</v>
      </c>
      <c r="F5942" t="s">
        <v>520</v>
      </c>
      <c r="G5942">
        <v>2</v>
      </c>
      <c r="H5942">
        <f t="shared" si="91"/>
        <v>101</v>
      </c>
      <c r="I5942" s="25">
        <v>1300</v>
      </c>
      <c r="K5942" t="s">
        <v>119</v>
      </c>
      <c r="M5942" t="s">
        <v>52</v>
      </c>
      <c r="N5942" t="s">
        <v>44</v>
      </c>
      <c r="O5942">
        <f>60+60+60+60+60+60+60+60+60+60+37</f>
        <v>637</v>
      </c>
      <c r="Q5942">
        <f t="shared" si="89"/>
        <v>6</v>
      </c>
      <c r="R5942">
        <v>1</v>
      </c>
      <c r="S5942">
        <v>0</v>
      </c>
      <c r="T5942">
        <v>0</v>
      </c>
      <c r="U5942">
        <v>0</v>
      </c>
      <c r="V5942">
        <v>0</v>
      </c>
      <c r="W5942">
        <v>6</v>
      </c>
      <c r="X5942" s="21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f t="shared" si="90"/>
        <v>576</v>
      </c>
      <c r="AP5942" t="s">
        <v>1915</v>
      </c>
    </row>
    <row r="5943" spans="1:42">
      <c r="A5943" s="1">
        <v>43789</v>
      </c>
      <c r="B5943">
        <v>3</v>
      </c>
      <c r="C5943">
        <v>978</v>
      </c>
      <c r="D5943">
        <v>10376</v>
      </c>
      <c r="E5943" t="s">
        <v>37</v>
      </c>
      <c r="F5943" t="s">
        <v>520</v>
      </c>
      <c r="G5943">
        <v>2</v>
      </c>
      <c r="H5943">
        <f t="shared" si="91"/>
        <v>102</v>
      </c>
      <c r="I5943" s="25">
        <v>1300</v>
      </c>
      <c r="K5943" t="s">
        <v>119</v>
      </c>
      <c r="M5943" t="s">
        <v>52</v>
      </c>
      <c r="N5943" t="s">
        <v>44</v>
      </c>
      <c r="O5943">
        <f>60+60+36</f>
        <v>156</v>
      </c>
      <c r="Q5943">
        <f t="shared" si="89"/>
        <v>2</v>
      </c>
      <c r="R5943">
        <v>1</v>
      </c>
      <c r="S5943">
        <v>0</v>
      </c>
      <c r="T5943">
        <v>0</v>
      </c>
      <c r="U5943">
        <v>0</v>
      </c>
      <c r="V5943">
        <v>0</v>
      </c>
      <c r="W5943">
        <v>2</v>
      </c>
      <c r="X5943" s="21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f t="shared" si="90"/>
        <v>192</v>
      </c>
      <c r="AP5943" t="s">
        <v>1915</v>
      </c>
    </row>
    <row r="5944" spans="1:42">
      <c r="A5944" s="1">
        <v>43789</v>
      </c>
      <c r="B5944">
        <v>3</v>
      </c>
      <c r="C5944">
        <v>978</v>
      </c>
      <c r="D5944">
        <v>10376</v>
      </c>
      <c r="E5944" t="s">
        <v>37</v>
      </c>
      <c r="F5944" t="s">
        <v>520</v>
      </c>
      <c r="G5944">
        <v>2</v>
      </c>
      <c r="H5944">
        <f t="shared" si="91"/>
        <v>103</v>
      </c>
      <c r="I5944" s="25">
        <v>1900</v>
      </c>
      <c r="K5944" t="s">
        <v>828</v>
      </c>
      <c r="M5944" t="s">
        <v>52</v>
      </c>
      <c r="N5944" t="s">
        <v>44</v>
      </c>
      <c r="O5944">
        <f>60+60+60+60+60+60+60+60+15</f>
        <v>495</v>
      </c>
      <c r="Q5944">
        <f t="shared" si="89"/>
        <v>5</v>
      </c>
      <c r="R5944">
        <v>1</v>
      </c>
      <c r="S5944">
        <v>0</v>
      </c>
      <c r="T5944">
        <v>0</v>
      </c>
      <c r="U5944">
        <v>1</v>
      </c>
      <c r="V5944">
        <v>0</v>
      </c>
      <c r="W5944">
        <v>4</v>
      </c>
      <c r="X5944" s="21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1</v>
      </c>
      <c r="AG5944">
        <v>0</v>
      </c>
      <c r="AH5944">
        <f t="shared" si="90"/>
        <v>416</v>
      </c>
      <c r="AP5944" t="s">
        <v>1915</v>
      </c>
    </row>
    <row r="5945" spans="1:42">
      <c r="A5945" s="1">
        <v>43798</v>
      </c>
      <c r="B5945">
        <v>5</v>
      </c>
      <c r="C5945">
        <v>976</v>
      </c>
      <c r="D5945">
        <v>10426</v>
      </c>
      <c r="E5945" t="s">
        <v>37</v>
      </c>
      <c r="F5945" t="s">
        <v>520</v>
      </c>
      <c r="G5945">
        <v>2</v>
      </c>
      <c r="H5945">
        <v>1</v>
      </c>
      <c r="I5945" s="25">
        <v>400</v>
      </c>
      <c r="K5945" t="s">
        <v>1115</v>
      </c>
      <c r="M5945" t="s">
        <v>52</v>
      </c>
      <c r="N5945" t="s">
        <v>40</v>
      </c>
      <c r="O5945">
        <f>60+60+26</f>
        <v>146</v>
      </c>
      <c r="Q5945">
        <f t="shared" si="89"/>
        <v>2</v>
      </c>
      <c r="R5945">
        <v>1</v>
      </c>
      <c r="S5945">
        <v>0</v>
      </c>
      <c r="T5945">
        <v>0</v>
      </c>
      <c r="U5945">
        <v>0</v>
      </c>
      <c r="V5945">
        <v>1</v>
      </c>
      <c r="W5945">
        <v>1</v>
      </c>
      <c r="X5945" s="21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f t="shared" si="90"/>
        <v>160</v>
      </c>
      <c r="AP5945" t="s">
        <v>1915</v>
      </c>
    </row>
    <row r="5946" spans="1:42">
      <c r="A5946" s="1">
        <v>43798</v>
      </c>
      <c r="B5946">
        <v>5</v>
      </c>
      <c r="C5946">
        <v>976</v>
      </c>
      <c r="D5946">
        <v>10426</v>
      </c>
      <c r="E5946" t="s">
        <v>37</v>
      </c>
      <c r="F5946" t="s">
        <v>520</v>
      </c>
      <c r="G5946">
        <v>2</v>
      </c>
      <c r="H5946">
        <f t="shared" si="91"/>
        <v>2</v>
      </c>
      <c r="I5946" s="25">
        <v>600</v>
      </c>
      <c r="K5946" t="s">
        <v>156</v>
      </c>
      <c r="M5946" t="s">
        <v>52</v>
      </c>
      <c r="N5946" t="s">
        <v>40</v>
      </c>
      <c r="O5946">
        <v>50</v>
      </c>
      <c r="Q5946">
        <f t="shared" si="89"/>
        <v>1</v>
      </c>
      <c r="R5946">
        <v>1</v>
      </c>
      <c r="S5946">
        <v>0</v>
      </c>
      <c r="T5946">
        <v>0</v>
      </c>
      <c r="U5946">
        <v>1</v>
      </c>
      <c r="V5946">
        <v>0</v>
      </c>
      <c r="W5946">
        <v>0</v>
      </c>
      <c r="X5946" s="21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f t="shared" si="90"/>
        <v>32</v>
      </c>
      <c r="AP5946" t="s">
        <v>1915</v>
      </c>
    </row>
    <row r="5947" spans="1:42">
      <c r="A5947" s="1">
        <v>43798</v>
      </c>
      <c r="B5947">
        <v>5</v>
      </c>
      <c r="C5947">
        <v>976</v>
      </c>
      <c r="D5947">
        <v>10426</v>
      </c>
      <c r="E5947" t="s">
        <v>37</v>
      </c>
      <c r="F5947" t="s">
        <v>520</v>
      </c>
      <c r="G5947">
        <v>2</v>
      </c>
      <c r="H5947">
        <f t="shared" si="91"/>
        <v>3</v>
      </c>
      <c r="I5947" s="25">
        <v>600</v>
      </c>
      <c r="K5947" t="s">
        <v>119</v>
      </c>
      <c r="L5947" t="s">
        <v>141</v>
      </c>
      <c r="M5947" t="s">
        <v>52</v>
      </c>
      <c r="N5947" t="s">
        <v>40</v>
      </c>
      <c r="O5947">
        <f>60+51</f>
        <v>111</v>
      </c>
      <c r="Q5947">
        <f t="shared" si="89"/>
        <v>2</v>
      </c>
      <c r="R5947">
        <v>1</v>
      </c>
      <c r="S5947">
        <v>0</v>
      </c>
      <c r="T5947">
        <v>0</v>
      </c>
      <c r="U5947">
        <v>0</v>
      </c>
      <c r="V5947">
        <v>1</v>
      </c>
      <c r="W5947">
        <v>1</v>
      </c>
      <c r="X5947" s="21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1</v>
      </c>
      <c r="AG5947">
        <v>0</v>
      </c>
      <c r="AH5947">
        <f t="shared" si="90"/>
        <v>160</v>
      </c>
      <c r="AP5947" t="s">
        <v>1915</v>
      </c>
    </row>
    <row r="5948" spans="1:42">
      <c r="A5948" s="1">
        <v>43798</v>
      </c>
      <c r="B5948">
        <v>5</v>
      </c>
      <c r="C5948">
        <v>976</v>
      </c>
      <c r="D5948">
        <v>10426</v>
      </c>
      <c r="E5948" t="s">
        <v>37</v>
      </c>
      <c r="F5948" t="s">
        <v>520</v>
      </c>
      <c r="G5948">
        <v>2</v>
      </c>
      <c r="H5948">
        <f t="shared" si="91"/>
        <v>4</v>
      </c>
      <c r="I5948" s="25">
        <v>600</v>
      </c>
      <c r="K5948" t="s">
        <v>119</v>
      </c>
      <c r="L5948" t="s">
        <v>114</v>
      </c>
      <c r="M5948" t="s">
        <v>52</v>
      </c>
      <c r="N5948" t="s">
        <v>40</v>
      </c>
      <c r="O5948">
        <f>60+46</f>
        <v>106</v>
      </c>
      <c r="Q5948">
        <f t="shared" si="89"/>
        <v>2</v>
      </c>
      <c r="R5948">
        <v>1</v>
      </c>
      <c r="S5948">
        <v>0</v>
      </c>
      <c r="T5948">
        <v>0</v>
      </c>
      <c r="U5948">
        <v>0</v>
      </c>
      <c r="V5948">
        <v>0</v>
      </c>
      <c r="W5948">
        <v>2</v>
      </c>
      <c r="X5948" s="21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f t="shared" si="90"/>
        <v>192</v>
      </c>
      <c r="AP5948" t="s">
        <v>1915</v>
      </c>
    </row>
    <row r="5949" spans="1:42">
      <c r="A5949" s="1">
        <v>43798</v>
      </c>
      <c r="B5949">
        <v>5</v>
      </c>
      <c r="C5949">
        <v>976</v>
      </c>
      <c r="D5949">
        <v>10426</v>
      </c>
      <c r="E5949" t="s">
        <v>37</v>
      </c>
      <c r="F5949" t="s">
        <v>520</v>
      </c>
      <c r="G5949">
        <v>2</v>
      </c>
      <c r="H5949">
        <f t="shared" si="91"/>
        <v>5</v>
      </c>
      <c r="I5949" s="25">
        <v>626</v>
      </c>
      <c r="K5949" t="s">
        <v>119</v>
      </c>
      <c r="M5949" t="s">
        <v>52</v>
      </c>
      <c r="N5949" t="s">
        <v>44</v>
      </c>
      <c r="O5949">
        <f>60+3</f>
        <v>63</v>
      </c>
      <c r="Q5949">
        <f t="shared" si="89"/>
        <v>2</v>
      </c>
      <c r="R5949">
        <v>1</v>
      </c>
      <c r="S5949">
        <v>0</v>
      </c>
      <c r="T5949">
        <v>0</v>
      </c>
      <c r="U5949">
        <v>0</v>
      </c>
      <c r="V5949">
        <v>0</v>
      </c>
      <c r="W5949">
        <v>2</v>
      </c>
      <c r="X5949" s="21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f t="shared" si="90"/>
        <v>192</v>
      </c>
      <c r="AL5949" t="s">
        <v>1937</v>
      </c>
      <c r="AP5949" t="s">
        <v>1915</v>
      </c>
    </row>
    <row r="5950" spans="1:42">
      <c r="A5950" s="1">
        <v>43798</v>
      </c>
      <c r="B5950">
        <v>5</v>
      </c>
      <c r="C5950">
        <v>976</v>
      </c>
      <c r="D5950">
        <v>10426</v>
      </c>
      <c r="E5950" t="s">
        <v>37</v>
      </c>
      <c r="F5950" t="s">
        <v>520</v>
      </c>
      <c r="G5950">
        <v>2</v>
      </c>
      <c r="H5950">
        <f t="shared" si="91"/>
        <v>6</v>
      </c>
      <c r="I5950" s="25">
        <v>600</v>
      </c>
      <c r="K5950" t="s">
        <v>119</v>
      </c>
      <c r="M5950" t="s">
        <v>52</v>
      </c>
      <c r="N5950" t="s">
        <v>40</v>
      </c>
      <c r="O5950">
        <f>60+1</f>
        <v>61</v>
      </c>
      <c r="Q5950">
        <f t="shared" si="89"/>
        <v>1</v>
      </c>
      <c r="R5950">
        <v>1</v>
      </c>
      <c r="S5950">
        <v>0</v>
      </c>
      <c r="T5950">
        <v>0</v>
      </c>
      <c r="U5950">
        <v>0</v>
      </c>
      <c r="V5950">
        <v>0</v>
      </c>
      <c r="W5950">
        <v>1</v>
      </c>
      <c r="X5950" s="21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f t="shared" si="90"/>
        <v>96</v>
      </c>
      <c r="AP5950" t="s">
        <v>1915</v>
      </c>
    </row>
    <row r="5951" spans="1:42">
      <c r="A5951" s="1">
        <v>43798</v>
      </c>
      <c r="B5951">
        <v>5</v>
      </c>
      <c r="C5951">
        <v>976</v>
      </c>
      <c r="D5951">
        <v>10426</v>
      </c>
      <c r="E5951" t="s">
        <v>37</v>
      </c>
      <c r="F5951" t="s">
        <v>520</v>
      </c>
      <c r="G5951">
        <v>2</v>
      </c>
      <c r="H5951">
        <f t="shared" si="91"/>
        <v>7</v>
      </c>
      <c r="I5951" s="25">
        <v>1600</v>
      </c>
      <c r="K5951" t="s">
        <v>407</v>
      </c>
      <c r="M5951" t="s">
        <v>52</v>
      </c>
      <c r="N5951" t="s">
        <v>40</v>
      </c>
      <c r="O5951">
        <f>28</f>
        <v>28</v>
      </c>
      <c r="Q5951">
        <f t="shared" si="89"/>
        <v>1</v>
      </c>
      <c r="R5951">
        <v>1</v>
      </c>
      <c r="S5951">
        <v>0</v>
      </c>
      <c r="T5951">
        <v>0</v>
      </c>
      <c r="U5951">
        <v>1</v>
      </c>
      <c r="V5951">
        <v>0</v>
      </c>
      <c r="W5951">
        <v>0</v>
      </c>
      <c r="X5951" s="2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f t="shared" si="90"/>
        <v>32</v>
      </c>
      <c r="AP5951" t="s">
        <v>1915</v>
      </c>
    </row>
    <row r="5952" spans="1:42">
      <c r="A5952" s="1">
        <v>43798</v>
      </c>
      <c r="B5952">
        <v>5</v>
      </c>
      <c r="C5952">
        <v>976</v>
      </c>
      <c r="D5952">
        <v>10426</v>
      </c>
      <c r="E5952" t="s">
        <v>37</v>
      </c>
      <c r="F5952" t="s">
        <v>520</v>
      </c>
      <c r="G5952">
        <v>2</v>
      </c>
      <c r="H5952">
        <f t="shared" si="91"/>
        <v>8</v>
      </c>
      <c r="I5952" s="25">
        <v>500</v>
      </c>
      <c r="K5952" t="s">
        <v>585</v>
      </c>
      <c r="M5952" t="s">
        <v>52</v>
      </c>
      <c r="N5952" t="s">
        <v>40</v>
      </c>
      <c r="O5952">
        <f>29</f>
        <v>29</v>
      </c>
      <c r="Q5952">
        <f t="shared" ref="Q5952:Q6015" si="92">SUM(S5952:AE5952)</f>
        <v>1</v>
      </c>
      <c r="R5952">
        <v>1</v>
      </c>
      <c r="S5952">
        <v>0</v>
      </c>
      <c r="T5952">
        <v>0</v>
      </c>
      <c r="U5952">
        <v>0</v>
      </c>
      <c r="V5952">
        <v>0</v>
      </c>
      <c r="W5952">
        <v>1</v>
      </c>
      <c r="X5952" s="21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f t="shared" ref="AH5952:AH6015" si="93">(16*S5952)+(20*T5952)+(32*U5952)+(64*V5952)+(96*W5952)</f>
        <v>96</v>
      </c>
      <c r="AP5952" t="s">
        <v>1915</v>
      </c>
    </row>
    <row r="5953" spans="1:42">
      <c r="A5953" s="1">
        <v>43798</v>
      </c>
      <c r="B5953">
        <v>5</v>
      </c>
      <c r="C5953">
        <v>976</v>
      </c>
      <c r="D5953">
        <v>10426</v>
      </c>
      <c r="E5953" t="s">
        <v>37</v>
      </c>
      <c r="F5953" t="s">
        <v>520</v>
      </c>
      <c r="G5953">
        <v>2</v>
      </c>
      <c r="H5953">
        <f t="shared" si="91"/>
        <v>9</v>
      </c>
      <c r="I5953" s="25">
        <v>500</v>
      </c>
      <c r="K5953" t="s">
        <v>585</v>
      </c>
      <c r="M5953" t="s">
        <v>52</v>
      </c>
      <c r="N5953" t="s">
        <v>44</v>
      </c>
      <c r="O5953">
        <f>60+25</f>
        <v>85</v>
      </c>
      <c r="Q5953">
        <f t="shared" si="92"/>
        <v>1</v>
      </c>
      <c r="R5953">
        <v>1</v>
      </c>
      <c r="S5953">
        <v>0</v>
      </c>
      <c r="T5953">
        <v>0</v>
      </c>
      <c r="U5953">
        <v>0</v>
      </c>
      <c r="V5953">
        <v>0</v>
      </c>
      <c r="W5953">
        <v>1</v>
      </c>
      <c r="X5953" s="21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f t="shared" si="93"/>
        <v>96</v>
      </c>
      <c r="AP5953" t="s">
        <v>1915</v>
      </c>
    </row>
    <row r="5954" spans="1:42">
      <c r="A5954" s="1">
        <v>43798</v>
      </c>
      <c r="B5954">
        <v>5</v>
      </c>
      <c r="C5954">
        <v>976</v>
      </c>
      <c r="D5954">
        <v>10426</v>
      </c>
      <c r="E5954" t="s">
        <v>37</v>
      </c>
      <c r="F5954" t="s">
        <v>520</v>
      </c>
      <c r="G5954">
        <v>2</v>
      </c>
      <c r="H5954">
        <f t="shared" si="91"/>
        <v>10</v>
      </c>
      <c r="I5954" s="25">
        <v>300</v>
      </c>
      <c r="K5954" t="s">
        <v>1115</v>
      </c>
      <c r="M5954" t="s">
        <v>52</v>
      </c>
      <c r="N5954" t="s">
        <v>40</v>
      </c>
      <c r="O5954">
        <f>60+9</f>
        <v>69</v>
      </c>
      <c r="Q5954">
        <f t="shared" si="92"/>
        <v>2</v>
      </c>
      <c r="R5954">
        <v>1</v>
      </c>
      <c r="S5954">
        <v>0</v>
      </c>
      <c r="T5954">
        <v>0</v>
      </c>
      <c r="U5954">
        <v>0</v>
      </c>
      <c r="V5954">
        <v>2</v>
      </c>
      <c r="W5954">
        <v>0</v>
      </c>
      <c r="X5954" s="21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f t="shared" si="93"/>
        <v>128</v>
      </c>
      <c r="AP5954" t="s">
        <v>1915</v>
      </c>
    </row>
    <row r="5955" spans="1:42">
      <c r="A5955" s="1">
        <v>43798</v>
      </c>
      <c r="B5955">
        <v>5</v>
      </c>
      <c r="C5955">
        <v>976</v>
      </c>
      <c r="D5955">
        <v>10426</v>
      </c>
      <c r="E5955" t="s">
        <v>37</v>
      </c>
      <c r="F5955" t="s">
        <v>520</v>
      </c>
      <c r="G5955">
        <v>2</v>
      </c>
      <c r="H5955">
        <f t="shared" si="91"/>
        <v>11</v>
      </c>
      <c r="I5955" s="25">
        <v>300</v>
      </c>
      <c r="K5955" t="s">
        <v>1115</v>
      </c>
      <c r="M5955" t="s">
        <v>52</v>
      </c>
      <c r="N5955" t="s">
        <v>40</v>
      </c>
      <c r="O5955">
        <f>60+60+22</f>
        <v>142</v>
      </c>
      <c r="Q5955">
        <f t="shared" si="92"/>
        <v>3</v>
      </c>
      <c r="R5955">
        <v>1</v>
      </c>
      <c r="S5955">
        <v>0</v>
      </c>
      <c r="T5955">
        <v>0</v>
      </c>
      <c r="U5955">
        <v>1</v>
      </c>
      <c r="V5955">
        <v>2</v>
      </c>
      <c r="W5955">
        <v>0</v>
      </c>
      <c r="X5955" s="21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2</v>
      </c>
      <c r="AG5955">
        <v>0</v>
      </c>
      <c r="AH5955">
        <f t="shared" si="93"/>
        <v>160</v>
      </c>
      <c r="AP5955" t="s">
        <v>1915</v>
      </c>
    </row>
    <row r="5956" spans="1:42">
      <c r="A5956" s="1">
        <v>43798</v>
      </c>
      <c r="B5956">
        <v>5</v>
      </c>
      <c r="C5956">
        <v>976</v>
      </c>
      <c r="D5956">
        <v>10426</v>
      </c>
      <c r="E5956" t="s">
        <v>37</v>
      </c>
      <c r="F5956" t="s">
        <v>520</v>
      </c>
      <c r="G5956">
        <v>2</v>
      </c>
      <c r="H5956">
        <f t="shared" si="91"/>
        <v>12</v>
      </c>
      <c r="I5956" s="25">
        <v>723</v>
      </c>
      <c r="K5956" t="s">
        <v>585</v>
      </c>
      <c r="L5956" t="s">
        <v>141</v>
      </c>
      <c r="M5956" t="s">
        <v>52</v>
      </c>
      <c r="N5956" t="s">
        <v>44</v>
      </c>
      <c r="O5956">
        <f>(60+60+60+60+16)/2</f>
        <v>128</v>
      </c>
      <c r="Q5956">
        <f t="shared" si="92"/>
        <v>1</v>
      </c>
      <c r="R5956">
        <v>1</v>
      </c>
      <c r="S5956">
        <v>0</v>
      </c>
      <c r="T5956">
        <v>0</v>
      </c>
      <c r="U5956">
        <v>0</v>
      </c>
      <c r="V5956">
        <v>0</v>
      </c>
      <c r="W5956">
        <v>1</v>
      </c>
      <c r="X5956" s="21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f t="shared" si="93"/>
        <v>96</v>
      </c>
      <c r="AL5956" t="s">
        <v>1938</v>
      </c>
      <c r="AP5956" t="s">
        <v>1915</v>
      </c>
    </row>
    <row r="5957" spans="1:42">
      <c r="A5957" s="1">
        <v>43798</v>
      </c>
      <c r="B5957">
        <v>5</v>
      </c>
      <c r="C5957">
        <v>976</v>
      </c>
      <c r="D5957">
        <v>10426</v>
      </c>
      <c r="E5957" t="s">
        <v>37</v>
      </c>
      <c r="F5957" t="s">
        <v>520</v>
      </c>
      <c r="G5957">
        <v>2</v>
      </c>
      <c r="H5957">
        <f t="shared" si="91"/>
        <v>13</v>
      </c>
      <c r="I5957" s="25">
        <v>702</v>
      </c>
      <c r="K5957" t="s">
        <v>585</v>
      </c>
      <c r="L5957" t="s">
        <v>114</v>
      </c>
      <c r="M5957" t="s">
        <v>52</v>
      </c>
      <c r="N5957" t="s">
        <v>44</v>
      </c>
      <c r="O5957">
        <f>(60+60+60+60+16)/2</f>
        <v>128</v>
      </c>
      <c r="Q5957">
        <f t="shared" si="92"/>
        <v>1</v>
      </c>
      <c r="R5957">
        <v>1</v>
      </c>
      <c r="S5957">
        <v>0</v>
      </c>
      <c r="T5957">
        <v>0</v>
      </c>
      <c r="U5957">
        <v>0</v>
      </c>
      <c r="V5957">
        <v>0</v>
      </c>
      <c r="W5957">
        <v>1</v>
      </c>
      <c r="X5957" s="21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f t="shared" si="93"/>
        <v>96</v>
      </c>
      <c r="AP5957" t="s">
        <v>1915</v>
      </c>
    </row>
    <row r="5958" spans="1:42">
      <c r="A5958" s="1">
        <v>43798</v>
      </c>
      <c r="B5958">
        <v>5</v>
      </c>
      <c r="C5958">
        <v>976</v>
      </c>
      <c r="D5958">
        <v>10426</v>
      </c>
      <c r="E5958" t="s">
        <v>37</v>
      </c>
      <c r="F5958" t="s">
        <v>520</v>
      </c>
      <c r="G5958">
        <v>2</v>
      </c>
      <c r="H5958">
        <f t="shared" si="91"/>
        <v>14</v>
      </c>
      <c r="I5958" s="25">
        <v>1500</v>
      </c>
      <c r="K5958" t="s">
        <v>407</v>
      </c>
      <c r="M5958" t="s">
        <v>52</v>
      </c>
      <c r="N5958" t="s">
        <v>40</v>
      </c>
      <c r="O5958">
        <f>35</f>
        <v>35</v>
      </c>
      <c r="Q5958">
        <f t="shared" si="92"/>
        <v>1</v>
      </c>
      <c r="R5958">
        <v>1</v>
      </c>
      <c r="S5958">
        <v>0</v>
      </c>
      <c r="T5958">
        <v>0</v>
      </c>
      <c r="U5958">
        <v>1</v>
      </c>
      <c r="V5958">
        <v>0</v>
      </c>
      <c r="W5958">
        <v>0</v>
      </c>
      <c r="X5958" s="21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f t="shared" si="93"/>
        <v>32</v>
      </c>
      <c r="AP5958" t="s">
        <v>1915</v>
      </c>
    </row>
    <row r="5959" spans="1:42">
      <c r="A5959" s="1">
        <v>43798</v>
      </c>
      <c r="B5959">
        <v>5</v>
      </c>
      <c r="C5959">
        <v>976</v>
      </c>
      <c r="D5959">
        <v>10426</v>
      </c>
      <c r="E5959" t="s">
        <v>37</v>
      </c>
      <c r="F5959" t="s">
        <v>520</v>
      </c>
      <c r="G5959">
        <v>2</v>
      </c>
      <c r="H5959">
        <f t="shared" si="91"/>
        <v>15</v>
      </c>
      <c r="I5959" s="25">
        <v>1550</v>
      </c>
      <c r="K5959" t="s">
        <v>407</v>
      </c>
      <c r="M5959" t="s">
        <v>52</v>
      </c>
      <c r="N5959" t="s">
        <v>44</v>
      </c>
      <c r="O5959">
        <f>60+21</f>
        <v>81</v>
      </c>
      <c r="Q5959">
        <f t="shared" si="92"/>
        <v>1</v>
      </c>
      <c r="R5959">
        <v>1</v>
      </c>
      <c r="S5959">
        <v>0</v>
      </c>
      <c r="T5959">
        <v>0</v>
      </c>
      <c r="U5959">
        <v>0</v>
      </c>
      <c r="V5959">
        <v>0</v>
      </c>
      <c r="W5959">
        <v>1</v>
      </c>
      <c r="X5959" s="21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f t="shared" si="93"/>
        <v>96</v>
      </c>
      <c r="AL5959" t="s">
        <v>597</v>
      </c>
      <c r="AP5959" t="s">
        <v>1915</v>
      </c>
    </row>
    <row r="5960" spans="1:42">
      <c r="A5960" s="1">
        <v>43798</v>
      </c>
      <c r="B5960">
        <v>5</v>
      </c>
      <c r="C5960">
        <v>976</v>
      </c>
      <c r="D5960">
        <v>10426</v>
      </c>
      <c r="E5960" t="s">
        <v>37</v>
      </c>
      <c r="F5960" t="s">
        <v>520</v>
      </c>
      <c r="G5960">
        <v>2</v>
      </c>
      <c r="H5960">
        <f t="shared" si="91"/>
        <v>16</v>
      </c>
      <c r="I5960" s="25">
        <v>700</v>
      </c>
      <c r="K5960" t="s">
        <v>119</v>
      </c>
      <c r="M5960" t="s">
        <v>52</v>
      </c>
      <c r="N5960" t="s">
        <v>44</v>
      </c>
      <c r="O5960">
        <f>60+37</f>
        <v>97</v>
      </c>
      <c r="Q5960">
        <f t="shared" si="92"/>
        <v>2</v>
      </c>
      <c r="R5960">
        <v>1</v>
      </c>
      <c r="S5960">
        <v>0</v>
      </c>
      <c r="T5960">
        <v>0</v>
      </c>
      <c r="U5960">
        <v>0</v>
      </c>
      <c r="V5960">
        <v>0</v>
      </c>
      <c r="W5960">
        <v>2</v>
      </c>
      <c r="X5960" s="21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f t="shared" si="93"/>
        <v>192</v>
      </c>
      <c r="AP5960" t="s">
        <v>1915</v>
      </c>
    </row>
    <row r="5961" spans="1:42">
      <c r="A5961" s="1">
        <v>43798</v>
      </c>
      <c r="B5961">
        <v>5</v>
      </c>
      <c r="C5961">
        <v>976</v>
      </c>
      <c r="D5961">
        <v>10426</v>
      </c>
      <c r="E5961" t="s">
        <v>37</v>
      </c>
      <c r="F5961" t="s">
        <v>520</v>
      </c>
      <c r="G5961">
        <v>2</v>
      </c>
      <c r="H5961">
        <f t="shared" si="91"/>
        <v>17</v>
      </c>
      <c r="I5961" s="25">
        <v>1600</v>
      </c>
      <c r="K5961" t="s">
        <v>102</v>
      </c>
      <c r="M5961" t="s">
        <v>52</v>
      </c>
      <c r="N5961" t="s">
        <v>44</v>
      </c>
      <c r="O5961">
        <v>52</v>
      </c>
      <c r="Q5961">
        <f t="shared" si="92"/>
        <v>1</v>
      </c>
      <c r="R5961">
        <v>1</v>
      </c>
      <c r="S5961">
        <v>0</v>
      </c>
      <c r="T5961">
        <v>0</v>
      </c>
      <c r="U5961">
        <v>0</v>
      </c>
      <c r="V5961">
        <v>0</v>
      </c>
      <c r="W5961">
        <v>1</v>
      </c>
      <c r="X5961" s="2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f t="shared" si="93"/>
        <v>96</v>
      </c>
      <c r="AL5961" t="s">
        <v>587</v>
      </c>
      <c r="AP5961" t="s">
        <v>1915</v>
      </c>
    </row>
    <row r="5962" spans="1:42">
      <c r="A5962" s="1">
        <v>43798</v>
      </c>
      <c r="B5962">
        <v>5</v>
      </c>
      <c r="C5962">
        <v>976</v>
      </c>
      <c r="D5962">
        <v>10426</v>
      </c>
      <c r="E5962" t="s">
        <v>37</v>
      </c>
      <c r="F5962" t="s">
        <v>520</v>
      </c>
      <c r="G5962">
        <v>2</v>
      </c>
      <c r="H5962">
        <f t="shared" si="91"/>
        <v>18</v>
      </c>
      <c r="I5962" s="25">
        <v>1600</v>
      </c>
      <c r="K5962" t="s">
        <v>102</v>
      </c>
      <c r="M5962" t="s">
        <v>52</v>
      </c>
      <c r="N5962" t="s">
        <v>40</v>
      </c>
      <c r="O5962">
        <f>60+26</f>
        <v>86</v>
      </c>
      <c r="Q5962">
        <f t="shared" si="92"/>
        <v>1</v>
      </c>
      <c r="R5962">
        <v>1</v>
      </c>
      <c r="S5962">
        <v>0</v>
      </c>
      <c r="T5962">
        <v>0</v>
      </c>
      <c r="U5962">
        <v>0</v>
      </c>
      <c r="V5962">
        <v>0</v>
      </c>
      <c r="W5962">
        <v>1</v>
      </c>
      <c r="X5962" s="21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f t="shared" si="93"/>
        <v>96</v>
      </c>
      <c r="AP5962" t="s">
        <v>1915</v>
      </c>
    </row>
    <row r="5963" spans="1:42">
      <c r="A5963" s="1">
        <v>43798</v>
      </c>
      <c r="B5963">
        <v>5</v>
      </c>
      <c r="C5963">
        <v>976</v>
      </c>
      <c r="D5963">
        <v>10426</v>
      </c>
      <c r="E5963" t="s">
        <v>37</v>
      </c>
      <c r="F5963" t="s">
        <v>520</v>
      </c>
      <c r="G5963">
        <v>2</v>
      </c>
      <c r="H5963">
        <f t="shared" si="91"/>
        <v>19</v>
      </c>
      <c r="I5963" s="25">
        <v>900</v>
      </c>
      <c r="K5963" t="s">
        <v>585</v>
      </c>
      <c r="M5963" t="s">
        <v>52</v>
      </c>
      <c r="N5963" t="s">
        <v>40</v>
      </c>
      <c r="O5963">
        <f>60+50</f>
        <v>110</v>
      </c>
      <c r="Q5963">
        <f t="shared" si="92"/>
        <v>3</v>
      </c>
      <c r="R5963">
        <v>1</v>
      </c>
      <c r="S5963">
        <v>0</v>
      </c>
      <c r="T5963">
        <v>0</v>
      </c>
      <c r="U5963">
        <v>1</v>
      </c>
      <c r="V5963">
        <v>2</v>
      </c>
      <c r="W5963">
        <v>0</v>
      </c>
      <c r="X5963" s="21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f t="shared" si="93"/>
        <v>160</v>
      </c>
      <c r="AP5963" t="s">
        <v>1915</v>
      </c>
    </row>
    <row r="5964" spans="1:42">
      <c r="A5964" s="1">
        <v>43798</v>
      </c>
      <c r="B5964">
        <v>5</v>
      </c>
      <c r="C5964">
        <v>976</v>
      </c>
      <c r="D5964">
        <v>10426</v>
      </c>
      <c r="E5964" t="s">
        <v>37</v>
      </c>
      <c r="F5964" t="s">
        <v>520</v>
      </c>
      <c r="G5964">
        <v>2</v>
      </c>
      <c r="H5964">
        <f t="shared" si="91"/>
        <v>20</v>
      </c>
      <c r="I5964" s="25">
        <v>880</v>
      </c>
      <c r="K5964" t="s">
        <v>585</v>
      </c>
      <c r="L5964" t="s">
        <v>114</v>
      </c>
      <c r="M5964" t="s">
        <v>52</v>
      </c>
      <c r="N5964" t="s">
        <v>44</v>
      </c>
      <c r="O5964">
        <f>60+60+60+60+38</f>
        <v>278</v>
      </c>
      <c r="Q5964">
        <f t="shared" si="92"/>
        <v>2</v>
      </c>
      <c r="R5964">
        <v>1</v>
      </c>
      <c r="S5964">
        <v>0</v>
      </c>
      <c r="T5964">
        <v>0</v>
      </c>
      <c r="U5964">
        <v>0</v>
      </c>
      <c r="V5964">
        <v>2</v>
      </c>
      <c r="W5964">
        <v>0</v>
      </c>
      <c r="X5964" s="21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f t="shared" si="93"/>
        <v>128</v>
      </c>
      <c r="AP5964" t="s">
        <v>1915</v>
      </c>
    </row>
    <row r="5965" spans="1:42">
      <c r="A5965" s="1">
        <v>43798</v>
      </c>
      <c r="B5965">
        <v>5</v>
      </c>
      <c r="C5965">
        <v>976</v>
      </c>
      <c r="D5965">
        <v>10426</v>
      </c>
      <c r="E5965" t="s">
        <v>37</v>
      </c>
      <c r="F5965" t="s">
        <v>520</v>
      </c>
      <c r="G5965">
        <v>2</v>
      </c>
      <c r="H5965">
        <f t="shared" si="91"/>
        <v>21</v>
      </c>
      <c r="I5965" s="25">
        <v>895</v>
      </c>
      <c r="K5965" t="s">
        <v>585</v>
      </c>
      <c r="L5965" t="s">
        <v>141</v>
      </c>
      <c r="M5965" t="s">
        <v>52</v>
      </c>
      <c r="N5965" t="s">
        <v>44</v>
      </c>
      <c r="O5965">
        <f>60+41</f>
        <v>101</v>
      </c>
      <c r="Q5965">
        <f t="shared" si="92"/>
        <v>1</v>
      </c>
      <c r="R5965">
        <v>1</v>
      </c>
      <c r="S5965">
        <v>0</v>
      </c>
      <c r="T5965">
        <v>0</v>
      </c>
      <c r="U5965">
        <v>0</v>
      </c>
      <c r="V5965">
        <v>0</v>
      </c>
      <c r="W5965">
        <v>1</v>
      </c>
      <c r="X5965" s="21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f t="shared" si="93"/>
        <v>96</v>
      </c>
      <c r="AP5965" t="s">
        <v>1915</v>
      </c>
    </row>
    <row r="5966" spans="1:42">
      <c r="A5966" s="1">
        <v>43798</v>
      </c>
      <c r="B5966">
        <v>5</v>
      </c>
      <c r="C5966">
        <v>976</v>
      </c>
      <c r="D5966">
        <v>10426</v>
      </c>
      <c r="E5966" t="s">
        <v>37</v>
      </c>
      <c r="F5966" t="s">
        <v>520</v>
      </c>
      <c r="G5966">
        <v>2</v>
      </c>
      <c r="H5966">
        <f t="shared" si="91"/>
        <v>22</v>
      </c>
      <c r="I5966" s="25">
        <v>875</v>
      </c>
      <c r="K5966" t="s">
        <v>585</v>
      </c>
      <c r="L5966" t="s">
        <v>141</v>
      </c>
      <c r="M5966" t="s">
        <v>52</v>
      </c>
      <c r="N5966" t="s">
        <v>44</v>
      </c>
      <c r="O5966">
        <f>(60+60+15)/2</f>
        <v>67.5</v>
      </c>
      <c r="Q5966">
        <f t="shared" si="92"/>
        <v>1</v>
      </c>
      <c r="R5966">
        <v>1</v>
      </c>
      <c r="S5966">
        <v>0</v>
      </c>
      <c r="T5966">
        <v>0</v>
      </c>
      <c r="U5966">
        <v>0</v>
      </c>
      <c r="V5966">
        <v>0</v>
      </c>
      <c r="W5966">
        <v>1</v>
      </c>
      <c r="X5966" s="21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f t="shared" si="93"/>
        <v>96</v>
      </c>
      <c r="AP5966" t="s">
        <v>1915</v>
      </c>
    </row>
    <row r="5967" spans="1:42">
      <c r="A5967" s="1">
        <v>43798</v>
      </c>
      <c r="B5967">
        <v>5</v>
      </c>
      <c r="C5967">
        <v>976</v>
      </c>
      <c r="D5967">
        <v>10426</v>
      </c>
      <c r="E5967" t="s">
        <v>37</v>
      </c>
      <c r="F5967" t="s">
        <v>520</v>
      </c>
      <c r="G5967">
        <v>2</v>
      </c>
      <c r="H5967">
        <f t="shared" ref="H5967:H6011" si="94">H5966+1</f>
        <v>23</v>
      </c>
      <c r="I5967" s="25">
        <v>865</v>
      </c>
      <c r="K5967" t="s">
        <v>585</v>
      </c>
      <c r="L5967" t="s">
        <v>141</v>
      </c>
      <c r="M5967" t="s">
        <v>52</v>
      </c>
      <c r="N5967" t="s">
        <v>44</v>
      </c>
      <c r="O5967">
        <f>(60+60+15)/2</f>
        <v>67.5</v>
      </c>
      <c r="Q5967">
        <f t="shared" si="92"/>
        <v>1</v>
      </c>
      <c r="R5967">
        <v>1</v>
      </c>
      <c r="S5967">
        <v>0</v>
      </c>
      <c r="T5967">
        <v>0</v>
      </c>
      <c r="U5967">
        <v>0</v>
      </c>
      <c r="V5967">
        <v>0</v>
      </c>
      <c r="W5967">
        <v>1</v>
      </c>
      <c r="X5967" s="21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f t="shared" si="93"/>
        <v>96</v>
      </c>
      <c r="AP5967" t="s">
        <v>1915</v>
      </c>
    </row>
    <row r="5968" spans="1:42">
      <c r="A5968" s="1">
        <v>43798</v>
      </c>
      <c r="B5968">
        <v>5</v>
      </c>
      <c r="C5968">
        <v>976</v>
      </c>
      <c r="D5968">
        <v>10426</v>
      </c>
      <c r="E5968" t="s">
        <v>37</v>
      </c>
      <c r="F5968" t="s">
        <v>520</v>
      </c>
      <c r="G5968">
        <v>2</v>
      </c>
      <c r="H5968">
        <f t="shared" si="94"/>
        <v>24</v>
      </c>
      <c r="I5968" s="25">
        <v>600</v>
      </c>
      <c r="K5968" t="s">
        <v>156</v>
      </c>
      <c r="M5968" t="s">
        <v>52</v>
      </c>
      <c r="N5968" t="s">
        <v>40</v>
      </c>
      <c r="O5968">
        <f>60+60+2</f>
        <v>122</v>
      </c>
      <c r="Q5968">
        <f t="shared" si="92"/>
        <v>2</v>
      </c>
      <c r="R5968">
        <v>1</v>
      </c>
      <c r="S5968">
        <v>0</v>
      </c>
      <c r="T5968">
        <v>0</v>
      </c>
      <c r="U5968">
        <v>0</v>
      </c>
      <c r="V5968">
        <v>0</v>
      </c>
      <c r="W5968">
        <v>2</v>
      </c>
      <c r="X5968" s="21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f t="shared" si="93"/>
        <v>192</v>
      </c>
      <c r="AP5968" t="s">
        <v>1915</v>
      </c>
    </row>
    <row r="5969" spans="1:42">
      <c r="A5969" s="1">
        <v>43798</v>
      </c>
      <c r="B5969">
        <v>5</v>
      </c>
      <c r="C5969">
        <v>976</v>
      </c>
      <c r="D5969">
        <v>10426</v>
      </c>
      <c r="E5969" t="s">
        <v>37</v>
      </c>
      <c r="F5969" t="s">
        <v>520</v>
      </c>
      <c r="G5969">
        <v>2</v>
      </c>
      <c r="H5969">
        <f t="shared" si="94"/>
        <v>25</v>
      </c>
      <c r="I5969" s="25">
        <v>1600</v>
      </c>
      <c r="K5969" t="s">
        <v>50</v>
      </c>
      <c r="M5969" t="s">
        <v>52</v>
      </c>
      <c r="N5969" t="s">
        <v>40</v>
      </c>
      <c r="O5969">
        <f>60+18</f>
        <v>78</v>
      </c>
      <c r="Q5969">
        <f t="shared" si="92"/>
        <v>1</v>
      </c>
      <c r="R5969">
        <v>1</v>
      </c>
      <c r="S5969">
        <v>0</v>
      </c>
      <c r="T5969">
        <v>0</v>
      </c>
      <c r="U5969">
        <v>0</v>
      </c>
      <c r="V5969">
        <v>1</v>
      </c>
      <c r="W5969">
        <v>0</v>
      </c>
      <c r="X5969" s="21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f t="shared" si="93"/>
        <v>64</v>
      </c>
      <c r="AP5969" t="s">
        <v>1915</v>
      </c>
    </row>
    <row r="5970" spans="1:42">
      <c r="A5970" s="1">
        <v>43798</v>
      </c>
      <c r="B5970">
        <v>5</v>
      </c>
      <c r="C5970">
        <v>976</v>
      </c>
      <c r="D5970">
        <v>10426</v>
      </c>
      <c r="E5970" t="s">
        <v>37</v>
      </c>
      <c r="F5970" t="s">
        <v>520</v>
      </c>
      <c r="G5970">
        <v>2</v>
      </c>
      <c r="H5970">
        <f t="shared" si="94"/>
        <v>26</v>
      </c>
      <c r="I5970" s="25">
        <v>1600</v>
      </c>
      <c r="K5970" t="s">
        <v>50</v>
      </c>
      <c r="M5970" t="s">
        <v>52</v>
      </c>
      <c r="N5970" t="s">
        <v>40</v>
      </c>
      <c r="O5970">
        <f>60+33</f>
        <v>93</v>
      </c>
      <c r="Q5970">
        <f t="shared" si="92"/>
        <v>2</v>
      </c>
      <c r="R5970">
        <v>1</v>
      </c>
      <c r="S5970">
        <v>0</v>
      </c>
      <c r="T5970">
        <v>0</v>
      </c>
      <c r="U5970">
        <v>0</v>
      </c>
      <c r="V5970">
        <v>0</v>
      </c>
      <c r="W5970">
        <v>2</v>
      </c>
      <c r="X5970" s="21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f t="shared" si="93"/>
        <v>192</v>
      </c>
      <c r="AP5970" t="s">
        <v>1915</v>
      </c>
    </row>
    <row r="5971" spans="1:42">
      <c r="A5971" s="1">
        <v>43798</v>
      </c>
      <c r="B5971">
        <v>5</v>
      </c>
      <c r="C5971">
        <v>976</v>
      </c>
      <c r="D5971">
        <v>10426</v>
      </c>
      <c r="E5971" t="s">
        <v>37</v>
      </c>
      <c r="F5971" t="s">
        <v>520</v>
      </c>
      <c r="G5971">
        <v>2</v>
      </c>
      <c r="H5971">
        <f t="shared" si="94"/>
        <v>27</v>
      </c>
      <c r="I5971" s="25">
        <v>500</v>
      </c>
      <c r="K5971" t="s">
        <v>148</v>
      </c>
      <c r="M5971" t="s">
        <v>52</v>
      </c>
      <c r="N5971" t="s">
        <v>40</v>
      </c>
      <c r="O5971">
        <f>60+25</f>
        <v>85</v>
      </c>
      <c r="Q5971">
        <f t="shared" si="92"/>
        <v>1</v>
      </c>
      <c r="R5971">
        <v>1</v>
      </c>
      <c r="S5971">
        <v>0</v>
      </c>
      <c r="T5971">
        <v>0</v>
      </c>
      <c r="U5971">
        <v>0</v>
      </c>
      <c r="V5971">
        <v>0</v>
      </c>
      <c r="W5971">
        <v>1</v>
      </c>
      <c r="X5971" s="2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f t="shared" si="93"/>
        <v>96</v>
      </c>
      <c r="AP5971" t="s">
        <v>1915</v>
      </c>
    </row>
    <row r="5972" spans="1:42">
      <c r="A5972" s="1">
        <v>43798</v>
      </c>
      <c r="B5972">
        <v>5</v>
      </c>
      <c r="C5972">
        <v>976</v>
      </c>
      <c r="D5972">
        <v>10426</v>
      </c>
      <c r="E5972" t="s">
        <v>37</v>
      </c>
      <c r="F5972" t="s">
        <v>520</v>
      </c>
      <c r="G5972">
        <v>2</v>
      </c>
      <c r="H5972">
        <f t="shared" si="94"/>
        <v>28</v>
      </c>
      <c r="I5972" s="25">
        <v>500</v>
      </c>
      <c r="K5972" t="s">
        <v>148</v>
      </c>
      <c r="M5972" t="s">
        <v>52</v>
      </c>
      <c r="N5972" t="s">
        <v>44</v>
      </c>
      <c r="O5972">
        <f>60+60+16</f>
        <v>136</v>
      </c>
      <c r="Q5972">
        <f t="shared" si="92"/>
        <v>2</v>
      </c>
      <c r="R5972">
        <v>1</v>
      </c>
      <c r="S5972">
        <v>0</v>
      </c>
      <c r="T5972">
        <v>0</v>
      </c>
      <c r="U5972">
        <v>0</v>
      </c>
      <c r="V5972">
        <v>0</v>
      </c>
      <c r="W5972">
        <v>2</v>
      </c>
      <c r="X5972" s="21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f t="shared" si="93"/>
        <v>192</v>
      </c>
      <c r="AL5972" t="s">
        <v>587</v>
      </c>
      <c r="AP5972" t="s">
        <v>1915</v>
      </c>
    </row>
    <row r="5973" spans="1:42">
      <c r="A5973" s="1">
        <v>43798</v>
      </c>
      <c r="B5973">
        <v>5</v>
      </c>
      <c r="C5973">
        <v>976</v>
      </c>
      <c r="D5973">
        <v>10426</v>
      </c>
      <c r="E5973" t="s">
        <v>37</v>
      </c>
      <c r="F5973" t="s">
        <v>520</v>
      </c>
      <c r="G5973">
        <v>2</v>
      </c>
      <c r="H5973">
        <f t="shared" si="94"/>
        <v>29</v>
      </c>
      <c r="I5973" s="25">
        <v>500</v>
      </c>
      <c r="K5973" t="s">
        <v>213</v>
      </c>
      <c r="M5973" t="s">
        <v>52</v>
      </c>
      <c r="N5973" t="s">
        <v>44</v>
      </c>
      <c r="O5973">
        <f>60+19</f>
        <v>79</v>
      </c>
      <c r="Q5973">
        <f t="shared" si="92"/>
        <v>1</v>
      </c>
      <c r="R5973">
        <v>1</v>
      </c>
      <c r="S5973">
        <v>0</v>
      </c>
      <c r="T5973">
        <v>0</v>
      </c>
      <c r="U5973">
        <v>0</v>
      </c>
      <c r="V5973">
        <v>0</v>
      </c>
      <c r="W5973">
        <v>1</v>
      </c>
      <c r="X5973" s="21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f t="shared" si="93"/>
        <v>96</v>
      </c>
      <c r="AP5973" t="s">
        <v>1915</v>
      </c>
    </row>
    <row r="5974" spans="1:42">
      <c r="A5974" s="1">
        <v>43798</v>
      </c>
      <c r="B5974">
        <v>5</v>
      </c>
      <c r="C5974">
        <v>976</v>
      </c>
      <c r="D5974">
        <v>10426</v>
      </c>
      <c r="E5974" t="s">
        <v>37</v>
      </c>
      <c r="F5974" t="s">
        <v>520</v>
      </c>
      <c r="G5974">
        <v>2</v>
      </c>
      <c r="H5974">
        <f t="shared" si="94"/>
        <v>30</v>
      </c>
      <c r="I5974" s="25">
        <v>533</v>
      </c>
      <c r="K5974" t="s">
        <v>213</v>
      </c>
      <c r="M5974" t="s">
        <v>52</v>
      </c>
      <c r="N5974" t="s">
        <v>44</v>
      </c>
      <c r="O5974">
        <f>60+60+60+33</f>
        <v>213</v>
      </c>
      <c r="Q5974">
        <f t="shared" si="92"/>
        <v>2</v>
      </c>
      <c r="R5974">
        <v>1</v>
      </c>
      <c r="S5974">
        <v>0</v>
      </c>
      <c r="T5974">
        <v>0</v>
      </c>
      <c r="U5974">
        <v>0</v>
      </c>
      <c r="V5974">
        <v>1</v>
      </c>
      <c r="W5974">
        <v>1</v>
      </c>
      <c r="X5974" s="21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f t="shared" si="93"/>
        <v>160</v>
      </c>
      <c r="AL5974" t="s">
        <v>587</v>
      </c>
      <c r="AP5974" t="s">
        <v>1915</v>
      </c>
    </row>
    <row r="5975" spans="1:42">
      <c r="A5975" s="1">
        <v>43798</v>
      </c>
      <c r="B5975">
        <v>5</v>
      </c>
      <c r="C5975">
        <v>976</v>
      </c>
      <c r="D5975">
        <v>10426</v>
      </c>
      <c r="E5975" t="s">
        <v>37</v>
      </c>
      <c r="F5975" t="s">
        <v>520</v>
      </c>
      <c r="G5975">
        <v>2</v>
      </c>
      <c r="H5975">
        <f t="shared" si="94"/>
        <v>31</v>
      </c>
      <c r="I5975" s="25">
        <v>500</v>
      </c>
      <c r="K5975" t="s">
        <v>213</v>
      </c>
      <c r="M5975" t="s">
        <v>52</v>
      </c>
      <c r="N5975" t="s">
        <v>44</v>
      </c>
      <c r="O5975">
        <f>60+20</f>
        <v>80</v>
      </c>
      <c r="Q5975">
        <f t="shared" si="92"/>
        <v>1</v>
      </c>
      <c r="R5975">
        <v>1</v>
      </c>
      <c r="S5975">
        <v>0</v>
      </c>
      <c r="T5975">
        <v>0</v>
      </c>
      <c r="U5975">
        <v>0</v>
      </c>
      <c r="V5975">
        <v>0</v>
      </c>
      <c r="W5975">
        <v>1</v>
      </c>
      <c r="X5975" s="21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f t="shared" si="93"/>
        <v>96</v>
      </c>
      <c r="AL5975" t="s">
        <v>587</v>
      </c>
      <c r="AP5975" t="s">
        <v>1915</v>
      </c>
    </row>
    <row r="5976" spans="1:42">
      <c r="A5976" s="1">
        <v>43798</v>
      </c>
      <c r="B5976">
        <v>5</v>
      </c>
      <c r="C5976">
        <v>976</v>
      </c>
      <c r="D5976">
        <v>10426</v>
      </c>
      <c r="E5976" t="s">
        <v>37</v>
      </c>
      <c r="F5976" t="s">
        <v>520</v>
      </c>
      <c r="G5976">
        <v>2</v>
      </c>
      <c r="H5976">
        <f t="shared" si="94"/>
        <v>32</v>
      </c>
      <c r="I5976" s="25">
        <v>1701</v>
      </c>
      <c r="K5976" t="s">
        <v>50</v>
      </c>
      <c r="M5976" t="s">
        <v>52</v>
      </c>
      <c r="N5976" t="s">
        <v>44</v>
      </c>
      <c r="O5976">
        <f>60+8</f>
        <v>68</v>
      </c>
      <c r="Q5976">
        <f t="shared" si="92"/>
        <v>2</v>
      </c>
      <c r="R5976">
        <v>1</v>
      </c>
      <c r="S5976">
        <v>0</v>
      </c>
      <c r="T5976">
        <v>0</v>
      </c>
      <c r="U5976">
        <v>0</v>
      </c>
      <c r="V5976">
        <v>0</v>
      </c>
      <c r="W5976">
        <v>2</v>
      </c>
      <c r="X5976" s="21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f t="shared" si="93"/>
        <v>192</v>
      </c>
      <c r="AP5976" t="s">
        <v>1915</v>
      </c>
    </row>
    <row r="5977" spans="1:42">
      <c r="A5977" s="1">
        <v>43798</v>
      </c>
      <c r="B5977">
        <v>5</v>
      </c>
      <c r="C5977">
        <v>976</v>
      </c>
      <c r="D5977">
        <v>10426</v>
      </c>
      <c r="E5977" t="s">
        <v>37</v>
      </c>
      <c r="F5977" t="s">
        <v>520</v>
      </c>
      <c r="G5977">
        <v>2</v>
      </c>
      <c r="H5977">
        <f t="shared" si="94"/>
        <v>33</v>
      </c>
      <c r="I5977" s="25">
        <v>1700</v>
      </c>
      <c r="K5977" t="s">
        <v>50</v>
      </c>
      <c r="M5977" t="s">
        <v>52</v>
      </c>
      <c r="N5977" t="s">
        <v>40</v>
      </c>
      <c r="O5977">
        <f>60+43</f>
        <v>103</v>
      </c>
      <c r="Q5977">
        <f t="shared" si="92"/>
        <v>2</v>
      </c>
      <c r="R5977">
        <v>1</v>
      </c>
      <c r="S5977">
        <v>0</v>
      </c>
      <c r="T5977">
        <v>0</v>
      </c>
      <c r="U5977">
        <v>0</v>
      </c>
      <c r="V5977">
        <v>0</v>
      </c>
      <c r="W5977">
        <v>2</v>
      </c>
      <c r="X5977" s="21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f t="shared" si="93"/>
        <v>192</v>
      </c>
      <c r="AP5977" t="s">
        <v>1915</v>
      </c>
    </row>
    <row r="5978" spans="1:42">
      <c r="A5978" s="1">
        <v>43798</v>
      </c>
      <c r="B5978">
        <v>5</v>
      </c>
      <c r="C5978">
        <v>976</v>
      </c>
      <c r="D5978">
        <v>10426</v>
      </c>
      <c r="E5978" t="s">
        <v>37</v>
      </c>
      <c r="F5978" t="s">
        <v>520</v>
      </c>
      <c r="G5978">
        <v>2</v>
      </c>
      <c r="H5978">
        <f t="shared" si="94"/>
        <v>34</v>
      </c>
      <c r="I5978" s="25">
        <v>660</v>
      </c>
      <c r="K5978" t="s">
        <v>148</v>
      </c>
      <c r="M5978" t="s">
        <v>52</v>
      </c>
      <c r="N5978" t="s">
        <v>44</v>
      </c>
      <c r="O5978">
        <f>60+60+60+18</f>
        <v>198</v>
      </c>
      <c r="Q5978">
        <f t="shared" si="92"/>
        <v>3</v>
      </c>
      <c r="R5978">
        <v>1</v>
      </c>
      <c r="S5978">
        <v>0</v>
      </c>
      <c r="T5978">
        <v>0</v>
      </c>
      <c r="U5978">
        <v>0</v>
      </c>
      <c r="V5978">
        <v>1</v>
      </c>
      <c r="W5978">
        <v>2</v>
      </c>
      <c r="X5978" s="21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f t="shared" si="93"/>
        <v>256</v>
      </c>
      <c r="AP5978" t="s">
        <v>1915</v>
      </c>
    </row>
    <row r="5979" spans="1:42">
      <c r="A5979" s="1">
        <v>43798</v>
      </c>
      <c r="B5979">
        <v>5</v>
      </c>
      <c r="C5979">
        <v>976</v>
      </c>
      <c r="D5979">
        <v>10426</v>
      </c>
      <c r="E5979" t="s">
        <v>37</v>
      </c>
      <c r="F5979" t="s">
        <v>520</v>
      </c>
      <c r="G5979">
        <v>2</v>
      </c>
      <c r="H5979">
        <f t="shared" si="94"/>
        <v>35</v>
      </c>
      <c r="I5979" s="25">
        <v>1809</v>
      </c>
      <c r="K5979" t="s">
        <v>407</v>
      </c>
      <c r="M5979" t="s">
        <v>52</v>
      </c>
      <c r="N5979" t="s">
        <v>40</v>
      </c>
      <c r="O5979">
        <f>60+9</f>
        <v>69</v>
      </c>
      <c r="Q5979">
        <f t="shared" si="92"/>
        <v>2</v>
      </c>
      <c r="R5979">
        <v>1</v>
      </c>
      <c r="S5979">
        <v>0</v>
      </c>
      <c r="T5979">
        <v>0</v>
      </c>
      <c r="U5979">
        <v>0</v>
      </c>
      <c r="V5979">
        <v>0</v>
      </c>
      <c r="W5979">
        <v>2</v>
      </c>
      <c r="X5979" s="21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f t="shared" si="93"/>
        <v>192</v>
      </c>
      <c r="AP5979" t="s">
        <v>1915</v>
      </c>
    </row>
    <row r="5980" spans="1:42">
      <c r="A5980" s="1">
        <v>43798</v>
      </c>
      <c r="B5980">
        <v>5</v>
      </c>
      <c r="C5980">
        <v>976</v>
      </c>
      <c r="D5980">
        <v>10426</v>
      </c>
      <c r="E5980" t="s">
        <v>37</v>
      </c>
      <c r="F5980" t="s">
        <v>520</v>
      </c>
      <c r="G5980">
        <v>2</v>
      </c>
      <c r="H5980">
        <f t="shared" si="94"/>
        <v>36</v>
      </c>
      <c r="I5980" s="25">
        <v>700</v>
      </c>
      <c r="K5980" t="s">
        <v>213</v>
      </c>
      <c r="M5980" t="s">
        <v>52</v>
      </c>
      <c r="N5980" t="s">
        <v>40</v>
      </c>
      <c r="O5980">
        <v>45</v>
      </c>
      <c r="Q5980">
        <f t="shared" si="92"/>
        <v>1</v>
      </c>
      <c r="R5980">
        <v>1</v>
      </c>
      <c r="S5980">
        <v>0</v>
      </c>
      <c r="T5980">
        <v>0</v>
      </c>
      <c r="U5980">
        <v>1</v>
      </c>
      <c r="V5980">
        <v>0</v>
      </c>
      <c r="W5980">
        <v>0</v>
      </c>
      <c r="X5980" s="21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f t="shared" si="93"/>
        <v>32</v>
      </c>
      <c r="AP5980" t="s">
        <v>1915</v>
      </c>
    </row>
    <row r="5981" spans="1:42">
      <c r="A5981" s="1">
        <v>43798</v>
      </c>
      <c r="B5981">
        <v>5</v>
      </c>
      <c r="C5981">
        <v>976</v>
      </c>
      <c r="D5981">
        <v>10426</v>
      </c>
      <c r="E5981" t="s">
        <v>37</v>
      </c>
      <c r="F5981" t="s">
        <v>520</v>
      </c>
      <c r="G5981">
        <v>2</v>
      </c>
      <c r="H5981">
        <f t="shared" si="94"/>
        <v>37</v>
      </c>
      <c r="I5981" s="25">
        <v>700</v>
      </c>
      <c r="K5981" t="s">
        <v>213</v>
      </c>
      <c r="M5981" t="s">
        <v>52</v>
      </c>
      <c r="N5981" t="s">
        <v>44</v>
      </c>
      <c r="O5981">
        <f>60+17</f>
        <v>77</v>
      </c>
      <c r="Q5981">
        <f t="shared" si="92"/>
        <v>1</v>
      </c>
      <c r="R5981">
        <v>1</v>
      </c>
      <c r="S5981">
        <v>0</v>
      </c>
      <c r="T5981">
        <v>0</v>
      </c>
      <c r="U5981">
        <v>0</v>
      </c>
      <c r="V5981">
        <v>0</v>
      </c>
      <c r="W5981">
        <v>1</v>
      </c>
      <c r="X5981" s="2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f t="shared" si="93"/>
        <v>96</v>
      </c>
      <c r="AP5981" t="s">
        <v>1915</v>
      </c>
    </row>
    <row r="5982" spans="1:42">
      <c r="A5982" s="1">
        <v>43798</v>
      </c>
      <c r="B5982">
        <v>5</v>
      </c>
      <c r="C5982">
        <v>976</v>
      </c>
      <c r="D5982">
        <v>10426</v>
      </c>
      <c r="E5982" t="s">
        <v>37</v>
      </c>
      <c r="F5982" t="s">
        <v>520</v>
      </c>
      <c r="G5982">
        <v>2</v>
      </c>
      <c r="H5982">
        <f t="shared" si="94"/>
        <v>38</v>
      </c>
      <c r="I5982" s="25">
        <v>1900</v>
      </c>
      <c r="K5982" t="s">
        <v>407</v>
      </c>
      <c r="M5982" t="s">
        <v>52</v>
      </c>
      <c r="N5982" t="s">
        <v>44</v>
      </c>
      <c r="O5982">
        <f>60+19</f>
        <v>79</v>
      </c>
      <c r="Q5982">
        <f t="shared" si="92"/>
        <v>1</v>
      </c>
      <c r="R5982">
        <v>1</v>
      </c>
      <c r="S5982">
        <v>0</v>
      </c>
      <c r="T5982">
        <v>0</v>
      </c>
      <c r="U5982">
        <v>0</v>
      </c>
      <c r="V5982">
        <v>0</v>
      </c>
      <c r="W5982">
        <v>1</v>
      </c>
      <c r="X5982" s="21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f t="shared" si="93"/>
        <v>96</v>
      </c>
      <c r="AP5982" t="s">
        <v>1915</v>
      </c>
    </row>
    <row r="5983" spans="1:42">
      <c r="A5983" s="1">
        <v>43798</v>
      </c>
      <c r="B5983">
        <v>5</v>
      </c>
      <c r="C5983">
        <v>976</v>
      </c>
      <c r="D5983">
        <v>10426</v>
      </c>
      <c r="E5983" t="s">
        <v>37</v>
      </c>
      <c r="F5983" t="s">
        <v>520</v>
      </c>
      <c r="G5983">
        <v>2</v>
      </c>
      <c r="H5983">
        <f t="shared" si="94"/>
        <v>39</v>
      </c>
      <c r="I5983" s="25">
        <v>500</v>
      </c>
      <c r="K5983" t="s">
        <v>324</v>
      </c>
      <c r="M5983" t="s">
        <v>52</v>
      </c>
      <c r="N5983" t="s">
        <v>40</v>
      </c>
      <c r="O5983">
        <v>36</v>
      </c>
      <c r="Q5983">
        <f t="shared" si="92"/>
        <v>1</v>
      </c>
      <c r="R5983">
        <v>1</v>
      </c>
      <c r="S5983">
        <v>0</v>
      </c>
      <c r="T5983">
        <v>0</v>
      </c>
      <c r="U5983">
        <v>0</v>
      </c>
      <c r="V5983">
        <v>0</v>
      </c>
      <c r="W5983">
        <v>1</v>
      </c>
      <c r="X5983" s="21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f t="shared" si="93"/>
        <v>96</v>
      </c>
      <c r="AP5983" t="s">
        <v>1915</v>
      </c>
    </row>
    <row r="5984" spans="1:42">
      <c r="A5984" s="1">
        <v>43798</v>
      </c>
      <c r="B5984">
        <v>5</v>
      </c>
      <c r="C5984">
        <v>976</v>
      </c>
      <c r="D5984">
        <v>10426</v>
      </c>
      <c r="E5984" t="s">
        <v>37</v>
      </c>
      <c r="F5984" t="s">
        <v>520</v>
      </c>
      <c r="G5984">
        <v>2</v>
      </c>
      <c r="H5984">
        <f t="shared" si="94"/>
        <v>40</v>
      </c>
      <c r="I5984" s="25">
        <v>2055</v>
      </c>
      <c r="K5984" t="s">
        <v>407</v>
      </c>
      <c r="L5984" t="s">
        <v>141</v>
      </c>
      <c r="M5984" t="s">
        <v>52</v>
      </c>
      <c r="N5984" t="s">
        <v>44</v>
      </c>
      <c r="O5984">
        <f>60+60+9</f>
        <v>129</v>
      </c>
      <c r="Q5984">
        <f t="shared" si="92"/>
        <v>1</v>
      </c>
      <c r="R5984">
        <v>1</v>
      </c>
      <c r="S5984">
        <v>0</v>
      </c>
      <c r="T5984">
        <v>0</v>
      </c>
      <c r="U5984">
        <v>0</v>
      </c>
      <c r="V5984">
        <v>0</v>
      </c>
      <c r="W5984">
        <v>1</v>
      </c>
      <c r="X5984" s="21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f t="shared" si="93"/>
        <v>96</v>
      </c>
      <c r="AP5984" t="s">
        <v>1915</v>
      </c>
    </row>
    <row r="5985" spans="1:42">
      <c r="A5985" s="1">
        <v>43798</v>
      </c>
      <c r="B5985">
        <v>5</v>
      </c>
      <c r="C5985">
        <v>976</v>
      </c>
      <c r="D5985">
        <v>10426</v>
      </c>
      <c r="E5985" t="s">
        <v>37</v>
      </c>
      <c r="F5985" t="s">
        <v>520</v>
      </c>
      <c r="G5985">
        <v>2</v>
      </c>
      <c r="H5985">
        <f t="shared" si="94"/>
        <v>41</v>
      </c>
      <c r="I5985" s="25">
        <v>2027</v>
      </c>
      <c r="K5985" t="s">
        <v>407</v>
      </c>
      <c r="L5985" t="s">
        <v>141</v>
      </c>
      <c r="M5985" t="s">
        <v>52</v>
      </c>
      <c r="N5985" t="s">
        <v>44</v>
      </c>
      <c r="O5985">
        <f>60+60+19</f>
        <v>139</v>
      </c>
      <c r="Q5985">
        <f t="shared" si="92"/>
        <v>1</v>
      </c>
      <c r="R5985">
        <v>1</v>
      </c>
      <c r="S5985">
        <v>0</v>
      </c>
      <c r="T5985">
        <v>0</v>
      </c>
      <c r="U5985">
        <v>0</v>
      </c>
      <c r="V5985">
        <v>0</v>
      </c>
      <c r="W5985">
        <v>1</v>
      </c>
      <c r="X5985" s="21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f t="shared" si="93"/>
        <v>96</v>
      </c>
      <c r="AL5985" t="s">
        <v>1939</v>
      </c>
      <c r="AP5985" t="s">
        <v>1915</v>
      </c>
    </row>
    <row r="5986" spans="1:42">
      <c r="A5986" s="1">
        <v>43798</v>
      </c>
      <c r="B5986">
        <v>5</v>
      </c>
      <c r="C5986">
        <v>976</v>
      </c>
      <c r="D5986">
        <v>10426</v>
      </c>
      <c r="E5986" t="s">
        <v>37</v>
      </c>
      <c r="F5986" t="s">
        <v>520</v>
      </c>
      <c r="G5986">
        <v>2</v>
      </c>
      <c r="H5986">
        <f t="shared" si="94"/>
        <v>42</v>
      </c>
      <c r="I5986" s="25">
        <v>720</v>
      </c>
      <c r="K5986" t="s">
        <v>210</v>
      </c>
      <c r="M5986" t="s">
        <v>52</v>
      </c>
      <c r="N5986" t="s">
        <v>44</v>
      </c>
      <c r="O5986">
        <f>60+60+46</f>
        <v>166</v>
      </c>
      <c r="Q5986">
        <f t="shared" si="92"/>
        <v>1</v>
      </c>
      <c r="R5986">
        <v>1</v>
      </c>
      <c r="S5986">
        <v>0</v>
      </c>
      <c r="T5986">
        <v>0</v>
      </c>
      <c r="U5986">
        <v>0</v>
      </c>
      <c r="V5986">
        <v>0</v>
      </c>
      <c r="W5986">
        <v>1</v>
      </c>
      <c r="X5986" s="21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f t="shared" si="93"/>
        <v>96</v>
      </c>
      <c r="AL5986" t="s">
        <v>587</v>
      </c>
      <c r="AP5986" t="s">
        <v>1915</v>
      </c>
    </row>
    <row r="5987" spans="1:42">
      <c r="A5987" s="1">
        <v>43798</v>
      </c>
      <c r="B5987">
        <v>5</v>
      </c>
      <c r="C5987">
        <v>976</v>
      </c>
      <c r="D5987">
        <v>10426</v>
      </c>
      <c r="E5987" t="s">
        <v>37</v>
      </c>
      <c r="F5987" t="s">
        <v>520</v>
      </c>
      <c r="G5987">
        <v>2</v>
      </c>
      <c r="H5987">
        <f t="shared" si="94"/>
        <v>43</v>
      </c>
      <c r="I5987" s="25">
        <v>700</v>
      </c>
      <c r="K5987" t="s">
        <v>210</v>
      </c>
      <c r="M5987" t="s">
        <v>52</v>
      </c>
      <c r="N5987" t="s">
        <v>44</v>
      </c>
      <c r="O5987">
        <f>60+13</f>
        <v>73</v>
      </c>
      <c r="Q5987">
        <f t="shared" si="92"/>
        <v>2</v>
      </c>
      <c r="R5987">
        <v>1</v>
      </c>
      <c r="S5987">
        <v>0</v>
      </c>
      <c r="T5987">
        <v>0</v>
      </c>
      <c r="U5987">
        <v>0</v>
      </c>
      <c r="V5987">
        <v>0</v>
      </c>
      <c r="W5987">
        <v>2</v>
      </c>
      <c r="X5987" s="21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f t="shared" si="93"/>
        <v>192</v>
      </c>
      <c r="AP5987" t="s">
        <v>1915</v>
      </c>
    </row>
    <row r="5988" spans="1:42">
      <c r="A5988" s="1">
        <v>43798</v>
      </c>
      <c r="B5988">
        <v>5</v>
      </c>
      <c r="C5988">
        <v>976</v>
      </c>
      <c r="D5988">
        <v>10426</v>
      </c>
      <c r="E5988" t="s">
        <v>37</v>
      </c>
      <c r="F5988" t="s">
        <v>520</v>
      </c>
      <c r="G5988">
        <v>2</v>
      </c>
      <c r="H5988">
        <f t="shared" si="94"/>
        <v>44</v>
      </c>
      <c r="I5988" s="25">
        <v>567</v>
      </c>
      <c r="K5988" t="s">
        <v>210</v>
      </c>
      <c r="L5988" t="s">
        <v>141</v>
      </c>
      <c r="M5988" t="s">
        <v>52</v>
      </c>
      <c r="N5988" t="s">
        <v>44</v>
      </c>
      <c r="O5988">
        <f>60+45</f>
        <v>105</v>
      </c>
      <c r="Q5988">
        <f t="shared" si="92"/>
        <v>1</v>
      </c>
      <c r="R5988">
        <v>1</v>
      </c>
      <c r="S5988">
        <v>0</v>
      </c>
      <c r="T5988">
        <v>0</v>
      </c>
      <c r="U5988">
        <v>0</v>
      </c>
      <c r="V5988">
        <v>0</v>
      </c>
      <c r="W5988">
        <v>1</v>
      </c>
      <c r="X5988" s="21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f t="shared" si="93"/>
        <v>96</v>
      </c>
      <c r="AP5988" t="s">
        <v>1915</v>
      </c>
    </row>
    <row r="5989" spans="1:42">
      <c r="A5989" s="1">
        <v>43798</v>
      </c>
      <c r="B5989">
        <v>5</v>
      </c>
      <c r="C5989">
        <v>976</v>
      </c>
      <c r="D5989">
        <v>10426</v>
      </c>
      <c r="E5989" t="s">
        <v>37</v>
      </c>
      <c r="F5989" t="s">
        <v>520</v>
      </c>
      <c r="G5989">
        <v>2</v>
      </c>
      <c r="H5989">
        <f t="shared" si="94"/>
        <v>45</v>
      </c>
      <c r="I5989" s="25">
        <v>566</v>
      </c>
      <c r="K5989" t="s">
        <v>210</v>
      </c>
      <c r="L5989" t="s">
        <v>114</v>
      </c>
      <c r="M5989" t="s">
        <v>52</v>
      </c>
      <c r="N5989" t="s">
        <v>44</v>
      </c>
      <c r="O5989">
        <f>60+8</f>
        <v>68</v>
      </c>
      <c r="Q5989">
        <f t="shared" si="92"/>
        <v>1</v>
      </c>
      <c r="R5989">
        <v>1</v>
      </c>
      <c r="S5989">
        <v>0</v>
      </c>
      <c r="T5989">
        <v>0</v>
      </c>
      <c r="U5989">
        <v>0</v>
      </c>
      <c r="V5989">
        <v>0</v>
      </c>
      <c r="W5989">
        <v>1</v>
      </c>
      <c r="X5989" s="21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f t="shared" si="93"/>
        <v>96</v>
      </c>
      <c r="AP5989" t="s">
        <v>1915</v>
      </c>
    </row>
    <row r="5990" spans="1:42">
      <c r="A5990" s="1">
        <v>43798</v>
      </c>
      <c r="B5990">
        <v>5</v>
      </c>
      <c r="C5990">
        <v>976</v>
      </c>
      <c r="D5990">
        <v>10426</v>
      </c>
      <c r="E5990" t="s">
        <v>37</v>
      </c>
      <c r="F5990" t="s">
        <v>520</v>
      </c>
      <c r="G5990">
        <v>2</v>
      </c>
      <c r="H5990">
        <f t="shared" si="94"/>
        <v>46</v>
      </c>
      <c r="I5990" s="25">
        <v>500</v>
      </c>
      <c r="K5990" t="s">
        <v>210</v>
      </c>
      <c r="M5990" t="s">
        <v>52</v>
      </c>
      <c r="N5990" t="s">
        <v>40</v>
      </c>
      <c r="O5990">
        <f>60+18</f>
        <v>78</v>
      </c>
      <c r="Q5990">
        <f t="shared" si="92"/>
        <v>1</v>
      </c>
      <c r="R5990">
        <v>1</v>
      </c>
      <c r="S5990">
        <v>0</v>
      </c>
      <c r="T5990">
        <v>0</v>
      </c>
      <c r="U5990">
        <v>0</v>
      </c>
      <c r="V5990">
        <v>0</v>
      </c>
      <c r="W5990">
        <v>1</v>
      </c>
      <c r="X5990" s="21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f t="shared" si="93"/>
        <v>96</v>
      </c>
      <c r="AP5990" t="s">
        <v>1915</v>
      </c>
    </row>
    <row r="5991" spans="1:42">
      <c r="A5991" s="1">
        <v>43798</v>
      </c>
      <c r="B5991">
        <v>5</v>
      </c>
      <c r="C5991">
        <v>976</v>
      </c>
      <c r="D5991">
        <v>10426</v>
      </c>
      <c r="E5991" t="s">
        <v>37</v>
      </c>
      <c r="F5991" t="s">
        <v>520</v>
      </c>
      <c r="G5991">
        <v>2</v>
      </c>
      <c r="H5991">
        <f t="shared" si="94"/>
        <v>47</v>
      </c>
      <c r="I5991" s="25">
        <v>444</v>
      </c>
      <c r="K5991" t="s">
        <v>210</v>
      </c>
      <c r="L5991" t="s">
        <v>114</v>
      </c>
      <c r="M5991" t="s">
        <v>52</v>
      </c>
      <c r="N5991" t="s">
        <v>44</v>
      </c>
      <c r="O5991">
        <f>60+60+60+60+60+60+60+60+34</f>
        <v>514</v>
      </c>
      <c r="Q5991">
        <f t="shared" si="92"/>
        <v>5</v>
      </c>
      <c r="R5991">
        <v>1</v>
      </c>
      <c r="S5991">
        <v>0</v>
      </c>
      <c r="T5991">
        <v>0</v>
      </c>
      <c r="U5991">
        <v>0</v>
      </c>
      <c r="V5991">
        <v>0</v>
      </c>
      <c r="W5991">
        <v>5</v>
      </c>
      <c r="X5991" s="2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f t="shared" si="93"/>
        <v>480</v>
      </c>
      <c r="AP5991" t="s">
        <v>1915</v>
      </c>
    </row>
    <row r="5992" spans="1:42">
      <c r="A5992" s="1">
        <v>43798</v>
      </c>
      <c r="B5992">
        <v>5</v>
      </c>
      <c r="C5992">
        <v>976</v>
      </c>
      <c r="D5992">
        <v>10426</v>
      </c>
      <c r="E5992" t="s">
        <v>37</v>
      </c>
      <c r="F5992" t="s">
        <v>520</v>
      </c>
      <c r="G5992">
        <v>2</v>
      </c>
      <c r="H5992">
        <f t="shared" si="94"/>
        <v>48</v>
      </c>
      <c r="I5992" s="25">
        <v>400</v>
      </c>
      <c r="K5992" t="s">
        <v>210</v>
      </c>
      <c r="M5992" t="s">
        <v>52</v>
      </c>
      <c r="N5992" t="s">
        <v>44</v>
      </c>
      <c r="O5992">
        <f>60+3</f>
        <v>63</v>
      </c>
      <c r="Q5992">
        <f t="shared" si="92"/>
        <v>1</v>
      </c>
      <c r="R5992">
        <v>1</v>
      </c>
      <c r="S5992">
        <v>0</v>
      </c>
      <c r="T5992">
        <v>0</v>
      </c>
      <c r="U5992">
        <v>0</v>
      </c>
      <c r="V5992">
        <v>0</v>
      </c>
      <c r="W5992">
        <v>1</v>
      </c>
      <c r="X5992" s="21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f t="shared" si="93"/>
        <v>96</v>
      </c>
      <c r="AP5992" t="s">
        <v>1915</v>
      </c>
    </row>
    <row r="5993" spans="1:42">
      <c r="A5993" s="1">
        <v>43798</v>
      </c>
      <c r="B5993">
        <v>5</v>
      </c>
      <c r="C5993">
        <v>976</v>
      </c>
      <c r="D5993">
        <v>10426</v>
      </c>
      <c r="E5993" t="s">
        <v>37</v>
      </c>
      <c r="F5993" t="s">
        <v>520</v>
      </c>
      <c r="G5993">
        <v>2</v>
      </c>
      <c r="H5993">
        <f t="shared" si="94"/>
        <v>49</v>
      </c>
      <c r="I5993" s="25">
        <v>1900</v>
      </c>
      <c r="K5993" t="s">
        <v>50</v>
      </c>
      <c r="M5993" t="s">
        <v>52</v>
      </c>
      <c r="N5993" t="s">
        <v>44</v>
      </c>
      <c r="O5993">
        <v>44</v>
      </c>
      <c r="Q5993">
        <f t="shared" si="92"/>
        <v>1</v>
      </c>
      <c r="R5993">
        <v>1</v>
      </c>
      <c r="S5993">
        <v>0</v>
      </c>
      <c r="T5993">
        <v>0</v>
      </c>
      <c r="U5993">
        <v>0</v>
      </c>
      <c r="V5993">
        <v>0</v>
      </c>
      <c r="W5993">
        <v>1</v>
      </c>
      <c r="X5993" s="21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f t="shared" si="93"/>
        <v>96</v>
      </c>
      <c r="AP5993" t="s">
        <v>1915</v>
      </c>
    </row>
    <row r="5994" spans="1:42">
      <c r="A5994" s="1">
        <v>43798</v>
      </c>
      <c r="B5994">
        <v>5</v>
      </c>
      <c r="C5994">
        <v>976</v>
      </c>
      <c r="D5994">
        <v>10426</v>
      </c>
      <c r="E5994" t="s">
        <v>37</v>
      </c>
      <c r="F5994" t="s">
        <v>520</v>
      </c>
      <c r="G5994">
        <v>2</v>
      </c>
      <c r="H5994">
        <f t="shared" si="94"/>
        <v>50</v>
      </c>
      <c r="I5994" s="25">
        <v>1940</v>
      </c>
      <c r="K5994" t="s">
        <v>50</v>
      </c>
      <c r="L5994" t="s">
        <v>114</v>
      </c>
      <c r="M5994" t="s">
        <v>52</v>
      </c>
      <c r="N5994" t="s">
        <v>44</v>
      </c>
      <c r="O5994">
        <f>60+19</f>
        <v>79</v>
      </c>
      <c r="Q5994">
        <f t="shared" si="92"/>
        <v>1</v>
      </c>
      <c r="R5994">
        <v>1</v>
      </c>
      <c r="S5994">
        <v>0</v>
      </c>
      <c r="T5994">
        <v>0</v>
      </c>
      <c r="U5994">
        <v>0</v>
      </c>
      <c r="V5994">
        <v>0</v>
      </c>
      <c r="W5994">
        <v>1</v>
      </c>
      <c r="X5994" s="21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f t="shared" si="93"/>
        <v>96</v>
      </c>
      <c r="AP5994" t="s">
        <v>1915</v>
      </c>
    </row>
    <row r="5995" spans="1:42">
      <c r="A5995" s="1">
        <v>43798</v>
      </c>
      <c r="B5995">
        <v>5</v>
      </c>
      <c r="C5995">
        <v>976</v>
      </c>
      <c r="D5995">
        <v>10426</v>
      </c>
      <c r="E5995" t="s">
        <v>37</v>
      </c>
      <c r="F5995" t="s">
        <v>520</v>
      </c>
      <c r="G5995">
        <v>2</v>
      </c>
      <c r="H5995">
        <f t="shared" si="94"/>
        <v>51</v>
      </c>
      <c r="I5995" s="25">
        <v>2000</v>
      </c>
      <c r="K5995" t="s">
        <v>50</v>
      </c>
      <c r="M5995" t="s">
        <v>52</v>
      </c>
      <c r="N5995" t="s">
        <v>44</v>
      </c>
      <c r="O5995">
        <f>60+60+60+60+60+16</f>
        <v>316</v>
      </c>
      <c r="Q5995">
        <f t="shared" si="92"/>
        <v>4</v>
      </c>
      <c r="R5995">
        <v>1</v>
      </c>
      <c r="S5995">
        <v>0</v>
      </c>
      <c r="T5995">
        <v>0</v>
      </c>
      <c r="U5995">
        <v>0</v>
      </c>
      <c r="V5995">
        <v>0</v>
      </c>
      <c r="W5995">
        <v>4</v>
      </c>
      <c r="X5995" s="21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f t="shared" si="93"/>
        <v>384</v>
      </c>
      <c r="AP5995" t="s">
        <v>1915</v>
      </c>
    </row>
    <row r="5996" spans="1:42">
      <c r="A5996" s="1">
        <v>43798</v>
      </c>
      <c r="B5996">
        <v>5</v>
      </c>
      <c r="C5996">
        <v>976</v>
      </c>
      <c r="D5996">
        <v>10426</v>
      </c>
      <c r="E5996" t="s">
        <v>37</v>
      </c>
      <c r="F5996" t="s">
        <v>520</v>
      </c>
      <c r="G5996">
        <v>2</v>
      </c>
      <c r="H5996">
        <f t="shared" si="94"/>
        <v>52</v>
      </c>
      <c r="I5996" s="25">
        <v>2025</v>
      </c>
      <c r="K5996" t="s">
        <v>50</v>
      </c>
      <c r="M5996" t="s">
        <v>52</v>
      </c>
      <c r="N5996" t="s">
        <v>44</v>
      </c>
      <c r="O5996">
        <f>60+44</f>
        <v>104</v>
      </c>
      <c r="Q5996">
        <f t="shared" si="92"/>
        <v>1</v>
      </c>
      <c r="R5996">
        <v>1</v>
      </c>
      <c r="S5996">
        <v>0</v>
      </c>
      <c r="T5996">
        <v>0</v>
      </c>
      <c r="U5996">
        <v>0</v>
      </c>
      <c r="V5996">
        <v>0</v>
      </c>
      <c r="W5996">
        <v>1</v>
      </c>
      <c r="X5996" s="21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1</v>
      </c>
      <c r="AG5996">
        <v>0</v>
      </c>
      <c r="AH5996">
        <f t="shared" si="93"/>
        <v>96</v>
      </c>
      <c r="AP5996" t="s">
        <v>1915</v>
      </c>
    </row>
    <row r="5997" spans="1:42">
      <c r="A5997" s="1">
        <v>43798</v>
      </c>
      <c r="B5997">
        <v>5</v>
      </c>
      <c r="C5997">
        <v>976</v>
      </c>
      <c r="D5997">
        <v>10426</v>
      </c>
      <c r="E5997" t="s">
        <v>37</v>
      </c>
      <c r="F5997" t="s">
        <v>520</v>
      </c>
      <c r="G5997">
        <v>2</v>
      </c>
      <c r="H5997">
        <f t="shared" si="94"/>
        <v>53</v>
      </c>
      <c r="I5997" s="25">
        <v>2133</v>
      </c>
      <c r="K5997" t="s">
        <v>50</v>
      </c>
      <c r="M5997" t="s">
        <v>52</v>
      </c>
      <c r="N5997" t="s">
        <v>44</v>
      </c>
      <c r="O5997">
        <f>60+60+60+60+58</f>
        <v>298</v>
      </c>
      <c r="Q5997">
        <f t="shared" si="92"/>
        <v>5</v>
      </c>
      <c r="R5997">
        <v>1</v>
      </c>
      <c r="S5997">
        <v>0</v>
      </c>
      <c r="T5997">
        <v>0</v>
      </c>
      <c r="U5997">
        <v>0</v>
      </c>
      <c r="V5997">
        <v>0</v>
      </c>
      <c r="W5997">
        <v>5</v>
      </c>
      <c r="X5997" s="21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f t="shared" si="93"/>
        <v>480</v>
      </c>
      <c r="AP5997" t="s">
        <v>1915</v>
      </c>
    </row>
    <row r="5998" spans="1:42">
      <c r="A5998" s="1">
        <v>43798</v>
      </c>
      <c r="B5998">
        <v>5</v>
      </c>
      <c r="C5998">
        <v>976</v>
      </c>
      <c r="D5998">
        <v>10426</v>
      </c>
      <c r="E5998" t="s">
        <v>37</v>
      </c>
      <c r="F5998" t="s">
        <v>520</v>
      </c>
      <c r="G5998">
        <v>2</v>
      </c>
      <c r="H5998">
        <f t="shared" si="94"/>
        <v>54</v>
      </c>
      <c r="I5998" s="25">
        <v>35</v>
      </c>
      <c r="K5998" t="s">
        <v>1924</v>
      </c>
      <c r="L5998" t="s">
        <v>141</v>
      </c>
      <c r="M5998" t="s">
        <v>52</v>
      </c>
      <c r="N5998" t="s">
        <v>44</v>
      </c>
      <c r="O5998">
        <f>60+60+60+7</f>
        <v>187</v>
      </c>
      <c r="Q5998">
        <f t="shared" si="92"/>
        <v>2</v>
      </c>
      <c r="R5998">
        <v>1</v>
      </c>
      <c r="S5998">
        <v>0</v>
      </c>
      <c r="T5998">
        <v>0</v>
      </c>
      <c r="U5998">
        <v>0</v>
      </c>
      <c r="V5998">
        <v>0</v>
      </c>
      <c r="W5998">
        <v>2</v>
      </c>
      <c r="X5998" s="21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f t="shared" si="93"/>
        <v>192</v>
      </c>
      <c r="AL5998" t="s">
        <v>587</v>
      </c>
      <c r="AP5998" t="s">
        <v>1915</v>
      </c>
    </row>
    <row r="5999" spans="1:42">
      <c r="A5999" s="1">
        <v>43798</v>
      </c>
      <c r="B5999">
        <v>5</v>
      </c>
      <c r="C5999">
        <v>976</v>
      </c>
      <c r="D5999">
        <v>10426</v>
      </c>
      <c r="E5999" t="s">
        <v>37</v>
      </c>
      <c r="F5999" t="s">
        <v>520</v>
      </c>
      <c r="G5999">
        <v>2</v>
      </c>
      <c r="H5999">
        <f t="shared" si="94"/>
        <v>55</v>
      </c>
      <c r="I5999" s="25">
        <v>0</v>
      </c>
      <c r="K5999" t="s">
        <v>1924</v>
      </c>
      <c r="M5999" t="s">
        <v>52</v>
      </c>
      <c r="N5999" t="s">
        <v>44</v>
      </c>
      <c r="O5999">
        <f>60+60+3</f>
        <v>123</v>
      </c>
      <c r="Q5999">
        <f t="shared" si="92"/>
        <v>1</v>
      </c>
      <c r="R5999">
        <v>1</v>
      </c>
      <c r="S5999">
        <v>0</v>
      </c>
      <c r="T5999">
        <v>0</v>
      </c>
      <c r="U5999">
        <v>0</v>
      </c>
      <c r="V5999">
        <v>0</v>
      </c>
      <c r="W5999">
        <v>1</v>
      </c>
      <c r="X5999" s="21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f t="shared" si="93"/>
        <v>96</v>
      </c>
      <c r="AP5999" t="s">
        <v>1915</v>
      </c>
    </row>
    <row r="6000" spans="1:42">
      <c r="A6000" s="1">
        <v>43798</v>
      </c>
      <c r="B6000">
        <v>5</v>
      </c>
      <c r="C6000">
        <v>976</v>
      </c>
      <c r="D6000">
        <v>10426</v>
      </c>
      <c r="E6000" t="s">
        <v>37</v>
      </c>
      <c r="F6000" t="s">
        <v>520</v>
      </c>
      <c r="G6000">
        <v>2</v>
      </c>
      <c r="H6000">
        <f t="shared" si="94"/>
        <v>56</v>
      </c>
      <c r="I6000" s="25">
        <v>273</v>
      </c>
      <c r="K6000" t="s">
        <v>862</v>
      </c>
      <c r="M6000" t="s">
        <v>52</v>
      </c>
      <c r="N6000" t="s">
        <v>44</v>
      </c>
      <c r="O6000">
        <f>60+60+15</f>
        <v>135</v>
      </c>
      <c r="Q6000">
        <f t="shared" si="92"/>
        <v>1</v>
      </c>
      <c r="R6000">
        <v>1</v>
      </c>
      <c r="S6000">
        <v>0</v>
      </c>
      <c r="T6000">
        <v>0</v>
      </c>
      <c r="U6000">
        <v>0</v>
      </c>
      <c r="V6000">
        <v>0</v>
      </c>
      <c r="W6000">
        <v>1</v>
      </c>
      <c r="X6000" s="21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f t="shared" si="93"/>
        <v>96</v>
      </c>
      <c r="AP6000" t="s">
        <v>1915</v>
      </c>
    </row>
    <row r="6001" spans="1:42">
      <c r="A6001" s="1">
        <v>43798</v>
      </c>
      <c r="B6001">
        <v>5</v>
      </c>
      <c r="C6001">
        <v>976</v>
      </c>
      <c r="D6001">
        <v>10426</v>
      </c>
      <c r="E6001" t="s">
        <v>37</v>
      </c>
      <c r="F6001" t="s">
        <v>520</v>
      </c>
      <c r="G6001">
        <v>2</v>
      </c>
      <c r="H6001">
        <f t="shared" si="94"/>
        <v>57</v>
      </c>
      <c r="I6001" s="25">
        <v>444</v>
      </c>
      <c r="K6001" t="s">
        <v>862</v>
      </c>
      <c r="M6001" t="s">
        <v>52</v>
      </c>
      <c r="N6001" t="s">
        <v>44</v>
      </c>
      <c r="O6001">
        <f>60+60+25</f>
        <v>145</v>
      </c>
      <c r="Q6001">
        <f t="shared" si="92"/>
        <v>2</v>
      </c>
      <c r="R6001">
        <v>1</v>
      </c>
      <c r="S6001">
        <v>0</v>
      </c>
      <c r="T6001">
        <v>0</v>
      </c>
      <c r="U6001">
        <v>0</v>
      </c>
      <c r="V6001">
        <v>0</v>
      </c>
      <c r="W6001">
        <v>2</v>
      </c>
      <c r="X6001" s="2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f t="shared" si="93"/>
        <v>192</v>
      </c>
      <c r="AP6001" t="s">
        <v>1915</v>
      </c>
    </row>
    <row r="6002" spans="1:42">
      <c r="A6002" s="1">
        <v>43798</v>
      </c>
      <c r="B6002">
        <v>5</v>
      </c>
      <c r="C6002">
        <v>976</v>
      </c>
      <c r="D6002">
        <v>10426</v>
      </c>
      <c r="E6002" t="s">
        <v>37</v>
      </c>
      <c r="F6002" t="s">
        <v>520</v>
      </c>
      <c r="G6002">
        <v>2</v>
      </c>
      <c r="H6002">
        <f t="shared" si="94"/>
        <v>58</v>
      </c>
      <c r="I6002" s="25">
        <v>500</v>
      </c>
      <c r="K6002" t="s">
        <v>862</v>
      </c>
      <c r="M6002" t="s">
        <v>52</v>
      </c>
      <c r="N6002" t="s">
        <v>44</v>
      </c>
      <c r="O6002">
        <f>60+60+29</f>
        <v>149</v>
      </c>
      <c r="Q6002">
        <f t="shared" si="92"/>
        <v>2</v>
      </c>
      <c r="R6002">
        <v>1</v>
      </c>
      <c r="S6002">
        <v>0</v>
      </c>
      <c r="T6002">
        <v>0</v>
      </c>
      <c r="U6002">
        <v>0</v>
      </c>
      <c r="V6002">
        <v>0</v>
      </c>
      <c r="W6002">
        <v>2</v>
      </c>
      <c r="X6002" s="21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f t="shared" si="93"/>
        <v>192</v>
      </c>
      <c r="AP6002" t="s">
        <v>1915</v>
      </c>
    </row>
    <row r="6003" spans="1:42">
      <c r="A6003" s="1">
        <v>43798</v>
      </c>
      <c r="B6003">
        <v>5</v>
      </c>
      <c r="C6003">
        <v>976</v>
      </c>
      <c r="D6003">
        <v>10426</v>
      </c>
      <c r="E6003" t="s">
        <v>37</v>
      </c>
      <c r="F6003" t="s">
        <v>520</v>
      </c>
      <c r="G6003">
        <v>2</v>
      </c>
      <c r="H6003">
        <f t="shared" si="94"/>
        <v>59</v>
      </c>
      <c r="I6003" s="25">
        <v>2300</v>
      </c>
      <c r="K6003" t="s">
        <v>102</v>
      </c>
      <c r="M6003" t="s">
        <v>52</v>
      </c>
      <c r="N6003" t="s">
        <v>40</v>
      </c>
      <c r="O6003">
        <v>39</v>
      </c>
      <c r="Q6003">
        <f t="shared" si="92"/>
        <v>1</v>
      </c>
      <c r="R6003">
        <v>1</v>
      </c>
      <c r="S6003">
        <v>0</v>
      </c>
      <c r="T6003">
        <v>0</v>
      </c>
      <c r="U6003">
        <v>0</v>
      </c>
      <c r="V6003">
        <v>0</v>
      </c>
      <c r="W6003">
        <v>1</v>
      </c>
      <c r="X6003" s="21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f t="shared" si="93"/>
        <v>96</v>
      </c>
      <c r="AP6003" t="s">
        <v>1915</v>
      </c>
    </row>
    <row r="6004" spans="1:42">
      <c r="A6004" s="1">
        <v>43798</v>
      </c>
      <c r="B6004">
        <v>5</v>
      </c>
      <c r="C6004">
        <v>976</v>
      </c>
      <c r="D6004">
        <v>10426</v>
      </c>
      <c r="E6004" t="s">
        <v>37</v>
      </c>
      <c r="F6004" t="s">
        <v>520</v>
      </c>
      <c r="G6004">
        <v>2</v>
      </c>
      <c r="H6004">
        <f t="shared" si="94"/>
        <v>60</v>
      </c>
      <c r="I6004" s="25">
        <v>2400</v>
      </c>
      <c r="K6004" t="s">
        <v>101</v>
      </c>
      <c r="M6004" t="s">
        <v>52</v>
      </c>
      <c r="N6004" t="s">
        <v>40</v>
      </c>
      <c r="O6004">
        <v>34</v>
      </c>
      <c r="Q6004">
        <f t="shared" si="92"/>
        <v>1</v>
      </c>
      <c r="R6004">
        <v>1</v>
      </c>
      <c r="S6004">
        <v>0</v>
      </c>
      <c r="T6004">
        <v>0</v>
      </c>
      <c r="U6004">
        <v>0</v>
      </c>
      <c r="V6004">
        <v>0</v>
      </c>
      <c r="W6004">
        <v>1</v>
      </c>
      <c r="X6004" s="21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f t="shared" si="93"/>
        <v>96</v>
      </c>
      <c r="AP6004" t="s">
        <v>1915</v>
      </c>
    </row>
    <row r="6005" spans="1:42">
      <c r="A6005" s="1">
        <v>43798</v>
      </c>
      <c r="B6005">
        <v>5</v>
      </c>
      <c r="C6005">
        <v>976</v>
      </c>
      <c r="D6005">
        <v>10426</v>
      </c>
      <c r="E6005" t="s">
        <v>37</v>
      </c>
      <c r="F6005" t="s">
        <v>520</v>
      </c>
      <c r="G6005">
        <v>2</v>
      </c>
      <c r="H6005">
        <f t="shared" si="94"/>
        <v>61</v>
      </c>
      <c r="I6005" s="25">
        <v>600</v>
      </c>
      <c r="K6005" t="s">
        <v>862</v>
      </c>
      <c r="M6005" t="s">
        <v>52</v>
      </c>
      <c r="N6005" t="s">
        <v>40</v>
      </c>
      <c r="O6005">
        <f>60+60+24</f>
        <v>144</v>
      </c>
      <c r="Q6005">
        <f t="shared" si="92"/>
        <v>1</v>
      </c>
      <c r="R6005">
        <v>1</v>
      </c>
      <c r="S6005">
        <v>0</v>
      </c>
      <c r="T6005">
        <v>0</v>
      </c>
      <c r="U6005">
        <v>0</v>
      </c>
      <c r="V6005">
        <v>0</v>
      </c>
      <c r="W6005">
        <v>1</v>
      </c>
      <c r="X6005" s="21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f t="shared" si="93"/>
        <v>96</v>
      </c>
      <c r="AP6005" t="s">
        <v>1915</v>
      </c>
    </row>
    <row r="6006" spans="1:42">
      <c r="A6006" s="1">
        <v>43798</v>
      </c>
      <c r="B6006">
        <v>5</v>
      </c>
      <c r="C6006">
        <v>976</v>
      </c>
      <c r="D6006">
        <v>10426</v>
      </c>
      <c r="E6006" t="s">
        <v>37</v>
      </c>
      <c r="F6006" t="s">
        <v>520</v>
      </c>
      <c r="G6006">
        <v>2</v>
      </c>
      <c r="H6006">
        <f t="shared" si="94"/>
        <v>62</v>
      </c>
      <c r="I6006" s="25">
        <v>0</v>
      </c>
      <c r="K6006" t="s">
        <v>1940</v>
      </c>
      <c r="M6006" t="s">
        <v>52</v>
      </c>
      <c r="N6006" t="s">
        <v>42</v>
      </c>
      <c r="O6006">
        <f>60+60+60+52</f>
        <v>232</v>
      </c>
      <c r="Q6006">
        <f t="shared" si="92"/>
        <v>4</v>
      </c>
      <c r="R6006">
        <v>1</v>
      </c>
      <c r="S6006">
        <v>0</v>
      </c>
      <c r="T6006">
        <v>0</v>
      </c>
      <c r="U6006">
        <v>0</v>
      </c>
      <c r="V6006">
        <v>0</v>
      </c>
      <c r="W6006">
        <v>4</v>
      </c>
      <c r="X6006" s="21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3</v>
      </c>
      <c r="AG6006">
        <v>0</v>
      </c>
      <c r="AH6006">
        <f t="shared" si="93"/>
        <v>384</v>
      </c>
      <c r="AP6006" t="s">
        <v>1915</v>
      </c>
    </row>
    <row r="6007" spans="1:42">
      <c r="A6007" s="1">
        <v>43798</v>
      </c>
      <c r="B6007">
        <v>5</v>
      </c>
      <c r="C6007">
        <v>976</v>
      </c>
      <c r="D6007">
        <v>10426</v>
      </c>
      <c r="E6007" t="s">
        <v>37</v>
      </c>
      <c r="F6007" t="s">
        <v>520</v>
      </c>
      <c r="G6007">
        <v>2</v>
      </c>
      <c r="H6007">
        <f t="shared" si="94"/>
        <v>63</v>
      </c>
      <c r="I6007" s="25">
        <v>0</v>
      </c>
      <c r="K6007" t="s">
        <v>1940</v>
      </c>
      <c r="M6007" t="s">
        <v>52</v>
      </c>
      <c r="N6007" t="s">
        <v>40</v>
      </c>
      <c r="O6007">
        <f>60+34</f>
        <v>94</v>
      </c>
      <c r="Q6007">
        <f t="shared" si="92"/>
        <v>1</v>
      </c>
      <c r="R6007">
        <v>1</v>
      </c>
      <c r="S6007">
        <v>0</v>
      </c>
      <c r="T6007">
        <v>0</v>
      </c>
      <c r="U6007">
        <v>0</v>
      </c>
      <c r="V6007">
        <v>0</v>
      </c>
      <c r="W6007">
        <v>1</v>
      </c>
      <c r="X6007" s="21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1</v>
      </c>
      <c r="AG6007">
        <v>0</v>
      </c>
      <c r="AH6007">
        <f t="shared" si="93"/>
        <v>96</v>
      </c>
      <c r="AP6007" t="s">
        <v>1915</v>
      </c>
    </row>
    <row r="6008" spans="1:42">
      <c r="A6008" s="1">
        <v>43798</v>
      </c>
      <c r="B6008">
        <v>5</v>
      </c>
      <c r="C6008">
        <v>976</v>
      </c>
      <c r="D6008">
        <v>10426</v>
      </c>
      <c r="E6008" t="s">
        <v>37</v>
      </c>
      <c r="F6008" t="s">
        <v>520</v>
      </c>
      <c r="G6008">
        <v>2</v>
      </c>
      <c r="H6008">
        <f t="shared" si="94"/>
        <v>64</v>
      </c>
      <c r="I6008" s="25">
        <v>530</v>
      </c>
      <c r="K6008" t="s">
        <v>324</v>
      </c>
      <c r="M6008" t="s">
        <v>52</v>
      </c>
      <c r="N6008" t="s">
        <v>44</v>
      </c>
      <c r="O6008">
        <f>60+60+60+60+60+60+6</f>
        <v>366</v>
      </c>
      <c r="Q6008">
        <f t="shared" si="92"/>
        <v>3</v>
      </c>
      <c r="R6008">
        <v>1</v>
      </c>
      <c r="S6008">
        <v>0</v>
      </c>
      <c r="T6008">
        <v>0</v>
      </c>
      <c r="U6008">
        <v>0</v>
      </c>
      <c r="V6008">
        <v>0</v>
      </c>
      <c r="W6008">
        <v>2</v>
      </c>
      <c r="X6008" s="21">
        <v>0</v>
      </c>
      <c r="Y6008">
        <v>0</v>
      </c>
      <c r="Z6008">
        <v>0</v>
      </c>
      <c r="AA6008">
        <v>1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f t="shared" si="93"/>
        <v>192</v>
      </c>
      <c r="AL6008" t="s">
        <v>587</v>
      </c>
      <c r="AP6008" t="s">
        <v>1915</v>
      </c>
    </row>
    <row r="6009" spans="1:42">
      <c r="A6009" s="1">
        <v>43798</v>
      </c>
      <c r="B6009">
        <v>5</v>
      </c>
      <c r="C6009">
        <v>976</v>
      </c>
      <c r="D6009">
        <v>10426</v>
      </c>
      <c r="E6009" t="s">
        <v>37</v>
      </c>
      <c r="F6009" t="s">
        <v>520</v>
      </c>
      <c r="G6009">
        <v>2</v>
      </c>
      <c r="H6009">
        <f t="shared" si="94"/>
        <v>65</v>
      </c>
      <c r="I6009" s="25">
        <v>400</v>
      </c>
      <c r="K6009" t="s">
        <v>324</v>
      </c>
      <c r="M6009" t="s">
        <v>52</v>
      </c>
      <c r="N6009" t="s">
        <v>44</v>
      </c>
      <c r="O6009">
        <f>60+60+12</f>
        <v>132</v>
      </c>
      <c r="Q6009">
        <f t="shared" si="92"/>
        <v>1</v>
      </c>
      <c r="R6009">
        <v>1</v>
      </c>
      <c r="S6009">
        <v>0</v>
      </c>
      <c r="T6009">
        <v>0</v>
      </c>
      <c r="U6009">
        <v>0</v>
      </c>
      <c r="V6009">
        <v>0</v>
      </c>
      <c r="W6009">
        <v>1</v>
      </c>
      <c r="X6009" s="21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f t="shared" si="93"/>
        <v>96</v>
      </c>
      <c r="AP6009" t="s">
        <v>1915</v>
      </c>
    </row>
    <row r="6010" spans="1:42">
      <c r="A6010" s="1">
        <v>43798</v>
      </c>
      <c r="B6010">
        <v>5</v>
      </c>
      <c r="C6010">
        <v>976</v>
      </c>
      <c r="D6010">
        <v>10426</v>
      </c>
      <c r="E6010" t="s">
        <v>37</v>
      </c>
      <c r="F6010" t="s">
        <v>520</v>
      </c>
      <c r="G6010">
        <v>2</v>
      </c>
      <c r="H6010">
        <f t="shared" si="94"/>
        <v>66</v>
      </c>
      <c r="I6010" s="25">
        <v>400</v>
      </c>
      <c r="K6010" t="s">
        <v>324</v>
      </c>
      <c r="M6010" t="s">
        <v>52</v>
      </c>
      <c r="N6010" t="s">
        <v>44</v>
      </c>
      <c r="O6010">
        <f>60+60+60+28</f>
        <v>208</v>
      </c>
      <c r="Q6010">
        <f t="shared" si="92"/>
        <v>2</v>
      </c>
      <c r="R6010">
        <v>1</v>
      </c>
      <c r="S6010">
        <v>0</v>
      </c>
      <c r="T6010">
        <v>0</v>
      </c>
      <c r="U6010">
        <v>0</v>
      </c>
      <c r="V6010">
        <v>0</v>
      </c>
      <c r="W6010">
        <v>2</v>
      </c>
      <c r="X6010" s="21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f t="shared" si="93"/>
        <v>192</v>
      </c>
      <c r="AP6010" t="s">
        <v>1915</v>
      </c>
    </row>
    <row r="6011" spans="1:42">
      <c r="A6011" s="1">
        <v>43798</v>
      </c>
      <c r="B6011">
        <v>5</v>
      </c>
      <c r="C6011">
        <v>976</v>
      </c>
      <c r="D6011">
        <v>10426</v>
      </c>
      <c r="E6011" t="s">
        <v>37</v>
      </c>
      <c r="F6011" t="s">
        <v>520</v>
      </c>
      <c r="G6011">
        <v>2</v>
      </c>
      <c r="H6011">
        <f t="shared" si="94"/>
        <v>67</v>
      </c>
      <c r="I6011" s="25">
        <v>400</v>
      </c>
      <c r="K6011" t="s">
        <v>324</v>
      </c>
      <c r="M6011" t="s">
        <v>52</v>
      </c>
      <c r="N6011" t="s">
        <v>44</v>
      </c>
      <c r="O6011">
        <f>60+60+60+60+53</f>
        <v>293</v>
      </c>
      <c r="Q6011">
        <f t="shared" si="92"/>
        <v>3</v>
      </c>
      <c r="R6011">
        <v>1</v>
      </c>
      <c r="S6011">
        <v>0</v>
      </c>
      <c r="T6011">
        <v>0</v>
      </c>
      <c r="U6011">
        <v>0</v>
      </c>
      <c r="V6011">
        <v>0</v>
      </c>
      <c r="W6011">
        <v>3</v>
      </c>
      <c r="X6011" s="2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f t="shared" si="93"/>
        <v>288</v>
      </c>
      <c r="AP6011" t="s">
        <v>1915</v>
      </c>
    </row>
    <row r="6012" spans="1:42">
      <c r="A6012" s="1">
        <v>43795</v>
      </c>
      <c r="B6012">
        <v>2</v>
      </c>
      <c r="C6012">
        <v>989</v>
      </c>
      <c r="D6012">
        <v>10376</v>
      </c>
      <c r="E6012" t="s">
        <v>37</v>
      </c>
      <c r="F6012" t="s">
        <v>520</v>
      </c>
      <c r="G6012">
        <v>2</v>
      </c>
      <c r="H6012">
        <v>1</v>
      </c>
      <c r="I6012" s="25">
        <v>1610</v>
      </c>
      <c r="K6012" t="s">
        <v>210</v>
      </c>
      <c r="L6012" t="s">
        <v>114</v>
      </c>
      <c r="M6012" t="s">
        <v>52</v>
      </c>
      <c r="N6012" t="s">
        <v>44</v>
      </c>
      <c r="O6012">
        <f>60+60+20</f>
        <v>140</v>
      </c>
      <c r="Q6012">
        <f t="shared" si="92"/>
        <v>2</v>
      </c>
      <c r="R6012">
        <v>1</v>
      </c>
      <c r="S6012">
        <v>0</v>
      </c>
      <c r="T6012">
        <v>0</v>
      </c>
      <c r="U6012">
        <v>0</v>
      </c>
      <c r="V6012">
        <v>0</v>
      </c>
      <c r="W6012">
        <v>2</v>
      </c>
      <c r="X6012" s="21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f t="shared" si="93"/>
        <v>192</v>
      </c>
      <c r="AL6012" t="s">
        <v>587</v>
      </c>
      <c r="AP6012" t="s">
        <v>1915</v>
      </c>
    </row>
    <row r="6013" spans="1:42">
      <c r="A6013" s="1">
        <v>43795</v>
      </c>
      <c r="B6013">
        <v>2</v>
      </c>
      <c r="C6013">
        <v>989</v>
      </c>
      <c r="D6013">
        <v>10376</v>
      </c>
      <c r="E6013" t="s">
        <v>37</v>
      </c>
      <c r="F6013" t="s">
        <v>520</v>
      </c>
      <c r="G6013">
        <v>2</v>
      </c>
      <c r="H6013">
        <v>2</v>
      </c>
      <c r="I6013" s="25">
        <v>1626</v>
      </c>
      <c r="K6013" t="s">
        <v>210</v>
      </c>
      <c r="L6013" t="s">
        <v>114</v>
      </c>
      <c r="M6013" t="s">
        <v>95</v>
      </c>
      <c r="N6013" t="s">
        <v>44</v>
      </c>
      <c r="O6013">
        <f>60+60+2</f>
        <v>122</v>
      </c>
      <c r="Q6013">
        <f t="shared" si="92"/>
        <v>2</v>
      </c>
      <c r="R6013">
        <v>1</v>
      </c>
      <c r="S6013">
        <v>0</v>
      </c>
      <c r="T6013">
        <v>0</v>
      </c>
      <c r="U6013">
        <v>1</v>
      </c>
      <c r="V6013">
        <v>1</v>
      </c>
      <c r="W6013">
        <v>0</v>
      </c>
      <c r="X6013" s="21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f t="shared" si="93"/>
        <v>96</v>
      </c>
      <c r="AL6013" t="s">
        <v>587</v>
      </c>
      <c r="AP6013" t="s">
        <v>1915</v>
      </c>
    </row>
    <row r="6014" spans="1:42">
      <c r="A6014" s="1">
        <v>43795</v>
      </c>
      <c r="B6014">
        <v>2</v>
      </c>
      <c r="C6014">
        <v>989</v>
      </c>
      <c r="D6014">
        <v>10376</v>
      </c>
      <c r="E6014" t="s">
        <v>37</v>
      </c>
      <c r="F6014" t="s">
        <v>520</v>
      </c>
      <c r="G6014">
        <v>2</v>
      </c>
      <c r="H6014">
        <v>3</v>
      </c>
      <c r="I6014" s="25">
        <v>3140</v>
      </c>
      <c r="K6014" t="s">
        <v>595</v>
      </c>
      <c r="L6014" t="s">
        <v>114</v>
      </c>
      <c r="M6014" t="s">
        <v>52</v>
      </c>
      <c r="N6014" t="s">
        <v>44</v>
      </c>
      <c r="O6014">
        <f>60+28</f>
        <v>88</v>
      </c>
      <c r="Q6014">
        <f t="shared" si="92"/>
        <v>1</v>
      </c>
      <c r="R6014">
        <v>1</v>
      </c>
      <c r="S6014">
        <v>0</v>
      </c>
      <c r="T6014">
        <v>0</v>
      </c>
      <c r="U6014">
        <v>0</v>
      </c>
      <c r="V6014">
        <v>0</v>
      </c>
      <c r="W6014">
        <v>1</v>
      </c>
      <c r="X6014" s="21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f t="shared" si="93"/>
        <v>96</v>
      </c>
      <c r="AP6014" t="s">
        <v>1915</v>
      </c>
    </row>
    <row r="6015" spans="1:42">
      <c r="A6015" s="1">
        <v>43795</v>
      </c>
      <c r="B6015">
        <v>2</v>
      </c>
      <c r="C6015">
        <v>989</v>
      </c>
      <c r="D6015">
        <v>10376</v>
      </c>
      <c r="E6015" t="s">
        <v>37</v>
      </c>
      <c r="F6015" t="s">
        <v>520</v>
      </c>
      <c r="G6015">
        <v>2</v>
      </c>
      <c r="H6015">
        <v>4</v>
      </c>
      <c r="I6015" s="25">
        <v>3200</v>
      </c>
      <c r="K6015" t="s">
        <v>595</v>
      </c>
      <c r="L6015" t="s">
        <v>114</v>
      </c>
      <c r="M6015" t="s">
        <v>52</v>
      </c>
      <c r="N6015" t="s">
        <v>40</v>
      </c>
      <c r="O6015">
        <f>60+60+60+60+60+1</f>
        <v>301</v>
      </c>
      <c r="Q6015">
        <f t="shared" si="92"/>
        <v>9</v>
      </c>
      <c r="R6015">
        <v>1</v>
      </c>
      <c r="S6015">
        <v>0</v>
      </c>
      <c r="T6015">
        <v>0</v>
      </c>
      <c r="U6015">
        <v>2</v>
      </c>
      <c r="V6015">
        <v>7</v>
      </c>
      <c r="W6015">
        <v>0</v>
      </c>
      <c r="X6015" s="21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f t="shared" si="93"/>
        <v>512</v>
      </c>
      <c r="AP6015" t="s">
        <v>1915</v>
      </c>
    </row>
    <row r="6016" spans="1:42">
      <c r="A6016" s="1">
        <v>43795</v>
      </c>
      <c r="B6016">
        <v>2</v>
      </c>
      <c r="C6016">
        <v>989</v>
      </c>
      <c r="D6016">
        <v>10376</v>
      </c>
      <c r="E6016" t="s">
        <v>37</v>
      </c>
      <c r="F6016" t="s">
        <v>520</v>
      </c>
      <c r="G6016">
        <v>2</v>
      </c>
      <c r="H6016">
        <v>5</v>
      </c>
      <c r="I6016" s="25">
        <v>3200</v>
      </c>
      <c r="K6016" t="s">
        <v>595</v>
      </c>
      <c r="L6016" t="s">
        <v>114</v>
      </c>
      <c r="M6016" t="s">
        <v>95</v>
      </c>
      <c r="N6016" t="s">
        <v>40</v>
      </c>
      <c r="O6016">
        <f>60+60+60+60+32</f>
        <v>272</v>
      </c>
      <c r="Q6016">
        <f t="shared" ref="Q6016:Q6079" si="95">SUM(S6016:AE6016)</f>
        <v>5</v>
      </c>
      <c r="R6016">
        <v>1</v>
      </c>
      <c r="S6016">
        <v>0</v>
      </c>
      <c r="T6016">
        <v>0</v>
      </c>
      <c r="U6016">
        <v>5</v>
      </c>
      <c r="V6016">
        <v>0</v>
      </c>
      <c r="W6016">
        <v>0</v>
      </c>
      <c r="X6016" s="21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f t="shared" ref="AH6016:AH6079" si="96">(16*S6016)+(20*T6016)+(32*U6016)+(64*V6016)+(96*W6016)</f>
        <v>160</v>
      </c>
      <c r="AP6016" t="s">
        <v>1915</v>
      </c>
    </row>
    <row r="6017" spans="1:42">
      <c r="A6017" s="1">
        <v>43795</v>
      </c>
      <c r="B6017">
        <v>2</v>
      </c>
      <c r="C6017">
        <v>989</v>
      </c>
      <c r="D6017">
        <v>10376</v>
      </c>
      <c r="E6017" t="s">
        <v>37</v>
      </c>
      <c r="F6017" t="s">
        <v>520</v>
      </c>
      <c r="G6017">
        <v>2</v>
      </c>
      <c r="H6017">
        <v>6</v>
      </c>
      <c r="I6017" s="25">
        <v>3233</v>
      </c>
      <c r="K6017" t="s">
        <v>595</v>
      </c>
      <c r="L6017" t="s">
        <v>141</v>
      </c>
      <c r="M6017" t="s">
        <v>52</v>
      </c>
      <c r="N6017" t="s">
        <v>44</v>
      </c>
      <c r="O6017">
        <f>60+60+28</f>
        <v>148</v>
      </c>
      <c r="Q6017">
        <f t="shared" si="95"/>
        <v>1</v>
      </c>
      <c r="R6017">
        <v>1</v>
      </c>
      <c r="S6017">
        <v>0</v>
      </c>
      <c r="T6017">
        <v>0</v>
      </c>
      <c r="U6017">
        <v>0</v>
      </c>
      <c r="V6017">
        <v>0</v>
      </c>
      <c r="W6017">
        <v>1</v>
      </c>
      <c r="X6017" s="21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f t="shared" si="96"/>
        <v>96</v>
      </c>
      <c r="AP6017" t="s">
        <v>1915</v>
      </c>
    </row>
    <row r="6018" spans="1:42">
      <c r="A6018" s="1">
        <v>43795</v>
      </c>
      <c r="B6018">
        <v>2</v>
      </c>
      <c r="C6018">
        <v>989</v>
      </c>
      <c r="D6018">
        <v>10376</v>
      </c>
      <c r="E6018" t="s">
        <v>37</v>
      </c>
      <c r="F6018" t="s">
        <v>520</v>
      </c>
      <c r="G6018">
        <v>2</v>
      </c>
      <c r="H6018">
        <v>7</v>
      </c>
      <c r="I6018" s="25">
        <v>3237</v>
      </c>
      <c r="K6018" t="s">
        <v>595</v>
      </c>
      <c r="L6018" t="s">
        <v>141</v>
      </c>
      <c r="M6018" t="s">
        <v>52</v>
      </c>
      <c r="N6018" t="s">
        <v>44</v>
      </c>
      <c r="O6018">
        <f>60+48</f>
        <v>108</v>
      </c>
      <c r="Q6018">
        <f t="shared" si="95"/>
        <v>1</v>
      </c>
      <c r="R6018">
        <v>1</v>
      </c>
      <c r="S6018">
        <v>0</v>
      </c>
      <c r="T6018">
        <v>0</v>
      </c>
      <c r="U6018">
        <v>0</v>
      </c>
      <c r="V6018">
        <v>0</v>
      </c>
      <c r="W6018">
        <v>1</v>
      </c>
      <c r="X6018" s="21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f t="shared" si="96"/>
        <v>96</v>
      </c>
      <c r="AP6018" t="s">
        <v>1915</v>
      </c>
    </row>
    <row r="6019" spans="1:42">
      <c r="A6019" s="1">
        <v>43795</v>
      </c>
      <c r="B6019">
        <v>2</v>
      </c>
      <c r="C6019">
        <v>989</v>
      </c>
      <c r="D6019">
        <v>10376</v>
      </c>
      <c r="E6019" t="s">
        <v>37</v>
      </c>
      <c r="F6019" t="s">
        <v>520</v>
      </c>
      <c r="G6019">
        <v>2</v>
      </c>
      <c r="H6019">
        <v>8</v>
      </c>
      <c r="I6019" s="25">
        <v>3200</v>
      </c>
      <c r="K6019" t="s">
        <v>595</v>
      </c>
      <c r="M6019" t="s">
        <v>95</v>
      </c>
      <c r="N6019" t="s">
        <v>40</v>
      </c>
      <c r="O6019">
        <f>60+60+60+60+30</f>
        <v>270</v>
      </c>
      <c r="Q6019">
        <f t="shared" si="95"/>
        <v>8</v>
      </c>
      <c r="R6019">
        <v>1</v>
      </c>
      <c r="S6019">
        <v>0</v>
      </c>
      <c r="T6019">
        <v>0</v>
      </c>
      <c r="U6019">
        <v>1</v>
      </c>
      <c r="V6019">
        <v>5</v>
      </c>
      <c r="W6019">
        <v>2</v>
      </c>
      <c r="X6019" s="21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f t="shared" si="96"/>
        <v>544</v>
      </c>
      <c r="AP6019" t="s">
        <v>1915</v>
      </c>
    </row>
    <row r="6020" spans="1:42">
      <c r="A6020" s="1">
        <v>43795</v>
      </c>
      <c r="B6020">
        <v>2</v>
      </c>
      <c r="C6020">
        <v>989</v>
      </c>
      <c r="D6020">
        <v>10376</v>
      </c>
      <c r="E6020" t="s">
        <v>37</v>
      </c>
      <c r="F6020" t="s">
        <v>520</v>
      </c>
      <c r="G6020">
        <v>2</v>
      </c>
      <c r="H6020">
        <v>9</v>
      </c>
      <c r="I6020" s="25">
        <v>1400</v>
      </c>
      <c r="K6020" t="s">
        <v>862</v>
      </c>
      <c r="L6020" t="s">
        <v>141</v>
      </c>
      <c r="M6020" t="s">
        <v>52</v>
      </c>
      <c r="N6020" t="s">
        <v>40</v>
      </c>
      <c r="O6020">
        <f>54</f>
        <v>54</v>
      </c>
      <c r="Q6020">
        <f t="shared" si="95"/>
        <v>2</v>
      </c>
      <c r="R6020">
        <v>1</v>
      </c>
      <c r="S6020">
        <v>0</v>
      </c>
      <c r="T6020">
        <v>0</v>
      </c>
      <c r="U6020">
        <v>0</v>
      </c>
      <c r="V6020">
        <v>2</v>
      </c>
      <c r="W6020">
        <v>0</v>
      </c>
      <c r="X6020" s="21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f t="shared" si="96"/>
        <v>128</v>
      </c>
      <c r="AP6020" t="s">
        <v>1915</v>
      </c>
    </row>
    <row r="6021" spans="1:42">
      <c r="A6021" s="1">
        <v>43795</v>
      </c>
      <c r="B6021">
        <v>2</v>
      </c>
      <c r="C6021">
        <v>989</v>
      </c>
      <c r="D6021">
        <v>10376</v>
      </c>
      <c r="E6021" t="s">
        <v>37</v>
      </c>
      <c r="F6021" t="s">
        <v>520</v>
      </c>
      <c r="G6021">
        <v>2</v>
      </c>
      <c r="H6021">
        <v>10</v>
      </c>
      <c r="I6021" s="25">
        <v>1490</v>
      </c>
      <c r="K6021" t="s">
        <v>862</v>
      </c>
      <c r="L6021" t="s">
        <v>114</v>
      </c>
      <c r="M6021" t="s">
        <v>95</v>
      </c>
      <c r="N6021" t="s">
        <v>44</v>
      </c>
      <c r="O6021">
        <v>50</v>
      </c>
      <c r="Q6021">
        <f t="shared" si="95"/>
        <v>1</v>
      </c>
      <c r="R6021">
        <v>1</v>
      </c>
      <c r="S6021">
        <v>0</v>
      </c>
      <c r="T6021">
        <v>0</v>
      </c>
      <c r="U6021">
        <v>0</v>
      </c>
      <c r="V6021">
        <v>0</v>
      </c>
      <c r="W6021">
        <v>1</v>
      </c>
      <c r="X6021" s="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f t="shared" si="96"/>
        <v>96</v>
      </c>
      <c r="AP6021" t="s">
        <v>1915</v>
      </c>
    </row>
    <row r="6022" spans="1:42">
      <c r="A6022" s="1">
        <v>43795</v>
      </c>
      <c r="B6022">
        <v>2</v>
      </c>
      <c r="C6022">
        <v>989</v>
      </c>
      <c r="D6022">
        <v>10376</v>
      </c>
      <c r="E6022" t="s">
        <v>37</v>
      </c>
      <c r="F6022" t="s">
        <v>520</v>
      </c>
      <c r="G6022">
        <v>2</v>
      </c>
      <c r="H6022">
        <v>11</v>
      </c>
      <c r="I6022" s="25">
        <v>1400</v>
      </c>
      <c r="K6022" t="s">
        <v>862</v>
      </c>
      <c r="M6022" t="s">
        <v>95</v>
      </c>
      <c r="N6022" t="s">
        <v>40</v>
      </c>
      <c r="O6022">
        <f>60+60+60+60+60+23</f>
        <v>323</v>
      </c>
      <c r="Q6022">
        <f t="shared" si="95"/>
        <v>8</v>
      </c>
      <c r="R6022">
        <v>1</v>
      </c>
      <c r="S6022">
        <v>0</v>
      </c>
      <c r="T6022">
        <v>0</v>
      </c>
      <c r="U6022">
        <v>0</v>
      </c>
      <c r="V6022">
        <v>4</v>
      </c>
      <c r="W6022">
        <v>4</v>
      </c>
      <c r="X6022" s="21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f t="shared" si="96"/>
        <v>640</v>
      </c>
      <c r="AP6022" t="s">
        <v>1915</v>
      </c>
    </row>
    <row r="6023" spans="1:42">
      <c r="A6023" s="1">
        <v>43795</v>
      </c>
      <c r="B6023">
        <v>2</v>
      </c>
      <c r="C6023">
        <v>989</v>
      </c>
      <c r="D6023">
        <v>10376</v>
      </c>
      <c r="E6023" t="s">
        <v>37</v>
      </c>
      <c r="F6023" t="s">
        <v>520</v>
      </c>
      <c r="G6023">
        <v>2</v>
      </c>
      <c r="H6023">
        <v>12</v>
      </c>
      <c r="I6023" s="25">
        <v>1400</v>
      </c>
      <c r="K6023" t="s">
        <v>862</v>
      </c>
      <c r="M6023" t="s">
        <v>95</v>
      </c>
      <c r="N6023" t="s">
        <v>40</v>
      </c>
      <c r="O6023">
        <f>60+60+20</f>
        <v>140</v>
      </c>
      <c r="Q6023">
        <f t="shared" si="95"/>
        <v>3</v>
      </c>
      <c r="R6023">
        <v>1</v>
      </c>
      <c r="S6023">
        <v>0</v>
      </c>
      <c r="T6023">
        <v>0</v>
      </c>
      <c r="U6023">
        <v>0</v>
      </c>
      <c r="V6023">
        <v>3</v>
      </c>
      <c r="W6023">
        <v>0</v>
      </c>
      <c r="X6023" s="21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f t="shared" si="96"/>
        <v>192</v>
      </c>
      <c r="AP6023" t="s">
        <v>1915</v>
      </c>
    </row>
    <row r="6024" spans="1:42">
      <c r="A6024" s="1">
        <v>43795</v>
      </c>
      <c r="B6024">
        <v>2</v>
      </c>
      <c r="C6024">
        <v>989</v>
      </c>
      <c r="D6024">
        <v>10376</v>
      </c>
      <c r="E6024" t="s">
        <v>37</v>
      </c>
      <c r="F6024" t="s">
        <v>520</v>
      </c>
      <c r="G6024">
        <v>2</v>
      </c>
      <c r="H6024">
        <v>13</v>
      </c>
      <c r="I6024" s="25">
        <v>1400</v>
      </c>
      <c r="K6024" t="s">
        <v>862</v>
      </c>
      <c r="L6024" t="s">
        <v>141</v>
      </c>
      <c r="M6024" t="s">
        <v>52</v>
      </c>
      <c r="N6024" t="s">
        <v>40</v>
      </c>
      <c r="O6024">
        <f>60+60+60+14</f>
        <v>194</v>
      </c>
      <c r="Q6024">
        <f t="shared" si="95"/>
        <v>4</v>
      </c>
      <c r="R6024">
        <v>1</v>
      </c>
      <c r="S6024">
        <v>0</v>
      </c>
      <c r="T6024">
        <v>0</v>
      </c>
      <c r="U6024">
        <v>1</v>
      </c>
      <c r="V6024">
        <v>3</v>
      </c>
      <c r="W6024">
        <v>0</v>
      </c>
      <c r="X6024" s="21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f t="shared" si="96"/>
        <v>224</v>
      </c>
      <c r="AP6024" t="s">
        <v>1915</v>
      </c>
    </row>
    <row r="6025" spans="1:42">
      <c r="A6025" s="1">
        <v>43795</v>
      </c>
      <c r="B6025">
        <v>2</v>
      </c>
      <c r="C6025">
        <v>989</v>
      </c>
      <c r="D6025">
        <v>10376</v>
      </c>
      <c r="E6025" t="s">
        <v>37</v>
      </c>
      <c r="F6025" t="s">
        <v>520</v>
      </c>
      <c r="G6025">
        <v>2</v>
      </c>
      <c r="H6025">
        <v>14</v>
      </c>
      <c r="I6025" s="25">
        <v>1464</v>
      </c>
      <c r="K6025" t="s">
        <v>862</v>
      </c>
      <c r="L6025" t="s">
        <v>114</v>
      </c>
      <c r="M6025" t="s">
        <v>52</v>
      </c>
      <c r="N6025" t="s">
        <v>44</v>
      </c>
      <c r="O6025">
        <f>60+11</f>
        <v>71</v>
      </c>
      <c r="Q6025">
        <f t="shared" si="95"/>
        <v>1</v>
      </c>
      <c r="R6025">
        <v>1</v>
      </c>
      <c r="S6025">
        <v>0</v>
      </c>
      <c r="T6025">
        <v>0</v>
      </c>
      <c r="U6025">
        <v>0</v>
      </c>
      <c r="V6025">
        <v>0</v>
      </c>
      <c r="W6025">
        <v>1</v>
      </c>
      <c r="X6025" s="21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f t="shared" si="96"/>
        <v>96</v>
      </c>
      <c r="AP6025" t="s">
        <v>1915</v>
      </c>
    </row>
    <row r="6026" spans="1:42">
      <c r="A6026" s="1">
        <v>43795</v>
      </c>
      <c r="B6026">
        <v>2</v>
      </c>
      <c r="C6026">
        <v>989</v>
      </c>
      <c r="D6026">
        <v>10376</v>
      </c>
      <c r="E6026" t="s">
        <v>37</v>
      </c>
      <c r="F6026" t="s">
        <v>520</v>
      </c>
      <c r="G6026">
        <v>2</v>
      </c>
      <c r="H6026">
        <v>15</v>
      </c>
      <c r="I6026" s="25">
        <v>1468</v>
      </c>
      <c r="K6026" t="s">
        <v>862</v>
      </c>
      <c r="L6026" t="s">
        <v>114</v>
      </c>
      <c r="M6026" t="s">
        <v>52</v>
      </c>
      <c r="N6026" t="s">
        <v>44</v>
      </c>
      <c r="O6026">
        <v>43</v>
      </c>
      <c r="Q6026">
        <f t="shared" si="95"/>
        <v>1</v>
      </c>
      <c r="R6026">
        <v>1</v>
      </c>
      <c r="S6026">
        <v>0</v>
      </c>
      <c r="T6026">
        <v>0</v>
      </c>
      <c r="U6026">
        <v>0</v>
      </c>
      <c r="V6026">
        <v>0</v>
      </c>
      <c r="W6026">
        <v>1</v>
      </c>
      <c r="X6026" s="21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f t="shared" si="96"/>
        <v>96</v>
      </c>
      <c r="AP6026" t="s">
        <v>1915</v>
      </c>
    </row>
    <row r="6027" spans="1:42">
      <c r="A6027" s="1">
        <v>43795</v>
      </c>
      <c r="B6027">
        <v>2</v>
      </c>
      <c r="C6027">
        <v>989</v>
      </c>
      <c r="D6027">
        <v>10376</v>
      </c>
      <c r="E6027" t="s">
        <v>37</v>
      </c>
      <c r="F6027" t="s">
        <v>520</v>
      </c>
      <c r="G6027">
        <v>2</v>
      </c>
      <c r="H6027">
        <v>16</v>
      </c>
      <c r="I6027" s="25">
        <v>1458</v>
      </c>
      <c r="K6027" t="s">
        <v>862</v>
      </c>
      <c r="L6027" t="s">
        <v>114</v>
      </c>
      <c r="M6027" t="s">
        <v>52</v>
      </c>
      <c r="N6027" t="s">
        <v>44</v>
      </c>
      <c r="O6027">
        <f>60+56</f>
        <v>116</v>
      </c>
      <c r="Q6027">
        <f t="shared" si="95"/>
        <v>1</v>
      </c>
      <c r="R6027">
        <v>1</v>
      </c>
      <c r="S6027">
        <v>0</v>
      </c>
      <c r="T6027">
        <v>0</v>
      </c>
      <c r="U6027">
        <v>0</v>
      </c>
      <c r="V6027">
        <v>0</v>
      </c>
      <c r="W6027">
        <v>1</v>
      </c>
      <c r="X6027" s="21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f t="shared" si="96"/>
        <v>96</v>
      </c>
      <c r="AP6027" t="s">
        <v>1915</v>
      </c>
    </row>
    <row r="6028" spans="1:42">
      <c r="A6028" s="1">
        <v>43795</v>
      </c>
      <c r="B6028">
        <v>2</v>
      </c>
      <c r="C6028">
        <v>989</v>
      </c>
      <c r="D6028">
        <v>10376</v>
      </c>
      <c r="E6028" t="s">
        <v>37</v>
      </c>
      <c r="F6028" t="s">
        <v>520</v>
      </c>
      <c r="G6028">
        <v>2</v>
      </c>
      <c r="H6028">
        <v>17</v>
      </c>
      <c r="I6028" s="25">
        <v>1400</v>
      </c>
      <c r="K6028" t="s">
        <v>862</v>
      </c>
      <c r="M6028" t="s">
        <v>52</v>
      </c>
      <c r="N6028" t="s">
        <v>44</v>
      </c>
      <c r="O6028">
        <v>57</v>
      </c>
      <c r="Q6028">
        <f t="shared" si="95"/>
        <v>1</v>
      </c>
      <c r="R6028">
        <v>1</v>
      </c>
      <c r="S6028">
        <v>0</v>
      </c>
      <c r="T6028">
        <v>0</v>
      </c>
      <c r="U6028">
        <v>0</v>
      </c>
      <c r="V6028">
        <v>0</v>
      </c>
      <c r="W6028">
        <v>1</v>
      </c>
      <c r="X6028" s="21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f t="shared" si="96"/>
        <v>96</v>
      </c>
      <c r="AP6028" t="s">
        <v>1915</v>
      </c>
    </row>
    <row r="6029" spans="1:42">
      <c r="A6029" s="1">
        <v>43795</v>
      </c>
      <c r="B6029">
        <v>2</v>
      </c>
      <c r="C6029">
        <v>989</v>
      </c>
      <c r="D6029">
        <v>10376</v>
      </c>
      <c r="E6029" t="s">
        <v>37</v>
      </c>
      <c r="F6029" t="s">
        <v>520</v>
      </c>
      <c r="G6029">
        <v>2</v>
      </c>
      <c r="H6029">
        <v>13</v>
      </c>
      <c r="I6029" s="25">
        <v>3100</v>
      </c>
      <c r="K6029" t="s">
        <v>638</v>
      </c>
      <c r="L6029" t="s">
        <v>114</v>
      </c>
      <c r="M6029" t="s">
        <v>52</v>
      </c>
      <c r="N6029" t="s">
        <v>40</v>
      </c>
      <c r="O6029">
        <f>60+60+7</f>
        <v>127</v>
      </c>
      <c r="Q6029">
        <f t="shared" si="95"/>
        <v>4</v>
      </c>
      <c r="R6029">
        <v>1</v>
      </c>
      <c r="S6029">
        <v>0</v>
      </c>
      <c r="T6029">
        <v>0</v>
      </c>
      <c r="U6029">
        <v>0</v>
      </c>
      <c r="V6029">
        <v>4</v>
      </c>
      <c r="W6029">
        <v>0</v>
      </c>
      <c r="X6029" s="21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f t="shared" si="96"/>
        <v>256</v>
      </c>
      <c r="AP6029" t="s">
        <v>1915</v>
      </c>
    </row>
    <row r="6030" spans="1:42">
      <c r="A6030" s="1">
        <v>43795</v>
      </c>
      <c r="B6030">
        <v>2</v>
      </c>
      <c r="C6030">
        <v>989</v>
      </c>
      <c r="D6030">
        <v>10376</v>
      </c>
      <c r="E6030" t="s">
        <v>37</v>
      </c>
      <c r="F6030" t="s">
        <v>520</v>
      </c>
      <c r="G6030">
        <v>2</v>
      </c>
      <c r="H6030">
        <v>14</v>
      </c>
      <c r="I6030" s="25">
        <v>3101</v>
      </c>
      <c r="K6030" t="s">
        <v>638</v>
      </c>
      <c r="L6030" t="s">
        <v>141</v>
      </c>
      <c r="M6030" t="s">
        <v>52</v>
      </c>
      <c r="N6030" t="s">
        <v>44</v>
      </c>
      <c r="O6030">
        <f>60+17</f>
        <v>77</v>
      </c>
      <c r="Q6030">
        <f t="shared" si="95"/>
        <v>1</v>
      </c>
      <c r="R6030">
        <v>1</v>
      </c>
      <c r="S6030">
        <v>0</v>
      </c>
      <c r="T6030">
        <v>0</v>
      </c>
      <c r="U6030">
        <v>0</v>
      </c>
      <c r="V6030">
        <v>0</v>
      </c>
      <c r="W6030">
        <v>1</v>
      </c>
      <c r="X6030" s="21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f t="shared" si="96"/>
        <v>96</v>
      </c>
      <c r="AP6030" t="s">
        <v>1915</v>
      </c>
    </row>
    <row r="6031" spans="1:42">
      <c r="A6031" s="1">
        <v>43795</v>
      </c>
      <c r="B6031">
        <v>2</v>
      </c>
      <c r="C6031">
        <v>989</v>
      </c>
      <c r="D6031">
        <v>10376</v>
      </c>
      <c r="E6031" t="s">
        <v>37</v>
      </c>
      <c r="F6031" t="s">
        <v>520</v>
      </c>
      <c r="G6031">
        <v>2</v>
      </c>
      <c r="H6031">
        <v>15</v>
      </c>
      <c r="I6031" s="25">
        <v>3100</v>
      </c>
      <c r="K6031" t="s">
        <v>638</v>
      </c>
      <c r="M6031" t="s">
        <v>52</v>
      </c>
      <c r="N6031" t="s">
        <v>40</v>
      </c>
      <c r="O6031">
        <f>60+60+60+17</f>
        <v>197</v>
      </c>
      <c r="Q6031">
        <f t="shared" si="95"/>
        <v>6</v>
      </c>
      <c r="R6031">
        <v>1</v>
      </c>
      <c r="S6031">
        <v>0</v>
      </c>
      <c r="T6031">
        <v>0</v>
      </c>
      <c r="U6031">
        <v>2</v>
      </c>
      <c r="V6031">
        <v>4</v>
      </c>
      <c r="W6031">
        <v>0</v>
      </c>
      <c r="X6031" s="2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f t="shared" si="96"/>
        <v>320</v>
      </c>
      <c r="AP6031" t="s">
        <v>1915</v>
      </c>
    </row>
    <row r="6032" spans="1:42">
      <c r="A6032" s="1">
        <v>43795</v>
      </c>
      <c r="B6032">
        <v>2</v>
      </c>
      <c r="C6032">
        <v>989</v>
      </c>
      <c r="D6032">
        <v>10376</v>
      </c>
      <c r="E6032" t="s">
        <v>37</v>
      </c>
      <c r="F6032" t="s">
        <v>520</v>
      </c>
      <c r="G6032">
        <v>2</v>
      </c>
      <c r="H6032">
        <v>16</v>
      </c>
      <c r="I6032" s="25">
        <v>3156</v>
      </c>
      <c r="K6032" t="s">
        <v>638</v>
      </c>
      <c r="L6032" t="s">
        <v>114</v>
      </c>
      <c r="M6032" t="s">
        <v>52</v>
      </c>
      <c r="N6032" t="s">
        <v>44</v>
      </c>
      <c r="O6032">
        <f>60+37</f>
        <v>97</v>
      </c>
      <c r="Q6032">
        <f t="shared" si="95"/>
        <v>1</v>
      </c>
      <c r="R6032">
        <v>1</v>
      </c>
      <c r="S6032">
        <v>0</v>
      </c>
      <c r="T6032">
        <v>0</v>
      </c>
      <c r="U6032">
        <v>0</v>
      </c>
      <c r="V6032">
        <v>0</v>
      </c>
      <c r="W6032">
        <v>1</v>
      </c>
      <c r="X6032" s="21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f t="shared" si="96"/>
        <v>96</v>
      </c>
      <c r="AP6032" t="s">
        <v>1915</v>
      </c>
    </row>
    <row r="6033" spans="1:42">
      <c r="A6033" s="1">
        <v>43795</v>
      </c>
      <c r="B6033">
        <v>2</v>
      </c>
      <c r="C6033">
        <v>989</v>
      </c>
      <c r="D6033">
        <v>10376</v>
      </c>
      <c r="E6033" t="s">
        <v>37</v>
      </c>
      <c r="F6033" t="s">
        <v>520</v>
      </c>
      <c r="G6033">
        <v>2</v>
      </c>
      <c r="H6033">
        <v>17</v>
      </c>
      <c r="I6033" s="25">
        <v>3149</v>
      </c>
      <c r="K6033" t="s">
        <v>638</v>
      </c>
      <c r="L6033" t="s">
        <v>141</v>
      </c>
      <c r="M6033" t="s">
        <v>52</v>
      </c>
      <c r="N6033" t="s">
        <v>44</v>
      </c>
      <c r="O6033">
        <v>52</v>
      </c>
      <c r="Q6033">
        <f t="shared" si="95"/>
        <v>1</v>
      </c>
      <c r="R6033">
        <v>1</v>
      </c>
      <c r="S6033">
        <v>0</v>
      </c>
      <c r="T6033">
        <v>0</v>
      </c>
      <c r="U6033">
        <v>0</v>
      </c>
      <c r="V6033">
        <v>0</v>
      </c>
      <c r="W6033">
        <v>1</v>
      </c>
      <c r="X6033" s="21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f t="shared" si="96"/>
        <v>96</v>
      </c>
      <c r="AP6033" t="s">
        <v>1915</v>
      </c>
    </row>
    <row r="6034" spans="1:42">
      <c r="A6034" s="1">
        <v>43795</v>
      </c>
      <c r="B6034">
        <v>2</v>
      </c>
      <c r="C6034">
        <v>989</v>
      </c>
      <c r="D6034">
        <v>10376</v>
      </c>
      <c r="E6034" t="s">
        <v>37</v>
      </c>
      <c r="F6034" t="s">
        <v>520</v>
      </c>
      <c r="G6034">
        <v>2</v>
      </c>
      <c r="H6034">
        <v>18</v>
      </c>
      <c r="I6034" s="25">
        <v>3100</v>
      </c>
      <c r="K6034" t="s">
        <v>638</v>
      </c>
      <c r="M6034" t="s">
        <v>52</v>
      </c>
      <c r="N6034" t="s">
        <v>40</v>
      </c>
      <c r="O6034">
        <f>(60+60+60+60+6)-(60+37+52)</f>
        <v>97</v>
      </c>
      <c r="Q6034">
        <f t="shared" si="95"/>
        <v>1</v>
      </c>
      <c r="R6034">
        <v>1</v>
      </c>
      <c r="S6034">
        <v>0</v>
      </c>
      <c r="T6034">
        <v>0</v>
      </c>
      <c r="U6034">
        <v>0</v>
      </c>
      <c r="V6034">
        <v>0</v>
      </c>
      <c r="W6034">
        <v>1</v>
      </c>
      <c r="X6034" s="21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f t="shared" si="96"/>
        <v>96</v>
      </c>
      <c r="AP6034" t="s">
        <v>1915</v>
      </c>
    </row>
    <row r="6035" spans="1:42">
      <c r="A6035" s="1">
        <v>43795</v>
      </c>
      <c r="B6035">
        <v>2</v>
      </c>
      <c r="C6035">
        <v>989</v>
      </c>
      <c r="D6035">
        <v>10376</v>
      </c>
      <c r="E6035" t="s">
        <v>37</v>
      </c>
      <c r="F6035" t="s">
        <v>520</v>
      </c>
      <c r="G6035">
        <v>2</v>
      </c>
      <c r="H6035">
        <v>19</v>
      </c>
      <c r="I6035" s="25">
        <v>3200</v>
      </c>
      <c r="K6035" t="s">
        <v>862</v>
      </c>
      <c r="M6035" t="s">
        <v>95</v>
      </c>
      <c r="N6035" t="s">
        <v>40</v>
      </c>
      <c r="O6035">
        <f>60+60+24</f>
        <v>144</v>
      </c>
      <c r="Q6035">
        <f t="shared" si="95"/>
        <v>3</v>
      </c>
      <c r="R6035">
        <v>1</v>
      </c>
      <c r="S6035">
        <v>0</v>
      </c>
      <c r="T6035">
        <v>0</v>
      </c>
      <c r="U6035">
        <v>1</v>
      </c>
      <c r="V6035">
        <v>1</v>
      </c>
      <c r="W6035">
        <v>1</v>
      </c>
      <c r="X6035" s="21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f t="shared" si="96"/>
        <v>192</v>
      </c>
      <c r="AP6035" t="s">
        <v>1915</v>
      </c>
    </row>
    <row r="6036" spans="1:42">
      <c r="A6036" s="1">
        <v>43795</v>
      </c>
      <c r="B6036">
        <v>2</v>
      </c>
      <c r="C6036">
        <v>989</v>
      </c>
      <c r="D6036">
        <v>10376</v>
      </c>
      <c r="E6036" t="s">
        <v>37</v>
      </c>
      <c r="F6036" t="s">
        <v>520</v>
      </c>
      <c r="G6036">
        <v>2</v>
      </c>
      <c r="H6036">
        <v>20</v>
      </c>
      <c r="I6036" s="25">
        <v>3251</v>
      </c>
      <c r="K6036" t="s">
        <v>862</v>
      </c>
      <c r="L6036" t="s">
        <v>141</v>
      </c>
      <c r="M6036" t="s">
        <v>52</v>
      </c>
      <c r="N6036" t="s">
        <v>44</v>
      </c>
      <c r="O6036">
        <f>60+60+21</f>
        <v>141</v>
      </c>
      <c r="Q6036">
        <f t="shared" si="95"/>
        <v>1</v>
      </c>
      <c r="R6036">
        <v>1</v>
      </c>
      <c r="S6036">
        <v>0</v>
      </c>
      <c r="T6036">
        <v>0</v>
      </c>
      <c r="U6036">
        <v>0</v>
      </c>
      <c r="V6036">
        <v>0</v>
      </c>
      <c r="W6036">
        <v>1</v>
      </c>
      <c r="X6036" s="21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f t="shared" si="96"/>
        <v>96</v>
      </c>
      <c r="AP6036" t="s">
        <v>1915</v>
      </c>
    </row>
    <row r="6037" spans="1:42">
      <c r="A6037" s="1">
        <v>43795</v>
      </c>
      <c r="B6037">
        <v>2</v>
      </c>
      <c r="C6037">
        <v>989</v>
      </c>
      <c r="D6037">
        <v>10376</v>
      </c>
      <c r="E6037" t="s">
        <v>37</v>
      </c>
      <c r="F6037" t="s">
        <v>520</v>
      </c>
      <c r="G6037">
        <v>2</v>
      </c>
      <c r="H6037">
        <v>21</v>
      </c>
      <c r="I6037" s="25">
        <v>3241</v>
      </c>
      <c r="K6037" t="s">
        <v>862</v>
      </c>
      <c r="L6037" t="s">
        <v>141</v>
      </c>
      <c r="M6037" t="s">
        <v>52</v>
      </c>
      <c r="N6037" t="s">
        <v>44</v>
      </c>
      <c r="O6037">
        <f>60+33</f>
        <v>93</v>
      </c>
      <c r="Q6037">
        <f t="shared" si="95"/>
        <v>1</v>
      </c>
      <c r="R6037">
        <v>1</v>
      </c>
      <c r="S6037">
        <v>0</v>
      </c>
      <c r="T6037">
        <v>0</v>
      </c>
      <c r="U6037">
        <v>0</v>
      </c>
      <c r="V6037">
        <v>1</v>
      </c>
      <c r="W6037">
        <v>0</v>
      </c>
      <c r="X6037" s="21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f t="shared" si="96"/>
        <v>64</v>
      </c>
      <c r="AP6037" t="s">
        <v>1915</v>
      </c>
    </row>
    <row r="6038" spans="1:42">
      <c r="A6038" s="1">
        <v>43795</v>
      </c>
      <c r="B6038">
        <v>2</v>
      </c>
      <c r="C6038">
        <v>989</v>
      </c>
      <c r="D6038">
        <v>10376</v>
      </c>
      <c r="E6038" t="s">
        <v>37</v>
      </c>
      <c r="F6038" t="s">
        <v>520</v>
      </c>
      <c r="G6038">
        <v>2</v>
      </c>
      <c r="H6038">
        <v>22</v>
      </c>
      <c r="I6038" s="25">
        <v>3200</v>
      </c>
      <c r="K6038" t="s">
        <v>862</v>
      </c>
      <c r="L6038" t="s">
        <v>141</v>
      </c>
      <c r="M6038" t="s">
        <v>52</v>
      </c>
      <c r="N6038" t="s">
        <v>40</v>
      </c>
      <c r="O6038">
        <v>18</v>
      </c>
      <c r="Q6038">
        <f t="shared" si="95"/>
        <v>1</v>
      </c>
      <c r="R6038">
        <v>1</v>
      </c>
      <c r="S6038">
        <v>0</v>
      </c>
      <c r="T6038">
        <v>0</v>
      </c>
      <c r="U6038">
        <v>1</v>
      </c>
      <c r="V6038">
        <v>0</v>
      </c>
      <c r="W6038">
        <v>0</v>
      </c>
      <c r="X6038" s="21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f t="shared" si="96"/>
        <v>32</v>
      </c>
      <c r="AP6038" t="s">
        <v>1915</v>
      </c>
    </row>
    <row r="6039" spans="1:42">
      <c r="A6039" s="1">
        <v>43795</v>
      </c>
      <c r="B6039">
        <v>2</v>
      </c>
      <c r="C6039">
        <v>989</v>
      </c>
      <c r="D6039">
        <v>10376</v>
      </c>
      <c r="E6039" t="s">
        <v>37</v>
      </c>
      <c r="F6039" t="s">
        <v>520</v>
      </c>
      <c r="G6039">
        <v>2</v>
      </c>
      <c r="H6039">
        <v>23</v>
      </c>
      <c r="I6039" s="25">
        <v>1700</v>
      </c>
      <c r="K6039" t="s">
        <v>210</v>
      </c>
      <c r="L6039" t="s">
        <v>114</v>
      </c>
      <c r="M6039" t="s">
        <v>52</v>
      </c>
      <c r="N6039" t="s">
        <v>40</v>
      </c>
      <c r="O6039">
        <f>60+31</f>
        <v>91</v>
      </c>
      <c r="Q6039">
        <f t="shared" si="95"/>
        <v>3</v>
      </c>
      <c r="R6039">
        <v>1</v>
      </c>
      <c r="S6039">
        <v>0</v>
      </c>
      <c r="T6039">
        <v>0</v>
      </c>
      <c r="U6039">
        <v>0</v>
      </c>
      <c r="V6039">
        <v>3</v>
      </c>
      <c r="W6039">
        <v>0</v>
      </c>
      <c r="X6039" s="21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f t="shared" si="96"/>
        <v>192</v>
      </c>
      <c r="AP6039" t="s">
        <v>1915</v>
      </c>
    </row>
    <row r="6040" spans="1:42">
      <c r="A6040" s="1">
        <v>43795</v>
      </c>
      <c r="B6040">
        <v>2</v>
      </c>
      <c r="C6040">
        <v>989</v>
      </c>
      <c r="D6040">
        <v>10376</v>
      </c>
      <c r="E6040" t="s">
        <v>37</v>
      </c>
      <c r="F6040" t="s">
        <v>520</v>
      </c>
      <c r="G6040">
        <v>2</v>
      </c>
      <c r="H6040">
        <v>24</v>
      </c>
      <c r="I6040" s="25">
        <v>1700</v>
      </c>
      <c r="K6040" t="s">
        <v>210</v>
      </c>
      <c r="M6040" t="s">
        <v>52</v>
      </c>
      <c r="N6040" t="s">
        <v>40</v>
      </c>
      <c r="O6040">
        <v>53</v>
      </c>
      <c r="Q6040">
        <f t="shared" si="95"/>
        <v>1</v>
      </c>
      <c r="R6040">
        <v>1</v>
      </c>
      <c r="S6040">
        <v>0</v>
      </c>
      <c r="T6040">
        <v>0</v>
      </c>
      <c r="U6040">
        <v>0</v>
      </c>
      <c r="V6040">
        <v>1</v>
      </c>
      <c r="W6040">
        <v>0</v>
      </c>
      <c r="X6040" s="21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f t="shared" si="96"/>
        <v>64</v>
      </c>
      <c r="AP6040" t="s">
        <v>1915</v>
      </c>
    </row>
    <row r="6041" spans="1:42">
      <c r="A6041" s="1">
        <v>43795</v>
      </c>
      <c r="B6041">
        <v>2</v>
      </c>
      <c r="C6041">
        <v>989</v>
      </c>
      <c r="D6041">
        <v>10376</v>
      </c>
      <c r="E6041" t="s">
        <v>37</v>
      </c>
      <c r="F6041" t="s">
        <v>520</v>
      </c>
      <c r="G6041">
        <v>2</v>
      </c>
      <c r="H6041">
        <v>25</v>
      </c>
      <c r="I6041" s="25">
        <v>1700</v>
      </c>
      <c r="K6041" t="s">
        <v>210</v>
      </c>
      <c r="M6041" t="s">
        <v>52</v>
      </c>
      <c r="N6041" t="s">
        <v>40</v>
      </c>
      <c r="O6041">
        <v>47</v>
      </c>
      <c r="Q6041">
        <f t="shared" si="95"/>
        <v>2</v>
      </c>
      <c r="R6041">
        <v>1</v>
      </c>
      <c r="S6041">
        <v>0</v>
      </c>
      <c r="T6041">
        <v>0</v>
      </c>
      <c r="U6041">
        <v>0</v>
      </c>
      <c r="V6041">
        <v>2</v>
      </c>
      <c r="W6041">
        <v>0</v>
      </c>
      <c r="X6041" s="2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f t="shared" si="96"/>
        <v>128</v>
      </c>
      <c r="AP6041" t="s">
        <v>1915</v>
      </c>
    </row>
    <row r="6042" spans="1:42">
      <c r="A6042" s="1">
        <v>43795</v>
      </c>
      <c r="B6042">
        <v>2</v>
      </c>
      <c r="C6042">
        <v>989</v>
      </c>
      <c r="D6042">
        <v>10376</v>
      </c>
      <c r="E6042" t="s">
        <v>37</v>
      </c>
      <c r="F6042" t="s">
        <v>520</v>
      </c>
      <c r="G6042">
        <v>2</v>
      </c>
      <c r="H6042">
        <v>26</v>
      </c>
      <c r="I6042" s="25">
        <v>1573</v>
      </c>
      <c r="K6042" t="s">
        <v>862</v>
      </c>
      <c r="L6042" t="s">
        <v>141</v>
      </c>
      <c r="M6042" t="s">
        <v>52</v>
      </c>
      <c r="N6042" t="s">
        <v>44</v>
      </c>
      <c r="O6042">
        <f>60+3</f>
        <v>63</v>
      </c>
      <c r="Q6042">
        <f t="shared" si="95"/>
        <v>1</v>
      </c>
      <c r="R6042">
        <v>1</v>
      </c>
      <c r="S6042">
        <v>0</v>
      </c>
      <c r="T6042">
        <v>0</v>
      </c>
      <c r="U6042">
        <v>0</v>
      </c>
      <c r="V6042">
        <v>0</v>
      </c>
      <c r="W6042">
        <v>1</v>
      </c>
      <c r="X6042" s="21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f t="shared" si="96"/>
        <v>96</v>
      </c>
      <c r="AP6042" t="s">
        <v>1915</v>
      </c>
    </row>
    <row r="6043" spans="1:42">
      <c r="A6043" s="1">
        <v>43795</v>
      </c>
      <c r="B6043">
        <v>2</v>
      </c>
      <c r="C6043">
        <v>989</v>
      </c>
      <c r="D6043">
        <v>10376</v>
      </c>
      <c r="E6043" t="s">
        <v>37</v>
      </c>
      <c r="F6043" t="s">
        <v>520</v>
      </c>
      <c r="G6043">
        <v>2</v>
      </c>
      <c r="H6043">
        <v>27</v>
      </c>
      <c r="I6043" s="25">
        <v>1561</v>
      </c>
      <c r="K6043" t="s">
        <v>862</v>
      </c>
      <c r="L6043" t="s">
        <v>141</v>
      </c>
      <c r="M6043" t="s">
        <v>52</v>
      </c>
      <c r="N6043" t="s">
        <v>42</v>
      </c>
      <c r="O6043">
        <f>60+60+3</f>
        <v>123</v>
      </c>
      <c r="Q6043">
        <f t="shared" si="95"/>
        <v>2</v>
      </c>
      <c r="R6043">
        <v>1</v>
      </c>
      <c r="S6043">
        <v>0</v>
      </c>
      <c r="T6043">
        <v>0</v>
      </c>
      <c r="U6043">
        <v>0</v>
      </c>
      <c r="V6043">
        <v>0</v>
      </c>
      <c r="W6043">
        <v>2</v>
      </c>
      <c r="X6043" s="21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f t="shared" si="96"/>
        <v>192</v>
      </c>
      <c r="AP6043" t="s">
        <v>1915</v>
      </c>
    </row>
    <row r="6044" spans="1:42">
      <c r="A6044" s="1">
        <v>43795</v>
      </c>
      <c r="B6044">
        <v>2</v>
      </c>
      <c r="C6044">
        <v>989</v>
      </c>
      <c r="D6044">
        <v>10376</v>
      </c>
      <c r="E6044" t="s">
        <v>37</v>
      </c>
      <c r="F6044" t="s">
        <v>520</v>
      </c>
      <c r="G6044">
        <v>2</v>
      </c>
      <c r="H6044">
        <v>28</v>
      </c>
      <c r="I6044" s="25">
        <v>1500</v>
      </c>
      <c r="K6044" t="s">
        <v>862</v>
      </c>
      <c r="M6044" t="s">
        <v>52</v>
      </c>
      <c r="N6044" t="s">
        <v>40</v>
      </c>
      <c r="O6044">
        <v>29</v>
      </c>
      <c r="Q6044">
        <f t="shared" si="95"/>
        <v>1</v>
      </c>
      <c r="R6044">
        <v>1</v>
      </c>
      <c r="S6044">
        <v>0</v>
      </c>
      <c r="T6044">
        <v>0</v>
      </c>
      <c r="U6044">
        <v>0</v>
      </c>
      <c r="V6044">
        <v>1</v>
      </c>
      <c r="W6044">
        <v>0</v>
      </c>
      <c r="X6044" s="21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f t="shared" si="96"/>
        <v>64</v>
      </c>
      <c r="AP6044" t="s">
        <v>1915</v>
      </c>
    </row>
    <row r="6045" spans="1:42">
      <c r="A6045" s="1">
        <v>43795</v>
      </c>
      <c r="B6045">
        <v>2</v>
      </c>
      <c r="C6045">
        <v>989</v>
      </c>
      <c r="D6045">
        <v>10376</v>
      </c>
      <c r="E6045" t="s">
        <v>37</v>
      </c>
      <c r="F6045" t="s">
        <v>520</v>
      </c>
      <c r="G6045">
        <v>2</v>
      </c>
      <c r="H6045">
        <v>29</v>
      </c>
      <c r="I6045" s="25">
        <v>1500</v>
      </c>
      <c r="K6045" t="s">
        <v>862</v>
      </c>
      <c r="L6045" t="s">
        <v>141</v>
      </c>
      <c r="M6045" t="s">
        <v>52</v>
      </c>
      <c r="N6045" t="s">
        <v>40</v>
      </c>
      <c r="O6045">
        <f>60+60+3</f>
        <v>123</v>
      </c>
      <c r="Q6045">
        <f t="shared" si="95"/>
        <v>3</v>
      </c>
      <c r="R6045">
        <v>1</v>
      </c>
      <c r="S6045">
        <v>0</v>
      </c>
      <c r="T6045">
        <v>0</v>
      </c>
      <c r="U6045">
        <v>2</v>
      </c>
      <c r="V6045">
        <v>0</v>
      </c>
      <c r="W6045">
        <v>1</v>
      </c>
      <c r="X6045" s="21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f t="shared" si="96"/>
        <v>160</v>
      </c>
      <c r="AP6045" t="s">
        <v>1915</v>
      </c>
    </row>
    <row r="6046" spans="1:42">
      <c r="A6046" s="1">
        <v>43795</v>
      </c>
      <c r="B6046">
        <v>2</v>
      </c>
      <c r="C6046">
        <v>989</v>
      </c>
      <c r="D6046">
        <v>10376</v>
      </c>
      <c r="E6046" t="s">
        <v>37</v>
      </c>
      <c r="F6046" t="s">
        <v>520</v>
      </c>
      <c r="G6046">
        <v>2</v>
      </c>
      <c r="H6046">
        <v>30</v>
      </c>
      <c r="I6046" s="25">
        <v>1500</v>
      </c>
      <c r="K6046" t="s">
        <v>862</v>
      </c>
      <c r="L6046" t="s">
        <v>114</v>
      </c>
      <c r="M6046" t="s">
        <v>52</v>
      </c>
      <c r="N6046" t="s">
        <v>40</v>
      </c>
      <c r="O6046">
        <f>60+60+6</f>
        <v>126</v>
      </c>
      <c r="Q6046">
        <f t="shared" si="95"/>
        <v>3</v>
      </c>
      <c r="R6046">
        <v>1</v>
      </c>
      <c r="S6046">
        <v>0</v>
      </c>
      <c r="T6046">
        <v>0</v>
      </c>
      <c r="U6046">
        <v>0</v>
      </c>
      <c r="V6046">
        <v>0</v>
      </c>
      <c r="W6046">
        <v>3</v>
      </c>
      <c r="X6046" s="21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f t="shared" si="96"/>
        <v>288</v>
      </c>
      <c r="AP6046" t="s">
        <v>1915</v>
      </c>
    </row>
    <row r="6047" spans="1:42">
      <c r="A6047" s="1">
        <v>43795</v>
      </c>
      <c r="B6047">
        <v>2</v>
      </c>
      <c r="C6047">
        <v>989</v>
      </c>
      <c r="D6047">
        <v>10376</v>
      </c>
      <c r="E6047" t="s">
        <v>37</v>
      </c>
      <c r="F6047" t="s">
        <v>520</v>
      </c>
      <c r="G6047">
        <v>2</v>
      </c>
      <c r="H6047">
        <v>31</v>
      </c>
      <c r="I6047" s="25">
        <v>1500</v>
      </c>
      <c r="K6047" t="s">
        <v>862</v>
      </c>
      <c r="M6047" t="s">
        <v>52</v>
      </c>
      <c r="N6047" t="s">
        <v>40</v>
      </c>
      <c r="O6047">
        <v>42</v>
      </c>
      <c r="Q6047">
        <f t="shared" si="95"/>
        <v>1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1</v>
      </c>
      <c r="X6047" s="21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f t="shared" si="96"/>
        <v>96</v>
      </c>
      <c r="AP6047" t="s">
        <v>1915</v>
      </c>
    </row>
    <row r="6048" spans="1:42">
      <c r="A6048" s="1">
        <v>43795</v>
      </c>
      <c r="B6048">
        <v>2</v>
      </c>
      <c r="C6048">
        <v>989</v>
      </c>
      <c r="D6048">
        <v>10376</v>
      </c>
      <c r="E6048" t="s">
        <v>37</v>
      </c>
      <c r="F6048" t="s">
        <v>520</v>
      </c>
      <c r="G6048">
        <v>2</v>
      </c>
      <c r="H6048">
        <v>32</v>
      </c>
      <c r="I6048" s="25">
        <v>3299</v>
      </c>
      <c r="K6048" t="s">
        <v>862</v>
      </c>
      <c r="L6048" t="s">
        <v>141</v>
      </c>
      <c r="M6048" t="s">
        <v>52</v>
      </c>
      <c r="N6048" t="s">
        <v>44</v>
      </c>
      <c r="O6048">
        <f>60+60+57</f>
        <v>177</v>
      </c>
      <c r="Q6048">
        <f t="shared" si="95"/>
        <v>2</v>
      </c>
      <c r="R6048">
        <v>1</v>
      </c>
      <c r="S6048">
        <v>0</v>
      </c>
      <c r="T6048">
        <v>0</v>
      </c>
      <c r="U6048">
        <v>0</v>
      </c>
      <c r="V6048">
        <v>0</v>
      </c>
      <c r="W6048">
        <v>2</v>
      </c>
      <c r="X6048" s="21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f t="shared" si="96"/>
        <v>192</v>
      </c>
      <c r="AP6048" t="s">
        <v>1915</v>
      </c>
    </row>
    <row r="6049" spans="1:42">
      <c r="A6049" s="1">
        <v>43795</v>
      </c>
      <c r="B6049">
        <v>2</v>
      </c>
      <c r="C6049">
        <v>989</v>
      </c>
      <c r="D6049">
        <v>10376</v>
      </c>
      <c r="E6049" t="s">
        <v>37</v>
      </c>
      <c r="F6049" t="s">
        <v>520</v>
      </c>
      <c r="G6049">
        <v>2</v>
      </c>
      <c r="H6049">
        <v>33</v>
      </c>
      <c r="I6049" s="25">
        <v>1900</v>
      </c>
      <c r="K6049" t="s">
        <v>210</v>
      </c>
      <c r="L6049" t="s">
        <v>114</v>
      </c>
      <c r="M6049" t="s">
        <v>52</v>
      </c>
      <c r="N6049" t="s">
        <v>40</v>
      </c>
      <c r="O6049">
        <f>45</f>
        <v>45</v>
      </c>
      <c r="Q6049">
        <f t="shared" si="95"/>
        <v>1</v>
      </c>
      <c r="R6049">
        <v>1</v>
      </c>
      <c r="S6049">
        <v>0</v>
      </c>
      <c r="T6049">
        <v>0</v>
      </c>
      <c r="U6049">
        <v>0</v>
      </c>
      <c r="V6049">
        <v>0</v>
      </c>
      <c r="W6049">
        <v>1</v>
      </c>
      <c r="X6049" s="21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f t="shared" si="96"/>
        <v>96</v>
      </c>
      <c r="AP6049" t="s">
        <v>1915</v>
      </c>
    </row>
    <row r="6050" spans="1:42">
      <c r="A6050" s="1">
        <v>43795</v>
      </c>
      <c r="B6050">
        <v>2</v>
      </c>
      <c r="C6050">
        <v>989</v>
      </c>
      <c r="D6050">
        <v>10376</v>
      </c>
      <c r="E6050" t="s">
        <v>37</v>
      </c>
      <c r="F6050" t="s">
        <v>520</v>
      </c>
      <c r="G6050">
        <v>2</v>
      </c>
      <c r="H6050">
        <v>34</v>
      </c>
      <c r="I6050" s="25">
        <v>1914</v>
      </c>
      <c r="K6050" t="s">
        <v>210</v>
      </c>
      <c r="L6050" t="s">
        <v>114</v>
      </c>
      <c r="M6050" t="s">
        <v>52</v>
      </c>
      <c r="N6050" t="s">
        <v>44</v>
      </c>
      <c r="O6050">
        <f>60+57</f>
        <v>117</v>
      </c>
      <c r="Q6050">
        <f t="shared" si="95"/>
        <v>2</v>
      </c>
      <c r="R6050">
        <v>1</v>
      </c>
      <c r="S6050">
        <v>0</v>
      </c>
      <c r="T6050">
        <v>0</v>
      </c>
      <c r="U6050">
        <v>0</v>
      </c>
      <c r="V6050">
        <v>1</v>
      </c>
      <c r="W6050">
        <v>1</v>
      </c>
      <c r="X6050" s="21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f t="shared" si="96"/>
        <v>160</v>
      </c>
      <c r="AP6050" t="s">
        <v>1915</v>
      </c>
    </row>
    <row r="6051" spans="1:42">
      <c r="A6051" s="1">
        <v>43795</v>
      </c>
      <c r="B6051">
        <v>2</v>
      </c>
      <c r="C6051">
        <v>989</v>
      </c>
      <c r="D6051">
        <v>10376</v>
      </c>
      <c r="E6051" t="s">
        <v>37</v>
      </c>
      <c r="F6051" t="s">
        <v>520</v>
      </c>
      <c r="G6051">
        <v>2</v>
      </c>
      <c r="H6051">
        <v>35</v>
      </c>
      <c r="I6051" s="25">
        <v>3235</v>
      </c>
      <c r="K6051" t="s">
        <v>599</v>
      </c>
      <c r="L6051" t="s">
        <v>141</v>
      </c>
      <c r="M6051" t="s">
        <v>52</v>
      </c>
      <c r="N6051" t="s">
        <v>44</v>
      </c>
      <c r="O6051">
        <f>60+60+1</f>
        <v>121</v>
      </c>
      <c r="Q6051">
        <f t="shared" si="95"/>
        <v>1</v>
      </c>
      <c r="R6051">
        <v>1</v>
      </c>
      <c r="S6051">
        <v>0</v>
      </c>
      <c r="T6051">
        <v>0</v>
      </c>
      <c r="U6051">
        <v>0</v>
      </c>
      <c r="V6051">
        <v>1</v>
      </c>
      <c r="W6051">
        <v>0</v>
      </c>
      <c r="X6051" s="2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f t="shared" si="96"/>
        <v>64</v>
      </c>
      <c r="AP6051" t="s">
        <v>1915</v>
      </c>
    </row>
    <row r="6052" spans="1:42">
      <c r="A6052" s="1">
        <v>43795</v>
      </c>
      <c r="B6052">
        <v>2</v>
      </c>
      <c r="C6052">
        <v>989</v>
      </c>
      <c r="D6052">
        <v>10376</v>
      </c>
      <c r="E6052" t="s">
        <v>37</v>
      </c>
      <c r="F6052" t="s">
        <v>520</v>
      </c>
      <c r="G6052">
        <v>2</v>
      </c>
      <c r="H6052">
        <v>36</v>
      </c>
      <c r="I6052" s="25">
        <v>100</v>
      </c>
      <c r="K6052" t="s">
        <v>1489</v>
      </c>
      <c r="M6052" t="s">
        <v>52</v>
      </c>
      <c r="N6052" t="s">
        <v>40</v>
      </c>
      <c r="O6052">
        <f>60+51</f>
        <v>111</v>
      </c>
      <c r="Q6052">
        <f t="shared" si="95"/>
        <v>2</v>
      </c>
      <c r="R6052">
        <v>1</v>
      </c>
      <c r="S6052">
        <v>0</v>
      </c>
      <c r="T6052">
        <v>0</v>
      </c>
      <c r="U6052">
        <v>0</v>
      </c>
      <c r="V6052">
        <v>1</v>
      </c>
      <c r="W6052">
        <v>1</v>
      </c>
      <c r="X6052" s="21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f t="shared" si="96"/>
        <v>160</v>
      </c>
      <c r="AP6052" t="s">
        <v>1915</v>
      </c>
    </row>
    <row r="6053" spans="1:42">
      <c r="A6053" s="1">
        <v>43795</v>
      </c>
      <c r="B6053">
        <v>2</v>
      </c>
      <c r="C6053">
        <v>989</v>
      </c>
      <c r="D6053">
        <v>10376</v>
      </c>
      <c r="E6053" t="s">
        <v>37</v>
      </c>
      <c r="F6053" t="s">
        <v>520</v>
      </c>
      <c r="G6053">
        <v>2</v>
      </c>
      <c r="H6053">
        <v>37</v>
      </c>
      <c r="I6053" s="25">
        <v>100</v>
      </c>
      <c r="K6053" t="s">
        <v>1489</v>
      </c>
      <c r="M6053" t="s">
        <v>52</v>
      </c>
      <c r="N6053" t="s">
        <v>44</v>
      </c>
      <c r="O6053">
        <v>33</v>
      </c>
      <c r="Q6053">
        <f t="shared" si="95"/>
        <v>1</v>
      </c>
      <c r="R6053">
        <v>1</v>
      </c>
      <c r="S6053">
        <v>0</v>
      </c>
      <c r="T6053">
        <v>0</v>
      </c>
      <c r="U6053">
        <v>0</v>
      </c>
      <c r="V6053">
        <v>0</v>
      </c>
      <c r="W6053">
        <v>1</v>
      </c>
      <c r="X6053" s="21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f t="shared" si="96"/>
        <v>96</v>
      </c>
      <c r="AP6053" t="s">
        <v>1915</v>
      </c>
    </row>
    <row r="6054" spans="1:42">
      <c r="A6054" s="1">
        <v>43795</v>
      </c>
      <c r="B6054">
        <v>2</v>
      </c>
      <c r="C6054">
        <v>989</v>
      </c>
      <c r="D6054">
        <v>10376</v>
      </c>
      <c r="E6054" t="s">
        <v>37</v>
      </c>
      <c r="F6054" t="s">
        <v>520</v>
      </c>
      <c r="G6054">
        <v>2</v>
      </c>
      <c r="H6054">
        <v>38</v>
      </c>
      <c r="I6054" s="25">
        <v>100</v>
      </c>
      <c r="K6054" t="s">
        <v>1489</v>
      </c>
      <c r="M6054" t="s">
        <v>52</v>
      </c>
      <c r="N6054" t="s">
        <v>40</v>
      </c>
      <c r="O6054">
        <v>29</v>
      </c>
      <c r="Q6054">
        <f t="shared" si="95"/>
        <v>1</v>
      </c>
      <c r="R6054">
        <v>1</v>
      </c>
      <c r="S6054">
        <v>0</v>
      </c>
      <c r="T6054">
        <v>0</v>
      </c>
      <c r="U6054">
        <v>0</v>
      </c>
      <c r="V6054">
        <v>1</v>
      </c>
      <c r="W6054">
        <v>0</v>
      </c>
      <c r="X6054" s="21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f t="shared" si="96"/>
        <v>64</v>
      </c>
      <c r="AP6054" t="s">
        <v>1915</v>
      </c>
    </row>
    <row r="6055" spans="1:42">
      <c r="A6055" s="1">
        <v>43795</v>
      </c>
      <c r="B6055">
        <v>2</v>
      </c>
      <c r="C6055">
        <v>989</v>
      </c>
      <c r="D6055">
        <v>10376</v>
      </c>
      <c r="E6055" t="s">
        <v>37</v>
      </c>
      <c r="F6055" t="s">
        <v>520</v>
      </c>
      <c r="G6055">
        <v>2</v>
      </c>
      <c r="H6055">
        <v>39</v>
      </c>
      <c r="I6055" s="25">
        <v>100</v>
      </c>
      <c r="K6055" t="s">
        <v>1489</v>
      </c>
      <c r="L6055" t="s">
        <v>141</v>
      </c>
      <c r="M6055" t="s">
        <v>52</v>
      </c>
      <c r="N6055" t="s">
        <v>40</v>
      </c>
      <c r="O6055">
        <f>(60+60+60+22)-43</f>
        <v>159</v>
      </c>
      <c r="Q6055">
        <f t="shared" si="95"/>
        <v>2</v>
      </c>
      <c r="R6055">
        <v>1</v>
      </c>
      <c r="S6055">
        <v>0</v>
      </c>
      <c r="T6055">
        <v>0</v>
      </c>
      <c r="U6055">
        <v>1</v>
      </c>
      <c r="V6055">
        <v>1</v>
      </c>
      <c r="W6055">
        <v>0</v>
      </c>
      <c r="X6055" s="21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f t="shared" si="96"/>
        <v>96</v>
      </c>
      <c r="AP6055" t="s">
        <v>1915</v>
      </c>
    </row>
    <row r="6056" spans="1:42">
      <c r="A6056" s="1">
        <v>43795</v>
      </c>
      <c r="B6056">
        <v>2</v>
      </c>
      <c r="C6056">
        <v>989</v>
      </c>
      <c r="D6056">
        <v>10376</v>
      </c>
      <c r="E6056" t="s">
        <v>37</v>
      </c>
      <c r="F6056" t="s">
        <v>520</v>
      </c>
      <c r="G6056">
        <v>2</v>
      </c>
      <c r="H6056">
        <v>40</v>
      </c>
      <c r="I6056" s="25">
        <v>135</v>
      </c>
      <c r="K6056" t="s">
        <v>1489</v>
      </c>
      <c r="L6056" t="s">
        <v>141</v>
      </c>
      <c r="M6056" t="s">
        <v>52</v>
      </c>
      <c r="N6056" t="s">
        <v>44</v>
      </c>
      <c r="O6056">
        <v>43</v>
      </c>
      <c r="Q6056">
        <f t="shared" si="95"/>
        <v>1</v>
      </c>
      <c r="R6056">
        <v>1</v>
      </c>
      <c r="S6056">
        <v>0</v>
      </c>
      <c r="T6056">
        <v>0</v>
      </c>
      <c r="U6056">
        <v>0</v>
      </c>
      <c r="V6056">
        <v>0</v>
      </c>
      <c r="W6056">
        <v>1</v>
      </c>
      <c r="X6056" s="21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f t="shared" si="96"/>
        <v>96</v>
      </c>
      <c r="AL6056" t="s">
        <v>1941</v>
      </c>
      <c r="AP6056" t="s">
        <v>1915</v>
      </c>
    </row>
    <row r="6057" spans="1:42">
      <c r="A6057" s="1">
        <v>43795</v>
      </c>
      <c r="B6057">
        <v>2</v>
      </c>
      <c r="C6057">
        <v>989</v>
      </c>
      <c r="D6057">
        <v>10376</v>
      </c>
      <c r="E6057" t="s">
        <v>37</v>
      </c>
      <c r="F6057" t="s">
        <v>520</v>
      </c>
      <c r="G6057">
        <v>2</v>
      </c>
      <c r="H6057">
        <v>41</v>
      </c>
      <c r="I6057" s="25">
        <v>100</v>
      </c>
      <c r="K6057" t="s">
        <v>1489</v>
      </c>
      <c r="L6057" t="s">
        <v>141</v>
      </c>
      <c r="M6057" t="s">
        <v>52</v>
      </c>
      <c r="N6057" t="s">
        <v>44</v>
      </c>
      <c r="O6057">
        <v>34</v>
      </c>
      <c r="Q6057">
        <f t="shared" si="95"/>
        <v>1</v>
      </c>
      <c r="R6057">
        <v>1</v>
      </c>
      <c r="S6057">
        <v>0</v>
      </c>
      <c r="T6057">
        <v>0</v>
      </c>
      <c r="U6057">
        <v>0</v>
      </c>
      <c r="V6057">
        <v>0</v>
      </c>
      <c r="W6057">
        <v>1</v>
      </c>
      <c r="X6057" s="21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f t="shared" si="96"/>
        <v>96</v>
      </c>
      <c r="AP6057" t="s">
        <v>1915</v>
      </c>
    </row>
    <row r="6058" spans="1:42">
      <c r="A6058" s="1">
        <v>43795</v>
      </c>
      <c r="B6058">
        <v>2</v>
      </c>
      <c r="C6058">
        <v>989</v>
      </c>
      <c r="D6058">
        <v>10376</v>
      </c>
      <c r="E6058" t="s">
        <v>37</v>
      </c>
      <c r="F6058" t="s">
        <v>520</v>
      </c>
      <c r="G6058">
        <v>2</v>
      </c>
      <c r="H6058">
        <v>42</v>
      </c>
      <c r="I6058" s="25">
        <v>100</v>
      </c>
      <c r="K6058" t="s">
        <v>1489</v>
      </c>
      <c r="L6058" t="s">
        <v>141</v>
      </c>
      <c r="M6058" t="s">
        <v>52</v>
      </c>
      <c r="N6058" t="s">
        <v>40</v>
      </c>
      <c r="O6058">
        <f>(60+60+53)-34</f>
        <v>139</v>
      </c>
      <c r="Q6058">
        <f t="shared" si="95"/>
        <v>4</v>
      </c>
      <c r="R6058">
        <v>1</v>
      </c>
      <c r="S6058">
        <v>0</v>
      </c>
      <c r="T6058">
        <v>0</v>
      </c>
      <c r="U6058">
        <v>3</v>
      </c>
      <c r="V6058">
        <v>1</v>
      </c>
      <c r="W6058">
        <v>0</v>
      </c>
      <c r="X6058" s="21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f t="shared" si="96"/>
        <v>160</v>
      </c>
      <c r="AP6058" t="s">
        <v>1915</v>
      </c>
    </row>
    <row r="6059" spans="1:42">
      <c r="A6059" s="1">
        <v>43795</v>
      </c>
      <c r="B6059">
        <v>2</v>
      </c>
      <c r="C6059">
        <v>989</v>
      </c>
      <c r="D6059">
        <v>10376</v>
      </c>
      <c r="E6059" t="s">
        <v>37</v>
      </c>
      <c r="F6059" t="s">
        <v>520</v>
      </c>
      <c r="G6059">
        <v>2</v>
      </c>
      <c r="H6059">
        <v>43</v>
      </c>
      <c r="I6059" s="25">
        <v>2000</v>
      </c>
      <c r="K6059" t="s">
        <v>210</v>
      </c>
      <c r="L6059" t="s">
        <v>114</v>
      </c>
      <c r="M6059" t="s">
        <v>52</v>
      </c>
      <c r="N6059" t="s">
        <v>40</v>
      </c>
      <c r="O6059">
        <v>46</v>
      </c>
      <c r="Q6059">
        <f t="shared" si="95"/>
        <v>1</v>
      </c>
      <c r="R6059">
        <v>1</v>
      </c>
      <c r="S6059">
        <v>0</v>
      </c>
      <c r="T6059">
        <v>0</v>
      </c>
      <c r="U6059">
        <v>0</v>
      </c>
      <c r="V6059">
        <v>1</v>
      </c>
      <c r="W6059">
        <v>0</v>
      </c>
      <c r="X6059" s="21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f t="shared" si="96"/>
        <v>64</v>
      </c>
      <c r="AP6059" t="s">
        <v>1915</v>
      </c>
    </row>
    <row r="6060" spans="1:42">
      <c r="A6060" s="1">
        <v>43795</v>
      </c>
      <c r="B6060">
        <v>2</v>
      </c>
      <c r="C6060">
        <v>989</v>
      </c>
      <c r="D6060">
        <v>10376</v>
      </c>
      <c r="E6060" t="s">
        <v>37</v>
      </c>
      <c r="F6060" t="s">
        <v>520</v>
      </c>
      <c r="G6060">
        <v>2</v>
      </c>
      <c r="H6060">
        <v>44</v>
      </c>
      <c r="I6060" s="25">
        <v>2006</v>
      </c>
      <c r="K6060" t="s">
        <v>210</v>
      </c>
      <c r="L6060" t="s">
        <v>114</v>
      </c>
      <c r="M6060" t="s">
        <v>52</v>
      </c>
      <c r="N6060" t="s">
        <v>44</v>
      </c>
      <c r="O6060">
        <f>60+60+60+17</f>
        <v>197</v>
      </c>
      <c r="Q6060">
        <f t="shared" si="95"/>
        <v>2</v>
      </c>
      <c r="R6060">
        <v>1</v>
      </c>
      <c r="S6060">
        <v>0</v>
      </c>
      <c r="T6060">
        <v>0</v>
      </c>
      <c r="U6060">
        <v>0</v>
      </c>
      <c r="V6060">
        <v>0</v>
      </c>
      <c r="W6060">
        <v>2</v>
      </c>
      <c r="X6060" s="21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f t="shared" si="96"/>
        <v>192</v>
      </c>
      <c r="AL6060" t="s">
        <v>597</v>
      </c>
      <c r="AP6060" t="s">
        <v>1915</v>
      </c>
    </row>
    <row r="6061" spans="1:42">
      <c r="A6061" s="1">
        <v>43795</v>
      </c>
      <c r="B6061">
        <v>2</v>
      </c>
      <c r="C6061">
        <v>989</v>
      </c>
      <c r="D6061">
        <v>10376</v>
      </c>
      <c r="E6061" t="s">
        <v>37</v>
      </c>
      <c r="F6061" t="s">
        <v>520</v>
      </c>
      <c r="G6061">
        <v>2</v>
      </c>
      <c r="H6061">
        <v>45</v>
      </c>
      <c r="I6061" s="25">
        <v>3300</v>
      </c>
      <c r="K6061" t="s">
        <v>909</v>
      </c>
      <c r="L6061" t="s">
        <v>114</v>
      </c>
      <c r="M6061" t="s">
        <v>52</v>
      </c>
      <c r="N6061" t="s">
        <v>40</v>
      </c>
      <c r="O6061">
        <f>60+60+23</f>
        <v>143</v>
      </c>
      <c r="Q6061">
        <f t="shared" si="95"/>
        <v>3</v>
      </c>
      <c r="R6061">
        <v>1</v>
      </c>
      <c r="S6061">
        <v>0</v>
      </c>
      <c r="T6061">
        <v>0</v>
      </c>
      <c r="U6061">
        <v>0</v>
      </c>
      <c r="V6061">
        <v>3</v>
      </c>
      <c r="W6061">
        <v>0</v>
      </c>
      <c r="X6061" s="2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f t="shared" si="96"/>
        <v>192</v>
      </c>
      <c r="AP6061" t="s">
        <v>1915</v>
      </c>
    </row>
    <row r="6062" spans="1:42">
      <c r="A6062" s="1">
        <v>43795</v>
      </c>
      <c r="B6062">
        <v>2</v>
      </c>
      <c r="C6062">
        <v>989</v>
      </c>
      <c r="D6062">
        <v>10376</v>
      </c>
      <c r="E6062" t="s">
        <v>37</v>
      </c>
      <c r="F6062" t="s">
        <v>520</v>
      </c>
      <c r="G6062">
        <v>2</v>
      </c>
      <c r="H6062">
        <v>46</v>
      </c>
      <c r="I6062" s="25">
        <v>3300</v>
      </c>
      <c r="K6062" t="s">
        <v>909</v>
      </c>
      <c r="L6062" t="s">
        <v>141</v>
      </c>
      <c r="M6062" t="s">
        <v>52</v>
      </c>
      <c r="N6062" t="s">
        <v>40</v>
      </c>
      <c r="O6062">
        <f>60+5</f>
        <v>65</v>
      </c>
      <c r="Q6062">
        <f t="shared" si="95"/>
        <v>2</v>
      </c>
      <c r="R6062">
        <v>1</v>
      </c>
      <c r="S6062">
        <v>0</v>
      </c>
      <c r="T6062">
        <v>0</v>
      </c>
      <c r="U6062">
        <v>0</v>
      </c>
      <c r="V6062">
        <v>0</v>
      </c>
      <c r="W6062">
        <v>2</v>
      </c>
      <c r="X6062" s="21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f t="shared" si="96"/>
        <v>192</v>
      </c>
      <c r="AP6062" t="s">
        <v>1915</v>
      </c>
    </row>
    <row r="6063" spans="1:42">
      <c r="A6063" s="1">
        <v>43795</v>
      </c>
      <c r="B6063">
        <v>2</v>
      </c>
      <c r="C6063">
        <v>989</v>
      </c>
      <c r="D6063">
        <v>10376</v>
      </c>
      <c r="E6063" t="s">
        <v>37</v>
      </c>
      <c r="F6063" t="s">
        <v>520</v>
      </c>
      <c r="G6063">
        <v>2</v>
      </c>
      <c r="H6063">
        <v>47</v>
      </c>
      <c r="I6063" s="25">
        <v>1951</v>
      </c>
      <c r="K6063" t="s">
        <v>324</v>
      </c>
      <c r="L6063" t="s">
        <v>141</v>
      </c>
      <c r="M6063" t="s">
        <v>52</v>
      </c>
      <c r="N6063" t="s">
        <v>44</v>
      </c>
      <c r="O6063">
        <f>60+58</f>
        <v>118</v>
      </c>
      <c r="Q6063">
        <f t="shared" si="95"/>
        <v>2</v>
      </c>
      <c r="R6063">
        <v>1</v>
      </c>
      <c r="S6063">
        <v>0</v>
      </c>
      <c r="T6063">
        <v>0</v>
      </c>
      <c r="U6063">
        <v>0</v>
      </c>
      <c r="V6063">
        <v>0</v>
      </c>
      <c r="W6063">
        <v>2</v>
      </c>
      <c r="X6063" s="21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f t="shared" si="96"/>
        <v>192</v>
      </c>
      <c r="AP6063" t="s">
        <v>1915</v>
      </c>
    </row>
    <row r="6064" spans="1:42">
      <c r="A6064" s="1">
        <v>43795</v>
      </c>
      <c r="B6064">
        <v>2</v>
      </c>
      <c r="C6064">
        <v>989</v>
      </c>
      <c r="D6064">
        <v>10376</v>
      </c>
      <c r="E6064" t="s">
        <v>37</v>
      </c>
      <c r="F6064" t="s">
        <v>520</v>
      </c>
      <c r="G6064">
        <v>2</v>
      </c>
      <c r="H6064">
        <v>48</v>
      </c>
      <c r="I6064" s="25">
        <v>1961</v>
      </c>
      <c r="K6064" t="s">
        <v>324</v>
      </c>
      <c r="L6064" t="s">
        <v>141</v>
      </c>
      <c r="M6064" t="s">
        <v>52</v>
      </c>
      <c r="N6064" t="s">
        <v>44</v>
      </c>
      <c r="O6064">
        <f>60+60+60+16</f>
        <v>196</v>
      </c>
      <c r="Q6064">
        <f t="shared" si="95"/>
        <v>4</v>
      </c>
      <c r="R6064">
        <v>1</v>
      </c>
      <c r="S6064">
        <v>0</v>
      </c>
      <c r="T6064">
        <v>0</v>
      </c>
      <c r="U6064">
        <v>0</v>
      </c>
      <c r="V6064">
        <v>0</v>
      </c>
      <c r="W6064">
        <v>4</v>
      </c>
      <c r="X6064" s="21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f t="shared" si="96"/>
        <v>384</v>
      </c>
      <c r="AP6064" t="s">
        <v>1915</v>
      </c>
    </row>
    <row r="6065" spans="1:42">
      <c r="A6065" s="1">
        <v>43795</v>
      </c>
      <c r="B6065">
        <v>2</v>
      </c>
      <c r="C6065">
        <v>989</v>
      </c>
      <c r="D6065">
        <v>10376</v>
      </c>
      <c r="E6065" t="s">
        <v>37</v>
      </c>
      <c r="F6065" t="s">
        <v>520</v>
      </c>
      <c r="G6065">
        <v>2</v>
      </c>
      <c r="H6065">
        <v>49</v>
      </c>
      <c r="I6065" s="25">
        <v>3300</v>
      </c>
      <c r="K6065" t="s">
        <v>113</v>
      </c>
      <c r="L6065" t="s">
        <v>114</v>
      </c>
      <c r="M6065" t="s">
        <v>52</v>
      </c>
      <c r="N6065" t="s">
        <v>40</v>
      </c>
      <c r="O6065">
        <f>60+21</f>
        <v>81</v>
      </c>
      <c r="Q6065">
        <f t="shared" si="95"/>
        <v>2</v>
      </c>
      <c r="R6065">
        <v>1</v>
      </c>
      <c r="S6065">
        <v>0</v>
      </c>
      <c r="T6065">
        <v>0</v>
      </c>
      <c r="U6065">
        <v>1</v>
      </c>
      <c r="V6065">
        <v>0</v>
      </c>
      <c r="W6065">
        <v>1</v>
      </c>
      <c r="X6065" s="21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f t="shared" si="96"/>
        <v>128</v>
      </c>
      <c r="AP6065" t="s">
        <v>1915</v>
      </c>
    </row>
    <row r="6066" spans="1:42">
      <c r="A6066" s="1">
        <v>43795</v>
      </c>
      <c r="B6066">
        <v>2</v>
      </c>
      <c r="C6066">
        <v>989</v>
      </c>
      <c r="D6066">
        <v>10376</v>
      </c>
      <c r="E6066" t="s">
        <v>37</v>
      </c>
      <c r="F6066" t="s">
        <v>520</v>
      </c>
      <c r="G6066">
        <v>2</v>
      </c>
      <c r="H6066">
        <v>50</v>
      </c>
      <c r="I6066" s="25">
        <v>3300</v>
      </c>
      <c r="K6066" t="s">
        <v>113</v>
      </c>
      <c r="L6066" t="s">
        <v>114</v>
      </c>
      <c r="M6066" t="s">
        <v>52</v>
      </c>
      <c r="N6066" t="s">
        <v>40</v>
      </c>
      <c r="O6066">
        <f>60+38</f>
        <v>98</v>
      </c>
      <c r="Q6066">
        <f t="shared" si="95"/>
        <v>3</v>
      </c>
      <c r="R6066">
        <v>1</v>
      </c>
      <c r="S6066">
        <v>0</v>
      </c>
      <c r="T6066">
        <v>0</v>
      </c>
      <c r="U6066">
        <v>0</v>
      </c>
      <c r="V6066">
        <v>1</v>
      </c>
      <c r="W6066">
        <v>2</v>
      </c>
      <c r="X6066" s="21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f t="shared" si="96"/>
        <v>256</v>
      </c>
      <c r="AP6066" t="s">
        <v>1915</v>
      </c>
    </row>
    <row r="6067" spans="1:42">
      <c r="A6067" s="1">
        <v>43795</v>
      </c>
      <c r="B6067">
        <v>2</v>
      </c>
      <c r="C6067">
        <v>989</v>
      </c>
      <c r="D6067">
        <v>10376</v>
      </c>
      <c r="E6067" t="s">
        <v>37</v>
      </c>
      <c r="F6067" t="s">
        <v>520</v>
      </c>
      <c r="G6067">
        <v>2</v>
      </c>
      <c r="H6067">
        <v>51</v>
      </c>
      <c r="I6067" s="25">
        <v>3300</v>
      </c>
      <c r="K6067" t="s">
        <v>113</v>
      </c>
      <c r="L6067" t="s">
        <v>141</v>
      </c>
      <c r="M6067" t="s">
        <v>52</v>
      </c>
      <c r="N6067" t="s">
        <v>40</v>
      </c>
      <c r="O6067">
        <f>60+1</f>
        <v>61</v>
      </c>
      <c r="Q6067">
        <f t="shared" si="95"/>
        <v>2</v>
      </c>
      <c r="R6067">
        <v>1</v>
      </c>
      <c r="S6067">
        <v>0</v>
      </c>
      <c r="T6067">
        <v>0</v>
      </c>
      <c r="U6067">
        <v>0</v>
      </c>
      <c r="V6067">
        <v>1</v>
      </c>
      <c r="W6067">
        <v>1</v>
      </c>
      <c r="X6067" s="21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f t="shared" si="96"/>
        <v>160</v>
      </c>
      <c r="AP6067" t="s">
        <v>1915</v>
      </c>
    </row>
    <row r="6068" spans="1:42">
      <c r="A6068" s="1">
        <v>43795</v>
      </c>
      <c r="B6068">
        <v>2</v>
      </c>
      <c r="C6068">
        <v>989</v>
      </c>
      <c r="D6068">
        <v>10376</v>
      </c>
      <c r="E6068" t="s">
        <v>37</v>
      </c>
      <c r="F6068" t="s">
        <v>520</v>
      </c>
      <c r="G6068">
        <v>2</v>
      </c>
      <c r="H6068">
        <v>52</v>
      </c>
      <c r="I6068" s="25">
        <v>3300</v>
      </c>
      <c r="K6068" t="s">
        <v>113</v>
      </c>
      <c r="L6068" t="s">
        <v>141</v>
      </c>
      <c r="M6068" t="s">
        <v>52</v>
      </c>
      <c r="N6068" t="s">
        <v>44</v>
      </c>
      <c r="O6068">
        <f>(60+60+60+60+60+20)-(60+38)-(60+1)</f>
        <v>161</v>
      </c>
      <c r="Q6068">
        <f t="shared" si="95"/>
        <v>2</v>
      </c>
      <c r="R6068">
        <v>1</v>
      </c>
      <c r="S6068">
        <v>0</v>
      </c>
      <c r="T6068">
        <v>0</v>
      </c>
      <c r="U6068">
        <v>0</v>
      </c>
      <c r="V6068">
        <v>1</v>
      </c>
      <c r="W6068">
        <v>1</v>
      </c>
      <c r="X6068" s="21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f t="shared" si="96"/>
        <v>160</v>
      </c>
      <c r="AP6068" t="s">
        <v>1915</v>
      </c>
    </row>
    <row r="6069" spans="1:42">
      <c r="A6069" s="1">
        <v>43795</v>
      </c>
      <c r="B6069">
        <v>2</v>
      </c>
      <c r="C6069">
        <v>989</v>
      </c>
      <c r="D6069">
        <v>10376</v>
      </c>
      <c r="E6069" t="s">
        <v>37</v>
      </c>
      <c r="F6069" t="s">
        <v>520</v>
      </c>
      <c r="G6069">
        <v>2</v>
      </c>
      <c r="H6069">
        <v>53</v>
      </c>
      <c r="I6069" s="25">
        <v>2000</v>
      </c>
      <c r="K6069" t="s">
        <v>324</v>
      </c>
      <c r="M6069" t="s">
        <v>52</v>
      </c>
      <c r="N6069" t="s">
        <v>40</v>
      </c>
      <c r="O6069">
        <f>60+60+47</f>
        <v>167</v>
      </c>
      <c r="Q6069">
        <f t="shared" si="95"/>
        <v>6</v>
      </c>
      <c r="R6069">
        <v>1</v>
      </c>
      <c r="S6069">
        <v>0</v>
      </c>
      <c r="T6069">
        <v>0</v>
      </c>
      <c r="U6069">
        <v>1</v>
      </c>
      <c r="V6069">
        <v>2</v>
      </c>
      <c r="W6069">
        <v>3</v>
      </c>
      <c r="X6069" s="21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f t="shared" si="96"/>
        <v>448</v>
      </c>
      <c r="AP6069" t="s">
        <v>1915</v>
      </c>
    </row>
    <row r="6070" spans="1:42">
      <c r="A6070" s="1">
        <v>43795</v>
      </c>
      <c r="B6070">
        <v>2</v>
      </c>
      <c r="C6070">
        <v>989</v>
      </c>
      <c r="D6070">
        <v>10376</v>
      </c>
      <c r="E6070" t="s">
        <v>37</v>
      </c>
      <c r="F6070" t="s">
        <v>520</v>
      </c>
      <c r="G6070">
        <v>2</v>
      </c>
      <c r="H6070">
        <v>54</v>
      </c>
      <c r="I6070" s="25">
        <v>2000</v>
      </c>
      <c r="K6070" t="s">
        <v>324</v>
      </c>
      <c r="M6070" t="s">
        <v>52</v>
      </c>
      <c r="N6070" t="s">
        <v>40</v>
      </c>
      <c r="O6070">
        <f>60+35</f>
        <v>95</v>
      </c>
      <c r="Q6070">
        <f t="shared" si="95"/>
        <v>2</v>
      </c>
      <c r="R6070">
        <v>1</v>
      </c>
      <c r="S6070">
        <v>0</v>
      </c>
      <c r="T6070">
        <v>0</v>
      </c>
      <c r="U6070">
        <v>0</v>
      </c>
      <c r="V6070">
        <v>2</v>
      </c>
      <c r="W6070">
        <v>0</v>
      </c>
      <c r="X6070" s="21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f t="shared" si="96"/>
        <v>128</v>
      </c>
      <c r="AP6070" t="s">
        <v>1915</v>
      </c>
    </row>
    <row r="6071" spans="1:42">
      <c r="A6071" s="1">
        <v>43795</v>
      </c>
      <c r="B6071">
        <v>2</v>
      </c>
      <c r="C6071">
        <v>989</v>
      </c>
      <c r="D6071">
        <v>10376</v>
      </c>
      <c r="E6071" t="s">
        <v>37</v>
      </c>
      <c r="F6071" t="s">
        <v>520</v>
      </c>
      <c r="G6071">
        <v>2</v>
      </c>
      <c r="H6071">
        <v>55</v>
      </c>
      <c r="I6071" s="25">
        <v>2100</v>
      </c>
      <c r="K6071" t="s">
        <v>324</v>
      </c>
      <c r="M6071" t="s">
        <v>52</v>
      </c>
      <c r="N6071" t="s">
        <v>40</v>
      </c>
      <c r="O6071">
        <f>60+60+60+1</f>
        <v>181</v>
      </c>
      <c r="Q6071">
        <f t="shared" si="95"/>
        <v>6</v>
      </c>
      <c r="R6071">
        <v>1</v>
      </c>
      <c r="S6071">
        <v>0</v>
      </c>
      <c r="T6071">
        <v>0</v>
      </c>
      <c r="U6071">
        <v>2</v>
      </c>
      <c r="V6071">
        <v>1</v>
      </c>
      <c r="W6071">
        <v>3</v>
      </c>
      <c r="X6071" s="2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f t="shared" si="96"/>
        <v>416</v>
      </c>
      <c r="AP6071" t="s">
        <v>1915</v>
      </c>
    </row>
    <row r="6072" spans="1:42">
      <c r="A6072" s="1">
        <v>43795</v>
      </c>
      <c r="B6072">
        <v>2</v>
      </c>
      <c r="C6072">
        <v>989</v>
      </c>
      <c r="D6072">
        <v>10376</v>
      </c>
      <c r="E6072" t="s">
        <v>37</v>
      </c>
      <c r="F6072" t="s">
        <v>520</v>
      </c>
      <c r="G6072">
        <v>2</v>
      </c>
      <c r="H6072">
        <v>56</v>
      </c>
      <c r="I6072" s="25">
        <v>38</v>
      </c>
      <c r="K6072" t="s">
        <v>1942</v>
      </c>
      <c r="L6072" t="s">
        <v>114</v>
      </c>
      <c r="M6072" t="s">
        <v>52</v>
      </c>
      <c r="N6072" t="s">
        <v>44</v>
      </c>
      <c r="O6072">
        <f>52</f>
        <v>52</v>
      </c>
      <c r="Q6072">
        <f t="shared" si="95"/>
        <v>1</v>
      </c>
      <c r="R6072">
        <v>1</v>
      </c>
      <c r="S6072">
        <v>0</v>
      </c>
      <c r="T6072">
        <v>0</v>
      </c>
      <c r="U6072">
        <v>1</v>
      </c>
      <c r="V6072">
        <v>0</v>
      </c>
      <c r="W6072">
        <v>0</v>
      </c>
      <c r="X6072" s="21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f t="shared" si="96"/>
        <v>32</v>
      </c>
      <c r="AP6072" t="s">
        <v>1915</v>
      </c>
    </row>
    <row r="6073" spans="1:42">
      <c r="A6073" s="1">
        <v>43795</v>
      </c>
      <c r="B6073">
        <v>2</v>
      </c>
      <c r="C6073">
        <v>989</v>
      </c>
      <c r="D6073">
        <v>10376</v>
      </c>
      <c r="E6073" t="s">
        <v>37</v>
      </c>
      <c r="F6073" t="s">
        <v>520</v>
      </c>
      <c r="G6073">
        <v>2</v>
      </c>
      <c r="H6073">
        <v>57</v>
      </c>
      <c r="I6073" s="25">
        <v>0</v>
      </c>
      <c r="K6073" t="s">
        <v>1942</v>
      </c>
      <c r="M6073" t="s">
        <v>52</v>
      </c>
      <c r="N6073" t="s">
        <v>40</v>
      </c>
      <c r="O6073">
        <f>(60+60+34)-52</f>
        <v>102</v>
      </c>
      <c r="Q6073">
        <f t="shared" si="95"/>
        <v>3</v>
      </c>
      <c r="R6073">
        <v>1</v>
      </c>
      <c r="S6073">
        <v>0</v>
      </c>
      <c r="T6073">
        <v>0</v>
      </c>
      <c r="U6073">
        <v>0</v>
      </c>
      <c r="V6073">
        <v>1</v>
      </c>
      <c r="W6073">
        <v>2</v>
      </c>
      <c r="X6073" s="21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f t="shared" si="96"/>
        <v>256</v>
      </c>
      <c r="AP6073" t="s">
        <v>1915</v>
      </c>
    </row>
    <row r="6074" spans="1:42">
      <c r="A6074" s="1">
        <v>43795</v>
      </c>
      <c r="B6074">
        <v>2</v>
      </c>
      <c r="C6074">
        <v>989</v>
      </c>
      <c r="D6074">
        <v>10376</v>
      </c>
      <c r="E6074" t="s">
        <v>37</v>
      </c>
      <c r="F6074" t="s">
        <v>520</v>
      </c>
      <c r="G6074">
        <v>2</v>
      </c>
      <c r="H6074">
        <v>58</v>
      </c>
      <c r="I6074" s="25">
        <v>117</v>
      </c>
      <c r="K6074" t="s">
        <v>1942</v>
      </c>
      <c r="L6074" t="s">
        <v>141</v>
      </c>
      <c r="M6074" t="s">
        <v>52</v>
      </c>
      <c r="N6074" t="s">
        <v>44</v>
      </c>
      <c r="O6074">
        <v>33</v>
      </c>
      <c r="Q6074">
        <f t="shared" si="95"/>
        <v>1</v>
      </c>
      <c r="R6074">
        <v>1</v>
      </c>
      <c r="S6074">
        <v>0</v>
      </c>
      <c r="T6074">
        <v>0</v>
      </c>
      <c r="U6074">
        <v>0</v>
      </c>
      <c r="V6074">
        <v>0</v>
      </c>
      <c r="W6074">
        <v>1</v>
      </c>
      <c r="X6074" s="21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f t="shared" si="96"/>
        <v>96</v>
      </c>
      <c r="AP6074" t="s">
        <v>1915</v>
      </c>
    </row>
    <row r="6075" spans="1:42">
      <c r="A6075" s="1">
        <v>43795</v>
      </c>
      <c r="B6075">
        <v>2</v>
      </c>
      <c r="C6075">
        <v>989</v>
      </c>
      <c r="D6075">
        <v>10376</v>
      </c>
      <c r="E6075" t="s">
        <v>37</v>
      </c>
      <c r="F6075" t="s">
        <v>520</v>
      </c>
      <c r="G6075">
        <v>2</v>
      </c>
      <c r="H6075">
        <v>59</v>
      </c>
      <c r="I6075" s="25">
        <v>100</v>
      </c>
      <c r="K6075" t="s">
        <v>1942</v>
      </c>
      <c r="M6075" t="s">
        <v>52</v>
      </c>
      <c r="N6075" t="s">
        <v>40</v>
      </c>
      <c r="O6075">
        <f>60+60+60+60+7</f>
        <v>247</v>
      </c>
      <c r="Q6075">
        <f t="shared" si="95"/>
        <v>6</v>
      </c>
      <c r="R6075">
        <v>1</v>
      </c>
      <c r="S6075">
        <v>0</v>
      </c>
      <c r="T6075">
        <v>0</v>
      </c>
      <c r="U6075">
        <v>2</v>
      </c>
      <c r="V6075">
        <v>3</v>
      </c>
      <c r="W6075">
        <v>1</v>
      </c>
      <c r="X6075" s="21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f t="shared" si="96"/>
        <v>352</v>
      </c>
      <c r="AP6075" t="s">
        <v>1915</v>
      </c>
    </row>
    <row r="6076" spans="1:42">
      <c r="A6076" s="1">
        <v>43795</v>
      </c>
      <c r="B6076">
        <v>2</v>
      </c>
      <c r="C6076">
        <v>989</v>
      </c>
      <c r="D6076">
        <v>10376</v>
      </c>
      <c r="E6076" t="s">
        <v>37</v>
      </c>
      <c r="F6076" t="s">
        <v>520</v>
      </c>
      <c r="G6076">
        <v>2</v>
      </c>
      <c r="H6076">
        <v>60</v>
      </c>
      <c r="I6076" s="25">
        <v>100</v>
      </c>
      <c r="K6076" t="s">
        <v>1942</v>
      </c>
      <c r="M6076" t="s">
        <v>52</v>
      </c>
      <c r="N6076" t="s">
        <v>40</v>
      </c>
      <c r="O6076">
        <f>(60+60+60+35)-25</f>
        <v>190</v>
      </c>
      <c r="Q6076">
        <f t="shared" si="95"/>
        <v>7</v>
      </c>
      <c r="R6076">
        <v>1</v>
      </c>
      <c r="S6076">
        <v>0</v>
      </c>
      <c r="T6076">
        <v>0</v>
      </c>
      <c r="U6076">
        <v>0</v>
      </c>
      <c r="V6076">
        <v>2</v>
      </c>
      <c r="W6076">
        <v>5</v>
      </c>
      <c r="X6076" s="21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f t="shared" si="96"/>
        <v>608</v>
      </c>
      <c r="AP6076" t="s">
        <v>1915</v>
      </c>
    </row>
    <row r="6077" spans="1:42">
      <c r="A6077" s="1">
        <v>43795</v>
      </c>
      <c r="B6077">
        <v>2</v>
      </c>
      <c r="C6077">
        <v>989</v>
      </c>
      <c r="D6077">
        <v>10376</v>
      </c>
      <c r="E6077" t="s">
        <v>37</v>
      </c>
      <c r="F6077" t="s">
        <v>520</v>
      </c>
      <c r="G6077">
        <v>2</v>
      </c>
      <c r="H6077">
        <v>61</v>
      </c>
      <c r="I6077" s="25">
        <v>100</v>
      </c>
      <c r="K6077" t="s">
        <v>1942</v>
      </c>
      <c r="M6077" t="s">
        <v>52</v>
      </c>
      <c r="N6077" t="s">
        <v>44</v>
      </c>
      <c r="O6077">
        <v>25</v>
      </c>
      <c r="Q6077">
        <f t="shared" si="95"/>
        <v>1</v>
      </c>
      <c r="R6077">
        <v>1</v>
      </c>
      <c r="S6077">
        <v>0</v>
      </c>
      <c r="T6077">
        <v>0</v>
      </c>
      <c r="U6077">
        <v>0</v>
      </c>
      <c r="V6077">
        <v>0</v>
      </c>
      <c r="W6077">
        <v>1</v>
      </c>
      <c r="X6077" s="21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f t="shared" si="96"/>
        <v>96</v>
      </c>
      <c r="AP6077" t="s">
        <v>1915</v>
      </c>
    </row>
    <row r="6078" spans="1:42">
      <c r="A6078" s="1">
        <v>43795</v>
      </c>
      <c r="B6078">
        <v>2</v>
      </c>
      <c r="C6078">
        <v>989</v>
      </c>
      <c r="D6078">
        <v>10376</v>
      </c>
      <c r="E6078" t="s">
        <v>37</v>
      </c>
      <c r="F6078" t="s">
        <v>520</v>
      </c>
      <c r="G6078">
        <v>2</v>
      </c>
      <c r="H6078">
        <v>62</v>
      </c>
      <c r="I6078" s="25">
        <v>154</v>
      </c>
      <c r="K6078" t="s">
        <v>1942</v>
      </c>
      <c r="L6078" t="s">
        <v>114</v>
      </c>
      <c r="M6078" t="s">
        <v>52</v>
      </c>
      <c r="N6078" t="s">
        <v>44</v>
      </c>
      <c r="O6078">
        <f>60+20</f>
        <v>80</v>
      </c>
      <c r="Q6078">
        <f t="shared" si="95"/>
        <v>1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1</v>
      </c>
      <c r="X6078" s="21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f t="shared" si="96"/>
        <v>96</v>
      </c>
      <c r="AL6078" t="s">
        <v>1943</v>
      </c>
      <c r="AP6078" t="s">
        <v>1915</v>
      </c>
    </row>
    <row r="6079" spans="1:42">
      <c r="A6079" s="1">
        <v>43795</v>
      </c>
      <c r="B6079">
        <v>2</v>
      </c>
      <c r="C6079">
        <v>989</v>
      </c>
      <c r="D6079">
        <v>10376</v>
      </c>
      <c r="E6079" t="s">
        <v>37</v>
      </c>
      <c r="F6079" t="s">
        <v>520</v>
      </c>
      <c r="G6079">
        <v>2</v>
      </c>
      <c r="H6079">
        <v>63</v>
      </c>
      <c r="I6079" s="25">
        <v>100</v>
      </c>
      <c r="K6079" t="s">
        <v>1942</v>
      </c>
      <c r="M6079" t="s">
        <v>52</v>
      </c>
      <c r="N6079" t="s">
        <v>40</v>
      </c>
      <c r="O6079">
        <f>(60+60+60+6)-80</f>
        <v>106</v>
      </c>
      <c r="Q6079">
        <f t="shared" si="95"/>
        <v>2</v>
      </c>
      <c r="R6079">
        <v>1</v>
      </c>
      <c r="S6079">
        <v>0</v>
      </c>
      <c r="T6079">
        <v>0</v>
      </c>
      <c r="U6079">
        <v>0</v>
      </c>
      <c r="V6079">
        <v>1</v>
      </c>
      <c r="W6079">
        <v>1</v>
      </c>
      <c r="X6079" s="21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f t="shared" si="96"/>
        <v>160</v>
      </c>
      <c r="AP6079" t="s">
        <v>1915</v>
      </c>
    </row>
    <row r="6080" spans="1:42">
      <c r="A6080" s="1">
        <v>43795</v>
      </c>
      <c r="B6080">
        <v>2</v>
      </c>
      <c r="C6080">
        <v>989</v>
      </c>
      <c r="D6080">
        <v>10376</v>
      </c>
      <c r="E6080" t="s">
        <v>37</v>
      </c>
      <c r="F6080" t="s">
        <v>520</v>
      </c>
      <c r="G6080">
        <v>2</v>
      </c>
      <c r="H6080">
        <v>64</v>
      </c>
      <c r="I6080" s="25">
        <v>165</v>
      </c>
      <c r="K6080" t="s">
        <v>1942</v>
      </c>
      <c r="L6080" t="s">
        <v>141</v>
      </c>
      <c r="M6080" t="s">
        <v>52</v>
      </c>
      <c r="N6080" t="s">
        <v>44</v>
      </c>
      <c r="O6080">
        <f>60+41</f>
        <v>101</v>
      </c>
      <c r="Q6080">
        <f t="shared" ref="Q6080:Q6143" si="97">SUM(S6080:AE6080)</f>
        <v>1</v>
      </c>
      <c r="R6080">
        <v>1</v>
      </c>
      <c r="S6080">
        <v>0</v>
      </c>
      <c r="T6080">
        <v>0</v>
      </c>
      <c r="U6080">
        <v>0</v>
      </c>
      <c r="V6080">
        <v>0</v>
      </c>
      <c r="W6080">
        <v>1</v>
      </c>
      <c r="X6080" s="21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f t="shared" ref="AH6080:AH6143" si="98">(16*S6080)+(20*T6080)+(32*U6080)+(64*V6080)+(96*W6080)</f>
        <v>96</v>
      </c>
      <c r="AP6080" t="s">
        <v>1915</v>
      </c>
    </row>
    <row r="6081" spans="1:42">
      <c r="A6081" s="1">
        <v>43795</v>
      </c>
      <c r="B6081">
        <v>2</v>
      </c>
      <c r="C6081">
        <v>989</v>
      </c>
      <c r="D6081">
        <v>10376</v>
      </c>
      <c r="E6081" t="s">
        <v>37</v>
      </c>
      <c r="F6081" t="s">
        <v>520</v>
      </c>
      <c r="G6081">
        <v>2</v>
      </c>
      <c r="H6081">
        <v>65</v>
      </c>
      <c r="I6081" s="25">
        <v>200</v>
      </c>
      <c r="K6081" t="s">
        <v>1942</v>
      </c>
      <c r="M6081" t="s">
        <v>52</v>
      </c>
      <c r="N6081" t="s">
        <v>40</v>
      </c>
      <c r="O6081">
        <f>60+60+40</f>
        <v>160</v>
      </c>
      <c r="Q6081">
        <f t="shared" si="97"/>
        <v>6</v>
      </c>
      <c r="R6081">
        <v>1</v>
      </c>
      <c r="S6081">
        <v>0</v>
      </c>
      <c r="T6081">
        <v>0</v>
      </c>
      <c r="U6081">
        <v>1</v>
      </c>
      <c r="V6081">
        <v>4</v>
      </c>
      <c r="W6081">
        <v>1</v>
      </c>
      <c r="X6081" s="2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f t="shared" si="98"/>
        <v>384</v>
      </c>
      <c r="AP6081" t="s">
        <v>1915</v>
      </c>
    </row>
    <row r="6082" spans="1:42">
      <c r="A6082" s="1">
        <v>43795</v>
      </c>
      <c r="B6082">
        <v>2</v>
      </c>
      <c r="C6082">
        <v>989</v>
      </c>
      <c r="D6082">
        <v>10376</v>
      </c>
      <c r="E6082" t="s">
        <v>37</v>
      </c>
      <c r="F6082" t="s">
        <v>520</v>
      </c>
      <c r="G6082">
        <v>2</v>
      </c>
      <c r="H6082">
        <v>66</v>
      </c>
      <c r="I6082" s="25">
        <v>200</v>
      </c>
      <c r="K6082" t="s">
        <v>1942</v>
      </c>
      <c r="M6082" t="s">
        <v>52</v>
      </c>
      <c r="N6082" t="s">
        <v>40</v>
      </c>
      <c r="O6082">
        <f>60+60+23</f>
        <v>143</v>
      </c>
      <c r="Q6082">
        <f t="shared" si="97"/>
        <v>6</v>
      </c>
      <c r="R6082">
        <v>1</v>
      </c>
      <c r="S6082">
        <v>0</v>
      </c>
      <c r="T6082">
        <v>0</v>
      </c>
      <c r="U6082">
        <v>3</v>
      </c>
      <c r="V6082">
        <v>0</v>
      </c>
      <c r="W6082">
        <v>3</v>
      </c>
      <c r="X6082" s="21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f t="shared" si="98"/>
        <v>384</v>
      </c>
      <c r="AP6082" t="s">
        <v>1915</v>
      </c>
    </row>
    <row r="6083" spans="1:42">
      <c r="A6083" s="1">
        <v>43795</v>
      </c>
      <c r="B6083">
        <v>2</v>
      </c>
      <c r="C6083">
        <v>989</v>
      </c>
      <c r="D6083">
        <v>10376</v>
      </c>
      <c r="E6083" t="s">
        <v>37</v>
      </c>
      <c r="F6083" t="s">
        <v>520</v>
      </c>
      <c r="G6083">
        <v>2</v>
      </c>
      <c r="H6083">
        <v>67</v>
      </c>
      <c r="I6083" s="25">
        <v>200</v>
      </c>
      <c r="K6083" t="s">
        <v>1942</v>
      </c>
      <c r="M6083" t="s">
        <v>52</v>
      </c>
      <c r="N6083" t="s">
        <v>40</v>
      </c>
      <c r="O6083">
        <f>60+42</f>
        <v>102</v>
      </c>
      <c r="Q6083">
        <f t="shared" si="97"/>
        <v>3</v>
      </c>
      <c r="R6083">
        <v>1</v>
      </c>
      <c r="S6083">
        <v>0</v>
      </c>
      <c r="T6083">
        <v>0</v>
      </c>
      <c r="U6083">
        <v>1</v>
      </c>
      <c r="V6083">
        <v>1</v>
      </c>
      <c r="W6083">
        <v>1</v>
      </c>
      <c r="X6083" s="21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f t="shared" si="98"/>
        <v>192</v>
      </c>
      <c r="AP6083" t="s">
        <v>1915</v>
      </c>
    </row>
    <row r="6084" spans="1:42">
      <c r="A6084" s="1">
        <v>43795</v>
      </c>
      <c r="B6084">
        <v>2</v>
      </c>
      <c r="C6084">
        <v>989</v>
      </c>
      <c r="D6084">
        <v>10376</v>
      </c>
      <c r="E6084" t="s">
        <v>37</v>
      </c>
      <c r="F6084" t="s">
        <v>520</v>
      </c>
      <c r="G6084">
        <v>2</v>
      </c>
      <c r="H6084">
        <v>68</v>
      </c>
      <c r="I6084" s="25">
        <v>200</v>
      </c>
      <c r="K6084" t="s">
        <v>1942</v>
      </c>
      <c r="M6084" t="s">
        <v>52</v>
      </c>
      <c r="N6084" t="s">
        <v>40</v>
      </c>
      <c r="O6084">
        <f>60+23</f>
        <v>83</v>
      </c>
      <c r="Q6084">
        <f t="shared" si="97"/>
        <v>2</v>
      </c>
      <c r="R6084">
        <v>1</v>
      </c>
      <c r="S6084">
        <v>0</v>
      </c>
      <c r="T6084">
        <v>0</v>
      </c>
      <c r="U6084">
        <v>0</v>
      </c>
      <c r="V6084">
        <v>0</v>
      </c>
      <c r="W6084">
        <v>2</v>
      </c>
      <c r="X6084" s="21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f t="shared" si="98"/>
        <v>192</v>
      </c>
      <c r="AP6084" t="s">
        <v>1915</v>
      </c>
    </row>
    <row r="6085" spans="1:42">
      <c r="A6085" s="1">
        <v>43795</v>
      </c>
      <c r="B6085">
        <v>2</v>
      </c>
      <c r="C6085">
        <v>989</v>
      </c>
      <c r="D6085">
        <v>10376</v>
      </c>
      <c r="E6085" t="s">
        <v>37</v>
      </c>
      <c r="F6085" t="s">
        <v>520</v>
      </c>
      <c r="G6085">
        <v>2</v>
      </c>
      <c r="H6085">
        <v>69</v>
      </c>
      <c r="I6085" s="25">
        <v>200</v>
      </c>
      <c r="K6085" t="s">
        <v>1942</v>
      </c>
      <c r="M6085" t="s">
        <v>52</v>
      </c>
      <c r="N6085" t="s">
        <v>40</v>
      </c>
      <c r="O6085">
        <f>60+60+12</f>
        <v>132</v>
      </c>
      <c r="Q6085">
        <f t="shared" si="97"/>
        <v>6</v>
      </c>
      <c r="R6085">
        <v>1</v>
      </c>
      <c r="S6085">
        <v>0</v>
      </c>
      <c r="T6085">
        <v>0</v>
      </c>
      <c r="U6085">
        <v>2</v>
      </c>
      <c r="V6085">
        <v>0</v>
      </c>
      <c r="W6085">
        <v>4</v>
      </c>
      <c r="X6085" s="21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f t="shared" si="98"/>
        <v>448</v>
      </c>
      <c r="AP6085" t="s">
        <v>1915</v>
      </c>
    </row>
    <row r="6086" spans="1:42">
      <c r="A6086" s="1">
        <v>43795</v>
      </c>
      <c r="B6086">
        <v>2</v>
      </c>
      <c r="C6086">
        <v>989</v>
      </c>
      <c r="D6086">
        <v>10376</v>
      </c>
      <c r="E6086" t="s">
        <v>37</v>
      </c>
      <c r="F6086" t="s">
        <v>520</v>
      </c>
      <c r="G6086">
        <v>2</v>
      </c>
      <c r="H6086">
        <v>70</v>
      </c>
      <c r="I6086" s="25">
        <v>200</v>
      </c>
      <c r="K6086" t="s">
        <v>1942</v>
      </c>
      <c r="M6086" t="s">
        <v>52</v>
      </c>
      <c r="N6086" t="s">
        <v>40</v>
      </c>
      <c r="O6086">
        <f>60+60+36</f>
        <v>156</v>
      </c>
      <c r="Q6086">
        <f t="shared" si="97"/>
        <v>4</v>
      </c>
      <c r="R6086">
        <v>1</v>
      </c>
      <c r="S6086">
        <v>0</v>
      </c>
      <c r="T6086">
        <v>0</v>
      </c>
      <c r="U6086">
        <v>0</v>
      </c>
      <c r="V6086">
        <v>0</v>
      </c>
      <c r="W6086">
        <v>4</v>
      </c>
      <c r="X6086" s="21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f t="shared" si="98"/>
        <v>384</v>
      </c>
      <c r="AP6086" t="s">
        <v>1915</v>
      </c>
    </row>
    <row r="6087" spans="1:42">
      <c r="A6087" s="1">
        <v>43795</v>
      </c>
      <c r="B6087">
        <v>2</v>
      </c>
      <c r="C6087">
        <v>989</v>
      </c>
      <c r="D6087">
        <v>10376</v>
      </c>
      <c r="E6087" t="s">
        <v>37</v>
      </c>
      <c r="F6087" t="s">
        <v>520</v>
      </c>
      <c r="G6087">
        <v>2</v>
      </c>
      <c r="H6087">
        <v>71</v>
      </c>
      <c r="I6087" s="25">
        <v>200</v>
      </c>
      <c r="K6087" t="s">
        <v>1942</v>
      </c>
      <c r="M6087" t="s">
        <v>52</v>
      </c>
      <c r="N6087" t="s">
        <v>40</v>
      </c>
      <c r="O6087">
        <f>60+60+21</f>
        <v>141</v>
      </c>
      <c r="Q6087">
        <f t="shared" si="97"/>
        <v>6</v>
      </c>
      <c r="R6087">
        <v>1</v>
      </c>
      <c r="S6087">
        <v>0</v>
      </c>
      <c r="T6087">
        <v>0</v>
      </c>
      <c r="U6087">
        <v>3</v>
      </c>
      <c r="V6087">
        <v>0</v>
      </c>
      <c r="W6087">
        <v>3</v>
      </c>
      <c r="X6087" s="21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f t="shared" si="98"/>
        <v>384</v>
      </c>
      <c r="AP6087" t="s">
        <v>1915</v>
      </c>
    </row>
    <row r="6088" spans="1:42">
      <c r="A6088" s="1">
        <v>43795</v>
      </c>
      <c r="B6088">
        <v>2</v>
      </c>
      <c r="C6088">
        <v>989</v>
      </c>
      <c r="D6088">
        <v>10376</v>
      </c>
      <c r="E6088" t="s">
        <v>37</v>
      </c>
      <c r="F6088" t="s">
        <v>520</v>
      </c>
      <c r="G6088">
        <v>2</v>
      </c>
      <c r="H6088">
        <v>72</v>
      </c>
      <c r="I6088" s="25">
        <v>1600</v>
      </c>
      <c r="K6088" t="s">
        <v>906</v>
      </c>
      <c r="M6088" t="s">
        <v>52</v>
      </c>
      <c r="N6088" t="s">
        <v>40</v>
      </c>
      <c r="O6088">
        <f>60+60+1</f>
        <v>121</v>
      </c>
      <c r="Q6088">
        <f t="shared" si="97"/>
        <v>4</v>
      </c>
      <c r="R6088">
        <v>1</v>
      </c>
      <c r="S6088">
        <v>0</v>
      </c>
      <c r="T6088">
        <v>0</v>
      </c>
      <c r="U6088">
        <v>1</v>
      </c>
      <c r="V6088">
        <v>0</v>
      </c>
      <c r="W6088">
        <v>3</v>
      </c>
      <c r="X6088" s="21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f t="shared" si="98"/>
        <v>320</v>
      </c>
      <c r="AP6088" t="s">
        <v>1915</v>
      </c>
    </row>
    <row r="6089" spans="1:42">
      <c r="A6089" s="1">
        <v>43795</v>
      </c>
      <c r="B6089">
        <v>2</v>
      </c>
      <c r="C6089">
        <v>989</v>
      </c>
      <c r="D6089">
        <v>10376</v>
      </c>
      <c r="E6089" t="s">
        <v>37</v>
      </c>
      <c r="F6089" t="s">
        <v>520</v>
      </c>
      <c r="G6089">
        <v>2</v>
      </c>
      <c r="H6089">
        <v>73</v>
      </c>
      <c r="I6089" s="25">
        <v>1600</v>
      </c>
      <c r="K6089" t="s">
        <v>906</v>
      </c>
      <c r="M6089" t="s">
        <v>52</v>
      </c>
      <c r="N6089" t="s">
        <v>40</v>
      </c>
      <c r="O6089">
        <f>60+60+60+33</f>
        <v>213</v>
      </c>
      <c r="Q6089">
        <f t="shared" si="97"/>
        <v>6</v>
      </c>
      <c r="R6089">
        <v>1</v>
      </c>
      <c r="S6089">
        <v>0</v>
      </c>
      <c r="T6089">
        <v>0</v>
      </c>
      <c r="U6089">
        <v>1</v>
      </c>
      <c r="V6089">
        <v>2</v>
      </c>
      <c r="W6089">
        <v>3</v>
      </c>
      <c r="X6089" s="21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f t="shared" si="98"/>
        <v>448</v>
      </c>
      <c r="AP6089" t="s">
        <v>1915</v>
      </c>
    </row>
    <row r="6090" spans="1:42">
      <c r="A6090" s="1">
        <v>43795</v>
      </c>
      <c r="B6090">
        <v>2</v>
      </c>
      <c r="C6090">
        <v>989</v>
      </c>
      <c r="D6090">
        <v>10376</v>
      </c>
      <c r="E6090" t="s">
        <v>37</v>
      </c>
      <c r="F6090" t="s">
        <v>520</v>
      </c>
      <c r="G6090">
        <v>2</v>
      </c>
      <c r="H6090">
        <v>74</v>
      </c>
      <c r="I6090" s="25">
        <v>1500</v>
      </c>
      <c r="K6090" t="s">
        <v>906</v>
      </c>
      <c r="M6090" t="s">
        <v>52</v>
      </c>
      <c r="N6090" t="s">
        <v>40</v>
      </c>
      <c r="O6090">
        <f>60+60+20</f>
        <v>140</v>
      </c>
      <c r="Q6090">
        <f t="shared" si="97"/>
        <v>4</v>
      </c>
      <c r="R6090">
        <v>1</v>
      </c>
      <c r="S6090">
        <v>0</v>
      </c>
      <c r="T6090">
        <v>0</v>
      </c>
      <c r="U6090">
        <v>0</v>
      </c>
      <c r="V6090">
        <v>2</v>
      </c>
      <c r="W6090">
        <v>2</v>
      </c>
      <c r="X6090" s="21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f t="shared" si="98"/>
        <v>320</v>
      </c>
      <c r="AP6090" t="s">
        <v>1915</v>
      </c>
    </row>
    <row r="6091" spans="1:42">
      <c r="A6091" s="1">
        <v>43795</v>
      </c>
      <c r="B6091">
        <v>2</v>
      </c>
      <c r="C6091">
        <v>989</v>
      </c>
      <c r="D6091">
        <v>10376</v>
      </c>
      <c r="E6091" t="s">
        <v>37</v>
      </c>
      <c r="F6091" t="s">
        <v>520</v>
      </c>
      <c r="G6091">
        <v>2</v>
      </c>
      <c r="H6091">
        <v>75</v>
      </c>
      <c r="I6091" s="25">
        <v>1500</v>
      </c>
      <c r="K6091" t="s">
        <v>906</v>
      </c>
      <c r="M6091" t="s">
        <v>52</v>
      </c>
      <c r="N6091" t="s">
        <v>40</v>
      </c>
      <c r="O6091">
        <f>60+60+40</f>
        <v>160</v>
      </c>
      <c r="Q6091">
        <f t="shared" si="97"/>
        <v>4</v>
      </c>
      <c r="R6091">
        <v>1</v>
      </c>
      <c r="S6091">
        <v>0</v>
      </c>
      <c r="T6091">
        <v>0</v>
      </c>
      <c r="U6091">
        <v>2</v>
      </c>
      <c r="V6091">
        <v>2</v>
      </c>
      <c r="W6091">
        <v>0</v>
      </c>
      <c r="X6091" s="2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f t="shared" si="98"/>
        <v>192</v>
      </c>
      <c r="AP6091" t="s">
        <v>1915</v>
      </c>
    </row>
    <row r="6092" spans="1:42">
      <c r="A6092" s="1">
        <v>43795</v>
      </c>
      <c r="B6092">
        <v>2</v>
      </c>
      <c r="C6092">
        <v>989</v>
      </c>
      <c r="D6092">
        <v>10376</v>
      </c>
      <c r="E6092" t="s">
        <v>37</v>
      </c>
      <c r="F6092" t="s">
        <v>520</v>
      </c>
      <c r="G6092">
        <v>2</v>
      </c>
      <c r="H6092">
        <v>76</v>
      </c>
      <c r="I6092" s="25">
        <v>1500</v>
      </c>
      <c r="K6092" t="s">
        <v>906</v>
      </c>
      <c r="M6092" t="s">
        <v>52</v>
      </c>
      <c r="N6092" t="s">
        <v>40</v>
      </c>
      <c r="O6092">
        <f>60+40</f>
        <v>100</v>
      </c>
      <c r="Q6092">
        <f t="shared" si="97"/>
        <v>3</v>
      </c>
      <c r="R6092">
        <v>1</v>
      </c>
      <c r="S6092">
        <v>0</v>
      </c>
      <c r="T6092">
        <v>0</v>
      </c>
      <c r="U6092">
        <v>0</v>
      </c>
      <c r="V6092">
        <v>3</v>
      </c>
      <c r="W6092">
        <v>0</v>
      </c>
      <c r="X6092" s="21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f t="shared" si="98"/>
        <v>192</v>
      </c>
      <c r="AP6092" t="s">
        <v>1915</v>
      </c>
    </row>
    <row r="6093" spans="1:42">
      <c r="A6093" s="1">
        <v>43795</v>
      </c>
      <c r="B6093">
        <v>2</v>
      </c>
      <c r="C6093">
        <v>989</v>
      </c>
      <c r="D6093">
        <v>10376</v>
      </c>
      <c r="E6093" t="s">
        <v>37</v>
      </c>
      <c r="F6093" t="s">
        <v>520</v>
      </c>
      <c r="G6093">
        <v>2</v>
      </c>
      <c r="H6093">
        <v>77</v>
      </c>
      <c r="I6093" s="25">
        <v>1529</v>
      </c>
      <c r="K6093" t="s">
        <v>906</v>
      </c>
      <c r="M6093" t="s">
        <v>52</v>
      </c>
      <c r="N6093" t="s">
        <v>44</v>
      </c>
      <c r="O6093">
        <v>43</v>
      </c>
      <c r="Q6093">
        <f t="shared" si="97"/>
        <v>1</v>
      </c>
      <c r="R6093">
        <v>1</v>
      </c>
      <c r="S6093">
        <v>0</v>
      </c>
      <c r="T6093">
        <v>0</v>
      </c>
      <c r="U6093">
        <v>0</v>
      </c>
      <c r="V6093">
        <v>0</v>
      </c>
      <c r="W6093">
        <v>1</v>
      </c>
      <c r="X6093" s="21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f t="shared" si="98"/>
        <v>96</v>
      </c>
      <c r="AP6093" t="s">
        <v>1915</v>
      </c>
    </row>
    <row r="6094" spans="1:42">
      <c r="A6094" s="1">
        <v>43795</v>
      </c>
      <c r="B6094">
        <v>2</v>
      </c>
      <c r="C6094">
        <v>989</v>
      </c>
      <c r="D6094">
        <v>10376</v>
      </c>
      <c r="E6094" t="s">
        <v>37</v>
      </c>
      <c r="F6094" t="s">
        <v>520</v>
      </c>
      <c r="G6094">
        <v>2</v>
      </c>
      <c r="H6094">
        <v>78</v>
      </c>
      <c r="I6094" s="25">
        <v>1500</v>
      </c>
      <c r="K6094" t="s">
        <v>906</v>
      </c>
      <c r="M6094" t="s">
        <v>52</v>
      </c>
      <c r="N6094" t="s">
        <v>40</v>
      </c>
      <c r="O6094">
        <f>60+46-43</f>
        <v>63</v>
      </c>
      <c r="Q6094">
        <f t="shared" si="97"/>
        <v>2</v>
      </c>
      <c r="R6094">
        <v>1</v>
      </c>
      <c r="S6094">
        <v>0</v>
      </c>
      <c r="T6094">
        <v>0</v>
      </c>
      <c r="U6094">
        <v>0</v>
      </c>
      <c r="V6094">
        <v>1</v>
      </c>
      <c r="W6094">
        <v>1</v>
      </c>
      <c r="X6094" s="21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f t="shared" si="98"/>
        <v>160</v>
      </c>
      <c r="AP6094" t="s">
        <v>1915</v>
      </c>
    </row>
    <row r="6095" spans="1:42">
      <c r="A6095" s="1">
        <v>43795</v>
      </c>
      <c r="B6095">
        <v>2</v>
      </c>
      <c r="C6095">
        <v>989</v>
      </c>
      <c r="D6095">
        <v>10376</v>
      </c>
      <c r="E6095" t="s">
        <v>37</v>
      </c>
      <c r="F6095" t="s">
        <v>520</v>
      </c>
      <c r="G6095">
        <v>2</v>
      </c>
      <c r="H6095">
        <v>79</v>
      </c>
      <c r="I6095" s="25">
        <v>1500</v>
      </c>
      <c r="K6095" t="s">
        <v>906</v>
      </c>
      <c r="M6095" t="s">
        <v>52</v>
      </c>
      <c r="N6095" t="s">
        <v>44</v>
      </c>
      <c r="O6095">
        <f>60+60+4</f>
        <v>124</v>
      </c>
      <c r="Q6095">
        <f t="shared" si="97"/>
        <v>1</v>
      </c>
      <c r="R6095">
        <v>1</v>
      </c>
      <c r="S6095">
        <v>0</v>
      </c>
      <c r="T6095">
        <v>0</v>
      </c>
      <c r="U6095">
        <v>0</v>
      </c>
      <c r="V6095">
        <v>0</v>
      </c>
      <c r="W6095">
        <v>1</v>
      </c>
      <c r="X6095" s="21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f t="shared" si="98"/>
        <v>96</v>
      </c>
      <c r="AP6095" t="s">
        <v>1915</v>
      </c>
    </row>
    <row r="6096" spans="1:42">
      <c r="A6096" s="1">
        <v>43795</v>
      </c>
      <c r="B6096">
        <v>2</v>
      </c>
      <c r="C6096">
        <v>989</v>
      </c>
      <c r="D6096">
        <v>10376</v>
      </c>
      <c r="E6096" t="s">
        <v>37</v>
      </c>
      <c r="F6096" t="s">
        <v>520</v>
      </c>
      <c r="G6096">
        <v>2</v>
      </c>
      <c r="H6096">
        <v>80</v>
      </c>
      <c r="I6096" s="25">
        <v>1500</v>
      </c>
      <c r="K6096" t="s">
        <v>906</v>
      </c>
      <c r="M6096" t="s">
        <v>52</v>
      </c>
      <c r="N6096" t="s">
        <v>40</v>
      </c>
      <c r="O6096">
        <v>28</v>
      </c>
      <c r="Q6096">
        <f t="shared" si="97"/>
        <v>1</v>
      </c>
      <c r="R6096">
        <v>1</v>
      </c>
      <c r="S6096">
        <v>0</v>
      </c>
      <c r="T6096">
        <v>0</v>
      </c>
      <c r="U6096">
        <v>1</v>
      </c>
      <c r="V6096">
        <v>0</v>
      </c>
      <c r="W6096">
        <v>0</v>
      </c>
      <c r="X6096" s="21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f t="shared" si="98"/>
        <v>32</v>
      </c>
      <c r="AP6096" t="s">
        <v>1915</v>
      </c>
    </row>
    <row r="6097" spans="1:42">
      <c r="A6097" s="1">
        <v>43795</v>
      </c>
      <c r="B6097">
        <v>2</v>
      </c>
      <c r="C6097">
        <v>989</v>
      </c>
      <c r="D6097">
        <v>10376</v>
      </c>
      <c r="E6097" t="s">
        <v>37</v>
      </c>
      <c r="F6097" t="s">
        <v>520</v>
      </c>
      <c r="G6097">
        <v>2</v>
      </c>
      <c r="H6097">
        <v>81</v>
      </c>
      <c r="I6097" s="25">
        <v>1500</v>
      </c>
      <c r="K6097" t="s">
        <v>906</v>
      </c>
      <c r="M6097" t="s">
        <v>52</v>
      </c>
      <c r="N6097" t="s">
        <v>44</v>
      </c>
      <c r="O6097">
        <f>60+13</f>
        <v>73</v>
      </c>
      <c r="Q6097">
        <f t="shared" si="97"/>
        <v>2</v>
      </c>
      <c r="R6097">
        <v>1</v>
      </c>
      <c r="S6097">
        <v>0</v>
      </c>
      <c r="T6097">
        <v>0</v>
      </c>
      <c r="U6097">
        <v>0</v>
      </c>
      <c r="V6097">
        <v>0</v>
      </c>
      <c r="W6097">
        <v>2</v>
      </c>
      <c r="X6097" s="21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f t="shared" si="98"/>
        <v>192</v>
      </c>
      <c r="AP6097" t="s">
        <v>1915</v>
      </c>
    </row>
    <row r="6098" spans="1:42">
      <c r="A6098" s="1">
        <v>43795</v>
      </c>
      <c r="B6098">
        <v>2</v>
      </c>
      <c r="C6098">
        <v>989</v>
      </c>
      <c r="D6098">
        <v>10376</v>
      </c>
      <c r="E6098" t="s">
        <v>37</v>
      </c>
      <c r="F6098" t="s">
        <v>520</v>
      </c>
      <c r="G6098">
        <v>2</v>
      </c>
      <c r="H6098">
        <v>82</v>
      </c>
      <c r="I6098" s="25">
        <v>1500</v>
      </c>
      <c r="K6098" t="s">
        <v>906</v>
      </c>
      <c r="M6098" t="s">
        <v>52</v>
      </c>
      <c r="N6098" t="s">
        <v>40</v>
      </c>
      <c r="O6098">
        <v>31</v>
      </c>
      <c r="Q6098">
        <f t="shared" si="97"/>
        <v>1</v>
      </c>
      <c r="R6098">
        <v>1</v>
      </c>
      <c r="S6098">
        <v>0</v>
      </c>
      <c r="T6098">
        <v>0</v>
      </c>
      <c r="U6098">
        <v>1</v>
      </c>
      <c r="V6098">
        <v>0</v>
      </c>
      <c r="W6098">
        <v>0</v>
      </c>
      <c r="X6098" s="21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f t="shared" si="98"/>
        <v>32</v>
      </c>
      <c r="AP6098" t="s">
        <v>1915</v>
      </c>
    </row>
    <row r="6099" spans="1:42">
      <c r="A6099" s="1">
        <v>43795</v>
      </c>
      <c r="B6099">
        <v>2</v>
      </c>
      <c r="C6099">
        <v>989</v>
      </c>
      <c r="D6099">
        <v>10376</v>
      </c>
      <c r="E6099" t="s">
        <v>37</v>
      </c>
      <c r="F6099" t="s">
        <v>520</v>
      </c>
      <c r="G6099">
        <v>2</v>
      </c>
      <c r="H6099">
        <v>83</v>
      </c>
      <c r="I6099" s="25">
        <v>1600</v>
      </c>
      <c r="K6099" t="s">
        <v>596</v>
      </c>
      <c r="M6099" t="s">
        <v>52</v>
      </c>
      <c r="N6099" t="s">
        <v>40</v>
      </c>
      <c r="O6099">
        <v>44</v>
      </c>
      <c r="Q6099">
        <f t="shared" si="97"/>
        <v>1</v>
      </c>
      <c r="R6099">
        <v>1</v>
      </c>
      <c r="S6099">
        <v>0</v>
      </c>
      <c r="T6099">
        <v>0</v>
      </c>
      <c r="U6099">
        <v>0</v>
      </c>
      <c r="V6099">
        <v>0</v>
      </c>
      <c r="W6099">
        <v>1</v>
      </c>
      <c r="X6099" s="21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f t="shared" si="98"/>
        <v>96</v>
      </c>
      <c r="AP6099" t="s">
        <v>1915</v>
      </c>
    </row>
    <row r="6100" spans="1:42">
      <c r="A6100" s="1">
        <v>43795</v>
      </c>
      <c r="B6100">
        <v>2</v>
      </c>
      <c r="C6100">
        <v>989</v>
      </c>
      <c r="D6100">
        <v>10376</v>
      </c>
      <c r="E6100" t="s">
        <v>37</v>
      </c>
      <c r="F6100" t="s">
        <v>520</v>
      </c>
      <c r="G6100">
        <v>2</v>
      </c>
      <c r="H6100">
        <v>84</v>
      </c>
      <c r="I6100" s="25">
        <v>1600</v>
      </c>
      <c r="K6100" t="s">
        <v>596</v>
      </c>
      <c r="L6100" t="s">
        <v>114</v>
      </c>
      <c r="M6100" t="s">
        <v>52</v>
      </c>
      <c r="N6100" t="s">
        <v>40</v>
      </c>
      <c r="O6100">
        <v>25</v>
      </c>
      <c r="Q6100">
        <f t="shared" si="97"/>
        <v>1</v>
      </c>
      <c r="R6100">
        <v>1</v>
      </c>
      <c r="S6100">
        <v>0</v>
      </c>
      <c r="T6100">
        <v>0</v>
      </c>
      <c r="U6100">
        <v>0</v>
      </c>
      <c r="V6100">
        <v>0</v>
      </c>
      <c r="W6100">
        <v>1</v>
      </c>
      <c r="X6100" s="21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f t="shared" si="98"/>
        <v>96</v>
      </c>
      <c r="AP6100" t="s">
        <v>1915</v>
      </c>
    </row>
    <row r="6101" spans="1:42">
      <c r="A6101" s="1">
        <v>43795</v>
      </c>
      <c r="B6101">
        <v>2</v>
      </c>
      <c r="C6101">
        <v>989</v>
      </c>
      <c r="D6101">
        <v>10376</v>
      </c>
      <c r="E6101" t="s">
        <v>37</v>
      </c>
      <c r="F6101" t="s">
        <v>520</v>
      </c>
      <c r="G6101">
        <v>2</v>
      </c>
      <c r="H6101">
        <v>85</v>
      </c>
      <c r="I6101" s="25">
        <v>1600</v>
      </c>
      <c r="K6101" t="s">
        <v>596</v>
      </c>
      <c r="L6101" t="s">
        <v>141</v>
      </c>
      <c r="M6101" t="s">
        <v>52</v>
      </c>
      <c r="N6101" t="s">
        <v>40</v>
      </c>
      <c r="O6101">
        <f>(60+33)-25</f>
        <v>68</v>
      </c>
      <c r="Q6101">
        <f t="shared" si="97"/>
        <v>2</v>
      </c>
      <c r="R6101">
        <v>1</v>
      </c>
      <c r="S6101">
        <v>0</v>
      </c>
      <c r="T6101">
        <v>0</v>
      </c>
      <c r="U6101">
        <v>0</v>
      </c>
      <c r="V6101">
        <v>2</v>
      </c>
      <c r="W6101">
        <v>0</v>
      </c>
      <c r="X6101" s="2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f t="shared" si="98"/>
        <v>128</v>
      </c>
      <c r="AP6101" t="s">
        <v>1915</v>
      </c>
    </row>
    <row r="6102" spans="1:42">
      <c r="A6102" s="1">
        <v>43795</v>
      </c>
      <c r="B6102">
        <v>2</v>
      </c>
      <c r="C6102">
        <v>989</v>
      </c>
      <c r="D6102">
        <v>10376</v>
      </c>
      <c r="E6102" t="s">
        <v>37</v>
      </c>
      <c r="F6102" t="s">
        <v>520</v>
      </c>
      <c r="G6102">
        <v>2</v>
      </c>
      <c r="H6102">
        <v>86</v>
      </c>
      <c r="I6102" s="25">
        <v>1600</v>
      </c>
      <c r="K6102" t="s">
        <v>596</v>
      </c>
      <c r="M6102" t="s">
        <v>52</v>
      </c>
      <c r="N6102" t="s">
        <v>40</v>
      </c>
      <c r="O6102">
        <f>60+60+3</f>
        <v>123</v>
      </c>
      <c r="Q6102">
        <f t="shared" si="97"/>
        <v>4</v>
      </c>
      <c r="R6102">
        <v>1</v>
      </c>
      <c r="S6102">
        <v>0</v>
      </c>
      <c r="T6102">
        <v>0</v>
      </c>
      <c r="U6102">
        <v>1</v>
      </c>
      <c r="V6102">
        <v>3</v>
      </c>
      <c r="W6102">
        <v>0</v>
      </c>
      <c r="X6102" s="21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f t="shared" si="98"/>
        <v>224</v>
      </c>
      <c r="AP6102" t="s">
        <v>1915</v>
      </c>
    </row>
    <row r="6103" spans="1:42">
      <c r="A6103" s="1">
        <v>43795</v>
      </c>
      <c r="B6103">
        <v>2</v>
      </c>
      <c r="C6103">
        <v>989</v>
      </c>
      <c r="D6103">
        <v>10376</v>
      </c>
      <c r="E6103" t="s">
        <v>37</v>
      </c>
      <c r="F6103" t="s">
        <v>520</v>
      </c>
      <c r="G6103">
        <v>2</v>
      </c>
      <c r="H6103">
        <v>87</v>
      </c>
      <c r="I6103" s="25">
        <v>1600</v>
      </c>
      <c r="K6103" t="s">
        <v>596</v>
      </c>
      <c r="M6103" t="s">
        <v>52</v>
      </c>
      <c r="N6103" t="s">
        <v>40</v>
      </c>
      <c r="O6103">
        <f>60+51</f>
        <v>111</v>
      </c>
      <c r="Q6103">
        <f t="shared" si="97"/>
        <v>2</v>
      </c>
      <c r="R6103">
        <v>1</v>
      </c>
      <c r="S6103">
        <v>0</v>
      </c>
      <c r="T6103">
        <v>0</v>
      </c>
      <c r="U6103">
        <v>0</v>
      </c>
      <c r="V6103">
        <v>0</v>
      </c>
      <c r="W6103">
        <v>2</v>
      </c>
      <c r="X6103" s="21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f t="shared" si="98"/>
        <v>192</v>
      </c>
      <c r="AP6103" t="s">
        <v>1915</v>
      </c>
    </row>
    <row r="6104" spans="1:42">
      <c r="A6104" s="1">
        <v>43795</v>
      </c>
      <c r="B6104">
        <v>2</v>
      </c>
      <c r="C6104">
        <v>989</v>
      </c>
      <c r="D6104">
        <v>10376</v>
      </c>
      <c r="E6104" t="s">
        <v>37</v>
      </c>
      <c r="F6104" t="s">
        <v>520</v>
      </c>
      <c r="G6104">
        <v>2</v>
      </c>
      <c r="H6104">
        <v>88</v>
      </c>
      <c r="I6104" s="25">
        <v>1400</v>
      </c>
      <c r="K6104" t="s">
        <v>913</v>
      </c>
      <c r="M6104" t="s">
        <v>52</v>
      </c>
      <c r="N6104" t="s">
        <v>40</v>
      </c>
      <c r="O6104">
        <f>60+23</f>
        <v>83</v>
      </c>
      <c r="Q6104">
        <f t="shared" si="97"/>
        <v>2</v>
      </c>
      <c r="R6104">
        <v>1</v>
      </c>
      <c r="S6104">
        <v>0</v>
      </c>
      <c r="T6104">
        <v>0</v>
      </c>
      <c r="U6104">
        <v>0</v>
      </c>
      <c r="V6104">
        <v>2</v>
      </c>
      <c r="W6104">
        <v>0</v>
      </c>
      <c r="X6104" s="21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f t="shared" si="98"/>
        <v>128</v>
      </c>
      <c r="AP6104" t="s">
        <v>1915</v>
      </c>
    </row>
    <row r="6105" spans="1:42">
      <c r="A6105" s="1">
        <v>43795</v>
      </c>
      <c r="B6105">
        <v>2</v>
      </c>
      <c r="C6105">
        <v>989</v>
      </c>
      <c r="D6105">
        <v>10376</v>
      </c>
      <c r="E6105" t="s">
        <v>37</v>
      </c>
      <c r="F6105" t="s">
        <v>520</v>
      </c>
      <c r="G6105">
        <v>2</v>
      </c>
      <c r="H6105">
        <v>89</v>
      </c>
      <c r="I6105" s="25">
        <v>1400</v>
      </c>
      <c r="K6105" t="s">
        <v>913</v>
      </c>
      <c r="M6105" t="s">
        <v>52</v>
      </c>
      <c r="N6105" t="s">
        <v>40</v>
      </c>
      <c r="O6105">
        <f>60+14</f>
        <v>74</v>
      </c>
      <c r="Q6105">
        <f t="shared" si="97"/>
        <v>1</v>
      </c>
      <c r="R6105">
        <v>1</v>
      </c>
      <c r="S6105">
        <v>0</v>
      </c>
      <c r="T6105">
        <v>0</v>
      </c>
      <c r="U6105">
        <v>0</v>
      </c>
      <c r="V6105">
        <v>1</v>
      </c>
      <c r="W6105">
        <v>0</v>
      </c>
      <c r="X6105" s="21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f t="shared" si="98"/>
        <v>64</v>
      </c>
      <c r="AP6105" t="s">
        <v>1915</v>
      </c>
    </row>
    <row r="6106" spans="1:42">
      <c r="A6106" s="1">
        <v>43795</v>
      </c>
      <c r="B6106">
        <v>2</v>
      </c>
      <c r="C6106">
        <v>989</v>
      </c>
      <c r="D6106">
        <v>10376</v>
      </c>
      <c r="E6106" t="s">
        <v>37</v>
      </c>
      <c r="F6106" t="s">
        <v>520</v>
      </c>
      <c r="G6106">
        <v>2</v>
      </c>
      <c r="H6106">
        <v>90</v>
      </c>
      <c r="I6106" s="25">
        <v>1459</v>
      </c>
      <c r="K6106" t="s">
        <v>913</v>
      </c>
      <c r="L6106" t="s">
        <v>141</v>
      </c>
      <c r="M6106" t="s">
        <v>52</v>
      </c>
      <c r="N6106" t="s">
        <v>44</v>
      </c>
      <c r="O6106">
        <v>34</v>
      </c>
      <c r="Q6106">
        <f t="shared" si="97"/>
        <v>2</v>
      </c>
      <c r="R6106">
        <v>1</v>
      </c>
      <c r="S6106">
        <v>0</v>
      </c>
      <c r="T6106">
        <v>0</v>
      </c>
      <c r="U6106">
        <v>0</v>
      </c>
      <c r="V6106">
        <v>1</v>
      </c>
      <c r="W6106">
        <v>1</v>
      </c>
      <c r="X6106" s="21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f t="shared" si="98"/>
        <v>160</v>
      </c>
      <c r="AP6106" t="s">
        <v>1915</v>
      </c>
    </row>
    <row r="6107" spans="1:42">
      <c r="A6107" s="1">
        <v>43795</v>
      </c>
      <c r="B6107">
        <v>2</v>
      </c>
      <c r="C6107">
        <v>989</v>
      </c>
      <c r="D6107">
        <v>10376</v>
      </c>
      <c r="E6107" t="s">
        <v>37</v>
      </c>
      <c r="F6107" t="s">
        <v>520</v>
      </c>
      <c r="G6107">
        <v>2</v>
      </c>
      <c r="H6107">
        <v>91</v>
      </c>
      <c r="I6107" s="25">
        <v>1400</v>
      </c>
      <c r="K6107" t="s">
        <v>913</v>
      </c>
      <c r="M6107" t="s">
        <v>52</v>
      </c>
      <c r="N6107" t="s">
        <v>40</v>
      </c>
      <c r="O6107">
        <f>60+41</f>
        <v>101</v>
      </c>
      <c r="Q6107">
        <f t="shared" si="97"/>
        <v>2</v>
      </c>
      <c r="R6107">
        <v>1</v>
      </c>
      <c r="S6107">
        <v>0</v>
      </c>
      <c r="T6107">
        <v>0</v>
      </c>
      <c r="U6107">
        <v>0</v>
      </c>
      <c r="V6107">
        <v>2</v>
      </c>
      <c r="W6107">
        <v>0</v>
      </c>
      <c r="X6107" s="21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f t="shared" si="98"/>
        <v>128</v>
      </c>
      <c r="AP6107" t="s">
        <v>1915</v>
      </c>
    </row>
    <row r="6108" spans="1:42">
      <c r="A6108" s="1">
        <v>43795</v>
      </c>
      <c r="B6108">
        <v>2</v>
      </c>
      <c r="C6108">
        <v>989</v>
      </c>
      <c r="D6108">
        <v>10376</v>
      </c>
      <c r="E6108" t="s">
        <v>37</v>
      </c>
      <c r="F6108" t="s">
        <v>520</v>
      </c>
      <c r="G6108">
        <v>2</v>
      </c>
      <c r="H6108">
        <v>92</v>
      </c>
      <c r="I6108" s="25">
        <v>1400</v>
      </c>
      <c r="K6108" t="s">
        <v>913</v>
      </c>
      <c r="M6108" t="s">
        <v>52</v>
      </c>
      <c r="N6108" t="s">
        <v>40</v>
      </c>
      <c r="O6108">
        <f>60+60+60+60+37</f>
        <v>277</v>
      </c>
      <c r="Q6108">
        <f t="shared" si="97"/>
        <v>9</v>
      </c>
      <c r="R6108">
        <v>1</v>
      </c>
      <c r="S6108">
        <v>0</v>
      </c>
      <c r="T6108">
        <v>0</v>
      </c>
      <c r="U6108">
        <v>1</v>
      </c>
      <c r="V6108">
        <v>8</v>
      </c>
      <c r="W6108">
        <v>0</v>
      </c>
      <c r="X6108" s="21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f t="shared" si="98"/>
        <v>544</v>
      </c>
      <c r="AP6108" t="s">
        <v>1915</v>
      </c>
    </row>
    <row r="6109" spans="1:42">
      <c r="A6109" s="1">
        <v>43795</v>
      </c>
      <c r="B6109">
        <v>2</v>
      </c>
      <c r="C6109">
        <v>989</v>
      </c>
      <c r="D6109">
        <v>10376</v>
      </c>
      <c r="E6109" t="s">
        <v>37</v>
      </c>
      <c r="F6109" t="s">
        <v>520</v>
      </c>
      <c r="G6109">
        <v>2</v>
      </c>
      <c r="H6109">
        <v>93</v>
      </c>
      <c r="I6109" s="25">
        <v>100</v>
      </c>
      <c r="K6109" t="s">
        <v>548</v>
      </c>
      <c r="M6109" t="s">
        <v>52</v>
      </c>
      <c r="N6109" t="s">
        <v>40</v>
      </c>
      <c r="O6109">
        <f>60+60+11</f>
        <v>131</v>
      </c>
      <c r="Q6109">
        <f t="shared" si="97"/>
        <v>4</v>
      </c>
      <c r="R6109">
        <v>1</v>
      </c>
      <c r="S6109">
        <v>0</v>
      </c>
      <c r="T6109">
        <v>0</v>
      </c>
      <c r="U6109">
        <v>0</v>
      </c>
      <c r="V6109">
        <v>4</v>
      </c>
      <c r="W6109">
        <v>0</v>
      </c>
      <c r="X6109" s="21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f t="shared" si="98"/>
        <v>256</v>
      </c>
      <c r="AP6109" t="s">
        <v>1915</v>
      </c>
    </row>
    <row r="6110" spans="1:42">
      <c r="A6110" s="1">
        <v>43795</v>
      </c>
      <c r="B6110">
        <v>2</v>
      </c>
      <c r="C6110">
        <v>989</v>
      </c>
      <c r="D6110">
        <v>10376</v>
      </c>
      <c r="E6110" t="s">
        <v>37</v>
      </c>
      <c r="F6110" t="s">
        <v>520</v>
      </c>
      <c r="G6110">
        <v>2</v>
      </c>
      <c r="H6110">
        <v>94</v>
      </c>
      <c r="I6110" s="25">
        <v>100</v>
      </c>
      <c r="K6110" t="s">
        <v>548</v>
      </c>
      <c r="M6110" t="s">
        <v>52</v>
      </c>
      <c r="N6110" t="s">
        <v>40</v>
      </c>
      <c r="O6110">
        <v>33</v>
      </c>
      <c r="Q6110">
        <f t="shared" si="97"/>
        <v>1</v>
      </c>
      <c r="R6110">
        <v>1</v>
      </c>
      <c r="S6110">
        <v>0</v>
      </c>
      <c r="T6110">
        <v>0</v>
      </c>
      <c r="U6110">
        <v>0</v>
      </c>
      <c r="V6110">
        <v>0</v>
      </c>
      <c r="W6110">
        <v>1</v>
      </c>
      <c r="X6110" s="21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f t="shared" si="98"/>
        <v>96</v>
      </c>
      <c r="AP6110" t="s">
        <v>1915</v>
      </c>
    </row>
    <row r="6111" spans="1:42">
      <c r="A6111" s="1">
        <v>43795</v>
      </c>
      <c r="B6111">
        <v>2</v>
      </c>
      <c r="C6111">
        <v>989</v>
      </c>
      <c r="D6111">
        <v>10376</v>
      </c>
      <c r="E6111" t="s">
        <v>37</v>
      </c>
      <c r="F6111" t="s">
        <v>520</v>
      </c>
      <c r="G6111">
        <v>2</v>
      </c>
      <c r="H6111">
        <v>95</v>
      </c>
      <c r="I6111" s="25">
        <v>100</v>
      </c>
      <c r="K6111" t="s">
        <v>548</v>
      </c>
      <c r="M6111" t="s">
        <v>52</v>
      </c>
      <c r="N6111" t="s">
        <v>40</v>
      </c>
      <c r="O6111">
        <v>31</v>
      </c>
      <c r="Q6111">
        <f t="shared" si="97"/>
        <v>1</v>
      </c>
      <c r="R6111">
        <v>1</v>
      </c>
      <c r="S6111">
        <v>0</v>
      </c>
      <c r="T6111">
        <v>0</v>
      </c>
      <c r="U6111">
        <v>0</v>
      </c>
      <c r="V6111">
        <v>1</v>
      </c>
      <c r="W6111">
        <v>0</v>
      </c>
      <c r="X6111" s="2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f t="shared" si="98"/>
        <v>64</v>
      </c>
      <c r="AP6111" t="s">
        <v>1915</v>
      </c>
    </row>
    <row r="6112" spans="1:42">
      <c r="A6112" s="1">
        <v>43798</v>
      </c>
      <c r="B6112">
        <v>5</v>
      </c>
      <c r="C6112">
        <v>978</v>
      </c>
      <c r="D6112">
        <v>14390</v>
      </c>
      <c r="E6112" t="s">
        <v>112</v>
      </c>
      <c r="F6112" t="s">
        <v>520</v>
      </c>
      <c r="G6112">
        <v>2</v>
      </c>
      <c r="H6112">
        <v>1</v>
      </c>
      <c r="I6112" s="25">
        <v>2300</v>
      </c>
      <c r="K6112" t="s">
        <v>414</v>
      </c>
      <c r="M6112" t="s">
        <v>95</v>
      </c>
      <c r="N6112" t="s">
        <v>40</v>
      </c>
      <c r="O6112">
        <f>60+60+60+20</f>
        <v>200</v>
      </c>
      <c r="Q6112">
        <f t="shared" si="97"/>
        <v>3</v>
      </c>
      <c r="R6112">
        <v>1</v>
      </c>
      <c r="S6112">
        <v>0</v>
      </c>
      <c r="T6112">
        <v>0</v>
      </c>
      <c r="U6112">
        <v>0</v>
      </c>
      <c r="V6112">
        <v>2</v>
      </c>
      <c r="W6112">
        <v>1</v>
      </c>
      <c r="X6112" s="21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f t="shared" si="98"/>
        <v>224</v>
      </c>
      <c r="AP6112" t="s">
        <v>1915</v>
      </c>
    </row>
    <row r="6113" spans="1:42">
      <c r="A6113" s="1">
        <v>43798</v>
      </c>
      <c r="B6113">
        <v>5</v>
      </c>
      <c r="C6113">
        <v>978</v>
      </c>
      <c r="D6113">
        <v>14390</v>
      </c>
      <c r="E6113" t="s">
        <v>112</v>
      </c>
      <c r="F6113" t="s">
        <v>520</v>
      </c>
      <c r="G6113">
        <v>2</v>
      </c>
      <c r="H6113">
        <v>2</v>
      </c>
      <c r="I6113" s="25">
        <v>2300</v>
      </c>
      <c r="K6113" t="s">
        <v>414</v>
      </c>
      <c r="M6113" t="s">
        <v>52</v>
      </c>
      <c r="N6113" t="s">
        <v>40</v>
      </c>
      <c r="O6113">
        <v>40</v>
      </c>
      <c r="Q6113">
        <f t="shared" si="97"/>
        <v>2</v>
      </c>
      <c r="R6113">
        <v>1</v>
      </c>
      <c r="S6113">
        <v>0</v>
      </c>
      <c r="T6113">
        <v>0</v>
      </c>
      <c r="U6113">
        <v>0</v>
      </c>
      <c r="V6113">
        <v>0</v>
      </c>
      <c r="W6113">
        <v>2</v>
      </c>
      <c r="X6113" s="21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f t="shared" si="98"/>
        <v>192</v>
      </c>
      <c r="AP6113" t="s">
        <v>1915</v>
      </c>
    </row>
    <row r="6114" spans="1:42">
      <c r="A6114" s="1">
        <v>43798</v>
      </c>
      <c r="B6114">
        <v>5</v>
      </c>
      <c r="C6114">
        <v>978</v>
      </c>
      <c r="D6114">
        <v>14390</v>
      </c>
      <c r="E6114" t="s">
        <v>112</v>
      </c>
      <c r="F6114" t="s">
        <v>520</v>
      </c>
      <c r="G6114">
        <v>2</v>
      </c>
      <c r="H6114">
        <v>3</v>
      </c>
      <c r="I6114" s="25">
        <v>2300</v>
      </c>
      <c r="K6114" t="s">
        <v>414</v>
      </c>
      <c r="M6114" t="s">
        <v>52</v>
      </c>
      <c r="N6114" t="s">
        <v>40</v>
      </c>
      <c r="O6114">
        <f>60+15</f>
        <v>75</v>
      </c>
      <c r="Q6114">
        <f t="shared" si="97"/>
        <v>2</v>
      </c>
      <c r="R6114">
        <v>1</v>
      </c>
      <c r="S6114">
        <v>0</v>
      </c>
      <c r="T6114">
        <v>0</v>
      </c>
      <c r="U6114">
        <v>0</v>
      </c>
      <c r="V6114">
        <v>1</v>
      </c>
      <c r="W6114">
        <v>1</v>
      </c>
      <c r="X6114" s="21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1</v>
      </c>
      <c r="AG6114">
        <v>0</v>
      </c>
      <c r="AH6114">
        <f t="shared" si="98"/>
        <v>160</v>
      </c>
      <c r="AP6114" t="s">
        <v>1915</v>
      </c>
    </row>
    <row r="6115" spans="1:42">
      <c r="A6115" s="1">
        <v>43798</v>
      </c>
      <c r="B6115">
        <v>5</v>
      </c>
      <c r="C6115">
        <v>978</v>
      </c>
      <c r="D6115">
        <v>14390</v>
      </c>
      <c r="E6115" t="s">
        <v>112</v>
      </c>
      <c r="F6115" t="s">
        <v>520</v>
      </c>
      <c r="G6115">
        <v>2</v>
      </c>
      <c r="H6115">
        <v>4</v>
      </c>
      <c r="I6115" s="25">
        <v>2300</v>
      </c>
      <c r="K6115" t="s">
        <v>414</v>
      </c>
      <c r="M6115" t="s">
        <v>52</v>
      </c>
      <c r="N6115" t="s">
        <v>40</v>
      </c>
      <c r="O6115">
        <v>42</v>
      </c>
      <c r="Q6115">
        <f t="shared" si="97"/>
        <v>1</v>
      </c>
      <c r="R6115">
        <v>1</v>
      </c>
      <c r="S6115">
        <v>0</v>
      </c>
      <c r="T6115">
        <v>0</v>
      </c>
      <c r="U6115">
        <v>0</v>
      </c>
      <c r="V6115">
        <v>0</v>
      </c>
      <c r="W6115">
        <v>1</v>
      </c>
      <c r="X6115" s="21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f t="shared" si="98"/>
        <v>96</v>
      </c>
      <c r="AP6115" t="s">
        <v>1915</v>
      </c>
    </row>
    <row r="6116" spans="1:42">
      <c r="A6116" s="1">
        <v>43798</v>
      </c>
      <c r="B6116">
        <v>5</v>
      </c>
      <c r="C6116">
        <v>978</v>
      </c>
      <c r="D6116">
        <v>14390</v>
      </c>
      <c r="E6116" t="s">
        <v>112</v>
      </c>
      <c r="F6116" t="s">
        <v>520</v>
      </c>
      <c r="G6116">
        <v>2</v>
      </c>
      <c r="H6116">
        <v>5</v>
      </c>
      <c r="I6116" s="25">
        <v>2458</v>
      </c>
      <c r="K6116" t="s">
        <v>414</v>
      </c>
      <c r="L6116" t="s">
        <v>114</v>
      </c>
      <c r="M6116" t="s">
        <v>52</v>
      </c>
      <c r="N6116" t="s">
        <v>44</v>
      </c>
      <c r="O6116">
        <f>60+23</f>
        <v>83</v>
      </c>
      <c r="Q6116">
        <f t="shared" si="97"/>
        <v>1</v>
      </c>
      <c r="R6116">
        <v>1</v>
      </c>
      <c r="S6116">
        <v>0</v>
      </c>
      <c r="T6116">
        <v>0</v>
      </c>
      <c r="U6116">
        <v>0</v>
      </c>
      <c r="V6116">
        <v>0</v>
      </c>
      <c r="W6116">
        <v>1</v>
      </c>
      <c r="X6116" s="21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f t="shared" si="98"/>
        <v>96</v>
      </c>
      <c r="AP6116" t="s">
        <v>1915</v>
      </c>
    </row>
    <row r="6117" spans="1:42">
      <c r="A6117" s="1">
        <v>43798</v>
      </c>
      <c r="B6117">
        <v>5</v>
      </c>
      <c r="C6117">
        <v>978</v>
      </c>
      <c r="D6117">
        <v>14390</v>
      </c>
      <c r="E6117" t="s">
        <v>112</v>
      </c>
      <c r="F6117" t="s">
        <v>520</v>
      </c>
      <c r="G6117">
        <v>2</v>
      </c>
      <c r="H6117">
        <v>6</v>
      </c>
      <c r="I6117" s="25">
        <v>2526</v>
      </c>
      <c r="K6117" t="s">
        <v>414</v>
      </c>
      <c r="L6117" t="s">
        <v>114</v>
      </c>
      <c r="M6117" t="s">
        <v>52</v>
      </c>
      <c r="N6117" t="s">
        <v>44</v>
      </c>
      <c r="O6117">
        <f>60+42</f>
        <v>102</v>
      </c>
      <c r="Q6117">
        <f t="shared" si="97"/>
        <v>2</v>
      </c>
      <c r="R6117">
        <v>1</v>
      </c>
      <c r="S6117">
        <v>0</v>
      </c>
      <c r="T6117">
        <v>0</v>
      </c>
      <c r="U6117">
        <v>0</v>
      </c>
      <c r="V6117">
        <v>0</v>
      </c>
      <c r="W6117">
        <v>2</v>
      </c>
      <c r="X6117" s="21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f t="shared" si="98"/>
        <v>192</v>
      </c>
      <c r="AP6117" t="s">
        <v>1915</v>
      </c>
    </row>
    <row r="6118" spans="1:42">
      <c r="A6118" s="1">
        <v>43798</v>
      </c>
      <c r="B6118">
        <v>5</v>
      </c>
      <c r="C6118">
        <v>978</v>
      </c>
      <c r="D6118">
        <v>14390</v>
      </c>
      <c r="E6118" t="s">
        <v>112</v>
      </c>
      <c r="F6118" t="s">
        <v>520</v>
      </c>
      <c r="G6118">
        <v>2</v>
      </c>
      <c r="H6118">
        <v>7</v>
      </c>
      <c r="I6118" s="25">
        <v>2560</v>
      </c>
      <c r="K6118" t="s">
        <v>414</v>
      </c>
      <c r="L6118" t="s">
        <v>114</v>
      </c>
      <c r="M6118" t="s">
        <v>52</v>
      </c>
      <c r="N6118" t="s">
        <v>44</v>
      </c>
      <c r="O6118">
        <f>60+60+6</f>
        <v>126</v>
      </c>
      <c r="Q6118">
        <f t="shared" si="97"/>
        <v>1</v>
      </c>
      <c r="R6118">
        <v>1</v>
      </c>
      <c r="S6118">
        <v>0</v>
      </c>
      <c r="T6118">
        <v>0</v>
      </c>
      <c r="U6118">
        <v>0</v>
      </c>
      <c r="V6118">
        <v>0</v>
      </c>
      <c r="W6118">
        <v>1</v>
      </c>
      <c r="X6118" s="21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f t="shared" si="98"/>
        <v>96</v>
      </c>
      <c r="AP6118" t="s">
        <v>1915</v>
      </c>
    </row>
    <row r="6119" spans="1:42">
      <c r="A6119" s="1">
        <v>43798</v>
      </c>
      <c r="B6119">
        <v>5</v>
      </c>
      <c r="C6119">
        <v>978</v>
      </c>
      <c r="D6119">
        <v>14390</v>
      </c>
      <c r="E6119" t="s">
        <v>112</v>
      </c>
      <c r="F6119" t="s">
        <v>520</v>
      </c>
      <c r="G6119">
        <v>2</v>
      </c>
      <c r="H6119">
        <v>8</v>
      </c>
      <c r="I6119" s="25">
        <v>1300</v>
      </c>
      <c r="K6119" t="s">
        <v>213</v>
      </c>
      <c r="M6119" t="s">
        <v>52</v>
      </c>
      <c r="N6119" t="s">
        <v>44</v>
      </c>
      <c r="O6119">
        <f>51</f>
        <v>51</v>
      </c>
      <c r="Q6119">
        <f t="shared" si="97"/>
        <v>2</v>
      </c>
      <c r="R6119">
        <v>1</v>
      </c>
      <c r="S6119">
        <v>0</v>
      </c>
      <c r="T6119">
        <v>0</v>
      </c>
      <c r="U6119">
        <v>0</v>
      </c>
      <c r="V6119">
        <v>0</v>
      </c>
      <c r="W6119">
        <v>2</v>
      </c>
      <c r="X6119" s="21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f t="shared" si="98"/>
        <v>192</v>
      </c>
      <c r="AP6119" t="s">
        <v>1915</v>
      </c>
    </row>
    <row r="6120" spans="1:42">
      <c r="A6120" s="1">
        <v>43798</v>
      </c>
      <c r="B6120">
        <v>5</v>
      </c>
      <c r="C6120">
        <v>978</v>
      </c>
      <c r="D6120">
        <v>14390</v>
      </c>
      <c r="E6120" t="s">
        <v>112</v>
      </c>
      <c r="F6120" t="s">
        <v>520</v>
      </c>
      <c r="G6120">
        <v>2</v>
      </c>
      <c r="H6120">
        <v>9</v>
      </c>
      <c r="I6120" s="25">
        <v>1300</v>
      </c>
      <c r="K6120" t="s">
        <v>213</v>
      </c>
      <c r="M6120" t="s">
        <v>52</v>
      </c>
      <c r="N6120" t="s">
        <v>40</v>
      </c>
      <c r="O6120">
        <v>52</v>
      </c>
      <c r="Q6120">
        <f t="shared" si="97"/>
        <v>1</v>
      </c>
      <c r="R6120">
        <v>1</v>
      </c>
      <c r="S6120">
        <v>0</v>
      </c>
      <c r="T6120">
        <v>0</v>
      </c>
      <c r="U6120">
        <v>0</v>
      </c>
      <c r="V6120">
        <v>0</v>
      </c>
      <c r="W6120">
        <v>1</v>
      </c>
      <c r="X6120" s="21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f t="shared" si="98"/>
        <v>96</v>
      </c>
      <c r="AP6120" t="s">
        <v>1915</v>
      </c>
    </row>
    <row r="6121" spans="1:42">
      <c r="A6121" s="1">
        <v>43798</v>
      </c>
      <c r="B6121">
        <v>5</v>
      </c>
      <c r="C6121">
        <v>978</v>
      </c>
      <c r="D6121">
        <v>14390</v>
      </c>
      <c r="E6121" t="s">
        <v>112</v>
      </c>
      <c r="F6121" t="s">
        <v>520</v>
      </c>
      <c r="G6121">
        <v>2</v>
      </c>
      <c r="H6121">
        <v>10</v>
      </c>
      <c r="I6121" s="25">
        <v>2500</v>
      </c>
      <c r="K6121" t="s">
        <v>420</v>
      </c>
      <c r="M6121" t="s">
        <v>52</v>
      </c>
      <c r="N6121" t="s">
        <v>40</v>
      </c>
      <c r="O6121">
        <f>60+9</f>
        <v>69</v>
      </c>
      <c r="Q6121">
        <f t="shared" si="97"/>
        <v>2</v>
      </c>
      <c r="R6121">
        <v>1</v>
      </c>
      <c r="S6121">
        <v>0</v>
      </c>
      <c r="T6121">
        <v>0</v>
      </c>
      <c r="U6121">
        <v>0</v>
      </c>
      <c r="V6121">
        <v>0</v>
      </c>
      <c r="W6121">
        <v>2</v>
      </c>
      <c r="X6121" s="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f t="shared" si="98"/>
        <v>192</v>
      </c>
      <c r="AP6121" t="s">
        <v>1915</v>
      </c>
    </row>
    <row r="6122" spans="1:42">
      <c r="A6122" s="1">
        <v>43798</v>
      </c>
      <c r="B6122">
        <v>5</v>
      </c>
      <c r="C6122">
        <v>978</v>
      </c>
      <c r="D6122">
        <v>14390</v>
      </c>
      <c r="E6122" t="s">
        <v>112</v>
      </c>
      <c r="F6122" t="s">
        <v>520</v>
      </c>
      <c r="G6122">
        <v>2</v>
      </c>
      <c r="H6122">
        <v>11</v>
      </c>
      <c r="I6122" s="25">
        <v>2500</v>
      </c>
      <c r="K6122" t="s">
        <v>420</v>
      </c>
      <c r="M6122" t="s">
        <v>52</v>
      </c>
      <c r="N6122" t="s">
        <v>44</v>
      </c>
      <c r="O6122">
        <f>60+60+32</f>
        <v>152</v>
      </c>
      <c r="Q6122">
        <f t="shared" si="97"/>
        <v>3</v>
      </c>
      <c r="R6122">
        <v>1</v>
      </c>
      <c r="S6122">
        <v>0</v>
      </c>
      <c r="T6122">
        <v>0</v>
      </c>
      <c r="U6122">
        <v>0</v>
      </c>
      <c r="V6122">
        <v>0</v>
      </c>
      <c r="W6122">
        <v>3</v>
      </c>
      <c r="X6122" s="21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f t="shared" si="98"/>
        <v>288</v>
      </c>
      <c r="AP6122" t="s">
        <v>1915</v>
      </c>
    </row>
    <row r="6123" spans="1:42">
      <c r="A6123" s="1">
        <v>43798</v>
      </c>
      <c r="B6123">
        <v>5</v>
      </c>
      <c r="C6123">
        <v>978</v>
      </c>
      <c r="D6123">
        <v>14390</v>
      </c>
      <c r="E6123" t="s">
        <v>112</v>
      </c>
      <c r="F6123" t="s">
        <v>520</v>
      </c>
      <c r="G6123">
        <v>2</v>
      </c>
      <c r="H6123">
        <v>12</v>
      </c>
      <c r="I6123" s="25">
        <v>2655</v>
      </c>
      <c r="K6123" t="s">
        <v>414</v>
      </c>
      <c r="M6123" t="s">
        <v>52</v>
      </c>
      <c r="N6123" t="s">
        <v>44</v>
      </c>
      <c r="O6123">
        <f>60+60+13</f>
        <v>133</v>
      </c>
      <c r="Q6123">
        <f t="shared" si="97"/>
        <v>3</v>
      </c>
      <c r="R6123">
        <v>1</v>
      </c>
      <c r="S6123">
        <v>0</v>
      </c>
      <c r="T6123">
        <v>0</v>
      </c>
      <c r="U6123">
        <v>0</v>
      </c>
      <c r="V6123">
        <v>0</v>
      </c>
      <c r="W6123">
        <v>3</v>
      </c>
      <c r="X6123" s="21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f t="shared" si="98"/>
        <v>288</v>
      </c>
      <c r="AL6123" t="s">
        <v>1944</v>
      </c>
      <c r="AP6123" t="s">
        <v>1915</v>
      </c>
    </row>
    <row r="6124" spans="1:42">
      <c r="A6124" s="1">
        <v>43798</v>
      </c>
      <c r="B6124">
        <v>5</v>
      </c>
      <c r="C6124">
        <v>978</v>
      </c>
      <c r="D6124">
        <v>14390</v>
      </c>
      <c r="E6124" t="s">
        <v>112</v>
      </c>
      <c r="F6124" t="s">
        <v>520</v>
      </c>
      <c r="G6124">
        <v>2</v>
      </c>
      <c r="H6124">
        <v>13</v>
      </c>
      <c r="I6124" s="25">
        <v>2600</v>
      </c>
      <c r="K6124" t="s">
        <v>414</v>
      </c>
      <c r="M6124" t="s">
        <v>52</v>
      </c>
      <c r="N6124" t="s">
        <v>44</v>
      </c>
      <c r="O6124">
        <f>60+26</f>
        <v>86</v>
      </c>
      <c r="Q6124">
        <f t="shared" si="97"/>
        <v>3</v>
      </c>
      <c r="R6124">
        <v>1</v>
      </c>
      <c r="S6124">
        <v>0</v>
      </c>
      <c r="T6124">
        <v>0</v>
      </c>
      <c r="U6124">
        <v>0</v>
      </c>
      <c r="V6124">
        <v>0</v>
      </c>
      <c r="W6124">
        <v>3</v>
      </c>
      <c r="X6124" s="21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f t="shared" si="98"/>
        <v>288</v>
      </c>
      <c r="AP6124" t="s">
        <v>1915</v>
      </c>
    </row>
    <row r="6125" spans="1:42">
      <c r="A6125" s="1">
        <v>43798</v>
      </c>
      <c r="B6125">
        <v>5</v>
      </c>
      <c r="C6125">
        <v>978</v>
      </c>
      <c r="D6125">
        <v>14390</v>
      </c>
      <c r="E6125" t="s">
        <v>112</v>
      </c>
      <c r="F6125" t="s">
        <v>520</v>
      </c>
      <c r="G6125">
        <v>2</v>
      </c>
      <c r="H6125">
        <v>14</v>
      </c>
      <c r="I6125" s="25">
        <v>2500</v>
      </c>
      <c r="K6125" t="s">
        <v>414</v>
      </c>
      <c r="M6125" t="s">
        <v>52</v>
      </c>
      <c r="N6125" t="s">
        <v>44</v>
      </c>
      <c r="O6125">
        <f>60+33</f>
        <v>93</v>
      </c>
      <c r="Q6125">
        <f t="shared" si="97"/>
        <v>2</v>
      </c>
      <c r="R6125">
        <v>1</v>
      </c>
      <c r="S6125">
        <v>0</v>
      </c>
      <c r="T6125">
        <v>0</v>
      </c>
      <c r="U6125">
        <v>0</v>
      </c>
      <c r="V6125">
        <v>0</v>
      </c>
      <c r="W6125">
        <v>2</v>
      </c>
      <c r="X6125" s="21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f t="shared" si="98"/>
        <v>192</v>
      </c>
      <c r="AL6125" t="s">
        <v>1939</v>
      </c>
      <c r="AP6125" t="s">
        <v>1915</v>
      </c>
    </row>
    <row r="6126" spans="1:42">
      <c r="A6126" s="1">
        <v>43798</v>
      </c>
      <c r="B6126">
        <v>5</v>
      </c>
      <c r="C6126">
        <v>978</v>
      </c>
      <c r="D6126">
        <v>14390</v>
      </c>
      <c r="E6126" t="s">
        <v>112</v>
      </c>
      <c r="F6126" t="s">
        <v>520</v>
      </c>
      <c r="G6126">
        <v>2</v>
      </c>
      <c r="H6126">
        <v>15</v>
      </c>
      <c r="I6126" s="25">
        <v>2507</v>
      </c>
      <c r="K6126" t="s">
        <v>414</v>
      </c>
      <c r="M6126" t="s">
        <v>52</v>
      </c>
      <c r="N6126" t="s">
        <v>44</v>
      </c>
      <c r="O6126">
        <f>60+60+23</f>
        <v>143</v>
      </c>
      <c r="Q6126">
        <f t="shared" si="97"/>
        <v>2</v>
      </c>
      <c r="R6126">
        <v>1</v>
      </c>
      <c r="S6126">
        <v>0</v>
      </c>
      <c r="T6126">
        <v>0</v>
      </c>
      <c r="U6126">
        <v>0</v>
      </c>
      <c r="V6126">
        <v>1</v>
      </c>
      <c r="W6126">
        <v>1</v>
      </c>
      <c r="X6126" s="21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f t="shared" si="98"/>
        <v>160</v>
      </c>
      <c r="AL6126" t="s">
        <v>1945</v>
      </c>
      <c r="AP6126" t="s">
        <v>1915</v>
      </c>
    </row>
    <row r="6127" spans="1:42">
      <c r="A6127" s="1">
        <v>43798</v>
      </c>
      <c r="B6127">
        <v>5</v>
      </c>
      <c r="C6127">
        <v>978</v>
      </c>
      <c r="D6127">
        <v>14390</v>
      </c>
      <c r="E6127" t="s">
        <v>112</v>
      </c>
      <c r="F6127" t="s">
        <v>520</v>
      </c>
      <c r="G6127">
        <v>2</v>
      </c>
      <c r="H6127">
        <v>16</v>
      </c>
      <c r="I6127" s="25">
        <v>2455</v>
      </c>
      <c r="K6127" t="s">
        <v>414</v>
      </c>
      <c r="M6127" t="s">
        <v>52</v>
      </c>
      <c r="N6127" t="s">
        <v>44</v>
      </c>
      <c r="O6127">
        <f>60+60+60+27</f>
        <v>207</v>
      </c>
      <c r="Q6127">
        <f t="shared" si="97"/>
        <v>1</v>
      </c>
      <c r="R6127">
        <v>1</v>
      </c>
      <c r="S6127">
        <v>0</v>
      </c>
      <c r="T6127">
        <v>0</v>
      </c>
      <c r="U6127">
        <v>0</v>
      </c>
      <c r="V6127">
        <v>0</v>
      </c>
      <c r="W6127">
        <v>1</v>
      </c>
      <c r="X6127" s="21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f t="shared" si="98"/>
        <v>96</v>
      </c>
      <c r="AL6127" t="s">
        <v>1945</v>
      </c>
      <c r="AP6127" t="s">
        <v>1915</v>
      </c>
    </row>
    <row r="6128" spans="1:42">
      <c r="A6128" s="1">
        <v>43798</v>
      </c>
      <c r="B6128">
        <v>5</v>
      </c>
      <c r="C6128">
        <v>978</v>
      </c>
      <c r="D6128">
        <v>14390</v>
      </c>
      <c r="E6128" t="s">
        <v>112</v>
      </c>
      <c r="F6128" t="s">
        <v>520</v>
      </c>
      <c r="G6128">
        <v>2</v>
      </c>
      <c r="H6128">
        <v>17</v>
      </c>
      <c r="I6128" s="25">
        <v>2445</v>
      </c>
      <c r="K6128" t="s">
        <v>414</v>
      </c>
      <c r="M6128" t="s">
        <v>52</v>
      </c>
      <c r="N6128" t="s">
        <v>44</v>
      </c>
      <c r="O6128">
        <v>84</v>
      </c>
      <c r="Q6128">
        <f t="shared" si="97"/>
        <v>1</v>
      </c>
      <c r="R6128">
        <v>1</v>
      </c>
      <c r="S6128">
        <v>0</v>
      </c>
      <c r="T6128">
        <v>0</v>
      </c>
      <c r="U6128">
        <v>0</v>
      </c>
      <c r="V6128">
        <v>1</v>
      </c>
      <c r="W6128">
        <v>0</v>
      </c>
      <c r="X6128" s="21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f t="shared" si="98"/>
        <v>64</v>
      </c>
      <c r="AL6128" t="s">
        <v>587</v>
      </c>
      <c r="AP6128" t="s">
        <v>1915</v>
      </c>
    </row>
    <row r="6129" spans="1:42">
      <c r="A6129" s="1">
        <v>43798</v>
      </c>
      <c r="B6129">
        <v>5</v>
      </c>
      <c r="C6129">
        <v>978</v>
      </c>
      <c r="D6129">
        <v>14390</v>
      </c>
      <c r="E6129" t="s">
        <v>112</v>
      </c>
      <c r="F6129" t="s">
        <v>520</v>
      </c>
      <c r="G6129">
        <v>2</v>
      </c>
      <c r="H6129">
        <v>18</v>
      </c>
      <c r="I6129" s="25">
        <v>2435</v>
      </c>
      <c r="K6129" t="s">
        <v>414</v>
      </c>
      <c r="M6129" t="s">
        <v>52</v>
      </c>
      <c r="N6129" t="s">
        <v>44</v>
      </c>
      <c r="O6129">
        <v>84</v>
      </c>
      <c r="Q6129">
        <f t="shared" si="97"/>
        <v>1</v>
      </c>
      <c r="R6129">
        <v>1</v>
      </c>
      <c r="S6129">
        <v>0</v>
      </c>
      <c r="T6129">
        <v>0</v>
      </c>
      <c r="U6129">
        <v>0</v>
      </c>
      <c r="V6129">
        <v>1</v>
      </c>
      <c r="W6129">
        <v>0</v>
      </c>
      <c r="X6129" s="21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f t="shared" si="98"/>
        <v>64</v>
      </c>
      <c r="AL6129" t="s">
        <v>1946</v>
      </c>
      <c r="AP6129" t="s">
        <v>1915</v>
      </c>
    </row>
    <row r="6130" spans="1:42">
      <c r="A6130" s="1">
        <v>43798</v>
      </c>
      <c r="B6130">
        <v>5</v>
      </c>
      <c r="C6130">
        <v>978</v>
      </c>
      <c r="D6130">
        <v>14390</v>
      </c>
      <c r="E6130" t="s">
        <v>112</v>
      </c>
      <c r="F6130" t="s">
        <v>520</v>
      </c>
      <c r="G6130">
        <v>2</v>
      </c>
      <c r="H6130">
        <v>19</v>
      </c>
      <c r="I6130" s="25">
        <v>2433</v>
      </c>
      <c r="K6130" t="s">
        <v>414</v>
      </c>
      <c r="M6130" t="s">
        <v>52</v>
      </c>
      <c r="N6130" t="s">
        <v>44</v>
      </c>
      <c r="O6130">
        <v>84</v>
      </c>
      <c r="Q6130">
        <f t="shared" si="97"/>
        <v>1</v>
      </c>
      <c r="R6130">
        <v>1</v>
      </c>
      <c r="S6130">
        <v>0</v>
      </c>
      <c r="T6130">
        <v>0</v>
      </c>
      <c r="U6130">
        <v>0</v>
      </c>
      <c r="V6130">
        <v>0</v>
      </c>
      <c r="W6130">
        <v>1</v>
      </c>
      <c r="X6130" s="21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f t="shared" si="98"/>
        <v>96</v>
      </c>
      <c r="AP6130" t="s">
        <v>1915</v>
      </c>
    </row>
    <row r="6131" spans="1:42">
      <c r="A6131" s="1">
        <v>43798</v>
      </c>
      <c r="B6131">
        <v>5</v>
      </c>
      <c r="C6131">
        <v>978</v>
      </c>
      <c r="D6131">
        <v>14390</v>
      </c>
      <c r="E6131" t="s">
        <v>112</v>
      </c>
      <c r="F6131" t="s">
        <v>520</v>
      </c>
      <c r="G6131">
        <v>2</v>
      </c>
      <c r="H6131">
        <v>20</v>
      </c>
      <c r="I6131" s="25">
        <v>2400</v>
      </c>
      <c r="K6131" t="s">
        <v>414</v>
      </c>
      <c r="M6131" t="s">
        <v>52</v>
      </c>
      <c r="N6131" t="s">
        <v>40</v>
      </c>
      <c r="O6131">
        <v>34</v>
      </c>
      <c r="Q6131">
        <f t="shared" si="97"/>
        <v>1</v>
      </c>
      <c r="R6131">
        <v>1</v>
      </c>
      <c r="S6131">
        <v>0</v>
      </c>
      <c r="T6131">
        <v>0</v>
      </c>
      <c r="U6131">
        <v>0</v>
      </c>
      <c r="V6131">
        <v>1</v>
      </c>
      <c r="W6131">
        <v>0</v>
      </c>
      <c r="X6131" s="2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f t="shared" si="98"/>
        <v>64</v>
      </c>
      <c r="AP6131" t="s">
        <v>1915</v>
      </c>
    </row>
    <row r="6132" spans="1:42">
      <c r="A6132" s="1">
        <v>43798</v>
      </c>
      <c r="B6132">
        <v>5</v>
      </c>
      <c r="C6132">
        <v>978</v>
      </c>
      <c r="D6132">
        <v>14390</v>
      </c>
      <c r="E6132" t="s">
        <v>112</v>
      </c>
      <c r="F6132" t="s">
        <v>520</v>
      </c>
      <c r="G6132">
        <v>2</v>
      </c>
      <c r="H6132">
        <v>21</v>
      </c>
      <c r="I6132" s="25">
        <v>2355</v>
      </c>
      <c r="K6132" t="s">
        <v>414</v>
      </c>
      <c r="M6132" t="s">
        <v>52</v>
      </c>
      <c r="N6132" t="s">
        <v>44</v>
      </c>
      <c r="O6132">
        <f>60+25</f>
        <v>85</v>
      </c>
      <c r="Q6132">
        <f t="shared" si="97"/>
        <v>1</v>
      </c>
      <c r="R6132">
        <v>1</v>
      </c>
      <c r="S6132">
        <v>0</v>
      </c>
      <c r="T6132">
        <v>0</v>
      </c>
      <c r="U6132">
        <v>0</v>
      </c>
      <c r="V6132">
        <v>0</v>
      </c>
      <c r="W6132">
        <v>1</v>
      </c>
      <c r="X6132" s="21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f t="shared" si="98"/>
        <v>96</v>
      </c>
      <c r="AP6132" t="s">
        <v>1915</v>
      </c>
    </row>
    <row r="6133" spans="1:42">
      <c r="A6133" s="1">
        <v>43798</v>
      </c>
      <c r="B6133">
        <v>5</v>
      </c>
      <c r="C6133">
        <v>978</v>
      </c>
      <c r="D6133">
        <v>14390</v>
      </c>
      <c r="E6133" t="s">
        <v>112</v>
      </c>
      <c r="F6133" t="s">
        <v>520</v>
      </c>
      <c r="G6133">
        <v>2</v>
      </c>
      <c r="H6133">
        <v>22</v>
      </c>
      <c r="I6133" s="25">
        <v>2323</v>
      </c>
      <c r="K6133" t="s">
        <v>414</v>
      </c>
      <c r="M6133" t="s">
        <v>52</v>
      </c>
      <c r="N6133" t="s">
        <v>40</v>
      </c>
      <c r="O6133">
        <v>45</v>
      </c>
      <c r="Q6133">
        <f t="shared" si="97"/>
        <v>1</v>
      </c>
      <c r="R6133">
        <v>1</v>
      </c>
      <c r="S6133">
        <v>0</v>
      </c>
      <c r="T6133">
        <v>0</v>
      </c>
      <c r="U6133">
        <v>0</v>
      </c>
      <c r="V6133">
        <v>0</v>
      </c>
      <c r="W6133">
        <v>1</v>
      </c>
      <c r="X6133" s="21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f t="shared" si="98"/>
        <v>96</v>
      </c>
      <c r="AP6133" t="s">
        <v>1915</v>
      </c>
    </row>
    <row r="6134" spans="1:42">
      <c r="A6134" s="1">
        <v>43798</v>
      </c>
      <c r="B6134">
        <v>5</v>
      </c>
      <c r="C6134">
        <v>978</v>
      </c>
      <c r="D6134">
        <v>14390</v>
      </c>
      <c r="E6134" t="s">
        <v>112</v>
      </c>
      <c r="F6134" t="s">
        <v>520</v>
      </c>
      <c r="G6134">
        <v>2</v>
      </c>
      <c r="H6134">
        <v>23</v>
      </c>
      <c r="I6134" s="25">
        <v>1400</v>
      </c>
      <c r="K6134" t="s">
        <v>119</v>
      </c>
      <c r="L6134" t="s">
        <v>114</v>
      </c>
      <c r="M6134" t="s">
        <v>52</v>
      </c>
      <c r="N6134" t="s">
        <v>44</v>
      </c>
      <c r="O6134">
        <f>60+60+56</f>
        <v>176</v>
      </c>
      <c r="Q6134">
        <f t="shared" si="97"/>
        <v>2</v>
      </c>
      <c r="R6134">
        <v>1</v>
      </c>
      <c r="S6134">
        <v>0</v>
      </c>
      <c r="T6134">
        <v>0</v>
      </c>
      <c r="U6134">
        <v>0</v>
      </c>
      <c r="V6134">
        <v>0</v>
      </c>
      <c r="W6134">
        <v>2</v>
      </c>
      <c r="X6134" s="21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f t="shared" si="98"/>
        <v>192</v>
      </c>
      <c r="AP6134" t="s">
        <v>1915</v>
      </c>
    </row>
    <row r="6135" spans="1:42">
      <c r="A6135" s="1">
        <v>43798</v>
      </c>
      <c r="B6135">
        <v>5</v>
      </c>
      <c r="C6135">
        <v>978</v>
      </c>
      <c r="D6135">
        <v>14390</v>
      </c>
      <c r="E6135" t="s">
        <v>112</v>
      </c>
      <c r="F6135" t="s">
        <v>520</v>
      </c>
      <c r="G6135">
        <v>2</v>
      </c>
      <c r="H6135">
        <v>24</v>
      </c>
      <c r="I6135" s="25">
        <v>1450</v>
      </c>
      <c r="K6135" t="s">
        <v>119</v>
      </c>
      <c r="L6135" t="s">
        <v>114</v>
      </c>
      <c r="M6135" t="s">
        <v>52</v>
      </c>
      <c r="N6135" t="s">
        <v>44</v>
      </c>
      <c r="O6135">
        <f>60+23</f>
        <v>83</v>
      </c>
      <c r="Q6135">
        <f t="shared" si="97"/>
        <v>1</v>
      </c>
      <c r="R6135">
        <v>1</v>
      </c>
      <c r="S6135">
        <v>0</v>
      </c>
      <c r="T6135">
        <v>0</v>
      </c>
      <c r="U6135">
        <v>0</v>
      </c>
      <c r="V6135">
        <v>0</v>
      </c>
      <c r="W6135">
        <v>1</v>
      </c>
      <c r="X6135" s="21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f t="shared" si="98"/>
        <v>96</v>
      </c>
      <c r="AP6135" t="s">
        <v>1915</v>
      </c>
    </row>
    <row r="6136" spans="1:42">
      <c r="A6136" s="1">
        <v>43798</v>
      </c>
      <c r="B6136">
        <v>5</v>
      </c>
      <c r="C6136">
        <v>978</v>
      </c>
      <c r="D6136">
        <v>14390</v>
      </c>
      <c r="E6136" t="s">
        <v>112</v>
      </c>
      <c r="F6136" t="s">
        <v>520</v>
      </c>
      <c r="G6136">
        <v>2</v>
      </c>
      <c r="H6136">
        <v>25</v>
      </c>
      <c r="I6136" s="25">
        <v>1400</v>
      </c>
      <c r="K6136" t="s">
        <v>119</v>
      </c>
      <c r="M6136" t="s">
        <v>52</v>
      </c>
      <c r="N6136" t="s">
        <v>44</v>
      </c>
      <c r="O6136">
        <f>60+60+60+24</f>
        <v>204</v>
      </c>
      <c r="Q6136">
        <f t="shared" si="97"/>
        <v>2</v>
      </c>
      <c r="R6136">
        <v>1</v>
      </c>
      <c r="S6136">
        <v>0</v>
      </c>
      <c r="T6136">
        <v>0</v>
      </c>
      <c r="U6136">
        <v>0</v>
      </c>
      <c r="V6136">
        <v>0</v>
      </c>
      <c r="W6136">
        <v>2</v>
      </c>
      <c r="X6136" s="21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f t="shared" si="98"/>
        <v>192</v>
      </c>
      <c r="AL6136" t="s">
        <v>1947</v>
      </c>
      <c r="AP6136" t="s">
        <v>1915</v>
      </c>
    </row>
    <row r="6137" spans="1:42">
      <c r="A6137" s="1">
        <v>43798</v>
      </c>
      <c r="B6137">
        <v>5</v>
      </c>
      <c r="C6137">
        <v>978</v>
      </c>
      <c r="D6137">
        <v>14390</v>
      </c>
      <c r="E6137" t="s">
        <v>112</v>
      </c>
      <c r="F6137" t="s">
        <v>520</v>
      </c>
      <c r="G6137">
        <v>2</v>
      </c>
      <c r="H6137">
        <v>26</v>
      </c>
      <c r="I6137" s="25">
        <v>2400</v>
      </c>
      <c r="K6137" t="s">
        <v>415</v>
      </c>
      <c r="M6137" t="s">
        <v>52</v>
      </c>
      <c r="N6137" t="s">
        <v>40</v>
      </c>
      <c r="O6137">
        <v>62</v>
      </c>
      <c r="Q6137">
        <f t="shared" si="97"/>
        <v>1</v>
      </c>
      <c r="R6137">
        <v>1</v>
      </c>
      <c r="S6137">
        <v>0</v>
      </c>
      <c r="T6137">
        <v>0</v>
      </c>
      <c r="U6137">
        <v>0</v>
      </c>
      <c r="V6137">
        <v>1</v>
      </c>
      <c r="W6137">
        <v>0</v>
      </c>
      <c r="X6137" s="21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f t="shared" si="98"/>
        <v>64</v>
      </c>
      <c r="AP6137" t="s">
        <v>1915</v>
      </c>
    </row>
    <row r="6138" spans="1:42">
      <c r="A6138" s="1">
        <v>43798</v>
      </c>
      <c r="B6138">
        <v>5</v>
      </c>
      <c r="C6138">
        <v>978</v>
      </c>
      <c r="D6138">
        <v>14390</v>
      </c>
      <c r="E6138" t="s">
        <v>112</v>
      </c>
      <c r="F6138" t="s">
        <v>520</v>
      </c>
      <c r="G6138">
        <v>2</v>
      </c>
      <c r="H6138">
        <v>27</v>
      </c>
      <c r="I6138" s="25">
        <v>2420</v>
      </c>
      <c r="K6138" t="s">
        <v>415</v>
      </c>
      <c r="L6138" t="s">
        <v>114</v>
      </c>
      <c r="M6138" t="s">
        <v>52</v>
      </c>
      <c r="N6138" t="s">
        <v>44</v>
      </c>
      <c r="O6138">
        <v>62</v>
      </c>
      <c r="Q6138">
        <f t="shared" si="97"/>
        <v>1</v>
      </c>
      <c r="R6138">
        <v>1</v>
      </c>
      <c r="S6138">
        <v>0</v>
      </c>
      <c r="T6138">
        <v>0</v>
      </c>
      <c r="U6138">
        <v>0</v>
      </c>
      <c r="V6138">
        <v>1</v>
      </c>
      <c r="W6138">
        <v>0</v>
      </c>
      <c r="X6138" s="21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f t="shared" si="98"/>
        <v>64</v>
      </c>
      <c r="AP6138" t="s">
        <v>1915</v>
      </c>
    </row>
    <row r="6139" spans="1:42">
      <c r="A6139" s="1">
        <v>43798</v>
      </c>
      <c r="B6139">
        <v>5</v>
      </c>
      <c r="C6139">
        <v>978</v>
      </c>
      <c r="D6139">
        <v>14390</v>
      </c>
      <c r="E6139" t="s">
        <v>112</v>
      </c>
      <c r="F6139" t="s">
        <v>520</v>
      </c>
      <c r="G6139">
        <v>2</v>
      </c>
      <c r="H6139">
        <v>28</v>
      </c>
      <c r="I6139" s="25">
        <v>2452</v>
      </c>
      <c r="K6139" t="s">
        <v>415</v>
      </c>
      <c r="M6139" t="s">
        <v>52</v>
      </c>
      <c r="N6139" t="s">
        <v>44</v>
      </c>
      <c r="O6139">
        <v>99</v>
      </c>
      <c r="Q6139">
        <f t="shared" si="97"/>
        <v>1</v>
      </c>
      <c r="R6139">
        <v>1</v>
      </c>
      <c r="S6139">
        <v>0</v>
      </c>
      <c r="T6139">
        <v>0</v>
      </c>
      <c r="U6139">
        <v>0</v>
      </c>
      <c r="V6139">
        <v>0</v>
      </c>
      <c r="W6139">
        <v>1</v>
      </c>
      <c r="X6139" s="21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f t="shared" si="98"/>
        <v>96</v>
      </c>
      <c r="AP6139" t="s">
        <v>1915</v>
      </c>
    </row>
    <row r="6140" spans="1:42">
      <c r="A6140" s="1">
        <v>43798</v>
      </c>
      <c r="B6140">
        <v>5</v>
      </c>
      <c r="C6140">
        <v>978</v>
      </c>
      <c r="D6140">
        <v>14390</v>
      </c>
      <c r="E6140" t="s">
        <v>112</v>
      </c>
      <c r="F6140" t="s">
        <v>520</v>
      </c>
      <c r="G6140">
        <v>2</v>
      </c>
      <c r="H6140">
        <v>29</v>
      </c>
      <c r="I6140" s="25">
        <v>2440</v>
      </c>
      <c r="K6140" t="s">
        <v>415</v>
      </c>
      <c r="M6140" t="s">
        <v>52</v>
      </c>
      <c r="N6140" t="s">
        <v>44</v>
      </c>
      <c r="O6140">
        <v>99</v>
      </c>
      <c r="Q6140">
        <f t="shared" si="97"/>
        <v>0</v>
      </c>
      <c r="R6140">
        <v>1</v>
      </c>
      <c r="S6140">
        <v>0</v>
      </c>
      <c r="T6140">
        <v>0</v>
      </c>
      <c r="U6140">
        <v>0</v>
      </c>
      <c r="V6140">
        <v>0</v>
      </c>
      <c r="W6140">
        <v>0</v>
      </c>
      <c r="X6140" s="21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f t="shared" si="98"/>
        <v>0</v>
      </c>
      <c r="AP6140" t="s">
        <v>1915</v>
      </c>
    </row>
    <row r="6141" spans="1:42">
      <c r="A6141" s="1">
        <v>43798</v>
      </c>
      <c r="B6141">
        <v>5</v>
      </c>
      <c r="C6141">
        <v>978</v>
      </c>
      <c r="D6141">
        <v>14390</v>
      </c>
      <c r="E6141" t="s">
        <v>112</v>
      </c>
      <c r="F6141" t="s">
        <v>520</v>
      </c>
      <c r="G6141">
        <v>2</v>
      </c>
      <c r="H6141">
        <v>30</v>
      </c>
      <c r="I6141" s="25">
        <v>1455</v>
      </c>
      <c r="K6141" t="s">
        <v>156</v>
      </c>
      <c r="L6141" t="s">
        <v>141</v>
      </c>
      <c r="M6141" t="s">
        <v>52</v>
      </c>
      <c r="N6141" t="s">
        <v>44</v>
      </c>
      <c r="O6141">
        <f>60+60+14</f>
        <v>134</v>
      </c>
      <c r="Q6141">
        <f t="shared" si="97"/>
        <v>2</v>
      </c>
      <c r="R6141">
        <v>1</v>
      </c>
      <c r="S6141">
        <v>0</v>
      </c>
      <c r="T6141">
        <v>0</v>
      </c>
      <c r="U6141">
        <v>0</v>
      </c>
      <c r="V6141">
        <v>0</v>
      </c>
      <c r="W6141">
        <v>2</v>
      </c>
      <c r="X6141" s="2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f t="shared" si="98"/>
        <v>192</v>
      </c>
      <c r="AP6141" t="s">
        <v>1915</v>
      </c>
    </row>
    <row r="6142" spans="1:42">
      <c r="A6142" s="1">
        <v>43798</v>
      </c>
      <c r="B6142">
        <v>5</v>
      </c>
      <c r="C6142">
        <v>978</v>
      </c>
      <c r="D6142">
        <v>14390</v>
      </c>
      <c r="E6142" t="s">
        <v>112</v>
      </c>
      <c r="F6142" t="s">
        <v>520</v>
      </c>
      <c r="G6142">
        <v>2</v>
      </c>
      <c r="H6142">
        <v>31</v>
      </c>
      <c r="I6142" s="25">
        <v>1400</v>
      </c>
      <c r="K6142" t="s">
        <v>156</v>
      </c>
      <c r="M6142" t="s">
        <v>52</v>
      </c>
      <c r="N6142" t="s">
        <v>44</v>
      </c>
      <c r="O6142">
        <v>36</v>
      </c>
      <c r="Q6142">
        <f t="shared" si="97"/>
        <v>1</v>
      </c>
      <c r="R6142">
        <v>1</v>
      </c>
      <c r="S6142">
        <v>0</v>
      </c>
      <c r="T6142">
        <v>0</v>
      </c>
      <c r="U6142">
        <v>0</v>
      </c>
      <c r="V6142">
        <v>0</v>
      </c>
      <c r="W6142">
        <v>1</v>
      </c>
      <c r="X6142" s="21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f t="shared" si="98"/>
        <v>96</v>
      </c>
      <c r="AP6142" t="s">
        <v>1915</v>
      </c>
    </row>
    <row r="6143" spans="1:42">
      <c r="A6143" s="1">
        <v>43798</v>
      </c>
      <c r="B6143">
        <v>5</v>
      </c>
      <c r="C6143">
        <v>978</v>
      </c>
      <c r="D6143">
        <v>14390</v>
      </c>
      <c r="E6143" t="s">
        <v>112</v>
      </c>
      <c r="F6143" t="s">
        <v>520</v>
      </c>
      <c r="G6143">
        <v>2</v>
      </c>
      <c r="H6143">
        <v>32</v>
      </c>
      <c r="I6143" s="25">
        <v>1400</v>
      </c>
      <c r="K6143" t="s">
        <v>148</v>
      </c>
      <c r="M6143" t="s">
        <v>52</v>
      </c>
      <c r="N6143" t="s">
        <v>44</v>
      </c>
      <c r="O6143">
        <f>60+21</f>
        <v>81</v>
      </c>
      <c r="Q6143">
        <f t="shared" si="97"/>
        <v>1</v>
      </c>
      <c r="R6143">
        <v>1</v>
      </c>
      <c r="S6143">
        <v>0</v>
      </c>
      <c r="T6143">
        <v>0</v>
      </c>
      <c r="U6143">
        <v>1</v>
      </c>
      <c r="V6143">
        <v>0</v>
      </c>
      <c r="W6143">
        <v>0</v>
      </c>
      <c r="X6143" s="21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f t="shared" si="98"/>
        <v>32</v>
      </c>
      <c r="AP6143" t="s">
        <v>1915</v>
      </c>
    </row>
    <row r="6144" spans="1:42">
      <c r="A6144" s="1">
        <v>43798</v>
      </c>
      <c r="B6144">
        <v>5</v>
      </c>
      <c r="C6144">
        <v>978</v>
      </c>
      <c r="D6144">
        <v>14390</v>
      </c>
      <c r="E6144" t="s">
        <v>112</v>
      </c>
      <c r="F6144" t="s">
        <v>520</v>
      </c>
      <c r="G6144">
        <v>2</v>
      </c>
      <c r="H6144">
        <v>33</v>
      </c>
      <c r="I6144" s="25">
        <v>1400</v>
      </c>
      <c r="K6144" t="s">
        <v>148</v>
      </c>
      <c r="M6144" t="s">
        <v>52</v>
      </c>
      <c r="N6144" t="s">
        <v>44</v>
      </c>
      <c r="O6144">
        <f>60+24</f>
        <v>84</v>
      </c>
      <c r="Q6144">
        <f t="shared" ref="Q6144:Q6207" si="99">SUM(S6144:AE6144)</f>
        <v>2</v>
      </c>
      <c r="R6144">
        <v>1</v>
      </c>
      <c r="S6144">
        <v>0</v>
      </c>
      <c r="T6144">
        <v>0</v>
      </c>
      <c r="U6144">
        <v>0</v>
      </c>
      <c r="V6144">
        <v>0</v>
      </c>
      <c r="W6144">
        <v>2</v>
      </c>
      <c r="X6144" s="21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f t="shared" ref="AH6144:AH6207" si="100">(16*S6144)+(20*T6144)+(32*U6144)+(64*V6144)+(96*W6144)</f>
        <v>192</v>
      </c>
      <c r="AP6144" t="s">
        <v>1915</v>
      </c>
    </row>
    <row r="6145" spans="1:42">
      <c r="A6145" s="1">
        <v>43798</v>
      </c>
      <c r="B6145">
        <v>5</v>
      </c>
      <c r="C6145">
        <v>978</v>
      </c>
      <c r="D6145">
        <v>14390</v>
      </c>
      <c r="E6145" t="s">
        <v>112</v>
      </c>
      <c r="F6145" t="s">
        <v>520</v>
      </c>
      <c r="G6145">
        <v>2</v>
      </c>
      <c r="H6145">
        <v>34</v>
      </c>
      <c r="I6145" s="25">
        <v>1400</v>
      </c>
      <c r="K6145" t="s">
        <v>148</v>
      </c>
      <c r="M6145" t="s">
        <v>52</v>
      </c>
      <c r="N6145" t="s">
        <v>44</v>
      </c>
      <c r="O6145">
        <f>60+6</f>
        <v>66</v>
      </c>
      <c r="Q6145">
        <f t="shared" si="99"/>
        <v>2</v>
      </c>
      <c r="R6145">
        <v>1</v>
      </c>
      <c r="S6145">
        <v>0</v>
      </c>
      <c r="T6145">
        <v>0</v>
      </c>
      <c r="U6145">
        <v>0</v>
      </c>
      <c r="V6145">
        <v>1</v>
      </c>
      <c r="W6145">
        <v>1</v>
      </c>
      <c r="X6145" s="21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f t="shared" si="100"/>
        <v>160</v>
      </c>
      <c r="AP6145" t="s">
        <v>1915</v>
      </c>
    </row>
    <row r="6146" spans="1:42">
      <c r="A6146" s="1">
        <v>43798</v>
      </c>
      <c r="B6146">
        <v>5</v>
      </c>
      <c r="C6146">
        <v>978</v>
      </c>
      <c r="D6146">
        <v>14390</v>
      </c>
      <c r="E6146" t="s">
        <v>112</v>
      </c>
      <c r="F6146" t="s">
        <v>520</v>
      </c>
      <c r="G6146">
        <v>2</v>
      </c>
      <c r="H6146">
        <v>35</v>
      </c>
      <c r="I6146" s="25">
        <v>1207</v>
      </c>
      <c r="K6146" t="s">
        <v>148</v>
      </c>
      <c r="L6146" t="s">
        <v>141</v>
      </c>
      <c r="M6146" t="s">
        <v>52</v>
      </c>
      <c r="N6146" t="s">
        <v>44</v>
      </c>
      <c r="O6146">
        <f>60+49</f>
        <v>109</v>
      </c>
      <c r="Q6146">
        <f t="shared" si="99"/>
        <v>1</v>
      </c>
      <c r="R6146">
        <v>1</v>
      </c>
      <c r="S6146">
        <v>0</v>
      </c>
      <c r="T6146">
        <v>0</v>
      </c>
      <c r="U6146">
        <v>0</v>
      </c>
      <c r="V6146">
        <v>1</v>
      </c>
      <c r="W6146">
        <v>0</v>
      </c>
      <c r="X6146" s="21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f t="shared" si="100"/>
        <v>64</v>
      </c>
      <c r="AP6146" t="s">
        <v>1915</v>
      </c>
    </row>
    <row r="6147" spans="1:42">
      <c r="A6147" s="1">
        <v>43798</v>
      </c>
      <c r="B6147">
        <v>5</v>
      </c>
      <c r="C6147">
        <v>978</v>
      </c>
      <c r="D6147">
        <v>14390</v>
      </c>
      <c r="E6147" t="s">
        <v>112</v>
      </c>
      <c r="F6147" t="s">
        <v>520</v>
      </c>
      <c r="G6147">
        <v>2</v>
      </c>
      <c r="H6147">
        <v>36</v>
      </c>
      <c r="I6147" s="25">
        <v>1180</v>
      </c>
      <c r="K6147" t="s">
        <v>148</v>
      </c>
      <c r="L6147" t="s">
        <v>114</v>
      </c>
      <c r="M6147" t="s">
        <v>52</v>
      </c>
      <c r="N6147" t="s">
        <v>44</v>
      </c>
      <c r="O6147">
        <f>60+60+24</f>
        <v>144</v>
      </c>
      <c r="Q6147">
        <f t="shared" si="99"/>
        <v>1</v>
      </c>
      <c r="R6147">
        <v>1</v>
      </c>
      <c r="S6147">
        <v>0</v>
      </c>
      <c r="T6147">
        <v>0</v>
      </c>
      <c r="U6147">
        <v>0</v>
      </c>
      <c r="V6147">
        <v>0</v>
      </c>
      <c r="W6147">
        <v>1</v>
      </c>
      <c r="X6147" s="21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f t="shared" si="100"/>
        <v>96</v>
      </c>
      <c r="AP6147" t="s">
        <v>1915</v>
      </c>
    </row>
    <row r="6148" spans="1:42">
      <c r="A6148" s="1">
        <v>43798</v>
      </c>
      <c r="B6148">
        <v>5</v>
      </c>
      <c r="C6148">
        <v>978</v>
      </c>
      <c r="D6148">
        <v>14390</v>
      </c>
      <c r="E6148" t="s">
        <v>112</v>
      </c>
      <c r="F6148" t="s">
        <v>520</v>
      </c>
      <c r="G6148">
        <v>2</v>
      </c>
      <c r="H6148">
        <v>37</v>
      </c>
      <c r="I6148" s="25">
        <v>1200</v>
      </c>
      <c r="K6148" t="s">
        <v>148</v>
      </c>
      <c r="M6148" t="s">
        <v>52</v>
      </c>
      <c r="N6148" t="s">
        <v>44</v>
      </c>
      <c r="O6148">
        <f>60+60+49</f>
        <v>169</v>
      </c>
      <c r="Q6148">
        <f t="shared" si="99"/>
        <v>1</v>
      </c>
      <c r="R6148">
        <v>1</v>
      </c>
      <c r="S6148">
        <v>0</v>
      </c>
      <c r="T6148">
        <v>0</v>
      </c>
      <c r="U6148">
        <v>0</v>
      </c>
      <c r="V6148">
        <v>0</v>
      </c>
      <c r="W6148">
        <v>1</v>
      </c>
      <c r="X6148" s="21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f t="shared" si="100"/>
        <v>96</v>
      </c>
      <c r="AP6148" t="s">
        <v>1915</v>
      </c>
    </row>
    <row r="6149" spans="1:42">
      <c r="A6149" s="1">
        <v>43798</v>
      </c>
      <c r="B6149">
        <v>5</v>
      </c>
      <c r="C6149">
        <v>978</v>
      </c>
      <c r="D6149">
        <v>14390</v>
      </c>
      <c r="E6149" t="s">
        <v>112</v>
      </c>
      <c r="F6149" t="s">
        <v>520</v>
      </c>
      <c r="G6149">
        <v>2</v>
      </c>
      <c r="H6149">
        <v>38</v>
      </c>
      <c r="I6149" s="25">
        <v>2100</v>
      </c>
      <c r="K6149" t="s">
        <v>420</v>
      </c>
      <c r="M6149" t="s">
        <v>52</v>
      </c>
      <c r="N6149" t="s">
        <v>44</v>
      </c>
      <c r="O6149">
        <f>60+37</f>
        <v>97</v>
      </c>
      <c r="Q6149">
        <f t="shared" si="99"/>
        <v>3</v>
      </c>
      <c r="R6149">
        <v>1</v>
      </c>
      <c r="S6149">
        <v>0</v>
      </c>
      <c r="T6149">
        <v>0</v>
      </c>
      <c r="U6149">
        <v>0</v>
      </c>
      <c r="V6149">
        <v>0</v>
      </c>
      <c r="W6149">
        <v>3</v>
      </c>
      <c r="X6149" s="21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f t="shared" si="100"/>
        <v>288</v>
      </c>
      <c r="AP6149" t="s">
        <v>1915</v>
      </c>
    </row>
    <row r="6150" spans="1:42">
      <c r="A6150" s="1">
        <v>43798</v>
      </c>
      <c r="B6150">
        <v>5</v>
      </c>
      <c r="C6150">
        <v>978</v>
      </c>
      <c r="D6150">
        <v>14390</v>
      </c>
      <c r="E6150" t="s">
        <v>112</v>
      </c>
      <c r="F6150" t="s">
        <v>520</v>
      </c>
      <c r="G6150">
        <v>2</v>
      </c>
      <c r="H6150">
        <v>39</v>
      </c>
      <c r="I6150" s="25">
        <v>2200</v>
      </c>
      <c r="K6150" t="s">
        <v>420</v>
      </c>
      <c r="M6150" t="s">
        <v>52</v>
      </c>
      <c r="N6150" t="s">
        <v>44</v>
      </c>
      <c r="O6150">
        <f>60+60+27</f>
        <v>147</v>
      </c>
      <c r="Q6150">
        <f t="shared" si="99"/>
        <v>2</v>
      </c>
      <c r="R6150">
        <v>1</v>
      </c>
      <c r="S6150">
        <v>0</v>
      </c>
      <c r="T6150">
        <v>0</v>
      </c>
      <c r="U6150">
        <v>0</v>
      </c>
      <c r="V6150">
        <v>0</v>
      </c>
      <c r="W6150">
        <v>2</v>
      </c>
      <c r="X6150" s="21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f t="shared" si="100"/>
        <v>192</v>
      </c>
      <c r="AP6150" t="s">
        <v>1915</v>
      </c>
    </row>
    <row r="6151" spans="1:42">
      <c r="A6151" s="1">
        <v>43798</v>
      </c>
      <c r="B6151">
        <v>5</v>
      </c>
      <c r="C6151">
        <v>978</v>
      </c>
      <c r="D6151">
        <v>14390</v>
      </c>
      <c r="E6151" t="s">
        <v>112</v>
      </c>
      <c r="F6151" t="s">
        <v>520</v>
      </c>
      <c r="G6151">
        <v>2</v>
      </c>
      <c r="H6151">
        <v>40</v>
      </c>
      <c r="I6151" s="25">
        <v>2200</v>
      </c>
      <c r="K6151" t="s">
        <v>420</v>
      </c>
      <c r="M6151" t="s">
        <v>52</v>
      </c>
      <c r="N6151" t="s">
        <v>44</v>
      </c>
      <c r="O6151">
        <f>60+60+60+54</f>
        <v>234</v>
      </c>
      <c r="Q6151">
        <f t="shared" si="99"/>
        <v>3</v>
      </c>
      <c r="R6151">
        <v>1</v>
      </c>
      <c r="S6151">
        <v>0</v>
      </c>
      <c r="T6151">
        <v>0</v>
      </c>
      <c r="U6151">
        <v>0</v>
      </c>
      <c r="V6151">
        <v>0</v>
      </c>
      <c r="W6151">
        <v>3</v>
      </c>
      <c r="X6151" s="2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f t="shared" si="100"/>
        <v>288</v>
      </c>
      <c r="AP6151" t="s">
        <v>1915</v>
      </c>
    </row>
    <row r="6152" spans="1:42">
      <c r="A6152" s="1">
        <v>43798</v>
      </c>
      <c r="B6152">
        <v>5</v>
      </c>
      <c r="C6152">
        <v>978</v>
      </c>
      <c r="D6152">
        <v>14390</v>
      </c>
      <c r="E6152" t="s">
        <v>112</v>
      </c>
      <c r="F6152" t="s">
        <v>520</v>
      </c>
      <c r="G6152">
        <v>2</v>
      </c>
      <c r="H6152">
        <v>41</v>
      </c>
      <c r="I6152" s="25">
        <v>1200</v>
      </c>
      <c r="K6152" t="s">
        <v>119</v>
      </c>
      <c r="M6152" t="s">
        <v>52</v>
      </c>
      <c r="N6152" t="s">
        <v>40</v>
      </c>
      <c r="O6152">
        <f>194/2</f>
        <v>97</v>
      </c>
      <c r="Q6152">
        <f t="shared" si="99"/>
        <v>1</v>
      </c>
      <c r="R6152">
        <v>1</v>
      </c>
      <c r="S6152">
        <v>0</v>
      </c>
      <c r="T6152">
        <v>0</v>
      </c>
      <c r="U6152">
        <v>0</v>
      </c>
      <c r="V6152">
        <v>0</v>
      </c>
      <c r="W6152">
        <v>1</v>
      </c>
      <c r="X6152" s="21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f t="shared" si="100"/>
        <v>96</v>
      </c>
      <c r="AP6152" t="s">
        <v>1915</v>
      </c>
    </row>
    <row r="6153" spans="1:42">
      <c r="A6153" s="1">
        <v>43798</v>
      </c>
      <c r="B6153">
        <v>5</v>
      </c>
      <c r="C6153">
        <v>978</v>
      </c>
      <c r="D6153">
        <v>14390</v>
      </c>
      <c r="E6153" t="s">
        <v>112</v>
      </c>
      <c r="F6153" t="s">
        <v>520</v>
      </c>
      <c r="G6153">
        <v>2</v>
      </c>
      <c r="H6153">
        <v>42</v>
      </c>
      <c r="I6153" s="25">
        <v>1200</v>
      </c>
      <c r="K6153" t="s">
        <v>119</v>
      </c>
      <c r="M6153" t="s">
        <v>52</v>
      </c>
      <c r="N6153" t="s">
        <v>44</v>
      </c>
      <c r="O6153">
        <v>97</v>
      </c>
      <c r="Q6153">
        <f t="shared" si="99"/>
        <v>1</v>
      </c>
      <c r="R6153">
        <v>1</v>
      </c>
      <c r="S6153">
        <v>0</v>
      </c>
      <c r="T6153">
        <v>0</v>
      </c>
      <c r="U6153">
        <v>0</v>
      </c>
      <c r="V6153">
        <v>0</v>
      </c>
      <c r="W6153">
        <v>1</v>
      </c>
      <c r="X6153" s="21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f t="shared" si="100"/>
        <v>96</v>
      </c>
      <c r="AP6153" t="s">
        <v>1915</v>
      </c>
    </row>
    <row r="6154" spans="1:42">
      <c r="A6154" s="1">
        <v>43798</v>
      </c>
      <c r="B6154">
        <v>5</v>
      </c>
      <c r="C6154">
        <v>978</v>
      </c>
      <c r="D6154">
        <v>14390</v>
      </c>
      <c r="E6154" t="s">
        <v>112</v>
      </c>
      <c r="F6154" t="s">
        <v>520</v>
      </c>
      <c r="G6154">
        <v>2</v>
      </c>
      <c r="H6154">
        <v>43</v>
      </c>
      <c r="I6154" s="25">
        <v>1300</v>
      </c>
      <c r="K6154" t="s">
        <v>156</v>
      </c>
      <c r="M6154" t="s">
        <v>52</v>
      </c>
      <c r="N6154" t="s">
        <v>40</v>
      </c>
      <c r="O6154">
        <v>35</v>
      </c>
      <c r="Q6154">
        <f t="shared" si="99"/>
        <v>1</v>
      </c>
      <c r="R6154">
        <v>1</v>
      </c>
      <c r="S6154">
        <v>0</v>
      </c>
      <c r="T6154">
        <v>0</v>
      </c>
      <c r="U6154">
        <v>0</v>
      </c>
      <c r="V6154">
        <v>1</v>
      </c>
      <c r="W6154">
        <v>0</v>
      </c>
      <c r="X6154" s="21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f t="shared" si="100"/>
        <v>64</v>
      </c>
      <c r="AP6154" t="s">
        <v>1915</v>
      </c>
    </row>
    <row r="6155" spans="1:42">
      <c r="A6155" s="1">
        <v>43798</v>
      </c>
      <c r="B6155">
        <v>5</v>
      </c>
      <c r="C6155">
        <v>978</v>
      </c>
      <c r="D6155">
        <v>14390</v>
      </c>
      <c r="E6155" t="s">
        <v>112</v>
      </c>
      <c r="F6155" t="s">
        <v>520</v>
      </c>
      <c r="G6155">
        <v>2</v>
      </c>
      <c r="H6155">
        <v>44</v>
      </c>
      <c r="I6155" s="25">
        <v>1300</v>
      </c>
      <c r="K6155" t="s">
        <v>156</v>
      </c>
      <c r="M6155" t="s">
        <v>52</v>
      </c>
      <c r="N6155" t="s">
        <v>40</v>
      </c>
      <c r="O6155">
        <v>26</v>
      </c>
      <c r="Q6155">
        <f t="shared" si="99"/>
        <v>1</v>
      </c>
      <c r="R6155">
        <v>1</v>
      </c>
      <c r="S6155">
        <v>0</v>
      </c>
      <c r="T6155">
        <v>0</v>
      </c>
      <c r="U6155">
        <v>0</v>
      </c>
      <c r="V6155">
        <v>1</v>
      </c>
      <c r="W6155">
        <v>0</v>
      </c>
      <c r="X6155" s="21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f t="shared" si="100"/>
        <v>64</v>
      </c>
      <c r="AP6155" t="s">
        <v>1915</v>
      </c>
    </row>
    <row r="6156" spans="1:42">
      <c r="A6156" s="1">
        <v>43798</v>
      </c>
      <c r="B6156">
        <v>5</v>
      </c>
      <c r="C6156">
        <v>978</v>
      </c>
      <c r="D6156">
        <v>14390</v>
      </c>
      <c r="E6156" t="s">
        <v>112</v>
      </c>
      <c r="F6156" t="s">
        <v>520</v>
      </c>
      <c r="G6156">
        <v>2</v>
      </c>
      <c r="H6156">
        <v>45</v>
      </c>
      <c r="I6156" s="25">
        <v>1100</v>
      </c>
      <c r="K6156" t="s">
        <v>156</v>
      </c>
      <c r="M6156" t="s">
        <v>52</v>
      </c>
      <c r="N6156" t="s">
        <v>44</v>
      </c>
      <c r="O6156">
        <f>60+31</f>
        <v>91</v>
      </c>
      <c r="Q6156">
        <f t="shared" si="99"/>
        <v>1</v>
      </c>
      <c r="R6156">
        <v>1</v>
      </c>
      <c r="S6156">
        <v>0</v>
      </c>
      <c r="T6156">
        <v>0</v>
      </c>
      <c r="U6156">
        <v>0</v>
      </c>
      <c r="V6156">
        <v>0</v>
      </c>
      <c r="W6156">
        <v>1</v>
      </c>
      <c r="X6156" s="21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f t="shared" si="100"/>
        <v>96</v>
      </c>
      <c r="AP6156" t="s">
        <v>1915</v>
      </c>
    </row>
    <row r="6157" spans="1:42">
      <c r="A6157" s="1">
        <v>43798</v>
      </c>
      <c r="B6157">
        <v>5</v>
      </c>
      <c r="C6157">
        <v>978</v>
      </c>
      <c r="D6157">
        <v>14390</v>
      </c>
      <c r="E6157" t="s">
        <v>112</v>
      </c>
      <c r="F6157" t="s">
        <v>520</v>
      </c>
      <c r="G6157">
        <v>2</v>
      </c>
      <c r="H6157">
        <v>46</v>
      </c>
      <c r="I6157" s="25">
        <v>1100</v>
      </c>
      <c r="K6157" t="s">
        <v>156</v>
      </c>
      <c r="M6157" t="s">
        <v>52</v>
      </c>
      <c r="N6157" t="s">
        <v>44</v>
      </c>
      <c r="O6157">
        <f>60+60+60+60+43</f>
        <v>283</v>
      </c>
      <c r="Q6157">
        <f t="shared" si="99"/>
        <v>4</v>
      </c>
      <c r="R6157">
        <v>1</v>
      </c>
      <c r="S6157">
        <v>0</v>
      </c>
      <c r="T6157">
        <v>0</v>
      </c>
      <c r="U6157">
        <v>0</v>
      </c>
      <c r="V6157">
        <v>0</v>
      </c>
      <c r="W6157">
        <v>4</v>
      </c>
      <c r="X6157" s="21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f t="shared" si="100"/>
        <v>384</v>
      </c>
      <c r="AP6157" t="s">
        <v>1915</v>
      </c>
    </row>
    <row r="6158" spans="1:42">
      <c r="A6158" s="1">
        <v>43798</v>
      </c>
      <c r="B6158">
        <v>5</v>
      </c>
      <c r="C6158">
        <v>978</v>
      </c>
      <c r="D6158">
        <v>14390</v>
      </c>
      <c r="E6158" t="s">
        <v>112</v>
      </c>
      <c r="F6158" t="s">
        <v>520</v>
      </c>
      <c r="G6158">
        <v>2</v>
      </c>
      <c r="H6158">
        <v>47</v>
      </c>
      <c r="I6158" s="25">
        <v>1150</v>
      </c>
      <c r="K6158" t="s">
        <v>156</v>
      </c>
      <c r="L6158" t="s">
        <v>114</v>
      </c>
      <c r="M6158" t="s">
        <v>52</v>
      </c>
      <c r="N6158" t="s">
        <v>44</v>
      </c>
      <c r="O6158">
        <f>60+60+45</f>
        <v>165</v>
      </c>
      <c r="Q6158">
        <f t="shared" si="99"/>
        <v>1</v>
      </c>
      <c r="R6158">
        <v>1</v>
      </c>
      <c r="S6158">
        <v>0</v>
      </c>
      <c r="T6158">
        <v>0</v>
      </c>
      <c r="U6158">
        <v>0</v>
      </c>
      <c r="V6158">
        <v>0</v>
      </c>
      <c r="W6158">
        <v>1</v>
      </c>
      <c r="X6158" s="21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f t="shared" si="100"/>
        <v>96</v>
      </c>
      <c r="AP6158" t="s">
        <v>1915</v>
      </c>
    </row>
    <row r="6159" spans="1:42">
      <c r="A6159" s="1">
        <v>43798</v>
      </c>
      <c r="B6159">
        <v>5</v>
      </c>
      <c r="C6159">
        <v>978</v>
      </c>
      <c r="D6159">
        <v>14390</v>
      </c>
      <c r="E6159" t="s">
        <v>112</v>
      </c>
      <c r="F6159" t="s">
        <v>520</v>
      </c>
      <c r="G6159">
        <v>2</v>
      </c>
      <c r="H6159">
        <v>48</v>
      </c>
      <c r="I6159" s="25">
        <v>1100</v>
      </c>
      <c r="K6159" t="s">
        <v>156</v>
      </c>
      <c r="M6159" t="s">
        <v>52</v>
      </c>
      <c r="N6159" t="s">
        <v>40</v>
      </c>
      <c r="O6159">
        <f>60+17</f>
        <v>77</v>
      </c>
      <c r="Q6159">
        <f t="shared" si="99"/>
        <v>2</v>
      </c>
      <c r="R6159">
        <v>1</v>
      </c>
      <c r="S6159">
        <v>0</v>
      </c>
      <c r="T6159">
        <v>0</v>
      </c>
      <c r="U6159">
        <v>0</v>
      </c>
      <c r="V6159">
        <v>0</v>
      </c>
      <c r="W6159">
        <v>2</v>
      </c>
      <c r="X6159" s="21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2</v>
      </c>
      <c r="AG6159">
        <v>0</v>
      </c>
      <c r="AH6159">
        <f t="shared" si="100"/>
        <v>192</v>
      </c>
      <c r="AP6159" t="s">
        <v>1915</v>
      </c>
    </row>
    <row r="6160" spans="1:42">
      <c r="A6160" s="1">
        <v>43798</v>
      </c>
      <c r="B6160">
        <v>5</v>
      </c>
      <c r="C6160">
        <v>978</v>
      </c>
      <c r="D6160">
        <v>14390</v>
      </c>
      <c r="E6160" t="s">
        <v>112</v>
      </c>
      <c r="F6160" t="s">
        <v>520</v>
      </c>
      <c r="G6160">
        <v>2</v>
      </c>
      <c r="H6160">
        <v>49</v>
      </c>
      <c r="I6160" s="25">
        <v>1200</v>
      </c>
      <c r="K6160" t="s">
        <v>156</v>
      </c>
      <c r="M6160" t="s">
        <v>52</v>
      </c>
      <c r="N6160" t="s">
        <v>44</v>
      </c>
      <c r="O6160">
        <f>60+60+60+60+60+60+60+38</f>
        <v>458</v>
      </c>
      <c r="Q6160">
        <f t="shared" si="99"/>
        <v>4</v>
      </c>
      <c r="R6160">
        <v>1</v>
      </c>
      <c r="S6160">
        <v>0</v>
      </c>
      <c r="T6160">
        <v>0</v>
      </c>
      <c r="U6160">
        <v>0</v>
      </c>
      <c r="V6160">
        <v>0</v>
      </c>
      <c r="W6160">
        <v>4</v>
      </c>
      <c r="X6160" s="21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f t="shared" si="100"/>
        <v>384</v>
      </c>
      <c r="AP6160" t="s">
        <v>1915</v>
      </c>
    </row>
    <row r="6161" spans="1:42">
      <c r="A6161" s="1">
        <v>43798</v>
      </c>
      <c r="B6161">
        <v>5</v>
      </c>
      <c r="C6161">
        <v>978</v>
      </c>
      <c r="D6161">
        <v>14390</v>
      </c>
      <c r="E6161" t="s">
        <v>112</v>
      </c>
      <c r="F6161" t="s">
        <v>520</v>
      </c>
      <c r="G6161">
        <v>2</v>
      </c>
      <c r="H6161">
        <v>50</v>
      </c>
      <c r="I6161" s="25">
        <v>2632</v>
      </c>
      <c r="K6161" t="s">
        <v>420</v>
      </c>
      <c r="L6161" t="s">
        <v>114</v>
      </c>
      <c r="M6161" t="s">
        <v>52</v>
      </c>
      <c r="N6161" t="s">
        <v>44</v>
      </c>
      <c r="O6161">
        <f>60+60+60+51</f>
        <v>231</v>
      </c>
      <c r="Q6161">
        <f t="shared" si="99"/>
        <v>1</v>
      </c>
      <c r="R6161">
        <v>1</v>
      </c>
      <c r="S6161">
        <v>0</v>
      </c>
      <c r="T6161">
        <v>0</v>
      </c>
      <c r="U6161">
        <v>0</v>
      </c>
      <c r="V6161">
        <v>0</v>
      </c>
      <c r="W6161">
        <v>1</v>
      </c>
      <c r="X6161" s="2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f t="shared" si="100"/>
        <v>96</v>
      </c>
      <c r="AP6161" t="s">
        <v>1915</v>
      </c>
    </row>
    <row r="6162" spans="1:42">
      <c r="A6162" s="1">
        <v>43798</v>
      </c>
      <c r="B6162">
        <v>5</v>
      </c>
      <c r="C6162">
        <v>978</v>
      </c>
      <c r="D6162">
        <v>14390</v>
      </c>
      <c r="E6162" t="s">
        <v>112</v>
      </c>
      <c r="F6162" t="s">
        <v>520</v>
      </c>
      <c r="G6162">
        <v>2</v>
      </c>
      <c r="H6162">
        <v>51</v>
      </c>
      <c r="I6162" s="25">
        <v>1000</v>
      </c>
      <c r="K6162" t="s">
        <v>324</v>
      </c>
      <c r="M6162" t="s">
        <v>52</v>
      </c>
      <c r="N6162" t="s">
        <v>40</v>
      </c>
      <c r="O6162">
        <f>60+60+60+31</f>
        <v>211</v>
      </c>
      <c r="Q6162">
        <f t="shared" si="99"/>
        <v>7</v>
      </c>
      <c r="R6162">
        <v>1</v>
      </c>
      <c r="S6162">
        <v>0</v>
      </c>
      <c r="T6162">
        <v>0</v>
      </c>
      <c r="U6162">
        <v>0</v>
      </c>
      <c r="V6162">
        <v>0</v>
      </c>
      <c r="W6162">
        <v>7</v>
      </c>
      <c r="X6162" s="21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f t="shared" si="100"/>
        <v>672</v>
      </c>
      <c r="AP6162" t="s">
        <v>1915</v>
      </c>
    </row>
    <row r="6163" spans="1:42">
      <c r="A6163" s="1">
        <v>43798</v>
      </c>
      <c r="B6163">
        <v>5</v>
      </c>
      <c r="C6163">
        <v>978</v>
      </c>
      <c r="D6163">
        <v>14390</v>
      </c>
      <c r="E6163" t="s">
        <v>112</v>
      </c>
      <c r="F6163" t="s">
        <v>520</v>
      </c>
      <c r="G6163">
        <v>2</v>
      </c>
      <c r="H6163">
        <v>52</v>
      </c>
      <c r="I6163" s="25">
        <v>1100</v>
      </c>
      <c r="K6163" t="s">
        <v>324</v>
      </c>
      <c r="M6163" t="s">
        <v>52</v>
      </c>
      <c r="N6163" t="s">
        <v>44</v>
      </c>
      <c r="O6163">
        <f>60+60+60+60+60+60+3</f>
        <v>363</v>
      </c>
      <c r="Q6163">
        <f t="shared" si="99"/>
        <v>3</v>
      </c>
      <c r="R6163">
        <v>1</v>
      </c>
      <c r="S6163">
        <v>0</v>
      </c>
      <c r="T6163">
        <v>0</v>
      </c>
      <c r="U6163">
        <v>0</v>
      </c>
      <c r="V6163">
        <v>0</v>
      </c>
      <c r="W6163">
        <v>3</v>
      </c>
      <c r="X6163" s="21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f t="shared" si="100"/>
        <v>288</v>
      </c>
      <c r="AP6163" t="s">
        <v>1915</v>
      </c>
    </row>
    <row r="6164" spans="1:42">
      <c r="A6164" s="1">
        <v>43798</v>
      </c>
      <c r="B6164">
        <v>5</v>
      </c>
      <c r="C6164">
        <v>978</v>
      </c>
      <c r="D6164">
        <v>14390</v>
      </c>
      <c r="E6164" t="s">
        <v>112</v>
      </c>
      <c r="F6164" t="s">
        <v>520</v>
      </c>
      <c r="G6164">
        <v>2</v>
      </c>
      <c r="H6164">
        <v>53</v>
      </c>
      <c r="I6164" s="25">
        <v>1100</v>
      </c>
      <c r="K6164" t="s">
        <v>210</v>
      </c>
      <c r="M6164" t="s">
        <v>52</v>
      </c>
      <c r="N6164" t="s">
        <v>44</v>
      </c>
      <c r="O6164">
        <f>60+23</f>
        <v>83</v>
      </c>
      <c r="Q6164">
        <f t="shared" si="99"/>
        <v>2</v>
      </c>
      <c r="R6164">
        <v>1</v>
      </c>
      <c r="S6164">
        <v>0</v>
      </c>
      <c r="T6164">
        <v>0</v>
      </c>
      <c r="U6164">
        <v>0</v>
      </c>
      <c r="V6164">
        <v>0</v>
      </c>
      <c r="W6164">
        <v>2</v>
      </c>
      <c r="X6164" s="21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f t="shared" si="100"/>
        <v>192</v>
      </c>
      <c r="AP6164" t="s">
        <v>1915</v>
      </c>
    </row>
    <row r="6165" spans="1:42">
      <c r="A6165" s="1">
        <v>43798</v>
      </c>
      <c r="B6165">
        <v>5</v>
      </c>
      <c r="C6165">
        <v>978</v>
      </c>
      <c r="D6165">
        <v>14390</v>
      </c>
      <c r="E6165" t="s">
        <v>112</v>
      </c>
      <c r="F6165" t="s">
        <v>520</v>
      </c>
      <c r="G6165">
        <v>2</v>
      </c>
      <c r="H6165">
        <v>54</v>
      </c>
      <c r="I6165" s="25">
        <v>1300</v>
      </c>
      <c r="K6165" t="s">
        <v>156</v>
      </c>
      <c r="M6165" t="s">
        <v>52</v>
      </c>
      <c r="N6165" t="s">
        <v>44</v>
      </c>
      <c r="O6165">
        <f>60+60+60+60+60+60+52</f>
        <v>412</v>
      </c>
      <c r="Q6165">
        <f t="shared" si="99"/>
        <v>4</v>
      </c>
      <c r="R6165">
        <v>1</v>
      </c>
      <c r="S6165">
        <v>0</v>
      </c>
      <c r="T6165">
        <v>0</v>
      </c>
      <c r="U6165">
        <v>0</v>
      </c>
      <c r="V6165">
        <v>0</v>
      </c>
      <c r="W6165">
        <v>4</v>
      </c>
      <c r="X6165" s="21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f t="shared" si="100"/>
        <v>384</v>
      </c>
      <c r="AP6165" t="s">
        <v>1915</v>
      </c>
    </row>
    <row r="6166" spans="1:42">
      <c r="A6166" s="1">
        <v>43798</v>
      </c>
      <c r="B6166">
        <v>5</v>
      </c>
      <c r="C6166">
        <v>978</v>
      </c>
      <c r="D6166">
        <v>14390</v>
      </c>
      <c r="E6166" t="s">
        <v>112</v>
      </c>
      <c r="F6166" t="s">
        <v>520</v>
      </c>
      <c r="G6166">
        <v>2</v>
      </c>
      <c r="H6166">
        <v>55</v>
      </c>
      <c r="I6166" s="25">
        <v>1300</v>
      </c>
      <c r="K6166" t="s">
        <v>156</v>
      </c>
      <c r="M6166" t="s">
        <v>52</v>
      </c>
      <c r="N6166" t="s">
        <v>44</v>
      </c>
      <c r="O6166">
        <f>60+31</f>
        <v>91</v>
      </c>
      <c r="Q6166">
        <f t="shared" si="99"/>
        <v>1</v>
      </c>
      <c r="R6166">
        <v>1</v>
      </c>
      <c r="S6166">
        <v>0</v>
      </c>
      <c r="T6166">
        <v>0</v>
      </c>
      <c r="U6166">
        <v>0</v>
      </c>
      <c r="V6166">
        <v>0</v>
      </c>
      <c r="W6166">
        <v>1</v>
      </c>
      <c r="X6166" s="21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f t="shared" si="100"/>
        <v>96</v>
      </c>
      <c r="AP6166" t="s">
        <v>1915</v>
      </c>
    </row>
    <row r="6167" spans="1:42">
      <c r="A6167" s="1">
        <v>43798</v>
      </c>
      <c r="B6167">
        <v>5</v>
      </c>
      <c r="C6167">
        <v>978</v>
      </c>
      <c r="D6167">
        <v>14390</v>
      </c>
      <c r="E6167" t="s">
        <v>112</v>
      </c>
      <c r="F6167" t="s">
        <v>520</v>
      </c>
      <c r="G6167">
        <v>2</v>
      </c>
      <c r="H6167">
        <v>56</v>
      </c>
      <c r="I6167" s="25">
        <v>1300</v>
      </c>
      <c r="K6167" t="s">
        <v>156</v>
      </c>
      <c r="M6167" t="s">
        <v>52</v>
      </c>
      <c r="N6167" t="s">
        <v>44</v>
      </c>
      <c r="O6167">
        <f>60+31</f>
        <v>91</v>
      </c>
      <c r="Q6167">
        <f t="shared" si="99"/>
        <v>1</v>
      </c>
      <c r="R6167">
        <v>1</v>
      </c>
      <c r="S6167">
        <v>0</v>
      </c>
      <c r="T6167">
        <v>0</v>
      </c>
      <c r="U6167">
        <v>0</v>
      </c>
      <c r="V6167">
        <v>0</v>
      </c>
      <c r="W6167">
        <v>1</v>
      </c>
      <c r="X6167" s="21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f t="shared" si="100"/>
        <v>96</v>
      </c>
      <c r="AP6167" t="s">
        <v>1915</v>
      </c>
    </row>
    <row r="6168" spans="1:42">
      <c r="A6168" s="1">
        <v>43798</v>
      </c>
      <c r="B6168">
        <v>5</v>
      </c>
      <c r="C6168">
        <v>978</v>
      </c>
      <c r="D6168">
        <v>14390</v>
      </c>
      <c r="E6168" t="s">
        <v>112</v>
      </c>
      <c r="F6168" t="s">
        <v>520</v>
      </c>
      <c r="G6168">
        <v>2</v>
      </c>
      <c r="H6168">
        <v>57</v>
      </c>
      <c r="I6168" s="25">
        <v>1400</v>
      </c>
      <c r="K6168" t="s">
        <v>156</v>
      </c>
      <c r="M6168" t="s">
        <v>52</v>
      </c>
      <c r="N6168" t="s">
        <v>44</v>
      </c>
      <c r="O6168">
        <f>60+60+26</f>
        <v>146</v>
      </c>
      <c r="Q6168">
        <f t="shared" si="99"/>
        <v>3</v>
      </c>
      <c r="R6168">
        <v>1</v>
      </c>
      <c r="S6168">
        <v>0</v>
      </c>
      <c r="T6168">
        <v>0</v>
      </c>
      <c r="U6168">
        <v>0</v>
      </c>
      <c r="V6168">
        <v>0</v>
      </c>
      <c r="W6168">
        <v>3</v>
      </c>
      <c r="X6168" s="21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f t="shared" si="100"/>
        <v>288</v>
      </c>
      <c r="AP6168" t="s">
        <v>1915</v>
      </c>
    </row>
    <row r="6169" spans="1:42">
      <c r="A6169" s="1">
        <v>43798</v>
      </c>
      <c r="B6169">
        <v>5</v>
      </c>
      <c r="C6169">
        <v>978</v>
      </c>
      <c r="D6169">
        <v>14390</v>
      </c>
      <c r="E6169" t="s">
        <v>112</v>
      </c>
      <c r="F6169" t="s">
        <v>520</v>
      </c>
      <c r="G6169">
        <v>2</v>
      </c>
      <c r="H6169">
        <v>58</v>
      </c>
      <c r="I6169" s="25">
        <v>1462</v>
      </c>
      <c r="K6169" t="s">
        <v>156</v>
      </c>
      <c r="M6169" t="s">
        <v>52</v>
      </c>
      <c r="N6169" t="s">
        <v>44</v>
      </c>
      <c r="O6169">
        <f>60+28</f>
        <v>88</v>
      </c>
      <c r="Q6169">
        <f t="shared" si="99"/>
        <v>1</v>
      </c>
      <c r="R6169">
        <v>1</v>
      </c>
      <c r="S6169">
        <v>0</v>
      </c>
      <c r="T6169">
        <v>0</v>
      </c>
      <c r="U6169">
        <v>0</v>
      </c>
      <c r="V6169">
        <v>0</v>
      </c>
      <c r="W6169">
        <v>1</v>
      </c>
      <c r="X6169" s="21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f t="shared" si="100"/>
        <v>96</v>
      </c>
      <c r="AP6169" t="s">
        <v>1915</v>
      </c>
    </row>
    <row r="6170" spans="1:42">
      <c r="A6170" s="1">
        <v>43798</v>
      </c>
      <c r="B6170">
        <v>5</v>
      </c>
      <c r="C6170">
        <v>978</v>
      </c>
      <c r="D6170">
        <v>14390</v>
      </c>
      <c r="E6170" t="s">
        <v>112</v>
      </c>
      <c r="F6170" t="s">
        <v>520</v>
      </c>
      <c r="G6170">
        <v>2</v>
      </c>
      <c r="H6170">
        <v>59</v>
      </c>
      <c r="I6170" s="25">
        <v>1400</v>
      </c>
      <c r="K6170" t="s">
        <v>148</v>
      </c>
      <c r="M6170" t="s">
        <v>52</v>
      </c>
      <c r="N6170" t="s">
        <v>44</v>
      </c>
      <c r="O6170">
        <f>60+13</f>
        <v>73</v>
      </c>
      <c r="Q6170">
        <f t="shared" si="99"/>
        <v>1</v>
      </c>
      <c r="R6170">
        <v>1</v>
      </c>
      <c r="S6170">
        <v>0</v>
      </c>
      <c r="T6170">
        <v>0</v>
      </c>
      <c r="U6170">
        <v>0</v>
      </c>
      <c r="V6170">
        <v>0</v>
      </c>
      <c r="W6170">
        <v>1</v>
      </c>
      <c r="X6170" s="21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f t="shared" si="100"/>
        <v>96</v>
      </c>
      <c r="AP6170" t="s">
        <v>1915</v>
      </c>
    </row>
    <row r="6171" spans="1:42">
      <c r="A6171" s="1">
        <v>43798</v>
      </c>
      <c r="B6171">
        <v>5</v>
      </c>
      <c r="C6171">
        <v>978</v>
      </c>
      <c r="D6171">
        <v>14390</v>
      </c>
      <c r="E6171" t="s">
        <v>112</v>
      </c>
      <c r="F6171" t="s">
        <v>520</v>
      </c>
      <c r="G6171">
        <v>2</v>
      </c>
      <c r="H6171">
        <v>60</v>
      </c>
      <c r="I6171" s="25">
        <v>1400</v>
      </c>
      <c r="K6171" t="s">
        <v>148</v>
      </c>
      <c r="M6171" t="s">
        <v>52</v>
      </c>
      <c r="N6171" t="s">
        <v>44</v>
      </c>
      <c r="O6171">
        <f>60+60+43</f>
        <v>163</v>
      </c>
      <c r="Q6171">
        <f t="shared" si="99"/>
        <v>2</v>
      </c>
      <c r="R6171">
        <v>1</v>
      </c>
      <c r="S6171">
        <v>0</v>
      </c>
      <c r="T6171">
        <v>0</v>
      </c>
      <c r="U6171">
        <v>0</v>
      </c>
      <c r="V6171">
        <v>0</v>
      </c>
      <c r="W6171">
        <v>2</v>
      </c>
      <c r="X6171" s="2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f t="shared" si="100"/>
        <v>192</v>
      </c>
      <c r="AP6171" t="s">
        <v>1915</v>
      </c>
    </row>
    <row r="6172" spans="1:42">
      <c r="A6172" s="1">
        <v>43798</v>
      </c>
      <c r="B6172">
        <v>5</v>
      </c>
      <c r="C6172">
        <v>978</v>
      </c>
      <c r="D6172">
        <v>14390</v>
      </c>
      <c r="E6172" t="s">
        <v>112</v>
      </c>
      <c r="F6172" t="s">
        <v>520</v>
      </c>
      <c r="G6172">
        <v>2</v>
      </c>
      <c r="H6172">
        <v>61</v>
      </c>
      <c r="I6172" s="25">
        <v>1400</v>
      </c>
      <c r="K6172" t="s">
        <v>148</v>
      </c>
      <c r="M6172" t="s">
        <v>52</v>
      </c>
      <c r="N6172" t="s">
        <v>44</v>
      </c>
      <c r="O6172">
        <f>60+60+25</f>
        <v>145</v>
      </c>
      <c r="Q6172">
        <f t="shared" si="99"/>
        <v>1</v>
      </c>
      <c r="R6172">
        <v>1</v>
      </c>
      <c r="S6172">
        <v>0</v>
      </c>
      <c r="T6172">
        <v>0</v>
      </c>
      <c r="U6172">
        <v>0</v>
      </c>
      <c r="V6172">
        <v>1</v>
      </c>
      <c r="W6172">
        <v>0</v>
      </c>
      <c r="X6172" s="21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1</v>
      </c>
      <c r="AG6172">
        <v>0</v>
      </c>
      <c r="AH6172">
        <f t="shared" si="100"/>
        <v>64</v>
      </c>
      <c r="AP6172" t="s">
        <v>1915</v>
      </c>
    </row>
    <row r="6173" spans="1:42">
      <c r="A6173" s="1">
        <v>43798</v>
      </c>
      <c r="B6173">
        <v>5</v>
      </c>
      <c r="C6173">
        <v>978</v>
      </c>
      <c r="D6173">
        <v>14390</v>
      </c>
      <c r="E6173" t="s">
        <v>112</v>
      </c>
      <c r="F6173" t="s">
        <v>520</v>
      </c>
      <c r="G6173">
        <v>2</v>
      </c>
      <c r="H6173">
        <v>62</v>
      </c>
      <c r="I6173" s="25">
        <v>2600</v>
      </c>
      <c r="K6173" t="s">
        <v>415</v>
      </c>
      <c r="M6173" t="s">
        <v>52</v>
      </c>
      <c r="N6173" t="s">
        <v>44</v>
      </c>
      <c r="O6173">
        <f>60+28</f>
        <v>88</v>
      </c>
      <c r="Q6173">
        <f t="shared" si="99"/>
        <v>1</v>
      </c>
      <c r="R6173">
        <v>1</v>
      </c>
      <c r="S6173">
        <v>0</v>
      </c>
      <c r="T6173">
        <v>0</v>
      </c>
      <c r="U6173">
        <v>0</v>
      </c>
      <c r="V6173">
        <v>0</v>
      </c>
      <c r="W6173">
        <v>1</v>
      </c>
      <c r="X6173" s="21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f t="shared" si="100"/>
        <v>96</v>
      </c>
      <c r="AP6173" t="s">
        <v>1915</v>
      </c>
    </row>
    <row r="6174" spans="1:42">
      <c r="A6174" s="1">
        <v>43798</v>
      </c>
      <c r="B6174">
        <v>5</v>
      </c>
      <c r="C6174">
        <v>978</v>
      </c>
      <c r="D6174">
        <v>14390</v>
      </c>
      <c r="E6174" t="s">
        <v>112</v>
      </c>
      <c r="F6174" t="s">
        <v>520</v>
      </c>
      <c r="G6174">
        <v>2</v>
      </c>
      <c r="H6174">
        <v>63</v>
      </c>
      <c r="I6174" s="25">
        <v>2600</v>
      </c>
      <c r="K6174" t="s">
        <v>415</v>
      </c>
      <c r="M6174" t="s">
        <v>52</v>
      </c>
      <c r="N6174" t="s">
        <v>44</v>
      </c>
      <c r="O6174">
        <f>60+50</f>
        <v>110</v>
      </c>
      <c r="Q6174">
        <f t="shared" si="99"/>
        <v>1</v>
      </c>
      <c r="R6174">
        <v>1</v>
      </c>
      <c r="S6174">
        <v>0</v>
      </c>
      <c r="T6174">
        <v>0</v>
      </c>
      <c r="U6174">
        <v>0</v>
      </c>
      <c r="V6174">
        <v>0</v>
      </c>
      <c r="W6174">
        <v>1</v>
      </c>
      <c r="X6174" s="21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f t="shared" si="100"/>
        <v>96</v>
      </c>
      <c r="AP6174" t="s">
        <v>1915</v>
      </c>
    </row>
    <row r="6175" spans="1:42">
      <c r="A6175" s="1">
        <v>43798</v>
      </c>
      <c r="B6175">
        <v>5</v>
      </c>
      <c r="C6175">
        <v>978</v>
      </c>
      <c r="D6175">
        <v>14390</v>
      </c>
      <c r="E6175" t="s">
        <v>112</v>
      </c>
      <c r="F6175" t="s">
        <v>520</v>
      </c>
      <c r="G6175">
        <v>2</v>
      </c>
      <c r="H6175">
        <v>64</v>
      </c>
      <c r="I6175" s="25">
        <v>2600</v>
      </c>
      <c r="K6175" t="s">
        <v>415</v>
      </c>
      <c r="M6175" t="s">
        <v>52</v>
      </c>
      <c r="N6175" t="s">
        <v>44</v>
      </c>
      <c r="O6175">
        <f>60+60+60+34</f>
        <v>214</v>
      </c>
      <c r="Q6175">
        <f t="shared" si="99"/>
        <v>2</v>
      </c>
      <c r="R6175">
        <v>1</v>
      </c>
      <c r="S6175">
        <v>0</v>
      </c>
      <c r="T6175">
        <v>0</v>
      </c>
      <c r="U6175">
        <v>0</v>
      </c>
      <c r="V6175">
        <v>0</v>
      </c>
      <c r="W6175">
        <v>2</v>
      </c>
      <c r="X6175" s="21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f t="shared" si="100"/>
        <v>192</v>
      </c>
      <c r="AP6175" t="s">
        <v>1915</v>
      </c>
    </row>
    <row r="6176" spans="1:42">
      <c r="A6176" s="1">
        <v>43798</v>
      </c>
      <c r="B6176">
        <v>5</v>
      </c>
      <c r="C6176">
        <v>978</v>
      </c>
      <c r="D6176">
        <v>14390</v>
      </c>
      <c r="E6176" t="s">
        <v>112</v>
      </c>
      <c r="F6176" t="s">
        <v>520</v>
      </c>
      <c r="G6176">
        <v>2</v>
      </c>
      <c r="H6176">
        <v>65</v>
      </c>
      <c r="I6176" s="25">
        <v>1400</v>
      </c>
      <c r="K6176" t="s">
        <v>213</v>
      </c>
      <c r="M6176" t="s">
        <v>52</v>
      </c>
      <c r="N6176" t="s">
        <v>44</v>
      </c>
      <c r="O6176">
        <f>60+60+60+17</f>
        <v>197</v>
      </c>
      <c r="Q6176">
        <f t="shared" si="99"/>
        <v>1</v>
      </c>
      <c r="R6176">
        <v>1</v>
      </c>
      <c r="S6176">
        <v>0</v>
      </c>
      <c r="T6176">
        <v>0</v>
      </c>
      <c r="U6176">
        <v>0</v>
      </c>
      <c r="V6176">
        <v>0</v>
      </c>
      <c r="W6176">
        <v>1</v>
      </c>
      <c r="X6176" s="21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f t="shared" si="100"/>
        <v>96</v>
      </c>
      <c r="AP6176" t="s">
        <v>1915</v>
      </c>
    </row>
    <row r="6177" spans="1:42">
      <c r="A6177" s="1">
        <v>43798</v>
      </c>
      <c r="B6177">
        <v>5</v>
      </c>
      <c r="C6177">
        <v>978</v>
      </c>
      <c r="D6177">
        <v>14390</v>
      </c>
      <c r="E6177" t="s">
        <v>112</v>
      </c>
      <c r="F6177" t="s">
        <v>520</v>
      </c>
      <c r="G6177">
        <v>2</v>
      </c>
      <c r="H6177">
        <v>66</v>
      </c>
      <c r="I6177" s="25">
        <v>2700</v>
      </c>
      <c r="K6177" t="s">
        <v>414</v>
      </c>
      <c r="M6177" t="s">
        <v>52</v>
      </c>
      <c r="N6177" t="s">
        <v>44</v>
      </c>
      <c r="O6177">
        <f>60+60+11</f>
        <v>131</v>
      </c>
      <c r="Q6177">
        <f t="shared" si="99"/>
        <v>1</v>
      </c>
      <c r="R6177">
        <v>1</v>
      </c>
      <c r="S6177">
        <v>0</v>
      </c>
      <c r="T6177">
        <v>0</v>
      </c>
      <c r="U6177">
        <v>0</v>
      </c>
      <c r="V6177">
        <v>0</v>
      </c>
      <c r="W6177">
        <v>1</v>
      </c>
      <c r="X6177" s="21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f t="shared" si="100"/>
        <v>96</v>
      </c>
      <c r="AP6177" t="s">
        <v>1915</v>
      </c>
    </row>
    <row r="6178" spans="1:42">
      <c r="A6178" s="1">
        <v>43798</v>
      </c>
      <c r="B6178">
        <v>5</v>
      </c>
      <c r="C6178">
        <v>978</v>
      </c>
      <c r="D6178">
        <v>14390</v>
      </c>
      <c r="E6178" t="s">
        <v>112</v>
      </c>
      <c r="F6178" t="s">
        <v>520</v>
      </c>
      <c r="G6178">
        <v>2</v>
      </c>
      <c r="H6178">
        <v>67</v>
      </c>
      <c r="I6178" s="25">
        <v>2700</v>
      </c>
      <c r="K6178" t="s">
        <v>414</v>
      </c>
      <c r="M6178" t="s">
        <v>52</v>
      </c>
      <c r="N6178" t="s">
        <v>44</v>
      </c>
      <c r="O6178">
        <f>60+52</f>
        <v>112</v>
      </c>
      <c r="Q6178">
        <f t="shared" si="99"/>
        <v>1</v>
      </c>
      <c r="R6178">
        <v>1</v>
      </c>
      <c r="S6178">
        <v>0</v>
      </c>
      <c r="T6178">
        <v>0</v>
      </c>
      <c r="U6178">
        <v>0</v>
      </c>
      <c r="V6178">
        <v>0</v>
      </c>
      <c r="W6178">
        <v>1</v>
      </c>
      <c r="X6178" s="21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f t="shared" si="100"/>
        <v>96</v>
      </c>
      <c r="AP6178" t="s">
        <v>1915</v>
      </c>
    </row>
    <row r="6179" spans="1:42">
      <c r="A6179" s="1">
        <v>43798</v>
      </c>
      <c r="B6179">
        <v>5</v>
      </c>
      <c r="C6179">
        <v>978</v>
      </c>
      <c r="D6179">
        <v>14390</v>
      </c>
      <c r="E6179" t="s">
        <v>112</v>
      </c>
      <c r="F6179" t="s">
        <v>520</v>
      </c>
      <c r="G6179">
        <v>2</v>
      </c>
      <c r="H6179">
        <v>68</v>
      </c>
      <c r="I6179" s="25">
        <v>1100</v>
      </c>
      <c r="K6179" t="s">
        <v>324</v>
      </c>
      <c r="M6179" t="s">
        <v>52</v>
      </c>
      <c r="N6179" t="s">
        <v>44</v>
      </c>
      <c r="O6179">
        <f>60+22</f>
        <v>82</v>
      </c>
      <c r="Q6179">
        <f t="shared" si="99"/>
        <v>1</v>
      </c>
      <c r="R6179">
        <v>1</v>
      </c>
      <c r="S6179">
        <v>0</v>
      </c>
      <c r="T6179">
        <v>0</v>
      </c>
      <c r="U6179">
        <v>0</v>
      </c>
      <c r="V6179">
        <v>0</v>
      </c>
      <c r="W6179">
        <v>1</v>
      </c>
      <c r="X6179" s="21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f t="shared" si="100"/>
        <v>96</v>
      </c>
      <c r="AP6179" t="s">
        <v>1915</v>
      </c>
    </row>
    <row r="6180" spans="1:42">
      <c r="A6180" s="1">
        <v>43798</v>
      </c>
      <c r="B6180">
        <v>5</v>
      </c>
      <c r="C6180">
        <v>978</v>
      </c>
      <c r="D6180">
        <v>14390</v>
      </c>
      <c r="E6180" t="s">
        <v>112</v>
      </c>
      <c r="F6180" t="s">
        <v>520</v>
      </c>
      <c r="G6180">
        <v>2</v>
      </c>
      <c r="H6180">
        <v>69</v>
      </c>
      <c r="I6180" s="25">
        <v>1100</v>
      </c>
      <c r="K6180" t="s">
        <v>324</v>
      </c>
      <c r="M6180" t="s">
        <v>52</v>
      </c>
      <c r="N6180" t="s">
        <v>44</v>
      </c>
      <c r="O6180">
        <f>60+34</f>
        <v>94</v>
      </c>
      <c r="Q6180">
        <f t="shared" si="99"/>
        <v>2</v>
      </c>
      <c r="R6180">
        <v>1</v>
      </c>
      <c r="S6180">
        <v>0</v>
      </c>
      <c r="T6180">
        <v>0</v>
      </c>
      <c r="U6180">
        <v>0</v>
      </c>
      <c r="V6180">
        <v>1</v>
      </c>
      <c r="W6180">
        <v>1</v>
      </c>
      <c r="X6180" s="21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f t="shared" si="100"/>
        <v>160</v>
      </c>
      <c r="AP6180" t="s">
        <v>1915</v>
      </c>
    </row>
    <row r="6181" spans="1:42">
      <c r="A6181" s="1">
        <v>43798</v>
      </c>
      <c r="B6181">
        <v>5</v>
      </c>
      <c r="C6181">
        <v>978</v>
      </c>
      <c r="D6181">
        <v>14390</v>
      </c>
      <c r="E6181" t="s">
        <v>112</v>
      </c>
      <c r="F6181" t="s">
        <v>520</v>
      </c>
      <c r="G6181">
        <v>2</v>
      </c>
      <c r="H6181">
        <v>70</v>
      </c>
      <c r="I6181" s="25">
        <v>1100</v>
      </c>
      <c r="K6181" t="s">
        <v>324</v>
      </c>
      <c r="M6181" t="s">
        <v>52</v>
      </c>
      <c r="N6181" t="s">
        <v>44</v>
      </c>
      <c r="O6181">
        <f>60+33</f>
        <v>93</v>
      </c>
      <c r="Q6181">
        <f t="shared" si="99"/>
        <v>1</v>
      </c>
      <c r="R6181">
        <v>1</v>
      </c>
      <c r="S6181">
        <v>0</v>
      </c>
      <c r="T6181">
        <v>0</v>
      </c>
      <c r="U6181">
        <v>0</v>
      </c>
      <c r="V6181">
        <v>0</v>
      </c>
      <c r="W6181">
        <v>1</v>
      </c>
      <c r="X6181" s="2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f t="shared" si="100"/>
        <v>96</v>
      </c>
      <c r="AP6181" t="s">
        <v>1915</v>
      </c>
    </row>
    <row r="6182" spans="1:42">
      <c r="A6182" s="1">
        <v>43798</v>
      </c>
      <c r="B6182">
        <v>5</v>
      </c>
      <c r="C6182">
        <v>978</v>
      </c>
      <c r="D6182">
        <v>14390</v>
      </c>
      <c r="E6182" t="s">
        <v>112</v>
      </c>
      <c r="F6182" t="s">
        <v>520</v>
      </c>
      <c r="G6182">
        <v>2</v>
      </c>
      <c r="H6182">
        <v>71</v>
      </c>
      <c r="I6182" s="25">
        <v>1200</v>
      </c>
      <c r="K6182" t="s">
        <v>324</v>
      </c>
      <c r="M6182" t="s">
        <v>52</v>
      </c>
      <c r="N6182" t="s">
        <v>44</v>
      </c>
      <c r="O6182">
        <f>60+36</f>
        <v>96</v>
      </c>
      <c r="Q6182">
        <f t="shared" si="99"/>
        <v>1</v>
      </c>
      <c r="R6182">
        <v>1</v>
      </c>
      <c r="S6182">
        <v>0</v>
      </c>
      <c r="T6182">
        <v>0</v>
      </c>
      <c r="U6182">
        <v>0</v>
      </c>
      <c r="V6182">
        <v>0</v>
      </c>
      <c r="W6182">
        <v>1</v>
      </c>
      <c r="X6182" s="21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f t="shared" si="100"/>
        <v>96</v>
      </c>
      <c r="AP6182" t="s">
        <v>1915</v>
      </c>
    </row>
    <row r="6183" spans="1:42">
      <c r="A6183" s="1">
        <v>43798</v>
      </c>
      <c r="B6183">
        <v>5</v>
      </c>
      <c r="C6183">
        <v>978</v>
      </c>
      <c r="D6183">
        <v>14390</v>
      </c>
      <c r="E6183" t="s">
        <v>112</v>
      </c>
      <c r="F6183" t="s">
        <v>520</v>
      </c>
      <c r="G6183">
        <v>2</v>
      </c>
      <c r="H6183">
        <v>72</v>
      </c>
      <c r="I6183" s="25">
        <v>2956</v>
      </c>
      <c r="K6183" t="s">
        <v>415</v>
      </c>
      <c r="M6183" t="s">
        <v>52</v>
      </c>
      <c r="N6183" t="s">
        <v>44</v>
      </c>
      <c r="O6183">
        <f>60+60+57</f>
        <v>177</v>
      </c>
      <c r="Q6183">
        <f t="shared" si="99"/>
        <v>2</v>
      </c>
      <c r="R6183">
        <v>1</v>
      </c>
      <c r="S6183">
        <v>0</v>
      </c>
      <c r="T6183">
        <v>0</v>
      </c>
      <c r="U6183">
        <v>0</v>
      </c>
      <c r="V6183">
        <v>0</v>
      </c>
      <c r="W6183">
        <v>2</v>
      </c>
      <c r="X6183" s="21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f t="shared" si="100"/>
        <v>192</v>
      </c>
      <c r="AP6183" t="s">
        <v>1915</v>
      </c>
    </row>
    <row r="6184" spans="1:42">
      <c r="A6184" s="1">
        <v>43798</v>
      </c>
      <c r="B6184">
        <v>5</v>
      </c>
      <c r="C6184">
        <v>978</v>
      </c>
      <c r="D6184">
        <v>14390</v>
      </c>
      <c r="E6184" t="s">
        <v>112</v>
      </c>
      <c r="F6184" t="s">
        <v>520</v>
      </c>
      <c r="G6184">
        <v>2</v>
      </c>
      <c r="H6184">
        <v>73</v>
      </c>
      <c r="I6184" s="25">
        <v>2900</v>
      </c>
      <c r="K6184" t="s">
        <v>415</v>
      </c>
      <c r="M6184" t="s">
        <v>52</v>
      </c>
      <c r="N6184" t="s">
        <v>44</v>
      </c>
      <c r="O6184">
        <f>60+21</f>
        <v>81</v>
      </c>
      <c r="Q6184">
        <f t="shared" si="99"/>
        <v>1</v>
      </c>
      <c r="R6184">
        <v>1</v>
      </c>
      <c r="S6184">
        <v>0</v>
      </c>
      <c r="T6184">
        <v>0</v>
      </c>
      <c r="U6184">
        <v>0</v>
      </c>
      <c r="V6184">
        <v>0</v>
      </c>
      <c r="W6184">
        <v>1</v>
      </c>
      <c r="X6184" s="21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f t="shared" si="100"/>
        <v>96</v>
      </c>
      <c r="AP6184" t="s">
        <v>1915</v>
      </c>
    </row>
    <row r="6185" spans="1:42">
      <c r="A6185" s="1">
        <v>43798</v>
      </c>
      <c r="B6185">
        <v>5</v>
      </c>
      <c r="C6185">
        <v>978</v>
      </c>
      <c r="D6185">
        <v>14390</v>
      </c>
      <c r="E6185" t="s">
        <v>112</v>
      </c>
      <c r="F6185" t="s">
        <v>520</v>
      </c>
      <c r="G6185">
        <v>2</v>
      </c>
      <c r="H6185">
        <v>74</v>
      </c>
      <c r="I6185" s="25">
        <v>1100</v>
      </c>
      <c r="K6185" t="s">
        <v>862</v>
      </c>
      <c r="M6185" t="s">
        <v>52</v>
      </c>
      <c r="N6185" t="s">
        <v>44</v>
      </c>
      <c r="O6185">
        <f>60+21</f>
        <v>81</v>
      </c>
      <c r="Q6185">
        <f t="shared" si="99"/>
        <v>1</v>
      </c>
      <c r="R6185">
        <v>1</v>
      </c>
      <c r="S6185">
        <v>0</v>
      </c>
      <c r="T6185">
        <v>0</v>
      </c>
      <c r="U6185">
        <v>0</v>
      </c>
      <c r="V6185">
        <v>0</v>
      </c>
      <c r="W6185">
        <v>1</v>
      </c>
      <c r="X6185" s="21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f t="shared" si="100"/>
        <v>96</v>
      </c>
      <c r="AP6185" t="s">
        <v>1915</v>
      </c>
    </row>
    <row r="6186" spans="1:42">
      <c r="A6186" s="1">
        <v>43798</v>
      </c>
      <c r="B6186">
        <v>5</v>
      </c>
      <c r="C6186">
        <v>978</v>
      </c>
      <c r="D6186">
        <v>14390</v>
      </c>
      <c r="E6186" t="s">
        <v>112</v>
      </c>
      <c r="F6186" t="s">
        <v>520</v>
      </c>
      <c r="G6186">
        <v>2</v>
      </c>
      <c r="H6186">
        <v>75</v>
      </c>
      <c r="I6186" s="25">
        <v>1100</v>
      </c>
      <c r="K6186" t="s">
        <v>862</v>
      </c>
      <c r="M6186" t="s">
        <v>52</v>
      </c>
      <c r="N6186" t="s">
        <v>44</v>
      </c>
      <c r="O6186">
        <f>60+60+60+48</f>
        <v>228</v>
      </c>
      <c r="Q6186">
        <f t="shared" si="99"/>
        <v>1</v>
      </c>
      <c r="R6186">
        <v>1</v>
      </c>
      <c r="S6186">
        <v>0</v>
      </c>
      <c r="T6186">
        <v>0</v>
      </c>
      <c r="U6186">
        <v>0</v>
      </c>
      <c r="V6186">
        <v>0</v>
      </c>
      <c r="W6186">
        <v>1</v>
      </c>
      <c r="X6186" s="21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f t="shared" si="100"/>
        <v>96</v>
      </c>
      <c r="AP6186" t="s">
        <v>1915</v>
      </c>
    </row>
    <row r="6187" spans="1:42">
      <c r="A6187" s="1">
        <v>43798</v>
      </c>
      <c r="B6187">
        <v>5</v>
      </c>
      <c r="C6187">
        <v>978</v>
      </c>
      <c r="D6187">
        <v>14390</v>
      </c>
      <c r="E6187" t="s">
        <v>112</v>
      </c>
      <c r="F6187" t="s">
        <v>520</v>
      </c>
      <c r="G6187">
        <v>2</v>
      </c>
      <c r="H6187">
        <v>76</v>
      </c>
      <c r="I6187" s="25">
        <v>1101</v>
      </c>
      <c r="K6187" t="s">
        <v>862</v>
      </c>
      <c r="M6187" t="s">
        <v>52</v>
      </c>
      <c r="N6187" t="s">
        <v>44</v>
      </c>
      <c r="O6187">
        <f>60+18</f>
        <v>78</v>
      </c>
      <c r="Q6187">
        <f t="shared" si="99"/>
        <v>1</v>
      </c>
      <c r="R6187">
        <v>1</v>
      </c>
      <c r="S6187">
        <v>0</v>
      </c>
      <c r="T6187">
        <v>0</v>
      </c>
      <c r="U6187">
        <v>0</v>
      </c>
      <c r="V6187">
        <v>0</v>
      </c>
      <c r="W6187">
        <v>1</v>
      </c>
      <c r="X6187" s="21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f t="shared" si="100"/>
        <v>96</v>
      </c>
      <c r="AP6187" t="s">
        <v>1915</v>
      </c>
    </row>
    <row r="6188" spans="1:42">
      <c r="A6188" s="1">
        <v>43798</v>
      </c>
      <c r="B6188">
        <v>5</v>
      </c>
      <c r="C6188">
        <v>978</v>
      </c>
      <c r="D6188">
        <v>14390</v>
      </c>
      <c r="E6188" t="s">
        <v>112</v>
      </c>
      <c r="F6188" t="s">
        <v>520</v>
      </c>
      <c r="G6188">
        <v>2</v>
      </c>
      <c r="H6188">
        <v>77</v>
      </c>
      <c r="I6188" s="25">
        <v>1086</v>
      </c>
      <c r="K6188" t="s">
        <v>414</v>
      </c>
      <c r="L6188" t="s">
        <v>114</v>
      </c>
      <c r="M6188" t="s">
        <v>52</v>
      </c>
      <c r="N6188" t="s">
        <v>44</v>
      </c>
      <c r="O6188">
        <f>(60+60+16)/2</f>
        <v>68</v>
      </c>
      <c r="Q6188">
        <f t="shared" si="99"/>
        <v>1</v>
      </c>
      <c r="R6188">
        <v>1</v>
      </c>
      <c r="S6188">
        <v>0</v>
      </c>
      <c r="T6188">
        <v>0</v>
      </c>
      <c r="U6188">
        <v>0</v>
      </c>
      <c r="V6188">
        <v>0</v>
      </c>
      <c r="W6188">
        <v>1</v>
      </c>
      <c r="X6188" s="21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f t="shared" si="100"/>
        <v>96</v>
      </c>
      <c r="AP6188" t="s">
        <v>1915</v>
      </c>
    </row>
    <row r="6189" spans="1:42">
      <c r="A6189" s="1">
        <v>43798</v>
      </c>
      <c r="B6189">
        <v>5</v>
      </c>
      <c r="C6189">
        <v>978</v>
      </c>
      <c r="D6189">
        <v>14390</v>
      </c>
      <c r="E6189" t="s">
        <v>112</v>
      </c>
      <c r="F6189" t="s">
        <v>520</v>
      </c>
      <c r="G6189">
        <v>2</v>
      </c>
      <c r="H6189">
        <v>78</v>
      </c>
      <c r="I6189" s="25">
        <v>1083</v>
      </c>
      <c r="K6189" t="s">
        <v>414</v>
      </c>
      <c r="L6189" t="s">
        <v>141</v>
      </c>
      <c r="M6189" t="s">
        <v>52</v>
      </c>
      <c r="N6189" t="s">
        <v>44</v>
      </c>
      <c r="O6189">
        <v>68</v>
      </c>
      <c r="Q6189">
        <f t="shared" si="99"/>
        <v>1</v>
      </c>
      <c r="R6189">
        <v>1</v>
      </c>
      <c r="S6189">
        <v>0</v>
      </c>
      <c r="T6189">
        <v>0</v>
      </c>
      <c r="U6189">
        <v>0</v>
      </c>
      <c r="V6189">
        <v>1</v>
      </c>
      <c r="W6189">
        <v>0</v>
      </c>
      <c r="X6189" s="21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f t="shared" si="100"/>
        <v>64</v>
      </c>
      <c r="AP6189" t="s">
        <v>1915</v>
      </c>
    </row>
    <row r="6190" spans="1:42">
      <c r="A6190" s="1">
        <v>43798</v>
      </c>
      <c r="B6190">
        <v>5</v>
      </c>
      <c r="C6190">
        <v>978</v>
      </c>
      <c r="D6190">
        <v>14390</v>
      </c>
      <c r="E6190" t="s">
        <v>112</v>
      </c>
      <c r="F6190" t="s">
        <v>520</v>
      </c>
      <c r="G6190">
        <v>2</v>
      </c>
      <c r="H6190">
        <v>79</v>
      </c>
      <c r="I6190" s="25">
        <v>2900</v>
      </c>
      <c r="K6190" t="s">
        <v>414</v>
      </c>
      <c r="M6190" t="s">
        <v>52</v>
      </c>
      <c r="N6190" t="s">
        <v>44</v>
      </c>
      <c r="O6190">
        <f>60+22</f>
        <v>82</v>
      </c>
      <c r="Q6190">
        <f t="shared" si="99"/>
        <v>1</v>
      </c>
      <c r="R6190">
        <v>1</v>
      </c>
      <c r="S6190">
        <v>0</v>
      </c>
      <c r="T6190">
        <v>0</v>
      </c>
      <c r="U6190">
        <v>0</v>
      </c>
      <c r="V6190">
        <v>0</v>
      </c>
      <c r="W6190">
        <v>1</v>
      </c>
      <c r="X6190" s="21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1</v>
      </c>
      <c r="AG6190">
        <v>0</v>
      </c>
      <c r="AH6190">
        <f t="shared" si="100"/>
        <v>96</v>
      </c>
      <c r="AP6190" t="s">
        <v>1915</v>
      </c>
    </row>
    <row r="6191" spans="1:42">
      <c r="A6191" s="1">
        <v>43798</v>
      </c>
      <c r="B6191">
        <v>5</v>
      </c>
      <c r="C6191">
        <v>978</v>
      </c>
      <c r="D6191">
        <v>14390</v>
      </c>
      <c r="E6191" t="s">
        <v>112</v>
      </c>
      <c r="F6191" t="s">
        <v>520</v>
      </c>
      <c r="G6191">
        <v>2</v>
      </c>
      <c r="H6191">
        <v>80</v>
      </c>
      <c r="I6191" s="25">
        <v>3030</v>
      </c>
      <c r="K6191" t="s">
        <v>414</v>
      </c>
      <c r="L6191" t="s">
        <v>114</v>
      </c>
      <c r="M6191" t="s">
        <v>52</v>
      </c>
      <c r="N6191" t="s">
        <v>44</v>
      </c>
      <c r="O6191">
        <f>60+21</f>
        <v>81</v>
      </c>
      <c r="Q6191">
        <f t="shared" si="99"/>
        <v>2</v>
      </c>
      <c r="R6191">
        <v>1</v>
      </c>
      <c r="S6191">
        <v>0</v>
      </c>
      <c r="T6191">
        <v>0</v>
      </c>
      <c r="U6191">
        <v>0</v>
      </c>
      <c r="V6191">
        <v>1</v>
      </c>
      <c r="W6191">
        <v>1</v>
      </c>
      <c r="X6191" s="2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f t="shared" si="100"/>
        <v>160</v>
      </c>
      <c r="AP6191" t="s">
        <v>1915</v>
      </c>
    </row>
    <row r="6192" spans="1:42">
      <c r="A6192" s="1">
        <v>43798</v>
      </c>
      <c r="B6192">
        <v>5</v>
      </c>
      <c r="C6192">
        <v>978</v>
      </c>
      <c r="D6192">
        <v>14390</v>
      </c>
      <c r="E6192" t="s">
        <v>112</v>
      </c>
      <c r="F6192" t="s">
        <v>520</v>
      </c>
      <c r="G6192">
        <v>2</v>
      </c>
      <c r="H6192">
        <v>81</v>
      </c>
      <c r="I6192" s="25">
        <v>1000</v>
      </c>
      <c r="K6192" t="s">
        <v>570</v>
      </c>
      <c r="M6192" t="s">
        <v>52</v>
      </c>
      <c r="N6192" t="s">
        <v>40</v>
      </c>
      <c r="O6192">
        <f>60+55</f>
        <v>115</v>
      </c>
      <c r="Q6192">
        <f t="shared" si="99"/>
        <v>3</v>
      </c>
      <c r="R6192">
        <v>1</v>
      </c>
      <c r="S6192">
        <v>0</v>
      </c>
      <c r="T6192">
        <v>0</v>
      </c>
      <c r="U6192">
        <v>0</v>
      </c>
      <c r="V6192">
        <v>0</v>
      </c>
      <c r="W6192">
        <v>3</v>
      </c>
      <c r="X6192" s="21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f t="shared" si="100"/>
        <v>288</v>
      </c>
      <c r="AP6192" t="s">
        <v>1915</v>
      </c>
    </row>
    <row r="6193" spans="1:42">
      <c r="A6193" s="1">
        <v>43798</v>
      </c>
      <c r="B6193">
        <v>5</v>
      </c>
      <c r="C6193">
        <v>978</v>
      </c>
      <c r="D6193">
        <v>14390</v>
      </c>
      <c r="E6193" t="s">
        <v>112</v>
      </c>
      <c r="F6193" t="s">
        <v>520</v>
      </c>
      <c r="G6193">
        <v>2</v>
      </c>
      <c r="H6193">
        <v>82</v>
      </c>
      <c r="I6193" s="25">
        <v>900</v>
      </c>
      <c r="K6193" t="s">
        <v>570</v>
      </c>
      <c r="M6193" t="s">
        <v>52</v>
      </c>
      <c r="N6193" t="s">
        <v>40</v>
      </c>
      <c r="O6193">
        <f>60+48</f>
        <v>108</v>
      </c>
      <c r="Q6193">
        <f t="shared" si="99"/>
        <v>2</v>
      </c>
      <c r="R6193">
        <v>1</v>
      </c>
      <c r="S6193">
        <v>0</v>
      </c>
      <c r="T6193">
        <v>0</v>
      </c>
      <c r="U6193">
        <v>0</v>
      </c>
      <c r="V6193">
        <v>1</v>
      </c>
      <c r="W6193">
        <v>1</v>
      </c>
      <c r="X6193" s="21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1</v>
      </c>
      <c r="AG6193">
        <v>0</v>
      </c>
      <c r="AH6193">
        <f t="shared" si="100"/>
        <v>160</v>
      </c>
      <c r="AP6193" t="s">
        <v>1915</v>
      </c>
    </row>
    <row r="6194" spans="1:42">
      <c r="A6194" s="1">
        <v>43798</v>
      </c>
      <c r="B6194">
        <v>5</v>
      </c>
      <c r="C6194">
        <v>978</v>
      </c>
      <c r="D6194">
        <v>14390</v>
      </c>
      <c r="E6194" t="s">
        <v>112</v>
      </c>
      <c r="F6194" t="s">
        <v>520</v>
      </c>
      <c r="G6194">
        <v>2</v>
      </c>
      <c r="H6194">
        <v>83</v>
      </c>
      <c r="I6194" s="25">
        <v>2906</v>
      </c>
      <c r="K6194" t="s">
        <v>420</v>
      </c>
      <c r="M6194" t="s">
        <v>52</v>
      </c>
      <c r="N6194" t="s">
        <v>44</v>
      </c>
      <c r="O6194">
        <f>60+12</f>
        <v>72</v>
      </c>
      <c r="Q6194">
        <f t="shared" si="99"/>
        <v>2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2</v>
      </c>
      <c r="X6194" s="21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f t="shared" si="100"/>
        <v>192</v>
      </c>
      <c r="AP6194" t="s">
        <v>1915</v>
      </c>
    </row>
    <row r="6195" spans="1:42">
      <c r="A6195" s="1">
        <v>43798</v>
      </c>
      <c r="B6195">
        <v>5</v>
      </c>
      <c r="C6195">
        <v>978</v>
      </c>
      <c r="D6195">
        <v>14390</v>
      </c>
      <c r="E6195" t="s">
        <v>112</v>
      </c>
      <c r="F6195" t="s">
        <v>520</v>
      </c>
      <c r="G6195">
        <v>2</v>
      </c>
      <c r="H6195">
        <v>84</v>
      </c>
      <c r="I6195" s="25">
        <v>900</v>
      </c>
      <c r="K6195" t="s">
        <v>1122</v>
      </c>
      <c r="M6195" t="s">
        <v>52</v>
      </c>
      <c r="N6195" t="s">
        <v>44</v>
      </c>
      <c r="O6195">
        <f>60+24</f>
        <v>84</v>
      </c>
      <c r="Q6195">
        <f t="shared" si="99"/>
        <v>1</v>
      </c>
      <c r="R6195">
        <v>1</v>
      </c>
      <c r="S6195">
        <v>0</v>
      </c>
      <c r="T6195">
        <v>0</v>
      </c>
      <c r="U6195">
        <v>0</v>
      </c>
      <c r="V6195">
        <v>0</v>
      </c>
      <c r="W6195">
        <v>1</v>
      </c>
      <c r="X6195" s="21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f t="shared" si="100"/>
        <v>96</v>
      </c>
      <c r="AP6195" t="s">
        <v>1915</v>
      </c>
    </row>
    <row r="6196" spans="1:42">
      <c r="A6196" s="1">
        <v>43798</v>
      </c>
      <c r="B6196">
        <v>5</v>
      </c>
      <c r="C6196">
        <v>978</v>
      </c>
      <c r="D6196">
        <v>14390</v>
      </c>
      <c r="E6196" t="s">
        <v>112</v>
      </c>
      <c r="F6196" t="s">
        <v>520</v>
      </c>
      <c r="G6196">
        <v>2</v>
      </c>
      <c r="H6196">
        <v>85</v>
      </c>
      <c r="I6196" s="25">
        <v>900</v>
      </c>
      <c r="K6196" t="s">
        <v>1122</v>
      </c>
      <c r="M6196" t="s">
        <v>52</v>
      </c>
      <c r="N6196" t="s">
        <v>44</v>
      </c>
      <c r="O6196">
        <f>60+1</f>
        <v>61</v>
      </c>
      <c r="Q6196">
        <f t="shared" si="99"/>
        <v>1</v>
      </c>
      <c r="R6196">
        <v>1</v>
      </c>
      <c r="S6196">
        <v>0</v>
      </c>
      <c r="T6196">
        <v>0</v>
      </c>
      <c r="U6196">
        <v>0</v>
      </c>
      <c r="V6196">
        <v>0</v>
      </c>
      <c r="W6196">
        <v>1</v>
      </c>
      <c r="X6196" s="21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1</v>
      </c>
      <c r="AG6196">
        <v>0</v>
      </c>
      <c r="AH6196">
        <f t="shared" si="100"/>
        <v>96</v>
      </c>
      <c r="AP6196" t="s">
        <v>1915</v>
      </c>
    </row>
    <row r="6197" spans="1:42">
      <c r="A6197" s="1">
        <v>43798</v>
      </c>
      <c r="B6197">
        <v>5</v>
      </c>
      <c r="C6197">
        <v>978</v>
      </c>
      <c r="D6197">
        <v>14390</v>
      </c>
      <c r="E6197" t="s">
        <v>112</v>
      </c>
      <c r="F6197" t="s">
        <v>520</v>
      </c>
      <c r="G6197">
        <v>2</v>
      </c>
      <c r="H6197">
        <v>86</v>
      </c>
      <c r="I6197" s="25">
        <v>940</v>
      </c>
      <c r="K6197" t="s">
        <v>1122</v>
      </c>
      <c r="M6197" t="s">
        <v>52</v>
      </c>
      <c r="N6197" t="s">
        <v>44</v>
      </c>
      <c r="O6197">
        <f>(60+60+60+60+60+40)/2</f>
        <v>170</v>
      </c>
      <c r="Q6197">
        <f t="shared" si="99"/>
        <v>1</v>
      </c>
      <c r="R6197">
        <v>1</v>
      </c>
      <c r="S6197">
        <v>0</v>
      </c>
      <c r="T6197">
        <v>0</v>
      </c>
      <c r="U6197">
        <v>0</v>
      </c>
      <c r="V6197">
        <v>0</v>
      </c>
      <c r="W6197">
        <v>1</v>
      </c>
      <c r="X6197" s="21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f t="shared" si="100"/>
        <v>96</v>
      </c>
      <c r="AP6197" t="s">
        <v>1915</v>
      </c>
    </row>
    <row r="6198" spans="1:42">
      <c r="A6198" s="1">
        <v>43798</v>
      </c>
      <c r="B6198">
        <v>5</v>
      </c>
      <c r="C6198">
        <v>978</v>
      </c>
      <c r="D6198">
        <v>14390</v>
      </c>
      <c r="E6198" t="s">
        <v>112</v>
      </c>
      <c r="F6198" t="s">
        <v>520</v>
      </c>
      <c r="G6198">
        <v>2</v>
      </c>
      <c r="H6198">
        <v>87</v>
      </c>
      <c r="I6198" s="25">
        <v>950</v>
      </c>
      <c r="K6198" t="s">
        <v>1122</v>
      </c>
      <c r="M6198" t="s">
        <v>52</v>
      </c>
      <c r="N6198" t="s">
        <v>44</v>
      </c>
      <c r="O6198">
        <v>170</v>
      </c>
      <c r="Q6198">
        <f t="shared" si="99"/>
        <v>1</v>
      </c>
      <c r="R6198">
        <v>1</v>
      </c>
      <c r="S6198">
        <v>0</v>
      </c>
      <c r="T6198">
        <v>0</v>
      </c>
      <c r="U6198">
        <v>0</v>
      </c>
      <c r="V6198">
        <v>0</v>
      </c>
      <c r="W6198">
        <v>1</v>
      </c>
      <c r="X6198" s="21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f t="shared" si="100"/>
        <v>96</v>
      </c>
      <c r="AP6198" t="s">
        <v>1915</v>
      </c>
    </row>
    <row r="6199" spans="1:42">
      <c r="A6199" s="1">
        <v>43798</v>
      </c>
      <c r="B6199">
        <v>5</v>
      </c>
      <c r="C6199">
        <v>978</v>
      </c>
      <c r="D6199">
        <v>14390</v>
      </c>
      <c r="E6199" t="s">
        <v>112</v>
      </c>
      <c r="F6199" t="s">
        <v>520</v>
      </c>
      <c r="G6199">
        <v>2</v>
      </c>
      <c r="H6199">
        <v>88</v>
      </c>
      <c r="I6199" s="25">
        <v>960</v>
      </c>
      <c r="K6199" t="s">
        <v>1122</v>
      </c>
      <c r="M6199" t="s">
        <v>52</v>
      </c>
      <c r="N6199" t="s">
        <v>44</v>
      </c>
      <c r="O6199">
        <f>60+60+18</f>
        <v>138</v>
      </c>
      <c r="Q6199">
        <f t="shared" si="99"/>
        <v>1</v>
      </c>
      <c r="R6199">
        <v>1</v>
      </c>
      <c r="S6199">
        <v>0</v>
      </c>
      <c r="T6199">
        <v>0</v>
      </c>
      <c r="U6199">
        <v>0</v>
      </c>
      <c r="V6199">
        <v>0</v>
      </c>
      <c r="W6199">
        <v>1</v>
      </c>
      <c r="X6199" s="21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f t="shared" si="100"/>
        <v>96</v>
      </c>
      <c r="AP6199" t="s">
        <v>1915</v>
      </c>
    </row>
    <row r="6200" spans="1:42">
      <c r="A6200" s="1">
        <v>43798</v>
      </c>
      <c r="B6200">
        <v>5</v>
      </c>
      <c r="C6200">
        <v>978</v>
      </c>
      <c r="D6200">
        <v>14390</v>
      </c>
      <c r="E6200" t="s">
        <v>112</v>
      </c>
      <c r="F6200" t="s">
        <v>520</v>
      </c>
      <c r="G6200">
        <v>2</v>
      </c>
      <c r="H6200">
        <v>89</v>
      </c>
      <c r="I6200" s="25">
        <v>990</v>
      </c>
      <c r="K6200" t="s">
        <v>1122</v>
      </c>
      <c r="M6200" t="s">
        <v>52</v>
      </c>
      <c r="N6200" t="s">
        <v>44</v>
      </c>
      <c r="O6200">
        <f>60+60+60+60+1</f>
        <v>241</v>
      </c>
      <c r="Q6200">
        <f t="shared" si="99"/>
        <v>4</v>
      </c>
      <c r="R6200">
        <v>1</v>
      </c>
      <c r="S6200">
        <v>0</v>
      </c>
      <c r="T6200">
        <v>0</v>
      </c>
      <c r="U6200">
        <v>0</v>
      </c>
      <c r="V6200">
        <v>0</v>
      </c>
      <c r="W6200">
        <v>4</v>
      </c>
      <c r="X6200" s="21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f t="shared" si="100"/>
        <v>384</v>
      </c>
      <c r="AP6200" t="s">
        <v>1915</v>
      </c>
    </row>
    <row r="6201" spans="1:42">
      <c r="A6201" s="1">
        <v>43798</v>
      </c>
      <c r="B6201">
        <v>5</v>
      </c>
      <c r="C6201">
        <v>978</v>
      </c>
      <c r="D6201">
        <v>14390</v>
      </c>
      <c r="E6201" t="s">
        <v>112</v>
      </c>
      <c r="F6201" t="s">
        <v>520</v>
      </c>
      <c r="G6201">
        <v>2</v>
      </c>
      <c r="H6201">
        <v>90</v>
      </c>
      <c r="I6201" s="25">
        <v>1300</v>
      </c>
      <c r="K6201" t="s">
        <v>210</v>
      </c>
      <c r="M6201" t="s">
        <v>52</v>
      </c>
      <c r="N6201" t="s">
        <v>44</v>
      </c>
      <c r="O6201">
        <f>60+60+60+60+33</f>
        <v>273</v>
      </c>
      <c r="Q6201">
        <f t="shared" si="99"/>
        <v>3</v>
      </c>
      <c r="R6201">
        <v>1</v>
      </c>
      <c r="S6201">
        <v>0</v>
      </c>
      <c r="T6201">
        <v>0</v>
      </c>
      <c r="U6201">
        <v>0</v>
      </c>
      <c r="V6201">
        <v>0</v>
      </c>
      <c r="W6201">
        <v>3</v>
      </c>
      <c r="X6201" s="2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f t="shared" si="100"/>
        <v>288</v>
      </c>
      <c r="AP6201" t="s">
        <v>1915</v>
      </c>
    </row>
    <row r="6202" spans="1:42">
      <c r="A6202" s="1">
        <v>43798</v>
      </c>
      <c r="B6202">
        <v>5</v>
      </c>
      <c r="C6202">
        <v>978</v>
      </c>
      <c r="D6202">
        <v>14390</v>
      </c>
      <c r="E6202" t="s">
        <v>112</v>
      </c>
      <c r="F6202" t="s">
        <v>520</v>
      </c>
      <c r="G6202">
        <v>2</v>
      </c>
      <c r="H6202">
        <v>91</v>
      </c>
      <c r="I6202" s="25">
        <v>1300</v>
      </c>
      <c r="K6202" t="s">
        <v>210</v>
      </c>
      <c r="M6202" t="s">
        <v>52</v>
      </c>
      <c r="N6202" t="s">
        <v>44</v>
      </c>
      <c r="O6202">
        <f>60+60+60+60+60+33</f>
        <v>333</v>
      </c>
      <c r="Q6202">
        <f t="shared" si="99"/>
        <v>2</v>
      </c>
      <c r="R6202">
        <v>1</v>
      </c>
      <c r="S6202">
        <v>0</v>
      </c>
      <c r="T6202">
        <v>0</v>
      </c>
      <c r="U6202">
        <v>0</v>
      </c>
      <c r="V6202">
        <v>0</v>
      </c>
      <c r="W6202">
        <v>2</v>
      </c>
      <c r="X6202" s="21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f t="shared" si="100"/>
        <v>192</v>
      </c>
      <c r="AP6202" t="s">
        <v>1915</v>
      </c>
    </row>
    <row r="6203" spans="1:42">
      <c r="A6203" s="1">
        <v>43798</v>
      </c>
      <c r="B6203">
        <v>5</v>
      </c>
      <c r="C6203">
        <v>978</v>
      </c>
      <c r="D6203">
        <v>14390</v>
      </c>
      <c r="E6203" t="s">
        <v>112</v>
      </c>
      <c r="F6203" t="s">
        <v>520</v>
      </c>
      <c r="G6203">
        <v>2</v>
      </c>
      <c r="H6203">
        <v>92</v>
      </c>
      <c r="I6203" s="25">
        <v>1200</v>
      </c>
      <c r="K6203" t="s">
        <v>324</v>
      </c>
      <c r="M6203" t="s">
        <v>52</v>
      </c>
      <c r="N6203" t="s">
        <v>44</v>
      </c>
      <c r="O6203">
        <f>60+48</f>
        <v>108</v>
      </c>
      <c r="Q6203">
        <f t="shared" si="99"/>
        <v>1</v>
      </c>
      <c r="R6203">
        <v>1</v>
      </c>
      <c r="S6203">
        <v>0</v>
      </c>
      <c r="T6203">
        <v>0</v>
      </c>
      <c r="U6203">
        <v>0</v>
      </c>
      <c r="V6203">
        <v>0</v>
      </c>
      <c r="W6203">
        <v>1</v>
      </c>
      <c r="X6203" s="21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f t="shared" si="100"/>
        <v>96</v>
      </c>
      <c r="AP6203" t="s">
        <v>1915</v>
      </c>
    </row>
    <row r="6204" spans="1:42">
      <c r="A6204" s="1">
        <v>43798</v>
      </c>
      <c r="B6204">
        <v>5</v>
      </c>
      <c r="C6204">
        <v>978</v>
      </c>
      <c r="D6204">
        <v>14390</v>
      </c>
      <c r="E6204" t="s">
        <v>112</v>
      </c>
      <c r="F6204" t="s">
        <v>520</v>
      </c>
      <c r="G6204">
        <v>2</v>
      </c>
      <c r="H6204">
        <v>93</v>
      </c>
      <c r="I6204" s="25">
        <v>1247</v>
      </c>
      <c r="K6204" t="s">
        <v>324</v>
      </c>
      <c r="M6204" t="s">
        <v>52</v>
      </c>
      <c r="N6204" t="s">
        <v>44</v>
      </c>
      <c r="O6204">
        <f>60+60+4</f>
        <v>124</v>
      </c>
      <c r="Q6204">
        <f t="shared" si="99"/>
        <v>1</v>
      </c>
      <c r="R6204">
        <v>1</v>
      </c>
      <c r="S6204">
        <v>0</v>
      </c>
      <c r="T6204">
        <v>0</v>
      </c>
      <c r="U6204">
        <v>0</v>
      </c>
      <c r="V6204">
        <v>0</v>
      </c>
      <c r="W6204">
        <v>1</v>
      </c>
      <c r="X6204" s="21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f t="shared" si="100"/>
        <v>96</v>
      </c>
      <c r="AP6204" t="s">
        <v>1915</v>
      </c>
    </row>
    <row r="6205" spans="1:42">
      <c r="A6205" s="1">
        <v>43798</v>
      </c>
      <c r="B6205">
        <v>5</v>
      </c>
      <c r="C6205">
        <v>978</v>
      </c>
      <c r="D6205">
        <v>14390</v>
      </c>
      <c r="E6205" t="s">
        <v>112</v>
      </c>
      <c r="F6205" t="s">
        <v>520</v>
      </c>
      <c r="G6205">
        <v>2</v>
      </c>
      <c r="H6205">
        <v>94</v>
      </c>
      <c r="I6205" s="25">
        <v>1229</v>
      </c>
      <c r="K6205" t="s">
        <v>324</v>
      </c>
      <c r="M6205" t="s">
        <v>52</v>
      </c>
      <c r="N6205" t="s">
        <v>44</v>
      </c>
      <c r="O6205">
        <f>60+60+56</f>
        <v>176</v>
      </c>
      <c r="Q6205">
        <f t="shared" si="99"/>
        <v>2</v>
      </c>
      <c r="R6205">
        <v>1</v>
      </c>
      <c r="S6205">
        <v>0</v>
      </c>
      <c r="T6205">
        <v>0</v>
      </c>
      <c r="U6205">
        <v>0</v>
      </c>
      <c r="V6205">
        <v>0</v>
      </c>
      <c r="W6205">
        <v>2</v>
      </c>
      <c r="X6205" s="21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f t="shared" si="100"/>
        <v>192</v>
      </c>
      <c r="AP6205" t="s">
        <v>1915</v>
      </c>
    </row>
    <row r="6206" spans="1:42">
      <c r="A6206" s="1">
        <v>43798</v>
      </c>
      <c r="B6206">
        <v>5</v>
      </c>
      <c r="C6206">
        <v>978</v>
      </c>
      <c r="D6206">
        <v>14390</v>
      </c>
      <c r="E6206" t="s">
        <v>112</v>
      </c>
      <c r="F6206" t="s">
        <v>520</v>
      </c>
      <c r="G6206">
        <v>2</v>
      </c>
      <c r="H6206">
        <v>95</v>
      </c>
      <c r="I6206" s="25">
        <v>1200</v>
      </c>
      <c r="K6206" t="s">
        <v>324</v>
      </c>
      <c r="M6206" t="s">
        <v>52</v>
      </c>
      <c r="N6206" t="s">
        <v>44</v>
      </c>
      <c r="O6206">
        <v>101</v>
      </c>
      <c r="Q6206">
        <f t="shared" si="99"/>
        <v>1</v>
      </c>
      <c r="R6206">
        <v>1</v>
      </c>
      <c r="S6206">
        <v>0</v>
      </c>
      <c r="T6206">
        <v>0</v>
      </c>
      <c r="U6206">
        <v>0</v>
      </c>
      <c r="V6206">
        <v>0</v>
      </c>
      <c r="W6206">
        <v>1</v>
      </c>
      <c r="X6206" s="21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f t="shared" si="100"/>
        <v>96</v>
      </c>
      <c r="AP6206" t="s">
        <v>1915</v>
      </c>
    </row>
    <row r="6207" spans="1:42">
      <c r="A6207" s="1">
        <v>43798</v>
      </c>
      <c r="B6207">
        <v>5</v>
      </c>
      <c r="C6207">
        <v>978</v>
      </c>
      <c r="D6207">
        <v>14390</v>
      </c>
      <c r="E6207" t="s">
        <v>112</v>
      </c>
      <c r="F6207" t="s">
        <v>520</v>
      </c>
      <c r="G6207">
        <v>2</v>
      </c>
      <c r="H6207">
        <v>96</v>
      </c>
      <c r="I6207" s="25">
        <v>1300</v>
      </c>
      <c r="K6207" t="s">
        <v>119</v>
      </c>
      <c r="M6207" t="s">
        <v>52</v>
      </c>
      <c r="N6207" t="s">
        <v>44</v>
      </c>
      <c r="O6207">
        <f>60+60+60+60+60+60+56</f>
        <v>416</v>
      </c>
      <c r="Q6207">
        <f t="shared" si="99"/>
        <v>4</v>
      </c>
      <c r="R6207">
        <v>1</v>
      </c>
      <c r="S6207">
        <v>0</v>
      </c>
      <c r="T6207">
        <v>0</v>
      </c>
      <c r="U6207">
        <v>0</v>
      </c>
      <c r="V6207">
        <v>2</v>
      </c>
      <c r="W6207">
        <v>2</v>
      </c>
      <c r="X6207" s="21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1</v>
      </c>
      <c r="AG6207">
        <v>0</v>
      </c>
      <c r="AH6207">
        <f t="shared" si="100"/>
        <v>320</v>
      </c>
      <c r="AP6207" t="s">
        <v>1915</v>
      </c>
    </row>
    <row r="6208" spans="1:42">
      <c r="A6208" s="1">
        <v>43798</v>
      </c>
      <c r="B6208">
        <v>5</v>
      </c>
      <c r="C6208">
        <v>978</v>
      </c>
      <c r="D6208">
        <v>14390</v>
      </c>
      <c r="E6208" t="s">
        <v>112</v>
      </c>
      <c r="F6208" t="s">
        <v>520</v>
      </c>
      <c r="G6208">
        <v>2</v>
      </c>
      <c r="H6208">
        <v>97</v>
      </c>
      <c r="I6208" s="25">
        <v>1365</v>
      </c>
      <c r="K6208" t="s">
        <v>119</v>
      </c>
      <c r="M6208" t="s">
        <v>52</v>
      </c>
      <c r="N6208" t="s">
        <v>44</v>
      </c>
      <c r="O6208">
        <f>60+60+60+60+4</f>
        <v>244</v>
      </c>
      <c r="Q6208">
        <f t="shared" ref="Q6208:Q6271" si="101">SUM(S6208:AE6208)</f>
        <v>3</v>
      </c>
      <c r="R6208">
        <v>1</v>
      </c>
      <c r="S6208">
        <v>0</v>
      </c>
      <c r="T6208">
        <v>0</v>
      </c>
      <c r="U6208">
        <v>0</v>
      </c>
      <c r="V6208">
        <v>0</v>
      </c>
      <c r="W6208">
        <v>3</v>
      </c>
      <c r="X6208" s="21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f t="shared" ref="AH6208:AH6271" si="102">(16*S6208)+(20*T6208)+(32*U6208)+(64*V6208)+(96*W6208)</f>
        <v>288</v>
      </c>
      <c r="AL6208" t="s">
        <v>1941</v>
      </c>
      <c r="AP6208" t="s">
        <v>1915</v>
      </c>
    </row>
    <row r="6209" spans="1:42">
      <c r="A6209" s="1">
        <v>43798</v>
      </c>
      <c r="B6209">
        <v>5</v>
      </c>
      <c r="C6209">
        <v>978</v>
      </c>
      <c r="D6209">
        <v>14390</v>
      </c>
      <c r="E6209" t="s">
        <v>112</v>
      </c>
      <c r="F6209" t="s">
        <v>520</v>
      </c>
      <c r="G6209">
        <v>2</v>
      </c>
      <c r="H6209">
        <v>98</v>
      </c>
      <c r="I6209" s="25">
        <v>1100</v>
      </c>
      <c r="K6209" t="s">
        <v>119</v>
      </c>
      <c r="M6209" t="s">
        <v>52</v>
      </c>
      <c r="N6209" t="s">
        <v>44</v>
      </c>
      <c r="O6209">
        <v>103</v>
      </c>
      <c r="Q6209">
        <f t="shared" si="101"/>
        <v>1</v>
      </c>
      <c r="R6209">
        <v>1</v>
      </c>
      <c r="S6209">
        <v>0</v>
      </c>
      <c r="T6209">
        <v>0</v>
      </c>
      <c r="U6209">
        <v>0</v>
      </c>
      <c r="V6209">
        <v>0</v>
      </c>
      <c r="W6209">
        <v>1</v>
      </c>
      <c r="X6209" s="21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f t="shared" si="102"/>
        <v>96</v>
      </c>
      <c r="AL6209" t="s">
        <v>1941</v>
      </c>
      <c r="AP6209" t="s">
        <v>1915</v>
      </c>
    </row>
    <row r="6210" spans="1:42">
      <c r="A6210" s="1">
        <v>43798</v>
      </c>
      <c r="B6210">
        <v>5</v>
      </c>
      <c r="C6210">
        <v>978</v>
      </c>
      <c r="D6210">
        <v>14390</v>
      </c>
      <c r="E6210" t="s">
        <v>112</v>
      </c>
      <c r="F6210" t="s">
        <v>520</v>
      </c>
      <c r="G6210">
        <v>2</v>
      </c>
      <c r="H6210">
        <v>99</v>
      </c>
      <c r="I6210" s="25">
        <v>1111</v>
      </c>
      <c r="K6210" t="s">
        <v>119</v>
      </c>
      <c r="L6210" t="s">
        <v>141</v>
      </c>
      <c r="M6210" t="s">
        <v>52</v>
      </c>
      <c r="N6210" t="s">
        <v>44</v>
      </c>
      <c r="O6210">
        <f>60+60+47</f>
        <v>167</v>
      </c>
      <c r="Q6210">
        <f t="shared" si="101"/>
        <v>2</v>
      </c>
      <c r="R6210">
        <v>1</v>
      </c>
      <c r="S6210">
        <v>0</v>
      </c>
      <c r="T6210">
        <v>0</v>
      </c>
      <c r="U6210">
        <v>0</v>
      </c>
      <c r="V6210">
        <v>0</v>
      </c>
      <c r="W6210">
        <v>2</v>
      </c>
      <c r="X6210" s="21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f t="shared" si="102"/>
        <v>192</v>
      </c>
      <c r="AL6210" t="s">
        <v>1948</v>
      </c>
      <c r="AP6210" t="s">
        <v>1915</v>
      </c>
    </row>
    <row r="6211" spans="1:42">
      <c r="A6211" s="1">
        <v>43798</v>
      </c>
      <c r="B6211">
        <v>5</v>
      </c>
      <c r="C6211">
        <v>978</v>
      </c>
      <c r="D6211">
        <v>14390</v>
      </c>
      <c r="E6211" t="s">
        <v>112</v>
      </c>
      <c r="F6211" t="s">
        <v>520</v>
      </c>
      <c r="G6211">
        <v>2</v>
      </c>
      <c r="H6211">
        <v>100</v>
      </c>
      <c r="I6211" s="25">
        <v>1900</v>
      </c>
      <c r="K6211" t="s">
        <v>828</v>
      </c>
      <c r="M6211" t="s">
        <v>52</v>
      </c>
      <c r="N6211" t="s">
        <v>40</v>
      </c>
      <c r="O6211">
        <v>55</v>
      </c>
      <c r="Q6211">
        <f t="shared" si="101"/>
        <v>1</v>
      </c>
      <c r="R6211">
        <v>1</v>
      </c>
      <c r="S6211">
        <v>0</v>
      </c>
      <c r="T6211">
        <v>0</v>
      </c>
      <c r="U6211">
        <v>0</v>
      </c>
      <c r="V6211">
        <v>1</v>
      </c>
      <c r="W6211">
        <v>0</v>
      </c>
      <c r="X6211" s="2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f t="shared" si="102"/>
        <v>64</v>
      </c>
      <c r="AP6211" t="s">
        <v>1915</v>
      </c>
    </row>
    <row r="6212" spans="1:42">
      <c r="A6212" s="1">
        <v>43798</v>
      </c>
      <c r="B6212">
        <v>5</v>
      </c>
      <c r="C6212">
        <v>978</v>
      </c>
      <c r="D6212">
        <v>14390</v>
      </c>
      <c r="E6212" t="s">
        <v>112</v>
      </c>
      <c r="F6212" t="s">
        <v>520</v>
      </c>
      <c r="G6212">
        <v>2</v>
      </c>
      <c r="H6212">
        <v>101</v>
      </c>
      <c r="I6212" s="25">
        <v>1900</v>
      </c>
      <c r="K6212" t="s">
        <v>828</v>
      </c>
      <c r="M6212" t="s">
        <v>52</v>
      </c>
      <c r="N6212" t="s">
        <v>44</v>
      </c>
      <c r="O6212">
        <f>60+60+60+60+60+31</f>
        <v>331</v>
      </c>
      <c r="Q6212">
        <f t="shared" si="101"/>
        <v>5</v>
      </c>
      <c r="R6212">
        <v>1</v>
      </c>
      <c r="S6212">
        <v>0</v>
      </c>
      <c r="T6212">
        <v>0</v>
      </c>
      <c r="U6212">
        <v>1</v>
      </c>
      <c r="V6212">
        <v>1</v>
      </c>
      <c r="W6212">
        <v>3</v>
      </c>
      <c r="X6212" s="21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f t="shared" si="102"/>
        <v>384</v>
      </c>
      <c r="AP6212" t="s">
        <v>1915</v>
      </c>
    </row>
    <row r="6213" spans="1:42">
      <c r="A6213" s="1">
        <v>43798</v>
      </c>
      <c r="B6213">
        <v>5</v>
      </c>
      <c r="C6213">
        <v>978</v>
      </c>
      <c r="D6213">
        <v>14390</v>
      </c>
      <c r="E6213" t="s">
        <v>112</v>
      </c>
      <c r="F6213" t="s">
        <v>520</v>
      </c>
      <c r="G6213">
        <v>2</v>
      </c>
      <c r="H6213">
        <v>102</v>
      </c>
      <c r="I6213" s="25">
        <v>1900</v>
      </c>
      <c r="K6213" t="s">
        <v>828</v>
      </c>
      <c r="M6213" t="s">
        <v>52</v>
      </c>
      <c r="N6213" t="s">
        <v>40</v>
      </c>
      <c r="O6213">
        <f>60+60+60+53</f>
        <v>233</v>
      </c>
      <c r="Q6213">
        <f t="shared" si="101"/>
        <v>2</v>
      </c>
      <c r="R6213">
        <v>1</v>
      </c>
      <c r="S6213">
        <v>0</v>
      </c>
      <c r="T6213">
        <v>0</v>
      </c>
      <c r="U6213">
        <v>0</v>
      </c>
      <c r="V6213">
        <v>0</v>
      </c>
      <c r="W6213">
        <v>2</v>
      </c>
      <c r="X6213" s="21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f t="shared" si="102"/>
        <v>192</v>
      </c>
      <c r="AP6213" t="s">
        <v>1915</v>
      </c>
    </row>
    <row r="6214" spans="1:42">
      <c r="A6214" s="1">
        <v>43798</v>
      </c>
      <c r="B6214">
        <v>5</v>
      </c>
      <c r="C6214">
        <v>978</v>
      </c>
      <c r="D6214">
        <v>14390</v>
      </c>
      <c r="E6214" t="s">
        <v>112</v>
      </c>
      <c r="F6214" t="s">
        <v>520</v>
      </c>
      <c r="G6214">
        <v>2</v>
      </c>
      <c r="H6214">
        <v>103</v>
      </c>
      <c r="I6214" s="25">
        <v>1342</v>
      </c>
      <c r="K6214" t="s">
        <v>119</v>
      </c>
      <c r="L6214" t="s">
        <v>114</v>
      </c>
      <c r="M6214" t="s">
        <v>52</v>
      </c>
      <c r="N6214" t="s">
        <v>44</v>
      </c>
      <c r="O6214">
        <f>60+48</f>
        <v>108</v>
      </c>
      <c r="Q6214">
        <f t="shared" si="101"/>
        <v>1</v>
      </c>
      <c r="R6214">
        <v>1</v>
      </c>
      <c r="S6214">
        <v>0</v>
      </c>
      <c r="T6214">
        <v>0</v>
      </c>
      <c r="U6214">
        <v>0</v>
      </c>
      <c r="V6214">
        <v>0</v>
      </c>
      <c r="W6214">
        <v>1</v>
      </c>
      <c r="X6214" s="21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f t="shared" si="102"/>
        <v>96</v>
      </c>
      <c r="AL6214" t="s">
        <v>597</v>
      </c>
      <c r="AP6214" t="s">
        <v>1915</v>
      </c>
    </row>
    <row r="6215" spans="1:42">
      <c r="A6215" s="1">
        <v>43798</v>
      </c>
      <c r="B6215">
        <v>5</v>
      </c>
      <c r="C6215">
        <v>978</v>
      </c>
      <c r="D6215">
        <v>14390</v>
      </c>
      <c r="E6215" t="s">
        <v>112</v>
      </c>
      <c r="F6215" t="s">
        <v>520</v>
      </c>
      <c r="G6215">
        <v>2</v>
      </c>
      <c r="H6215">
        <v>104</v>
      </c>
      <c r="I6215" s="25">
        <v>1360</v>
      </c>
      <c r="K6215" t="s">
        <v>119</v>
      </c>
      <c r="M6215" t="s">
        <v>52</v>
      </c>
      <c r="N6215" t="s">
        <v>44</v>
      </c>
      <c r="O6215">
        <f>60+60+6</f>
        <v>126</v>
      </c>
      <c r="Q6215">
        <f t="shared" si="101"/>
        <v>1</v>
      </c>
      <c r="R6215">
        <v>1</v>
      </c>
      <c r="S6215">
        <v>0</v>
      </c>
      <c r="T6215">
        <v>0</v>
      </c>
      <c r="U6215">
        <v>0</v>
      </c>
      <c r="V6215">
        <v>0</v>
      </c>
      <c r="W6215">
        <v>1</v>
      </c>
      <c r="X6215" s="21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f t="shared" si="102"/>
        <v>96</v>
      </c>
      <c r="AL6215" t="s">
        <v>597</v>
      </c>
      <c r="AP6215" t="s">
        <v>1915</v>
      </c>
    </row>
    <row r="6216" spans="1:42">
      <c r="A6216" s="1">
        <v>43798</v>
      </c>
      <c r="B6216">
        <v>5</v>
      </c>
      <c r="C6216">
        <v>978</v>
      </c>
      <c r="D6216">
        <v>14390</v>
      </c>
      <c r="E6216" t="s">
        <v>112</v>
      </c>
      <c r="F6216" t="s">
        <v>520</v>
      </c>
      <c r="G6216">
        <v>2</v>
      </c>
      <c r="H6216">
        <v>105</v>
      </c>
      <c r="I6216" s="25">
        <v>1400</v>
      </c>
      <c r="K6216" t="s">
        <v>119</v>
      </c>
      <c r="M6216" t="s">
        <v>52</v>
      </c>
      <c r="N6216" t="s">
        <v>44</v>
      </c>
      <c r="O6216">
        <f>60+60+60+60+60+46</f>
        <v>346</v>
      </c>
      <c r="Q6216">
        <f t="shared" si="101"/>
        <v>3</v>
      </c>
      <c r="R6216">
        <v>1</v>
      </c>
      <c r="S6216">
        <v>0</v>
      </c>
      <c r="T6216">
        <v>0</v>
      </c>
      <c r="U6216">
        <v>0</v>
      </c>
      <c r="V6216">
        <v>0</v>
      </c>
      <c r="W6216">
        <v>3</v>
      </c>
      <c r="X6216" s="21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1</v>
      </c>
      <c r="AG6216">
        <v>0</v>
      </c>
      <c r="AH6216">
        <f t="shared" si="102"/>
        <v>288</v>
      </c>
      <c r="AP6216" t="s">
        <v>1915</v>
      </c>
    </row>
    <row r="6217" spans="1:42">
      <c r="A6217" s="1">
        <v>43788</v>
      </c>
      <c r="B6217">
        <v>2</v>
      </c>
      <c r="C6217">
        <v>981</v>
      </c>
      <c r="D6217">
        <v>10371</v>
      </c>
      <c r="E6217" t="s">
        <v>37</v>
      </c>
      <c r="F6217" t="s">
        <v>520</v>
      </c>
      <c r="G6217">
        <v>2</v>
      </c>
      <c r="H6217">
        <v>1</v>
      </c>
      <c r="I6217" s="25">
        <v>0</v>
      </c>
      <c r="K6217" t="s">
        <v>1949</v>
      </c>
      <c r="M6217" t="s">
        <v>52</v>
      </c>
      <c r="N6217" t="s">
        <v>1703</v>
      </c>
      <c r="O6217">
        <f>60+60+9</f>
        <v>129</v>
      </c>
      <c r="Q6217">
        <f t="shared" si="101"/>
        <v>1</v>
      </c>
      <c r="R6217">
        <v>1</v>
      </c>
      <c r="S6217">
        <v>0</v>
      </c>
      <c r="T6217">
        <v>0</v>
      </c>
      <c r="U6217">
        <v>0</v>
      </c>
      <c r="V6217">
        <v>0</v>
      </c>
      <c r="W6217">
        <v>1</v>
      </c>
      <c r="X6217" s="21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f t="shared" si="102"/>
        <v>96</v>
      </c>
      <c r="AL6217" t="s">
        <v>1950</v>
      </c>
      <c r="AP6217" t="s">
        <v>1915</v>
      </c>
    </row>
    <row r="6218" spans="1:42">
      <c r="A6218" s="1">
        <v>43788</v>
      </c>
      <c r="B6218">
        <v>2</v>
      </c>
      <c r="C6218">
        <v>981</v>
      </c>
      <c r="D6218">
        <v>10371</v>
      </c>
      <c r="E6218" t="s">
        <v>37</v>
      </c>
      <c r="F6218" t="s">
        <v>520</v>
      </c>
      <c r="G6218">
        <v>2</v>
      </c>
      <c r="H6218">
        <v>2</v>
      </c>
      <c r="I6218" s="25">
        <v>0</v>
      </c>
      <c r="K6218" t="s">
        <v>1949</v>
      </c>
      <c r="M6218" t="s">
        <v>52</v>
      </c>
      <c r="N6218" t="s">
        <v>40</v>
      </c>
      <c r="O6218">
        <f>86</f>
        <v>86</v>
      </c>
      <c r="Q6218">
        <f t="shared" si="101"/>
        <v>1</v>
      </c>
      <c r="R6218">
        <v>1</v>
      </c>
      <c r="S6218">
        <v>0</v>
      </c>
      <c r="T6218">
        <v>0</v>
      </c>
      <c r="U6218">
        <v>0</v>
      </c>
      <c r="V6218">
        <v>0</v>
      </c>
      <c r="W6218">
        <v>1</v>
      </c>
      <c r="X6218" s="21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f t="shared" si="102"/>
        <v>96</v>
      </c>
      <c r="AP6218" t="s">
        <v>1915</v>
      </c>
    </row>
    <row r="6219" spans="1:42">
      <c r="A6219" s="1">
        <v>43788</v>
      </c>
      <c r="B6219">
        <v>2</v>
      </c>
      <c r="C6219">
        <v>981</v>
      </c>
      <c r="D6219">
        <v>10371</v>
      </c>
      <c r="E6219" t="s">
        <v>37</v>
      </c>
      <c r="F6219" t="s">
        <v>520</v>
      </c>
      <c r="G6219">
        <v>2</v>
      </c>
      <c r="H6219">
        <v>3</v>
      </c>
      <c r="I6219" s="25">
        <v>0</v>
      </c>
      <c r="K6219" t="s">
        <v>1949</v>
      </c>
      <c r="M6219" t="s">
        <v>52</v>
      </c>
      <c r="N6219" t="s">
        <v>40</v>
      </c>
      <c r="O6219">
        <v>65</v>
      </c>
      <c r="Q6219">
        <f t="shared" si="101"/>
        <v>2</v>
      </c>
      <c r="R6219">
        <v>1</v>
      </c>
      <c r="S6219">
        <v>0</v>
      </c>
      <c r="T6219">
        <v>0</v>
      </c>
      <c r="U6219">
        <v>0</v>
      </c>
      <c r="V6219">
        <v>0</v>
      </c>
      <c r="W6219">
        <v>2</v>
      </c>
      <c r="X6219" s="21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f t="shared" si="102"/>
        <v>192</v>
      </c>
      <c r="AP6219" t="s">
        <v>1915</v>
      </c>
    </row>
    <row r="6220" spans="1:42">
      <c r="A6220" s="1">
        <v>43788</v>
      </c>
      <c r="B6220">
        <v>2</v>
      </c>
      <c r="C6220">
        <v>981</v>
      </c>
      <c r="D6220">
        <v>10371</v>
      </c>
      <c r="E6220" t="s">
        <v>37</v>
      </c>
      <c r="F6220" t="s">
        <v>520</v>
      </c>
      <c r="G6220">
        <v>2</v>
      </c>
      <c r="H6220">
        <v>4</v>
      </c>
      <c r="I6220" s="25">
        <v>133</v>
      </c>
      <c r="K6220" t="s">
        <v>1949</v>
      </c>
      <c r="L6220" t="s">
        <v>141</v>
      </c>
      <c r="M6220" t="s">
        <v>52</v>
      </c>
      <c r="N6220" t="s">
        <v>44</v>
      </c>
      <c r="O6220">
        <v>125</v>
      </c>
      <c r="Q6220">
        <f t="shared" si="101"/>
        <v>1</v>
      </c>
      <c r="R6220">
        <v>1</v>
      </c>
      <c r="S6220">
        <v>0</v>
      </c>
      <c r="T6220">
        <v>0</v>
      </c>
      <c r="U6220">
        <v>0</v>
      </c>
      <c r="V6220">
        <v>0</v>
      </c>
      <c r="W6220">
        <v>1</v>
      </c>
      <c r="X6220" s="21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1</v>
      </c>
      <c r="AG6220">
        <v>0</v>
      </c>
      <c r="AH6220">
        <f t="shared" si="102"/>
        <v>96</v>
      </c>
      <c r="AP6220" t="s">
        <v>1915</v>
      </c>
    </row>
    <row r="6221" spans="1:42">
      <c r="A6221" s="1">
        <v>43788</v>
      </c>
      <c r="B6221">
        <v>2</v>
      </c>
      <c r="C6221">
        <v>981</v>
      </c>
      <c r="D6221">
        <v>10371</v>
      </c>
      <c r="E6221" t="s">
        <v>37</v>
      </c>
      <c r="F6221" t="s">
        <v>520</v>
      </c>
      <c r="G6221">
        <v>2</v>
      </c>
      <c r="H6221">
        <v>5</v>
      </c>
      <c r="I6221" s="25">
        <v>0</v>
      </c>
      <c r="K6221" t="s">
        <v>1949</v>
      </c>
      <c r="M6221" t="s">
        <v>52</v>
      </c>
      <c r="N6221" t="s">
        <v>40</v>
      </c>
      <c r="O6221">
        <v>68</v>
      </c>
      <c r="Q6221">
        <f t="shared" si="101"/>
        <v>1</v>
      </c>
      <c r="R6221">
        <v>1</v>
      </c>
      <c r="S6221">
        <v>0</v>
      </c>
      <c r="T6221">
        <v>0</v>
      </c>
      <c r="U6221">
        <v>0</v>
      </c>
      <c r="V6221">
        <v>0</v>
      </c>
      <c r="W6221">
        <v>1</v>
      </c>
      <c r="X6221" s="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f t="shared" si="102"/>
        <v>96</v>
      </c>
      <c r="AP6221" t="s">
        <v>1915</v>
      </c>
    </row>
    <row r="6222" spans="1:42">
      <c r="A6222" s="1">
        <v>43788</v>
      </c>
      <c r="B6222">
        <v>2</v>
      </c>
      <c r="C6222">
        <v>981</v>
      </c>
      <c r="D6222">
        <v>10371</v>
      </c>
      <c r="E6222" t="s">
        <v>37</v>
      </c>
      <c r="F6222" t="s">
        <v>520</v>
      </c>
      <c r="G6222">
        <v>2</v>
      </c>
      <c r="H6222">
        <v>6</v>
      </c>
      <c r="I6222" s="25">
        <v>1333</v>
      </c>
      <c r="K6222" t="s">
        <v>46</v>
      </c>
      <c r="L6222" t="s">
        <v>141</v>
      </c>
      <c r="M6222" t="s">
        <v>52</v>
      </c>
      <c r="N6222" t="s">
        <v>44</v>
      </c>
      <c r="O6222">
        <f>60+60+60+60+60+42</f>
        <v>342</v>
      </c>
      <c r="Q6222">
        <f t="shared" si="101"/>
        <v>5</v>
      </c>
      <c r="R6222">
        <v>1</v>
      </c>
      <c r="S6222">
        <v>0</v>
      </c>
      <c r="T6222">
        <v>0</v>
      </c>
      <c r="U6222">
        <v>0</v>
      </c>
      <c r="V6222">
        <v>0</v>
      </c>
      <c r="W6222">
        <v>5</v>
      </c>
      <c r="X6222" s="21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f t="shared" si="102"/>
        <v>480</v>
      </c>
      <c r="AL6222" t="s">
        <v>1951</v>
      </c>
      <c r="AP6222" t="s">
        <v>1915</v>
      </c>
    </row>
    <row r="6223" spans="1:42">
      <c r="A6223" s="1">
        <v>43788</v>
      </c>
      <c r="B6223">
        <v>2</v>
      </c>
      <c r="C6223">
        <v>981</v>
      </c>
      <c r="D6223">
        <v>10371</v>
      </c>
      <c r="E6223" t="s">
        <v>37</v>
      </c>
      <c r="F6223" t="s">
        <v>520</v>
      </c>
      <c r="G6223">
        <v>2</v>
      </c>
      <c r="H6223">
        <v>7</v>
      </c>
      <c r="I6223" s="25">
        <v>1112</v>
      </c>
      <c r="K6223" t="s">
        <v>420</v>
      </c>
      <c r="L6223" t="s">
        <v>114</v>
      </c>
      <c r="M6223" t="s">
        <v>52</v>
      </c>
      <c r="N6223" t="s">
        <v>44</v>
      </c>
      <c r="O6223">
        <f>60+60+60+60+2</f>
        <v>242</v>
      </c>
      <c r="Q6223">
        <f t="shared" si="101"/>
        <v>2</v>
      </c>
      <c r="R6223">
        <v>1</v>
      </c>
      <c r="S6223">
        <v>0</v>
      </c>
      <c r="T6223">
        <v>0</v>
      </c>
      <c r="U6223">
        <v>0</v>
      </c>
      <c r="V6223">
        <v>0</v>
      </c>
      <c r="W6223">
        <v>2</v>
      </c>
      <c r="X6223" s="21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f t="shared" si="102"/>
        <v>192</v>
      </c>
      <c r="AL6223" t="s">
        <v>1939</v>
      </c>
      <c r="AP6223" t="s">
        <v>1915</v>
      </c>
    </row>
    <row r="6224" spans="1:42">
      <c r="A6224" s="1">
        <v>43788</v>
      </c>
      <c r="B6224">
        <v>2</v>
      </c>
      <c r="C6224">
        <v>981</v>
      </c>
      <c r="D6224">
        <v>10371</v>
      </c>
      <c r="E6224" t="s">
        <v>37</v>
      </c>
      <c r="F6224" t="s">
        <v>520</v>
      </c>
      <c r="G6224">
        <v>2</v>
      </c>
      <c r="H6224">
        <v>8</v>
      </c>
      <c r="I6224" s="25">
        <v>1421</v>
      </c>
      <c r="K6224" t="s">
        <v>69</v>
      </c>
      <c r="L6224" t="s">
        <v>141</v>
      </c>
      <c r="M6224" t="s">
        <v>52</v>
      </c>
      <c r="N6224" t="s">
        <v>44</v>
      </c>
      <c r="O6224">
        <f>60+60+60+31</f>
        <v>211</v>
      </c>
      <c r="Q6224">
        <f t="shared" si="101"/>
        <v>5</v>
      </c>
      <c r="R6224">
        <v>1</v>
      </c>
      <c r="S6224">
        <v>0</v>
      </c>
      <c r="T6224">
        <v>0</v>
      </c>
      <c r="U6224">
        <v>0</v>
      </c>
      <c r="V6224">
        <v>2</v>
      </c>
      <c r="W6224">
        <v>3</v>
      </c>
      <c r="X6224" s="21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f t="shared" si="102"/>
        <v>416</v>
      </c>
      <c r="AL6224" t="s">
        <v>1952</v>
      </c>
      <c r="AP6224" t="s">
        <v>1915</v>
      </c>
    </row>
    <row r="6225" spans="1:42">
      <c r="A6225" s="1">
        <v>43788</v>
      </c>
      <c r="B6225">
        <v>2</v>
      </c>
      <c r="C6225">
        <v>981</v>
      </c>
      <c r="D6225">
        <v>10371</v>
      </c>
      <c r="E6225" t="s">
        <v>37</v>
      </c>
      <c r="F6225" t="s">
        <v>520</v>
      </c>
      <c r="G6225">
        <v>2</v>
      </c>
      <c r="H6225">
        <v>9</v>
      </c>
      <c r="I6225" s="25">
        <v>1314</v>
      </c>
      <c r="K6225" t="s">
        <v>414</v>
      </c>
      <c r="L6225" t="s">
        <v>114</v>
      </c>
      <c r="M6225" t="s">
        <v>52</v>
      </c>
      <c r="N6225" t="s">
        <v>44</v>
      </c>
      <c r="O6225">
        <f>60+60+60+60+49</f>
        <v>289</v>
      </c>
      <c r="Q6225">
        <f t="shared" si="101"/>
        <v>2</v>
      </c>
      <c r="R6225">
        <v>1</v>
      </c>
      <c r="S6225">
        <v>0</v>
      </c>
      <c r="T6225">
        <v>0</v>
      </c>
      <c r="U6225">
        <v>0</v>
      </c>
      <c r="V6225">
        <v>0</v>
      </c>
      <c r="W6225">
        <v>2</v>
      </c>
      <c r="X6225" s="21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f t="shared" si="102"/>
        <v>192</v>
      </c>
      <c r="AL6225" t="s">
        <v>1953</v>
      </c>
      <c r="AP6225" t="s">
        <v>1915</v>
      </c>
    </row>
    <row r="6226" spans="1:42">
      <c r="A6226" s="1">
        <v>43788</v>
      </c>
      <c r="B6226">
        <v>2</v>
      </c>
      <c r="C6226">
        <v>981</v>
      </c>
      <c r="D6226">
        <v>10371</v>
      </c>
      <c r="E6226" t="s">
        <v>37</v>
      </c>
      <c r="F6226" t="s">
        <v>520</v>
      </c>
      <c r="G6226">
        <v>2</v>
      </c>
      <c r="H6226">
        <v>10</v>
      </c>
      <c r="I6226" s="25">
        <v>400</v>
      </c>
      <c r="K6226" t="s">
        <v>414</v>
      </c>
      <c r="M6226" t="s">
        <v>52</v>
      </c>
      <c r="N6226" t="s">
        <v>40</v>
      </c>
      <c r="O6226">
        <f>98</f>
        <v>98</v>
      </c>
      <c r="Q6226">
        <f t="shared" si="101"/>
        <v>2</v>
      </c>
      <c r="R6226">
        <v>1</v>
      </c>
      <c r="S6226">
        <v>0</v>
      </c>
      <c r="T6226">
        <v>0</v>
      </c>
      <c r="U6226">
        <v>0</v>
      </c>
      <c r="V6226">
        <v>0</v>
      </c>
      <c r="W6226">
        <v>2</v>
      </c>
      <c r="X6226" s="21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2</v>
      </c>
      <c r="AG6226">
        <v>0</v>
      </c>
      <c r="AH6226">
        <f t="shared" si="102"/>
        <v>192</v>
      </c>
      <c r="AP6226" t="s">
        <v>1915</v>
      </c>
    </row>
    <row r="6227" spans="1:42">
      <c r="A6227" s="1">
        <v>43788</v>
      </c>
      <c r="B6227">
        <v>2</v>
      </c>
      <c r="C6227">
        <v>981</v>
      </c>
      <c r="D6227">
        <v>10371</v>
      </c>
      <c r="E6227" t="s">
        <v>37</v>
      </c>
      <c r="F6227" t="s">
        <v>520</v>
      </c>
      <c r="G6227">
        <v>2</v>
      </c>
      <c r="H6227">
        <v>11</v>
      </c>
      <c r="I6227" s="25">
        <v>400</v>
      </c>
      <c r="K6227" t="s">
        <v>414</v>
      </c>
      <c r="M6227" t="s">
        <v>52</v>
      </c>
      <c r="N6227" t="s">
        <v>40</v>
      </c>
      <c r="O6227">
        <f>60+54</f>
        <v>114</v>
      </c>
      <c r="Q6227">
        <f t="shared" si="101"/>
        <v>4</v>
      </c>
      <c r="R6227">
        <v>1</v>
      </c>
      <c r="S6227">
        <v>0</v>
      </c>
      <c r="T6227">
        <v>0</v>
      </c>
      <c r="U6227">
        <v>1</v>
      </c>
      <c r="V6227">
        <v>1</v>
      </c>
      <c r="W6227">
        <v>2</v>
      </c>
      <c r="X6227" s="21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f t="shared" si="102"/>
        <v>288</v>
      </c>
      <c r="AP6227" t="s">
        <v>1915</v>
      </c>
    </row>
    <row r="6228" spans="1:42">
      <c r="A6228" s="1">
        <v>43788</v>
      </c>
      <c r="B6228">
        <v>2</v>
      </c>
      <c r="C6228">
        <v>981</v>
      </c>
      <c r="D6228">
        <v>10371</v>
      </c>
      <c r="E6228" t="s">
        <v>37</v>
      </c>
      <c r="F6228" t="s">
        <v>520</v>
      </c>
      <c r="G6228">
        <v>2</v>
      </c>
      <c r="H6228">
        <v>12</v>
      </c>
      <c r="I6228" s="25">
        <v>400</v>
      </c>
      <c r="K6228" t="s">
        <v>414</v>
      </c>
      <c r="M6228" t="s">
        <v>52</v>
      </c>
      <c r="N6228" t="s">
        <v>1703</v>
      </c>
      <c r="O6228">
        <f>60+60+60+26</f>
        <v>206</v>
      </c>
      <c r="Q6228">
        <f t="shared" si="101"/>
        <v>3</v>
      </c>
      <c r="R6228">
        <v>1</v>
      </c>
      <c r="S6228">
        <v>0</v>
      </c>
      <c r="T6228">
        <v>0</v>
      </c>
      <c r="U6228">
        <v>1</v>
      </c>
      <c r="V6228">
        <v>1</v>
      </c>
      <c r="W6228">
        <v>1</v>
      </c>
      <c r="X6228" s="21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4</v>
      </c>
      <c r="AG6228">
        <v>0</v>
      </c>
      <c r="AH6228">
        <f t="shared" si="102"/>
        <v>192</v>
      </c>
      <c r="AL6228" t="s">
        <v>1954</v>
      </c>
      <c r="AP6228" t="s">
        <v>1915</v>
      </c>
    </row>
    <row r="6229" spans="1:42">
      <c r="A6229" s="1">
        <v>43788</v>
      </c>
      <c r="B6229">
        <v>2</v>
      </c>
      <c r="C6229">
        <v>981</v>
      </c>
      <c r="D6229">
        <v>10371</v>
      </c>
      <c r="E6229" t="s">
        <v>37</v>
      </c>
      <c r="F6229" t="s">
        <v>520</v>
      </c>
      <c r="G6229">
        <v>2</v>
      </c>
      <c r="H6229">
        <v>13</v>
      </c>
      <c r="I6229" s="25">
        <v>1300</v>
      </c>
      <c r="K6229" t="s">
        <v>414</v>
      </c>
      <c r="M6229" t="s">
        <v>52</v>
      </c>
      <c r="N6229" t="s">
        <v>40</v>
      </c>
      <c r="O6229">
        <f>60+54</f>
        <v>114</v>
      </c>
      <c r="Q6229">
        <f t="shared" si="101"/>
        <v>2</v>
      </c>
      <c r="R6229">
        <v>1</v>
      </c>
      <c r="S6229">
        <v>0</v>
      </c>
      <c r="T6229">
        <v>0</v>
      </c>
      <c r="U6229">
        <v>1</v>
      </c>
      <c r="V6229">
        <v>0</v>
      </c>
      <c r="W6229">
        <v>1</v>
      </c>
      <c r="X6229" s="21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1</v>
      </c>
      <c r="AG6229">
        <v>0</v>
      </c>
      <c r="AH6229">
        <f t="shared" si="102"/>
        <v>128</v>
      </c>
      <c r="AP6229" t="s">
        <v>1915</v>
      </c>
    </row>
    <row r="6230" spans="1:42">
      <c r="A6230" s="1">
        <v>43788</v>
      </c>
      <c r="B6230">
        <v>2</v>
      </c>
      <c r="C6230">
        <v>981</v>
      </c>
      <c r="D6230">
        <v>10371</v>
      </c>
      <c r="E6230" t="s">
        <v>37</v>
      </c>
      <c r="F6230" t="s">
        <v>520</v>
      </c>
      <c r="G6230">
        <v>2</v>
      </c>
      <c r="H6230">
        <v>14</v>
      </c>
      <c r="I6230" s="25">
        <v>1300</v>
      </c>
      <c r="K6230" t="s">
        <v>414</v>
      </c>
      <c r="M6230" t="s">
        <v>52</v>
      </c>
      <c r="N6230" t="s">
        <v>40</v>
      </c>
      <c r="O6230">
        <f>60+27</f>
        <v>87</v>
      </c>
      <c r="Q6230">
        <f t="shared" si="101"/>
        <v>2</v>
      </c>
      <c r="R6230">
        <v>1</v>
      </c>
      <c r="S6230">
        <v>0</v>
      </c>
      <c r="T6230">
        <v>0</v>
      </c>
      <c r="U6230">
        <v>2</v>
      </c>
      <c r="V6230">
        <v>0</v>
      </c>
      <c r="W6230">
        <v>0</v>
      </c>
      <c r="X6230" s="21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f t="shared" si="102"/>
        <v>64</v>
      </c>
      <c r="AP6230" t="s">
        <v>1915</v>
      </c>
    </row>
    <row r="6231" spans="1:42">
      <c r="A6231" s="1">
        <v>43788</v>
      </c>
      <c r="B6231">
        <v>2</v>
      </c>
      <c r="C6231">
        <v>981</v>
      </c>
      <c r="D6231">
        <v>10371</v>
      </c>
      <c r="E6231" t="s">
        <v>37</v>
      </c>
      <c r="F6231" t="s">
        <v>520</v>
      </c>
      <c r="G6231">
        <v>2</v>
      </c>
      <c r="H6231">
        <v>15</v>
      </c>
      <c r="I6231" s="25">
        <v>1330</v>
      </c>
      <c r="K6231" t="s">
        <v>46</v>
      </c>
      <c r="M6231" t="s">
        <v>52</v>
      </c>
      <c r="N6231" t="s">
        <v>40</v>
      </c>
      <c r="O6231">
        <f>60+60+26</f>
        <v>146</v>
      </c>
      <c r="Q6231">
        <f t="shared" si="101"/>
        <v>3</v>
      </c>
      <c r="R6231">
        <v>1</v>
      </c>
      <c r="S6231">
        <v>0</v>
      </c>
      <c r="T6231">
        <v>0</v>
      </c>
      <c r="U6231">
        <v>0</v>
      </c>
      <c r="V6231">
        <v>3</v>
      </c>
      <c r="W6231">
        <v>0</v>
      </c>
      <c r="X6231" s="2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f t="shared" si="102"/>
        <v>192</v>
      </c>
      <c r="AP6231" t="s">
        <v>1915</v>
      </c>
    </row>
    <row r="6232" spans="1:42">
      <c r="A6232" s="1">
        <v>43788</v>
      </c>
      <c r="B6232">
        <v>2</v>
      </c>
      <c r="C6232">
        <v>981</v>
      </c>
      <c r="D6232">
        <v>10371</v>
      </c>
      <c r="E6232" t="s">
        <v>37</v>
      </c>
      <c r="F6232" t="s">
        <v>520</v>
      </c>
      <c r="G6232">
        <v>2</v>
      </c>
      <c r="H6232">
        <v>16</v>
      </c>
      <c r="I6232" s="25">
        <v>1257</v>
      </c>
      <c r="K6232" t="s">
        <v>46</v>
      </c>
      <c r="L6232" t="s">
        <v>141</v>
      </c>
      <c r="M6232" t="s">
        <v>52</v>
      </c>
      <c r="N6232" t="s">
        <v>42</v>
      </c>
      <c r="O6232">
        <f>60+60+60+3</f>
        <v>183</v>
      </c>
      <c r="Q6232">
        <f t="shared" si="101"/>
        <v>2</v>
      </c>
      <c r="R6232">
        <v>1</v>
      </c>
      <c r="S6232">
        <v>0</v>
      </c>
      <c r="T6232">
        <v>0</v>
      </c>
      <c r="U6232">
        <v>0</v>
      </c>
      <c r="V6232">
        <v>0</v>
      </c>
      <c r="W6232">
        <v>2</v>
      </c>
      <c r="X6232" s="21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f t="shared" si="102"/>
        <v>192</v>
      </c>
      <c r="AP6232" t="s">
        <v>1915</v>
      </c>
    </row>
    <row r="6233" spans="1:42">
      <c r="A6233" s="1">
        <v>43788</v>
      </c>
      <c r="B6233">
        <v>2</v>
      </c>
      <c r="C6233">
        <v>981</v>
      </c>
      <c r="D6233">
        <v>10371</v>
      </c>
      <c r="E6233" t="s">
        <v>37</v>
      </c>
      <c r="F6233" t="s">
        <v>520</v>
      </c>
      <c r="G6233">
        <v>2</v>
      </c>
      <c r="H6233">
        <v>17</v>
      </c>
      <c r="I6233" s="25">
        <v>1235</v>
      </c>
      <c r="K6233" t="s">
        <v>46</v>
      </c>
      <c r="L6233" t="s">
        <v>141</v>
      </c>
      <c r="M6233" t="s">
        <v>52</v>
      </c>
      <c r="N6233" t="s">
        <v>44</v>
      </c>
      <c r="O6233">
        <f>60+60+60+60+60+60+60+60+41</f>
        <v>521</v>
      </c>
      <c r="Q6233">
        <f t="shared" si="101"/>
        <v>5</v>
      </c>
      <c r="R6233">
        <v>1</v>
      </c>
      <c r="S6233">
        <v>0</v>
      </c>
      <c r="T6233">
        <v>0</v>
      </c>
      <c r="U6233">
        <v>0</v>
      </c>
      <c r="V6233">
        <v>0</v>
      </c>
      <c r="W6233">
        <v>5</v>
      </c>
      <c r="X6233" s="21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1</v>
      </c>
      <c r="AG6233">
        <v>0</v>
      </c>
      <c r="AH6233">
        <f t="shared" si="102"/>
        <v>480</v>
      </c>
      <c r="AP6233" t="s">
        <v>1915</v>
      </c>
    </row>
    <row r="6234" spans="1:42">
      <c r="A6234" s="1">
        <v>43788</v>
      </c>
      <c r="B6234">
        <v>2</v>
      </c>
      <c r="C6234">
        <v>981</v>
      </c>
      <c r="D6234">
        <v>10371</v>
      </c>
      <c r="E6234" t="s">
        <v>37</v>
      </c>
      <c r="F6234" t="s">
        <v>520</v>
      </c>
      <c r="G6234">
        <v>2</v>
      </c>
      <c r="H6234">
        <v>18</v>
      </c>
      <c r="I6234" s="25">
        <v>1225</v>
      </c>
      <c r="K6234" t="s">
        <v>46</v>
      </c>
      <c r="L6234" t="s">
        <v>141</v>
      </c>
      <c r="M6234" t="s">
        <v>52</v>
      </c>
      <c r="N6234" t="s">
        <v>44</v>
      </c>
      <c r="O6234">
        <f>60+60+28</f>
        <v>148</v>
      </c>
      <c r="Q6234">
        <f t="shared" si="101"/>
        <v>2</v>
      </c>
      <c r="R6234">
        <v>1</v>
      </c>
      <c r="S6234">
        <v>0</v>
      </c>
      <c r="T6234">
        <v>0</v>
      </c>
      <c r="U6234">
        <v>0</v>
      </c>
      <c r="V6234">
        <v>0</v>
      </c>
      <c r="W6234">
        <v>2</v>
      </c>
      <c r="X6234" s="21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f t="shared" si="102"/>
        <v>192</v>
      </c>
      <c r="AL6234" t="s">
        <v>597</v>
      </c>
      <c r="AP6234" t="s">
        <v>1915</v>
      </c>
    </row>
    <row r="6235" spans="1:42">
      <c r="A6235" s="1">
        <v>43788</v>
      </c>
      <c r="B6235">
        <v>2</v>
      </c>
      <c r="C6235">
        <v>981</v>
      </c>
      <c r="D6235">
        <v>10371</v>
      </c>
      <c r="E6235" t="s">
        <v>37</v>
      </c>
      <c r="F6235" t="s">
        <v>520</v>
      </c>
      <c r="G6235">
        <v>2</v>
      </c>
      <c r="H6235">
        <v>19</v>
      </c>
      <c r="I6235" s="25">
        <v>1130</v>
      </c>
      <c r="K6235" t="s">
        <v>46</v>
      </c>
      <c r="M6235" t="s">
        <v>52</v>
      </c>
      <c r="N6235" t="s">
        <v>42</v>
      </c>
      <c r="O6235">
        <f>60+60+60+60+60+34</f>
        <v>334</v>
      </c>
      <c r="Q6235">
        <f t="shared" si="101"/>
        <v>4</v>
      </c>
      <c r="R6235">
        <v>1</v>
      </c>
      <c r="S6235">
        <v>0</v>
      </c>
      <c r="T6235">
        <v>0</v>
      </c>
      <c r="U6235">
        <v>0</v>
      </c>
      <c r="V6235">
        <v>0</v>
      </c>
      <c r="W6235">
        <v>4</v>
      </c>
      <c r="X6235" s="21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f t="shared" si="102"/>
        <v>384</v>
      </c>
      <c r="AP6235" t="s">
        <v>1915</v>
      </c>
    </row>
    <row r="6236" spans="1:42">
      <c r="A6236" s="1">
        <v>43788</v>
      </c>
      <c r="B6236">
        <v>2</v>
      </c>
      <c r="C6236">
        <v>981</v>
      </c>
      <c r="D6236">
        <v>10371</v>
      </c>
      <c r="E6236" t="s">
        <v>37</v>
      </c>
      <c r="F6236" t="s">
        <v>520</v>
      </c>
      <c r="G6236">
        <v>2</v>
      </c>
      <c r="H6236">
        <v>20</v>
      </c>
      <c r="I6236" s="25">
        <v>1035</v>
      </c>
      <c r="K6236" t="s">
        <v>46</v>
      </c>
      <c r="M6236" t="s">
        <v>52</v>
      </c>
      <c r="N6236" t="s">
        <v>44</v>
      </c>
      <c r="O6236">
        <f>60+60+60+60+38</f>
        <v>278</v>
      </c>
      <c r="Q6236">
        <f t="shared" si="101"/>
        <v>3</v>
      </c>
      <c r="R6236">
        <v>1</v>
      </c>
      <c r="S6236">
        <v>0</v>
      </c>
      <c r="T6236">
        <v>0</v>
      </c>
      <c r="U6236">
        <v>0</v>
      </c>
      <c r="V6236">
        <v>0</v>
      </c>
      <c r="W6236">
        <v>3</v>
      </c>
      <c r="X6236" s="21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f t="shared" si="102"/>
        <v>288</v>
      </c>
      <c r="AL6236" t="s">
        <v>597</v>
      </c>
      <c r="AP6236" t="s">
        <v>1915</v>
      </c>
    </row>
    <row r="6237" spans="1:42">
      <c r="A6237" s="1">
        <v>43788</v>
      </c>
      <c r="B6237">
        <v>2</v>
      </c>
      <c r="C6237">
        <v>981</v>
      </c>
      <c r="D6237">
        <v>10371</v>
      </c>
      <c r="E6237" t="s">
        <v>37</v>
      </c>
      <c r="F6237" t="s">
        <v>520</v>
      </c>
      <c r="G6237">
        <v>2</v>
      </c>
      <c r="H6237">
        <v>21</v>
      </c>
      <c r="I6237" s="25">
        <v>969</v>
      </c>
      <c r="K6237" t="s">
        <v>46</v>
      </c>
      <c r="L6237" t="s">
        <v>141</v>
      </c>
      <c r="M6237" t="s">
        <v>52</v>
      </c>
      <c r="N6237" t="s">
        <v>44</v>
      </c>
      <c r="O6237">
        <f>60+60+60+60+5</f>
        <v>245</v>
      </c>
      <c r="Q6237">
        <f t="shared" si="101"/>
        <v>3</v>
      </c>
      <c r="R6237">
        <v>1</v>
      </c>
      <c r="S6237">
        <v>0</v>
      </c>
      <c r="T6237">
        <v>0</v>
      </c>
      <c r="U6237">
        <v>0</v>
      </c>
      <c r="V6237">
        <v>0</v>
      </c>
      <c r="W6237">
        <v>3</v>
      </c>
      <c r="X6237" s="21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f t="shared" si="102"/>
        <v>288</v>
      </c>
      <c r="AL6237" t="s">
        <v>1939</v>
      </c>
      <c r="AP6237" t="s">
        <v>1915</v>
      </c>
    </row>
    <row r="6238" spans="1:42">
      <c r="A6238" s="1">
        <v>43788</v>
      </c>
      <c r="B6238">
        <v>2</v>
      </c>
      <c r="C6238">
        <v>981</v>
      </c>
      <c r="D6238">
        <v>10371</v>
      </c>
      <c r="E6238" t="s">
        <v>37</v>
      </c>
      <c r="F6238" t="s">
        <v>520</v>
      </c>
      <c r="G6238">
        <v>2</v>
      </c>
      <c r="H6238">
        <v>22</v>
      </c>
      <c r="I6238" s="25">
        <v>900</v>
      </c>
      <c r="K6238" t="s">
        <v>46</v>
      </c>
      <c r="M6238" t="s">
        <v>52</v>
      </c>
      <c r="N6238" t="s">
        <v>40</v>
      </c>
      <c r="O6238">
        <f>60+60+17</f>
        <v>137</v>
      </c>
      <c r="Q6238">
        <f t="shared" si="101"/>
        <v>4</v>
      </c>
      <c r="R6238">
        <v>1</v>
      </c>
      <c r="S6238">
        <v>0</v>
      </c>
      <c r="T6238">
        <v>0</v>
      </c>
      <c r="U6238">
        <v>0</v>
      </c>
      <c r="V6238">
        <v>0</v>
      </c>
      <c r="W6238">
        <v>4</v>
      </c>
      <c r="X6238" s="21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f t="shared" si="102"/>
        <v>384</v>
      </c>
      <c r="AP6238" t="s">
        <v>1915</v>
      </c>
    </row>
    <row r="6239" spans="1:42">
      <c r="A6239" s="1">
        <v>43788</v>
      </c>
      <c r="B6239">
        <v>2</v>
      </c>
      <c r="C6239">
        <v>981</v>
      </c>
      <c r="D6239">
        <v>10371</v>
      </c>
      <c r="E6239" t="s">
        <v>37</v>
      </c>
      <c r="F6239" t="s">
        <v>520</v>
      </c>
      <c r="G6239">
        <v>2</v>
      </c>
      <c r="H6239">
        <v>23</v>
      </c>
      <c r="I6239" s="25">
        <v>800</v>
      </c>
      <c r="K6239" t="s">
        <v>46</v>
      </c>
      <c r="M6239" t="s">
        <v>52</v>
      </c>
      <c r="N6239" t="s">
        <v>40</v>
      </c>
      <c r="O6239">
        <f>60+34</f>
        <v>94</v>
      </c>
      <c r="Q6239">
        <f t="shared" si="101"/>
        <v>2</v>
      </c>
      <c r="R6239">
        <v>1</v>
      </c>
      <c r="S6239">
        <v>0</v>
      </c>
      <c r="T6239">
        <v>0</v>
      </c>
      <c r="U6239">
        <v>1</v>
      </c>
      <c r="V6239">
        <v>1</v>
      </c>
      <c r="W6239">
        <v>0</v>
      </c>
      <c r="X6239" s="21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f t="shared" si="102"/>
        <v>96</v>
      </c>
      <c r="AP6239" t="s">
        <v>1915</v>
      </c>
    </row>
    <row r="6240" spans="1:42">
      <c r="A6240" s="1">
        <v>43788</v>
      </c>
      <c r="B6240">
        <v>2</v>
      </c>
      <c r="C6240">
        <v>981</v>
      </c>
      <c r="D6240">
        <v>10371</v>
      </c>
      <c r="E6240" t="s">
        <v>37</v>
      </c>
      <c r="F6240" t="s">
        <v>520</v>
      </c>
      <c r="G6240">
        <v>2</v>
      </c>
      <c r="H6240">
        <v>24</v>
      </c>
      <c r="I6240" s="25">
        <v>800</v>
      </c>
      <c r="K6240" t="s">
        <v>46</v>
      </c>
      <c r="M6240" t="s">
        <v>52</v>
      </c>
      <c r="N6240" t="s">
        <v>40</v>
      </c>
      <c r="O6240">
        <f>60+60+60+1</f>
        <v>181</v>
      </c>
      <c r="Q6240">
        <f t="shared" si="101"/>
        <v>2</v>
      </c>
      <c r="R6240">
        <v>1</v>
      </c>
      <c r="S6240">
        <v>0</v>
      </c>
      <c r="T6240">
        <v>0</v>
      </c>
      <c r="U6240">
        <v>1</v>
      </c>
      <c r="V6240">
        <v>0</v>
      </c>
      <c r="W6240">
        <v>1</v>
      </c>
      <c r="X6240" s="21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f t="shared" si="102"/>
        <v>128</v>
      </c>
      <c r="AP6240" t="s">
        <v>1915</v>
      </c>
    </row>
    <row r="6241" spans="1:42">
      <c r="A6241" s="1">
        <v>43788</v>
      </c>
      <c r="B6241">
        <v>2</v>
      </c>
      <c r="C6241">
        <v>981</v>
      </c>
      <c r="D6241">
        <v>10371</v>
      </c>
      <c r="E6241" t="s">
        <v>37</v>
      </c>
      <c r="F6241" t="s">
        <v>520</v>
      </c>
      <c r="G6241">
        <v>2</v>
      </c>
      <c r="H6241">
        <v>25</v>
      </c>
      <c r="I6241" s="25">
        <v>1064</v>
      </c>
      <c r="K6241" t="s">
        <v>56</v>
      </c>
      <c r="M6241" t="s">
        <v>52</v>
      </c>
      <c r="N6241" t="s">
        <v>44</v>
      </c>
      <c r="O6241">
        <f>60+60+60+60+60+60+60+4</f>
        <v>424</v>
      </c>
      <c r="Q6241">
        <f t="shared" si="101"/>
        <v>7</v>
      </c>
      <c r="R6241">
        <v>1</v>
      </c>
      <c r="S6241">
        <v>0</v>
      </c>
      <c r="T6241">
        <v>0</v>
      </c>
      <c r="U6241">
        <v>0</v>
      </c>
      <c r="V6241">
        <v>0</v>
      </c>
      <c r="W6241">
        <v>7</v>
      </c>
      <c r="X6241" s="2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f t="shared" si="102"/>
        <v>672</v>
      </c>
      <c r="AL6241" t="s">
        <v>1955</v>
      </c>
      <c r="AP6241" t="s">
        <v>1915</v>
      </c>
    </row>
    <row r="6242" spans="1:42">
      <c r="A6242" s="1">
        <v>43788</v>
      </c>
      <c r="B6242">
        <v>2</v>
      </c>
      <c r="C6242">
        <v>981</v>
      </c>
      <c r="D6242">
        <v>10371</v>
      </c>
      <c r="E6242" t="s">
        <v>37</v>
      </c>
      <c r="F6242" t="s">
        <v>520</v>
      </c>
      <c r="G6242">
        <v>2</v>
      </c>
      <c r="H6242">
        <v>26</v>
      </c>
      <c r="I6242" s="25">
        <v>1020</v>
      </c>
      <c r="K6242" t="s">
        <v>69</v>
      </c>
      <c r="M6242" t="s">
        <v>52</v>
      </c>
      <c r="N6242" t="s">
        <v>44</v>
      </c>
      <c r="O6242">
        <f>60+60+60+38</f>
        <v>218</v>
      </c>
      <c r="Q6242">
        <f t="shared" si="101"/>
        <v>2</v>
      </c>
      <c r="R6242">
        <v>1</v>
      </c>
      <c r="S6242">
        <v>0</v>
      </c>
      <c r="T6242">
        <v>0</v>
      </c>
      <c r="U6242">
        <v>0</v>
      </c>
      <c r="V6242">
        <v>0</v>
      </c>
      <c r="W6242">
        <v>2</v>
      </c>
      <c r="X6242" s="21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f t="shared" si="102"/>
        <v>192</v>
      </c>
      <c r="AP6242" t="s">
        <v>1915</v>
      </c>
    </row>
    <row r="6243" spans="1:42">
      <c r="A6243" s="1">
        <v>43788</v>
      </c>
      <c r="B6243">
        <v>2</v>
      </c>
      <c r="C6243">
        <v>981</v>
      </c>
      <c r="D6243">
        <v>10371</v>
      </c>
      <c r="E6243" t="s">
        <v>37</v>
      </c>
      <c r="F6243" t="s">
        <v>520</v>
      </c>
      <c r="G6243">
        <v>2</v>
      </c>
      <c r="H6243">
        <v>27</v>
      </c>
      <c r="I6243" s="25">
        <v>1050</v>
      </c>
      <c r="K6243" t="s">
        <v>69</v>
      </c>
      <c r="M6243" t="s">
        <v>52</v>
      </c>
      <c r="N6243" t="s">
        <v>44</v>
      </c>
      <c r="O6243">
        <f>60+60+60+60+36</f>
        <v>276</v>
      </c>
      <c r="Q6243">
        <f t="shared" si="101"/>
        <v>2</v>
      </c>
      <c r="R6243">
        <v>1</v>
      </c>
      <c r="S6243">
        <v>0</v>
      </c>
      <c r="T6243">
        <v>0</v>
      </c>
      <c r="U6243">
        <v>0</v>
      </c>
      <c r="V6243">
        <v>0</v>
      </c>
      <c r="W6243">
        <v>2</v>
      </c>
      <c r="X6243" s="21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f t="shared" si="102"/>
        <v>192</v>
      </c>
      <c r="AP6243" t="s">
        <v>1915</v>
      </c>
    </row>
    <row r="6244" spans="1:42">
      <c r="A6244" s="1">
        <v>43788</v>
      </c>
      <c r="B6244">
        <v>2</v>
      </c>
      <c r="C6244">
        <v>981</v>
      </c>
      <c r="D6244">
        <v>10371</v>
      </c>
      <c r="E6244" t="s">
        <v>37</v>
      </c>
      <c r="F6244" t="s">
        <v>520</v>
      </c>
      <c r="G6244">
        <v>2</v>
      </c>
      <c r="H6244">
        <v>28</v>
      </c>
      <c r="I6244" s="25">
        <v>1116</v>
      </c>
      <c r="K6244" t="s">
        <v>69</v>
      </c>
      <c r="L6244" t="s">
        <v>114</v>
      </c>
      <c r="M6244" t="s">
        <v>52</v>
      </c>
      <c r="N6244" t="s">
        <v>44</v>
      </c>
      <c r="O6244">
        <f>60+60+60+60+60+60+3</f>
        <v>363</v>
      </c>
      <c r="Q6244">
        <f t="shared" si="101"/>
        <v>3</v>
      </c>
      <c r="R6244">
        <v>1</v>
      </c>
      <c r="S6244">
        <v>0</v>
      </c>
      <c r="T6244">
        <v>0</v>
      </c>
      <c r="U6244">
        <v>0</v>
      </c>
      <c r="V6244">
        <v>2</v>
      </c>
      <c r="W6244">
        <v>1</v>
      </c>
      <c r="X6244" s="21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f t="shared" si="102"/>
        <v>224</v>
      </c>
      <c r="AL6244" t="s">
        <v>1956</v>
      </c>
      <c r="AP6244" t="s">
        <v>1915</v>
      </c>
    </row>
    <row r="6245" spans="1:42">
      <c r="A6245" s="1">
        <v>43788</v>
      </c>
      <c r="B6245">
        <v>2</v>
      </c>
      <c r="C6245">
        <v>981</v>
      </c>
      <c r="D6245">
        <v>10371</v>
      </c>
      <c r="E6245" t="s">
        <v>37</v>
      </c>
      <c r="F6245" t="s">
        <v>520</v>
      </c>
      <c r="G6245">
        <v>2</v>
      </c>
      <c r="H6245">
        <v>29</v>
      </c>
      <c r="I6245" s="25">
        <v>1100</v>
      </c>
      <c r="K6245" t="s">
        <v>69</v>
      </c>
      <c r="M6245" t="s">
        <v>52</v>
      </c>
      <c r="N6245" t="s">
        <v>44</v>
      </c>
      <c r="O6245">
        <f>60+60+60+60+60+52</f>
        <v>352</v>
      </c>
      <c r="Q6245">
        <f t="shared" si="101"/>
        <v>3</v>
      </c>
      <c r="R6245">
        <v>1</v>
      </c>
      <c r="S6245">
        <v>0</v>
      </c>
      <c r="T6245">
        <v>0</v>
      </c>
      <c r="U6245">
        <v>0</v>
      </c>
      <c r="V6245">
        <v>0</v>
      </c>
      <c r="W6245">
        <v>3</v>
      </c>
      <c r="X6245" s="21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f t="shared" si="102"/>
        <v>288</v>
      </c>
      <c r="AP6245" t="s">
        <v>1915</v>
      </c>
    </row>
    <row r="6246" spans="1:42">
      <c r="A6246" s="1">
        <v>43788</v>
      </c>
      <c r="B6246">
        <v>2</v>
      </c>
      <c r="C6246">
        <v>981</v>
      </c>
      <c r="D6246">
        <v>10371</v>
      </c>
      <c r="E6246" t="s">
        <v>37</v>
      </c>
      <c r="F6246" t="s">
        <v>520</v>
      </c>
      <c r="G6246">
        <v>2</v>
      </c>
      <c r="H6246">
        <v>30</v>
      </c>
      <c r="I6246" s="25">
        <v>1100</v>
      </c>
      <c r="K6246" t="s">
        <v>69</v>
      </c>
      <c r="L6246" t="s">
        <v>141</v>
      </c>
      <c r="M6246" t="s">
        <v>52</v>
      </c>
      <c r="N6246" t="s">
        <v>40</v>
      </c>
      <c r="O6246">
        <v>241</v>
      </c>
      <c r="Q6246">
        <f t="shared" si="101"/>
        <v>3</v>
      </c>
      <c r="R6246">
        <v>1</v>
      </c>
      <c r="S6246">
        <v>0</v>
      </c>
      <c r="T6246">
        <v>0</v>
      </c>
      <c r="U6246">
        <v>0</v>
      </c>
      <c r="V6246">
        <v>0</v>
      </c>
      <c r="W6246">
        <v>3</v>
      </c>
      <c r="X6246" s="21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f t="shared" si="102"/>
        <v>288</v>
      </c>
      <c r="AP6246" t="s">
        <v>1915</v>
      </c>
    </row>
    <row r="6247" spans="1:42">
      <c r="A6247" s="1">
        <v>43788</v>
      </c>
      <c r="B6247">
        <v>2</v>
      </c>
      <c r="C6247">
        <v>981</v>
      </c>
      <c r="D6247">
        <v>10371</v>
      </c>
      <c r="E6247" t="s">
        <v>37</v>
      </c>
      <c r="F6247" t="s">
        <v>520</v>
      </c>
      <c r="G6247">
        <v>2</v>
      </c>
      <c r="H6247">
        <v>31</v>
      </c>
      <c r="I6247" s="25">
        <v>1166</v>
      </c>
      <c r="K6247" t="s">
        <v>69</v>
      </c>
      <c r="L6247" t="s">
        <v>114</v>
      </c>
      <c r="M6247" t="s">
        <v>52</v>
      </c>
      <c r="N6247" t="s">
        <v>44</v>
      </c>
      <c r="O6247">
        <v>241</v>
      </c>
      <c r="Q6247">
        <f t="shared" si="101"/>
        <v>3</v>
      </c>
      <c r="R6247">
        <v>1</v>
      </c>
      <c r="S6247">
        <v>0</v>
      </c>
      <c r="T6247">
        <v>0</v>
      </c>
      <c r="U6247">
        <v>0</v>
      </c>
      <c r="V6247">
        <v>0</v>
      </c>
      <c r="W6247">
        <v>3</v>
      </c>
      <c r="X6247" s="21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f t="shared" si="102"/>
        <v>288</v>
      </c>
      <c r="AL6247" t="s">
        <v>1956</v>
      </c>
      <c r="AP6247" t="s">
        <v>1915</v>
      </c>
    </row>
    <row r="6248" spans="1:42">
      <c r="A6248" s="1">
        <v>43788</v>
      </c>
      <c r="B6248">
        <v>2</v>
      </c>
      <c r="C6248">
        <v>981</v>
      </c>
      <c r="D6248">
        <v>10371</v>
      </c>
      <c r="E6248" t="s">
        <v>37</v>
      </c>
      <c r="F6248" t="s">
        <v>520</v>
      </c>
      <c r="G6248">
        <v>2</v>
      </c>
      <c r="H6248">
        <v>32</v>
      </c>
      <c r="I6248" s="25">
        <v>1232</v>
      </c>
      <c r="K6248" t="s">
        <v>69</v>
      </c>
      <c r="L6248" t="s">
        <v>114</v>
      </c>
      <c r="M6248" t="s">
        <v>52</v>
      </c>
      <c r="N6248" t="s">
        <v>44</v>
      </c>
      <c r="O6248">
        <v>61</v>
      </c>
      <c r="Q6248">
        <f t="shared" si="101"/>
        <v>1</v>
      </c>
      <c r="R6248">
        <v>1</v>
      </c>
      <c r="S6248">
        <v>0</v>
      </c>
      <c r="T6248">
        <v>0</v>
      </c>
      <c r="U6248">
        <v>1</v>
      </c>
      <c r="V6248">
        <v>0</v>
      </c>
      <c r="W6248">
        <v>0</v>
      </c>
      <c r="X6248" s="21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f t="shared" si="102"/>
        <v>32</v>
      </c>
      <c r="AP6248" t="s">
        <v>1915</v>
      </c>
    </row>
    <row r="6249" spans="1:42">
      <c r="A6249" s="1">
        <v>43788</v>
      </c>
      <c r="B6249">
        <v>2</v>
      </c>
      <c r="C6249">
        <v>981</v>
      </c>
      <c r="D6249">
        <v>10371</v>
      </c>
      <c r="E6249" t="s">
        <v>37</v>
      </c>
      <c r="F6249" t="s">
        <v>520</v>
      </c>
      <c r="G6249">
        <v>2</v>
      </c>
      <c r="H6249">
        <v>33</v>
      </c>
      <c r="I6249" s="25">
        <v>1200</v>
      </c>
      <c r="K6249" t="s">
        <v>69</v>
      </c>
      <c r="M6249" t="s">
        <v>52</v>
      </c>
      <c r="N6249" t="s">
        <v>40</v>
      </c>
      <c r="O6249">
        <f>60+60+60+60+60</f>
        <v>300</v>
      </c>
      <c r="Q6249">
        <f t="shared" si="101"/>
        <v>4</v>
      </c>
      <c r="R6249">
        <v>1</v>
      </c>
      <c r="S6249">
        <v>0</v>
      </c>
      <c r="T6249">
        <v>0</v>
      </c>
      <c r="U6249">
        <v>3</v>
      </c>
      <c r="V6249">
        <v>1</v>
      </c>
      <c r="W6249">
        <v>0</v>
      </c>
      <c r="X6249" s="21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f t="shared" si="102"/>
        <v>160</v>
      </c>
      <c r="AP6249" t="s">
        <v>1915</v>
      </c>
    </row>
    <row r="6250" spans="1:42">
      <c r="A6250" s="1">
        <v>43788</v>
      </c>
      <c r="B6250">
        <v>2</v>
      </c>
      <c r="C6250">
        <v>981</v>
      </c>
      <c r="D6250">
        <v>10371</v>
      </c>
      <c r="E6250" t="s">
        <v>37</v>
      </c>
      <c r="F6250" t="s">
        <v>520</v>
      </c>
      <c r="G6250">
        <v>2</v>
      </c>
      <c r="H6250">
        <v>34</v>
      </c>
      <c r="I6250" s="25">
        <v>1200</v>
      </c>
      <c r="K6250" t="s">
        <v>69</v>
      </c>
      <c r="M6250" t="s">
        <v>52</v>
      </c>
      <c r="N6250" t="s">
        <v>40</v>
      </c>
      <c r="O6250">
        <f>60+6</f>
        <v>66</v>
      </c>
      <c r="Q6250">
        <f t="shared" si="101"/>
        <v>1</v>
      </c>
      <c r="R6250">
        <v>1</v>
      </c>
      <c r="S6250">
        <v>0</v>
      </c>
      <c r="T6250">
        <v>0</v>
      </c>
      <c r="U6250">
        <v>1</v>
      </c>
      <c r="V6250">
        <v>0</v>
      </c>
      <c r="W6250">
        <v>0</v>
      </c>
      <c r="X6250" s="21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f t="shared" si="102"/>
        <v>32</v>
      </c>
      <c r="AP6250" t="s">
        <v>1915</v>
      </c>
    </row>
    <row r="6251" spans="1:42">
      <c r="A6251" s="1">
        <v>43788</v>
      </c>
      <c r="B6251">
        <v>2</v>
      </c>
      <c r="C6251">
        <v>981</v>
      </c>
      <c r="D6251">
        <v>10371</v>
      </c>
      <c r="E6251" t="s">
        <v>37</v>
      </c>
      <c r="F6251" t="s">
        <v>520</v>
      </c>
      <c r="G6251">
        <v>2</v>
      </c>
      <c r="H6251">
        <v>35</v>
      </c>
      <c r="I6251" s="25">
        <v>1400</v>
      </c>
      <c r="K6251" t="s">
        <v>69</v>
      </c>
      <c r="M6251" t="s">
        <v>52</v>
      </c>
      <c r="N6251" t="s">
        <v>40</v>
      </c>
      <c r="O6251">
        <f>60+60+19</f>
        <v>139</v>
      </c>
      <c r="Q6251">
        <f t="shared" si="101"/>
        <v>2</v>
      </c>
      <c r="R6251">
        <v>1</v>
      </c>
      <c r="S6251">
        <v>0</v>
      </c>
      <c r="T6251">
        <v>0</v>
      </c>
      <c r="U6251">
        <v>0</v>
      </c>
      <c r="V6251">
        <v>2</v>
      </c>
      <c r="W6251">
        <v>0</v>
      </c>
      <c r="X6251" s="2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f t="shared" si="102"/>
        <v>128</v>
      </c>
      <c r="AP6251" t="s">
        <v>1915</v>
      </c>
    </row>
    <row r="6252" spans="1:42">
      <c r="A6252" s="1">
        <v>43788</v>
      </c>
      <c r="B6252">
        <v>2</v>
      </c>
      <c r="C6252">
        <v>981</v>
      </c>
      <c r="D6252">
        <v>10371</v>
      </c>
      <c r="E6252" t="s">
        <v>37</v>
      </c>
      <c r="F6252" t="s">
        <v>520</v>
      </c>
      <c r="G6252">
        <v>2</v>
      </c>
      <c r="H6252">
        <v>36</v>
      </c>
      <c r="I6252" s="25">
        <v>1200</v>
      </c>
      <c r="K6252" t="s">
        <v>56</v>
      </c>
      <c r="M6252" t="s">
        <v>52</v>
      </c>
      <c r="N6252" t="s">
        <v>44</v>
      </c>
      <c r="O6252">
        <f>60+60+60+10</f>
        <v>190</v>
      </c>
      <c r="Q6252">
        <f t="shared" si="101"/>
        <v>1</v>
      </c>
      <c r="R6252">
        <v>1</v>
      </c>
      <c r="S6252">
        <v>0</v>
      </c>
      <c r="T6252">
        <v>0</v>
      </c>
      <c r="U6252">
        <v>0</v>
      </c>
      <c r="V6252">
        <v>0</v>
      </c>
      <c r="W6252">
        <v>1</v>
      </c>
      <c r="X6252" s="21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f t="shared" si="102"/>
        <v>96</v>
      </c>
      <c r="AP6252" t="s">
        <v>1915</v>
      </c>
    </row>
    <row r="6253" spans="1:42">
      <c r="A6253" s="1">
        <v>43788</v>
      </c>
      <c r="B6253">
        <v>2</v>
      </c>
      <c r="C6253">
        <v>981</v>
      </c>
      <c r="D6253">
        <v>10371</v>
      </c>
      <c r="E6253" t="s">
        <v>37</v>
      </c>
      <c r="F6253" t="s">
        <v>520</v>
      </c>
      <c r="G6253">
        <v>2</v>
      </c>
      <c r="H6253">
        <v>37</v>
      </c>
      <c r="I6253" s="25">
        <v>1029</v>
      </c>
      <c r="K6253" t="s">
        <v>103</v>
      </c>
      <c r="L6253" t="s">
        <v>141</v>
      </c>
      <c r="M6253" t="s">
        <v>52</v>
      </c>
      <c r="N6253" t="s">
        <v>44</v>
      </c>
      <c r="O6253">
        <f>60+60+60+60+60+2</f>
        <v>302</v>
      </c>
      <c r="Q6253">
        <f t="shared" si="101"/>
        <v>4</v>
      </c>
      <c r="R6253">
        <v>1</v>
      </c>
      <c r="S6253">
        <v>0</v>
      </c>
      <c r="T6253">
        <v>0</v>
      </c>
      <c r="U6253">
        <v>2</v>
      </c>
      <c r="V6253">
        <v>0</v>
      </c>
      <c r="W6253">
        <v>2</v>
      </c>
      <c r="X6253" s="21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f t="shared" si="102"/>
        <v>256</v>
      </c>
      <c r="AP6253" t="s">
        <v>1915</v>
      </c>
    </row>
    <row r="6254" spans="1:42">
      <c r="A6254" s="1">
        <v>43788</v>
      </c>
      <c r="B6254">
        <v>2</v>
      </c>
      <c r="C6254">
        <v>981</v>
      </c>
      <c r="D6254">
        <v>10371</v>
      </c>
      <c r="E6254" t="s">
        <v>37</v>
      </c>
      <c r="F6254" t="s">
        <v>520</v>
      </c>
      <c r="G6254">
        <v>2</v>
      </c>
      <c r="H6254">
        <v>38</v>
      </c>
      <c r="I6254" s="25">
        <v>828</v>
      </c>
      <c r="K6254" t="s">
        <v>103</v>
      </c>
      <c r="L6254" t="s">
        <v>141</v>
      </c>
      <c r="M6254" t="s">
        <v>52</v>
      </c>
      <c r="N6254" t="s">
        <v>44</v>
      </c>
      <c r="O6254">
        <f>60+60+60+54</f>
        <v>234</v>
      </c>
      <c r="Q6254">
        <f t="shared" si="101"/>
        <v>3</v>
      </c>
      <c r="R6254">
        <v>1</v>
      </c>
      <c r="S6254">
        <v>0</v>
      </c>
      <c r="T6254">
        <v>0</v>
      </c>
      <c r="U6254">
        <v>0</v>
      </c>
      <c r="V6254">
        <v>1</v>
      </c>
      <c r="W6254">
        <v>2</v>
      </c>
      <c r="X6254" s="21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f t="shared" si="102"/>
        <v>256</v>
      </c>
      <c r="AP6254" t="s">
        <v>1915</v>
      </c>
    </row>
    <row r="6255" spans="1:42">
      <c r="A6255" s="1">
        <v>43788</v>
      </c>
      <c r="B6255">
        <v>2</v>
      </c>
      <c r="C6255">
        <v>981</v>
      </c>
      <c r="D6255">
        <v>10371</v>
      </c>
      <c r="E6255" t="s">
        <v>37</v>
      </c>
      <c r="F6255" t="s">
        <v>520</v>
      </c>
      <c r="G6255">
        <v>2</v>
      </c>
      <c r="H6255">
        <v>39</v>
      </c>
      <c r="I6255" s="25">
        <v>900</v>
      </c>
      <c r="K6255" t="s">
        <v>91</v>
      </c>
      <c r="M6255" t="s">
        <v>52</v>
      </c>
      <c r="N6255" t="s">
        <v>44</v>
      </c>
      <c r="O6255">
        <f>60+60+60+60+5</f>
        <v>245</v>
      </c>
      <c r="Q6255">
        <f t="shared" si="101"/>
        <v>4</v>
      </c>
      <c r="R6255">
        <v>1</v>
      </c>
      <c r="S6255">
        <v>0</v>
      </c>
      <c r="T6255">
        <v>0</v>
      </c>
      <c r="U6255">
        <v>0</v>
      </c>
      <c r="V6255">
        <v>2</v>
      </c>
      <c r="W6255">
        <v>2</v>
      </c>
      <c r="X6255" s="21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f t="shared" si="102"/>
        <v>320</v>
      </c>
      <c r="AP6255" t="s">
        <v>1915</v>
      </c>
    </row>
    <row r="6256" spans="1:42">
      <c r="A6256" s="1">
        <v>43788</v>
      </c>
      <c r="B6256">
        <v>2</v>
      </c>
      <c r="C6256">
        <v>981</v>
      </c>
      <c r="D6256">
        <v>10371</v>
      </c>
      <c r="E6256" t="s">
        <v>37</v>
      </c>
      <c r="F6256" t="s">
        <v>520</v>
      </c>
      <c r="G6256">
        <v>2</v>
      </c>
      <c r="H6256">
        <v>40</v>
      </c>
      <c r="I6256" s="25">
        <v>1013</v>
      </c>
      <c r="K6256" t="s">
        <v>91</v>
      </c>
      <c r="L6256" t="s">
        <v>141</v>
      </c>
      <c r="M6256" t="s">
        <v>52</v>
      </c>
      <c r="N6256" t="s">
        <v>44</v>
      </c>
      <c r="O6256">
        <f>60+60+17</f>
        <v>137</v>
      </c>
      <c r="Q6256">
        <f t="shared" si="101"/>
        <v>1</v>
      </c>
      <c r="R6256">
        <v>1</v>
      </c>
      <c r="S6256">
        <v>0</v>
      </c>
      <c r="T6256">
        <v>0</v>
      </c>
      <c r="U6256">
        <v>0</v>
      </c>
      <c r="V6256">
        <v>0</v>
      </c>
      <c r="W6256">
        <v>1</v>
      </c>
      <c r="X6256" s="21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1</v>
      </c>
      <c r="AG6256">
        <v>0</v>
      </c>
      <c r="AH6256">
        <f t="shared" si="102"/>
        <v>96</v>
      </c>
      <c r="AL6256" t="s">
        <v>1939</v>
      </c>
      <c r="AP6256" t="s">
        <v>1915</v>
      </c>
    </row>
    <row r="6257" spans="1:42">
      <c r="A6257" s="1">
        <v>43788</v>
      </c>
      <c r="B6257">
        <v>2</v>
      </c>
      <c r="C6257">
        <v>981</v>
      </c>
      <c r="D6257">
        <v>10371</v>
      </c>
      <c r="E6257" t="s">
        <v>37</v>
      </c>
      <c r="F6257" t="s">
        <v>520</v>
      </c>
      <c r="G6257">
        <v>2</v>
      </c>
      <c r="H6257">
        <v>41</v>
      </c>
      <c r="I6257" s="25">
        <v>1000</v>
      </c>
      <c r="K6257" t="s">
        <v>828</v>
      </c>
      <c r="M6257" t="s">
        <v>95</v>
      </c>
      <c r="N6257" t="s">
        <v>42</v>
      </c>
      <c r="O6257">
        <f>60+60+60+60+60+60+60+60+60+60+60+60+60+60+2</f>
        <v>842</v>
      </c>
      <c r="Q6257">
        <f t="shared" si="101"/>
        <v>10</v>
      </c>
      <c r="R6257">
        <v>1</v>
      </c>
      <c r="S6257">
        <v>0</v>
      </c>
      <c r="T6257">
        <v>0</v>
      </c>
      <c r="U6257">
        <v>2</v>
      </c>
      <c r="V6257">
        <v>2</v>
      </c>
      <c r="W6257">
        <v>6</v>
      </c>
      <c r="X6257" s="21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3</v>
      </c>
      <c r="AG6257">
        <v>0</v>
      </c>
      <c r="AH6257">
        <f t="shared" si="102"/>
        <v>768</v>
      </c>
      <c r="AP6257" t="s">
        <v>1915</v>
      </c>
    </row>
    <row r="6258" spans="1:42">
      <c r="A6258" s="1">
        <v>43788</v>
      </c>
      <c r="B6258">
        <v>2</v>
      </c>
      <c r="C6258">
        <v>981</v>
      </c>
      <c r="D6258">
        <v>10371</v>
      </c>
      <c r="E6258" t="s">
        <v>37</v>
      </c>
      <c r="F6258" t="s">
        <v>520</v>
      </c>
      <c r="G6258">
        <v>2</v>
      </c>
      <c r="H6258">
        <v>42</v>
      </c>
      <c r="I6258" s="25">
        <v>963</v>
      </c>
      <c r="K6258" t="s">
        <v>828</v>
      </c>
      <c r="L6258" t="s">
        <v>141</v>
      </c>
      <c r="M6258" t="s">
        <v>52</v>
      </c>
      <c r="N6258" t="s">
        <v>44</v>
      </c>
      <c r="O6258">
        <f>60+60+60+60+60+60+60+53</f>
        <v>473</v>
      </c>
      <c r="Q6258">
        <f t="shared" si="101"/>
        <v>4</v>
      </c>
      <c r="R6258">
        <v>1</v>
      </c>
      <c r="S6258">
        <v>0</v>
      </c>
      <c r="T6258">
        <v>0</v>
      </c>
      <c r="U6258">
        <v>1</v>
      </c>
      <c r="V6258">
        <v>0</v>
      </c>
      <c r="W6258">
        <v>3</v>
      </c>
      <c r="X6258" s="21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f t="shared" si="102"/>
        <v>320</v>
      </c>
      <c r="AP6258" t="s">
        <v>1915</v>
      </c>
    </row>
    <row r="6259" spans="1:42">
      <c r="A6259" s="1">
        <v>43788</v>
      </c>
      <c r="B6259">
        <v>2</v>
      </c>
      <c r="C6259">
        <v>981</v>
      </c>
      <c r="D6259">
        <v>10371</v>
      </c>
      <c r="E6259" t="s">
        <v>37</v>
      </c>
      <c r="F6259" t="s">
        <v>520</v>
      </c>
      <c r="G6259">
        <v>2</v>
      </c>
      <c r="H6259">
        <v>43</v>
      </c>
      <c r="I6259" s="25">
        <v>1300</v>
      </c>
      <c r="K6259" t="s">
        <v>420</v>
      </c>
      <c r="M6259" t="s">
        <v>52</v>
      </c>
      <c r="N6259" t="s">
        <v>1703</v>
      </c>
      <c r="O6259">
        <f>60+60+24</f>
        <v>144</v>
      </c>
      <c r="Q6259">
        <f t="shared" si="101"/>
        <v>1</v>
      </c>
      <c r="R6259">
        <v>1</v>
      </c>
      <c r="S6259">
        <v>0</v>
      </c>
      <c r="T6259">
        <v>0</v>
      </c>
      <c r="U6259">
        <v>0</v>
      </c>
      <c r="V6259">
        <v>0</v>
      </c>
      <c r="W6259">
        <v>1</v>
      </c>
      <c r="X6259" s="21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f t="shared" si="102"/>
        <v>96</v>
      </c>
      <c r="AL6259" t="s">
        <v>1950</v>
      </c>
      <c r="AP6259" t="s">
        <v>1915</v>
      </c>
    </row>
    <row r="6260" spans="1:42">
      <c r="A6260" s="1">
        <v>43805</v>
      </c>
      <c r="B6260">
        <v>5</v>
      </c>
      <c r="C6260">
        <v>989</v>
      </c>
      <c r="D6260">
        <v>10376</v>
      </c>
      <c r="E6260" t="s">
        <v>37</v>
      </c>
      <c r="F6260" t="s">
        <v>520</v>
      </c>
      <c r="G6260">
        <v>2</v>
      </c>
      <c r="H6260">
        <v>1</v>
      </c>
      <c r="I6260" s="25">
        <v>1610</v>
      </c>
      <c r="K6260" t="s">
        <v>210</v>
      </c>
      <c r="L6260" t="s">
        <v>114</v>
      </c>
      <c r="M6260" t="s">
        <v>95</v>
      </c>
      <c r="N6260" t="s">
        <v>44</v>
      </c>
      <c r="O6260">
        <f>60+60+17</f>
        <v>137</v>
      </c>
      <c r="Q6260">
        <f t="shared" si="101"/>
        <v>1</v>
      </c>
      <c r="R6260">
        <v>1</v>
      </c>
      <c r="S6260">
        <v>0</v>
      </c>
      <c r="T6260">
        <v>0</v>
      </c>
      <c r="U6260">
        <v>0</v>
      </c>
      <c r="V6260">
        <v>0</v>
      </c>
      <c r="W6260">
        <v>1</v>
      </c>
      <c r="X6260" s="21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f t="shared" si="102"/>
        <v>96</v>
      </c>
      <c r="AL6260" t="s">
        <v>1937</v>
      </c>
      <c r="AP6260" t="s">
        <v>1915</v>
      </c>
    </row>
    <row r="6261" spans="1:42">
      <c r="A6261" s="1">
        <v>43805</v>
      </c>
      <c r="B6261">
        <v>5</v>
      </c>
      <c r="C6261">
        <v>989</v>
      </c>
      <c r="D6261">
        <v>10376</v>
      </c>
      <c r="E6261" t="s">
        <v>37</v>
      </c>
      <c r="F6261" t="s">
        <v>520</v>
      </c>
      <c r="G6261">
        <v>2</v>
      </c>
      <c r="H6261">
        <v>2</v>
      </c>
      <c r="I6261" s="25">
        <v>1626</v>
      </c>
      <c r="K6261" t="s">
        <v>210</v>
      </c>
      <c r="L6261" t="s">
        <v>114</v>
      </c>
      <c r="M6261" t="s">
        <v>52</v>
      </c>
      <c r="N6261" t="s">
        <v>44</v>
      </c>
      <c r="O6261">
        <f>60+60+11</f>
        <v>131</v>
      </c>
      <c r="Q6261">
        <f t="shared" si="101"/>
        <v>1</v>
      </c>
      <c r="R6261">
        <v>1</v>
      </c>
      <c r="S6261">
        <v>0</v>
      </c>
      <c r="T6261">
        <v>0</v>
      </c>
      <c r="U6261">
        <v>0</v>
      </c>
      <c r="V6261">
        <v>0</v>
      </c>
      <c r="W6261">
        <v>1</v>
      </c>
      <c r="X6261" s="2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f t="shared" si="102"/>
        <v>96</v>
      </c>
      <c r="AP6261" t="s">
        <v>1915</v>
      </c>
    </row>
    <row r="6262" spans="1:42">
      <c r="A6262" s="1">
        <v>43805</v>
      </c>
      <c r="B6262">
        <v>5</v>
      </c>
      <c r="C6262">
        <v>989</v>
      </c>
      <c r="D6262">
        <v>10376</v>
      </c>
      <c r="E6262" t="s">
        <v>37</v>
      </c>
      <c r="F6262" t="s">
        <v>520</v>
      </c>
      <c r="G6262">
        <v>2</v>
      </c>
      <c r="H6262">
        <v>3</v>
      </c>
      <c r="I6262" s="25">
        <v>1600</v>
      </c>
      <c r="K6262" t="s">
        <v>210</v>
      </c>
      <c r="M6262" t="s">
        <v>52</v>
      </c>
      <c r="N6262" t="s">
        <v>40</v>
      </c>
      <c r="O6262">
        <v>42</v>
      </c>
      <c r="Q6262">
        <f t="shared" si="101"/>
        <v>1</v>
      </c>
      <c r="R6262">
        <v>1</v>
      </c>
      <c r="S6262">
        <v>0</v>
      </c>
      <c r="T6262">
        <v>0</v>
      </c>
      <c r="U6262">
        <v>0</v>
      </c>
      <c r="V6262">
        <v>0</v>
      </c>
      <c r="W6262">
        <v>1</v>
      </c>
      <c r="X6262" s="21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f t="shared" si="102"/>
        <v>96</v>
      </c>
      <c r="AP6262" t="s">
        <v>1915</v>
      </c>
    </row>
    <row r="6263" spans="1:42">
      <c r="A6263" s="1">
        <v>43805</v>
      </c>
      <c r="B6263">
        <v>5</v>
      </c>
      <c r="C6263">
        <v>989</v>
      </c>
      <c r="D6263">
        <v>10376</v>
      </c>
      <c r="E6263" t="s">
        <v>37</v>
      </c>
      <c r="F6263" t="s">
        <v>520</v>
      </c>
      <c r="G6263">
        <v>2</v>
      </c>
      <c r="H6263">
        <v>4</v>
      </c>
      <c r="I6263" s="25">
        <v>1726</v>
      </c>
      <c r="K6263" t="s">
        <v>210</v>
      </c>
      <c r="L6263" t="s">
        <v>114</v>
      </c>
      <c r="M6263" t="s">
        <v>52</v>
      </c>
      <c r="N6263" t="s">
        <v>44</v>
      </c>
      <c r="O6263">
        <f>60+30</f>
        <v>90</v>
      </c>
      <c r="Q6263">
        <f t="shared" si="101"/>
        <v>1</v>
      </c>
      <c r="R6263">
        <v>1</v>
      </c>
      <c r="S6263">
        <v>0</v>
      </c>
      <c r="T6263">
        <v>0</v>
      </c>
      <c r="U6263">
        <v>0</v>
      </c>
      <c r="V6263">
        <v>0</v>
      </c>
      <c r="W6263">
        <v>1</v>
      </c>
      <c r="X6263" s="21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f t="shared" si="102"/>
        <v>96</v>
      </c>
      <c r="AL6263" t="s">
        <v>587</v>
      </c>
      <c r="AP6263" t="s">
        <v>1915</v>
      </c>
    </row>
    <row r="6264" spans="1:42">
      <c r="A6264" s="1">
        <v>43805</v>
      </c>
      <c r="B6264">
        <v>5</v>
      </c>
      <c r="C6264">
        <v>989</v>
      </c>
      <c r="D6264">
        <v>10376</v>
      </c>
      <c r="E6264" t="s">
        <v>37</v>
      </c>
      <c r="F6264" t="s">
        <v>520</v>
      </c>
      <c r="G6264">
        <v>2</v>
      </c>
      <c r="H6264">
        <v>5</v>
      </c>
      <c r="I6264" s="25">
        <v>1750</v>
      </c>
      <c r="K6264" t="s">
        <v>210</v>
      </c>
      <c r="L6264" t="s">
        <v>114</v>
      </c>
      <c r="M6264" t="s">
        <v>52</v>
      </c>
      <c r="N6264" t="s">
        <v>44</v>
      </c>
      <c r="O6264">
        <f>60+48</f>
        <v>108</v>
      </c>
      <c r="Q6264">
        <f t="shared" si="101"/>
        <v>1</v>
      </c>
      <c r="R6264">
        <v>1</v>
      </c>
      <c r="S6264">
        <v>0</v>
      </c>
      <c r="T6264">
        <v>0</v>
      </c>
      <c r="U6264">
        <v>0</v>
      </c>
      <c r="V6264">
        <v>0</v>
      </c>
      <c r="W6264">
        <v>1</v>
      </c>
      <c r="X6264" s="21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f t="shared" si="102"/>
        <v>96</v>
      </c>
      <c r="AL6264" t="s">
        <v>1946</v>
      </c>
      <c r="AP6264" t="s">
        <v>1915</v>
      </c>
    </row>
    <row r="6265" spans="1:42">
      <c r="A6265" s="1">
        <v>43805</v>
      </c>
      <c r="B6265">
        <v>5</v>
      </c>
      <c r="C6265">
        <v>989</v>
      </c>
      <c r="D6265">
        <v>10376</v>
      </c>
      <c r="E6265" t="s">
        <v>37</v>
      </c>
      <c r="F6265" t="s">
        <v>520</v>
      </c>
      <c r="G6265">
        <v>2</v>
      </c>
      <c r="H6265">
        <v>6</v>
      </c>
      <c r="I6265" s="25">
        <v>1800</v>
      </c>
      <c r="K6265" t="s">
        <v>210</v>
      </c>
      <c r="L6265" t="s">
        <v>114</v>
      </c>
      <c r="M6265" t="s">
        <v>52</v>
      </c>
      <c r="N6265" t="s">
        <v>40</v>
      </c>
      <c r="O6265">
        <v>55</v>
      </c>
      <c r="Q6265">
        <f t="shared" si="101"/>
        <v>1</v>
      </c>
      <c r="R6265">
        <v>1</v>
      </c>
      <c r="S6265">
        <v>0</v>
      </c>
      <c r="T6265">
        <v>0</v>
      </c>
      <c r="U6265">
        <v>0</v>
      </c>
      <c r="V6265">
        <v>0</v>
      </c>
      <c r="W6265">
        <v>1</v>
      </c>
      <c r="X6265" s="21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f t="shared" si="102"/>
        <v>96</v>
      </c>
      <c r="AP6265" t="s">
        <v>1915</v>
      </c>
    </row>
    <row r="6266" spans="1:42">
      <c r="A6266" s="1">
        <v>43805</v>
      </c>
      <c r="B6266">
        <v>5</v>
      </c>
      <c r="C6266">
        <v>989</v>
      </c>
      <c r="D6266">
        <v>10376</v>
      </c>
      <c r="E6266" t="s">
        <v>37</v>
      </c>
      <c r="F6266" t="s">
        <v>520</v>
      </c>
      <c r="G6266">
        <v>2</v>
      </c>
      <c r="H6266">
        <v>7</v>
      </c>
      <c r="I6266" s="25">
        <v>1900</v>
      </c>
      <c r="K6266" t="s">
        <v>210</v>
      </c>
      <c r="L6266" t="s">
        <v>114</v>
      </c>
      <c r="M6266" t="s">
        <v>52</v>
      </c>
      <c r="N6266" t="s">
        <v>40</v>
      </c>
      <c r="O6266">
        <v>41</v>
      </c>
      <c r="Q6266">
        <f t="shared" si="101"/>
        <v>1</v>
      </c>
      <c r="R6266">
        <v>1</v>
      </c>
      <c r="S6266">
        <v>0</v>
      </c>
      <c r="T6266">
        <v>0</v>
      </c>
      <c r="U6266">
        <v>0</v>
      </c>
      <c r="V6266">
        <v>0</v>
      </c>
      <c r="W6266">
        <v>1</v>
      </c>
      <c r="X6266" s="21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f t="shared" si="102"/>
        <v>96</v>
      </c>
      <c r="AP6266" t="s">
        <v>1915</v>
      </c>
    </row>
    <row r="6267" spans="1:42">
      <c r="A6267" s="1">
        <v>43805</v>
      </c>
      <c r="B6267">
        <v>5</v>
      </c>
      <c r="C6267">
        <v>989</v>
      </c>
      <c r="D6267">
        <v>10376</v>
      </c>
      <c r="E6267" t="s">
        <v>37</v>
      </c>
      <c r="F6267" t="s">
        <v>520</v>
      </c>
      <c r="G6267">
        <v>2</v>
      </c>
      <c r="H6267">
        <v>8</v>
      </c>
      <c r="I6267" s="25">
        <v>2000</v>
      </c>
      <c r="K6267" t="s">
        <v>210</v>
      </c>
      <c r="L6267" t="s">
        <v>114</v>
      </c>
      <c r="M6267" t="s">
        <v>52</v>
      </c>
      <c r="N6267" t="s">
        <v>40</v>
      </c>
      <c r="O6267">
        <f>51+52+53</f>
        <v>156</v>
      </c>
      <c r="Q6267">
        <f t="shared" si="101"/>
        <v>5</v>
      </c>
      <c r="R6267">
        <v>1</v>
      </c>
      <c r="S6267">
        <v>0</v>
      </c>
      <c r="T6267">
        <v>0</v>
      </c>
      <c r="U6267">
        <v>0</v>
      </c>
      <c r="V6267">
        <v>2</v>
      </c>
      <c r="W6267">
        <v>3</v>
      </c>
      <c r="X6267" s="21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f t="shared" si="102"/>
        <v>416</v>
      </c>
      <c r="AP6267" t="s">
        <v>1915</v>
      </c>
    </row>
    <row r="6268" spans="1:42">
      <c r="A6268" s="1">
        <v>43805</v>
      </c>
      <c r="B6268">
        <v>5</v>
      </c>
      <c r="C6268">
        <v>989</v>
      </c>
      <c r="D6268">
        <v>10376</v>
      </c>
      <c r="E6268" t="s">
        <v>37</v>
      </c>
      <c r="F6268" t="s">
        <v>520</v>
      </c>
      <c r="G6268">
        <v>2</v>
      </c>
      <c r="H6268">
        <v>9</v>
      </c>
      <c r="I6268" s="25">
        <v>3300</v>
      </c>
      <c r="K6268" t="s">
        <v>909</v>
      </c>
      <c r="M6268" t="s">
        <v>52</v>
      </c>
      <c r="N6268" t="s">
        <v>40</v>
      </c>
      <c r="O6268">
        <v>59</v>
      </c>
      <c r="Q6268">
        <f t="shared" si="101"/>
        <v>1</v>
      </c>
      <c r="R6268">
        <v>1</v>
      </c>
      <c r="S6268">
        <v>0</v>
      </c>
      <c r="T6268">
        <v>0</v>
      </c>
      <c r="U6268">
        <v>0</v>
      </c>
      <c r="V6268">
        <v>0</v>
      </c>
      <c r="W6268">
        <v>1</v>
      </c>
      <c r="X6268" s="21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f t="shared" si="102"/>
        <v>96</v>
      </c>
      <c r="AP6268" t="s">
        <v>1915</v>
      </c>
    </row>
    <row r="6269" spans="1:42">
      <c r="A6269" s="1">
        <v>43805</v>
      </c>
      <c r="B6269">
        <v>5</v>
      </c>
      <c r="C6269">
        <v>989</v>
      </c>
      <c r="D6269">
        <v>10376</v>
      </c>
      <c r="E6269" t="s">
        <v>37</v>
      </c>
      <c r="F6269" t="s">
        <v>520</v>
      </c>
      <c r="G6269">
        <v>2</v>
      </c>
      <c r="H6269">
        <v>10</v>
      </c>
      <c r="I6269" s="25">
        <v>3344</v>
      </c>
      <c r="K6269" t="s">
        <v>909</v>
      </c>
      <c r="L6269" t="s">
        <v>114</v>
      </c>
      <c r="M6269" t="s">
        <v>95</v>
      </c>
      <c r="N6269" t="s">
        <v>44</v>
      </c>
      <c r="O6269">
        <f>60+60+60+60+60+13</f>
        <v>313</v>
      </c>
      <c r="Q6269">
        <f t="shared" si="101"/>
        <v>2</v>
      </c>
      <c r="R6269">
        <v>1</v>
      </c>
      <c r="S6269">
        <v>0</v>
      </c>
      <c r="T6269">
        <v>0</v>
      </c>
      <c r="U6269">
        <v>0</v>
      </c>
      <c r="V6269">
        <v>0</v>
      </c>
      <c r="W6269">
        <v>2</v>
      </c>
      <c r="X6269" s="21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f t="shared" si="102"/>
        <v>192</v>
      </c>
      <c r="AP6269" t="s">
        <v>1915</v>
      </c>
    </row>
    <row r="6270" spans="1:42">
      <c r="A6270" s="1">
        <v>43805</v>
      </c>
      <c r="B6270">
        <v>5</v>
      </c>
      <c r="C6270">
        <v>989</v>
      </c>
      <c r="D6270">
        <v>10376</v>
      </c>
      <c r="E6270" t="s">
        <v>37</v>
      </c>
      <c r="F6270" t="s">
        <v>520</v>
      </c>
      <c r="G6270">
        <v>2</v>
      </c>
      <c r="H6270">
        <v>11</v>
      </c>
      <c r="I6270" s="25">
        <v>2000</v>
      </c>
      <c r="K6270" t="s">
        <v>324</v>
      </c>
      <c r="M6270" t="s">
        <v>52</v>
      </c>
      <c r="N6270" t="s">
        <v>40</v>
      </c>
      <c r="O6270">
        <v>37</v>
      </c>
      <c r="Q6270">
        <f t="shared" si="101"/>
        <v>1</v>
      </c>
      <c r="R6270">
        <v>1</v>
      </c>
      <c r="S6270">
        <v>0</v>
      </c>
      <c r="T6270">
        <v>0</v>
      </c>
      <c r="U6270">
        <v>1</v>
      </c>
      <c r="V6270">
        <v>0</v>
      </c>
      <c r="W6270">
        <v>0</v>
      </c>
      <c r="X6270" s="21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1</v>
      </c>
      <c r="AG6270">
        <v>0</v>
      </c>
      <c r="AH6270">
        <f t="shared" si="102"/>
        <v>32</v>
      </c>
      <c r="AP6270" t="s">
        <v>1915</v>
      </c>
    </row>
    <row r="6271" spans="1:42">
      <c r="A6271" s="1">
        <v>43805</v>
      </c>
      <c r="B6271">
        <v>5</v>
      </c>
      <c r="C6271">
        <v>989</v>
      </c>
      <c r="D6271">
        <v>10376</v>
      </c>
      <c r="E6271" t="s">
        <v>37</v>
      </c>
      <c r="F6271" t="s">
        <v>520</v>
      </c>
      <c r="G6271">
        <v>2</v>
      </c>
      <c r="H6271">
        <v>12</v>
      </c>
      <c r="I6271" s="25">
        <v>2000</v>
      </c>
      <c r="K6271" t="s">
        <v>324</v>
      </c>
      <c r="M6271" t="s">
        <v>52</v>
      </c>
      <c r="N6271" t="s">
        <v>40</v>
      </c>
      <c r="O6271">
        <v>34</v>
      </c>
      <c r="Q6271">
        <f t="shared" si="101"/>
        <v>1</v>
      </c>
      <c r="R6271">
        <v>1</v>
      </c>
      <c r="S6271">
        <v>0</v>
      </c>
      <c r="T6271">
        <v>0</v>
      </c>
      <c r="U6271">
        <v>0</v>
      </c>
      <c r="V6271">
        <v>0</v>
      </c>
      <c r="W6271">
        <v>1</v>
      </c>
      <c r="X6271" s="2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f t="shared" si="102"/>
        <v>96</v>
      </c>
      <c r="AP6271" t="s">
        <v>1915</v>
      </c>
    </row>
    <row r="6272" spans="1:42">
      <c r="A6272" s="1">
        <v>43805</v>
      </c>
      <c r="B6272">
        <v>5</v>
      </c>
      <c r="C6272">
        <v>989</v>
      </c>
      <c r="D6272">
        <v>10376</v>
      </c>
      <c r="E6272" t="s">
        <v>37</v>
      </c>
      <c r="F6272" t="s">
        <v>520</v>
      </c>
      <c r="G6272">
        <v>2</v>
      </c>
      <c r="H6272">
        <v>13</v>
      </c>
      <c r="I6272" s="25">
        <v>2000</v>
      </c>
      <c r="K6272" t="s">
        <v>324</v>
      </c>
      <c r="M6272" t="s">
        <v>52</v>
      </c>
      <c r="N6272" t="s">
        <v>40</v>
      </c>
      <c r="O6272">
        <f>60+8</f>
        <v>68</v>
      </c>
      <c r="Q6272">
        <f t="shared" ref="Q6272:Q6335" si="103">SUM(S6272:AE6272)</f>
        <v>3</v>
      </c>
      <c r="R6272">
        <v>1</v>
      </c>
      <c r="S6272">
        <v>0</v>
      </c>
      <c r="T6272">
        <v>0</v>
      </c>
      <c r="U6272">
        <v>0</v>
      </c>
      <c r="V6272">
        <v>3</v>
      </c>
      <c r="W6272">
        <v>0</v>
      </c>
      <c r="X6272" s="21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f t="shared" ref="AH6272:AH6335" si="104">(16*S6272)+(20*T6272)+(32*U6272)+(64*V6272)+(96*W6272)</f>
        <v>192</v>
      </c>
      <c r="AP6272" t="s">
        <v>1915</v>
      </c>
    </row>
    <row r="6273" spans="1:42">
      <c r="A6273" s="1">
        <v>43805</v>
      </c>
      <c r="B6273">
        <v>5</v>
      </c>
      <c r="C6273">
        <v>989</v>
      </c>
      <c r="D6273">
        <v>10376</v>
      </c>
      <c r="E6273" t="s">
        <v>37</v>
      </c>
      <c r="F6273" t="s">
        <v>520</v>
      </c>
      <c r="G6273">
        <v>2</v>
      </c>
      <c r="H6273">
        <v>14</v>
      </c>
      <c r="I6273" s="25">
        <v>2000</v>
      </c>
      <c r="K6273" t="s">
        <v>324</v>
      </c>
      <c r="M6273" t="s">
        <v>52</v>
      </c>
      <c r="N6273" t="s">
        <v>40</v>
      </c>
      <c r="O6273">
        <f>58</f>
        <v>58</v>
      </c>
      <c r="Q6273">
        <f t="shared" si="103"/>
        <v>2</v>
      </c>
      <c r="R6273">
        <v>1</v>
      </c>
      <c r="S6273">
        <v>0</v>
      </c>
      <c r="T6273">
        <v>0</v>
      </c>
      <c r="U6273">
        <v>0</v>
      </c>
      <c r="V6273">
        <v>0</v>
      </c>
      <c r="W6273">
        <v>2</v>
      </c>
      <c r="X6273" s="21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f t="shared" si="104"/>
        <v>192</v>
      </c>
      <c r="AP6273" t="s">
        <v>1915</v>
      </c>
    </row>
    <row r="6274" spans="1:42">
      <c r="A6274" s="1">
        <v>43805</v>
      </c>
      <c r="B6274">
        <v>5</v>
      </c>
      <c r="C6274">
        <v>989</v>
      </c>
      <c r="D6274">
        <v>10376</v>
      </c>
      <c r="E6274" t="s">
        <v>37</v>
      </c>
      <c r="F6274" t="s">
        <v>520</v>
      </c>
      <c r="G6274">
        <v>2</v>
      </c>
      <c r="H6274">
        <v>15</v>
      </c>
      <c r="I6274" s="25">
        <v>2100</v>
      </c>
      <c r="K6274" t="s">
        <v>324</v>
      </c>
      <c r="L6274" t="s">
        <v>114</v>
      </c>
      <c r="M6274" t="s">
        <v>52</v>
      </c>
      <c r="N6274" t="s">
        <v>40</v>
      </c>
      <c r="O6274">
        <f>60+49</f>
        <v>109</v>
      </c>
      <c r="Q6274">
        <f t="shared" si="103"/>
        <v>4</v>
      </c>
      <c r="R6274">
        <v>1</v>
      </c>
      <c r="S6274">
        <v>0</v>
      </c>
      <c r="T6274">
        <v>0</v>
      </c>
      <c r="U6274">
        <v>1</v>
      </c>
      <c r="V6274">
        <v>3</v>
      </c>
      <c r="W6274">
        <v>0</v>
      </c>
      <c r="X6274" s="21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f t="shared" si="104"/>
        <v>224</v>
      </c>
      <c r="AP6274" t="s">
        <v>1915</v>
      </c>
    </row>
    <row r="6275" spans="1:42">
      <c r="A6275" s="1">
        <v>43805</v>
      </c>
      <c r="B6275">
        <v>5</v>
      </c>
      <c r="C6275">
        <v>989</v>
      </c>
      <c r="D6275">
        <v>10376</v>
      </c>
      <c r="E6275" t="s">
        <v>37</v>
      </c>
      <c r="F6275" t="s">
        <v>520</v>
      </c>
      <c r="G6275">
        <v>2</v>
      </c>
      <c r="H6275">
        <v>16</v>
      </c>
      <c r="I6275" s="25">
        <v>2100</v>
      </c>
      <c r="K6275" t="s">
        <v>324</v>
      </c>
      <c r="L6275" t="s">
        <v>114</v>
      </c>
      <c r="M6275" t="s">
        <v>52</v>
      </c>
      <c r="N6275" t="s">
        <v>40</v>
      </c>
      <c r="O6275">
        <f>60+25</f>
        <v>85</v>
      </c>
      <c r="Q6275">
        <f t="shared" si="103"/>
        <v>2</v>
      </c>
      <c r="R6275">
        <v>1</v>
      </c>
      <c r="S6275">
        <v>0</v>
      </c>
      <c r="T6275">
        <v>0</v>
      </c>
      <c r="U6275">
        <v>0</v>
      </c>
      <c r="V6275">
        <v>1</v>
      </c>
      <c r="W6275">
        <v>1</v>
      </c>
      <c r="X6275" s="21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f t="shared" si="104"/>
        <v>160</v>
      </c>
      <c r="AP6275" t="s">
        <v>1915</v>
      </c>
    </row>
    <row r="6276" spans="1:42">
      <c r="A6276" s="1">
        <v>43805</v>
      </c>
      <c r="B6276">
        <v>5</v>
      </c>
      <c r="C6276">
        <v>989</v>
      </c>
      <c r="D6276">
        <v>10376</v>
      </c>
      <c r="E6276" t="s">
        <v>37</v>
      </c>
      <c r="F6276" t="s">
        <v>520</v>
      </c>
      <c r="G6276">
        <v>2</v>
      </c>
      <c r="H6276">
        <v>17</v>
      </c>
      <c r="I6276" s="25">
        <v>2100</v>
      </c>
      <c r="K6276" t="s">
        <v>324</v>
      </c>
      <c r="L6276" t="s">
        <v>114</v>
      </c>
      <c r="M6276" t="s">
        <v>52</v>
      </c>
      <c r="N6276" t="s">
        <v>40</v>
      </c>
      <c r="O6276">
        <v>50</v>
      </c>
      <c r="Q6276">
        <f t="shared" si="103"/>
        <v>1</v>
      </c>
      <c r="R6276">
        <v>1</v>
      </c>
      <c r="S6276">
        <v>0</v>
      </c>
      <c r="T6276">
        <v>0</v>
      </c>
      <c r="U6276">
        <v>0</v>
      </c>
      <c r="V6276">
        <v>1</v>
      </c>
      <c r="W6276">
        <v>0</v>
      </c>
      <c r="X6276" s="21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1</v>
      </c>
      <c r="AG6276">
        <v>0</v>
      </c>
      <c r="AH6276">
        <f t="shared" si="104"/>
        <v>64</v>
      </c>
      <c r="AP6276" t="s">
        <v>1915</v>
      </c>
    </row>
    <row r="6277" spans="1:42">
      <c r="A6277" s="1">
        <v>43805</v>
      </c>
      <c r="B6277">
        <v>5</v>
      </c>
      <c r="C6277">
        <v>989</v>
      </c>
      <c r="D6277">
        <v>10376</v>
      </c>
      <c r="E6277" t="s">
        <v>37</v>
      </c>
      <c r="F6277" t="s">
        <v>520</v>
      </c>
      <c r="G6277">
        <v>2</v>
      </c>
      <c r="H6277">
        <v>18</v>
      </c>
      <c r="I6277" s="25">
        <v>2100</v>
      </c>
      <c r="K6277" t="s">
        <v>324</v>
      </c>
      <c r="L6277" t="s">
        <v>114</v>
      </c>
      <c r="M6277" t="s">
        <v>52</v>
      </c>
      <c r="N6277" t="s">
        <v>40</v>
      </c>
      <c r="O6277">
        <f>60+2</f>
        <v>62</v>
      </c>
      <c r="Q6277">
        <f t="shared" si="103"/>
        <v>1</v>
      </c>
      <c r="R6277">
        <v>1</v>
      </c>
      <c r="S6277">
        <v>0</v>
      </c>
      <c r="T6277">
        <v>0</v>
      </c>
      <c r="U6277">
        <v>1</v>
      </c>
      <c r="V6277">
        <v>0</v>
      </c>
      <c r="W6277">
        <v>0</v>
      </c>
      <c r="X6277" s="21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f t="shared" si="104"/>
        <v>32</v>
      </c>
      <c r="AP6277" t="s">
        <v>1915</v>
      </c>
    </row>
    <row r="6278" spans="1:42">
      <c r="A6278" s="1">
        <v>43805</v>
      </c>
      <c r="B6278">
        <v>5</v>
      </c>
      <c r="C6278">
        <v>989</v>
      </c>
      <c r="D6278">
        <v>10376</v>
      </c>
      <c r="E6278" t="s">
        <v>37</v>
      </c>
      <c r="F6278" t="s">
        <v>520</v>
      </c>
      <c r="G6278">
        <v>2</v>
      </c>
      <c r="H6278">
        <v>19</v>
      </c>
      <c r="I6278" s="25">
        <v>2100</v>
      </c>
      <c r="K6278" t="s">
        <v>324</v>
      </c>
      <c r="L6278" t="s">
        <v>141</v>
      </c>
      <c r="M6278" t="s">
        <v>52</v>
      </c>
      <c r="N6278" t="s">
        <v>40</v>
      </c>
      <c r="O6278">
        <f>60</f>
        <v>60</v>
      </c>
      <c r="Q6278">
        <f t="shared" si="103"/>
        <v>1</v>
      </c>
      <c r="R6278">
        <v>1</v>
      </c>
      <c r="S6278">
        <v>0</v>
      </c>
      <c r="T6278">
        <v>0</v>
      </c>
      <c r="U6278">
        <v>0</v>
      </c>
      <c r="V6278">
        <v>0</v>
      </c>
      <c r="W6278">
        <v>1</v>
      </c>
      <c r="X6278" s="21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1</v>
      </c>
      <c r="AG6278">
        <v>0</v>
      </c>
      <c r="AH6278">
        <f t="shared" si="104"/>
        <v>96</v>
      </c>
      <c r="AP6278" t="s">
        <v>1915</v>
      </c>
    </row>
    <row r="6279" spans="1:42">
      <c r="A6279" s="1">
        <v>43805</v>
      </c>
      <c r="B6279">
        <v>5</v>
      </c>
      <c r="C6279">
        <v>989</v>
      </c>
      <c r="D6279">
        <v>10376</v>
      </c>
      <c r="E6279" t="s">
        <v>37</v>
      </c>
      <c r="F6279" t="s">
        <v>520</v>
      </c>
      <c r="G6279">
        <v>2</v>
      </c>
      <c r="H6279">
        <v>20</v>
      </c>
      <c r="I6279" s="25">
        <v>2100</v>
      </c>
      <c r="K6279" t="s">
        <v>324</v>
      </c>
      <c r="L6279" t="s">
        <v>141</v>
      </c>
      <c r="M6279" t="s">
        <v>52</v>
      </c>
      <c r="N6279" t="s">
        <v>40</v>
      </c>
      <c r="O6279">
        <v>59</v>
      </c>
      <c r="Q6279">
        <f t="shared" si="103"/>
        <v>2</v>
      </c>
      <c r="R6279">
        <v>1</v>
      </c>
      <c r="S6279">
        <v>0</v>
      </c>
      <c r="T6279">
        <v>0</v>
      </c>
      <c r="U6279">
        <v>0</v>
      </c>
      <c r="V6279">
        <v>0</v>
      </c>
      <c r="W6279">
        <v>2</v>
      </c>
      <c r="X6279" s="21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f t="shared" si="104"/>
        <v>192</v>
      </c>
      <c r="AP6279" t="s">
        <v>1915</v>
      </c>
    </row>
    <row r="6280" spans="1:42">
      <c r="A6280" s="1">
        <v>43805</v>
      </c>
      <c r="B6280">
        <v>5</v>
      </c>
      <c r="C6280">
        <v>989</v>
      </c>
      <c r="D6280">
        <v>10376</v>
      </c>
      <c r="E6280" t="s">
        <v>37</v>
      </c>
      <c r="F6280" t="s">
        <v>520</v>
      </c>
      <c r="G6280">
        <v>2</v>
      </c>
      <c r="H6280">
        <v>21</v>
      </c>
      <c r="I6280" s="25">
        <v>2100</v>
      </c>
      <c r="K6280" t="s">
        <v>324</v>
      </c>
      <c r="L6280" t="s">
        <v>141</v>
      </c>
      <c r="M6280" t="s">
        <v>52</v>
      </c>
      <c r="N6280" t="s">
        <v>40</v>
      </c>
      <c r="O6280">
        <f>60+47</f>
        <v>107</v>
      </c>
      <c r="Q6280">
        <f t="shared" si="103"/>
        <v>4</v>
      </c>
      <c r="R6280">
        <v>1</v>
      </c>
      <c r="S6280">
        <v>0</v>
      </c>
      <c r="T6280">
        <v>0</v>
      </c>
      <c r="U6280">
        <v>1</v>
      </c>
      <c r="V6280">
        <v>0</v>
      </c>
      <c r="W6280">
        <v>3</v>
      </c>
      <c r="X6280" s="21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f t="shared" si="104"/>
        <v>320</v>
      </c>
      <c r="AP6280" t="s">
        <v>1915</v>
      </c>
    </row>
    <row r="6281" spans="1:42">
      <c r="A6281" s="1">
        <v>43805</v>
      </c>
      <c r="B6281">
        <v>5</v>
      </c>
      <c r="C6281">
        <v>989</v>
      </c>
      <c r="D6281">
        <v>10376</v>
      </c>
      <c r="E6281" t="s">
        <v>37</v>
      </c>
      <c r="F6281" t="s">
        <v>520</v>
      </c>
      <c r="G6281">
        <v>2</v>
      </c>
      <c r="H6281">
        <v>22</v>
      </c>
      <c r="I6281" s="25">
        <v>2100</v>
      </c>
      <c r="K6281" t="s">
        <v>324</v>
      </c>
      <c r="L6281" t="s">
        <v>141</v>
      </c>
      <c r="M6281" t="s">
        <v>52</v>
      </c>
      <c r="N6281" t="s">
        <v>40</v>
      </c>
      <c r="O6281">
        <v>35</v>
      </c>
      <c r="Q6281">
        <f t="shared" si="103"/>
        <v>1</v>
      </c>
      <c r="R6281">
        <v>1</v>
      </c>
      <c r="S6281">
        <v>0</v>
      </c>
      <c r="T6281">
        <v>0</v>
      </c>
      <c r="U6281">
        <v>0</v>
      </c>
      <c r="V6281">
        <v>1</v>
      </c>
      <c r="W6281">
        <v>0</v>
      </c>
      <c r="X6281" s="2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f t="shared" si="104"/>
        <v>64</v>
      </c>
      <c r="AP6281" t="s">
        <v>1915</v>
      </c>
    </row>
    <row r="6282" spans="1:42">
      <c r="A6282" s="1">
        <v>43805</v>
      </c>
      <c r="B6282">
        <v>5</v>
      </c>
      <c r="C6282">
        <v>989</v>
      </c>
      <c r="D6282">
        <v>10376</v>
      </c>
      <c r="E6282" t="s">
        <v>37</v>
      </c>
      <c r="F6282" t="s">
        <v>520</v>
      </c>
      <c r="G6282">
        <v>2</v>
      </c>
      <c r="H6282">
        <v>23</v>
      </c>
      <c r="I6282" s="25">
        <v>3300</v>
      </c>
      <c r="K6282" t="s">
        <v>113</v>
      </c>
      <c r="L6282" t="s">
        <v>141</v>
      </c>
      <c r="M6282" t="s">
        <v>52</v>
      </c>
      <c r="N6282" t="s">
        <v>40</v>
      </c>
      <c r="O6282">
        <f>51+52</f>
        <v>103</v>
      </c>
      <c r="Q6282">
        <f t="shared" si="103"/>
        <v>5</v>
      </c>
      <c r="R6282">
        <v>1</v>
      </c>
      <c r="S6282">
        <v>0</v>
      </c>
      <c r="T6282">
        <v>0</v>
      </c>
      <c r="U6282">
        <v>0</v>
      </c>
      <c r="V6282">
        <v>2</v>
      </c>
      <c r="W6282">
        <v>3</v>
      </c>
      <c r="X6282" s="21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f t="shared" si="104"/>
        <v>416</v>
      </c>
      <c r="AP6282" t="s">
        <v>1915</v>
      </c>
    </row>
    <row r="6283" spans="1:42">
      <c r="A6283" s="1">
        <v>43805</v>
      </c>
      <c r="B6283">
        <v>5</v>
      </c>
      <c r="C6283">
        <v>989</v>
      </c>
      <c r="D6283">
        <v>10376</v>
      </c>
      <c r="E6283" t="s">
        <v>37</v>
      </c>
      <c r="F6283" t="s">
        <v>520</v>
      </c>
      <c r="G6283">
        <v>2</v>
      </c>
      <c r="H6283">
        <v>24</v>
      </c>
      <c r="I6283" s="25">
        <v>3325</v>
      </c>
      <c r="K6283" t="s">
        <v>113</v>
      </c>
      <c r="L6283" t="s">
        <v>141</v>
      </c>
      <c r="M6283" t="s">
        <v>95</v>
      </c>
      <c r="N6283" t="s">
        <v>44</v>
      </c>
      <c r="O6283">
        <f>60+60+25</f>
        <v>145</v>
      </c>
      <c r="Q6283">
        <f t="shared" si="103"/>
        <v>1</v>
      </c>
      <c r="R6283">
        <v>1</v>
      </c>
      <c r="S6283">
        <v>0</v>
      </c>
      <c r="T6283">
        <v>0</v>
      </c>
      <c r="U6283">
        <v>0</v>
      </c>
      <c r="V6283">
        <v>0</v>
      </c>
      <c r="W6283">
        <v>1</v>
      </c>
      <c r="X6283" s="21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f t="shared" si="104"/>
        <v>96</v>
      </c>
      <c r="AP6283" t="s">
        <v>1915</v>
      </c>
    </row>
    <row r="6284" spans="1:42">
      <c r="A6284" s="1">
        <v>43805</v>
      </c>
      <c r="B6284">
        <v>5</v>
      </c>
      <c r="C6284">
        <v>989</v>
      </c>
      <c r="D6284">
        <v>10376</v>
      </c>
      <c r="E6284" t="s">
        <v>37</v>
      </c>
      <c r="F6284" t="s">
        <v>520</v>
      </c>
      <c r="G6284">
        <v>2</v>
      </c>
      <c r="H6284">
        <v>25</v>
      </c>
      <c r="I6284" s="25">
        <v>3300</v>
      </c>
      <c r="K6284" t="s">
        <v>113</v>
      </c>
      <c r="L6284" t="s">
        <v>141</v>
      </c>
      <c r="M6284" t="s">
        <v>52</v>
      </c>
      <c r="N6284" t="s">
        <v>40</v>
      </c>
      <c r="O6284">
        <f>48</f>
        <v>48</v>
      </c>
      <c r="Q6284">
        <f t="shared" si="103"/>
        <v>2</v>
      </c>
      <c r="R6284">
        <v>1</v>
      </c>
      <c r="S6284">
        <v>0</v>
      </c>
      <c r="T6284">
        <v>0</v>
      </c>
      <c r="U6284">
        <v>0</v>
      </c>
      <c r="V6284">
        <v>1</v>
      </c>
      <c r="W6284">
        <v>1</v>
      </c>
      <c r="X6284" s="21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f t="shared" si="104"/>
        <v>160</v>
      </c>
      <c r="AP6284" t="s">
        <v>1915</v>
      </c>
    </row>
    <row r="6285" spans="1:42">
      <c r="A6285" s="1">
        <v>43805</v>
      </c>
      <c r="B6285">
        <v>5</v>
      </c>
      <c r="C6285">
        <v>989</v>
      </c>
      <c r="D6285">
        <v>10376</v>
      </c>
      <c r="E6285" t="s">
        <v>37</v>
      </c>
      <c r="F6285" t="s">
        <v>520</v>
      </c>
      <c r="G6285">
        <v>2</v>
      </c>
      <c r="H6285">
        <v>26</v>
      </c>
      <c r="I6285" s="25">
        <v>3315</v>
      </c>
      <c r="K6285" t="s">
        <v>113</v>
      </c>
      <c r="L6285" t="s">
        <v>141</v>
      </c>
      <c r="M6285" t="s">
        <v>52</v>
      </c>
      <c r="N6285" t="s">
        <v>44</v>
      </c>
      <c r="O6285">
        <f>60+60+41</f>
        <v>161</v>
      </c>
      <c r="Q6285">
        <f t="shared" si="103"/>
        <v>1</v>
      </c>
      <c r="R6285">
        <v>1</v>
      </c>
      <c r="S6285">
        <v>0</v>
      </c>
      <c r="T6285">
        <v>0</v>
      </c>
      <c r="U6285">
        <v>0</v>
      </c>
      <c r="V6285">
        <v>0</v>
      </c>
      <c r="W6285">
        <v>1</v>
      </c>
      <c r="X6285" s="21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f t="shared" si="104"/>
        <v>96</v>
      </c>
      <c r="AP6285" t="s">
        <v>1915</v>
      </c>
    </row>
    <row r="6286" spans="1:42">
      <c r="A6286" s="1">
        <v>43805</v>
      </c>
      <c r="B6286">
        <v>5</v>
      </c>
      <c r="C6286">
        <v>989</v>
      </c>
      <c r="D6286">
        <v>10376</v>
      </c>
      <c r="E6286" t="s">
        <v>37</v>
      </c>
      <c r="F6286" t="s">
        <v>520</v>
      </c>
      <c r="G6286">
        <v>2</v>
      </c>
      <c r="H6286">
        <v>27</v>
      </c>
      <c r="I6286" s="25">
        <v>2200</v>
      </c>
      <c r="K6286" t="s">
        <v>210</v>
      </c>
      <c r="L6286" t="s">
        <v>114</v>
      </c>
      <c r="M6286" t="s">
        <v>52</v>
      </c>
      <c r="N6286" t="s">
        <v>40</v>
      </c>
      <c r="O6286">
        <f>60+43</f>
        <v>103</v>
      </c>
      <c r="Q6286">
        <f t="shared" si="103"/>
        <v>1</v>
      </c>
      <c r="R6286">
        <v>1</v>
      </c>
      <c r="S6286">
        <v>0</v>
      </c>
      <c r="T6286">
        <v>0</v>
      </c>
      <c r="U6286">
        <v>0</v>
      </c>
      <c r="V6286">
        <v>1</v>
      </c>
      <c r="W6286">
        <v>0</v>
      </c>
      <c r="X6286" s="21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5</v>
      </c>
      <c r="AG6286">
        <v>0</v>
      </c>
      <c r="AH6286">
        <f t="shared" si="104"/>
        <v>64</v>
      </c>
      <c r="AP6286" t="s">
        <v>1915</v>
      </c>
    </row>
    <row r="6287" spans="1:42">
      <c r="A6287" s="1">
        <v>43805</v>
      </c>
      <c r="B6287">
        <v>5</v>
      </c>
      <c r="C6287">
        <v>989</v>
      </c>
      <c r="D6287">
        <v>10376</v>
      </c>
      <c r="E6287" t="s">
        <v>37</v>
      </c>
      <c r="F6287" t="s">
        <v>520</v>
      </c>
      <c r="G6287">
        <v>2</v>
      </c>
      <c r="H6287">
        <v>28</v>
      </c>
      <c r="I6287" s="25">
        <v>2240</v>
      </c>
      <c r="K6287" t="s">
        <v>210</v>
      </c>
      <c r="L6287" t="s">
        <v>114</v>
      </c>
      <c r="M6287" t="s">
        <v>52</v>
      </c>
      <c r="N6287" t="s">
        <v>44</v>
      </c>
      <c r="O6287">
        <f>60+60+5</f>
        <v>125</v>
      </c>
      <c r="Q6287">
        <f t="shared" si="103"/>
        <v>1</v>
      </c>
      <c r="R6287">
        <v>1</v>
      </c>
      <c r="S6287">
        <v>0</v>
      </c>
      <c r="T6287">
        <v>0</v>
      </c>
      <c r="U6287">
        <v>0</v>
      </c>
      <c r="V6287">
        <v>0</v>
      </c>
      <c r="W6287">
        <v>1</v>
      </c>
      <c r="X6287" s="21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f t="shared" si="104"/>
        <v>96</v>
      </c>
      <c r="AL6287" t="s">
        <v>1957</v>
      </c>
      <c r="AP6287" t="s">
        <v>1915</v>
      </c>
    </row>
    <row r="6288" spans="1:42">
      <c r="A6288" s="1">
        <v>43805</v>
      </c>
      <c r="B6288">
        <v>5</v>
      </c>
      <c r="C6288">
        <v>989</v>
      </c>
      <c r="D6288">
        <v>10376</v>
      </c>
      <c r="E6288" t="s">
        <v>37</v>
      </c>
      <c r="F6288" t="s">
        <v>520</v>
      </c>
      <c r="G6288">
        <v>2</v>
      </c>
      <c r="H6288">
        <v>29</v>
      </c>
      <c r="I6288" s="25">
        <v>2200</v>
      </c>
      <c r="K6288" t="s">
        <v>210</v>
      </c>
      <c r="L6288" t="s">
        <v>114</v>
      </c>
      <c r="M6288" t="s">
        <v>52</v>
      </c>
      <c r="N6288" t="s">
        <v>40</v>
      </c>
      <c r="O6288">
        <f>60+60+14</f>
        <v>134</v>
      </c>
      <c r="Q6288">
        <f t="shared" si="103"/>
        <v>4</v>
      </c>
      <c r="R6288">
        <v>1</v>
      </c>
      <c r="S6288">
        <v>0</v>
      </c>
      <c r="T6288">
        <v>0</v>
      </c>
      <c r="U6288">
        <v>0</v>
      </c>
      <c r="V6288">
        <v>1</v>
      </c>
      <c r="W6288">
        <v>3</v>
      </c>
      <c r="X6288" s="21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f t="shared" si="104"/>
        <v>352</v>
      </c>
      <c r="AP6288" t="s">
        <v>1915</v>
      </c>
    </row>
    <row r="6289" spans="1:42">
      <c r="A6289" s="1">
        <v>43805</v>
      </c>
      <c r="B6289">
        <v>5</v>
      </c>
      <c r="C6289">
        <v>989</v>
      </c>
      <c r="D6289">
        <v>10376</v>
      </c>
      <c r="E6289" t="s">
        <v>37</v>
      </c>
      <c r="F6289" t="s">
        <v>520</v>
      </c>
      <c r="G6289">
        <v>2</v>
      </c>
      <c r="H6289">
        <v>30</v>
      </c>
      <c r="I6289" s="25">
        <v>2000</v>
      </c>
      <c r="K6289" t="s">
        <v>324</v>
      </c>
      <c r="L6289" t="s">
        <v>141</v>
      </c>
      <c r="M6289" t="s">
        <v>52</v>
      </c>
      <c r="N6289" t="s">
        <v>40</v>
      </c>
      <c r="O6289">
        <v>31</v>
      </c>
      <c r="Q6289">
        <f t="shared" si="103"/>
        <v>1</v>
      </c>
      <c r="R6289">
        <v>1</v>
      </c>
      <c r="S6289">
        <v>0</v>
      </c>
      <c r="T6289">
        <v>0</v>
      </c>
      <c r="U6289">
        <v>1</v>
      </c>
      <c r="V6289">
        <v>0</v>
      </c>
      <c r="W6289">
        <v>0</v>
      </c>
      <c r="X6289" s="21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f t="shared" si="104"/>
        <v>32</v>
      </c>
      <c r="AP6289" t="s">
        <v>1915</v>
      </c>
    </row>
    <row r="6290" spans="1:42">
      <c r="A6290" s="1">
        <v>43805</v>
      </c>
      <c r="B6290">
        <v>5</v>
      </c>
      <c r="C6290">
        <v>989</v>
      </c>
      <c r="D6290">
        <v>10376</v>
      </c>
      <c r="E6290" t="s">
        <v>37</v>
      </c>
      <c r="F6290" t="s">
        <v>520</v>
      </c>
      <c r="G6290">
        <v>2</v>
      </c>
      <c r="H6290">
        <v>31</v>
      </c>
      <c r="I6290" s="25">
        <v>2000</v>
      </c>
      <c r="K6290" t="s">
        <v>324</v>
      </c>
      <c r="L6290" t="s">
        <v>141</v>
      </c>
      <c r="M6290" t="s">
        <v>52</v>
      </c>
      <c r="N6290" t="s">
        <v>40</v>
      </c>
      <c r="O6290">
        <f>60+16</f>
        <v>76</v>
      </c>
      <c r="Q6290">
        <f t="shared" si="103"/>
        <v>2</v>
      </c>
      <c r="R6290">
        <v>1</v>
      </c>
      <c r="S6290">
        <v>0</v>
      </c>
      <c r="T6290">
        <v>0</v>
      </c>
      <c r="U6290">
        <v>1</v>
      </c>
      <c r="V6290">
        <v>0</v>
      </c>
      <c r="W6290">
        <v>1</v>
      </c>
      <c r="X6290" s="21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1</v>
      </c>
      <c r="AG6290">
        <v>0</v>
      </c>
      <c r="AH6290">
        <f t="shared" si="104"/>
        <v>128</v>
      </c>
      <c r="AP6290" t="s">
        <v>1915</v>
      </c>
    </row>
    <row r="6291" spans="1:42">
      <c r="A6291" s="1">
        <v>43805</v>
      </c>
      <c r="B6291">
        <v>5</v>
      </c>
      <c r="C6291">
        <v>989</v>
      </c>
      <c r="D6291">
        <v>10376</v>
      </c>
      <c r="E6291" t="s">
        <v>37</v>
      </c>
      <c r="F6291" t="s">
        <v>520</v>
      </c>
      <c r="G6291">
        <v>2</v>
      </c>
      <c r="H6291">
        <v>32</v>
      </c>
      <c r="I6291" s="25">
        <v>2000</v>
      </c>
      <c r="K6291" t="s">
        <v>324</v>
      </c>
      <c r="L6291" t="s">
        <v>141</v>
      </c>
      <c r="M6291" t="s">
        <v>52</v>
      </c>
      <c r="N6291" t="s">
        <v>40</v>
      </c>
      <c r="O6291">
        <v>51</v>
      </c>
      <c r="Q6291">
        <f t="shared" si="103"/>
        <v>2</v>
      </c>
      <c r="R6291">
        <v>1</v>
      </c>
      <c r="S6291">
        <v>0</v>
      </c>
      <c r="T6291">
        <v>0</v>
      </c>
      <c r="U6291">
        <v>0</v>
      </c>
      <c r="V6291">
        <v>2</v>
      </c>
      <c r="W6291">
        <v>0</v>
      </c>
      <c r="X6291" s="2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f t="shared" si="104"/>
        <v>128</v>
      </c>
      <c r="AP6291" t="s">
        <v>1915</v>
      </c>
    </row>
    <row r="6292" spans="1:42">
      <c r="A6292" s="1">
        <v>43805</v>
      </c>
      <c r="B6292">
        <v>5</v>
      </c>
      <c r="C6292">
        <v>989</v>
      </c>
      <c r="D6292">
        <v>10376</v>
      </c>
      <c r="E6292" t="s">
        <v>37</v>
      </c>
      <c r="F6292" t="s">
        <v>520</v>
      </c>
      <c r="G6292">
        <v>2</v>
      </c>
      <c r="H6292">
        <v>33</v>
      </c>
      <c r="I6292" s="25">
        <v>2000</v>
      </c>
      <c r="K6292" t="s">
        <v>324</v>
      </c>
      <c r="L6292" t="s">
        <v>141</v>
      </c>
      <c r="M6292" t="s">
        <v>52</v>
      </c>
      <c r="N6292" t="s">
        <v>40</v>
      </c>
      <c r="O6292">
        <f>60+37</f>
        <v>97</v>
      </c>
      <c r="Q6292">
        <f t="shared" si="103"/>
        <v>4</v>
      </c>
      <c r="R6292">
        <v>1</v>
      </c>
      <c r="S6292">
        <v>0</v>
      </c>
      <c r="T6292">
        <v>0</v>
      </c>
      <c r="U6292">
        <v>0</v>
      </c>
      <c r="V6292">
        <v>4</v>
      </c>
      <c r="W6292">
        <v>0</v>
      </c>
      <c r="X6292" s="21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f t="shared" si="104"/>
        <v>256</v>
      </c>
      <c r="AP6292" t="s">
        <v>1915</v>
      </c>
    </row>
    <row r="6293" spans="1:42">
      <c r="A6293" s="1">
        <v>43805</v>
      </c>
      <c r="B6293">
        <v>5</v>
      </c>
      <c r="C6293">
        <v>989</v>
      </c>
      <c r="D6293">
        <v>10376</v>
      </c>
      <c r="E6293" t="s">
        <v>37</v>
      </c>
      <c r="F6293" t="s">
        <v>520</v>
      </c>
      <c r="G6293">
        <v>2</v>
      </c>
      <c r="H6293">
        <v>34</v>
      </c>
      <c r="I6293" s="25">
        <v>3300</v>
      </c>
      <c r="K6293" t="s">
        <v>909</v>
      </c>
      <c r="L6293" t="s">
        <v>141</v>
      </c>
      <c r="M6293" t="s">
        <v>52</v>
      </c>
      <c r="N6293" t="s">
        <v>40</v>
      </c>
      <c r="O6293">
        <v>59</v>
      </c>
      <c r="Q6293">
        <f t="shared" si="103"/>
        <v>2</v>
      </c>
      <c r="R6293">
        <v>1</v>
      </c>
      <c r="S6293">
        <v>0</v>
      </c>
      <c r="T6293">
        <v>0</v>
      </c>
      <c r="U6293">
        <v>0</v>
      </c>
      <c r="V6293">
        <v>2</v>
      </c>
      <c r="W6293">
        <v>0</v>
      </c>
      <c r="X6293" s="21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f t="shared" si="104"/>
        <v>128</v>
      </c>
      <c r="AP6293" t="s">
        <v>1915</v>
      </c>
    </row>
    <row r="6294" spans="1:42">
      <c r="A6294" s="1">
        <v>43805</v>
      </c>
      <c r="B6294">
        <v>5</v>
      </c>
      <c r="C6294">
        <v>989</v>
      </c>
      <c r="D6294">
        <v>10376</v>
      </c>
      <c r="E6294" t="s">
        <v>37</v>
      </c>
      <c r="F6294" t="s">
        <v>520</v>
      </c>
      <c r="G6294">
        <v>2</v>
      </c>
      <c r="H6294">
        <v>35</v>
      </c>
      <c r="I6294" s="25">
        <v>3345</v>
      </c>
      <c r="K6294" t="s">
        <v>909</v>
      </c>
      <c r="L6294" t="s">
        <v>141</v>
      </c>
      <c r="M6294" t="s">
        <v>52</v>
      </c>
      <c r="N6294" t="s">
        <v>44</v>
      </c>
      <c r="O6294">
        <f>60+14</f>
        <v>74</v>
      </c>
      <c r="Q6294">
        <f t="shared" si="103"/>
        <v>1</v>
      </c>
      <c r="R6294">
        <v>1</v>
      </c>
      <c r="S6294">
        <v>0</v>
      </c>
      <c r="T6294">
        <v>0</v>
      </c>
      <c r="U6294">
        <v>0</v>
      </c>
      <c r="V6294">
        <v>0</v>
      </c>
      <c r="W6294">
        <v>1</v>
      </c>
      <c r="X6294" s="21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f t="shared" si="104"/>
        <v>96</v>
      </c>
      <c r="AP6294" t="s">
        <v>1915</v>
      </c>
    </row>
    <row r="6295" spans="1:42">
      <c r="A6295" s="1">
        <v>43805</v>
      </c>
      <c r="B6295">
        <v>5</v>
      </c>
      <c r="C6295">
        <v>989</v>
      </c>
      <c r="D6295">
        <v>10376</v>
      </c>
      <c r="E6295" t="s">
        <v>37</v>
      </c>
      <c r="F6295" t="s">
        <v>520</v>
      </c>
      <c r="G6295">
        <v>2</v>
      </c>
      <c r="H6295">
        <v>36</v>
      </c>
      <c r="I6295" s="25">
        <v>2100</v>
      </c>
      <c r="K6295" t="s">
        <v>210</v>
      </c>
      <c r="M6295" t="s">
        <v>52</v>
      </c>
      <c r="N6295" t="s">
        <v>40</v>
      </c>
      <c r="O6295">
        <v>42</v>
      </c>
      <c r="Q6295">
        <f t="shared" si="103"/>
        <v>1</v>
      </c>
      <c r="R6295">
        <v>1</v>
      </c>
      <c r="S6295">
        <v>0</v>
      </c>
      <c r="T6295">
        <v>0</v>
      </c>
      <c r="U6295">
        <v>0</v>
      </c>
      <c r="V6295">
        <v>0</v>
      </c>
      <c r="W6295">
        <v>1</v>
      </c>
      <c r="X6295" s="21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f t="shared" si="104"/>
        <v>96</v>
      </c>
      <c r="AP6295" t="s">
        <v>1915</v>
      </c>
    </row>
    <row r="6296" spans="1:42">
      <c r="A6296" s="1">
        <v>43805</v>
      </c>
      <c r="B6296">
        <v>5</v>
      </c>
      <c r="C6296">
        <v>989</v>
      </c>
      <c r="D6296">
        <v>10376</v>
      </c>
      <c r="E6296" t="s">
        <v>37</v>
      </c>
      <c r="F6296" t="s">
        <v>520</v>
      </c>
      <c r="G6296">
        <v>2</v>
      </c>
      <c r="H6296">
        <v>37</v>
      </c>
      <c r="I6296" s="25">
        <v>3300</v>
      </c>
      <c r="K6296" t="s">
        <v>113</v>
      </c>
      <c r="L6296" t="s">
        <v>114</v>
      </c>
      <c r="M6296" t="s">
        <v>52</v>
      </c>
      <c r="N6296" t="s">
        <v>40</v>
      </c>
      <c r="O6296">
        <v>44</v>
      </c>
      <c r="Q6296">
        <f t="shared" si="103"/>
        <v>2</v>
      </c>
      <c r="R6296">
        <v>1</v>
      </c>
      <c r="S6296">
        <v>0</v>
      </c>
      <c r="T6296">
        <v>0</v>
      </c>
      <c r="U6296">
        <v>2</v>
      </c>
      <c r="V6296">
        <v>0</v>
      </c>
      <c r="W6296">
        <v>0</v>
      </c>
      <c r="X6296" s="21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f t="shared" si="104"/>
        <v>64</v>
      </c>
      <c r="AP6296" t="s">
        <v>1915</v>
      </c>
    </row>
    <row r="6297" spans="1:42">
      <c r="A6297" s="1">
        <v>43805</v>
      </c>
      <c r="B6297">
        <v>5</v>
      </c>
      <c r="C6297">
        <v>989</v>
      </c>
      <c r="D6297">
        <v>10376</v>
      </c>
      <c r="E6297" t="s">
        <v>37</v>
      </c>
      <c r="F6297" t="s">
        <v>520</v>
      </c>
      <c r="G6297">
        <v>2</v>
      </c>
      <c r="H6297">
        <v>38</v>
      </c>
      <c r="I6297" s="25">
        <v>3300</v>
      </c>
      <c r="K6297" t="s">
        <v>113</v>
      </c>
      <c r="L6297" t="s">
        <v>114</v>
      </c>
      <c r="M6297" t="s">
        <v>52</v>
      </c>
      <c r="N6297" t="s">
        <v>40</v>
      </c>
      <c r="O6297">
        <v>59</v>
      </c>
      <c r="Q6297">
        <f t="shared" si="103"/>
        <v>2</v>
      </c>
      <c r="R6297">
        <v>1</v>
      </c>
      <c r="S6297">
        <v>0</v>
      </c>
      <c r="T6297">
        <v>0</v>
      </c>
      <c r="U6297">
        <v>0</v>
      </c>
      <c r="V6297">
        <v>1</v>
      </c>
      <c r="W6297">
        <v>1</v>
      </c>
      <c r="X6297" s="21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f t="shared" si="104"/>
        <v>160</v>
      </c>
      <c r="AP6297" t="s">
        <v>1915</v>
      </c>
    </row>
    <row r="6298" spans="1:42">
      <c r="A6298" s="1">
        <v>43805</v>
      </c>
      <c r="B6298">
        <v>5</v>
      </c>
      <c r="C6298">
        <v>989</v>
      </c>
      <c r="D6298">
        <v>10376</v>
      </c>
      <c r="E6298" t="s">
        <v>37</v>
      </c>
      <c r="F6298" t="s">
        <v>520</v>
      </c>
      <c r="G6298">
        <v>2</v>
      </c>
      <c r="H6298">
        <v>39</v>
      </c>
      <c r="I6298" s="25">
        <v>3300</v>
      </c>
      <c r="K6298" t="s">
        <v>113</v>
      </c>
      <c r="L6298" t="s">
        <v>114</v>
      </c>
      <c r="M6298" t="s">
        <v>52</v>
      </c>
      <c r="N6298" t="s">
        <v>40</v>
      </c>
      <c r="O6298">
        <f>60+2</f>
        <v>62</v>
      </c>
      <c r="Q6298">
        <f t="shared" si="103"/>
        <v>2</v>
      </c>
      <c r="R6298">
        <v>1</v>
      </c>
      <c r="S6298">
        <v>0</v>
      </c>
      <c r="T6298">
        <v>0</v>
      </c>
      <c r="U6298">
        <v>0</v>
      </c>
      <c r="V6298">
        <v>1</v>
      </c>
      <c r="W6298">
        <v>1</v>
      </c>
      <c r="X6298" s="21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f t="shared" si="104"/>
        <v>160</v>
      </c>
      <c r="AP6298" t="s">
        <v>1915</v>
      </c>
    </row>
    <row r="6299" spans="1:42">
      <c r="A6299" s="1">
        <v>43805</v>
      </c>
      <c r="B6299">
        <v>5</v>
      </c>
      <c r="C6299">
        <v>989</v>
      </c>
      <c r="D6299">
        <v>10376</v>
      </c>
      <c r="E6299" t="s">
        <v>37</v>
      </c>
      <c r="F6299" t="s">
        <v>520</v>
      </c>
      <c r="G6299">
        <v>2</v>
      </c>
      <c r="H6299">
        <v>40</v>
      </c>
      <c r="I6299" s="25">
        <v>1961</v>
      </c>
      <c r="K6299" t="s">
        <v>324</v>
      </c>
      <c r="L6299" t="s">
        <v>141</v>
      </c>
      <c r="M6299" t="s">
        <v>52</v>
      </c>
      <c r="N6299" t="s">
        <v>44</v>
      </c>
      <c r="O6299">
        <f>60+38</f>
        <v>98</v>
      </c>
      <c r="Q6299">
        <f t="shared" si="103"/>
        <v>2</v>
      </c>
      <c r="R6299">
        <v>1</v>
      </c>
      <c r="S6299">
        <v>0</v>
      </c>
      <c r="T6299">
        <v>0</v>
      </c>
      <c r="U6299">
        <v>0</v>
      </c>
      <c r="V6299">
        <v>0</v>
      </c>
      <c r="W6299">
        <v>2</v>
      </c>
      <c r="X6299" s="21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f t="shared" si="104"/>
        <v>192</v>
      </c>
      <c r="AP6299" t="s">
        <v>1915</v>
      </c>
    </row>
    <row r="6300" spans="1:42">
      <c r="A6300" s="1">
        <v>43805</v>
      </c>
      <c r="B6300">
        <v>5</v>
      </c>
      <c r="C6300">
        <v>989</v>
      </c>
      <c r="D6300">
        <v>10376</v>
      </c>
      <c r="E6300" t="s">
        <v>37</v>
      </c>
      <c r="F6300" t="s">
        <v>520</v>
      </c>
      <c r="G6300">
        <v>2</v>
      </c>
      <c r="H6300">
        <v>41</v>
      </c>
      <c r="I6300" s="25">
        <v>1949</v>
      </c>
      <c r="K6300" t="s">
        <v>324</v>
      </c>
      <c r="L6300" t="s">
        <v>141</v>
      </c>
      <c r="M6300" t="s">
        <v>52</v>
      </c>
      <c r="N6300" t="s">
        <v>44</v>
      </c>
      <c r="O6300">
        <f>60+32</f>
        <v>92</v>
      </c>
      <c r="Q6300">
        <f t="shared" si="103"/>
        <v>1</v>
      </c>
      <c r="R6300">
        <v>1</v>
      </c>
      <c r="S6300">
        <v>0</v>
      </c>
      <c r="T6300">
        <v>0</v>
      </c>
      <c r="U6300">
        <v>0</v>
      </c>
      <c r="V6300">
        <v>0</v>
      </c>
      <c r="W6300">
        <v>1</v>
      </c>
      <c r="X6300" s="21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f t="shared" si="104"/>
        <v>96</v>
      </c>
      <c r="AL6300" t="s">
        <v>1957</v>
      </c>
      <c r="AP6300" t="s">
        <v>1915</v>
      </c>
    </row>
    <row r="6301" spans="1:42">
      <c r="A6301" s="1">
        <v>43805</v>
      </c>
      <c r="B6301">
        <v>5</v>
      </c>
      <c r="C6301">
        <v>989</v>
      </c>
      <c r="D6301">
        <v>10376</v>
      </c>
      <c r="E6301" t="s">
        <v>37</v>
      </c>
      <c r="F6301" t="s">
        <v>520</v>
      </c>
      <c r="G6301">
        <v>2</v>
      </c>
      <c r="H6301">
        <v>42</v>
      </c>
      <c r="I6301" s="25">
        <v>1957</v>
      </c>
      <c r="K6301" t="s">
        <v>324</v>
      </c>
      <c r="L6301" t="s">
        <v>141</v>
      </c>
      <c r="M6301" t="s">
        <v>52</v>
      </c>
      <c r="N6301" t="s">
        <v>44</v>
      </c>
      <c r="O6301">
        <f>60+37</f>
        <v>97</v>
      </c>
      <c r="Q6301">
        <f t="shared" si="103"/>
        <v>2</v>
      </c>
      <c r="R6301">
        <v>1</v>
      </c>
      <c r="S6301">
        <v>0</v>
      </c>
      <c r="T6301">
        <v>0</v>
      </c>
      <c r="U6301">
        <v>0</v>
      </c>
      <c r="V6301">
        <v>0</v>
      </c>
      <c r="W6301">
        <v>2</v>
      </c>
      <c r="X6301" s="2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f t="shared" si="104"/>
        <v>192</v>
      </c>
      <c r="AP6301" t="s">
        <v>1915</v>
      </c>
    </row>
    <row r="6302" spans="1:42">
      <c r="A6302" s="1">
        <v>43805</v>
      </c>
      <c r="B6302">
        <v>5</v>
      </c>
      <c r="C6302">
        <v>989</v>
      </c>
      <c r="D6302">
        <v>10376</v>
      </c>
      <c r="E6302" t="s">
        <v>37</v>
      </c>
      <c r="F6302" t="s">
        <v>520</v>
      </c>
      <c r="G6302">
        <v>2</v>
      </c>
      <c r="H6302">
        <v>43</v>
      </c>
      <c r="I6302" s="25">
        <v>1901</v>
      </c>
      <c r="K6302" t="s">
        <v>324</v>
      </c>
      <c r="L6302" t="s">
        <v>141</v>
      </c>
      <c r="M6302" t="s">
        <v>52</v>
      </c>
      <c r="N6302" t="s">
        <v>44</v>
      </c>
      <c r="O6302">
        <f>60+60+3</f>
        <v>123</v>
      </c>
      <c r="Q6302">
        <f t="shared" si="103"/>
        <v>1</v>
      </c>
      <c r="R6302">
        <v>1</v>
      </c>
      <c r="S6302">
        <v>0</v>
      </c>
      <c r="T6302">
        <v>0</v>
      </c>
      <c r="U6302">
        <v>0</v>
      </c>
      <c r="V6302">
        <v>0</v>
      </c>
      <c r="W6302">
        <v>1</v>
      </c>
      <c r="X6302" s="21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f t="shared" si="104"/>
        <v>96</v>
      </c>
      <c r="AP6302" t="s">
        <v>1915</v>
      </c>
    </row>
    <row r="6303" spans="1:42">
      <c r="A6303" s="1">
        <v>43805</v>
      </c>
      <c r="B6303">
        <v>5</v>
      </c>
      <c r="C6303">
        <v>989</v>
      </c>
      <c r="D6303">
        <v>10376</v>
      </c>
      <c r="E6303" t="s">
        <v>37</v>
      </c>
      <c r="F6303" t="s">
        <v>520</v>
      </c>
      <c r="G6303">
        <v>2</v>
      </c>
      <c r="H6303">
        <v>44</v>
      </c>
      <c r="I6303" s="25">
        <v>1800</v>
      </c>
      <c r="K6303" t="s">
        <v>324</v>
      </c>
      <c r="L6303" t="s">
        <v>114</v>
      </c>
      <c r="M6303" t="s">
        <v>52</v>
      </c>
      <c r="N6303" t="s">
        <v>40</v>
      </c>
      <c r="O6303">
        <f>60+45</f>
        <v>105</v>
      </c>
      <c r="Q6303">
        <f t="shared" si="103"/>
        <v>3</v>
      </c>
      <c r="R6303">
        <v>1</v>
      </c>
      <c r="S6303">
        <v>0</v>
      </c>
      <c r="T6303">
        <v>0</v>
      </c>
      <c r="U6303">
        <v>0</v>
      </c>
      <c r="V6303">
        <v>2</v>
      </c>
      <c r="W6303">
        <v>1</v>
      </c>
      <c r="X6303" s="21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f t="shared" si="104"/>
        <v>224</v>
      </c>
      <c r="AP6303" t="s">
        <v>1915</v>
      </c>
    </row>
    <row r="6304" spans="1:42">
      <c r="A6304" s="1">
        <v>43805</v>
      </c>
      <c r="B6304">
        <v>5</v>
      </c>
      <c r="C6304">
        <v>989</v>
      </c>
      <c r="D6304">
        <v>10376</v>
      </c>
      <c r="E6304" t="s">
        <v>37</v>
      </c>
      <c r="F6304" t="s">
        <v>520</v>
      </c>
      <c r="G6304">
        <v>2</v>
      </c>
      <c r="H6304">
        <v>45</v>
      </c>
      <c r="I6304" s="25">
        <v>1849</v>
      </c>
      <c r="K6304" t="s">
        <v>324</v>
      </c>
      <c r="L6304" t="s">
        <v>141</v>
      </c>
      <c r="M6304" t="s">
        <v>52</v>
      </c>
      <c r="N6304" t="s">
        <v>44</v>
      </c>
      <c r="O6304">
        <f>60+24</f>
        <v>84</v>
      </c>
      <c r="Q6304">
        <f t="shared" si="103"/>
        <v>1</v>
      </c>
      <c r="R6304">
        <v>1</v>
      </c>
      <c r="S6304">
        <v>0</v>
      </c>
      <c r="T6304">
        <v>0</v>
      </c>
      <c r="U6304">
        <v>0</v>
      </c>
      <c r="V6304">
        <v>0</v>
      </c>
      <c r="W6304">
        <v>1</v>
      </c>
      <c r="X6304" s="21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f t="shared" si="104"/>
        <v>96</v>
      </c>
      <c r="AP6304" t="s">
        <v>1915</v>
      </c>
    </row>
    <row r="6305" spans="1:42">
      <c r="A6305" s="1">
        <v>43805</v>
      </c>
      <c r="B6305">
        <v>5</v>
      </c>
      <c r="C6305">
        <v>989</v>
      </c>
      <c r="D6305">
        <v>10376</v>
      </c>
      <c r="E6305" t="s">
        <v>37</v>
      </c>
      <c r="F6305" t="s">
        <v>520</v>
      </c>
      <c r="G6305">
        <v>2</v>
      </c>
      <c r="H6305">
        <v>46</v>
      </c>
      <c r="I6305" s="25">
        <v>100</v>
      </c>
      <c r="K6305" t="s">
        <v>1489</v>
      </c>
      <c r="L6305" t="s">
        <v>141</v>
      </c>
      <c r="M6305" t="s">
        <v>52</v>
      </c>
      <c r="N6305" t="s">
        <v>40</v>
      </c>
      <c r="O6305">
        <f>60+39</f>
        <v>99</v>
      </c>
      <c r="Q6305">
        <f t="shared" si="103"/>
        <v>4</v>
      </c>
      <c r="R6305">
        <v>1</v>
      </c>
      <c r="S6305">
        <v>0</v>
      </c>
      <c r="T6305">
        <v>0</v>
      </c>
      <c r="U6305">
        <v>1</v>
      </c>
      <c r="V6305">
        <v>0</v>
      </c>
      <c r="W6305">
        <v>3</v>
      </c>
      <c r="X6305" s="21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1</v>
      </c>
      <c r="AG6305">
        <v>0</v>
      </c>
      <c r="AH6305">
        <f t="shared" si="104"/>
        <v>320</v>
      </c>
      <c r="AP6305" t="s">
        <v>1915</v>
      </c>
    </row>
    <row r="6306" spans="1:42">
      <c r="A6306" s="1">
        <v>43805</v>
      </c>
      <c r="B6306">
        <v>5</v>
      </c>
      <c r="C6306">
        <v>989</v>
      </c>
      <c r="D6306">
        <v>10376</v>
      </c>
      <c r="E6306" t="s">
        <v>37</v>
      </c>
      <c r="F6306" t="s">
        <v>520</v>
      </c>
      <c r="G6306">
        <v>2</v>
      </c>
      <c r="H6306">
        <v>47</v>
      </c>
      <c r="I6306" s="25">
        <v>100</v>
      </c>
      <c r="K6306" t="s">
        <v>1489</v>
      </c>
      <c r="L6306" t="s">
        <v>114</v>
      </c>
      <c r="M6306" t="s">
        <v>52</v>
      </c>
      <c r="N6306" t="s">
        <v>40</v>
      </c>
      <c r="O6306">
        <v>56</v>
      </c>
      <c r="Q6306">
        <f t="shared" si="103"/>
        <v>1</v>
      </c>
      <c r="R6306">
        <v>1</v>
      </c>
      <c r="S6306">
        <v>0</v>
      </c>
      <c r="T6306">
        <v>0</v>
      </c>
      <c r="U6306">
        <v>0</v>
      </c>
      <c r="V6306">
        <v>0</v>
      </c>
      <c r="W6306">
        <v>1</v>
      </c>
      <c r="X6306" s="21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1</v>
      </c>
      <c r="AG6306">
        <v>0</v>
      </c>
      <c r="AH6306">
        <f t="shared" si="104"/>
        <v>96</v>
      </c>
      <c r="AP6306" t="s">
        <v>1915</v>
      </c>
    </row>
    <row r="6307" spans="1:42">
      <c r="A6307" s="1">
        <v>43805</v>
      </c>
      <c r="B6307">
        <v>5</v>
      </c>
      <c r="C6307">
        <v>989</v>
      </c>
      <c r="D6307">
        <v>10376</v>
      </c>
      <c r="E6307" t="s">
        <v>37</v>
      </c>
      <c r="F6307" t="s">
        <v>520</v>
      </c>
      <c r="G6307">
        <v>2</v>
      </c>
      <c r="H6307">
        <v>48</v>
      </c>
      <c r="I6307" s="25">
        <v>147</v>
      </c>
      <c r="K6307" t="s">
        <v>1489</v>
      </c>
      <c r="L6307" t="s">
        <v>141</v>
      </c>
      <c r="M6307" t="s">
        <v>52</v>
      </c>
      <c r="N6307" t="s">
        <v>44</v>
      </c>
      <c r="O6307">
        <f>(60+36)/2</f>
        <v>48</v>
      </c>
      <c r="Q6307">
        <f t="shared" si="103"/>
        <v>1</v>
      </c>
      <c r="R6307">
        <v>1</v>
      </c>
      <c r="S6307">
        <v>0</v>
      </c>
      <c r="T6307">
        <v>0</v>
      </c>
      <c r="U6307">
        <v>0</v>
      </c>
      <c r="V6307">
        <v>0</v>
      </c>
      <c r="W6307">
        <v>1</v>
      </c>
      <c r="X6307" s="21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f t="shared" si="104"/>
        <v>96</v>
      </c>
      <c r="AP6307" t="s">
        <v>1915</v>
      </c>
    </row>
    <row r="6308" spans="1:42">
      <c r="A6308" s="1">
        <v>43805</v>
      </c>
      <c r="B6308">
        <v>5</v>
      </c>
      <c r="C6308">
        <v>989</v>
      </c>
      <c r="D6308">
        <v>10376</v>
      </c>
      <c r="E6308" t="s">
        <v>37</v>
      </c>
      <c r="F6308" t="s">
        <v>520</v>
      </c>
      <c r="G6308">
        <v>2</v>
      </c>
      <c r="H6308">
        <v>49</v>
      </c>
      <c r="I6308" s="25">
        <v>116</v>
      </c>
      <c r="K6308" t="s">
        <v>1489</v>
      </c>
      <c r="L6308" t="s">
        <v>114</v>
      </c>
      <c r="M6308" t="s">
        <v>52</v>
      </c>
      <c r="N6308" t="s">
        <v>44</v>
      </c>
      <c r="O6308">
        <v>48</v>
      </c>
      <c r="Q6308">
        <f t="shared" si="103"/>
        <v>1</v>
      </c>
      <c r="R6308">
        <v>1</v>
      </c>
      <c r="S6308">
        <v>0</v>
      </c>
      <c r="T6308">
        <v>0</v>
      </c>
      <c r="U6308">
        <v>0</v>
      </c>
      <c r="V6308">
        <v>0</v>
      </c>
      <c r="W6308">
        <v>1</v>
      </c>
      <c r="X6308" s="21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f t="shared" si="104"/>
        <v>96</v>
      </c>
      <c r="AP6308" t="s">
        <v>1915</v>
      </c>
    </row>
    <row r="6309" spans="1:42">
      <c r="A6309" s="1">
        <v>43805</v>
      </c>
      <c r="B6309">
        <v>5</v>
      </c>
      <c r="C6309">
        <v>989</v>
      </c>
      <c r="D6309">
        <v>10376</v>
      </c>
      <c r="E6309" t="s">
        <v>37</v>
      </c>
      <c r="F6309" t="s">
        <v>520</v>
      </c>
      <c r="G6309">
        <v>2</v>
      </c>
      <c r="H6309">
        <v>50</v>
      </c>
      <c r="I6309" s="25">
        <v>100</v>
      </c>
      <c r="K6309" t="s">
        <v>1489</v>
      </c>
      <c r="L6309" t="s">
        <v>114</v>
      </c>
      <c r="M6309" t="s">
        <v>52</v>
      </c>
      <c r="N6309" t="s">
        <v>40</v>
      </c>
      <c r="O6309">
        <f>60+22</f>
        <v>82</v>
      </c>
      <c r="Q6309">
        <f t="shared" si="103"/>
        <v>2</v>
      </c>
      <c r="R6309">
        <v>1</v>
      </c>
      <c r="S6309">
        <v>0</v>
      </c>
      <c r="T6309">
        <v>0</v>
      </c>
      <c r="U6309">
        <v>0</v>
      </c>
      <c r="V6309">
        <v>0</v>
      </c>
      <c r="W6309">
        <v>2</v>
      </c>
      <c r="X6309" s="21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f t="shared" si="104"/>
        <v>192</v>
      </c>
      <c r="AP6309" t="s">
        <v>1915</v>
      </c>
    </row>
    <row r="6310" spans="1:42">
      <c r="A6310" s="1">
        <v>43805</v>
      </c>
      <c r="B6310">
        <v>5</v>
      </c>
      <c r="C6310">
        <v>989</v>
      </c>
      <c r="D6310">
        <v>10376</v>
      </c>
      <c r="E6310" t="s">
        <v>37</v>
      </c>
      <c r="F6310" t="s">
        <v>520</v>
      </c>
      <c r="G6310">
        <v>2</v>
      </c>
      <c r="H6310">
        <v>51</v>
      </c>
      <c r="I6310" s="25">
        <v>66</v>
      </c>
      <c r="K6310" t="s">
        <v>1489</v>
      </c>
      <c r="L6310" t="s">
        <v>114</v>
      </c>
      <c r="M6310" t="s">
        <v>52</v>
      </c>
      <c r="N6310" t="s">
        <v>44</v>
      </c>
      <c r="O6310">
        <f>60+46</f>
        <v>106</v>
      </c>
      <c r="Q6310">
        <f t="shared" si="103"/>
        <v>1</v>
      </c>
      <c r="R6310">
        <v>1</v>
      </c>
      <c r="S6310">
        <v>0</v>
      </c>
      <c r="T6310">
        <v>0</v>
      </c>
      <c r="U6310">
        <v>0</v>
      </c>
      <c r="V6310">
        <v>0</v>
      </c>
      <c r="W6310">
        <v>1</v>
      </c>
      <c r="X6310" s="21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f t="shared" si="104"/>
        <v>96</v>
      </c>
      <c r="AP6310" t="s">
        <v>1915</v>
      </c>
    </row>
    <row r="6311" spans="1:42">
      <c r="A6311" s="1">
        <v>43805</v>
      </c>
      <c r="B6311">
        <v>5</v>
      </c>
      <c r="C6311">
        <v>989</v>
      </c>
      <c r="D6311">
        <v>10376</v>
      </c>
      <c r="E6311" t="s">
        <v>37</v>
      </c>
      <c r="F6311" t="s">
        <v>520</v>
      </c>
      <c r="G6311">
        <v>2</v>
      </c>
      <c r="H6311">
        <v>52</v>
      </c>
      <c r="I6311" s="25">
        <v>3</v>
      </c>
      <c r="K6311" t="s">
        <v>1489</v>
      </c>
      <c r="L6311" t="s">
        <v>141</v>
      </c>
      <c r="M6311" t="s">
        <v>52</v>
      </c>
      <c r="N6311" t="s">
        <v>44</v>
      </c>
      <c r="O6311">
        <f>60+8</f>
        <v>68</v>
      </c>
      <c r="Q6311">
        <f t="shared" si="103"/>
        <v>1</v>
      </c>
      <c r="R6311">
        <v>1</v>
      </c>
      <c r="S6311">
        <v>0</v>
      </c>
      <c r="T6311">
        <v>0</v>
      </c>
      <c r="U6311">
        <v>0</v>
      </c>
      <c r="V6311">
        <v>0</v>
      </c>
      <c r="W6311">
        <v>1</v>
      </c>
      <c r="X6311" s="2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f t="shared" si="104"/>
        <v>96</v>
      </c>
      <c r="AP6311" t="s">
        <v>1915</v>
      </c>
    </row>
    <row r="6312" spans="1:42">
      <c r="A6312" s="1">
        <v>43805</v>
      </c>
      <c r="B6312">
        <v>5</v>
      </c>
      <c r="C6312">
        <v>989</v>
      </c>
      <c r="D6312">
        <v>10376</v>
      </c>
      <c r="E6312" t="s">
        <v>37</v>
      </c>
      <c r="F6312" t="s">
        <v>520</v>
      </c>
      <c r="G6312">
        <v>2</v>
      </c>
      <c r="H6312">
        <v>53</v>
      </c>
      <c r="I6312" s="25">
        <v>3316</v>
      </c>
      <c r="K6312" t="s">
        <v>588</v>
      </c>
      <c r="L6312" t="s">
        <v>114</v>
      </c>
      <c r="M6312" t="s">
        <v>52</v>
      </c>
      <c r="N6312" t="s">
        <v>44</v>
      </c>
      <c r="O6312">
        <f>60+14</f>
        <v>74</v>
      </c>
      <c r="Q6312">
        <f t="shared" si="103"/>
        <v>1</v>
      </c>
      <c r="R6312">
        <v>1</v>
      </c>
      <c r="S6312">
        <v>0</v>
      </c>
      <c r="T6312">
        <v>0</v>
      </c>
      <c r="U6312">
        <v>0</v>
      </c>
      <c r="V6312">
        <v>0</v>
      </c>
      <c r="W6312">
        <v>1</v>
      </c>
      <c r="X6312" s="21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f t="shared" si="104"/>
        <v>96</v>
      </c>
      <c r="AP6312" t="s">
        <v>1915</v>
      </c>
    </row>
    <row r="6313" spans="1:42">
      <c r="A6313" s="1">
        <v>43805</v>
      </c>
      <c r="B6313">
        <v>5</v>
      </c>
      <c r="C6313">
        <v>989</v>
      </c>
      <c r="D6313">
        <v>10376</v>
      </c>
      <c r="E6313" t="s">
        <v>37</v>
      </c>
      <c r="F6313" t="s">
        <v>520</v>
      </c>
      <c r="G6313">
        <v>2</v>
      </c>
      <c r="H6313">
        <v>54</v>
      </c>
      <c r="I6313" s="25">
        <v>3336</v>
      </c>
      <c r="K6313" t="s">
        <v>588</v>
      </c>
      <c r="L6313" t="s">
        <v>114</v>
      </c>
      <c r="M6313" t="s">
        <v>52</v>
      </c>
      <c r="N6313" t="s">
        <v>44</v>
      </c>
      <c r="O6313">
        <v>52</v>
      </c>
      <c r="Q6313">
        <f t="shared" si="103"/>
        <v>1</v>
      </c>
      <c r="R6313">
        <v>1</v>
      </c>
      <c r="S6313">
        <v>0</v>
      </c>
      <c r="T6313">
        <v>0</v>
      </c>
      <c r="U6313">
        <v>0</v>
      </c>
      <c r="V6313">
        <v>0</v>
      </c>
      <c r="W6313">
        <v>1</v>
      </c>
      <c r="X6313" s="21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f t="shared" si="104"/>
        <v>96</v>
      </c>
      <c r="AP6313" t="s">
        <v>1915</v>
      </c>
    </row>
    <row r="6314" spans="1:42">
      <c r="A6314" s="1">
        <v>43805</v>
      </c>
      <c r="B6314">
        <v>5</v>
      </c>
      <c r="C6314">
        <v>989</v>
      </c>
      <c r="D6314">
        <v>10376</v>
      </c>
      <c r="E6314" t="s">
        <v>37</v>
      </c>
      <c r="F6314" t="s">
        <v>520</v>
      </c>
      <c r="G6314">
        <v>2</v>
      </c>
      <c r="H6314">
        <v>55</v>
      </c>
      <c r="I6314" s="25">
        <v>3326</v>
      </c>
      <c r="K6314" t="s">
        <v>588</v>
      </c>
      <c r="L6314" t="s">
        <v>114</v>
      </c>
      <c r="M6314" t="s">
        <v>52</v>
      </c>
      <c r="N6314" t="s">
        <v>44</v>
      </c>
      <c r="O6314">
        <f>60+40</f>
        <v>100</v>
      </c>
      <c r="Q6314">
        <f t="shared" si="103"/>
        <v>1</v>
      </c>
      <c r="R6314">
        <v>1</v>
      </c>
      <c r="S6314">
        <v>0</v>
      </c>
      <c r="T6314">
        <v>0</v>
      </c>
      <c r="U6314">
        <v>0</v>
      </c>
      <c r="V6314">
        <v>0</v>
      </c>
      <c r="W6314">
        <v>1</v>
      </c>
      <c r="X6314" s="21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f t="shared" si="104"/>
        <v>96</v>
      </c>
      <c r="AP6314" t="s">
        <v>1915</v>
      </c>
    </row>
    <row r="6315" spans="1:42">
      <c r="A6315" s="1">
        <v>43805</v>
      </c>
      <c r="B6315">
        <v>5</v>
      </c>
      <c r="C6315">
        <v>989</v>
      </c>
      <c r="D6315">
        <v>10376</v>
      </c>
      <c r="E6315" t="s">
        <v>37</v>
      </c>
      <c r="F6315" t="s">
        <v>520</v>
      </c>
      <c r="G6315">
        <v>2</v>
      </c>
      <c r="H6315">
        <v>56</v>
      </c>
      <c r="I6315" s="25">
        <v>1500</v>
      </c>
      <c r="K6315" t="s">
        <v>862</v>
      </c>
      <c r="M6315" t="s">
        <v>52</v>
      </c>
      <c r="N6315" t="s">
        <v>44</v>
      </c>
      <c r="O6315">
        <f>60+60+19</f>
        <v>139</v>
      </c>
      <c r="Q6315">
        <f t="shared" si="103"/>
        <v>1</v>
      </c>
      <c r="R6315">
        <v>1</v>
      </c>
      <c r="S6315">
        <v>0</v>
      </c>
      <c r="T6315">
        <v>0</v>
      </c>
      <c r="U6315">
        <v>0</v>
      </c>
      <c r="V6315">
        <v>1</v>
      </c>
      <c r="W6315">
        <v>0</v>
      </c>
      <c r="X6315" s="21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1</v>
      </c>
      <c r="AG6315">
        <v>0</v>
      </c>
      <c r="AH6315">
        <f t="shared" si="104"/>
        <v>64</v>
      </c>
      <c r="AP6315" t="s">
        <v>1915</v>
      </c>
    </row>
    <row r="6316" spans="1:42">
      <c r="A6316" s="1">
        <v>43805</v>
      </c>
      <c r="B6316">
        <v>5</v>
      </c>
      <c r="C6316">
        <v>989</v>
      </c>
      <c r="D6316">
        <v>10376</v>
      </c>
      <c r="E6316" t="s">
        <v>37</v>
      </c>
      <c r="F6316" t="s">
        <v>520</v>
      </c>
      <c r="G6316">
        <v>2</v>
      </c>
      <c r="H6316">
        <v>57</v>
      </c>
      <c r="I6316" s="25">
        <v>1528</v>
      </c>
      <c r="K6316" t="s">
        <v>862</v>
      </c>
      <c r="L6316" t="s">
        <v>114</v>
      </c>
      <c r="M6316" t="s">
        <v>52</v>
      </c>
      <c r="N6316" t="s">
        <v>44</v>
      </c>
      <c r="O6316">
        <f>60+14</f>
        <v>74</v>
      </c>
      <c r="Q6316">
        <f t="shared" si="103"/>
        <v>1</v>
      </c>
      <c r="R6316">
        <v>1</v>
      </c>
      <c r="S6316">
        <v>0</v>
      </c>
      <c r="T6316">
        <v>0</v>
      </c>
      <c r="U6316">
        <v>0</v>
      </c>
      <c r="V6316">
        <v>0</v>
      </c>
      <c r="W6316">
        <v>1</v>
      </c>
      <c r="X6316" s="21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f t="shared" si="104"/>
        <v>96</v>
      </c>
      <c r="AP6316" t="s">
        <v>1915</v>
      </c>
    </row>
    <row r="6317" spans="1:42">
      <c r="A6317" s="1">
        <v>43805</v>
      </c>
      <c r="B6317">
        <v>5</v>
      </c>
      <c r="C6317">
        <v>989</v>
      </c>
      <c r="D6317">
        <v>10376</v>
      </c>
      <c r="E6317" t="s">
        <v>37</v>
      </c>
      <c r="F6317" t="s">
        <v>520</v>
      </c>
      <c r="G6317">
        <v>2</v>
      </c>
      <c r="H6317">
        <v>58</v>
      </c>
      <c r="I6317" s="25">
        <v>1500</v>
      </c>
      <c r="K6317" t="s">
        <v>862</v>
      </c>
      <c r="L6317" t="s">
        <v>114</v>
      </c>
      <c r="M6317" t="s">
        <v>52</v>
      </c>
      <c r="N6317" t="s">
        <v>44</v>
      </c>
      <c r="O6317">
        <f>60+60+9</f>
        <v>129</v>
      </c>
      <c r="Q6317">
        <f t="shared" si="103"/>
        <v>1</v>
      </c>
      <c r="R6317">
        <v>1</v>
      </c>
      <c r="S6317">
        <v>0</v>
      </c>
      <c r="T6317">
        <v>0</v>
      </c>
      <c r="U6317">
        <v>0</v>
      </c>
      <c r="V6317">
        <v>0</v>
      </c>
      <c r="W6317">
        <v>1</v>
      </c>
      <c r="X6317" s="21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f t="shared" si="104"/>
        <v>96</v>
      </c>
      <c r="AP6317" t="s">
        <v>1915</v>
      </c>
    </row>
    <row r="6318" spans="1:42">
      <c r="A6318" s="1">
        <v>43805</v>
      </c>
      <c r="B6318">
        <v>5</v>
      </c>
      <c r="C6318">
        <v>989</v>
      </c>
      <c r="D6318">
        <v>10376</v>
      </c>
      <c r="E6318" t="s">
        <v>37</v>
      </c>
      <c r="F6318" t="s">
        <v>520</v>
      </c>
      <c r="G6318">
        <v>2</v>
      </c>
      <c r="H6318">
        <v>59</v>
      </c>
      <c r="I6318" s="25">
        <v>3320</v>
      </c>
      <c r="K6318" t="s">
        <v>595</v>
      </c>
      <c r="L6318" t="s">
        <v>114</v>
      </c>
      <c r="M6318" t="s">
        <v>52</v>
      </c>
      <c r="N6318" t="s">
        <v>44</v>
      </c>
      <c r="O6318">
        <f>60+60+60+16</f>
        <v>196</v>
      </c>
      <c r="Q6318">
        <f t="shared" si="103"/>
        <v>2</v>
      </c>
      <c r="R6318">
        <v>1</v>
      </c>
      <c r="S6318">
        <v>0</v>
      </c>
      <c r="T6318">
        <v>0</v>
      </c>
      <c r="U6318">
        <v>0</v>
      </c>
      <c r="V6318">
        <v>0</v>
      </c>
      <c r="W6318">
        <v>2</v>
      </c>
      <c r="X6318" s="21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f t="shared" si="104"/>
        <v>192</v>
      </c>
      <c r="AL6318" t="s">
        <v>1946</v>
      </c>
      <c r="AP6318" t="s">
        <v>1915</v>
      </c>
    </row>
    <row r="6319" spans="1:42">
      <c r="A6319" s="1">
        <v>43805</v>
      </c>
      <c r="B6319">
        <v>5</v>
      </c>
      <c r="C6319">
        <v>989</v>
      </c>
      <c r="D6319">
        <v>10376</v>
      </c>
      <c r="E6319" t="s">
        <v>37</v>
      </c>
      <c r="F6319" t="s">
        <v>520</v>
      </c>
      <c r="G6319">
        <v>2</v>
      </c>
      <c r="H6319">
        <v>60</v>
      </c>
      <c r="I6319" s="25">
        <v>3366</v>
      </c>
      <c r="K6319" t="s">
        <v>595</v>
      </c>
      <c r="L6319" t="s">
        <v>114</v>
      </c>
      <c r="M6319" t="s">
        <v>52</v>
      </c>
      <c r="N6319" t="s">
        <v>44</v>
      </c>
      <c r="O6319">
        <f>60+58</f>
        <v>118</v>
      </c>
      <c r="Q6319">
        <f t="shared" si="103"/>
        <v>1</v>
      </c>
      <c r="R6319">
        <v>1</v>
      </c>
      <c r="S6319">
        <v>0</v>
      </c>
      <c r="T6319">
        <v>0</v>
      </c>
      <c r="U6319">
        <v>0</v>
      </c>
      <c r="V6319">
        <v>0</v>
      </c>
      <c r="W6319">
        <v>1</v>
      </c>
      <c r="X6319" s="21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1</v>
      </c>
      <c r="AG6319">
        <v>0</v>
      </c>
      <c r="AH6319">
        <f t="shared" si="104"/>
        <v>96</v>
      </c>
      <c r="AP6319" t="s">
        <v>1915</v>
      </c>
    </row>
    <row r="6320" spans="1:42">
      <c r="A6320" s="1">
        <v>43805</v>
      </c>
      <c r="B6320">
        <v>5</v>
      </c>
      <c r="C6320">
        <v>989</v>
      </c>
      <c r="D6320">
        <v>10376</v>
      </c>
      <c r="E6320" t="s">
        <v>37</v>
      </c>
      <c r="F6320" t="s">
        <v>520</v>
      </c>
      <c r="G6320">
        <v>2</v>
      </c>
      <c r="H6320">
        <v>61</v>
      </c>
      <c r="I6320" s="25">
        <v>3350</v>
      </c>
      <c r="K6320" t="s">
        <v>595</v>
      </c>
      <c r="L6320" t="s">
        <v>114</v>
      </c>
      <c r="M6320" t="s">
        <v>52</v>
      </c>
      <c r="N6320" t="s">
        <v>44</v>
      </c>
      <c r="O6320">
        <f>60+53</f>
        <v>113</v>
      </c>
      <c r="Q6320">
        <f t="shared" si="103"/>
        <v>1</v>
      </c>
      <c r="R6320">
        <v>1</v>
      </c>
      <c r="S6320">
        <v>0</v>
      </c>
      <c r="T6320">
        <v>0</v>
      </c>
      <c r="U6320">
        <v>0</v>
      </c>
      <c r="V6320">
        <v>0</v>
      </c>
      <c r="W6320">
        <v>1</v>
      </c>
      <c r="X6320" s="21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f t="shared" si="104"/>
        <v>96</v>
      </c>
      <c r="AP6320" t="s">
        <v>1915</v>
      </c>
    </row>
    <row r="6321" spans="1:42">
      <c r="A6321" s="1">
        <v>43805</v>
      </c>
      <c r="B6321">
        <v>5</v>
      </c>
      <c r="C6321">
        <v>989</v>
      </c>
      <c r="D6321">
        <v>10376</v>
      </c>
      <c r="E6321" t="s">
        <v>37</v>
      </c>
      <c r="F6321" t="s">
        <v>520</v>
      </c>
      <c r="G6321">
        <v>2</v>
      </c>
      <c r="H6321">
        <v>62</v>
      </c>
      <c r="I6321" s="25">
        <v>3235</v>
      </c>
      <c r="K6321" t="s">
        <v>638</v>
      </c>
      <c r="L6321" t="s">
        <v>141</v>
      </c>
      <c r="M6321" t="s">
        <v>52</v>
      </c>
      <c r="N6321" t="s">
        <v>44</v>
      </c>
      <c r="O6321">
        <f>60+47</f>
        <v>107</v>
      </c>
      <c r="Q6321">
        <f t="shared" si="103"/>
        <v>2</v>
      </c>
      <c r="R6321">
        <v>1</v>
      </c>
      <c r="S6321">
        <v>0</v>
      </c>
      <c r="T6321">
        <v>0</v>
      </c>
      <c r="U6321">
        <v>0</v>
      </c>
      <c r="V6321">
        <v>0</v>
      </c>
      <c r="W6321">
        <v>2</v>
      </c>
      <c r="X6321" s="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f t="shared" si="104"/>
        <v>192</v>
      </c>
      <c r="AP6321" t="s">
        <v>1915</v>
      </c>
    </row>
    <row r="6322" spans="1:42">
      <c r="A6322" s="1">
        <v>43805</v>
      </c>
      <c r="B6322">
        <v>5</v>
      </c>
      <c r="C6322">
        <v>989</v>
      </c>
      <c r="D6322">
        <v>10376</v>
      </c>
      <c r="E6322" t="s">
        <v>37</v>
      </c>
      <c r="F6322" t="s">
        <v>520</v>
      </c>
      <c r="G6322">
        <v>2</v>
      </c>
      <c r="H6322">
        <v>63</v>
      </c>
      <c r="I6322" s="25">
        <v>3208</v>
      </c>
      <c r="K6322" t="s">
        <v>638</v>
      </c>
      <c r="L6322" t="s">
        <v>114</v>
      </c>
      <c r="M6322" t="s">
        <v>52</v>
      </c>
      <c r="N6322" t="s">
        <v>44</v>
      </c>
      <c r="O6322">
        <f>60+60+4</f>
        <v>124</v>
      </c>
      <c r="Q6322">
        <f t="shared" si="103"/>
        <v>1</v>
      </c>
      <c r="R6322">
        <v>1</v>
      </c>
      <c r="S6322">
        <v>0</v>
      </c>
      <c r="T6322">
        <v>0</v>
      </c>
      <c r="U6322">
        <v>0</v>
      </c>
      <c r="V6322">
        <v>0</v>
      </c>
      <c r="W6322">
        <v>1</v>
      </c>
      <c r="X6322" s="21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f t="shared" si="104"/>
        <v>96</v>
      </c>
      <c r="AP6322" t="s">
        <v>1915</v>
      </c>
    </row>
    <row r="6323" spans="1:42">
      <c r="A6323" s="1">
        <v>43805</v>
      </c>
      <c r="B6323">
        <v>5</v>
      </c>
      <c r="C6323">
        <v>989</v>
      </c>
      <c r="D6323">
        <v>10376</v>
      </c>
      <c r="E6323" t="s">
        <v>37</v>
      </c>
      <c r="F6323" t="s">
        <v>520</v>
      </c>
      <c r="G6323">
        <v>2</v>
      </c>
      <c r="H6323">
        <v>64</v>
      </c>
      <c r="I6323" s="25">
        <v>1484</v>
      </c>
      <c r="K6323" t="s">
        <v>862</v>
      </c>
      <c r="L6323" t="s">
        <v>114</v>
      </c>
      <c r="M6323" t="s">
        <v>52</v>
      </c>
      <c r="N6323" t="s">
        <v>44</v>
      </c>
      <c r="O6323">
        <f>60+60+5</f>
        <v>125</v>
      </c>
      <c r="Q6323">
        <f t="shared" si="103"/>
        <v>1</v>
      </c>
      <c r="R6323">
        <v>1</v>
      </c>
      <c r="S6323">
        <v>0</v>
      </c>
      <c r="T6323">
        <v>0</v>
      </c>
      <c r="U6323">
        <v>0</v>
      </c>
      <c r="V6323">
        <v>0</v>
      </c>
      <c r="W6323">
        <v>1</v>
      </c>
      <c r="X6323" s="21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f t="shared" si="104"/>
        <v>96</v>
      </c>
      <c r="AP6323" t="s">
        <v>1915</v>
      </c>
    </row>
    <row r="6324" spans="1:42">
      <c r="A6324" s="1">
        <v>43805</v>
      </c>
      <c r="B6324">
        <v>5</v>
      </c>
      <c r="C6324">
        <v>989</v>
      </c>
      <c r="D6324">
        <v>10376</v>
      </c>
      <c r="E6324" t="s">
        <v>37</v>
      </c>
      <c r="F6324" t="s">
        <v>520</v>
      </c>
      <c r="G6324">
        <v>2</v>
      </c>
      <c r="H6324">
        <v>65</v>
      </c>
      <c r="I6324" s="25">
        <v>3155</v>
      </c>
      <c r="K6324" t="s">
        <v>638</v>
      </c>
      <c r="L6324" t="s">
        <v>141</v>
      </c>
      <c r="M6324" t="s">
        <v>95</v>
      </c>
      <c r="N6324" t="s">
        <v>44</v>
      </c>
      <c r="O6324">
        <f>60+60+12</f>
        <v>132</v>
      </c>
      <c r="Q6324">
        <f t="shared" si="103"/>
        <v>1</v>
      </c>
      <c r="R6324">
        <v>1</v>
      </c>
      <c r="S6324">
        <v>0</v>
      </c>
      <c r="T6324">
        <v>0</v>
      </c>
      <c r="U6324">
        <v>0</v>
      </c>
      <c r="V6324">
        <v>0</v>
      </c>
      <c r="W6324">
        <v>1</v>
      </c>
      <c r="X6324" s="21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f t="shared" si="104"/>
        <v>96</v>
      </c>
      <c r="AL6324" t="s">
        <v>1937</v>
      </c>
      <c r="AP6324" t="s">
        <v>1915</v>
      </c>
    </row>
    <row r="6325" spans="1:42">
      <c r="A6325" s="1">
        <v>43805</v>
      </c>
      <c r="B6325">
        <v>5</v>
      </c>
      <c r="C6325">
        <v>989</v>
      </c>
      <c r="D6325">
        <v>10376</v>
      </c>
      <c r="E6325" t="s">
        <v>37</v>
      </c>
      <c r="F6325" t="s">
        <v>520</v>
      </c>
      <c r="G6325">
        <v>2</v>
      </c>
      <c r="H6325">
        <v>66</v>
      </c>
      <c r="I6325" s="25">
        <v>3100</v>
      </c>
      <c r="K6325" t="s">
        <v>638</v>
      </c>
      <c r="M6325" t="s">
        <v>52</v>
      </c>
      <c r="N6325" t="s">
        <v>44</v>
      </c>
      <c r="O6325">
        <f>60+26</f>
        <v>86</v>
      </c>
      <c r="Q6325">
        <f t="shared" si="103"/>
        <v>1</v>
      </c>
      <c r="R6325">
        <v>1</v>
      </c>
      <c r="S6325">
        <v>0</v>
      </c>
      <c r="T6325">
        <v>0</v>
      </c>
      <c r="U6325">
        <v>0</v>
      </c>
      <c r="V6325">
        <v>0</v>
      </c>
      <c r="W6325">
        <v>1</v>
      </c>
      <c r="X6325" s="21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f t="shared" si="104"/>
        <v>96</v>
      </c>
      <c r="AP6325" t="s">
        <v>1915</v>
      </c>
    </row>
    <row r="6326" spans="1:42">
      <c r="A6326" s="1">
        <v>43805</v>
      </c>
      <c r="B6326">
        <v>5</v>
      </c>
      <c r="C6326">
        <v>989</v>
      </c>
      <c r="D6326">
        <v>10376</v>
      </c>
      <c r="E6326" t="s">
        <v>37</v>
      </c>
      <c r="F6326" t="s">
        <v>520</v>
      </c>
      <c r="G6326">
        <v>2</v>
      </c>
      <c r="H6326">
        <v>67</v>
      </c>
      <c r="I6326" s="25">
        <v>3035</v>
      </c>
      <c r="K6326" t="s">
        <v>638</v>
      </c>
      <c r="L6326" t="s">
        <v>141</v>
      </c>
      <c r="M6326" t="s">
        <v>52</v>
      </c>
      <c r="N6326" t="s">
        <v>44</v>
      </c>
      <c r="O6326">
        <f>60+14</f>
        <v>74</v>
      </c>
      <c r="Q6326">
        <f t="shared" si="103"/>
        <v>1</v>
      </c>
      <c r="R6326">
        <v>1</v>
      </c>
      <c r="S6326">
        <v>0</v>
      </c>
      <c r="T6326">
        <v>0</v>
      </c>
      <c r="U6326">
        <v>0</v>
      </c>
      <c r="V6326">
        <v>0</v>
      </c>
      <c r="W6326">
        <v>1</v>
      </c>
      <c r="X6326" s="21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f t="shared" si="104"/>
        <v>96</v>
      </c>
      <c r="AL6326" t="s">
        <v>1946</v>
      </c>
      <c r="AP6326" t="s">
        <v>1915</v>
      </c>
    </row>
    <row r="6327" spans="1:42">
      <c r="A6327" s="1">
        <v>43805</v>
      </c>
      <c r="B6327">
        <v>5</v>
      </c>
      <c r="C6327">
        <v>989</v>
      </c>
      <c r="D6327">
        <v>10376</v>
      </c>
      <c r="E6327" t="s">
        <v>37</v>
      </c>
      <c r="F6327" t="s">
        <v>520</v>
      </c>
      <c r="G6327">
        <v>2</v>
      </c>
      <c r="H6327">
        <v>68</v>
      </c>
      <c r="I6327" s="25">
        <v>3134</v>
      </c>
      <c r="K6327" t="s">
        <v>595</v>
      </c>
      <c r="M6327" t="s">
        <v>52</v>
      </c>
      <c r="N6327" t="s">
        <v>44</v>
      </c>
      <c r="O6327">
        <f>60+53</f>
        <v>113</v>
      </c>
      <c r="Q6327">
        <f t="shared" si="103"/>
        <v>1</v>
      </c>
      <c r="R6327">
        <v>1</v>
      </c>
      <c r="S6327">
        <v>0</v>
      </c>
      <c r="T6327">
        <v>0</v>
      </c>
      <c r="U6327">
        <v>0</v>
      </c>
      <c r="V6327">
        <v>0</v>
      </c>
      <c r="W6327">
        <v>1</v>
      </c>
      <c r="X6327" s="21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f t="shared" si="104"/>
        <v>96</v>
      </c>
      <c r="AL6327" t="s">
        <v>1937</v>
      </c>
      <c r="AP6327" t="s">
        <v>1915</v>
      </c>
    </row>
    <row r="6328" spans="1:42">
      <c r="A6328" s="1">
        <v>43805</v>
      </c>
      <c r="B6328">
        <v>5</v>
      </c>
      <c r="C6328">
        <v>989</v>
      </c>
      <c r="D6328">
        <v>10376</v>
      </c>
      <c r="E6328" t="s">
        <v>37</v>
      </c>
      <c r="F6328" t="s">
        <v>520</v>
      </c>
      <c r="G6328">
        <v>2</v>
      </c>
      <c r="H6328">
        <v>69</v>
      </c>
      <c r="I6328" s="25">
        <v>3124</v>
      </c>
      <c r="K6328" t="s">
        <v>595</v>
      </c>
      <c r="L6328" t="s">
        <v>114</v>
      </c>
      <c r="M6328" t="s">
        <v>52</v>
      </c>
      <c r="N6328" t="s">
        <v>44</v>
      </c>
      <c r="O6328">
        <f>60+32</f>
        <v>92</v>
      </c>
      <c r="Q6328">
        <f t="shared" si="103"/>
        <v>1</v>
      </c>
      <c r="R6328">
        <v>1</v>
      </c>
      <c r="S6328">
        <v>0</v>
      </c>
      <c r="T6328">
        <v>0</v>
      </c>
      <c r="U6328">
        <v>0</v>
      </c>
      <c r="V6328">
        <v>0</v>
      </c>
      <c r="W6328">
        <v>1</v>
      </c>
      <c r="X6328" s="21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f t="shared" si="104"/>
        <v>96</v>
      </c>
      <c r="AL6328" t="s">
        <v>1937</v>
      </c>
      <c r="AP6328" t="s">
        <v>1915</v>
      </c>
    </row>
    <row r="6329" spans="1:42">
      <c r="A6329" s="1">
        <v>43805</v>
      </c>
      <c r="B6329">
        <v>5</v>
      </c>
      <c r="C6329">
        <v>989</v>
      </c>
      <c r="D6329">
        <v>10376</v>
      </c>
      <c r="E6329" t="s">
        <v>37</v>
      </c>
      <c r="F6329" t="s">
        <v>520</v>
      </c>
      <c r="G6329">
        <v>2</v>
      </c>
      <c r="H6329">
        <v>70</v>
      </c>
      <c r="I6329" s="25">
        <v>3700</v>
      </c>
      <c r="K6329" t="s">
        <v>596</v>
      </c>
      <c r="M6329" t="s">
        <v>52</v>
      </c>
      <c r="N6329" t="s">
        <v>40</v>
      </c>
      <c r="O6329">
        <f>31</f>
        <v>31</v>
      </c>
      <c r="Q6329">
        <f t="shared" si="103"/>
        <v>1</v>
      </c>
      <c r="R6329">
        <v>1</v>
      </c>
      <c r="S6329">
        <v>0</v>
      </c>
      <c r="T6329">
        <v>0</v>
      </c>
      <c r="U6329">
        <v>1</v>
      </c>
      <c r="V6329">
        <v>0</v>
      </c>
      <c r="W6329">
        <v>0</v>
      </c>
      <c r="X6329" s="21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f t="shared" si="104"/>
        <v>32</v>
      </c>
      <c r="AP6329" t="s">
        <v>1915</v>
      </c>
    </row>
    <row r="6330" spans="1:42">
      <c r="A6330" s="1">
        <v>43805</v>
      </c>
      <c r="B6330">
        <v>5</v>
      </c>
      <c r="C6330">
        <v>989</v>
      </c>
      <c r="D6330">
        <v>10376</v>
      </c>
      <c r="E6330" t="s">
        <v>37</v>
      </c>
      <c r="F6330" t="s">
        <v>520</v>
      </c>
      <c r="G6330">
        <v>2</v>
      </c>
      <c r="H6330">
        <v>71</v>
      </c>
      <c r="I6330" s="25">
        <v>3717</v>
      </c>
      <c r="K6330" t="s">
        <v>596</v>
      </c>
      <c r="M6330" t="s">
        <v>52</v>
      </c>
      <c r="N6330" t="s">
        <v>44</v>
      </c>
      <c r="O6330">
        <f>60+60+47</f>
        <v>167</v>
      </c>
      <c r="Q6330">
        <f t="shared" si="103"/>
        <v>2</v>
      </c>
      <c r="R6330">
        <v>1</v>
      </c>
      <c r="S6330">
        <v>0</v>
      </c>
      <c r="T6330">
        <v>0</v>
      </c>
      <c r="U6330">
        <v>0</v>
      </c>
      <c r="V6330">
        <v>0</v>
      </c>
      <c r="W6330">
        <v>2</v>
      </c>
      <c r="X6330" s="21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f t="shared" si="104"/>
        <v>192</v>
      </c>
      <c r="AP6330" t="s">
        <v>1915</v>
      </c>
    </row>
    <row r="6331" spans="1:42">
      <c r="A6331" s="1">
        <v>43805</v>
      </c>
      <c r="B6331">
        <v>5</v>
      </c>
      <c r="C6331">
        <v>989</v>
      </c>
      <c r="D6331">
        <v>10376</v>
      </c>
      <c r="E6331" t="s">
        <v>37</v>
      </c>
      <c r="F6331" t="s">
        <v>520</v>
      </c>
      <c r="G6331">
        <v>2</v>
      </c>
      <c r="H6331">
        <v>72</v>
      </c>
      <c r="I6331" s="25">
        <v>1500</v>
      </c>
      <c r="K6331" t="s">
        <v>102</v>
      </c>
      <c r="M6331" t="s">
        <v>52</v>
      </c>
      <c r="N6331" t="s">
        <v>40</v>
      </c>
      <c r="O6331">
        <f>60+60+5</f>
        <v>125</v>
      </c>
      <c r="Q6331">
        <f t="shared" si="103"/>
        <v>4</v>
      </c>
      <c r="R6331">
        <v>1</v>
      </c>
      <c r="S6331">
        <v>0</v>
      </c>
      <c r="T6331">
        <v>0</v>
      </c>
      <c r="U6331">
        <v>0</v>
      </c>
      <c r="V6331">
        <v>0</v>
      </c>
      <c r="W6331">
        <v>4</v>
      </c>
      <c r="X6331" s="2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f t="shared" si="104"/>
        <v>384</v>
      </c>
      <c r="AP6331" t="s">
        <v>1915</v>
      </c>
    </row>
    <row r="6332" spans="1:42">
      <c r="A6332" s="1">
        <v>43805</v>
      </c>
      <c r="B6332">
        <v>5</v>
      </c>
      <c r="C6332">
        <v>989</v>
      </c>
      <c r="D6332">
        <v>10376</v>
      </c>
      <c r="E6332" t="s">
        <v>37</v>
      </c>
      <c r="F6332" t="s">
        <v>520</v>
      </c>
      <c r="G6332">
        <v>2</v>
      </c>
      <c r="H6332">
        <v>73</v>
      </c>
      <c r="I6332" s="25">
        <v>1500</v>
      </c>
      <c r="K6332" t="s">
        <v>102</v>
      </c>
      <c r="M6332" t="s">
        <v>52</v>
      </c>
      <c r="N6332" t="s">
        <v>40</v>
      </c>
      <c r="O6332">
        <v>50</v>
      </c>
      <c r="Q6332">
        <f t="shared" si="103"/>
        <v>1</v>
      </c>
      <c r="R6332">
        <v>1</v>
      </c>
      <c r="S6332">
        <v>0</v>
      </c>
      <c r="T6332">
        <v>0</v>
      </c>
      <c r="U6332">
        <v>0</v>
      </c>
      <c r="V6332">
        <v>1</v>
      </c>
      <c r="W6332">
        <v>0</v>
      </c>
      <c r="X6332" s="21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f t="shared" si="104"/>
        <v>64</v>
      </c>
      <c r="AP6332" t="s">
        <v>1915</v>
      </c>
    </row>
    <row r="6333" spans="1:42">
      <c r="A6333" s="1">
        <v>43805</v>
      </c>
      <c r="B6333">
        <v>5</v>
      </c>
      <c r="C6333">
        <v>989</v>
      </c>
      <c r="D6333">
        <v>10376</v>
      </c>
      <c r="E6333" t="s">
        <v>37</v>
      </c>
      <c r="F6333" t="s">
        <v>520</v>
      </c>
      <c r="G6333">
        <v>2</v>
      </c>
      <c r="H6333">
        <v>74</v>
      </c>
      <c r="I6333" s="25">
        <v>3500</v>
      </c>
      <c r="K6333" t="s">
        <v>588</v>
      </c>
      <c r="M6333" t="s">
        <v>52</v>
      </c>
      <c r="N6333" t="s">
        <v>44</v>
      </c>
      <c r="O6333">
        <f>60+38</f>
        <v>98</v>
      </c>
      <c r="Q6333">
        <f t="shared" si="103"/>
        <v>1</v>
      </c>
      <c r="R6333">
        <v>1</v>
      </c>
      <c r="S6333">
        <v>0</v>
      </c>
      <c r="T6333">
        <v>0</v>
      </c>
      <c r="U6333">
        <v>0</v>
      </c>
      <c r="V6333">
        <v>0</v>
      </c>
      <c r="W6333">
        <v>1</v>
      </c>
      <c r="X6333" s="21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f t="shared" si="104"/>
        <v>96</v>
      </c>
      <c r="AP6333" t="s">
        <v>1915</v>
      </c>
    </row>
    <row r="6334" spans="1:42">
      <c r="A6334" s="1">
        <v>43805</v>
      </c>
      <c r="B6334">
        <v>5</v>
      </c>
      <c r="C6334">
        <v>989</v>
      </c>
      <c r="D6334">
        <v>10376</v>
      </c>
      <c r="E6334" t="s">
        <v>37</v>
      </c>
      <c r="F6334" t="s">
        <v>520</v>
      </c>
      <c r="G6334">
        <v>2</v>
      </c>
      <c r="H6334">
        <v>75</v>
      </c>
      <c r="I6334" s="25">
        <v>3355</v>
      </c>
      <c r="K6334" t="s">
        <v>595</v>
      </c>
      <c r="L6334" t="s">
        <v>141</v>
      </c>
      <c r="M6334" t="s">
        <v>52</v>
      </c>
      <c r="N6334" t="s">
        <v>44</v>
      </c>
      <c r="O6334">
        <f>60+12</f>
        <v>72</v>
      </c>
      <c r="Q6334">
        <f t="shared" si="103"/>
        <v>1</v>
      </c>
      <c r="R6334">
        <v>1</v>
      </c>
      <c r="S6334">
        <v>0</v>
      </c>
      <c r="T6334">
        <v>0</v>
      </c>
      <c r="U6334">
        <v>0</v>
      </c>
      <c r="V6334">
        <v>0</v>
      </c>
      <c r="W6334">
        <v>1</v>
      </c>
      <c r="X6334" s="21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f t="shared" si="104"/>
        <v>96</v>
      </c>
      <c r="AP6334" t="s">
        <v>1915</v>
      </c>
    </row>
    <row r="6335" spans="1:42">
      <c r="A6335" s="1">
        <v>43805</v>
      </c>
      <c r="B6335">
        <v>5</v>
      </c>
      <c r="C6335">
        <v>989</v>
      </c>
      <c r="D6335">
        <v>10376</v>
      </c>
      <c r="E6335" t="s">
        <v>37</v>
      </c>
      <c r="F6335" t="s">
        <v>520</v>
      </c>
      <c r="G6335">
        <v>2</v>
      </c>
      <c r="H6335">
        <v>76</v>
      </c>
      <c r="I6335" s="25">
        <v>3145</v>
      </c>
      <c r="K6335" t="s">
        <v>595</v>
      </c>
      <c r="L6335" t="s">
        <v>141</v>
      </c>
      <c r="M6335" t="s">
        <v>52</v>
      </c>
      <c r="N6335" t="s">
        <v>44</v>
      </c>
      <c r="O6335">
        <f>60+60+27</f>
        <v>147</v>
      </c>
      <c r="Q6335">
        <f t="shared" si="103"/>
        <v>1</v>
      </c>
      <c r="R6335">
        <v>1</v>
      </c>
      <c r="S6335">
        <v>0</v>
      </c>
      <c r="T6335">
        <v>0</v>
      </c>
      <c r="U6335">
        <v>0</v>
      </c>
      <c r="V6335">
        <v>0</v>
      </c>
      <c r="W6335">
        <v>1</v>
      </c>
      <c r="X6335" s="21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f t="shared" si="104"/>
        <v>96</v>
      </c>
      <c r="AL6335" t="s">
        <v>1937</v>
      </c>
      <c r="AP6335" t="s">
        <v>1915</v>
      </c>
    </row>
    <row r="6336" spans="1:42">
      <c r="A6336" s="1">
        <v>43805</v>
      </c>
      <c r="B6336">
        <v>5</v>
      </c>
      <c r="C6336">
        <v>989</v>
      </c>
      <c r="D6336">
        <v>10376</v>
      </c>
      <c r="E6336" t="s">
        <v>37</v>
      </c>
      <c r="F6336" t="s">
        <v>520</v>
      </c>
      <c r="G6336">
        <v>2</v>
      </c>
      <c r="H6336">
        <v>77</v>
      </c>
      <c r="I6336" s="25">
        <v>3155</v>
      </c>
      <c r="K6336" t="s">
        <v>595</v>
      </c>
      <c r="L6336" t="s">
        <v>141</v>
      </c>
      <c r="M6336" t="s">
        <v>52</v>
      </c>
      <c r="N6336" t="s">
        <v>44</v>
      </c>
      <c r="O6336">
        <f>60+22</f>
        <v>82</v>
      </c>
      <c r="Q6336">
        <f t="shared" ref="Q6336:Q6399" si="105">SUM(S6336:AE6336)</f>
        <v>1</v>
      </c>
      <c r="R6336">
        <v>1</v>
      </c>
      <c r="S6336">
        <v>0</v>
      </c>
      <c r="T6336">
        <v>0</v>
      </c>
      <c r="U6336">
        <v>0</v>
      </c>
      <c r="V6336">
        <v>0</v>
      </c>
      <c r="W6336">
        <v>1</v>
      </c>
      <c r="X6336" s="21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f t="shared" ref="AH6336:AH6399" si="106">(16*S6336)+(20*T6336)+(32*U6336)+(64*V6336)+(96*W6336)</f>
        <v>96</v>
      </c>
      <c r="AP6336" t="s">
        <v>1915</v>
      </c>
    </row>
    <row r="6337" spans="1:42">
      <c r="A6337" s="1">
        <v>43805</v>
      </c>
      <c r="B6337">
        <v>5</v>
      </c>
      <c r="C6337">
        <v>989</v>
      </c>
      <c r="D6337">
        <v>10376</v>
      </c>
      <c r="E6337" t="s">
        <v>37</v>
      </c>
      <c r="F6337" t="s">
        <v>520</v>
      </c>
      <c r="G6337">
        <v>2</v>
      </c>
      <c r="H6337">
        <v>78</v>
      </c>
      <c r="I6337" s="25">
        <v>3127</v>
      </c>
      <c r="K6337" t="s">
        <v>595</v>
      </c>
      <c r="L6337" t="s">
        <v>141</v>
      </c>
      <c r="M6337" t="s">
        <v>52</v>
      </c>
      <c r="N6337" t="s">
        <v>44</v>
      </c>
      <c r="O6337">
        <f>60</f>
        <v>60</v>
      </c>
      <c r="Q6337">
        <f t="shared" si="105"/>
        <v>1</v>
      </c>
      <c r="R6337">
        <v>1</v>
      </c>
      <c r="S6337">
        <v>0</v>
      </c>
      <c r="T6337">
        <v>0</v>
      </c>
      <c r="U6337">
        <v>0</v>
      </c>
      <c r="V6337">
        <v>0</v>
      </c>
      <c r="W6337">
        <v>1</v>
      </c>
      <c r="X6337" s="21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f t="shared" si="106"/>
        <v>96</v>
      </c>
      <c r="AP6337" t="s">
        <v>1915</v>
      </c>
    </row>
    <row r="6338" spans="1:42">
      <c r="A6338" s="1">
        <v>43805</v>
      </c>
      <c r="B6338">
        <v>5</v>
      </c>
      <c r="C6338">
        <v>989</v>
      </c>
      <c r="D6338">
        <v>10376</v>
      </c>
      <c r="E6338" t="s">
        <v>37</v>
      </c>
      <c r="F6338" t="s">
        <v>520</v>
      </c>
      <c r="G6338">
        <v>2</v>
      </c>
      <c r="H6338">
        <v>79</v>
      </c>
      <c r="I6338" s="25">
        <v>3</v>
      </c>
      <c r="K6338" t="s">
        <v>324</v>
      </c>
      <c r="M6338" t="s">
        <v>52</v>
      </c>
      <c r="N6338" t="s">
        <v>44</v>
      </c>
      <c r="O6338">
        <f>60+53</f>
        <v>113</v>
      </c>
      <c r="Q6338">
        <f t="shared" si="105"/>
        <v>1</v>
      </c>
      <c r="R6338">
        <v>1</v>
      </c>
      <c r="S6338">
        <v>0</v>
      </c>
      <c r="T6338">
        <v>0</v>
      </c>
      <c r="U6338">
        <v>0</v>
      </c>
      <c r="V6338">
        <v>1</v>
      </c>
      <c r="W6338">
        <v>0</v>
      </c>
      <c r="X6338" s="21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f t="shared" si="106"/>
        <v>64</v>
      </c>
      <c r="AL6338" t="s">
        <v>1958</v>
      </c>
      <c r="AP6338" t="s">
        <v>1915</v>
      </c>
    </row>
    <row r="6339" spans="1:42">
      <c r="A6339" s="1">
        <v>43805</v>
      </c>
      <c r="B6339">
        <v>5</v>
      </c>
      <c r="C6339">
        <v>989</v>
      </c>
      <c r="D6339">
        <v>10376</v>
      </c>
      <c r="E6339" t="s">
        <v>37</v>
      </c>
      <c r="F6339" t="s">
        <v>520</v>
      </c>
      <c r="G6339">
        <v>2</v>
      </c>
      <c r="H6339">
        <v>80</v>
      </c>
      <c r="I6339" s="25">
        <v>1737</v>
      </c>
      <c r="K6339" t="s">
        <v>324</v>
      </c>
      <c r="L6339" t="s">
        <v>141</v>
      </c>
      <c r="M6339" t="s">
        <v>52</v>
      </c>
      <c r="N6339" t="s">
        <v>44</v>
      </c>
      <c r="O6339">
        <f>60+17</f>
        <v>77</v>
      </c>
      <c r="Q6339">
        <f t="shared" si="105"/>
        <v>1</v>
      </c>
      <c r="R6339">
        <v>1</v>
      </c>
      <c r="S6339">
        <v>0</v>
      </c>
      <c r="T6339">
        <v>0</v>
      </c>
      <c r="U6339">
        <v>0</v>
      </c>
      <c r="V6339">
        <v>0</v>
      </c>
      <c r="W6339">
        <v>1</v>
      </c>
      <c r="X6339" s="21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f t="shared" si="106"/>
        <v>96</v>
      </c>
      <c r="AP6339" t="s">
        <v>1915</v>
      </c>
    </row>
    <row r="6340" spans="1:42">
      <c r="A6340" s="1">
        <v>43805</v>
      </c>
      <c r="B6340">
        <v>5</v>
      </c>
      <c r="C6340">
        <v>989</v>
      </c>
      <c r="D6340">
        <v>10376</v>
      </c>
      <c r="E6340" t="s">
        <v>37</v>
      </c>
      <c r="F6340" t="s">
        <v>520</v>
      </c>
      <c r="G6340">
        <v>2</v>
      </c>
      <c r="H6340">
        <v>81</v>
      </c>
      <c r="I6340" s="25">
        <v>1731</v>
      </c>
      <c r="K6340" t="s">
        <v>324</v>
      </c>
      <c r="L6340" t="s">
        <v>141</v>
      </c>
      <c r="M6340" t="s">
        <v>52</v>
      </c>
      <c r="N6340" t="s">
        <v>44</v>
      </c>
      <c r="O6340">
        <f>60+31</f>
        <v>91</v>
      </c>
      <c r="Q6340">
        <f t="shared" si="105"/>
        <v>1</v>
      </c>
      <c r="R6340">
        <v>1</v>
      </c>
      <c r="S6340">
        <v>0</v>
      </c>
      <c r="T6340">
        <v>0</v>
      </c>
      <c r="U6340">
        <v>0</v>
      </c>
      <c r="V6340">
        <v>0</v>
      </c>
      <c r="W6340">
        <v>1</v>
      </c>
      <c r="X6340" s="21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f t="shared" si="106"/>
        <v>96</v>
      </c>
      <c r="AP6340" t="s">
        <v>1915</v>
      </c>
    </row>
    <row r="6341" spans="1:42">
      <c r="A6341" s="1">
        <v>43805</v>
      </c>
      <c r="B6341">
        <v>5</v>
      </c>
      <c r="C6341">
        <v>989</v>
      </c>
      <c r="D6341">
        <v>10376</v>
      </c>
      <c r="E6341" t="s">
        <v>37</v>
      </c>
      <c r="F6341" t="s">
        <v>520</v>
      </c>
      <c r="G6341">
        <v>2</v>
      </c>
      <c r="H6341">
        <v>82</v>
      </c>
      <c r="I6341" s="25">
        <v>1721</v>
      </c>
      <c r="K6341" t="s">
        <v>324</v>
      </c>
      <c r="L6341" t="s">
        <v>141</v>
      </c>
      <c r="M6341" t="s">
        <v>52</v>
      </c>
      <c r="N6341" t="s">
        <v>44</v>
      </c>
      <c r="O6341">
        <f>60+18</f>
        <v>78</v>
      </c>
      <c r="Q6341">
        <f t="shared" si="105"/>
        <v>1</v>
      </c>
      <c r="R6341">
        <v>1</v>
      </c>
      <c r="S6341">
        <v>0</v>
      </c>
      <c r="T6341">
        <v>0</v>
      </c>
      <c r="U6341">
        <v>0</v>
      </c>
      <c r="V6341">
        <v>0</v>
      </c>
      <c r="W6341">
        <v>1</v>
      </c>
      <c r="X6341" s="2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f t="shared" si="106"/>
        <v>96</v>
      </c>
      <c r="AL6341" t="s">
        <v>587</v>
      </c>
      <c r="AP6341" t="s">
        <v>1915</v>
      </c>
    </row>
    <row r="6342" spans="1:42">
      <c r="A6342" s="1">
        <v>43805</v>
      </c>
      <c r="B6342">
        <v>5</v>
      </c>
      <c r="C6342">
        <v>989</v>
      </c>
      <c r="D6342">
        <v>10376</v>
      </c>
      <c r="E6342" t="s">
        <v>37</v>
      </c>
      <c r="F6342" t="s">
        <v>520</v>
      </c>
      <c r="G6342">
        <v>2</v>
      </c>
      <c r="H6342">
        <v>83</v>
      </c>
      <c r="I6342" s="25">
        <v>1685</v>
      </c>
      <c r="K6342" t="s">
        <v>324</v>
      </c>
      <c r="L6342" t="s">
        <v>141</v>
      </c>
      <c r="M6342" t="s">
        <v>95</v>
      </c>
      <c r="N6342" t="s">
        <v>44</v>
      </c>
      <c r="O6342">
        <f>60+60+46</f>
        <v>166</v>
      </c>
      <c r="Q6342">
        <f t="shared" si="105"/>
        <v>2</v>
      </c>
      <c r="R6342">
        <v>1</v>
      </c>
      <c r="S6342">
        <v>0</v>
      </c>
      <c r="T6342">
        <v>0</v>
      </c>
      <c r="U6342">
        <v>0</v>
      </c>
      <c r="V6342">
        <v>0</v>
      </c>
      <c r="W6342">
        <v>2</v>
      </c>
      <c r="X6342" s="21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f t="shared" si="106"/>
        <v>192</v>
      </c>
      <c r="AP6342" t="s">
        <v>1915</v>
      </c>
    </row>
    <row r="6343" spans="1:42">
      <c r="A6343" s="1">
        <v>43805</v>
      </c>
      <c r="B6343">
        <v>5</v>
      </c>
      <c r="C6343">
        <v>989</v>
      </c>
      <c r="D6343">
        <v>10376</v>
      </c>
      <c r="E6343" t="s">
        <v>37</v>
      </c>
      <c r="F6343" t="s">
        <v>520</v>
      </c>
      <c r="G6343">
        <v>2</v>
      </c>
      <c r="H6343">
        <v>84</v>
      </c>
      <c r="I6343" s="25">
        <v>1655</v>
      </c>
      <c r="K6343" t="s">
        <v>324</v>
      </c>
      <c r="L6343" t="s">
        <v>141</v>
      </c>
      <c r="M6343" t="s">
        <v>52</v>
      </c>
      <c r="N6343" t="s">
        <v>44</v>
      </c>
      <c r="O6343">
        <f>60+60+34</f>
        <v>154</v>
      </c>
      <c r="Q6343">
        <f t="shared" si="105"/>
        <v>1</v>
      </c>
      <c r="R6343">
        <v>1</v>
      </c>
      <c r="S6343">
        <v>0</v>
      </c>
      <c r="T6343">
        <v>0</v>
      </c>
      <c r="U6343">
        <v>0</v>
      </c>
      <c r="V6343">
        <v>0</v>
      </c>
      <c r="W6343">
        <v>1</v>
      </c>
      <c r="X6343" s="21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f t="shared" si="106"/>
        <v>96</v>
      </c>
      <c r="AL6343" t="s">
        <v>587</v>
      </c>
      <c r="AP6343" t="s">
        <v>1915</v>
      </c>
    </row>
    <row r="6344" spans="1:42">
      <c r="A6344" s="1">
        <v>43805</v>
      </c>
      <c r="B6344">
        <v>5</v>
      </c>
      <c r="C6344">
        <v>989</v>
      </c>
      <c r="D6344">
        <v>10376</v>
      </c>
      <c r="E6344" t="s">
        <v>37</v>
      </c>
      <c r="F6344" t="s">
        <v>520</v>
      </c>
      <c r="G6344">
        <v>2</v>
      </c>
      <c r="H6344">
        <v>85</v>
      </c>
      <c r="I6344" s="25">
        <v>1631</v>
      </c>
      <c r="K6344" t="s">
        <v>324</v>
      </c>
      <c r="L6344" t="s">
        <v>141</v>
      </c>
      <c r="M6344" t="s">
        <v>52</v>
      </c>
      <c r="N6344" t="s">
        <v>44</v>
      </c>
      <c r="O6344">
        <f>60+27</f>
        <v>87</v>
      </c>
      <c r="Q6344">
        <f t="shared" si="105"/>
        <v>1</v>
      </c>
      <c r="R6344">
        <v>1</v>
      </c>
      <c r="S6344">
        <v>0</v>
      </c>
      <c r="T6344">
        <v>0</v>
      </c>
      <c r="U6344">
        <v>0</v>
      </c>
      <c r="V6344">
        <v>0</v>
      </c>
      <c r="W6344">
        <v>1</v>
      </c>
      <c r="X6344" s="21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f t="shared" si="106"/>
        <v>96</v>
      </c>
      <c r="AP6344" t="s">
        <v>1915</v>
      </c>
    </row>
    <row r="6345" spans="1:42">
      <c r="A6345" s="1">
        <v>43805</v>
      </c>
      <c r="B6345">
        <v>5</v>
      </c>
      <c r="C6345">
        <v>989</v>
      </c>
      <c r="D6345">
        <v>10376</v>
      </c>
      <c r="E6345" t="s">
        <v>37</v>
      </c>
      <c r="F6345" t="s">
        <v>520</v>
      </c>
      <c r="G6345">
        <v>2</v>
      </c>
      <c r="H6345">
        <v>86</v>
      </c>
      <c r="I6345" s="25">
        <v>1625</v>
      </c>
      <c r="K6345" t="s">
        <v>324</v>
      </c>
      <c r="L6345" t="s">
        <v>141</v>
      </c>
      <c r="M6345" t="s">
        <v>52</v>
      </c>
      <c r="N6345" t="s">
        <v>44</v>
      </c>
      <c r="O6345">
        <f>60+14</f>
        <v>74</v>
      </c>
      <c r="Q6345">
        <f t="shared" si="105"/>
        <v>1</v>
      </c>
      <c r="R6345">
        <v>1</v>
      </c>
      <c r="S6345">
        <v>0</v>
      </c>
      <c r="T6345">
        <v>0</v>
      </c>
      <c r="U6345">
        <v>0</v>
      </c>
      <c r="V6345">
        <v>0</v>
      </c>
      <c r="W6345">
        <v>1</v>
      </c>
      <c r="X6345" s="21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f t="shared" si="106"/>
        <v>96</v>
      </c>
      <c r="AP6345" t="s">
        <v>1915</v>
      </c>
    </row>
    <row r="6346" spans="1:42">
      <c r="A6346" s="1">
        <v>43805</v>
      </c>
      <c r="B6346">
        <v>5</v>
      </c>
      <c r="C6346">
        <v>989</v>
      </c>
      <c r="D6346">
        <v>10376</v>
      </c>
      <c r="E6346" t="s">
        <v>37</v>
      </c>
      <c r="F6346" t="s">
        <v>520</v>
      </c>
      <c r="G6346">
        <v>2</v>
      </c>
      <c r="H6346">
        <v>87</v>
      </c>
      <c r="I6346" s="25">
        <v>3600</v>
      </c>
      <c r="K6346" t="s">
        <v>909</v>
      </c>
      <c r="M6346" t="s">
        <v>52</v>
      </c>
      <c r="N6346" t="s">
        <v>44</v>
      </c>
      <c r="O6346">
        <f>60+60+60+2</f>
        <v>182</v>
      </c>
      <c r="Q6346">
        <f t="shared" si="105"/>
        <v>4</v>
      </c>
      <c r="R6346">
        <v>1</v>
      </c>
      <c r="S6346">
        <v>0</v>
      </c>
      <c r="T6346">
        <v>0</v>
      </c>
      <c r="U6346">
        <v>0</v>
      </c>
      <c r="V6346">
        <v>0</v>
      </c>
      <c r="W6346">
        <v>4</v>
      </c>
      <c r="X6346" s="21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f t="shared" si="106"/>
        <v>384</v>
      </c>
      <c r="AP6346" t="s">
        <v>1915</v>
      </c>
    </row>
    <row r="6347" spans="1:42">
      <c r="A6347" s="1">
        <v>43805</v>
      </c>
      <c r="B6347">
        <v>5</v>
      </c>
      <c r="C6347">
        <v>989</v>
      </c>
      <c r="D6347">
        <v>10376</v>
      </c>
      <c r="E6347" t="s">
        <v>37</v>
      </c>
      <c r="F6347" t="s">
        <v>520</v>
      </c>
      <c r="G6347">
        <v>2</v>
      </c>
      <c r="H6347">
        <v>88</v>
      </c>
      <c r="I6347" s="25">
        <v>3620</v>
      </c>
      <c r="K6347" t="s">
        <v>909</v>
      </c>
      <c r="L6347" t="s">
        <v>114</v>
      </c>
      <c r="M6347" t="s">
        <v>52</v>
      </c>
      <c r="N6347" t="s">
        <v>44</v>
      </c>
      <c r="O6347">
        <f>60+15</f>
        <v>75</v>
      </c>
      <c r="Q6347">
        <f t="shared" si="105"/>
        <v>1</v>
      </c>
      <c r="R6347">
        <v>1</v>
      </c>
      <c r="S6347">
        <v>0</v>
      </c>
      <c r="T6347">
        <v>0</v>
      </c>
      <c r="U6347">
        <v>0</v>
      </c>
      <c r="V6347">
        <v>0</v>
      </c>
      <c r="W6347">
        <v>1</v>
      </c>
      <c r="X6347" s="21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f t="shared" si="106"/>
        <v>96</v>
      </c>
      <c r="AP6347" t="s">
        <v>1915</v>
      </c>
    </row>
    <row r="6348" spans="1:42">
      <c r="A6348" s="1">
        <v>43805</v>
      </c>
      <c r="B6348">
        <v>5</v>
      </c>
      <c r="C6348">
        <v>989</v>
      </c>
      <c r="D6348">
        <v>10376</v>
      </c>
      <c r="E6348" t="s">
        <v>37</v>
      </c>
      <c r="F6348" t="s">
        <v>520</v>
      </c>
      <c r="G6348">
        <v>2</v>
      </c>
      <c r="H6348">
        <v>89</v>
      </c>
      <c r="I6348" s="25">
        <v>1772</v>
      </c>
      <c r="K6348" t="s">
        <v>570</v>
      </c>
      <c r="L6348" t="s">
        <v>114</v>
      </c>
      <c r="M6348" t="s">
        <v>52</v>
      </c>
      <c r="N6348" t="s">
        <v>44</v>
      </c>
      <c r="O6348">
        <f>60+60+17</f>
        <v>137</v>
      </c>
      <c r="Q6348">
        <f t="shared" si="105"/>
        <v>2</v>
      </c>
      <c r="R6348">
        <v>1</v>
      </c>
      <c r="S6348">
        <v>0</v>
      </c>
      <c r="T6348">
        <v>0</v>
      </c>
      <c r="U6348">
        <v>0</v>
      </c>
      <c r="V6348">
        <v>0</v>
      </c>
      <c r="W6348">
        <v>2</v>
      </c>
      <c r="X6348" s="21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f t="shared" si="106"/>
        <v>192</v>
      </c>
      <c r="AP6348" t="s">
        <v>1915</v>
      </c>
    </row>
    <row r="6349" spans="1:42">
      <c r="A6349" s="1">
        <v>43805</v>
      </c>
      <c r="B6349">
        <v>5</v>
      </c>
      <c r="C6349">
        <v>989</v>
      </c>
      <c r="D6349">
        <v>10376</v>
      </c>
      <c r="E6349" t="s">
        <v>37</v>
      </c>
      <c r="F6349" t="s">
        <v>520</v>
      </c>
      <c r="G6349">
        <v>2</v>
      </c>
      <c r="H6349">
        <v>90</v>
      </c>
      <c r="I6349" s="25">
        <v>1771</v>
      </c>
      <c r="K6349" t="s">
        <v>570</v>
      </c>
      <c r="L6349" t="s">
        <v>141</v>
      </c>
      <c r="M6349" t="s">
        <v>52</v>
      </c>
      <c r="N6349" t="s">
        <v>44</v>
      </c>
      <c r="O6349">
        <f>60+60+12</f>
        <v>132</v>
      </c>
      <c r="Q6349">
        <f t="shared" si="105"/>
        <v>2</v>
      </c>
      <c r="R6349">
        <v>1</v>
      </c>
      <c r="S6349">
        <v>0</v>
      </c>
      <c r="T6349">
        <v>0</v>
      </c>
      <c r="U6349">
        <v>0</v>
      </c>
      <c r="V6349">
        <v>0</v>
      </c>
      <c r="W6349">
        <v>2</v>
      </c>
      <c r="X6349" s="21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f t="shared" si="106"/>
        <v>192</v>
      </c>
      <c r="AP6349" t="s">
        <v>1915</v>
      </c>
    </row>
    <row r="6350" spans="1:42">
      <c r="A6350" s="1">
        <v>43805</v>
      </c>
      <c r="B6350">
        <v>5</v>
      </c>
      <c r="C6350">
        <v>989</v>
      </c>
      <c r="D6350">
        <v>10376</v>
      </c>
      <c r="E6350" t="s">
        <v>37</v>
      </c>
      <c r="F6350" t="s">
        <v>520</v>
      </c>
      <c r="G6350">
        <v>2</v>
      </c>
      <c r="H6350">
        <v>91</v>
      </c>
      <c r="I6350" s="25">
        <v>3545</v>
      </c>
      <c r="K6350" t="s">
        <v>599</v>
      </c>
      <c r="L6350" t="s">
        <v>141</v>
      </c>
      <c r="M6350" t="s">
        <v>52</v>
      </c>
      <c r="N6350" t="s">
        <v>44</v>
      </c>
      <c r="O6350">
        <f>60+46</f>
        <v>106</v>
      </c>
      <c r="Q6350">
        <f t="shared" si="105"/>
        <v>2</v>
      </c>
      <c r="R6350">
        <v>1</v>
      </c>
      <c r="S6350">
        <v>0</v>
      </c>
      <c r="T6350">
        <v>0</v>
      </c>
      <c r="U6350">
        <v>0</v>
      </c>
      <c r="V6350">
        <v>0</v>
      </c>
      <c r="W6350">
        <v>2</v>
      </c>
      <c r="X6350" s="21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f t="shared" si="106"/>
        <v>192</v>
      </c>
      <c r="AP6350" t="s">
        <v>1915</v>
      </c>
    </row>
    <row r="6351" spans="1:42">
      <c r="A6351" s="1">
        <v>43805</v>
      </c>
      <c r="B6351">
        <v>5</v>
      </c>
      <c r="C6351">
        <v>989</v>
      </c>
      <c r="D6351">
        <v>10376</v>
      </c>
      <c r="E6351" t="s">
        <v>37</v>
      </c>
      <c r="F6351" t="s">
        <v>520</v>
      </c>
      <c r="G6351">
        <v>2</v>
      </c>
      <c r="H6351">
        <v>92</v>
      </c>
      <c r="I6351" s="25">
        <v>1700</v>
      </c>
      <c r="K6351" t="s">
        <v>1122</v>
      </c>
      <c r="M6351" t="s">
        <v>52</v>
      </c>
      <c r="N6351" t="s">
        <v>44</v>
      </c>
      <c r="O6351">
        <f>60+26</f>
        <v>86</v>
      </c>
      <c r="Q6351">
        <f t="shared" si="105"/>
        <v>2</v>
      </c>
      <c r="R6351">
        <v>1</v>
      </c>
      <c r="S6351">
        <v>0</v>
      </c>
      <c r="T6351">
        <v>0</v>
      </c>
      <c r="U6351">
        <v>0</v>
      </c>
      <c r="V6351">
        <v>0</v>
      </c>
      <c r="W6351">
        <v>2</v>
      </c>
      <c r="X6351" s="2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f t="shared" si="106"/>
        <v>192</v>
      </c>
      <c r="AP6351" t="s">
        <v>1915</v>
      </c>
    </row>
    <row r="6352" spans="1:42">
      <c r="A6352" s="1">
        <v>43805</v>
      </c>
      <c r="B6352">
        <v>5</v>
      </c>
      <c r="C6352">
        <v>989</v>
      </c>
      <c r="D6352">
        <v>10376</v>
      </c>
      <c r="E6352" t="s">
        <v>37</v>
      </c>
      <c r="F6352" t="s">
        <v>520</v>
      </c>
      <c r="G6352">
        <v>2</v>
      </c>
      <c r="H6352">
        <v>93</v>
      </c>
      <c r="I6352" s="25">
        <v>3344</v>
      </c>
      <c r="K6352" t="s">
        <v>909</v>
      </c>
      <c r="L6352" t="s">
        <v>114</v>
      </c>
      <c r="M6352" t="s">
        <v>95</v>
      </c>
      <c r="N6352" t="s">
        <v>44</v>
      </c>
      <c r="O6352">
        <f>60+60+60+60+60+13</f>
        <v>313</v>
      </c>
      <c r="Q6352">
        <f t="shared" si="105"/>
        <v>2</v>
      </c>
      <c r="R6352">
        <v>1</v>
      </c>
      <c r="S6352">
        <v>0</v>
      </c>
      <c r="T6352">
        <v>0</v>
      </c>
      <c r="U6352">
        <v>0</v>
      </c>
      <c r="V6352">
        <v>0</v>
      </c>
      <c r="W6352">
        <v>2</v>
      </c>
      <c r="X6352" s="21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f t="shared" si="106"/>
        <v>192</v>
      </c>
      <c r="AP6352" t="s">
        <v>1915</v>
      </c>
    </row>
    <row r="6353" spans="1:42">
      <c r="A6353" s="1">
        <v>43805</v>
      </c>
      <c r="B6353">
        <v>5</v>
      </c>
      <c r="C6353">
        <v>989</v>
      </c>
      <c r="D6353">
        <v>10376</v>
      </c>
      <c r="E6353" t="s">
        <v>37</v>
      </c>
      <c r="F6353" t="s">
        <v>520</v>
      </c>
      <c r="G6353">
        <v>2</v>
      </c>
      <c r="H6353">
        <v>94</v>
      </c>
      <c r="I6353" s="25">
        <v>2000</v>
      </c>
      <c r="K6353" t="s">
        <v>324</v>
      </c>
      <c r="M6353" t="s">
        <v>52</v>
      </c>
      <c r="N6353" t="s">
        <v>40</v>
      </c>
      <c r="O6353">
        <f>37+34</f>
        <v>71</v>
      </c>
      <c r="Q6353">
        <f t="shared" si="105"/>
        <v>2</v>
      </c>
      <c r="R6353">
        <v>1</v>
      </c>
      <c r="S6353">
        <v>0</v>
      </c>
      <c r="T6353">
        <v>0</v>
      </c>
      <c r="U6353">
        <v>1</v>
      </c>
      <c r="V6353">
        <v>0</v>
      </c>
      <c r="W6353">
        <v>1</v>
      </c>
      <c r="X6353" s="21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f t="shared" si="106"/>
        <v>128</v>
      </c>
      <c r="AP6353" t="s">
        <v>1915</v>
      </c>
    </row>
    <row r="6354" spans="1:42">
      <c r="A6354" s="1">
        <v>43805</v>
      </c>
      <c r="B6354">
        <v>5</v>
      </c>
      <c r="C6354">
        <v>989</v>
      </c>
      <c r="D6354">
        <v>10376</v>
      </c>
      <c r="E6354" t="s">
        <v>37</v>
      </c>
      <c r="F6354" t="s">
        <v>520</v>
      </c>
      <c r="G6354">
        <v>2</v>
      </c>
      <c r="H6354">
        <v>95</v>
      </c>
      <c r="I6354" s="25">
        <v>2000</v>
      </c>
      <c r="K6354" t="s">
        <v>324</v>
      </c>
      <c r="M6354" t="s">
        <v>52</v>
      </c>
      <c r="N6354" t="s">
        <v>40</v>
      </c>
      <c r="O6354">
        <f>60+8</f>
        <v>68</v>
      </c>
      <c r="Q6354">
        <f t="shared" si="105"/>
        <v>3</v>
      </c>
      <c r="R6354">
        <v>1</v>
      </c>
      <c r="S6354">
        <v>0</v>
      </c>
      <c r="T6354">
        <v>0</v>
      </c>
      <c r="U6354">
        <v>0</v>
      </c>
      <c r="V6354">
        <v>3</v>
      </c>
      <c r="W6354">
        <v>0</v>
      </c>
      <c r="X6354" s="21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f t="shared" si="106"/>
        <v>192</v>
      </c>
      <c r="AP6354" t="s">
        <v>1915</v>
      </c>
    </row>
    <row r="6355" spans="1:42">
      <c r="A6355" s="1">
        <v>43805</v>
      </c>
      <c r="B6355">
        <v>5</v>
      </c>
      <c r="C6355">
        <v>989</v>
      </c>
      <c r="D6355">
        <v>10376</v>
      </c>
      <c r="E6355" t="s">
        <v>37</v>
      </c>
      <c r="F6355" t="s">
        <v>520</v>
      </c>
      <c r="G6355">
        <v>2</v>
      </c>
      <c r="H6355">
        <v>96</v>
      </c>
      <c r="I6355" s="25">
        <v>2000</v>
      </c>
      <c r="K6355" t="s">
        <v>324</v>
      </c>
      <c r="M6355" t="s">
        <v>52</v>
      </c>
      <c r="N6355" t="s">
        <v>40</v>
      </c>
      <c r="O6355">
        <v>58</v>
      </c>
      <c r="Q6355">
        <f t="shared" si="105"/>
        <v>2</v>
      </c>
      <c r="R6355">
        <v>1</v>
      </c>
      <c r="S6355">
        <v>0</v>
      </c>
      <c r="T6355">
        <v>0</v>
      </c>
      <c r="U6355">
        <v>0</v>
      </c>
      <c r="V6355">
        <v>0</v>
      </c>
      <c r="W6355">
        <v>2</v>
      </c>
      <c r="X6355" s="21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f t="shared" si="106"/>
        <v>192</v>
      </c>
      <c r="AP6355" t="s">
        <v>1915</v>
      </c>
    </row>
    <row r="6356" spans="1:42">
      <c r="A6356" s="1">
        <v>43805</v>
      </c>
      <c r="B6356">
        <v>5</v>
      </c>
      <c r="C6356">
        <v>989</v>
      </c>
      <c r="D6356">
        <v>10376</v>
      </c>
      <c r="E6356" t="s">
        <v>37</v>
      </c>
      <c r="F6356" t="s">
        <v>520</v>
      </c>
      <c r="G6356">
        <v>2</v>
      </c>
      <c r="H6356">
        <v>97</v>
      </c>
      <c r="I6356" s="25">
        <v>2100</v>
      </c>
      <c r="K6356" t="s">
        <v>324</v>
      </c>
      <c r="L6356" t="s">
        <v>114</v>
      </c>
      <c r="M6356" t="s">
        <v>52</v>
      </c>
      <c r="N6356" t="s">
        <v>40</v>
      </c>
      <c r="O6356">
        <f>60+49</f>
        <v>109</v>
      </c>
      <c r="Q6356">
        <f t="shared" si="105"/>
        <v>4</v>
      </c>
      <c r="R6356">
        <v>1</v>
      </c>
      <c r="S6356">
        <v>0</v>
      </c>
      <c r="T6356">
        <v>0</v>
      </c>
      <c r="U6356">
        <v>1</v>
      </c>
      <c r="V6356">
        <v>3</v>
      </c>
      <c r="W6356">
        <v>0</v>
      </c>
      <c r="X6356" s="21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f t="shared" si="106"/>
        <v>224</v>
      </c>
      <c r="AP6356" t="s">
        <v>1915</v>
      </c>
    </row>
    <row r="6357" spans="1:42">
      <c r="A6357" s="1">
        <v>43805</v>
      </c>
      <c r="B6357">
        <v>5</v>
      </c>
      <c r="C6357">
        <v>989</v>
      </c>
      <c r="D6357">
        <v>10376</v>
      </c>
      <c r="E6357" t="s">
        <v>37</v>
      </c>
      <c r="F6357" t="s">
        <v>520</v>
      </c>
      <c r="G6357">
        <v>2</v>
      </c>
      <c r="H6357">
        <v>98</v>
      </c>
      <c r="I6357" s="25">
        <v>2100</v>
      </c>
      <c r="K6357" t="s">
        <v>324</v>
      </c>
      <c r="L6357" t="s">
        <v>114</v>
      </c>
      <c r="M6357" t="s">
        <v>52</v>
      </c>
      <c r="N6357" t="s">
        <v>40</v>
      </c>
      <c r="O6357">
        <f>60+25+50</f>
        <v>135</v>
      </c>
      <c r="Q6357">
        <f t="shared" si="105"/>
        <v>3</v>
      </c>
      <c r="R6357">
        <v>1</v>
      </c>
      <c r="S6357">
        <v>0</v>
      </c>
      <c r="T6357">
        <v>0</v>
      </c>
      <c r="U6357">
        <v>0</v>
      </c>
      <c r="V6357">
        <v>2</v>
      </c>
      <c r="W6357">
        <v>1</v>
      </c>
      <c r="X6357" s="21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1</v>
      </c>
      <c r="AG6357">
        <v>0</v>
      </c>
      <c r="AH6357">
        <f t="shared" si="106"/>
        <v>224</v>
      </c>
      <c r="AP6357" t="s">
        <v>1915</v>
      </c>
    </row>
    <row r="6358" spans="1:42">
      <c r="A6358" s="1">
        <v>43805</v>
      </c>
      <c r="B6358">
        <v>5</v>
      </c>
      <c r="C6358">
        <v>989</v>
      </c>
      <c r="D6358">
        <v>10376</v>
      </c>
      <c r="E6358" t="s">
        <v>37</v>
      </c>
      <c r="F6358" t="s">
        <v>520</v>
      </c>
      <c r="G6358">
        <v>2</v>
      </c>
      <c r="H6358">
        <v>99</v>
      </c>
      <c r="I6358" s="25">
        <v>2100</v>
      </c>
      <c r="K6358" t="s">
        <v>324</v>
      </c>
      <c r="L6358" t="s">
        <v>114</v>
      </c>
      <c r="M6358" t="s">
        <v>52</v>
      </c>
      <c r="N6358" t="s">
        <v>40</v>
      </c>
      <c r="O6358">
        <f>60+2</f>
        <v>62</v>
      </c>
      <c r="Q6358">
        <f t="shared" si="105"/>
        <v>1</v>
      </c>
      <c r="R6358">
        <v>1</v>
      </c>
      <c r="S6358">
        <v>0</v>
      </c>
      <c r="T6358">
        <v>0</v>
      </c>
      <c r="U6358">
        <v>1</v>
      </c>
      <c r="V6358">
        <v>0</v>
      </c>
      <c r="W6358">
        <v>0</v>
      </c>
      <c r="X6358" s="21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1</v>
      </c>
      <c r="AG6358">
        <v>0</v>
      </c>
      <c r="AH6358">
        <f t="shared" si="106"/>
        <v>32</v>
      </c>
      <c r="AP6358" t="s">
        <v>1915</v>
      </c>
    </row>
    <row r="6359" spans="1:42">
      <c r="A6359" s="1">
        <v>43805</v>
      </c>
      <c r="B6359">
        <v>5</v>
      </c>
      <c r="C6359">
        <v>989</v>
      </c>
      <c r="D6359">
        <v>10376</v>
      </c>
      <c r="E6359" t="s">
        <v>37</v>
      </c>
      <c r="F6359" t="s">
        <v>520</v>
      </c>
      <c r="G6359">
        <v>2</v>
      </c>
      <c r="H6359">
        <v>100</v>
      </c>
      <c r="I6359" s="25">
        <v>2100</v>
      </c>
      <c r="K6359" t="s">
        <v>324</v>
      </c>
      <c r="L6359" t="s">
        <v>141</v>
      </c>
      <c r="M6359" t="s">
        <v>52</v>
      </c>
      <c r="N6359" t="s">
        <v>40</v>
      </c>
      <c r="O6359">
        <v>60</v>
      </c>
      <c r="Q6359">
        <f t="shared" si="105"/>
        <v>1</v>
      </c>
      <c r="R6359">
        <v>1</v>
      </c>
      <c r="S6359">
        <v>0</v>
      </c>
      <c r="T6359">
        <v>0</v>
      </c>
      <c r="U6359">
        <v>0</v>
      </c>
      <c r="V6359">
        <v>0</v>
      </c>
      <c r="W6359">
        <v>1</v>
      </c>
      <c r="X6359" s="21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1</v>
      </c>
      <c r="AG6359">
        <v>0</v>
      </c>
      <c r="AH6359">
        <f t="shared" si="106"/>
        <v>96</v>
      </c>
      <c r="AP6359" t="s">
        <v>1915</v>
      </c>
    </row>
    <row r="6360" spans="1:42">
      <c r="A6360" s="1">
        <v>43805</v>
      </c>
      <c r="B6360">
        <v>5</v>
      </c>
      <c r="C6360">
        <v>989</v>
      </c>
      <c r="D6360">
        <v>10376</v>
      </c>
      <c r="E6360" t="s">
        <v>37</v>
      </c>
      <c r="F6360" t="s">
        <v>520</v>
      </c>
      <c r="G6360">
        <v>2</v>
      </c>
      <c r="H6360">
        <v>101</v>
      </c>
      <c r="I6360" s="25">
        <v>2100</v>
      </c>
      <c r="K6360" t="s">
        <v>324</v>
      </c>
      <c r="L6360" t="s">
        <v>141</v>
      </c>
      <c r="M6360" t="s">
        <v>52</v>
      </c>
      <c r="N6360" t="s">
        <v>40</v>
      </c>
      <c r="O6360">
        <v>59</v>
      </c>
      <c r="Q6360">
        <f t="shared" si="105"/>
        <v>2</v>
      </c>
      <c r="R6360">
        <v>1</v>
      </c>
      <c r="S6360">
        <v>0</v>
      </c>
      <c r="T6360">
        <v>0</v>
      </c>
      <c r="U6360">
        <v>0</v>
      </c>
      <c r="V6360">
        <v>0</v>
      </c>
      <c r="W6360">
        <v>2</v>
      </c>
      <c r="X6360" s="21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f t="shared" si="106"/>
        <v>192</v>
      </c>
      <c r="AP6360" t="s">
        <v>1915</v>
      </c>
    </row>
    <row r="6361" spans="1:42">
      <c r="A6361" s="1">
        <v>43805</v>
      </c>
      <c r="B6361">
        <v>5</v>
      </c>
      <c r="C6361">
        <v>989</v>
      </c>
      <c r="D6361">
        <v>10376</v>
      </c>
      <c r="E6361" t="s">
        <v>37</v>
      </c>
      <c r="F6361" t="s">
        <v>520</v>
      </c>
      <c r="G6361">
        <v>2</v>
      </c>
      <c r="H6361">
        <v>102</v>
      </c>
      <c r="I6361" s="25">
        <v>2100</v>
      </c>
      <c r="K6361" t="s">
        <v>324</v>
      </c>
      <c r="L6361" t="s">
        <v>141</v>
      </c>
      <c r="M6361" t="s">
        <v>52</v>
      </c>
      <c r="N6361" t="s">
        <v>40</v>
      </c>
      <c r="O6361">
        <f>60+47</f>
        <v>107</v>
      </c>
      <c r="Q6361">
        <f t="shared" si="105"/>
        <v>4</v>
      </c>
      <c r="R6361">
        <v>1</v>
      </c>
      <c r="S6361">
        <v>0</v>
      </c>
      <c r="T6361">
        <v>0</v>
      </c>
      <c r="U6361">
        <v>1</v>
      </c>
      <c r="V6361">
        <v>0</v>
      </c>
      <c r="W6361">
        <v>3</v>
      </c>
      <c r="X6361" s="2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f t="shared" si="106"/>
        <v>320</v>
      </c>
      <c r="AP6361" t="s">
        <v>1915</v>
      </c>
    </row>
    <row r="6362" spans="1:42">
      <c r="A6362" s="1">
        <v>43805</v>
      </c>
      <c r="B6362">
        <v>5</v>
      </c>
      <c r="C6362">
        <v>989</v>
      </c>
      <c r="D6362">
        <v>10376</v>
      </c>
      <c r="E6362" t="s">
        <v>37</v>
      </c>
      <c r="F6362" t="s">
        <v>520</v>
      </c>
      <c r="G6362">
        <v>2</v>
      </c>
      <c r="H6362">
        <v>103</v>
      </c>
      <c r="I6362" s="25">
        <v>2100</v>
      </c>
      <c r="K6362" t="s">
        <v>324</v>
      </c>
      <c r="L6362" t="s">
        <v>141</v>
      </c>
      <c r="M6362" t="s">
        <v>52</v>
      </c>
      <c r="N6362" t="s">
        <v>40</v>
      </c>
      <c r="O6362">
        <v>35</v>
      </c>
      <c r="Q6362">
        <f t="shared" si="105"/>
        <v>1</v>
      </c>
      <c r="R6362">
        <v>1</v>
      </c>
      <c r="S6362">
        <v>0</v>
      </c>
      <c r="T6362">
        <v>0</v>
      </c>
      <c r="U6362">
        <v>0</v>
      </c>
      <c r="V6362">
        <v>1</v>
      </c>
      <c r="W6362">
        <v>0</v>
      </c>
      <c r="X6362" s="21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f t="shared" si="106"/>
        <v>64</v>
      </c>
      <c r="AP6362" t="s">
        <v>1915</v>
      </c>
    </row>
    <row r="6363" spans="1:42">
      <c r="A6363" s="1">
        <v>43805</v>
      </c>
      <c r="B6363">
        <v>5</v>
      </c>
      <c r="C6363">
        <v>989</v>
      </c>
      <c r="D6363">
        <v>10376</v>
      </c>
      <c r="E6363" t="s">
        <v>37</v>
      </c>
      <c r="F6363" t="s">
        <v>520</v>
      </c>
      <c r="G6363">
        <v>2</v>
      </c>
      <c r="H6363">
        <v>104</v>
      </c>
      <c r="I6363" s="25">
        <v>3300</v>
      </c>
      <c r="K6363" t="s">
        <v>113</v>
      </c>
      <c r="L6363" t="s">
        <v>141</v>
      </c>
      <c r="M6363" t="s">
        <v>52</v>
      </c>
      <c r="N6363" t="s">
        <v>40</v>
      </c>
      <c r="O6363">
        <f>51+52</f>
        <v>103</v>
      </c>
      <c r="Q6363">
        <f t="shared" si="105"/>
        <v>3</v>
      </c>
      <c r="R6363">
        <v>1</v>
      </c>
      <c r="S6363">
        <v>0</v>
      </c>
      <c r="T6363">
        <v>0</v>
      </c>
      <c r="U6363">
        <v>0</v>
      </c>
      <c r="V6363">
        <v>1</v>
      </c>
      <c r="W6363">
        <v>2</v>
      </c>
      <c r="X6363" s="21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f t="shared" si="106"/>
        <v>256</v>
      </c>
      <c r="AP6363" t="s">
        <v>1915</v>
      </c>
    </row>
    <row r="6364" spans="1:42">
      <c r="A6364" s="1">
        <v>43805</v>
      </c>
      <c r="B6364">
        <v>5</v>
      </c>
      <c r="C6364">
        <v>989</v>
      </c>
      <c r="D6364">
        <v>10376</v>
      </c>
      <c r="E6364" t="s">
        <v>37</v>
      </c>
      <c r="F6364" t="s">
        <v>520</v>
      </c>
      <c r="G6364">
        <v>2</v>
      </c>
      <c r="H6364">
        <v>105</v>
      </c>
      <c r="I6364" s="25">
        <v>3325</v>
      </c>
      <c r="K6364" t="s">
        <v>113</v>
      </c>
      <c r="L6364" t="s">
        <v>141</v>
      </c>
      <c r="M6364" t="s">
        <v>95</v>
      </c>
      <c r="N6364" t="s">
        <v>44</v>
      </c>
      <c r="O6364">
        <f>60+60+25</f>
        <v>145</v>
      </c>
      <c r="Q6364">
        <f t="shared" si="105"/>
        <v>1</v>
      </c>
      <c r="R6364">
        <v>1</v>
      </c>
      <c r="S6364">
        <v>0</v>
      </c>
      <c r="T6364">
        <v>0</v>
      </c>
      <c r="U6364">
        <v>0</v>
      </c>
      <c r="V6364">
        <v>0</v>
      </c>
      <c r="W6364">
        <v>1</v>
      </c>
      <c r="X6364" s="21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f t="shared" si="106"/>
        <v>96</v>
      </c>
      <c r="AP6364" t="s">
        <v>1915</v>
      </c>
    </row>
    <row r="6365" spans="1:42">
      <c r="A6365" s="1">
        <v>43805</v>
      </c>
      <c r="B6365">
        <v>5</v>
      </c>
      <c r="C6365">
        <v>989</v>
      </c>
      <c r="D6365">
        <v>10376</v>
      </c>
      <c r="E6365" t="s">
        <v>37</v>
      </c>
      <c r="F6365" t="s">
        <v>520</v>
      </c>
      <c r="G6365">
        <v>2</v>
      </c>
      <c r="H6365">
        <v>106</v>
      </c>
      <c r="I6365" s="25">
        <v>3300</v>
      </c>
      <c r="K6365" t="s">
        <v>113</v>
      </c>
      <c r="M6365" t="s">
        <v>52</v>
      </c>
      <c r="N6365" t="s">
        <v>40</v>
      </c>
      <c r="O6365">
        <v>48</v>
      </c>
      <c r="Q6365">
        <f t="shared" si="105"/>
        <v>2</v>
      </c>
      <c r="R6365">
        <v>1</v>
      </c>
      <c r="S6365">
        <v>0</v>
      </c>
      <c r="T6365">
        <v>0</v>
      </c>
      <c r="U6365">
        <v>0</v>
      </c>
      <c r="V6365">
        <v>1</v>
      </c>
      <c r="W6365">
        <v>1</v>
      </c>
      <c r="X6365" s="21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f t="shared" si="106"/>
        <v>160</v>
      </c>
      <c r="AP6365" t="s">
        <v>1915</v>
      </c>
    </row>
    <row r="6366" spans="1:42">
      <c r="A6366" s="1">
        <v>43805</v>
      </c>
      <c r="B6366">
        <v>5</v>
      </c>
      <c r="C6366">
        <v>989</v>
      </c>
      <c r="D6366">
        <v>10376</v>
      </c>
      <c r="E6366" t="s">
        <v>37</v>
      </c>
      <c r="F6366" t="s">
        <v>520</v>
      </c>
      <c r="G6366">
        <v>2</v>
      </c>
      <c r="H6366">
        <v>107</v>
      </c>
      <c r="I6366" s="25">
        <v>3315</v>
      </c>
      <c r="K6366" t="s">
        <v>113</v>
      </c>
      <c r="L6366" t="s">
        <v>141</v>
      </c>
      <c r="M6366" t="s">
        <v>52</v>
      </c>
      <c r="N6366" t="s">
        <v>44</v>
      </c>
      <c r="O6366">
        <f>60+60+41</f>
        <v>161</v>
      </c>
      <c r="Q6366">
        <f t="shared" si="105"/>
        <v>1</v>
      </c>
      <c r="R6366">
        <v>1</v>
      </c>
      <c r="S6366">
        <v>0</v>
      </c>
      <c r="T6366">
        <v>0</v>
      </c>
      <c r="U6366">
        <v>0</v>
      </c>
      <c r="V6366">
        <v>0</v>
      </c>
      <c r="W6366">
        <v>1</v>
      </c>
      <c r="X6366" s="21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f t="shared" si="106"/>
        <v>96</v>
      </c>
      <c r="AP6366" t="s">
        <v>1915</v>
      </c>
    </row>
    <row r="6367" spans="1:42">
      <c r="A6367" s="1">
        <v>43805</v>
      </c>
      <c r="B6367">
        <v>5</v>
      </c>
      <c r="C6367">
        <v>989</v>
      </c>
      <c r="D6367">
        <v>10376</v>
      </c>
      <c r="E6367" t="s">
        <v>37</v>
      </c>
      <c r="F6367" t="s">
        <v>520</v>
      </c>
      <c r="G6367">
        <v>2</v>
      </c>
      <c r="H6367">
        <v>108</v>
      </c>
      <c r="I6367" s="25">
        <v>2200</v>
      </c>
      <c r="K6367" t="s">
        <v>210</v>
      </c>
      <c r="L6367" t="s">
        <v>114</v>
      </c>
      <c r="M6367" t="s">
        <v>95</v>
      </c>
      <c r="N6367" t="s">
        <v>40</v>
      </c>
      <c r="O6367">
        <f>60+43</f>
        <v>103</v>
      </c>
      <c r="Q6367">
        <f t="shared" si="105"/>
        <v>1</v>
      </c>
      <c r="R6367">
        <v>1</v>
      </c>
      <c r="S6367">
        <v>0</v>
      </c>
      <c r="T6367">
        <v>0</v>
      </c>
      <c r="U6367">
        <v>0</v>
      </c>
      <c r="V6367">
        <v>1</v>
      </c>
      <c r="W6367">
        <v>0</v>
      </c>
      <c r="X6367" s="21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5</v>
      </c>
      <c r="AG6367">
        <v>0</v>
      </c>
      <c r="AH6367">
        <f t="shared" si="106"/>
        <v>64</v>
      </c>
      <c r="AP6367" t="s">
        <v>1915</v>
      </c>
    </row>
    <row r="6368" spans="1:42">
      <c r="A6368" s="1">
        <v>43805</v>
      </c>
      <c r="B6368">
        <v>5</v>
      </c>
      <c r="C6368">
        <v>989</v>
      </c>
      <c r="D6368">
        <v>10376</v>
      </c>
      <c r="E6368" t="s">
        <v>37</v>
      </c>
      <c r="F6368" t="s">
        <v>520</v>
      </c>
      <c r="G6368">
        <v>2</v>
      </c>
      <c r="H6368">
        <v>109</v>
      </c>
      <c r="I6368" s="25">
        <v>2240</v>
      </c>
      <c r="K6368" t="s">
        <v>210</v>
      </c>
      <c r="L6368" t="s">
        <v>114</v>
      </c>
      <c r="M6368" t="s">
        <v>52</v>
      </c>
      <c r="N6368" t="s">
        <v>44</v>
      </c>
      <c r="O6368">
        <f>60+60+5</f>
        <v>125</v>
      </c>
      <c r="Q6368">
        <f t="shared" si="105"/>
        <v>1</v>
      </c>
      <c r="R6368">
        <v>1</v>
      </c>
      <c r="S6368">
        <v>0</v>
      </c>
      <c r="T6368">
        <v>0</v>
      </c>
      <c r="U6368">
        <v>0</v>
      </c>
      <c r="V6368">
        <v>0</v>
      </c>
      <c r="W6368">
        <v>1</v>
      </c>
      <c r="X6368" s="21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f t="shared" si="106"/>
        <v>96</v>
      </c>
      <c r="AL6368" t="s">
        <v>1957</v>
      </c>
      <c r="AP6368" t="s">
        <v>1915</v>
      </c>
    </row>
    <row r="6369" spans="1:42">
      <c r="A6369" s="1">
        <v>43805</v>
      </c>
      <c r="B6369">
        <v>5</v>
      </c>
      <c r="C6369">
        <v>989</v>
      </c>
      <c r="D6369">
        <v>10376</v>
      </c>
      <c r="E6369" t="s">
        <v>37</v>
      </c>
      <c r="F6369" t="s">
        <v>520</v>
      </c>
      <c r="G6369">
        <v>2</v>
      </c>
      <c r="H6369">
        <v>110</v>
      </c>
      <c r="I6369" s="25">
        <v>2200</v>
      </c>
      <c r="K6369" t="s">
        <v>210</v>
      </c>
      <c r="M6369" t="s">
        <v>52</v>
      </c>
      <c r="N6369" t="s">
        <v>40</v>
      </c>
      <c r="O6369">
        <f>60+60+14</f>
        <v>134</v>
      </c>
      <c r="Q6369">
        <f t="shared" si="105"/>
        <v>4</v>
      </c>
      <c r="R6369">
        <v>1</v>
      </c>
      <c r="S6369">
        <v>0</v>
      </c>
      <c r="T6369">
        <v>0</v>
      </c>
      <c r="U6369">
        <v>0</v>
      </c>
      <c r="V6369">
        <v>1</v>
      </c>
      <c r="W6369">
        <v>3</v>
      </c>
      <c r="X6369" s="21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f t="shared" si="106"/>
        <v>352</v>
      </c>
      <c r="AP6369" t="s">
        <v>1915</v>
      </c>
    </row>
    <row r="6370" spans="1:42">
      <c r="A6370" s="1">
        <v>43805</v>
      </c>
      <c r="B6370">
        <v>5</v>
      </c>
      <c r="C6370">
        <v>989</v>
      </c>
      <c r="D6370">
        <v>10376</v>
      </c>
      <c r="E6370" t="s">
        <v>37</v>
      </c>
      <c r="F6370" t="s">
        <v>520</v>
      </c>
      <c r="G6370">
        <v>2</v>
      </c>
      <c r="H6370">
        <v>111</v>
      </c>
      <c r="I6370" s="25">
        <v>2000</v>
      </c>
      <c r="K6370" t="s">
        <v>324</v>
      </c>
      <c r="L6370" t="s">
        <v>141</v>
      </c>
      <c r="M6370" t="s">
        <v>52</v>
      </c>
      <c r="N6370" t="s">
        <v>40</v>
      </c>
      <c r="O6370">
        <f>60+16</f>
        <v>76</v>
      </c>
      <c r="Q6370">
        <f t="shared" si="105"/>
        <v>2</v>
      </c>
      <c r="R6370">
        <v>1</v>
      </c>
      <c r="S6370">
        <v>0</v>
      </c>
      <c r="T6370">
        <v>0</v>
      </c>
      <c r="U6370">
        <v>1</v>
      </c>
      <c r="V6370">
        <v>0</v>
      </c>
      <c r="W6370">
        <v>1</v>
      </c>
      <c r="X6370" s="21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1</v>
      </c>
      <c r="AG6370">
        <v>0</v>
      </c>
      <c r="AH6370">
        <f t="shared" si="106"/>
        <v>128</v>
      </c>
      <c r="AP6370" t="s">
        <v>1915</v>
      </c>
    </row>
    <row r="6371" spans="1:42">
      <c r="A6371" s="1">
        <v>43805</v>
      </c>
      <c r="B6371">
        <v>5</v>
      </c>
      <c r="C6371">
        <v>989</v>
      </c>
      <c r="D6371">
        <v>10376</v>
      </c>
      <c r="E6371" t="s">
        <v>37</v>
      </c>
      <c r="F6371" t="s">
        <v>520</v>
      </c>
      <c r="G6371">
        <v>2</v>
      </c>
      <c r="H6371">
        <v>112</v>
      </c>
      <c r="I6371" s="25">
        <v>2000</v>
      </c>
      <c r="K6371" t="s">
        <v>324</v>
      </c>
      <c r="L6371" t="s">
        <v>141</v>
      </c>
      <c r="M6371" t="s">
        <v>52</v>
      </c>
      <c r="N6371" t="s">
        <v>40</v>
      </c>
      <c r="O6371">
        <v>51</v>
      </c>
      <c r="Q6371">
        <f t="shared" si="105"/>
        <v>2</v>
      </c>
      <c r="R6371">
        <v>1</v>
      </c>
      <c r="S6371">
        <v>0</v>
      </c>
      <c r="T6371">
        <v>0</v>
      </c>
      <c r="U6371">
        <v>0</v>
      </c>
      <c r="V6371">
        <v>2</v>
      </c>
      <c r="W6371">
        <v>0</v>
      </c>
      <c r="X6371" s="2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f t="shared" si="106"/>
        <v>128</v>
      </c>
      <c r="AP6371" t="s">
        <v>1915</v>
      </c>
    </row>
    <row r="6372" spans="1:42">
      <c r="A6372" s="1">
        <v>43805</v>
      </c>
      <c r="B6372">
        <v>5</v>
      </c>
      <c r="C6372">
        <v>989</v>
      </c>
      <c r="D6372">
        <v>10376</v>
      </c>
      <c r="E6372" t="s">
        <v>37</v>
      </c>
      <c r="F6372" t="s">
        <v>520</v>
      </c>
      <c r="G6372">
        <v>2</v>
      </c>
      <c r="H6372">
        <v>113</v>
      </c>
      <c r="I6372" s="25">
        <v>2000</v>
      </c>
      <c r="K6372" t="s">
        <v>324</v>
      </c>
      <c r="L6372" t="s">
        <v>141</v>
      </c>
      <c r="M6372" t="s">
        <v>52</v>
      </c>
      <c r="N6372" t="s">
        <v>40</v>
      </c>
      <c r="O6372">
        <f>60+37</f>
        <v>97</v>
      </c>
      <c r="Q6372">
        <f t="shared" si="105"/>
        <v>4</v>
      </c>
      <c r="R6372">
        <v>1</v>
      </c>
      <c r="S6372">
        <v>0</v>
      </c>
      <c r="T6372">
        <v>0</v>
      </c>
      <c r="U6372">
        <v>0</v>
      </c>
      <c r="V6372">
        <v>4</v>
      </c>
      <c r="W6372">
        <v>0</v>
      </c>
      <c r="X6372" s="21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f t="shared" si="106"/>
        <v>256</v>
      </c>
      <c r="AP6372" t="s">
        <v>1915</v>
      </c>
    </row>
    <row r="6373" spans="1:42">
      <c r="A6373" s="1">
        <v>43805</v>
      </c>
      <c r="B6373">
        <v>5</v>
      </c>
      <c r="C6373">
        <v>989</v>
      </c>
      <c r="D6373">
        <v>10376</v>
      </c>
      <c r="E6373" t="s">
        <v>37</v>
      </c>
      <c r="F6373" t="s">
        <v>520</v>
      </c>
      <c r="G6373">
        <v>2</v>
      </c>
      <c r="H6373">
        <v>114</v>
      </c>
      <c r="I6373" s="25">
        <v>3300</v>
      </c>
      <c r="K6373" t="s">
        <v>909</v>
      </c>
      <c r="L6373" t="s">
        <v>141</v>
      </c>
      <c r="M6373" t="s">
        <v>52</v>
      </c>
      <c r="N6373" t="s">
        <v>40</v>
      </c>
      <c r="O6373">
        <v>59</v>
      </c>
      <c r="Q6373">
        <f t="shared" si="105"/>
        <v>2</v>
      </c>
      <c r="R6373">
        <v>1</v>
      </c>
      <c r="S6373">
        <v>0</v>
      </c>
      <c r="T6373">
        <v>0</v>
      </c>
      <c r="U6373">
        <v>0</v>
      </c>
      <c r="V6373">
        <v>2</v>
      </c>
      <c r="W6373">
        <v>0</v>
      </c>
      <c r="X6373" s="21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f t="shared" si="106"/>
        <v>128</v>
      </c>
      <c r="AP6373" t="s">
        <v>1915</v>
      </c>
    </row>
    <row r="6374" spans="1:42">
      <c r="A6374" s="1">
        <v>43805</v>
      </c>
      <c r="B6374">
        <v>5</v>
      </c>
      <c r="C6374">
        <v>989</v>
      </c>
      <c r="D6374">
        <v>10376</v>
      </c>
      <c r="E6374" t="s">
        <v>37</v>
      </c>
      <c r="F6374" t="s">
        <v>520</v>
      </c>
      <c r="G6374">
        <v>2</v>
      </c>
      <c r="H6374">
        <v>115</v>
      </c>
      <c r="I6374" s="25">
        <v>3345</v>
      </c>
      <c r="K6374" t="s">
        <v>909</v>
      </c>
      <c r="L6374" t="s">
        <v>141</v>
      </c>
      <c r="M6374" t="s">
        <v>52</v>
      </c>
      <c r="N6374" t="s">
        <v>44</v>
      </c>
      <c r="O6374">
        <f>60+14</f>
        <v>74</v>
      </c>
      <c r="Q6374">
        <f t="shared" si="105"/>
        <v>1</v>
      </c>
      <c r="R6374">
        <v>1</v>
      </c>
      <c r="S6374">
        <v>0</v>
      </c>
      <c r="T6374">
        <v>0</v>
      </c>
      <c r="U6374">
        <v>0</v>
      </c>
      <c r="V6374">
        <v>0</v>
      </c>
      <c r="W6374">
        <v>1</v>
      </c>
      <c r="X6374" s="21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f t="shared" si="106"/>
        <v>96</v>
      </c>
      <c r="AL6374" t="s">
        <v>587</v>
      </c>
      <c r="AP6374" t="s">
        <v>1915</v>
      </c>
    </row>
    <row r="6375" spans="1:42">
      <c r="A6375" s="1">
        <v>43805</v>
      </c>
      <c r="B6375">
        <v>5</v>
      </c>
      <c r="C6375">
        <v>989</v>
      </c>
      <c r="D6375">
        <v>10376</v>
      </c>
      <c r="E6375" t="s">
        <v>37</v>
      </c>
      <c r="F6375" t="s">
        <v>520</v>
      </c>
      <c r="G6375">
        <v>2</v>
      </c>
      <c r="H6375">
        <v>116</v>
      </c>
      <c r="I6375" s="25">
        <v>2100</v>
      </c>
      <c r="K6375" t="s">
        <v>210</v>
      </c>
      <c r="M6375" t="s">
        <v>52</v>
      </c>
      <c r="N6375" t="s">
        <v>40</v>
      </c>
      <c r="O6375">
        <v>42</v>
      </c>
      <c r="Q6375">
        <f t="shared" si="105"/>
        <v>1</v>
      </c>
      <c r="R6375">
        <v>1</v>
      </c>
      <c r="S6375">
        <v>0</v>
      </c>
      <c r="T6375">
        <v>0</v>
      </c>
      <c r="U6375">
        <v>0</v>
      </c>
      <c r="V6375">
        <v>0</v>
      </c>
      <c r="W6375">
        <v>1</v>
      </c>
      <c r="X6375" s="21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f t="shared" si="106"/>
        <v>96</v>
      </c>
      <c r="AP6375" t="s">
        <v>1915</v>
      </c>
    </row>
    <row r="6376" spans="1:42">
      <c r="A6376" s="1">
        <v>43805</v>
      </c>
      <c r="B6376">
        <v>5</v>
      </c>
      <c r="C6376">
        <v>989</v>
      </c>
      <c r="D6376">
        <v>10376</v>
      </c>
      <c r="E6376" t="s">
        <v>37</v>
      </c>
      <c r="F6376" t="s">
        <v>520</v>
      </c>
      <c r="G6376">
        <v>2</v>
      </c>
      <c r="H6376">
        <v>117</v>
      </c>
      <c r="I6376" s="25">
        <v>3300</v>
      </c>
      <c r="K6376" t="s">
        <v>113</v>
      </c>
      <c r="L6376" t="s">
        <v>114</v>
      </c>
      <c r="M6376" t="s">
        <v>52</v>
      </c>
      <c r="N6376" t="s">
        <v>40</v>
      </c>
      <c r="O6376">
        <v>44</v>
      </c>
      <c r="Q6376">
        <f t="shared" si="105"/>
        <v>2</v>
      </c>
      <c r="R6376">
        <v>1</v>
      </c>
      <c r="S6376">
        <v>0</v>
      </c>
      <c r="T6376">
        <v>0</v>
      </c>
      <c r="U6376">
        <v>2</v>
      </c>
      <c r="V6376">
        <v>0</v>
      </c>
      <c r="W6376">
        <v>0</v>
      </c>
      <c r="X6376" s="21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f t="shared" si="106"/>
        <v>64</v>
      </c>
      <c r="AP6376" t="s">
        <v>1915</v>
      </c>
    </row>
    <row r="6377" spans="1:42">
      <c r="A6377" s="1">
        <v>43805</v>
      </c>
      <c r="B6377">
        <v>5</v>
      </c>
      <c r="C6377">
        <v>989</v>
      </c>
      <c r="D6377">
        <v>10376</v>
      </c>
      <c r="E6377" t="s">
        <v>37</v>
      </c>
      <c r="F6377" t="s">
        <v>520</v>
      </c>
      <c r="G6377">
        <v>2</v>
      </c>
      <c r="H6377">
        <v>118</v>
      </c>
      <c r="I6377" s="25">
        <v>3300</v>
      </c>
      <c r="K6377" t="s">
        <v>113</v>
      </c>
      <c r="L6377" t="s">
        <v>114</v>
      </c>
      <c r="M6377" t="s">
        <v>52</v>
      </c>
      <c r="N6377" t="s">
        <v>40</v>
      </c>
      <c r="O6377">
        <v>59</v>
      </c>
      <c r="Q6377">
        <f t="shared" si="105"/>
        <v>2</v>
      </c>
      <c r="R6377">
        <v>1</v>
      </c>
      <c r="S6377">
        <v>0</v>
      </c>
      <c r="T6377">
        <v>0</v>
      </c>
      <c r="U6377">
        <v>0</v>
      </c>
      <c r="V6377">
        <v>1</v>
      </c>
      <c r="W6377">
        <v>1</v>
      </c>
      <c r="X6377" s="21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f t="shared" si="106"/>
        <v>160</v>
      </c>
      <c r="AP6377" t="s">
        <v>1915</v>
      </c>
    </row>
    <row r="6378" spans="1:42">
      <c r="A6378" s="1">
        <v>43805</v>
      </c>
      <c r="B6378">
        <v>5</v>
      </c>
      <c r="C6378">
        <v>989</v>
      </c>
      <c r="D6378">
        <v>10376</v>
      </c>
      <c r="E6378" t="s">
        <v>37</v>
      </c>
      <c r="F6378" t="s">
        <v>520</v>
      </c>
      <c r="G6378">
        <v>2</v>
      </c>
      <c r="H6378">
        <v>119</v>
      </c>
      <c r="I6378" s="25">
        <v>3300</v>
      </c>
      <c r="K6378" t="s">
        <v>113</v>
      </c>
      <c r="L6378" t="s">
        <v>114</v>
      </c>
      <c r="M6378" t="s">
        <v>52</v>
      </c>
      <c r="N6378" t="s">
        <v>40</v>
      </c>
      <c r="O6378">
        <f>60+2</f>
        <v>62</v>
      </c>
      <c r="Q6378">
        <f t="shared" si="105"/>
        <v>2</v>
      </c>
      <c r="R6378">
        <v>1</v>
      </c>
      <c r="S6378">
        <v>0</v>
      </c>
      <c r="T6378">
        <v>0</v>
      </c>
      <c r="U6378">
        <v>0</v>
      </c>
      <c r="V6378">
        <v>1</v>
      </c>
      <c r="W6378">
        <v>1</v>
      </c>
      <c r="X6378" s="21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f t="shared" si="106"/>
        <v>160</v>
      </c>
      <c r="AP6378" t="s">
        <v>1915</v>
      </c>
    </row>
    <row r="6379" spans="1:42">
      <c r="A6379" s="1">
        <v>43805</v>
      </c>
      <c r="B6379">
        <v>5</v>
      </c>
      <c r="C6379">
        <v>989</v>
      </c>
      <c r="D6379">
        <v>10376</v>
      </c>
      <c r="E6379" t="s">
        <v>37</v>
      </c>
      <c r="F6379" t="s">
        <v>520</v>
      </c>
      <c r="G6379">
        <v>2</v>
      </c>
      <c r="H6379">
        <v>120</v>
      </c>
      <c r="I6379" s="25">
        <v>1961</v>
      </c>
      <c r="K6379" t="s">
        <v>324</v>
      </c>
      <c r="M6379" t="s">
        <v>95</v>
      </c>
      <c r="N6379" t="s">
        <v>44</v>
      </c>
      <c r="O6379">
        <f>60+38</f>
        <v>98</v>
      </c>
      <c r="Q6379">
        <f t="shared" si="105"/>
        <v>2</v>
      </c>
      <c r="R6379">
        <v>1</v>
      </c>
      <c r="S6379">
        <v>0</v>
      </c>
      <c r="T6379">
        <v>0</v>
      </c>
      <c r="U6379">
        <v>0</v>
      </c>
      <c r="V6379">
        <v>0</v>
      </c>
      <c r="W6379">
        <v>2</v>
      </c>
      <c r="X6379" s="21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f t="shared" si="106"/>
        <v>192</v>
      </c>
      <c r="AP6379" t="s">
        <v>1915</v>
      </c>
    </row>
    <row r="6380" spans="1:42">
      <c r="A6380" s="1">
        <v>43805</v>
      </c>
      <c r="B6380">
        <v>5</v>
      </c>
      <c r="C6380">
        <v>989</v>
      </c>
      <c r="D6380">
        <v>10376</v>
      </c>
      <c r="E6380" t="s">
        <v>37</v>
      </c>
      <c r="F6380" t="s">
        <v>520</v>
      </c>
      <c r="G6380">
        <v>2</v>
      </c>
      <c r="H6380">
        <v>121</v>
      </c>
      <c r="I6380" s="25">
        <v>1949</v>
      </c>
      <c r="K6380" t="s">
        <v>324</v>
      </c>
      <c r="L6380" t="s">
        <v>141</v>
      </c>
      <c r="M6380" t="s">
        <v>52</v>
      </c>
      <c r="N6380" t="s">
        <v>44</v>
      </c>
      <c r="O6380">
        <f>60+32</f>
        <v>92</v>
      </c>
      <c r="Q6380">
        <f t="shared" si="105"/>
        <v>1</v>
      </c>
      <c r="R6380">
        <v>1</v>
      </c>
      <c r="S6380">
        <v>0</v>
      </c>
      <c r="T6380">
        <v>0</v>
      </c>
      <c r="U6380">
        <v>0</v>
      </c>
      <c r="V6380">
        <v>0</v>
      </c>
      <c r="W6380">
        <v>1</v>
      </c>
      <c r="X6380" s="21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f t="shared" si="106"/>
        <v>96</v>
      </c>
      <c r="AP6380" t="s">
        <v>1915</v>
      </c>
    </row>
    <row r="6381" spans="1:42">
      <c r="A6381" s="1">
        <v>43805</v>
      </c>
      <c r="B6381">
        <v>5</v>
      </c>
      <c r="C6381">
        <v>989</v>
      </c>
      <c r="D6381">
        <v>10376</v>
      </c>
      <c r="E6381" t="s">
        <v>37</v>
      </c>
      <c r="F6381" t="s">
        <v>520</v>
      </c>
      <c r="G6381">
        <v>2</v>
      </c>
      <c r="H6381">
        <v>122</v>
      </c>
      <c r="I6381" s="25">
        <v>1957</v>
      </c>
      <c r="K6381" t="s">
        <v>324</v>
      </c>
      <c r="L6381" t="s">
        <v>141</v>
      </c>
      <c r="M6381" t="s">
        <v>52</v>
      </c>
      <c r="N6381" t="s">
        <v>44</v>
      </c>
      <c r="O6381">
        <f>60+37</f>
        <v>97</v>
      </c>
      <c r="Q6381">
        <f t="shared" si="105"/>
        <v>2</v>
      </c>
      <c r="R6381">
        <v>1</v>
      </c>
      <c r="S6381">
        <v>0</v>
      </c>
      <c r="T6381">
        <v>0</v>
      </c>
      <c r="U6381">
        <v>0</v>
      </c>
      <c r="V6381">
        <v>0</v>
      </c>
      <c r="W6381">
        <v>2</v>
      </c>
      <c r="X6381" s="2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f t="shared" si="106"/>
        <v>192</v>
      </c>
      <c r="AP6381" t="s">
        <v>1915</v>
      </c>
    </row>
    <row r="6382" spans="1:42">
      <c r="A6382" s="1">
        <v>43805</v>
      </c>
      <c r="B6382">
        <v>5</v>
      </c>
      <c r="C6382">
        <v>989</v>
      </c>
      <c r="D6382">
        <v>10376</v>
      </c>
      <c r="E6382" t="s">
        <v>37</v>
      </c>
      <c r="F6382" t="s">
        <v>520</v>
      </c>
      <c r="G6382">
        <v>2</v>
      </c>
      <c r="H6382">
        <v>123</v>
      </c>
      <c r="I6382" s="25">
        <v>1901</v>
      </c>
      <c r="K6382" t="s">
        <v>324</v>
      </c>
      <c r="L6382" t="s">
        <v>141</v>
      </c>
      <c r="M6382" t="s">
        <v>52</v>
      </c>
      <c r="N6382" t="s">
        <v>44</v>
      </c>
      <c r="O6382">
        <f>60+60+3</f>
        <v>123</v>
      </c>
      <c r="Q6382">
        <f t="shared" si="105"/>
        <v>1</v>
      </c>
      <c r="R6382">
        <v>1</v>
      </c>
      <c r="S6382">
        <v>0</v>
      </c>
      <c r="T6382">
        <v>0</v>
      </c>
      <c r="U6382">
        <v>0</v>
      </c>
      <c r="V6382">
        <v>0</v>
      </c>
      <c r="W6382">
        <v>1</v>
      </c>
      <c r="X6382" s="21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f t="shared" si="106"/>
        <v>96</v>
      </c>
      <c r="AP6382" t="s">
        <v>1915</v>
      </c>
    </row>
    <row r="6383" spans="1:42">
      <c r="A6383" s="1">
        <v>43805</v>
      </c>
      <c r="B6383">
        <v>5</v>
      </c>
      <c r="C6383">
        <v>989</v>
      </c>
      <c r="D6383">
        <v>10376</v>
      </c>
      <c r="E6383" t="s">
        <v>37</v>
      </c>
      <c r="F6383" t="s">
        <v>520</v>
      </c>
      <c r="G6383">
        <v>2</v>
      </c>
      <c r="H6383">
        <v>124</v>
      </c>
      <c r="I6383" s="25">
        <v>1800</v>
      </c>
      <c r="K6383" t="s">
        <v>324</v>
      </c>
      <c r="M6383" t="s">
        <v>95</v>
      </c>
      <c r="N6383" t="s">
        <v>40</v>
      </c>
      <c r="O6383">
        <f>60+45</f>
        <v>105</v>
      </c>
      <c r="Q6383">
        <f t="shared" si="105"/>
        <v>3</v>
      </c>
      <c r="R6383">
        <v>1</v>
      </c>
      <c r="S6383">
        <v>0</v>
      </c>
      <c r="T6383">
        <v>0</v>
      </c>
      <c r="U6383">
        <v>0</v>
      </c>
      <c r="V6383">
        <v>2</v>
      </c>
      <c r="W6383">
        <v>1</v>
      </c>
      <c r="X6383" s="21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f t="shared" si="106"/>
        <v>224</v>
      </c>
      <c r="AP6383" t="s">
        <v>1915</v>
      </c>
    </row>
    <row r="6384" spans="1:42">
      <c r="A6384" s="1">
        <v>43805</v>
      </c>
      <c r="B6384">
        <v>5</v>
      </c>
      <c r="C6384">
        <v>989</v>
      </c>
      <c r="D6384">
        <v>10376</v>
      </c>
      <c r="E6384" t="s">
        <v>37</v>
      </c>
      <c r="F6384" t="s">
        <v>520</v>
      </c>
      <c r="G6384">
        <v>2</v>
      </c>
      <c r="H6384">
        <v>125</v>
      </c>
      <c r="I6384" s="25">
        <v>1819</v>
      </c>
      <c r="K6384" t="s">
        <v>324</v>
      </c>
      <c r="L6384" t="s">
        <v>141</v>
      </c>
      <c r="M6384" t="s">
        <v>52</v>
      </c>
      <c r="N6384" t="s">
        <v>44</v>
      </c>
      <c r="O6384">
        <f>60+24</f>
        <v>84</v>
      </c>
      <c r="Q6384">
        <f t="shared" si="105"/>
        <v>1</v>
      </c>
      <c r="R6384">
        <v>1</v>
      </c>
      <c r="S6384">
        <v>0</v>
      </c>
      <c r="T6384">
        <v>0</v>
      </c>
      <c r="U6384">
        <v>0</v>
      </c>
      <c r="V6384">
        <v>0</v>
      </c>
      <c r="W6384">
        <v>1</v>
      </c>
      <c r="X6384" s="21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f t="shared" si="106"/>
        <v>96</v>
      </c>
      <c r="AP6384" t="s">
        <v>1915</v>
      </c>
    </row>
    <row r="6385" spans="1:42">
      <c r="A6385" s="1">
        <v>43794</v>
      </c>
      <c r="B6385">
        <v>1</v>
      </c>
      <c r="C6385">
        <v>981</v>
      </c>
      <c r="D6385">
        <v>10371</v>
      </c>
      <c r="E6385" t="s">
        <v>37</v>
      </c>
      <c r="F6385" t="s">
        <v>520</v>
      </c>
      <c r="G6385">
        <v>2</v>
      </c>
      <c r="H6385">
        <v>1</v>
      </c>
      <c r="I6385" s="25">
        <v>100</v>
      </c>
      <c r="K6385" t="s">
        <v>1949</v>
      </c>
      <c r="M6385" t="s">
        <v>52</v>
      </c>
      <c r="N6385" t="s">
        <v>44</v>
      </c>
      <c r="O6385">
        <f>60+60+22</f>
        <v>142</v>
      </c>
      <c r="Q6385">
        <f t="shared" si="105"/>
        <v>2</v>
      </c>
      <c r="R6385">
        <v>1</v>
      </c>
      <c r="S6385">
        <v>0</v>
      </c>
      <c r="T6385">
        <v>0</v>
      </c>
      <c r="U6385">
        <v>0</v>
      </c>
      <c r="V6385">
        <v>0</v>
      </c>
      <c r="W6385">
        <v>2</v>
      </c>
      <c r="X6385" s="21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f t="shared" si="106"/>
        <v>192</v>
      </c>
      <c r="AJ6385" t="s">
        <v>54</v>
      </c>
      <c r="AK6385" t="s">
        <v>52</v>
      </c>
      <c r="AL6385" t="s">
        <v>1959</v>
      </c>
      <c r="AP6385" t="s">
        <v>1915</v>
      </c>
    </row>
    <row r="6386" spans="1:42">
      <c r="A6386" s="1">
        <v>43794</v>
      </c>
      <c r="B6386">
        <v>1</v>
      </c>
      <c r="C6386">
        <v>981</v>
      </c>
      <c r="D6386">
        <v>10371</v>
      </c>
      <c r="E6386" t="s">
        <v>37</v>
      </c>
      <c r="F6386" t="s">
        <v>520</v>
      </c>
      <c r="G6386">
        <v>2</v>
      </c>
      <c r="H6386">
        <v>2</v>
      </c>
      <c r="I6386" s="25">
        <v>118</v>
      </c>
      <c r="K6386" t="s">
        <v>1949</v>
      </c>
      <c r="M6386" t="s">
        <v>95</v>
      </c>
      <c r="N6386" t="s">
        <v>44</v>
      </c>
      <c r="O6386">
        <f>60+60+60+60+60+60+5</f>
        <v>365</v>
      </c>
      <c r="Q6386">
        <f t="shared" si="105"/>
        <v>3</v>
      </c>
      <c r="R6386">
        <v>1</v>
      </c>
      <c r="S6386">
        <v>0</v>
      </c>
      <c r="T6386">
        <v>0</v>
      </c>
      <c r="U6386">
        <v>0</v>
      </c>
      <c r="V6386">
        <v>0</v>
      </c>
      <c r="W6386">
        <v>3</v>
      </c>
      <c r="X6386" s="21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1</v>
      </c>
      <c r="AG6386">
        <v>0</v>
      </c>
      <c r="AH6386">
        <f t="shared" si="106"/>
        <v>288</v>
      </c>
      <c r="AJ6386" t="s">
        <v>51</v>
      </c>
      <c r="AK6386" t="s">
        <v>95</v>
      </c>
      <c r="AL6386" t="s">
        <v>1960</v>
      </c>
      <c r="AP6386" t="s">
        <v>1915</v>
      </c>
    </row>
    <row r="6387" spans="1:42">
      <c r="A6387" s="1">
        <v>43794</v>
      </c>
      <c r="B6387">
        <v>1</v>
      </c>
      <c r="C6387">
        <v>981</v>
      </c>
      <c r="D6387">
        <v>10371</v>
      </c>
      <c r="E6387" t="s">
        <v>37</v>
      </c>
      <c r="F6387" t="s">
        <v>520</v>
      </c>
      <c r="G6387">
        <v>2</v>
      </c>
      <c r="H6387">
        <v>3</v>
      </c>
      <c r="I6387" s="25">
        <v>200</v>
      </c>
      <c r="K6387" t="s">
        <v>1949</v>
      </c>
      <c r="M6387" t="s">
        <v>95</v>
      </c>
      <c r="N6387" t="s">
        <v>40</v>
      </c>
      <c r="O6387">
        <f>60+17</f>
        <v>77</v>
      </c>
      <c r="Q6387">
        <f t="shared" si="105"/>
        <v>1</v>
      </c>
      <c r="R6387">
        <v>1</v>
      </c>
      <c r="S6387">
        <v>0</v>
      </c>
      <c r="T6387">
        <v>0</v>
      </c>
      <c r="U6387">
        <v>0</v>
      </c>
      <c r="V6387">
        <v>0</v>
      </c>
      <c r="W6387">
        <v>1</v>
      </c>
      <c r="X6387" s="21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f t="shared" si="106"/>
        <v>96</v>
      </c>
      <c r="AJ6387" t="s">
        <v>51</v>
      </c>
      <c r="AK6387" t="s">
        <v>95</v>
      </c>
      <c r="AP6387" t="s">
        <v>1915</v>
      </c>
    </row>
    <row r="6388" spans="1:42">
      <c r="A6388" s="1">
        <v>43794</v>
      </c>
      <c r="B6388">
        <v>1</v>
      </c>
      <c r="C6388">
        <v>981</v>
      </c>
      <c r="D6388">
        <v>10371</v>
      </c>
      <c r="E6388" t="s">
        <v>37</v>
      </c>
      <c r="F6388" t="s">
        <v>520</v>
      </c>
      <c r="G6388">
        <v>2</v>
      </c>
      <c r="H6388">
        <v>4</v>
      </c>
      <c r="I6388" s="25">
        <v>200</v>
      </c>
      <c r="K6388" t="s">
        <v>1949</v>
      </c>
      <c r="M6388" t="s">
        <v>52</v>
      </c>
      <c r="N6388" t="s">
        <v>44</v>
      </c>
      <c r="O6388">
        <f>60+60+60+60+60+60+60+60+60+60+60+60+32</f>
        <v>752</v>
      </c>
      <c r="Q6388">
        <f t="shared" si="105"/>
        <v>7</v>
      </c>
      <c r="R6388">
        <v>1</v>
      </c>
      <c r="S6388">
        <v>0</v>
      </c>
      <c r="T6388">
        <v>0</v>
      </c>
      <c r="U6388">
        <v>0</v>
      </c>
      <c r="V6388">
        <v>0</v>
      </c>
      <c r="W6388">
        <v>7</v>
      </c>
      <c r="X6388" s="21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f t="shared" si="106"/>
        <v>672</v>
      </c>
      <c r="AJ6388" t="s">
        <v>51</v>
      </c>
      <c r="AK6388" t="s">
        <v>95</v>
      </c>
      <c r="AL6388" t="s">
        <v>1961</v>
      </c>
      <c r="AP6388" t="s">
        <v>1915</v>
      </c>
    </row>
    <row r="6389" spans="1:42">
      <c r="A6389" s="1">
        <v>43794</v>
      </c>
      <c r="B6389">
        <v>1</v>
      </c>
      <c r="C6389">
        <v>981</v>
      </c>
      <c r="D6389">
        <v>10371</v>
      </c>
      <c r="E6389" t="s">
        <v>37</v>
      </c>
      <c r="F6389" t="s">
        <v>520</v>
      </c>
      <c r="G6389">
        <v>2</v>
      </c>
      <c r="H6389">
        <v>5</v>
      </c>
      <c r="I6389" s="25">
        <v>1100</v>
      </c>
      <c r="K6389" t="s">
        <v>420</v>
      </c>
      <c r="M6389" t="s">
        <v>95</v>
      </c>
      <c r="N6389" t="s">
        <v>44</v>
      </c>
      <c r="O6389">
        <f>60+60+60+60+60+60+60+60+60+60+60+60+60+30</f>
        <v>810</v>
      </c>
      <c r="Q6389">
        <f t="shared" si="105"/>
        <v>6</v>
      </c>
      <c r="R6389">
        <v>1</v>
      </c>
      <c r="S6389">
        <v>0</v>
      </c>
      <c r="T6389">
        <v>0</v>
      </c>
      <c r="U6389">
        <v>0</v>
      </c>
      <c r="V6389">
        <v>1</v>
      </c>
      <c r="W6389">
        <v>5</v>
      </c>
      <c r="X6389" s="21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f t="shared" si="106"/>
        <v>544</v>
      </c>
      <c r="AJ6389" t="s">
        <v>54</v>
      </c>
      <c r="AK6389" t="s">
        <v>52</v>
      </c>
      <c r="AL6389" t="s">
        <v>1962</v>
      </c>
      <c r="AP6389" t="s">
        <v>1915</v>
      </c>
    </row>
    <row r="6390" spans="1:42">
      <c r="A6390" s="1">
        <v>43794</v>
      </c>
      <c r="B6390">
        <v>1</v>
      </c>
      <c r="C6390">
        <v>981</v>
      </c>
      <c r="D6390">
        <v>10371</v>
      </c>
      <c r="E6390" t="s">
        <v>37</v>
      </c>
      <c r="F6390" t="s">
        <v>520</v>
      </c>
      <c r="G6390">
        <v>2</v>
      </c>
      <c r="H6390">
        <v>6</v>
      </c>
      <c r="I6390" s="25">
        <v>0</v>
      </c>
      <c r="K6390" t="s">
        <v>1963</v>
      </c>
      <c r="M6390" t="s">
        <v>52</v>
      </c>
      <c r="N6390" t="s">
        <v>44</v>
      </c>
      <c r="O6390">
        <f>60+60+60+26</f>
        <v>206</v>
      </c>
      <c r="Q6390">
        <f t="shared" si="105"/>
        <v>2</v>
      </c>
      <c r="R6390">
        <v>1</v>
      </c>
      <c r="S6390">
        <v>0</v>
      </c>
      <c r="T6390">
        <v>0</v>
      </c>
      <c r="U6390">
        <v>0</v>
      </c>
      <c r="V6390">
        <v>0</v>
      </c>
      <c r="W6390">
        <v>2</v>
      </c>
      <c r="X6390" s="21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f t="shared" si="106"/>
        <v>192</v>
      </c>
      <c r="AL6390" t="s">
        <v>587</v>
      </c>
      <c r="AP6390" t="s">
        <v>1915</v>
      </c>
    </row>
    <row r="6391" spans="1:42">
      <c r="A6391" s="1">
        <v>43794</v>
      </c>
      <c r="B6391">
        <v>1</v>
      </c>
      <c r="C6391">
        <v>981</v>
      </c>
      <c r="D6391">
        <v>10371</v>
      </c>
      <c r="E6391" t="s">
        <v>37</v>
      </c>
      <c r="F6391" t="s">
        <v>520</v>
      </c>
      <c r="G6391">
        <v>2</v>
      </c>
      <c r="H6391">
        <v>7</v>
      </c>
      <c r="I6391" s="25">
        <v>1400</v>
      </c>
      <c r="K6391" t="s">
        <v>46</v>
      </c>
      <c r="M6391" t="s">
        <v>52</v>
      </c>
      <c r="N6391" t="s">
        <v>44</v>
      </c>
      <c r="O6391">
        <f>60+60+7</f>
        <v>127</v>
      </c>
      <c r="Q6391">
        <f t="shared" si="105"/>
        <v>1</v>
      </c>
      <c r="R6391">
        <v>1</v>
      </c>
      <c r="S6391">
        <v>0</v>
      </c>
      <c r="T6391">
        <v>0</v>
      </c>
      <c r="U6391">
        <v>0</v>
      </c>
      <c r="V6391">
        <v>0</v>
      </c>
      <c r="W6391">
        <v>1</v>
      </c>
      <c r="X6391" s="2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f t="shared" si="106"/>
        <v>96</v>
      </c>
      <c r="AJ6391" t="s">
        <v>54</v>
      </c>
      <c r="AK6391" t="s">
        <v>95</v>
      </c>
      <c r="AL6391" t="s">
        <v>1964</v>
      </c>
      <c r="AP6391" t="s">
        <v>1915</v>
      </c>
    </row>
    <row r="6392" spans="1:42">
      <c r="A6392" s="1">
        <v>43794</v>
      </c>
      <c r="B6392">
        <v>1</v>
      </c>
      <c r="C6392">
        <v>981</v>
      </c>
      <c r="D6392">
        <v>10371</v>
      </c>
      <c r="E6392" t="s">
        <v>37</v>
      </c>
      <c r="F6392" t="s">
        <v>520</v>
      </c>
      <c r="G6392">
        <v>2</v>
      </c>
      <c r="H6392">
        <v>8</v>
      </c>
      <c r="I6392" s="25">
        <v>1452</v>
      </c>
      <c r="K6392" t="s">
        <v>46</v>
      </c>
      <c r="L6392" t="s">
        <v>114</v>
      </c>
      <c r="M6392" t="s">
        <v>52</v>
      </c>
      <c r="N6392" t="s">
        <v>44</v>
      </c>
      <c r="O6392">
        <f>60+60+60+60+60+12</f>
        <v>312</v>
      </c>
      <c r="Q6392">
        <f t="shared" si="105"/>
        <v>4</v>
      </c>
      <c r="R6392">
        <v>1</v>
      </c>
      <c r="S6392">
        <v>0</v>
      </c>
      <c r="T6392">
        <v>0</v>
      </c>
      <c r="U6392">
        <v>0</v>
      </c>
      <c r="V6392">
        <v>0</v>
      </c>
      <c r="W6392">
        <v>4</v>
      </c>
      <c r="X6392" s="21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f t="shared" si="106"/>
        <v>384</v>
      </c>
      <c r="AJ6392" t="s">
        <v>54</v>
      </c>
      <c r="AK6392" t="s">
        <v>95</v>
      </c>
      <c r="AL6392" t="s">
        <v>1965</v>
      </c>
      <c r="AP6392" t="s">
        <v>1915</v>
      </c>
    </row>
    <row r="6393" spans="1:42">
      <c r="A6393" s="1">
        <v>43794</v>
      </c>
      <c r="B6393">
        <v>1</v>
      </c>
      <c r="C6393">
        <v>981</v>
      </c>
      <c r="D6393">
        <v>10371</v>
      </c>
      <c r="E6393" t="s">
        <v>37</v>
      </c>
      <c r="F6393" t="s">
        <v>520</v>
      </c>
      <c r="G6393">
        <v>2</v>
      </c>
      <c r="H6393">
        <v>9</v>
      </c>
      <c r="I6393" s="25">
        <v>1300</v>
      </c>
      <c r="K6393" t="s">
        <v>46</v>
      </c>
      <c r="M6393" t="s">
        <v>52</v>
      </c>
      <c r="N6393" t="s">
        <v>1703</v>
      </c>
      <c r="O6393">
        <f>60+60+27</f>
        <v>147</v>
      </c>
      <c r="Q6393">
        <f t="shared" si="105"/>
        <v>4</v>
      </c>
      <c r="R6393">
        <v>1</v>
      </c>
      <c r="S6393">
        <v>0</v>
      </c>
      <c r="T6393">
        <v>0</v>
      </c>
      <c r="U6393">
        <v>0</v>
      </c>
      <c r="V6393">
        <v>4</v>
      </c>
      <c r="W6393">
        <v>0</v>
      </c>
      <c r="X6393" s="21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f t="shared" si="106"/>
        <v>256</v>
      </c>
      <c r="AJ6393" t="s">
        <v>54</v>
      </c>
      <c r="AK6393" t="s">
        <v>95</v>
      </c>
      <c r="AL6393" t="s">
        <v>1950</v>
      </c>
      <c r="AP6393" t="s">
        <v>1915</v>
      </c>
    </row>
    <row r="6394" spans="1:42">
      <c r="A6394" s="1">
        <v>43794</v>
      </c>
      <c r="B6394">
        <v>1</v>
      </c>
      <c r="C6394">
        <v>981</v>
      </c>
      <c r="D6394">
        <v>10371</v>
      </c>
      <c r="E6394" t="s">
        <v>37</v>
      </c>
      <c r="F6394" t="s">
        <v>520</v>
      </c>
      <c r="G6394">
        <v>2</v>
      </c>
      <c r="H6394">
        <v>10</v>
      </c>
      <c r="I6394" s="25">
        <v>1283</v>
      </c>
      <c r="K6394" t="s">
        <v>46</v>
      </c>
      <c r="M6394" t="s">
        <v>52</v>
      </c>
      <c r="N6394" t="s">
        <v>44</v>
      </c>
      <c r="O6394">
        <f>60+60+3</f>
        <v>123</v>
      </c>
      <c r="Q6394">
        <f t="shared" si="105"/>
        <v>1</v>
      </c>
      <c r="R6394">
        <v>1</v>
      </c>
      <c r="S6394">
        <v>0</v>
      </c>
      <c r="T6394">
        <v>0</v>
      </c>
      <c r="U6394">
        <v>0</v>
      </c>
      <c r="V6394">
        <v>0</v>
      </c>
      <c r="W6394">
        <v>1</v>
      </c>
      <c r="X6394" s="21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f t="shared" si="106"/>
        <v>96</v>
      </c>
      <c r="AJ6394" t="s">
        <v>54</v>
      </c>
      <c r="AK6394" t="s">
        <v>95</v>
      </c>
      <c r="AL6394" t="s">
        <v>1936</v>
      </c>
      <c r="AP6394" t="s">
        <v>1915</v>
      </c>
    </row>
    <row r="6395" spans="1:42">
      <c r="A6395" s="1">
        <v>43794</v>
      </c>
      <c r="B6395">
        <v>1</v>
      </c>
      <c r="C6395">
        <v>981</v>
      </c>
      <c r="D6395">
        <v>10371</v>
      </c>
      <c r="E6395" t="s">
        <v>37</v>
      </c>
      <c r="F6395" t="s">
        <v>520</v>
      </c>
      <c r="G6395">
        <v>2</v>
      </c>
      <c r="H6395">
        <v>11</v>
      </c>
      <c r="I6395" s="25">
        <v>1200</v>
      </c>
      <c r="K6395" t="s">
        <v>46</v>
      </c>
      <c r="L6395" t="s">
        <v>141</v>
      </c>
      <c r="M6395" t="s">
        <v>52</v>
      </c>
      <c r="N6395" t="s">
        <v>44</v>
      </c>
      <c r="O6395">
        <f>60+60+60+60+60+60+60+60+39</f>
        <v>519</v>
      </c>
      <c r="Q6395">
        <f t="shared" si="105"/>
        <v>7</v>
      </c>
      <c r="R6395">
        <v>1</v>
      </c>
      <c r="S6395">
        <v>0</v>
      </c>
      <c r="T6395">
        <v>0</v>
      </c>
      <c r="U6395">
        <v>0</v>
      </c>
      <c r="V6395">
        <v>2</v>
      </c>
      <c r="W6395">
        <v>5</v>
      </c>
      <c r="X6395" s="21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f t="shared" si="106"/>
        <v>608</v>
      </c>
      <c r="AJ6395" t="s">
        <v>54</v>
      </c>
      <c r="AK6395" t="s">
        <v>95</v>
      </c>
      <c r="AL6395" t="s">
        <v>1966</v>
      </c>
      <c r="AP6395" t="s">
        <v>1915</v>
      </c>
    </row>
    <row r="6396" spans="1:42">
      <c r="A6396" s="1">
        <v>43794</v>
      </c>
      <c r="B6396">
        <v>1</v>
      </c>
      <c r="C6396">
        <v>981</v>
      </c>
      <c r="D6396">
        <v>10371</v>
      </c>
      <c r="E6396" t="s">
        <v>37</v>
      </c>
      <c r="F6396" t="s">
        <v>520</v>
      </c>
      <c r="G6396">
        <v>2</v>
      </c>
      <c r="H6396">
        <v>12</v>
      </c>
      <c r="I6396" s="25">
        <v>1207</v>
      </c>
      <c r="K6396" t="s">
        <v>46</v>
      </c>
      <c r="L6396" t="s">
        <v>141</v>
      </c>
      <c r="M6396" t="s">
        <v>52</v>
      </c>
      <c r="N6396" t="s">
        <v>44</v>
      </c>
      <c r="O6396">
        <f>60+60+38</f>
        <v>158</v>
      </c>
      <c r="Q6396">
        <f t="shared" si="105"/>
        <v>1</v>
      </c>
      <c r="R6396">
        <v>1</v>
      </c>
      <c r="S6396">
        <v>0</v>
      </c>
      <c r="T6396">
        <v>0</v>
      </c>
      <c r="U6396">
        <v>0</v>
      </c>
      <c r="V6396">
        <v>0</v>
      </c>
      <c r="W6396">
        <v>1</v>
      </c>
      <c r="X6396" s="21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f t="shared" si="106"/>
        <v>96</v>
      </c>
      <c r="AJ6396" t="s">
        <v>54</v>
      </c>
      <c r="AK6396" t="s">
        <v>95</v>
      </c>
      <c r="AP6396" t="s">
        <v>1915</v>
      </c>
    </row>
    <row r="6397" spans="1:42">
      <c r="A6397" s="1">
        <v>43794</v>
      </c>
      <c r="B6397">
        <v>1</v>
      </c>
      <c r="C6397">
        <v>981</v>
      </c>
      <c r="D6397">
        <v>10371</v>
      </c>
      <c r="E6397" t="s">
        <v>37</v>
      </c>
      <c r="F6397" t="s">
        <v>520</v>
      </c>
      <c r="G6397">
        <v>2</v>
      </c>
      <c r="H6397">
        <v>13</v>
      </c>
      <c r="I6397" s="25">
        <v>1100</v>
      </c>
      <c r="K6397" t="s">
        <v>46</v>
      </c>
      <c r="L6397" t="s">
        <v>141</v>
      </c>
      <c r="M6397" t="s">
        <v>95</v>
      </c>
      <c r="N6397" t="s">
        <v>44</v>
      </c>
      <c r="O6397">
        <f>60+60+60+60+60+60+8</f>
        <v>368</v>
      </c>
      <c r="Q6397">
        <f t="shared" si="105"/>
        <v>5</v>
      </c>
      <c r="R6397">
        <v>1</v>
      </c>
      <c r="S6397">
        <v>0</v>
      </c>
      <c r="T6397">
        <v>0</v>
      </c>
      <c r="U6397">
        <v>0</v>
      </c>
      <c r="V6397">
        <v>0</v>
      </c>
      <c r="W6397">
        <v>5</v>
      </c>
      <c r="X6397" s="21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f t="shared" si="106"/>
        <v>480</v>
      </c>
      <c r="AJ6397" t="s">
        <v>51</v>
      </c>
      <c r="AK6397" t="s">
        <v>52</v>
      </c>
      <c r="AL6397" t="s">
        <v>1967</v>
      </c>
      <c r="AP6397" t="s">
        <v>1915</v>
      </c>
    </row>
    <row r="6398" spans="1:42">
      <c r="A6398" s="1">
        <v>43794</v>
      </c>
      <c r="B6398">
        <v>1</v>
      </c>
      <c r="C6398">
        <v>981</v>
      </c>
      <c r="D6398">
        <v>10371</v>
      </c>
      <c r="E6398" t="s">
        <v>37</v>
      </c>
      <c r="F6398" t="s">
        <v>520</v>
      </c>
      <c r="G6398">
        <v>2</v>
      </c>
      <c r="H6398">
        <v>14</v>
      </c>
      <c r="I6398" s="25">
        <v>1100</v>
      </c>
      <c r="K6398" t="s">
        <v>46</v>
      </c>
      <c r="M6398" t="s">
        <v>95</v>
      </c>
      <c r="N6398" t="s">
        <v>44</v>
      </c>
      <c r="O6398">
        <f>60+60+60+60+60+60+60+60+60+60+60+60+14</f>
        <v>734</v>
      </c>
      <c r="Q6398">
        <f t="shared" si="105"/>
        <v>7</v>
      </c>
      <c r="R6398">
        <v>1</v>
      </c>
      <c r="S6398">
        <v>0</v>
      </c>
      <c r="T6398">
        <v>0</v>
      </c>
      <c r="U6398">
        <v>0</v>
      </c>
      <c r="V6398">
        <v>0</v>
      </c>
      <c r="W6398">
        <v>7</v>
      </c>
      <c r="X6398" s="21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f t="shared" si="106"/>
        <v>672</v>
      </c>
      <c r="AJ6398" t="s">
        <v>51</v>
      </c>
      <c r="AK6398" t="s">
        <v>52</v>
      </c>
      <c r="AL6398" t="s">
        <v>1968</v>
      </c>
      <c r="AP6398" t="s">
        <v>1915</v>
      </c>
    </row>
    <row r="6399" spans="1:42">
      <c r="A6399" s="1">
        <v>43794</v>
      </c>
      <c r="B6399">
        <v>1</v>
      </c>
      <c r="C6399">
        <v>981</v>
      </c>
      <c r="D6399">
        <v>10371</v>
      </c>
      <c r="E6399" t="s">
        <v>37</v>
      </c>
      <c r="F6399" t="s">
        <v>520</v>
      </c>
      <c r="G6399">
        <v>2</v>
      </c>
      <c r="H6399">
        <v>15</v>
      </c>
      <c r="I6399" s="25">
        <v>1000</v>
      </c>
      <c r="K6399" t="s">
        <v>46</v>
      </c>
      <c r="M6399" t="s">
        <v>95</v>
      </c>
      <c r="N6399" t="s">
        <v>42</v>
      </c>
      <c r="O6399">
        <f>60+60+60+60+60+60+60+60+60+60+60+60+60+60+60+30</f>
        <v>930</v>
      </c>
      <c r="Q6399">
        <f t="shared" si="105"/>
        <v>15</v>
      </c>
      <c r="R6399">
        <v>1</v>
      </c>
      <c r="S6399">
        <v>0</v>
      </c>
      <c r="T6399">
        <v>0</v>
      </c>
      <c r="U6399">
        <v>0</v>
      </c>
      <c r="V6399">
        <v>0</v>
      </c>
      <c r="W6399">
        <v>15</v>
      </c>
      <c r="X6399" s="21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f t="shared" si="106"/>
        <v>1440</v>
      </c>
      <c r="AJ6399" t="s">
        <v>54</v>
      </c>
      <c r="AK6399" t="s">
        <v>52</v>
      </c>
      <c r="AL6399" t="s">
        <v>1969</v>
      </c>
      <c r="AP6399" t="s">
        <v>1915</v>
      </c>
    </row>
    <row r="6400" spans="1:42">
      <c r="A6400" s="1">
        <v>43794</v>
      </c>
      <c r="B6400">
        <v>1</v>
      </c>
      <c r="C6400">
        <v>981</v>
      </c>
      <c r="D6400">
        <v>10371</v>
      </c>
      <c r="E6400" t="s">
        <v>37</v>
      </c>
      <c r="F6400" t="s">
        <v>520</v>
      </c>
      <c r="G6400">
        <v>2</v>
      </c>
      <c r="H6400">
        <v>16</v>
      </c>
      <c r="I6400" s="25">
        <v>1000</v>
      </c>
      <c r="K6400" t="s">
        <v>46</v>
      </c>
      <c r="M6400" t="s">
        <v>52</v>
      </c>
      <c r="N6400" t="s">
        <v>42</v>
      </c>
      <c r="O6400">
        <f>60+60+60+60+60+60+60+60+60+60+60+2</f>
        <v>662</v>
      </c>
      <c r="Q6400">
        <f t="shared" ref="Q6400:Q6463" si="107">SUM(S6400:AE6400)</f>
        <v>6</v>
      </c>
      <c r="R6400">
        <v>1</v>
      </c>
      <c r="S6400">
        <v>0</v>
      </c>
      <c r="T6400">
        <v>0</v>
      </c>
      <c r="U6400">
        <v>0</v>
      </c>
      <c r="V6400">
        <v>3</v>
      </c>
      <c r="W6400">
        <v>3</v>
      </c>
      <c r="X6400" s="21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2</v>
      </c>
      <c r="AG6400">
        <v>0</v>
      </c>
      <c r="AH6400">
        <f t="shared" ref="AH6400:AH6465" si="108">(16*S6400)+(20*T6400)+(32*U6400)+(64*V6400)+(96*W6400)</f>
        <v>480</v>
      </c>
      <c r="AJ6400" t="s">
        <v>54</v>
      </c>
      <c r="AK6400" t="s">
        <v>52</v>
      </c>
      <c r="AL6400" t="s">
        <v>1970</v>
      </c>
      <c r="AP6400" t="s">
        <v>1915</v>
      </c>
    </row>
    <row r="6401" spans="1:42">
      <c r="A6401" s="1">
        <v>43794</v>
      </c>
      <c r="B6401">
        <v>1</v>
      </c>
      <c r="C6401">
        <v>981</v>
      </c>
      <c r="D6401">
        <v>10371</v>
      </c>
      <c r="E6401" t="s">
        <v>37</v>
      </c>
      <c r="F6401" t="s">
        <v>520</v>
      </c>
      <c r="G6401">
        <v>2</v>
      </c>
      <c r="H6401">
        <v>17</v>
      </c>
      <c r="I6401" s="25">
        <v>900</v>
      </c>
      <c r="K6401" t="s">
        <v>46</v>
      </c>
      <c r="L6401" t="s">
        <v>114</v>
      </c>
      <c r="M6401" t="s">
        <v>52</v>
      </c>
      <c r="N6401" t="s">
        <v>42</v>
      </c>
      <c r="O6401">
        <f>60+60+60+60+60+60+60+54</f>
        <v>474</v>
      </c>
      <c r="Q6401">
        <f t="shared" si="107"/>
        <v>9</v>
      </c>
      <c r="R6401">
        <v>1</v>
      </c>
      <c r="S6401">
        <v>0</v>
      </c>
      <c r="T6401">
        <v>0</v>
      </c>
      <c r="U6401">
        <v>0</v>
      </c>
      <c r="V6401">
        <v>4</v>
      </c>
      <c r="W6401">
        <v>5</v>
      </c>
      <c r="X6401" s="2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f t="shared" si="108"/>
        <v>736</v>
      </c>
      <c r="AJ6401" t="s">
        <v>54</v>
      </c>
      <c r="AK6401" t="s">
        <v>95</v>
      </c>
      <c r="AP6401" t="s">
        <v>1915</v>
      </c>
    </row>
    <row r="6402" spans="1:42">
      <c r="A6402" s="1">
        <v>43794</v>
      </c>
      <c r="B6402">
        <v>1</v>
      </c>
      <c r="C6402">
        <v>981</v>
      </c>
      <c r="D6402">
        <v>10371</v>
      </c>
      <c r="E6402" t="s">
        <v>37</v>
      </c>
      <c r="F6402" t="s">
        <v>520</v>
      </c>
      <c r="G6402">
        <v>2</v>
      </c>
      <c r="H6402">
        <v>18</v>
      </c>
      <c r="I6402" s="25">
        <v>931</v>
      </c>
      <c r="K6402" t="s">
        <v>46</v>
      </c>
      <c r="L6402" t="s">
        <v>141</v>
      </c>
      <c r="M6402" t="s">
        <v>52</v>
      </c>
      <c r="N6402" t="s">
        <v>44</v>
      </c>
      <c r="O6402">
        <f>60+60+60+60+60+13</f>
        <v>313</v>
      </c>
      <c r="Q6402">
        <f t="shared" si="107"/>
        <v>2</v>
      </c>
      <c r="R6402">
        <v>1</v>
      </c>
      <c r="S6402">
        <v>0</v>
      </c>
      <c r="T6402">
        <v>0</v>
      </c>
      <c r="U6402">
        <v>0</v>
      </c>
      <c r="V6402">
        <v>0</v>
      </c>
      <c r="W6402">
        <v>2</v>
      </c>
      <c r="X6402" s="21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f t="shared" si="108"/>
        <v>192</v>
      </c>
      <c r="AJ6402" t="s">
        <v>54</v>
      </c>
      <c r="AK6402" t="s">
        <v>95</v>
      </c>
      <c r="AL6402" t="s">
        <v>1945</v>
      </c>
      <c r="AP6402" t="s">
        <v>1915</v>
      </c>
    </row>
    <row r="6403" spans="1:42">
      <c r="A6403" s="1">
        <v>43794</v>
      </c>
      <c r="B6403">
        <v>1</v>
      </c>
      <c r="C6403">
        <v>981</v>
      </c>
      <c r="D6403">
        <v>10371</v>
      </c>
      <c r="E6403" t="s">
        <v>37</v>
      </c>
      <c r="F6403" t="s">
        <v>520</v>
      </c>
      <c r="G6403">
        <v>2</v>
      </c>
      <c r="H6403">
        <v>19</v>
      </c>
      <c r="I6403" s="25">
        <v>800</v>
      </c>
      <c r="K6403" t="s">
        <v>46</v>
      </c>
      <c r="L6403" t="s">
        <v>114</v>
      </c>
      <c r="M6403" t="s">
        <v>52</v>
      </c>
      <c r="N6403" t="s">
        <v>42</v>
      </c>
      <c r="O6403">
        <f>60+60+60+60+60+60+49</f>
        <v>409</v>
      </c>
      <c r="Q6403">
        <f t="shared" si="107"/>
        <v>5</v>
      </c>
      <c r="R6403">
        <v>1</v>
      </c>
      <c r="S6403">
        <v>0</v>
      </c>
      <c r="T6403">
        <v>0</v>
      </c>
      <c r="U6403">
        <v>1</v>
      </c>
      <c r="V6403">
        <v>1</v>
      </c>
      <c r="W6403">
        <v>3</v>
      </c>
      <c r="X6403" s="21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f t="shared" si="108"/>
        <v>384</v>
      </c>
      <c r="AJ6403" t="s">
        <v>54</v>
      </c>
      <c r="AK6403" t="s">
        <v>52</v>
      </c>
      <c r="AL6403" t="s">
        <v>1971</v>
      </c>
      <c r="AP6403" t="s">
        <v>1915</v>
      </c>
    </row>
    <row r="6404" spans="1:42">
      <c r="A6404" s="1">
        <v>43794</v>
      </c>
      <c r="B6404">
        <v>1</v>
      </c>
      <c r="C6404">
        <v>981</v>
      </c>
      <c r="D6404">
        <v>10371</v>
      </c>
      <c r="E6404" t="s">
        <v>37</v>
      </c>
      <c r="F6404" t="s">
        <v>520</v>
      </c>
      <c r="G6404">
        <v>2</v>
      </c>
      <c r="H6404">
        <v>20</v>
      </c>
      <c r="I6404" s="25">
        <v>800</v>
      </c>
      <c r="K6404" t="s">
        <v>46</v>
      </c>
      <c r="L6404" t="s">
        <v>141</v>
      </c>
      <c r="M6404" t="s">
        <v>52</v>
      </c>
      <c r="N6404" t="s">
        <v>40</v>
      </c>
      <c r="O6404">
        <f>60+60+60+60+60+60+60+60+60+58</f>
        <v>598</v>
      </c>
      <c r="Q6404">
        <f t="shared" si="107"/>
        <v>7</v>
      </c>
      <c r="R6404">
        <v>1</v>
      </c>
      <c r="S6404">
        <v>0</v>
      </c>
      <c r="T6404">
        <v>0</v>
      </c>
      <c r="U6404">
        <v>0</v>
      </c>
      <c r="V6404">
        <v>0</v>
      </c>
      <c r="W6404">
        <v>7</v>
      </c>
      <c r="X6404" s="21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1</v>
      </c>
      <c r="AG6404">
        <v>0</v>
      </c>
      <c r="AH6404">
        <f t="shared" si="108"/>
        <v>672</v>
      </c>
      <c r="AJ6404" t="s">
        <v>54</v>
      </c>
      <c r="AK6404" t="s">
        <v>52</v>
      </c>
      <c r="AP6404" t="s">
        <v>1915</v>
      </c>
    </row>
    <row r="6405" spans="1:42">
      <c r="A6405" s="1">
        <v>43794</v>
      </c>
      <c r="B6405">
        <v>1</v>
      </c>
      <c r="C6405">
        <v>981</v>
      </c>
      <c r="D6405">
        <v>10371</v>
      </c>
      <c r="E6405" t="s">
        <v>37</v>
      </c>
      <c r="F6405" t="s">
        <v>520</v>
      </c>
      <c r="G6405">
        <v>2</v>
      </c>
      <c r="H6405">
        <v>21</v>
      </c>
      <c r="I6405" s="25">
        <v>800</v>
      </c>
      <c r="K6405" t="s">
        <v>46</v>
      </c>
      <c r="M6405" t="s">
        <v>52</v>
      </c>
      <c r="N6405" t="s">
        <v>42</v>
      </c>
      <c r="O6405">
        <v>1824</v>
      </c>
      <c r="Q6405">
        <f t="shared" si="107"/>
        <v>17</v>
      </c>
      <c r="R6405">
        <v>1</v>
      </c>
      <c r="S6405">
        <v>1</v>
      </c>
      <c r="T6405">
        <v>0</v>
      </c>
      <c r="U6405">
        <v>0</v>
      </c>
      <c r="V6405">
        <v>0</v>
      </c>
      <c r="W6405">
        <v>16</v>
      </c>
      <c r="X6405" s="21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f t="shared" si="108"/>
        <v>1552</v>
      </c>
      <c r="AJ6405" t="s">
        <v>54</v>
      </c>
      <c r="AK6405" t="s">
        <v>52</v>
      </c>
      <c r="AL6405" t="s">
        <v>1972</v>
      </c>
      <c r="AP6405" t="s">
        <v>1915</v>
      </c>
    </row>
    <row r="6406" spans="1:42">
      <c r="A6406" s="1">
        <v>43794</v>
      </c>
      <c r="B6406">
        <v>1</v>
      </c>
      <c r="C6406">
        <v>981</v>
      </c>
      <c r="D6406">
        <v>10371</v>
      </c>
      <c r="E6406" t="s">
        <v>37</v>
      </c>
      <c r="F6406" t="s">
        <v>520</v>
      </c>
      <c r="G6406">
        <v>2</v>
      </c>
      <c r="H6406">
        <v>22</v>
      </c>
      <c r="I6406" s="25">
        <v>600</v>
      </c>
      <c r="K6406" t="s">
        <v>102</v>
      </c>
      <c r="L6406" t="s">
        <v>141</v>
      </c>
      <c r="M6406" t="s">
        <v>52</v>
      </c>
      <c r="N6406" t="s">
        <v>44</v>
      </c>
      <c r="O6406">
        <f>60+60+60+60+60+60+60+60+60+60+60+60+60+60+35</f>
        <v>875</v>
      </c>
      <c r="Q6406">
        <f t="shared" si="107"/>
        <v>8</v>
      </c>
      <c r="R6406">
        <v>1</v>
      </c>
      <c r="S6406">
        <v>0</v>
      </c>
      <c r="T6406">
        <v>0</v>
      </c>
      <c r="U6406">
        <v>0</v>
      </c>
      <c r="V6406">
        <v>0</v>
      </c>
      <c r="W6406">
        <v>8</v>
      </c>
      <c r="X6406" s="21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f t="shared" si="108"/>
        <v>768</v>
      </c>
      <c r="AJ6406" t="s">
        <v>54</v>
      </c>
      <c r="AK6406" t="s">
        <v>52</v>
      </c>
      <c r="AP6406" t="s">
        <v>1915</v>
      </c>
    </row>
    <row r="6407" spans="1:42">
      <c r="A6407" s="1">
        <v>43794</v>
      </c>
      <c r="B6407">
        <v>1</v>
      </c>
      <c r="C6407">
        <v>981</v>
      </c>
      <c r="D6407">
        <v>10371</v>
      </c>
      <c r="E6407" t="s">
        <v>37</v>
      </c>
      <c r="F6407" t="s">
        <v>520</v>
      </c>
      <c r="G6407">
        <v>2</v>
      </c>
      <c r="H6407">
        <v>23</v>
      </c>
      <c r="I6407" s="25">
        <v>1014</v>
      </c>
      <c r="K6407" t="s">
        <v>69</v>
      </c>
      <c r="L6407" t="s">
        <v>114</v>
      </c>
      <c r="M6407" t="s">
        <v>52</v>
      </c>
      <c r="N6407" t="s">
        <v>44</v>
      </c>
      <c r="O6407">
        <f>60+60+60+60+60+60+60+44</f>
        <v>464</v>
      </c>
      <c r="Q6407">
        <f t="shared" si="107"/>
        <v>2</v>
      </c>
      <c r="R6407">
        <v>1</v>
      </c>
      <c r="S6407">
        <v>0</v>
      </c>
      <c r="T6407">
        <v>0</v>
      </c>
      <c r="U6407">
        <v>0</v>
      </c>
      <c r="V6407">
        <v>1</v>
      </c>
      <c r="W6407">
        <v>1</v>
      </c>
      <c r="X6407" s="21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1</v>
      </c>
      <c r="AG6407">
        <v>0</v>
      </c>
      <c r="AH6407">
        <f t="shared" si="108"/>
        <v>160</v>
      </c>
      <c r="AJ6407" t="s">
        <v>51</v>
      </c>
      <c r="AK6407" t="s">
        <v>52</v>
      </c>
      <c r="AP6407" t="s">
        <v>1915</v>
      </c>
    </row>
    <row r="6408" spans="1:42">
      <c r="A6408" s="1">
        <v>43808</v>
      </c>
      <c r="B6408">
        <v>1</v>
      </c>
      <c r="C6408">
        <v>981</v>
      </c>
      <c r="D6408">
        <v>10371</v>
      </c>
      <c r="E6408" t="s">
        <v>37</v>
      </c>
      <c r="F6408" t="s">
        <v>520</v>
      </c>
      <c r="G6408">
        <v>2</v>
      </c>
      <c r="H6408">
        <v>24</v>
      </c>
      <c r="I6408" s="25">
        <v>728</v>
      </c>
      <c r="K6408" t="s">
        <v>101</v>
      </c>
      <c r="L6408" t="s">
        <v>114</v>
      </c>
      <c r="M6408" t="s">
        <v>52</v>
      </c>
      <c r="N6408" t="s">
        <v>44</v>
      </c>
      <c r="O6408">
        <f>60+60+32</f>
        <v>152</v>
      </c>
      <c r="Q6408">
        <f t="shared" si="107"/>
        <v>1</v>
      </c>
      <c r="R6408">
        <v>1</v>
      </c>
      <c r="S6408">
        <v>0</v>
      </c>
      <c r="T6408">
        <v>0</v>
      </c>
      <c r="U6408">
        <v>0</v>
      </c>
      <c r="V6408">
        <v>0</v>
      </c>
      <c r="W6408">
        <v>1</v>
      </c>
      <c r="X6408" s="21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f t="shared" si="108"/>
        <v>96</v>
      </c>
      <c r="AJ6408" t="s">
        <v>54</v>
      </c>
      <c r="AK6408" t="s">
        <v>52</v>
      </c>
      <c r="AP6408" t="s">
        <v>1915</v>
      </c>
    </row>
    <row r="6409" spans="1:42">
      <c r="A6409" s="1">
        <v>43808</v>
      </c>
      <c r="B6409">
        <v>1</v>
      </c>
      <c r="C6409">
        <v>981</v>
      </c>
      <c r="D6409">
        <v>10371</v>
      </c>
      <c r="E6409" t="s">
        <v>37</v>
      </c>
      <c r="F6409" t="s">
        <v>520</v>
      </c>
      <c r="G6409">
        <v>2</v>
      </c>
      <c r="H6409">
        <v>25</v>
      </c>
      <c r="I6409" s="25">
        <v>710</v>
      </c>
      <c r="K6409" t="s">
        <v>101</v>
      </c>
      <c r="L6409" t="s">
        <v>114</v>
      </c>
      <c r="M6409" t="s">
        <v>52</v>
      </c>
      <c r="N6409" t="s">
        <v>44</v>
      </c>
      <c r="O6409">
        <f>60+60+21</f>
        <v>141</v>
      </c>
      <c r="Q6409">
        <f t="shared" si="107"/>
        <v>1</v>
      </c>
      <c r="R6409">
        <v>1</v>
      </c>
      <c r="S6409">
        <v>0</v>
      </c>
      <c r="T6409">
        <v>0</v>
      </c>
      <c r="U6409">
        <v>0</v>
      </c>
      <c r="V6409">
        <v>0</v>
      </c>
      <c r="W6409">
        <v>1</v>
      </c>
      <c r="X6409" s="21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f t="shared" si="108"/>
        <v>96</v>
      </c>
      <c r="AJ6409" t="s">
        <v>54</v>
      </c>
      <c r="AK6409" t="s">
        <v>52</v>
      </c>
      <c r="AP6409" t="s">
        <v>1915</v>
      </c>
    </row>
    <row r="6410" spans="1:42">
      <c r="A6410" s="1">
        <v>43808</v>
      </c>
      <c r="B6410">
        <v>1</v>
      </c>
      <c r="C6410">
        <v>981</v>
      </c>
      <c r="D6410">
        <v>10371</v>
      </c>
      <c r="E6410" t="s">
        <v>37</v>
      </c>
      <c r="F6410" t="s">
        <v>520</v>
      </c>
      <c r="G6410">
        <v>2</v>
      </c>
      <c r="H6410">
        <v>26</v>
      </c>
      <c r="I6410" s="25">
        <v>735</v>
      </c>
      <c r="K6410" t="s">
        <v>101</v>
      </c>
      <c r="L6410" t="s">
        <v>141</v>
      </c>
      <c r="M6410" t="s">
        <v>52</v>
      </c>
      <c r="N6410" t="s">
        <v>44</v>
      </c>
      <c r="O6410">
        <f>60+60+60+27</f>
        <v>207</v>
      </c>
      <c r="Q6410">
        <f t="shared" si="107"/>
        <v>2</v>
      </c>
      <c r="R6410">
        <v>1</v>
      </c>
      <c r="S6410">
        <v>0</v>
      </c>
      <c r="T6410">
        <v>0</v>
      </c>
      <c r="U6410">
        <v>0</v>
      </c>
      <c r="V6410">
        <v>0</v>
      </c>
      <c r="W6410">
        <v>2</v>
      </c>
      <c r="X6410" s="21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f t="shared" si="108"/>
        <v>192</v>
      </c>
      <c r="AJ6410" t="s">
        <v>54</v>
      </c>
      <c r="AK6410" t="s">
        <v>52</v>
      </c>
      <c r="AL6410" t="s">
        <v>1941</v>
      </c>
      <c r="AP6410" t="s">
        <v>1915</v>
      </c>
    </row>
    <row r="6411" spans="1:42">
      <c r="A6411" s="1">
        <v>43808</v>
      </c>
      <c r="B6411">
        <v>1</v>
      </c>
      <c r="C6411">
        <v>981</v>
      </c>
      <c r="D6411">
        <v>10371</v>
      </c>
      <c r="E6411" t="s">
        <v>37</v>
      </c>
      <c r="F6411" t="s">
        <v>520</v>
      </c>
      <c r="G6411">
        <v>2</v>
      </c>
      <c r="H6411">
        <v>27</v>
      </c>
      <c r="I6411" s="25">
        <v>700</v>
      </c>
      <c r="K6411" t="s">
        <v>101</v>
      </c>
      <c r="M6411" t="s">
        <v>52</v>
      </c>
      <c r="N6411" t="s">
        <v>40</v>
      </c>
      <c r="O6411">
        <f>60+51</f>
        <v>111</v>
      </c>
      <c r="Q6411">
        <f t="shared" si="107"/>
        <v>2</v>
      </c>
      <c r="R6411">
        <v>1</v>
      </c>
      <c r="S6411">
        <v>0</v>
      </c>
      <c r="T6411">
        <v>0</v>
      </c>
      <c r="U6411">
        <v>0</v>
      </c>
      <c r="V6411">
        <v>0</v>
      </c>
      <c r="W6411">
        <v>2</v>
      </c>
      <c r="X6411" s="2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f t="shared" si="108"/>
        <v>192</v>
      </c>
      <c r="AJ6411" t="s">
        <v>54</v>
      </c>
      <c r="AK6411" t="s">
        <v>52</v>
      </c>
      <c r="AP6411" t="s">
        <v>1915</v>
      </c>
    </row>
    <row r="6412" spans="1:42">
      <c r="A6412" s="1">
        <v>43808</v>
      </c>
      <c r="B6412">
        <v>1</v>
      </c>
      <c r="C6412">
        <v>981</v>
      </c>
      <c r="D6412">
        <v>10371</v>
      </c>
      <c r="E6412" t="s">
        <v>37</v>
      </c>
      <c r="F6412" t="s">
        <v>520</v>
      </c>
      <c r="G6412">
        <v>2</v>
      </c>
      <c r="H6412">
        <v>28</v>
      </c>
      <c r="I6412" s="25">
        <v>700</v>
      </c>
      <c r="K6412" t="s">
        <v>101</v>
      </c>
      <c r="M6412" t="s">
        <v>52</v>
      </c>
      <c r="N6412" t="s">
        <v>40</v>
      </c>
      <c r="O6412">
        <f>60+60+8</f>
        <v>128</v>
      </c>
      <c r="Q6412">
        <f t="shared" si="107"/>
        <v>4</v>
      </c>
      <c r="R6412">
        <v>1</v>
      </c>
      <c r="S6412">
        <v>0</v>
      </c>
      <c r="T6412">
        <v>0</v>
      </c>
      <c r="U6412">
        <v>0</v>
      </c>
      <c r="V6412">
        <v>0</v>
      </c>
      <c r="W6412">
        <v>4</v>
      </c>
      <c r="X6412" s="21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f t="shared" si="108"/>
        <v>384</v>
      </c>
      <c r="AJ6412" t="s">
        <v>54</v>
      </c>
      <c r="AK6412" t="s">
        <v>52</v>
      </c>
      <c r="AP6412" t="s">
        <v>1915</v>
      </c>
    </row>
    <row r="6413" spans="1:42">
      <c r="A6413" s="1">
        <v>43808</v>
      </c>
      <c r="B6413">
        <v>1</v>
      </c>
      <c r="C6413">
        <v>981</v>
      </c>
      <c r="D6413">
        <v>10371</v>
      </c>
      <c r="E6413" t="s">
        <v>37</v>
      </c>
      <c r="F6413" t="s">
        <v>520</v>
      </c>
      <c r="G6413">
        <v>2</v>
      </c>
      <c r="H6413">
        <v>29</v>
      </c>
      <c r="I6413" s="25">
        <v>749</v>
      </c>
      <c r="K6413" t="s">
        <v>101</v>
      </c>
      <c r="L6413" t="s">
        <v>141</v>
      </c>
      <c r="M6413" t="s">
        <v>52</v>
      </c>
      <c r="N6413" t="s">
        <v>44</v>
      </c>
      <c r="O6413">
        <f>60+40</f>
        <v>100</v>
      </c>
      <c r="Q6413">
        <f t="shared" si="107"/>
        <v>2</v>
      </c>
      <c r="R6413">
        <v>1</v>
      </c>
      <c r="S6413">
        <v>0</v>
      </c>
      <c r="T6413">
        <v>0</v>
      </c>
      <c r="U6413">
        <v>0</v>
      </c>
      <c r="V6413">
        <v>0</v>
      </c>
      <c r="W6413">
        <v>2</v>
      </c>
      <c r="X6413" s="21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f t="shared" si="108"/>
        <v>192</v>
      </c>
      <c r="AJ6413" t="s">
        <v>54</v>
      </c>
      <c r="AK6413" t="s">
        <v>52</v>
      </c>
      <c r="AP6413" t="s">
        <v>1915</v>
      </c>
    </row>
    <row r="6414" spans="1:42">
      <c r="A6414" s="1">
        <v>43808</v>
      </c>
      <c r="B6414">
        <v>1</v>
      </c>
      <c r="C6414">
        <v>981</v>
      </c>
      <c r="D6414">
        <v>10371</v>
      </c>
      <c r="E6414" t="s">
        <v>37</v>
      </c>
      <c r="F6414" t="s">
        <v>520</v>
      </c>
      <c r="G6414">
        <v>2</v>
      </c>
      <c r="H6414">
        <v>30</v>
      </c>
      <c r="I6414" s="25">
        <v>828</v>
      </c>
      <c r="K6414" t="s">
        <v>101</v>
      </c>
      <c r="L6414" t="s">
        <v>114</v>
      </c>
      <c r="M6414" t="s">
        <v>52</v>
      </c>
      <c r="N6414" t="s">
        <v>44</v>
      </c>
      <c r="O6414">
        <f>60+60+32</f>
        <v>152</v>
      </c>
      <c r="Q6414">
        <f t="shared" si="107"/>
        <v>1</v>
      </c>
      <c r="R6414">
        <v>1</v>
      </c>
      <c r="S6414">
        <v>0</v>
      </c>
      <c r="T6414">
        <v>0</v>
      </c>
      <c r="U6414">
        <v>0</v>
      </c>
      <c r="V6414">
        <v>0</v>
      </c>
      <c r="W6414">
        <v>1</v>
      </c>
      <c r="X6414" s="21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f t="shared" si="108"/>
        <v>96</v>
      </c>
      <c r="AJ6414" t="s">
        <v>54</v>
      </c>
      <c r="AK6414" t="s">
        <v>52</v>
      </c>
      <c r="AP6414" t="s">
        <v>1915</v>
      </c>
    </row>
    <row r="6415" spans="1:42">
      <c r="A6415" s="1">
        <v>43808</v>
      </c>
      <c r="B6415">
        <v>1</v>
      </c>
      <c r="C6415">
        <v>981</v>
      </c>
      <c r="D6415">
        <v>10371</v>
      </c>
      <c r="E6415" t="s">
        <v>37</v>
      </c>
      <c r="F6415" t="s">
        <v>520</v>
      </c>
      <c r="G6415">
        <v>2</v>
      </c>
      <c r="H6415">
        <v>31</v>
      </c>
      <c r="I6415" s="25">
        <v>840</v>
      </c>
      <c r="K6415" t="s">
        <v>101</v>
      </c>
      <c r="L6415" t="s">
        <v>114</v>
      </c>
      <c r="M6415" t="s">
        <v>52</v>
      </c>
      <c r="N6415" t="s">
        <v>44</v>
      </c>
      <c r="O6415">
        <f>60+42</f>
        <v>102</v>
      </c>
      <c r="Q6415">
        <f t="shared" si="107"/>
        <v>1</v>
      </c>
      <c r="R6415">
        <v>1</v>
      </c>
      <c r="S6415">
        <v>0</v>
      </c>
      <c r="T6415">
        <v>0</v>
      </c>
      <c r="U6415">
        <v>0</v>
      </c>
      <c r="V6415">
        <v>0</v>
      </c>
      <c r="W6415">
        <v>1</v>
      </c>
      <c r="X6415" s="21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f t="shared" si="108"/>
        <v>96</v>
      </c>
      <c r="AJ6415" t="s">
        <v>54</v>
      </c>
      <c r="AK6415" t="s">
        <v>52</v>
      </c>
      <c r="AL6415" t="s">
        <v>1943</v>
      </c>
      <c r="AP6415" t="s">
        <v>1915</v>
      </c>
    </row>
    <row r="6416" spans="1:42">
      <c r="A6416" s="1">
        <v>43808</v>
      </c>
      <c r="B6416">
        <v>1</v>
      </c>
      <c r="C6416">
        <v>981</v>
      </c>
      <c r="D6416">
        <v>10371</v>
      </c>
      <c r="E6416" t="s">
        <v>37</v>
      </c>
      <c r="F6416" t="s">
        <v>520</v>
      </c>
      <c r="G6416">
        <v>2</v>
      </c>
      <c r="H6416">
        <v>32</v>
      </c>
      <c r="I6416" s="25">
        <v>850</v>
      </c>
      <c r="K6416" t="s">
        <v>101</v>
      </c>
      <c r="L6416" t="s">
        <v>114</v>
      </c>
      <c r="M6416" t="s">
        <v>52</v>
      </c>
      <c r="N6416" t="s">
        <v>44</v>
      </c>
      <c r="O6416">
        <f>60+60+60+60+41</f>
        <v>281</v>
      </c>
      <c r="Q6416">
        <f t="shared" si="107"/>
        <v>5</v>
      </c>
      <c r="R6416">
        <v>1</v>
      </c>
      <c r="S6416">
        <v>0</v>
      </c>
      <c r="T6416">
        <v>0</v>
      </c>
      <c r="U6416">
        <v>0</v>
      </c>
      <c r="V6416">
        <v>0</v>
      </c>
      <c r="W6416">
        <v>5</v>
      </c>
      <c r="X6416" s="21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f t="shared" si="108"/>
        <v>480</v>
      </c>
      <c r="AJ6416" t="s">
        <v>54</v>
      </c>
      <c r="AK6416" t="s">
        <v>52</v>
      </c>
      <c r="AL6416" t="s">
        <v>1945</v>
      </c>
      <c r="AP6416" t="s">
        <v>1915</v>
      </c>
    </row>
    <row r="6417" spans="1:42">
      <c r="A6417" s="1">
        <v>43808</v>
      </c>
      <c r="B6417">
        <v>1</v>
      </c>
      <c r="C6417">
        <v>981</v>
      </c>
      <c r="D6417">
        <v>10371</v>
      </c>
      <c r="E6417" t="s">
        <v>37</v>
      </c>
      <c r="F6417" t="s">
        <v>520</v>
      </c>
      <c r="G6417">
        <v>2</v>
      </c>
      <c r="H6417">
        <v>33</v>
      </c>
      <c r="I6417" s="25">
        <v>910</v>
      </c>
      <c r="K6417" t="s">
        <v>101</v>
      </c>
      <c r="L6417" t="s">
        <v>114</v>
      </c>
      <c r="M6417" t="s">
        <v>52</v>
      </c>
      <c r="N6417" t="s">
        <v>44</v>
      </c>
      <c r="O6417">
        <f>60+60+60+44</f>
        <v>224</v>
      </c>
      <c r="Q6417">
        <f t="shared" si="107"/>
        <v>2</v>
      </c>
      <c r="R6417">
        <v>1</v>
      </c>
      <c r="S6417">
        <v>0</v>
      </c>
      <c r="T6417">
        <v>0</v>
      </c>
      <c r="U6417">
        <v>0</v>
      </c>
      <c r="V6417">
        <v>0</v>
      </c>
      <c r="W6417">
        <v>2</v>
      </c>
      <c r="X6417" s="21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f t="shared" si="108"/>
        <v>192</v>
      </c>
      <c r="AJ6417" t="s">
        <v>54</v>
      </c>
      <c r="AK6417" t="s">
        <v>52</v>
      </c>
      <c r="AP6417" t="s">
        <v>1915</v>
      </c>
    </row>
    <row r="6418" spans="1:42">
      <c r="A6418" s="1">
        <v>43808</v>
      </c>
      <c r="B6418">
        <v>1</v>
      </c>
      <c r="C6418">
        <v>981</v>
      </c>
      <c r="D6418">
        <v>10371</v>
      </c>
      <c r="E6418" t="s">
        <v>37</v>
      </c>
      <c r="F6418" t="s">
        <v>520</v>
      </c>
      <c r="G6418">
        <v>2</v>
      </c>
      <c r="H6418">
        <v>34</v>
      </c>
      <c r="I6418" s="25">
        <v>920</v>
      </c>
      <c r="K6418" t="s">
        <v>101</v>
      </c>
      <c r="L6418" t="s">
        <v>114</v>
      </c>
      <c r="M6418" t="s">
        <v>52</v>
      </c>
      <c r="N6418" t="s">
        <v>44</v>
      </c>
      <c r="O6418">
        <f>60+60+40</f>
        <v>160</v>
      </c>
      <c r="Q6418">
        <f t="shared" si="107"/>
        <v>2</v>
      </c>
      <c r="R6418">
        <v>1</v>
      </c>
      <c r="S6418">
        <v>0</v>
      </c>
      <c r="T6418">
        <v>0</v>
      </c>
      <c r="U6418">
        <v>0</v>
      </c>
      <c r="V6418">
        <v>0</v>
      </c>
      <c r="W6418">
        <v>2</v>
      </c>
      <c r="X6418" s="21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f t="shared" si="108"/>
        <v>192</v>
      </c>
      <c r="AJ6418" t="s">
        <v>54</v>
      </c>
      <c r="AK6418" t="s">
        <v>52</v>
      </c>
      <c r="AP6418" t="s">
        <v>1915</v>
      </c>
    </row>
    <row r="6419" spans="1:42">
      <c r="A6419" s="1">
        <v>43808</v>
      </c>
      <c r="B6419">
        <v>1</v>
      </c>
      <c r="C6419">
        <v>981</v>
      </c>
      <c r="D6419">
        <v>10371</v>
      </c>
      <c r="E6419" t="s">
        <v>37</v>
      </c>
      <c r="F6419" t="s">
        <v>520</v>
      </c>
      <c r="G6419">
        <v>2</v>
      </c>
      <c r="H6419">
        <v>35</v>
      </c>
      <c r="I6419" s="25">
        <v>926</v>
      </c>
      <c r="K6419" t="s">
        <v>101</v>
      </c>
      <c r="L6419" t="s">
        <v>114</v>
      </c>
      <c r="M6419" t="s">
        <v>52</v>
      </c>
      <c r="N6419" t="s">
        <v>44</v>
      </c>
      <c r="O6419">
        <f>60+31</f>
        <v>91</v>
      </c>
      <c r="Q6419">
        <f t="shared" si="107"/>
        <v>1</v>
      </c>
      <c r="R6419">
        <v>1</v>
      </c>
      <c r="S6419">
        <v>0</v>
      </c>
      <c r="T6419">
        <v>0</v>
      </c>
      <c r="U6419">
        <v>0</v>
      </c>
      <c r="V6419">
        <v>0</v>
      </c>
      <c r="W6419">
        <v>1</v>
      </c>
      <c r="X6419" s="21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1</v>
      </c>
      <c r="AG6419">
        <v>0</v>
      </c>
      <c r="AH6419">
        <f t="shared" si="108"/>
        <v>96</v>
      </c>
      <c r="AJ6419" t="s">
        <v>54</v>
      </c>
      <c r="AK6419" t="s">
        <v>52</v>
      </c>
      <c r="AP6419" t="s">
        <v>1915</v>
      </c>
    </row>
    <row r="6420" spans="1:42">
      <c r="A6420" s="1">
        <v>43808</v>
      </c>
      <c r="B6420">
        <v>1</v>
      </c>
      <c r="C6420">
        <v>981</v>
      </c>
      <c r="D6420">
        <v>10371</v>
      </c>
      <c r="E6420" t="s">
        <v>37</v>
      </c>
      <c r="F6420" t="s">
        <v>520</v>
      </c>
      <c r="G6420">
        <v>2</v>
      </c>
      <c r="H6420">
        <v>36</v>
      </c>
      <c r="I6420" s="25">
        <v>1026</v>
      </c>
      <c r="K6420" t="s">
        <v>69</v>
      </c>
      <c r="L6420" t="s">
        <v>114</v>
      </c>
      <c r="M6420" t="s">
        <v>52</v>
      </c>
      <c r="N6420" t="s">
        <v>44</v>
      </c>
      <c r="O6420">
        <f>60+60+13</f>
        <v>133</v>
      </c>
      <c r="Q6420">
        <f t="shared" si="107"/>
        <v>1</v>
      </c>
      <c r="R6420">
        <v>1</v>
      </c>
      <c r="S6420">
        <v>0</v>
      </c>
      <c r="T6420">
        <v>0</v>
      </c>
      <c r="U6420">
        <v>0</v>
      </c>
      <c r="V6420">
        <v>0</v>
      </c>
      <c r="W6420">
        <v>1</v>
      </c>
      <c r="X6420" s="21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f t="shared" si="108"/>
        <v>96</v>
      </c>
      <c r="AJ6420" t="s">
        <v>51</v>
      </c>
      <c r="AK6420" t="s">
        <v>52</v>
      </c>
      <c r="AP6420" t="s">
        <v>1915</v>
      </c>
    </row>
    <row r="6421" spans="1:42">
      <c r="A6421" s="1">
        <v>43808</v>
      </c>
      <c r="B6421">
        <v>1</v>
      </c>
      <c r="C6421">
        <v>981</v>
      </c>
      <c r="D6421">
        <v>10371</v>
      </c>
      <c r="E6421" t="s">
        <v>37</v>
      </c>
      <c r="F6421" t="s">
        <v>520</v>
      </c>
      <c r="G6421">
        <v>2</v>
      </c>
      <c r="H6421">
        <v>37</v>
      </c>
      <c r="I6421" s="25">
        <v>1016</v>
      </c>
      <c r="K6421" t="s">
        <v>69</v>
      </c>
      <c r="L6421" t="s">
        <v>114</v>
      </c>
      <c r="M6421" t="s">
        <v>52</v>
      </c>
      <c r="N6421" t="s">
        <v>44</v>
      </c>
      <c r="O6421">
        <f>60+55</f>
        <v>115</v>
      </c>
      <c r="Q6421">
        <f t="shared" si="107"/>
        <v>1</v>
      </c>
      <c r="R6421">
        <v>1</v>
      </c>
      <c r="S6421">
        <v>0</v>
      </c>
      <c r="T6421">
        <v>0</v>
      </c>
      <c r="U6421">
        <v>0</v>
      </c>
      <c r="V6421">
        <v>0</v>
      </c>
      <c r="W6421">
        <v>1</v>
      </c>
      <c r="X6421" s="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f t="shared" si="108"/>
        <v>96</v>
      </c>
      <c r="AJ6421" t="s">
        <v>51</v>
      </c>
      <c r="AK6421" t="s">
        <v>52</v>
      </c>
      <c r="AP6421" t="s">
        <v>1915</v>
      </c>
    </row>
    <row r="6422" spans="1:42">
      <c r="A6422" s="1">
        <v>43808</v>
      </c>
      <c r="B6422">
        <v>1</v>
      </c>
      <c r="C6422">
        <v>981</v>
      </c>
      <c r="D6422">
        <v>10371</v>
      </c>
      <c r="E6422" t="s">
        <v>37</v>
      </c>
      <c r="F6422" t="s">
        <v>520</v>
      </c>
      <c r="G6422">
        <v>2</v>
      </c>
      <c r="H6422">
        <v>38</v>
      </c>
      <c r="I6422" s="25">
        <v>1035</v>
      </c>
      <c r="K6422" t="s">
        <v>69</v>
      </c>
      <c r="L6422" t="s">
        <v>141</v>
      </c>
      <c r="M6422" t="s">
        <v>52</v>
      </c>
      <c r="N6422" t="s">
        <v>44</v>
      </c>
      <c r="O6422">
        <f>60+60+60+53</f>
        <v>233</v>
      </c>
      <c r="Q6422">
        <f t="shared" si="107"/>
        <v>2</v>
      </c>
      <c r="R6422">
        <v>1</v>
      </c>
      <c r="S6422">
        <v>0</v>
      </c>
      <c r="T6422">
        <v>0</v>
      </c>
      <c r="U6422">
        <v>0</v>
      </c>
      <c r="V6422">
        <v>0</v>
      </c>
      <c r="W6422">
        <v>2</v>
      </c>
      <c r="X6422" s="21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f t="shared" si="108"/>
        <v>192</v>
      </c>
      <c r="AJ6422" t="s">
        <v>51</v>
      </c>
      <c r="AK6422" t="s">
        <v>52</v>
      </c>
      <c r="AP6422" t="s">
        <v>1915</v>
      </c>
    </row>
    <row r="6423" spans="1:42">
      <c r="A6423" s="1">
        <v>43808</v>
      </c>
      <c r="B6423">
        <v>1</v>
      </c>
      <c r="C6423">
        <v>981</v>
      </c>
      <c r="D6423">
        <v>10371</v>
      </c>
      <c r="E6423" t="s">
        <v>37</v>
      </c>
      <c r="F6423" t="s">
        <v>520</v>
      </c>
      <c r="G6423">
        <v>2</v>
      </c>
      <c r="H6423">
        <v>39</v>
      </c>
      <c r="I6423" s="25">
        <v>1044</v>
      </c>
      <c r="K6423" t="s">
        <v>69</v>
      </c>
      <c r="L6423" t="s">
        <v>114</v>
      </c>
      <c r="M6423" t="s">
        <v>52</v>
      </c>
      <c r="N6423" t="s">
        <v>44</v>
      </c>
      <c r="O6423">
        <f>60+60+60+60+60+28</f>
        <v>328</v>
      </c>
      <c r="Q6423">
        <f t="shared" si="107"/>
        <v>2</v>
      </c>
      <c r="R6423">
        <v>1</v>
      </c>
      <c r="S6423">
        <v>0</v>
      </c>
      <c r="T6423">
        <v>0</v>
      </c>
      <c r="U6423">
        <v>0</v>
      </c>
      <c r="V6423">
        <v>0</v>
      </c>
      <c r="W6423">
        <v>2</v>
      </c>
      <c r="X6423" s="21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1</v>
      </c>
      <c r="AG6423">
        <v>0</v>
      </c>
      <c r="AH6423">
        <f t="shared" si="108"/>
        <v>192</v>
      </c>
      <c r="AJ6423" t="s">
        <v>51</v>
      </c>
      <c r="AK6423" t="s">
        <v>52</v>
      </c>
      <c r="AP6423" t="s">
        <v>1915</v>
      </c>
    </row>
    <row r="6424" spans="1:42">
      <c r="A6424" s="1">
        <v>43808</v>
      </c>
      <c r="B6424">
        <v>1</v>
      </c>
      <c r="C6424">
        <v>981</v>
      </c>
      <c r="D6424">
        <v>10371</v>
      </c>
      <c r="E6424" t="s">
        <v>37</v>
      </c>
      <c r="F6424" t="s">
        <v>520</v>
      </c>
      <c r="G6424">
        <v>2</v>
      </c>
      <c r="H6424">
        <v>40</v>
      </c>
      <c r="I6424" s="25">
        <v>1060</v>
      </c>
      <c r="K6424" t="s">
        <v>69</v>
      </c>
      <c r="L6424" t="s">
        <v>114</v>
      </c>
      <c r="M6424" t="s">
        <v>52</v>
      </c>
      <c r="N6424" t="s">
        <v>44</v>
      </c>
      <c r="O6424">
        <f>60+16</f>
        <v>76</v>
      </c>
      <c r="Q6424">
        <f t="shared" si="107"/>
        <v>1</v>
      </c>
      <c r="R6424">
        <v>1</v>
      </c>
      <c r="S6424">
        <v>0</v>
      </c>
      <c r="T6424">
        <v>0</v>
      </c>
      <c r="U6424">
        <v>0</v>
      </c>
      <c r="V6424">
        <v>0</v>
      </c>
      <c r="W6424">
        <v>1</v>
      </c>
      <c r="X6424" s="21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f t="shared" si="108"/>
        <v>96</v>
      </c>
      <c r="AJ6424" t="s">
        <v>51</v>
      </c>
      <c r="AK6424" t="s">
        <v>52</v>
      </c>
      <c r="AP6424" t="s">
        <v>1915</v>
      </c>
    </row>
    <row r="6425" spans="1:42">
      <c r="A6425" s="1">
        <v>43808</v>
      </c>
      <c r="B6425">
        <v>1</v>
      </c>
      <c r="C6425">
        <v>981</v>
      </c>
      <c r="D6425">
        <v>10371</v>
      </c>
      <c r="E6425" t="s">
        <v>37</v>
      </c>
      <c r="F6425" t="s">
        <v>520</v>
      </c>
      <c r="G6425">
        <v>2</v>
      </c>
      <c r="H6425">
        <v>41</v>
      </c>
      <c r="I6425" s="25">
        <v>1082</v>
      </c>
      <c r="K6425" t="s">
        <v>69</v>
      </c>
      <c r="L6425" t="s">
        <v>114</v>
      </c>
      <c r="M6425" t="s">
        <v>52</v>
      </c>
      <c r="N6425" t="s">
        <v>44</v>
      </c>
      <c r="O6425">
        <f>60+60+49</f>
        <v>169</v>
      </c>
      <c r="Q6425">
        <f t="shared" si="107"/>
        <v>2</v>
      </c>
      <c r="R6425">
        <v>1</v>
      </c>
      <c r="S6425">
        <v>0</v>
      </c>
      <c r="T6425">
        <v>0</v>
      </c>
      <c r="U6425">
        <v>0</v>
      </c>
      <c r="V6425">
        <v>0</v>
      </c>
      <c r="W6425">
        <v>2</v>
      </c>
      <c r="X6425" s="21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1</v>
      </c>
      <c r="AG6425">
        <v>0</v>
      </c>
      <c r="AH6425">
        <f t="shared" si="108"/>
        <v>192</v>
      </c>
      <c r="AJ6425" t="s">
        <v>51</v>
      </c>
      <c r="AK6425" t="s">
        <v>52</v>
      </c>
      <c r="AP6425" t="s">
        <v>1915</v>
      </c>
    </row>
    <row r="6426" spans="1:42">
      <c r="A6426" s="1">
        <v>43808</v>
      </c>
      <c r="B6426">
        <v>1</v>
      </c>
      <c r="C6426">
        <v>981</v>
      </c>
      <c r="D6426">
        <v>10371</v>
      </c>
      <c r="E6426" t="s">
        <v>37</v>
      </c>
      <c r="F6426" t="s">
        <v>520</v>
      </c>
      <c r="G6426">
        <v>2</v>
      </c>
      <c r="H6426">
        <v>42</v>
      </c>
      <c r="I6426" s="25">
        <v>1096</v>
      </c>
      <c r="K6426" t="s">
        <v>69</v>
      </c>
      <c r="L6426" t="s">
        <v>114</v>
      </c>
      <c r="M6426" t="s">
        <v>52</v>
      </c>
      <c r="N6426" t="s">
        <v>44</v>
      </c>
      <c r="O6426">
        <f>60+60+60+25</f>
        <v>205</v>
      </c>
      <c r="Q6426">
        <f t="shared" si="107"/>
        <v>2</v>
      </c>
      <c r="R6426">
        <v>1</v>
      </c>
      <c r="S6426">
        <v>0</v>
      </c>
      <c r="T6426">
        <v>0</v>
      </c>
      <c r="U6426">
        <v>0</v>
      </c>
      <c r="V6426">
        <v>0</v>
      </c>
      <c r="W6426">
        <v>2</v>
      </c>
      <c r="X6426" s="21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f t="shared" si="108"/>
        <v>192</v>
      </c>
      <c r="AJ6426" t="s">
        <v>51</v>
      </c>
      <c r="AK6426" t="s">
        <v>52</v>
      </c>
      <c r="AP6426" t="s">
        <v>1915</v>
      </c>
    </row>
    <row r="6427" spans="1:42">
      <c r="A6427" s="1">
        <v>43808</v>
      </c>
      <c r="B6427">
        <v>1</v>
      </c>
      <c r="C6427">
        <v>981</v>
      </c>
      <c r="D6427">
        <v>10371</v>
      </c>
      <c r="E6427" t="s">
        <v>37</v>
      </c>
      <c r="F6427" t="s">
        <v>520</v>
      </c>
      <c r="G6427">
        <v>2</v>
      </c>
      <c r="H6427">
        <v>43</v>
      </c>
      <c r="I6427" s="25">
        <v>1101</v>
      </c>
      <c r="K6427" t="s">
        <v>69</v>
      </c>
      <c r="L6427" t="s">
        <v>141</v>
      </c>
      <c r="M6427" t="s">
        <v>52</v>
      </c>
      <c r="N6427" t="s">
        <v>44</v>
      </c>
      <c r="O6427">
        <f>60+60+39</f>
        <v>159</v>
      </c>
      <c r="Q6427">
        <f t="shared" si="107"/>
        <v>1</v>
      </c>
      <c r="R6427">
        <v>1</v>
      </c>
      <c r="S6427">
        <v>0</v>
      </c>
      <c r="T6427">
        <v>0</v>
      </c>
      <c r="U6427">
        <v>0</v>
      </c>
      <c r="V6427">
        <v>0</v>
      </c>
      <c r="W6427">
        <v>1</v>
      </c>
      <c r="X6427" s="21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f t="shared" si="108"/>
        <v>96</v>
      </c>
      <c r="AJ6427" t="s">
        <v>51</v>
      </c>
      <c r="AK6427" t="s">
        <v>52</v>
      </c>
      <c r="AP6427" t="s">
        <v>1915</v>
      </c>
    </row>
    <row r="6428" spans="1:42">
      <c r="A6428" s="1">
        <v>43808</v>
      </c>
      <c r="B6428">
        <v>1</v>
      </c>
      <c r="C6428">
        <v>981</v>
      </c>
      <c r="D6428">
        <v>10371</v>
      </c>
      <c r="E6428" t="s">
        <v>37</v>
      </c>
      <c r="F6428" t="s">
        <v>520</v>
      </c>
      <c r="G6428">
        <v>2</v>
      </c>
      <c r="H6428">
        <v>44</v>
      </c>
      <c r="I6428" s="25">
        <v>1100</v>
      </c>
      <c r="K6428" t="s">
        <v>69</v>
      </c>
      <c r="L6428" t="s">
        <v>141</v>
      </c>
      <c r="M6428" t="s">
        <v>52</v>
      </c>
      <c r="N6428" t="s">
        <v>44</v>
      </c>
      <c r="O6428">
        <f>60+60+60+60+3</f>
        <v>243</v>
      </c>
      <c r="Q6428">
        <f t="shared" si="107"/>
        <v>3</v>
      </c>
      <c r="R6428">
        <v>1</v>
      </c>
      <c r="S6428">
        <v>0</v>
      </c>
      <c r="T6428">
        <v>0</v>
      </c>
      <c r="U6428">
        <v>1</v>
      </c>
      <c r="V6428">
        <v>1</v>
      </c>
      <c r="W6428">
        <v>1</v>
      </c>
      <c r="X6428" s="21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f t="shared" si="108"/>
        <v>192</v>
      </c>
      <c r="AJ6428" t="s">
        <v>51</v>
      </c>
      <c r="AK6428" t="s">
        <v>52</v>
      </c>
      <c r="AP6428" t="s">
        <v>1915</v>
      </c>
    </row>
    <row r="6429" spans="1:42">
      <c r="A6429" s="1">
        <v>43808</v>
      </c>
      <c r="B6429">
        <v>1</v>
      </c>
      <c r="C6429">
        <v>981</v>
      </c>
      <c r="D6429">
        <v>10371</v>
      </c>
      <c r="E6429" t="s">
        <v>37</v>
      </c>
      <c r="F6429" t="s">
        <v>520</v>
      </c>
      <c r="G6429">
        <v>2</v>
      </c>
      <c r="H6429">
        <v>45</v>
      </c>
      <c r="I6429" s="25">
        <v>1145</v>
      </c>
      <c r="K6429" t="s">
        <v>69</v>
      </c>
      <c r="L6429" t="s">
        <v>141</v>
      </c>
      <c r="M6429" t="s">
        <v>52</v>
      </c>
      <c r="N6429" t="s">
        <v>44</v>
      </c>
      <c r="O6429">
        <f>60+60+60+27</f>
        <v>207</v>
      </c>
      <c r="Q6429">
        <f t="shared" si="107"/>
        <v>2</v>
      </c>
      <c r="R6429">
        <v>1</v>
      </c>
      <c r="S6429">
        <v>0</v>
      </c>
      <c r="T6429">
        <v>0</v>
      </c>
      <c r="U6429">
        <v>0</v>
      </c>
      <c r="V6429">
        <v>0</v>
      </c>
      <c r="W6429">
        <v>2</v>
      </c>
      <c r="X6429" s="21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f t="shared" si="108"/>
        <v>192</v>
      </c>
      <c r="AJ6429" t="s">
        <v>51</v>
      </c>
      <c r="AK6429" t="s">
        <v>52</v>
      </c>
      <c r="AP6429" t="s">
        <v>1915</v>
      </c>
    </row>
    <row r="6430" spans="1:42">
      <c r="A6430" s="1">
        <v>43808</v>
      </c>
      <c r="B6430">
        <v>1</v>
      </c>
      <c r="C6430">
        <v>981</v>
      </c>
      <c r="D6430">
        <v>10371</v>
      </c>
      <c r="E6430" t="s">
        <v>37</v>
      </c>
      <c r="F6430" t="s">
        <v>520</v>
      </c>
      <c r="G6430">
        <v>2</v>
      </c>
      <c r="H6430">
        <v>46</v>
      </c>
      <c r="I6430" s="25">
        <v>1111</v>
      </c>
      <c r="K6430" t="s">
        <v>69</v>
      </c>
      <c r="L6430" t="s">
        <v>141</v>
      </c>
      <c r="M6430" t="s">
        <v>52</v>
      </c>
      <c r="N6430" t="s">
        <v>44</v>
      </c>
      <c r="O6430">
        <f>60+60+60+27</f>
        <v>207</v>
      </c>
      <c r="Q6430">
        <f t="shared" si="107"/>
        <v>5</v>
      </c>
      <c r="R6430">
        <v>1</v>
      </c>
      <c r="S6430">
        <v>0</v>
      </c>
      <c r="T6430">
        <v>0</v>
      </c>
      <c r="U6430">
        <v>0</v>
      </c>
      <c r="V6430">
        <v>0</v>
      </c>
      <c r="W6430">
        <v>5</v>
      </c>
      <c r="X6430" s="21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f t="shared" si="108"/>
        <v>480</v>
      </c>
      <c r="AJ6430" t="s">
        <v>51</v>
      </c>
      <c r="AK6430" t="s">
        <v>52</v>
      </c>
      <c r="AP6430" t="s">
        <v>1915</v>
      </c>
    </row>
    <row r="6431" spans="1:42">
      <c r="A6431" s="1">
        <v>43808</v>
      </c>
      <c r="B6431">
        <v>1</v>
      </c>
      <c r="C6431">
        <v>981</v>
      </c>
      <c r="D6431">
        <v>10371</v>
      </c>
      <c r="E6431" t="s">
        <v>37</v>
      </c>
      <c r="F6431" t="s">
        <v>520</v>
      </c>
      <c r="G6431">
        <v>2</v>
      </c>
      <c r="H6431">
        <v>47</v>
      </c>
      <c r="I6431" s="25">
        <v>1140</v>
      </c>
      <c r="K6431" t="s">
        <v>69</v>
      </c>
      <c r="L6431" t="s">
        <v>114</v>
      </c>
      <c r="M6431" t="s">
        <v>52</v>
      </c>
      <c r="N6431" t="s">
        <v>44</v>
      </c>
      <c r="O6431">
        <f>60+60+60+45</f>
        <v>225</v>
      </c>
      <c r="Q6431">
        <f t="shared" si="107"/>
        <v>1</v>
      </c>
      <c r="R6431">
        <v>1</v>
      </c>
      <c r="S6431">
        <v>0</v>
      </c>
      <c r="T6431">
        <v>0</v>
      </c>
      <c r="U6431">
        <v>0</v>
      </c>
      <c r="V6431">
        <v>0</v>
      </c>
      <c r="W6431">
        <v>1</v>
      </c>
      <c r="X6431" s="2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f t="shared" si="108"/>
        <v>96</v>
      </c>
      <c r="AJ6431" t="s">
        <v>51</v>
      </c>
      <c r="AK6431" t="s">
        <v>52</v>
      </c>
      <c r="AP6431" t="s">
        <v>1915</v>
      </c>
    </row>
    <row r="6432" spans="1:42">
      <c r="A6432" s="1">
        <v>43808</v>
      </c>
      <c r="B6432">
        <v>1</v>
      </c>
      <c r="C6432">
        <v>981</v>
      </c>
      <c r="D6432">
        <v>10371</v>
      </c>
      <c r="E6432" t="s">
        <v>37</v>
      </c>
      <c r="F6432" t="s">
        <v>520</v>
      </c>
      <c r="G6432">
        <v>2</v>
      </c>
      <c r="H6432">
        <v>48</v>
      </c>
      <c r="I6432" s="25">
        <v>1160</v>
      </c>
      <c r="K6432" t="s">
        <v>69</v>
      </c>
      <c r="L6432" t="s">
        <v>114</v>
      </c>
      <c r="M6432" t="s">
        <v>52</v>
      </c>
      <c r="N6432" t="s">
        <v>44</v>
      </c>
      <c r="O6432">
        <f>60+60+60+60+22</f>
        <v>262</v>
      </c>
      <c r="Q6432">
        <f t="shared" si="107"/>
        <v>2</v>
      </c>
      <c r="R6432">
        <v>1</v>
      </c>
      <c r="S6432">
        <v>0</v>
      </c>
      <c r="T6432">
        <v>0</v>
      </c>
      <c r="U6432">
        <v>0</v>
      </c>
      <c r="V6432">
        <v>0</v>
      </c>
      <c r="W6432">
        <v>2</v>
      </c>
      <c r="X6432" s="21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f t="shared" si="108"/>
        <v>192</v>
      </c>
      <c r="AJ6432" t="s">
        <v>51</v>
      </c>
      <c r="AK6432" t="s">
        <v>52</v>
      </c>
      <c r="AL6432" t="s">
        <v>1973</v>
      </c>
      <c r="AP6432" t="s">
        <v>1915</v>
      </c>
    </row>
    <row r="6433" spans="1:42">
      <c r="A6433" s="1">
        <v>43808</v>
      </c>
      <c r="B6433">
        <v>1</v>
      </c>
      <c r="C6433">
        <v>981</v>
      </c>
      <c r="D6433">
        <v>10371</v>
      </c>
      <c r="E6433" t="s">
        <v>37</v>
      </c>
      <c r="F6433" t="s">
        <v>520</v>
      </c>
      <c r="G6433">
        <v>2</v>
      </c>
      <c r="H6433">
        <v>49</v>
      </c>
      <c r="I6433" s="25">
        <v>1175</v>
      </c>
      <c r="K6433" t="s">
        <v>69</v>
      </c>
      <c r="L6433" t="s">
        <v>141</v>
      </c>
      <c r="M6433" t="s">
        <v>52</v>
      </c>
      <c r="N6433" t="s">
        <v>44</v>
      </c>
      <c r="O6433">
        <v>57</v>
      </c>
      <c r="Q6433">
        <f t="shared" si="107"/>
        <v>1</v>
      </c>
      <c r="R6433">
        <v>1</v>
      </c>
      <c r="S6433">
        <v>0</v>
      </c>
      <c r="T6433">
        <v>0</v>
      </c>
      <c r="U6433">
        <v>0</v>
      </c>
      <c r="V6433">
        <v>0</v>
      </c>
      <c r="W6433">
        <v>1</v>
      </c>
      <c r="X6433" s="21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f t="shared" si="108"/>
        <v>96</v>
      </c>
      <c r="AJ6433" t="s">
        <v>51</v>
      </c>
      <c r="AK6433" t="s">
        <v>52</v>
      </c>
      <c r="AL6433" t="s">
        <v>1937</v>
      </c>
      <c r="AP6433" t="s">
        <v>1915</v>
      </c>
    </row>
    <row r="6434" spans="1:42">
      <c r="A6434" s="1">
        <v>43808</v>
      </c>
      <c r="B6434">
        <v>1</v>
      </c>
      <c r="C6434">
        <v>981</v>
      </c>
      <c r="D6434">
        <v>10371</v>
      </c>
      <c r="E6434" t="s">
        <v>37</v>
      </c>
      <c r="F6434" t="s">
        <v>520</v>
      </c>
      <c r="G6434">
        <v>2</v>
      </c>
      <c r="H6434">
        <v>50</v>
      </c>
      <c r="I6434" s="25">
        <v>1179</v>
      </c>
      <c r="K6434" t="s">
        <v>69</v>
      </c>
      <c r="L6434" t="s">
        <v>141</v>
      </c>
      <c r="M6434" t="s">
        <v>52</v>
      </c>
      <c r="N6434" t="s">
        <v>44</v>
      </c>
      <c r="O6434">
        <f>60+60+60+18</f>
        <v>198</v>
      </c>
      <c r="Q6434">
        <f t="shared" si="107"/>
        <v>1</v>
      </c>
      <c r="R6434">
        <v>1</v>
      </c>
      <c r="S6434">
        <v>0</v>
      </c>
      <c r="T6434">
        <v>0</v>
      </c>
      <c r="U6434">
        <v>0</v>
      </c>
      <c r="V6434">
        <v>0</v>
      </c>
      <c r="W6434">
        <v>1</v>
      </c>
      <c r="X6434" s="21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f t="shared" si="108"/>
        <v>96</v>
      </c>
      <c r="AJ6434" t="s">
        <v>51</v>
      </c>
      <c r="AK6434" t="s">
        <v>52</v>
      </c>
      <c r="AP6434" t="s">
        <v>1915</v>
      </c>
    </row>
    <row r="6435" spans="1:42">
      <c r="A6435" s="1">
        <v>43808</v>
      </c>
      <c r="B6435">
        <v>1</v>
      </c>
      <c r="C6435">
        <v>981</v>
      </c>
      <c r="D6435">
        <v>10371</v>
      </c>
      <c r="E6435" t="s">
        <v>37</v>
      </c>
      <c r="F6435" t="s">
        <v>520</v>
      </c>
      <c r="G6435">
        <v>2</v>
      </c>
      <c r="H6435">
        <v>51</v>
      </c>
      <c r="I6435" s="25">
        <v>1100</v>
      </c>
      <c r="K6435" t="s">
        <v>69</v>
      </c>
      <c r="M6435" t="s">
        <v>52</v>
      </c>
      <c r="N6435" t="s">
        <v>40</v>
      </c>
      <c r="O6435">
        <f>60+60+10</f>
        <v>130</v>
      </c>
      <c r="Q6435">
        <f t="shared" si="107"/>
        <v>3</v>
      </c>
      <c r="R6435">
        <v>1</v>
      </c>
      <c r="S6435">
        <v>0</v>
      </c>
      <c r="T6435">
        <v>0</v>
      </c>
      <c r="U6435">
        <v>0</v>
      </c>
      <c r="V6435">
        <v>0</v>
      </c>
      <c r="W6435">
        <v>3</v>
      </c>
      <c r="X6435" s="21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f t="shared" si="108"/>
        <v>288</v>
      </c>
      <c r="AJ6435" t="s">
        <v>51</v>
      </c>
      <c r="AK6435" t="s">
        <v>52</v>
      </c>
      <c r="AP6435" t="s">
        <v>1915</v>
      </c>
    </row>
    <row r="6436" spans="1:42">
      <c r="A6436" s="1">
        <v>43808</v>
      </c>
      <c r="B6436">
        <v>1</v>
      </c>
      <c r="C6436">
        <v>981</v>
      </c>
      <c r="D6436">
        <v>10371</v>
      </c>
      <c r="E6436" t="s">
        <v>37</v>
      </c>
      <c r="F6436" t="s">
        <v>520</v>
      </c>
      <c r="G6436">
        <v>2</v>
      </c>
      <c r="H6436">
        <v>52</v>
      </c>
      <c r="I6436" s="25">
        <v>1155</v>
      </c>
      <c r="K6436" t="s">
        <v>69</v>
      </c>
      <c r="L6436" t="s">
        <v>141</v>
      </c>
      <c r="M6436" t="s">
        <v>52</v>
      </c>
      <c r="N6436" t="s">
        <v>44</v>
      </c>
      <c r="O6436">
        <f>60+60+21</f>
        <v>141</v>
      </c>
      <c r="Q6436">
        <f t="shared" si="107"/>
        <v>2</v>
      </c>
      <c r="R6436">
        <v>1</v>
      </c>
      <c r="S6436">
        <v>0</v>
      </c>
      <c r="T6436">
        <v>0</v>
      </c>
      <c r="U6436">
        <v>0</v>
      </c>
      <c r="V6436">
        <v>0</v>
      </c>
      <c r="W6436">
        <v>2</v>
      </c>
      <c r="X6436" s="21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f t="shared" si="108"/>
        <v>192</v>
      </c>
      <c r="AJ6436" t="s">
        <v>51</v>
      </c>
      <c r="AK6436" t="s">
        <v>52</v>
      </c>
      <c r="AP6436" t="s">
        <v>1915</v>
      </c>
    </row>
    <row r="6437" spans="1:42">
      <c r="A6437" s="1">
        <v>43808</v>
      </c>
      <c r="B6437">
        <v>1</v>
      </c>
      <c r="C6437">
        <v>981</v>
      </c>
      <c r="D6437">
        <v>10371</v>
      </c>
      <c r="E6437" t="s">
        <v>37</v>
      </c>
      <c r="F6437" t="s">
        <v>520</v>
      </c>
      <c r="G6437">
        <v>2</v>
      </c>
      <c r="H6437">
        <v>53</v>
      </c>
      <c r="I6437" s="25">
        <v>1200</v>
      </c>
      <c r="K6437" t="s">
        <v>69</v>
      </c>
      <c r="M6437" t="s">
        <v>52</v>
      </c>
      <c r="N6437" t="s">
        <v>44</v>
      </c>
      <c r="O6437">
        <f>60+60+60+5</f>
        <v>185</v>
      </c>
      <c r="Q6437">
        <f t="shared" si="107"/>
        <v>2</v>
      </c>
      <c r="R6437">
        <v>1</v>
      </c>
      <c r="S6437">
        <v>0</v>
      </c>
      <c r="T6437">
        <v>0</v>
      </c>
      <c r="U6437">
        <v>0</v>
      </c>
      <c r="V6437">
        <v>0</v>
      </c>
      <c r="W6437">
        <v>2</v>
      </c>
      <c r="X6437" s="21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f t="shared" si="108"/>
        <v>192</v>
      </c>
      <c r="AJ6437" t="s">
        <v>54</v>
      </c>
      <c r="AK6437" t="s">
        <v>52</v>
      </c>
      <c r="AP6437" t="s">
        <v>1915</v>
      </c>
    </row>
    <row r="6438" spans="1:42">
      <c r="A6438" s="1">
        <v>43808</v>
      </c>
      <c r="B6438">
        <v>1</v>
      </c>
      <c r="C6438">
        <v>981</v>
      </c>
      <c r="D6438">
        <v>10371</v>
      </c>
      <c r="E6438" t="s">
        <v>37</v>
      </c>
      <c r="F6438" t="s">
        <v>520</v>
      </c>
      <c r="G6438">
        <v>2</v>
      </c>
      <c r="H6438">
        <v>54</v>
      </c>
      <c r="I6438" s="25">
        <v>1211</v>
      </c>
      <c r="K6438" t="s">
        <v>69</v>
      </c>
      <c r="L6438" t="s">
        <v>141</v>
      </c>
      <c r="M6438" t="s">
        <v>52</v>
      </c>
      <c r="N6438" t="s">
        <v>44</v>
      </c>
      <c r="O6438">
        <f>60+60+14</f>
        <v>134</v>
      </c>
      <c r="Q6438">
        <f t="shared" si="107"/>
        <v>1</v>
      </c>
      <c r="R6438">
        <v>1</v>
      </c>
      <c r="S6438">
        <v>0</v>
      </c>
      <c r="T6438">
        <v>0</v>
      </c>
      <c r="U6438">
        <v>0</v>
      </c>
      <c r="V6438">
        <v>0</v>
      </c>
      <c r="W6438">
        <v>1</v>
      </c>
      <c r="X6438" s="21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f t="shared" si="108"/>
        <v>96</v>
      </c>
      <c r="AJ6438" t="s">
        <v>54</v>
      </c>
      <c r="AK6438" t="s">
        <v>52</v>
      </c>
      <c r="AL6438" t="s">
        <v>1937</v>
      </c>
      <c r="AP6438" t="s">
        <v>1915</v>
      </c>
    </row>
    <row r="6439" spans="1:42">
      <c r="A6439" s="1">
        <v>43808</v>
      </c>
      <c r="B6439">
        <v>1</v>
      </c>
      <c r="C6439">
        <v>981</v>
      </c>
      <c r="D6439">
        <v>10371</v>
      </c>
      <c r="E6439" t="s">
        <v>37</v>
      </c>
      <c r="F6439" t="s">
        <v>520</v>
      </c>
      <c r="G6439">
        <v>2</v>
      </c>
      <c r="H6439">
        <v>55</v>
      </c>
      <c r="I6439" s="25">
        <v>1235</v>
      </c>
      <c r="K6439" t="s">
        <v>69</v>
      </c>
      <c r="L6439" t="s">
        <v>141</v>
      </c>
      <c r="M6439" t="s">
        <v>52</v>
      </c>
      <c r="N6439" t="s">
        <v>44</v>
      </c>
      <c r="O6439">
        <f>60+43</f>
        <v>103</v>
      </c>
      <c r="Q6439">
        <f t="shared" si="107"/>
        <v>1</v>
      </c>
      <c r="R6439">
        <v>1</v>
      </c>
      <c r="S6439">
        <v>0</v>
      </c>
      <c r="T6439">
        <v>0</v>
      </c>
      <c r="U6439">
        <v>0</v>
      </c>
      <c r="V6439">
        <v>0</v>
      </c>
      <c r="W6439">
        <v>1</v>
      </c>
      <c r="X6439" s="21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f t="shared" si="108"/>
        <v>96</v>
      </c>
      <c r="AJ6439" t="s">
        <v>54</v>
      </c>
      <c r="AK6439" t="s">
        <v>52</v>
      </c>
      <c r="AP6439" t="s">
        <v>1915</v>
      </c>
    </row>
    <row r="6440" spans="1:42">
      <c r="A6440" s="1">
        <v>43808</v>
      </c>
      <c r="B6440">
        <v>1</v>
      </c>
      <c r="C6440">
        <v>981</v>
      </c>
      <c r="D6440">
        <v>10371</v>
      </c>
      <c r="E6440" t="s">
        <v>37</v>
      </c>
      <c r="F6440" t="s">
        <v>520</v>
      </c>
      <c r="G6440">
        <v>2</v>
      </c>
      <c r="H6440">
        <v>56</v>
      </c>
      <c r="I6440" s="25">
        <v>1225</v>
      </c>
      <c r="K6440" t="s">
        <v>69</v>
      </c>
      <c r="L6440" t="s">
        <v>141</v>
      </c>
      <c r="M6440" t="s">
        <v>52</v>
      </c>
      <c r="N6440" t="s">
        <v>44</v>
      </c>
      <c r="O6440">
        <f>60+9</f>
        <v>69</v>
      </c>
      <c r="Q6440">
        <f t="shared" si="107"/>
        <v>1</v>
      </c>
      <c r="R6440">
        <v>1</v>
      </c>
      <c r="S6440">
        <v>0</v>
      </c>
      <c r="T6440">
        <v>0</v>
      </c>
      <c r="U6440">
        <v>0</v>
      </c>
      <c r="V6440">
        <v>0</v>
      </c>
      <c r="W6440">
        <v>1</v>
      </c>
      <c r="X6440" s="21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f t="shared" si="108"/>
        <v>96</v>
      </c>
      <c r="AJ6440" t="s">
        <v>54</v>
      </c>
      <c r="AK6440" t="s">
        <v>52</v>
      </c>
      <c r="AP6440" t="s">
        <v>1915</v>
      </c>
    </row>
    <row r="6441" spans="1:42">
      <c r="A6441" s="1">
        <v>43808</v>
      </c>
      <c r="B6441">
        <v>1</v>
      </c>
      <c r="C6441">
        <v>981</v>
      </c>
      <c r="D6441">
        <v>10371</v>
      </c>
      <c r="E6441" t="s">
        <v>37</v>
      </c>
      <c r="F6441" t="s">
        <v>520</v>
      </c>
      <c r="G6441">
        <v>2</v>
      </c>
      <c r="H6441">
        <v>57</v>
      </c>
      <c r="I6441" s="25">
        <v>1205</v>
      </c>
      <c r="K6441" t="s">
        <v>69</v>
      </c>
      <c r="L6441" t="s">
        <v>141</v>
      </c>
      <c r="M6441" t="s">
        <v>52</v>
      </c>
      <c r="N6441" t="s">
        <v>44</v>
      </c>
      <c r="O6441">
        <f>60+60+28</f>
        <v>148</v>
      </c>
      <c r="Q6441">
        <f t="shared" si="107"/>
        <v>1</v>
      </c>
      <c r="R6441">
        <v>1</v>
      </c>
      <c r="S6441">
        <v>0</v>
      </c>
      <c r="T6441">
        <v>0</v>
      </c>
      <c r="U6441">
        <v>0</v>
      </c>
      <c r="V6441">
        <v>0</v>
      </c>
      <c r="W6441">
        <v>1</v>
      </c>
      <c r="X6441" s="2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f t="shared" si="108"/>
        <v>96</v>
      </c>
      <c r="AJ6441" t="s">
        <v>54</v>
      </c>
      <c r="AK6441" t="s">
        <v>52</v>
      </c>
      <c r="AP6441" t="s">
        <v>1915</v>
      </c>
    </row>
    <row r="6442" spans="1:42">
      <c r="A6442" s="1">
        <v>43808</v>
      </c>
      <c r="B6442">
        <v>1</v>
      </c>
      <c r="C6442">
        <v>981</v>
      </c>
      <c r="D6442">
        <v>10371</v>
      </c>
      <c r="E6442" t="s">
        <v>37</v>
      </c>
      <c r="F6442" t="s">
        <v>520</v>
      </c>
      <c r="G6442">
        <v>2</v>
      </c>
      <c r="H6442">
        <v>58</v>
      </c>
      <c r="I6442" s="25">
        <v>1250</v>
      </c>
      <c r="K6442" t="s">
        <v>69</v>
      </c>
      <c r="L6442" t="s">
        <v>114</v>
      </c>
      <c r="M6442" t="s">
        <v>52</v>
      </c>
      <c r="N6442" t="s">
        <v>44</v>
      </c>
      <c r="O6442">
        <f>60+60+37</f>
        <v>157</v>
      </c>
      <c r="Q6442">
        <f t="shared" si="107"/>
        <v>1</v>
      </c>
      <c r="R6442">
        <v>1</v>
      </c>
      <c r="S6442">
        <v>0</v>
      </c>
      <c r="T6442">
        <v>0</v>
      </c>
      <c r="U6442">
        <v>0</v>
      </c>
      <c r="V6442">
        <v>0</v>
      </c>
      <c r="W6442">
        <v>1</v>
      </c>
      <c r="X6442" s="21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f t="shared" si="108"/>
        <v>96</v>
      </c>
      <c r="AJ6442" t="s">
        <v>54</v>
      </c>
      <c r="AK6442" t="s">
        <v>52</v>
      </c>
      <c r="AL6442" t="s">
        <v>1973</v>
      </c>
      <c r="AP6442" t="s">
        <v>1915</v>
      </c>
    </row>
    <row r="6443" spans="1:42">
      <c r="A6443" s="1">
        <v>43808</v>
      </c>
      <c r="B6443">
        <v>1</v>
      </c>
      <c r="C6443">
        <v>981</v>
      </c>
      <c r="D6443">
        <v>10371</v>
      </c>
      <c r="E6443" t="s">
        <v>37</v>
      </c>
      <c r="F6443" t="s">
        <v>520</v>
      </c>
      <c r="G6443">
        <v>2</v>
      </c>
      <c r="H6443">
        <v>59</v>
      </c>
      <c r="I6443" s="25">
        <v>1270</v>
      </c>
      <c r="K6443" t="s">
        <v>69</v>
      </c>
      <c r="L6443" t="s">
        <v>114</v>
      </c>
      <c r="M6443" t="s">
        <v>52</v>
      </c>
      <c r="N6443" t="s">
        <v>44</v>
      </c>
      <c r="O6443">
        <f>60+60+60+55</f>
        <v>235</v>
      </c>
      <c r="Q6443">
        <f t="shared" si="107"/>
        <v>1</v>
      </c>
      <c r="R6443">
        <v>1</v>
      </c>
      <c r="S6443">
        <v>0</v>
      </c>
      <c r="T6443">
        <v>0</v>
      </c>
      <c r="U6443">
        <v>0</v>
      </c>
      <c r="V6443">
        <v>0</v>
      </c>
      <c r="W6443">
        <v>1</v>
      </c>
      <c r="X6443" s="21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f t="shared" si="108"/>
        <v>96</v>
      </c>
      <c r="AJ6443" t="s">
        <v>54</v>
      </c>
      <c r="AK6443" t="s">
        <v>52</v>
      </c>
      <c r="AL6443" t="s">
        <v>1974</v>
      </c>
      <c r="AP6443" t="s">
        <v>1915</v>
      </c>
    </row>
    <row r="6444" spans="1:42">
      <c r="A6444" s="1">
        <v>43808</v>
      </c>
      <c r="B6444">
        <v>1</v>
      </c>
      <c r="C6444">
        <v>981</v>
      </c>
      <c r="D6444">
        <v>10371</v>
      </c>
      <c r="E6444" t="s">
        <v>37</v>
      </c>
      <c r="F6444" t="s">
        <v>520</v>
      </c>
      <c r="G6444">
        <v>2</v>
      </c>
      <c r="H6444">
        <v>60</v>
      </c>
      <c r="I6444" s="25">
        <v>1280</v>
      </c>
      <c r="K6444" t="s">
        <v>69</v>
      </c>
      <c r="L6444" t="s">
        <v>114</v>
      </c>
      <c r="M6444" t="s">
        <v>52</v>
      </c>
      <c r="N6444" t="s">
        <v>44</v>
      </c>
      <c r="O6444">
        <f>60+60+18</f>
        <v>138</v>
      </c>
      <c r="Q6444">
        <f t="shared" si="107"/>
        <v>2</v>
      </c>
      <c r="R6444">
        <v>1</v>
      </c>
      <c r="S6444">
        <v>0</v>
      </c>
      <c r="T6444">
        <v>0</v>
      </c>
      <c r="U6444">
        <v>0</v>
      </c>
      <c r="V6444">
        <v>0</v>
      </c>
      <c r="W6444">
        <v>2</v>
      </c>
      <c r="X6444" s="21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f t="shared" si="108"/>
        <v>192</v>
      </c>
      <c r="AJ6444" t="s">
        <v>54</v>
      </c>
      <c r="AK6444" t="s">
        <v>52</v>
      </c>
      <c r="AP6444" t="s">
        <v>1915</v>
      </c>
    </row>
    <row r="6445" spans="1:42">
      <c r="A6445" s="1">
        <v>43808</v>
      </c>
      <c r="B6445">
        <v>1</v>
      </c>
      <c r="C6445">
        <v>981</v>
      </c>
      <c r="D6445">
        <v>10371</v>
      </c>
      <c r="E6445" t="s">
        <v>37</v>
      </c>
      <c r="F6445" t="s">
        <v>520</v>
      </c>
      <c r="G6445">
        <v>2</v>
      </c>
      <c r="H6445">
        <v>61</v>
      </c>
      <c r="I6445" s="25">
        <v>1300</v>
      </c>
      <c r="K6445" t="s">
        <v>420</v>
      </c>
      <c r="L6445" t="s">
        <v>141</v>
      </c>
      <c r="M6445" t="s">
        <v>52</v>
      </c>
      <c r="N6445" t="s">
        <v>44</v>
      </c>
      <c r="O6445">
        <f>60+60+60+60+60+60+42</f>
        <v>402</v>
      </c>
      <c r="Q6445">
        <f t="shared" si="107"/>
        <v>5</v>
      </c>
      <c r="R6445">
        <v>1</v>
      </c>
      <c r="S6445">
        <v>0</v>
      </c>
      <c r="T6445">
        <v>0</v>
      </c>
      <c r="U6445">
        <v>3</v>
      </c>
      <c r="V6445">
        <v>1</v>
      </c>
      <c r="W6445">
        <v>1</v>
      </c>
      <c r="X6445" s="21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1</v>
      </c>
      <c r="AH6445">
        <f t="shared" si="108"/>
        <v>256</v>
      </c>
      <c r="AJ6445" t="s">
        <v>54</v>
      </c>
      <c r="AK6445" t="s">
        <v>95</v>
      </c>
      <c r="AP6445" t="s">
        <v>1915</v>
      </c>
    </row>
    <row r="6446" spans="1:42">
      <c r="A6446" s="1">
        <v>43808</v>
      </c>
      <c r="B6446">
        <v>1</v>
      </c>
      <c r="C6446">
        <v>981</v>
      </c>
      <c r="D6446">
        <v>10371</v>
      </c>
      <c r="E6446" t="s">
        <v>37</v>
      </c>
      <c r="F6446" t="s">
        <v>520</v>
      </c>
      <c r="G6446">
        <v>2</v>
      </c>
      <c r="H6446">
        <v>62</v>
      </c>
      <c r="I6446" s="25">
        <v>1390</v>
      </c>
      <c r="K6446" t="s">
        <v>420</v>
      </c>
      <c r="L6446" t="s">
        <v>114</v>
      </c>
      <c r="M6446" t="s">
        <v>52</v>
      </c>
      <c r="N6446" t="s">
        <v>44</v>
      </c>
      <c r="O6446">
        <f>60+60+60+21</f>
        <v>201</v>
      </c>
      <c r="Q6446">
        <f t="shared" si="107"/>
        <v>4</v>
      </c>
      <c r="R6446">
        <v>1</v>
      </c>
      <c r="S6446">
        <v>0</v>
      </c>
      <c r="T6446">
        <v>0</v>
      </c>
      <c r="U6446">
        <v>0</v>
      </c>
      <c r="V6446">
        <v>0</v>
      </c>
      <c r="W6446">
        <v>4</v>
      </c>
      <c r="X6446" s="21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f t="shared" si="108"/>
        <v>384</v>
      </c>
      <c r="AJ6446" t="s">
        <v>54</v>
      </c>
      <c r="AK6446" t="s">
        <v>95</v>
      </c>
      <c r="AP6446" t="s">
        <v>1915</v>
      </c>
    </row>
    <row r="6447" spans="1:42">
      <c r="A6447" s="1">
        <v>43808</v>
      </c>
      <c r="B6447">
        <v>1</v>
      </c>
      <c r="C6447">
        <v>981</v>
      </c>
      <c r="D6447">
        <v>10371</v>
      </c>
      <c r="E6447" t="s">
        <v>37</v>
      </c>
      <c r="F6447" t="s">
        <v>520</v>
      </c>
      <c r="G6447">
        <v>2</v>
      </c>
      <c r="H6447">
        <v>63</v>
      </c>
      <c r="I6447" s="25">
        <v>962</v>
      </c>
      <c r="K6447" t="s">
        <v>103</v>
      </c>
      <c r="L6447" t="s">
        <v>114</v>
      </c>
      <c r="M6447" t="s">
        <v>52</v>
      </c>
      <c r="N6447" t="s">
        <v>44</v>
      </c>
      <c r="O6447">
        <f>60+60+32</f>
        <v>152</v>
      </c>
      <c r="Q6447">
        <f t="shared" si="107"/>
        <v>1</v>
      </c>
      <c r="R6447">
        <v>1</v>
      </c>
      <c r="S6447">
        <v>0</v>
      </c>
      <c r="T6447">
        <v>0</v>
      </c>
      <c r="U6447">
        <v>0</v>
      </c>
      <c r="V6447">
        <v>0</v>
      </c>
      <c r="W6447">
        <v>1</v>
      </c>
      <c r="X6447" s="21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f t="shared" si="108"/>
        <v>96</v>
      </c>
      <c r="AJ6447" t="s">
        <v>54</v>
      </c>
      <c r="AK6447" t="s">
        <v>52</v>
      </c>
      <c r="AL6447" t="s">
        <v>1937</v>
      </c>
      <c r="AP6447" t="s">
        <v>1915</v>
      </c>
    </row>
    <row r="6448" spans="1:42">
      <c r="A6448" s="1">
        <v>43808</v>
      </c>
      <c r="B6448">
        <v>1</v>
      </c>
      <c r="C6448">
        <v>981</v>
      </c>
      <c r="D6448">
        <v>10371</v>
      </c>
      <c r="E6448" t="s">
        <v>37</v>
      </c>
      <c r="F6448" t="s">
        <v>520</v>
      </c>
      <c r="G6448">
        <v>2</v>
      </c>
      <c r="H6448">
        <v>64</v>
      </c>
      <c r="I6448" s="25">
        <v>946</v>
      </c>
      <c r="K6448" t="s">
        <v>103</v>
      </c>
      <c r="L6448" t="s">
        <v>114</v>
      </c>
      <c r="M6448" t="s">
        <v>52</v>
      </c>
      <c r="N6448" t="s">
        <v>44</v>
      </c>
      <c r="O6448">
        <f>60+18</f>
        <v>78</v>
      </c>
      <c r="Q6448">
        <f t="shared" si="107"/>
        <v>1</v>
      </c>
      <c r="R6448">
        <v>1</v>
      </c>
      <c r="S6448">
        <v>0</v>
      </c>
      <c r="T6448">
        <v>0</v>
      </c>
      <c r="U6448">
        <v>0</v>
      </c>
      <c r="V6448">
        <v>0</v>
      </c>
      <c r="W6448">
        <v>1</v>
      </c>
      <c r="X6448" s="21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f t="shared" si="108"/>
        <v>96</v>
      </c>
      <c r="AJ6448" t="s">
        <v>54</v>
      </c>
      <c r="AK6448" t="s">
        <v>52</v>
      </c>
      <c r="AP6448" t="s">
        <v>1915</v>
      </c>
    </row>
    <row r="6449" spans="1:42">
      <c r="A6449" s="1">
        <v>43808</v>
      </c>
      <c r="B6449">
        <v>1</v>
      </c>
      <c r="C6449">
        <v>981</v>
      </c>
      <c r="D6449">
        <v>10371</v>
      </c>
      <c r="E6449" t="s">
        <v>37</v>
      </c>
      <c r="F6449" t="s">
        <v>520</v>
      </c>
      <c r="G6449">
        <v>2</v>
      </c>
      <c r="H6449">
        <v>65</v>
      </c>
      <c r="I6449" s="25">
        <v>980</v>
      </c>
      <c r="K6449" t="s">
        <v>103</v>
      </c>
      <c r="L6449" t="s">
        <v>114</v>
      </c>
      <c r="M6449" t="s">
        <v>52</v>
      </c>
      <c r="N6449" t="s">
        <v>44</v>
      </c>
      <c r="O6449">
        <f>60+60+60+60+60+41</f>
        <v>341</v>
      </c>
      <c r="Q6449">
        <f t="shared" si="107"/>
        <v>5</v>
      </c>
      <c r="R6449">
        <v>1</v>
      </c>
      <c r="S6449">
        <v>0</v>
      </c>
      <c r="T6449">
        <v>0</v>
      </c>
      <c r="U6449">
        <v>0</v>
      </c>
      <c r="V6449">
        <v>0</v>
      </c>
      <c r="W6449">
        <v>5</v>
      </c>
      <c r="X6449" s="21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f t="shared" si="108"/>
        <v>480</v>
      </c>
      <c r="AJ6449" t="s">
        <v>54</v>
      </c>
      <c r="AK6449" t="s">
        <v>52</v>
      </c>
      <c r="AP6449" t="s">
        <v>1915</v>
      </c>
    </row>
    <row r="6450" spans="1:42">
      <c r="A6450" s="1">
        <v>43808</v>
      </c>
      <c r="B6450">
        <v>1</v>
      </c>
      <c r="C6450">
        <v>981</v>
      </c>
      <c r="D6450">
        <v>10371</v>
      </c>
      <c r="E6450" t="s">
        <v>37</v>
      </c>
      <c r="F6450" t="s">
        <v>520</v>
      </c>
      <c r="G6450">
        <v>2</v>
      </c>
      <c r="H6450">
        <v>66</v>
      </c>
      <c r="I6450" s="25">
        <v>925</v>
      </c>
      <c r="K6450" t="s">
        <v>103</v>
      </c>
      <c r="L6450" t="s">
        <v>141</v>
      </c>
      <c r="M6450" t="s">
        <v>52</v>
      </c>
      <c r="N6450" t="s">
        <v>44</v>
      </c>
      <c r="O6450">
        <f>60+60+60+60+60+36</f>
        <v>336</v>
      </c>
      <c r="Q6450">
        <f t="shared" si="107"/>
        <v>2</v>
      </c>
      <c r="R6450">
        <v>1</v>
      </c>
      <c r="S6450">
        <v>0</v>
      </c>
      <c r="T6450">
        <v>0</v>
      </c>
      <c r="U6450">
        <v>0</v>
      </c>
      <c r="V6450">
        <v>0</v>
      </c>
      <c r="W6450">
        <v>2</v>
      </c>
      <c r="X6450" s="21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f t="shared" si="108"/>
        <v>192</v>
      </c>
      <c r="AJ6450" t="s">
        <v>54</v>
      </c>
      <c r="AK6450" t="s">
        <v>52</v>
      </c>
      <c r="AL6450" t="s">
        <v>1937</v>
      </c>
      <c r="AP6450" t="s">
        <v>1915</v>
      </c>
    </row>
    <row r="6451" spans="1:42">
      <c r="A6451" s="1">
        <v>43808</v>
      </c>
      <c r="B6451">
        <v>1</v>
      </c>
      <c r="C6451">
        <v>981</v>
      </c>
      <c r="D6451">
        <v>10371</v>
      </c>
      <c r="E6451" t="s">
        <v>37</v>
      </c>
      <c r="F6451" t="s">
        <v>520</v>
      </c>
      <c r="G6451">
        <v>2</v>
      </c>
      <c r="H6451">
        <v>67</v>
      </c>
      <c r="I6451" s="25">
        <v>837</v>
      </c>
      <c r="K6451" t="s">
        <v>103</v>
      </c>
      <c r="L6451" t="s">
        <v>141</v>
      </c>
      <c r="M6451" t="s">
        <v>52</v>
      </c>
      <c r="N6451" t="s">
        <v>44</v>
      </c>
      <c r="O6451">
        <f>60+42</f>
        <v>102</v>
      </c>
      <c r="Q6451">
        <f t="shared" si="107"/>
        <v>1</v>
      </c>
      <c r="R6451">
        <v>1</v>
      </c>
      <c r="S6451">
        <v>0</v>
      </c>
      <c r="T6451">
        <v>0</v>
      </c>
      <c r="U6451">
        <v>0</v>
      </c>
      <c r="V6451">
        <v>0</v>
      </c>
      <c r="W6451">
        <v>1</v>
      </c>
      <c r="X6451" s="2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f t="shared" si="108"/>
        <v>96</v>
      </c>
      <c r="AJ6451" t="s">
        <v>54</v>
      </c>
      <c r="AK6451" t="s">
        <v>52</v>
      </c>
      <c r="AP6451" t="s">
        <v>1915</v>
      </c>
    </row>
    <row r="6452" spans="1:42">
      <c r="A6452" s="1">
        <v>43808</v>
      </c>
      <c r="B6452">
        <v>1</v>
      </c>
      <c r="C6452">
        <v>981</v>
      </c>
      <c r="D6452">
        <v>10371</v>
      </c>
      <c r="E6452" t="s">
        <v>37</v>
      </c>
      <c r="F6452" t="s">
        <v>520</v>
      </c>
      <c r="G6452">
        <v>2</v>
      </c>
      <c r="H6452">
        <v>68</v>
      </c>
      <c r="I6452" s="25">
        <v>833</v>
      </c>
      <c r="K6452" t="s">
        <v>103</v>
      </c>
      <c r="L6452" t="s">
        <v>141</v>
      </c>
      <c r="M6452" t="s">
        <v>52</v>
      </c>
      <c r="N6452" t="s">
        <v>44</v>
      </c>
      <c r="O6452">
        <f>60+60+1</f>
        <v>121</v>
      </c>
      <c r="Q6452">
        <f t="shared" si="107"/>
        <v>1</v>
      </c>
      <c r="R6452">
        <v>1</v>
      </c>
      <c r="S6452">
        <v>0</v>
      </c>
      <c r="T6452">
        <v>0</v>
      </c>
      <c r="U6452">
        <v>0</v>
      </c>
      <c r="V6452">
        <v>0</v>
      </c>
      <c r="W6452">
        <v>1</v>
      </c>
      <c r="X6452" s="21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f t="shared" si="108"/>
        <v>96</v>
      </c>
      <c r="AJ6452" t="s">
        <v>54</v>
      </c>
      <c r="AK6452" t="s">
        <v>52</v>
      </c>
      <c r="AP6452" t="s">
        <v>1915</v>
      </c>
    </row>
    <row r="6453" spans="1:42">
      <c r="A6453" s="1">
        <v>43808</v>
      </c>
      <c r="B6453">
        <v>1</v>
      </c>
      <c r="C6453">
        <v>981</v>
      </c>
      <c r="D6453">
        <v>10371</v>
      </c>
      <c r="E6453" t="s">
        <v>37</v>
      </c>
      <c r="F6453" t="s">
        <v>520</v>
      </c>
      <c r="G6453">
        <v>2</v>
      </c>
      <c r="H6453">
        <v>69</v>
      </c>
      <c r="I6453" s="25">
        <v>825</v>
      </c>
      <c r="K6453" t="s">
        <v>103</v>
      </c>
      <c r="L6453" t="s">
        <v>141</v>
      </c>
      <c r="M6453" t="s">
        <v>52</v>
      </c>
      <c r="N6453" t="s">
        <v>44</v>
      </c>
      <c r="O6453">
        <f>60+60+51</f>
        <v>171</v>
      </c>
      <c r="Q6453">
        <f t="shared" si="107"/>
        <v>2</v>
      </c>
      <c r="R6453">
        <v>1</v>
      </c>
      <c r="S6453">
        <v>0</v>
      </c>
      <c r="T6453">
        <v>0</v>
      </c>
      <c r="U6453">
        <v>0</v>
      </c>
      <c r="V6453">
        <v>0</v>
      </c>
      <c r="W6453">
        <v>2</v>
      </c>
      <c r="X6453" s="21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f t="shared" si="108"/>
        <v>192</v>
      </c>
      <c r="AJ6453" t="s">
        <v>54</v>
      </c>
      <c r="AK6453" t="s">
        <v>52</v>
      </c>
      <c r="AL6453" t="s">
        <v>597</v>
      </c>
      <c r="AP6453" t="s">
        <v>1915</v>
      </c>
    </row>
    <row r="6454" spans="1:42">
      <c r="A6454" s="1">
        <v>43808</v>
      </c>
      <c r="B6454">
        <v>1</v>
      </c>
      <c r="C6454">
        <v>981</v>
      </c>
      <c r="D6454">
        <v>10371</v>
      </c>
      <c r="E6454" t="s">
        <v>37</v>
      </c>
      <c r="F6454" t="s">
        <v>520</v>
      </c>
      <c r="G6454">
        <v>2</v>
      </c>
      <c r="H6454">
        <v>70</v>
      </c>
      <c r="I6454" s="25">
        <v>801</v>
      </c>
      <c r="K6454" t="s">
        <v>103</v>
      </c>
      <c r="L6454" t="s">
        <v>141</v>
      </c>
      <c r="M6454" t="s">
        <v>52</v>
      </c>
      <c r="N6454" t="s">
        <v>44</v>
      </c>
      <c r="O6454">
        <f>60+60+60+25</f>
        <v>205</v>
      </c>
      <c r="Q6454">
        <f t="shared" si="107"/>
        <v>3</v>
      </c>
      <c r="R6454">
        <v>1</v>
      </c>
      <c r="S6454">
        <v>0</v>
      </c>
      <c r="T6454">
        <v>0</v>
      </c>
      <c r="U6454">
        <v>1</v>
      </c>
      <c r="V6454">
        <v>0</v>
      </c>
      <c r="W6454">
        <v>2</v>
      </c>
      <c r="X6454" s="21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f t="shared" si="108"/>
        <v>224</v>
      </c>
      <c r="AJ6454" t="s">
        <v>54</v>
      </c>
      <c r="AK6454" t="s">
        <v>52</v>
      </c>
      <c r="AL6454" t="s">
        <v>1973</v>
      </c>
      <c r="AP6454" t="s">
        <v>1915</v>
      </c>
    </row>
    <row r="6455" spans="1:42">
      <c r="A6455" s="1">
        <v>43808</v>
      </c>
      <c r="B6455">
        <v>1</v>
      </c>
      <c r="C6455">
        <v>981</v>
      </c>
      <c r="D6455">
        <v>10371</v>
      </c>
      <c r="E6455" t="s">
        <v>37</v>
      </c>
      <c r="F6455" t="s">
        <v>520</v>
      </c>
      <c r="G6455">
        <v>2</v>
      </c>
      <c r="H6455">
        <v>71</v>
      </c>
      <c r="I6455" s="25">
        <v>810</v>
      </c>
      <c r="K6455" t="s">
        <v>103</v>
      </c>
      <c r="L6455" t="s">
        <v>114</v>
      </c>
      <c r="M6455" t="s">
        <v>52</v>
      </c>
      <c r="N6455" t="s">
        <v>44</v>
      </c>
      <c r="O6455">
        <f>60+10</f>
        <v>70</v>
      </c>
      <c r="Q6455">
        <f t="shared" si="107"/>
        <v>1</v>
      </c>
      <c r="R6455">
        <v>1</v>
      </c>
      <c r="S6455">
        <v>0</v>
      </c>
      <c r="T6455">
        <v>0</v>
      </c>
      <c r="U6455">
        <v>0</v>
      </c>
      <c r="V6455">
        <v>0</v>
      </c>
      <c r="W6455">
        <v>1</v>
      </c>
      <c r="X6455" s="21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f t="shared" si="108"/>
        <v>96</v>
      </c>
      <c r="AJ6455" t="s">
        <v>54</v>
      </c>
      <c r="AK6455" t="s">
        <v>52</v>
      </c>
      <c r="AL6455" t="s">
        <v>1956</v>
      </c>
      <c r="AP6455" t="s">
        <v>1915</v>
      </c>
    </row>
    <row r="6456" spans="1:42">
      <c r="A6456" s="1">
        <v>43808</v>
      </c>
      <c r="B6456">
        <v>1</v>
      </c>
      <c r="C6456">
        <v>981</v>
      </c>
      <c r="D6456">
        <v>10371</v>
      </c>
      <c r="E6456" t="s">
        <v>37</v>
      </c>
      <c r="F6456" t="s">
        <v>520</v>
      </c>
      <c r="G6456">
        <v>2</v>
      </c>
      <c r="H6456">
        <v>72</v>
      </c>
      <c r="I6456" s="25">
        <v>820</v>
      </c>
      <c r="K6456" t="s">
        <v>103</v>
      </c>
      <c r="L6456" t="s">
        <v>114</v>
      </c>
      <c r="M6456" t="s">
        <v>52</v>
      </c>
      <c r="N6456" t="s">
        <v>44</v>
      </c>
      <c r="O6456">
        <f>60+60+60+60+60+36</f>
        <v>336</v>
      </c>
      <c r="Q6456">
        <f t="shared" si="107"/>
        <v>4</v>
      </c>
      <c r="R6456">
        <v>1</v>
      </c>
      <c r="S6456">
        <v>0</v>
      </c>
      <c r="T6456">
        <v>0</v>
      </c>
      <c r="U6456">
        <v>0</v>
      </c>
      <c r="V6456">
        <v>0</v>
      </c>
      <c r="W6456">
        <v>4</v>
      </c>
      <c r="X6456" s="21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f t="shared" si="108"/>
        <v>384</v>
      </c>
      <c r="AJ6456" t="s">
        <v>54</v>
      </c>
      <c r="AK6456" t="s">
        <v>52</v>
      </c>
      <c r="AL6456" t="s">
        <v>1941</v>
      </c>
      <c r="AP6456" t="s">
        <v>1915</v>
      </c>
    </row>
    <row r="6457" spans="1:42">
      <c r="A6457" s="1">
        <v>43808</v>
      </c>
      <c r="B6457">
        <v>1</v>
      </c>
      <c r="C6457">
        <v>981</v>
      </c>
      <c r="D6457">
        <v>10371</v>
      </c>
      <c r="E6457" t="s">
        <v>37</v>
      </c>
      <c r="F6457" t="s">
        <v>520</v>
      </c>
      <c r="G6457">
        <v>2</v>
      </c>
      <c r="H6457">
        <v>73</v>
      </c>
      <c r="I6457" s="25">
        <v>1010</v>
      </c>
      <c r="K6457" t="s">
        <v>828</v>
      </c>
      <c r="L6457" t="s">
        <v>114</v>
      </c>
      <c r="M6457" t="s">
        <v>52</v>
      </c>
      <c r="N6457" t="s">
        <v>44</v>
      </c>
      <c r="O6457">
        <f>60+60+50</f>
        <v>170</v>
      </c>
      <c r="Q6457">
        <f t="shared" si="107"/>
        <v>1</v>
      </c>
      <c r="R6457">
        <v>1</v>
      </c>
      <c r="S6457">
        <v>0</v>
      </c>
      <c r="T6457">
        <v>0</v>
      </c>
      <c r="U6457">
        <v>0</v>
      </c>
      <c r="V6457">
        <v>0</v>
      </c>
      <c r="W6457">
        <v>1</v>
      </c>
      <c r="X6457" s="21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f t="shared" si="108"/>
        <v>96</v>
      </c>
      <c r="AL6457" t="s">
        <v>1945</v>
      </c>
      <c r="AP6457" t="s">
        <v>1915</v>
      </c>
    </row>
    <row r="6458" spans="1:42">
      <c r="A6458" s="1">
        <v>43808</v>
      </c>
      <c r="B6458">
        <v>1</v>
      </c>
      <c r="C6458">
        <v>981</v>
      </c>
      <c r="D6458">
        <v>10371</v>
      </c>
      <c r="E6458" t="s">
        <v>37</v>
      </c>
      <c r="F6458" t="s">
        <v>520</v>
      </c>
      <c r="G6458">
        <v>2</v>
      </c>
      <c r="H6458">
        <v>74</v>
      </c>
      <c r="I6458" s="25">
        <v>1026</v>
      </c>
      <c r="K6458" t="s">
        <v>828</v>
      </c>
      <c r="L6458" t="s">
        <v>114</v>
      </c>
      <c r="M6458" t="s">
        <v>52</v>
      </c>
      <c r="N6458" t="s">
        <v>44</v>
      </c>
      <c r="O6458">
        <f>60+43</f>
        <v>103</v>
      </c>
      <c r="Q6458">
        <f t="shared" si="107"/>
        <v>1</v>
      </c>
      <c r="R6458">
        <v>1</v>
      </c>
      <c r="S6458">
        <v>0</v>
      </c>
      <c r="T6458">
        <v>0</v>
      </c>
      <c r="U6458">
        <v>0</v>
      </c>
      <c r="V6458">
        <v>0</v>
      </c>
      <c r="W6458">
        <v>1</v>
      </c>
      <c r="X6458" s="21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1</v>
      </c>
      <c r="AG6458">
        <v>0</v>
      </c>
      <c r="AH6458">
        <f t="shared" si="108"/>
        <v>96</v>
      </c>
      <c r="AP6458" t="s">
        <v>1915</v>
      </c>
    </row>
    <row r="6459" spans="1:42">
      <c r="A6459" s="1">
        <v>43808</v>
      </c>
      <c r="B6459">
        <v>1</v>
      </c>
      <c r="C6459">
        <v>981</v>
      </c>
      <c r="D6459">
        <v>10371</v>
      </c>
      <c r="E6459" t="s">
        <v>37</v>
      </c>
      <c r="F6459" t="s">
        <v>520</v>
      </c>
      <c r="G6459">
        <v>2</v>
      </c>
      <c r="H6459">
        <v>75</v>
      </c>
      <c r="I6459" s="25">
        <v>1000</v>
      </c>
      <c r="K6459" t="s">
        <v>828</v>
      </c>
      <c r="M6459" t="s">
        <v>52</v>
      </c>
      <c r="N6459" t="s">
        <v>40</v>
      </c>
      <c r="O6459">
        <f>60+60+28</f>
        <v>148</v>
      </c>
      <c r="Q6459">
        <f t="shared" si="107"/>
        <v>3</v>
      </c>
      <c r="R6459">
        <v>1</v>
      </c>
      <c r="S6459">
        <v>0</v>
      </c>
      <c r="T6459">
        <v>0</v>
      </c>
      <c r="U6459">
        <v>0</v>
      </c>
      <c r="V6459">
        <v>0</v>
      </c>
      <c r="W6459">
        <v>3</v>
      </c>
      <c r="X6459" s="21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2</v>
      </c>
      <c r="AG6459">
        <v>0</v>
      </c>
      <c r="AH6459">
        <f t="shared" si="108"/>
        <v>288</v>
      </c>
      <c r="AP6459" t="s">
        <v>1915</v>
      </c>
    </row>
    <row r="6460" spans="1:42">
      <c r="A6460" s="1">
        <v>43808</v>
      </c>
      <c r="B6460">
        <v>1</v>
      </c>
      <c r="C6460">
        <v>981</v>
      </c>
      <c r="D6460">
        <v>10371</v>
      </c>
      <c r="E6460" t="s">
        <v>37</v>
      </c>
      <c r="F6460" t="s">
        <v>520</v>
      </c>
      <c r="G6460">
        <v>2</v>
      </c>
      <c r="H6460">
        <v>76</v>
      </c>
      <c r="I6460" s="25">
        <v>945</v>
      </c>
      <c r="K6460" t="s">
        <v>828</v>
      </c>
      <c r="M6460" t="s">
        <v>52</v>
      </c>
      <c r="N6460" t="s">
        <v>44</v>
      </c>
      <c r="O6460">
        <f>60+60+60+60+21</f>
        <v>261</v>
      </c>
      <c r="Q6460">
        <f t="shared" si="107"/>
        <v>3</v>
      </c>
      <c r="R6460">
        <v>1</v>
      </c>
      <c r="S6460">
        <v>0</v>
      </c>
      <c r="T6460">
        <v>0</v>
      </c>
      <c r="U6460">
        <v>0</v>
      </c>
      <c r="V6460">
        <v>1</v>
      </c>
      <c r="W6460">
        <v>2</v>
      </c>
      <c r="X6460" s="21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f t="shared" si="108"/>
        <v>256</v>
      </c>
      <c r="AL6460" t="s">
        <v>1945</v>
      </c>
      <c r="AP6460" t="s">
        <v>1915</v>
      </c>
    </row>
    <row r="6461" spans="1:42">
      <c r="A6461" s="1">
        <v>43808</v>
      </c>
      <c r="B6461">
        <v>1</v>
      </c>
      <c r="C6461">
        <v>981</v>
      </c>
      <c r="D6461">
        <v>10371</v>
      </c>
      <c r="E6461" t="s">
        <v>37</v>
      </c>
      <c r="F6461" t="s">
        <v>520</v>
      </c>
      <c r="G6461">
        <v>2</v>
      </c>
      <c r="H6461">
        <v>77</v>
      </c>
      <c r="I6461" s="25">
        <v>838</v>
      </c>
      <c r="K6461" t="s">
        <v>828</v>
      </c>
      <c r="L6461" t="s">
        <v>114</v>
      </c>
      <c r="M6461" t="s">
        <v>52</v>
      </c>
      <c r="N6461" t="s">
        <v>44</v>
      </c>
      <c r="O6461">
        <f>60+60+60+29</f>
        <v>209</v>
      </c>
      <c r="Q6461">
        <f t="shared" si="107"/>
        <v>1</v>
      </c>
      <c r="R6461">
        <v>1</v>
      </c>
      <c r="S6461">
        <v>0</v>
      </c>
      <c r="T6461">
        <v>0</v>
      </c>
      <c r="U6461">
        <v>0</v>
      </c>
      <c r="V6461">
        <v>0</v>
      </c>
      <c r="W6461">
        <v>1</v>
      </c>
      <c r="X6461" s="2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f t="shared" si="108"/>
        <v>96</v>
      </c>
      <c r="AJ6461" t="s">
        <v>54</v>
      </c>
      <c r="AK6461" t="s">
        <v>52</v>
      </c>
      <c r="AL6461" t="s">
        <v>1937</v>
      </c>
      <c r="AP6461" t="s">
        <v>1915</v>
      </c>
    </row>
    <row r="6462" spans="1:42">
      <c r="A6462" s="1">
        <v>43808</v>
      </c>
      <c r="B6462">
        <v>1</v>
      </c>
      <c r="C6462">
        <v>981</v>
      </c>
      <c r="D6462">
        <v>10371</v>
      </c>
      <c r="E6462" t="s">
        <v>37</v>
      </c>
      <c r="F6462" t="s">
        <v>520</v>
      </c>
      <c r="G6462">
        <v>2</v>
      </c>
      <c r="H6462">
        <v>78</v>
      </c>
      <c r="I6462" s="25">
        <v>845</v>
      </c>
      <c r="K6462" t="s">
        <v>828</v>
      </c>
      <c r="L6462" t="s">
        <v>141</v>
      </c>
      <c r="M6462" t="s">
        <v>52</v>
      </c>
      <c r="N6462" t="s">
        <v>44</v>
      </c>
      <c r="O6462">
        <f>60+60+53</f>
        <v>173</v>
      </c>
      <c r="Q6462">
        <f t="shared" si="107"/>
        <v>3</v>
      </c>
      <c r="R6462">
        <v>1</v>
      </c>
      <c r="S6462">
        <v>0</v>
      </c>
      <c r="T6462">
        <v>0</v>
      </c>
      <c r="U6462">
        <v>0</v>
      </c>
      <c r="V6462">
        <v>0</v>
      </c>
      <c r="W6462">
        <v>3</v>
      </c>
      <c r="X6462" s="21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f t="shared" si="108"/>
        <v>288</v>
      </c>
      <c r="AJ6462" t="s">
        <v>54</v>
      </c>
      <c r="AK6462" t="s">
        <v>52</v>
      </c>
      <c r="AP6462" t="s">
        <v>1915</v>
      </c>
    </row>
    <row r="6463" spans="1:42">
      <c r="A6463" s="1">
        <v>43808</v>
      </c>
      <c r="B6463">
        <v>1</v>
      </c>
      <c r="C6463">
        <v>981</v>
      </c>
      <c r="D6463">
        <v>10371</v>
      </c>
      <c r="E6463" t="s">
        <v>37</v>
      </c>
      <c r="F6463" t="s">
        <v>520</v>
      </c>
      <c r="G6463">
        <v>2</v>
      </c>
      <c r="H6463">
        <v>79</v>
      </c>
      <c r="I6463" s="25">
        <v>800</v>
      </c>
      <c r="K6463" t="s">
        <v>828</v>
      </c>
      <c r="L6463" t="s">
        <v>141</v>
      </c>
      <c r="M6463" t="s">
        <v>52</v>
      </c>
      <c r="O6463">
        <f>60+60+60+40</f>
        <v>220</v>
      </c>
      <c r="Q6463">
        <f t="shared" si="107"/>
        <v>3</v>
      </c>
      <c r="R6463">
        <v>1</v>
      </c>
      <c r="S6463">
        <v>0</v>
      </c>
      <c r="T6463">
        <v>0</v>
      </c>
      <c r="U6463">
        <v>0</v>
      </c>
      <c r="V6463">
        <v>0</v>
      </c>
      <c r="W6463">
        <v>3</v>
      </c>
      <c r="X6463" s="21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f t="shared" si="108"/>
        <v>288</v>
      </c>
      <c r="AJ6463" t="s">
        <v>54</v>
      </c>
      <c r="AK6463" t="s">
        <v>52</v>
      </c>
      <c r="AP6463" t="s">
        <v>1915</v>
      </c>
    </row>
    <row r="6464" spans="1:42">
      <c r="A6464" s="1">
        <v>43808</v>
      </c>
      <c r="B6464">
        <v>1</v>
      </c>
      <c r="C6464">
        <v>981</v>
      </c>
      <c r="D6464">
        <v>10371</v>
      </c>
      <c r="E6464" t="s">
        <v>37</v>
      </c>
      <c r="F6464" t="s">
        <v>520</v>
      </c>
      <c r="G6464">
        <v>2</v>
      </c>
      <c r="H6464">
        <v>80</v>
      </c>
      <c r="I6464" s="25">
        <v>800</v>
      </c>
      <c r="K6464" t="s">
        <v>828</v>
      </c>
      <c r="L6464" t="s">
        <v>114</v>
      </c>
      <c r="M6464" t="s">
        <v>95</v>
      </c>
      <c r="N6464" t="s">
        <v>44</v>
      </c>
      <c r="O6464">
        <f>60+60+60+60+60+60+60+60+4</f>
        <v>484</v>
      </c>
      <c r="Q6464">
        <f t="shared" ref="Q6464:Q6527" si="109">SUM(S6464:AE6464)</f>
        <v>3</v>
      </c>
      <c r="R6464">
        <v>1</v>
      </c>
      <c r="S6464">
        <v>0</v>
      </c>
      <c r="T6464">
        <v>0</v>
      </c>
      <c r="U6464">
        <v>0</v>
      </c>
      <c r="V6464">
        <v>0</v>
      </c>
      <c r="W6464">
        <v>3</v>
      </c>
      <c r="X6464" s="21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f t="shared" si="108"/>
        <v>288</v>
      </c>
      <c r="AJ6464" t="s">
        <v>54</v>
      </c>
      <c r="AK6464" t="s">
        <v>52</v>
      </c>
      <c r="AP6464" t="s">
        <v>1915</v>
      </c>
    </row>
    <row r="6465" spans="1:42">
      <c r="A6465" s="1">
        <v>43826</v>
      </c>
      <c r="B6465">
        <v>5</v>
      </c>
      <c r="C6465">
        <v>535</v>
      </c>
      <c r="D6465">
        <v>11320</v>
      </c>
      <c r="E6465" t="s">
        <v>377</v>
      </c>
      <c r="F6465" t="s">
        <v>520</v>
      </c>
      <c r="G6465">
        <v>2</v>
      </c>
      <c r="H6465">
        <v>1</v>
      </c>
      <c r="I6465" s="25">
        <v>1700</v>
      </c>
      <c r="K6465" t="s">
        <v>1975</v>
      </c>
      <c r="M6465" t="s">
        <v>52</v>
      </c>
      <c r="N6465" t="s">
        <v>40</v>
      </c>
      <c r="O6465">
        <f>60+20</f>
        <v>80</v>
      </c>
      <c r="Q6465">
        <f t="shared" si="109"/>
        <v>1</v>
      </c>
      <c r="R6465">
        <v>1</v>
      </c>
      <c r="S6465">
        <v>0</v>
      </c>
      <c r="T6465">
        <v>0</v>
      </c>
      <c r="U6465">
        <v>0</v>
      </c>
      <c r="V6465">
        <v>0</v>
      </c>
      <c r="W6465">
        <v>0</v>
      </c>
      <c r="X6465" s="21">
        <v>0</v>
      </c>
      <c r="Y6465">
        <v>0</v>
      </c>
      <c r="Z6465">
        <v>0</v>
      </c>
      <c r="AA6465">
        <v>0</v>
      </c>
      <c r="AB6465">
        <v>0</v>
      </c>
      <c r="AC6465">
        <v>1</v>
      </c>
      <c r="AD6465">
        <v>0</v>
      </c>
      <c r="AE6465">
        <v>0</v>
      </c>
      <c r="AF6465">
        <v>0</v>
      </c>
      <c r="AG6465">
        <v>0</v>
      </c>
      <c r="AH6465">
        <f t="shared" si="108"/>
        <v>0</v>
      </c>
      <c r="AP6465" t="s">
        <v>1915</v>
      </c>
    </row>
    <row r="6466" spans="1:42">
      <c r="A6466" s="1">
        <v>43826</v>
      </c>
      <c r="B6466">
        <v>5</v>
      </c>
      <c r="C6466">
        <v>535</v>
      </c>
      <c r="D6466">
        <v>11320</v>
      </c>
      <c r="E6466" t="s">
        <v>377</v>
      </c>
      <c r="F6466" t="s">
        <v>520</v>
      </c>
      <c r="G6466">
        <v>2</v>
      </c>
      <c r="H6466">
        <v>2</v>
      </c>
      <c r="I6466" s="25">
        <v>1500</v>
      </c>
      <c r="K6466" t="s">
        <v>1975</v>
      </c>
      <c r="M6466" t="s">
        <v>52</v>
      </c>
      <c r="N6466" t="s">
        <v>40</v>
      </c>
      <c r="O6466">
        <f>60+60+28</f>
        <v>148</v>
      </c>
      <c r="Q6466">
        <f t="shared" si="109"/>
        <v>2</v>
      </c>
      <c r="R6466">
        <v>1</v>
      </c>
      <c r="S6466">
        <v>0</v>
      </c>
      <c r="T6466">
        <v>0</v>
      </c>
      <c r="U6466">
        <v>0</v>
      </c>
      <c r="V6466">
        <v>0</v>
      </c>
      <c r="W6466">
        <v>0</v>
      </c>
      <c r="X6466" s="21">
        <v>0</v>
      </c>
      <c r="Y6466">
        <v>0</v>
      </c>
      <c r="Z6466">
        <v>0</v>
      </c>
      <c r="AA6466">
        <v>0</v>
      </c>
      <c r="AB6466">
        <v>0</v>
      </c>
      <c r="AC6466">
        <v>2</v>
      </c>
      <c r="AD6466">
        <v>0</v>
      </c>
      <c r="AE6466">
        <v>0</v>
      </c>
      <c r="AF6466">
        <v>0</v>
      </c>
      <c r="AG6466">
        <v>0</v>
      </c>
      <c r="AH6466">
        <f t="shared" ref="AH6466:AH6529" si="110">(16*S6466)+(20*T6466)+(32*U6466)+(64*V6466)+(96*W6466)</f>
        <v>0</v>
      </c>
      <c r="AP6466" t="s">
        <v>1915</v>
      </c>
    </row>
    <row r="6467" spans="1:42">
      <c r="A6467" s="1">
        <v>43826</v>
      </c>
      <c r="B6467">
        <v>5</v>
      </c>
      <c r="C6467">
        <v>535</v>
      </c>
      <c r="D6467">
        <v>11320</v>
      </c>
      <c r="E6467" t="s">
        <v>377</v>
      </c>
      <c r="F6467" t="s">
        <v>520</v>
      </c>
      <c r="G6467">
        <v>2</v>
      </c>
      <c r="H6467">
        <v>3</v>
      </c>
      <c r="I6467" s="25">
        <v>1650</v>
      </c>
      <c r="K6467" t="s">
        <v>1975</v>
      </c>
      <c r="M6467" t="s">
        <v>52</v>
      </c>
      <c r="N6467" t="s">
        <v>44</v>
      </c>
      <c r="O6467">
        <f>60+12</f>
        <v>72</v>
      </c>
      <c r="Q6467">
        <f t="shared" si="109"/>
        <v>1</v>
      </c>
      <c r="R6467">
        <v>1</v>
      </c>
      <c r="S6467">
        <v>0</v>
      </c>
      <c r="T6467">
        <v>0</v>
      </c>
      <c r="U6467">
        <v>0</v>
      </c>
      <c r="V6467">
        <v>0</v>
      </c>
      <c r="W6467">
        <v>0</v>
      </c>
      <c r="X6467" s="21">
        <v>0</v>
      </c>
      <c r="Y6467">
        <v>0</v>
      </c>
      <c r="Z6467">
        <v>0</v>
      </c>
      <c r="AA6467">
        <v>0</v>
      </c>
      <c r="AB6467">
        <v>0</v>
      </c>
      <c r="AC6467">
        <v>1</v>
      </c>
      <c r="AD6467">
        <v>0</v>
      </c>
      <c r="AE6467">
        <v>0</v>
      </c>
      <c r="AF6467">
        <v>0</v>
      </c>
      <c r="AG6467">
        <v>0</v>
      </c>
      <c r="AH6467">
        <f t="shared" si="110"/>
        <v>0</v>
      </c>
      <c r="AP6467" t="s">
        <v>1915</v>
      </c>
    </row>
    <row r="6468" spans="1:42">
      <c r="A6468" s="1">
        <v>43826</v>
      </c>
      <c r="B6468">
        <v>5</v>
      </c>
      <c r="C6468">
        <v>535</v>
      </c>
      <c r="D6468">
        <v>11320</v>
      </c>
      <c r="E6468" t="s">
        <v>377</v>
      </c>
      <c r="F6468" t="s">
        <v>520</v>
      </c>
      <c r="G6468">
        <v>2</v>
      </c>
      <c r="H6468">
        <v>4</v>
      </c>
      <c r="I6468" s="25">
        <v>455</v>
      </c>
      <c r="K6468" t="s">
        <v>1976</v>
      </c>
      <c r="M6468" t="s">
        <v>52</v>
      </c>
      <c r="N6468" t="s">
        <v>44</v>
      </c>
      <c r="O6468">
        <f>60+60+43</f>
        <v>163</v>
      </c>
      <c r="Q6468">
        <f t="shared" si="109"/>
        <v>1</v>
      </c>
      <c r="R6468">
        <v>1</v>
      </c>
      <c r="S6468">
        <v>0</v>
      </c>
      <c r="T6468">
        <v>0</v>
      </c>
      <c r="U6468">
        <v>0</v>
      </c>
      <c r="V6468">
        <v>0</v>
      </c>
      <c r="W6468">
        <v>0</v>
      </c>
      <c r="X6468" s="21">
        <v>0</v>
      </c>
      <c r="Y6468">
        <v>0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0</v>
      </c>
      <c r="AH6468">
        <f t="shared" si="110"/>
        <v>0</v>
      </c>
      <c r="AP6468" t="s">
        <v>1915</v>
      </c>
    </row>
    <row r="6469" spans="1:42">
      <c r="A6469" s="1">
        <v>43826</v>
      </c>
      <c r="B6469">
        <v>5</v>
      </c>
      <c r="C6469">
        <v>535</v>
      </c>
      <c r="D6469">
        <v>11320</v>
      </c>
      <c r="E6469" t="s">
        <v>377</v>
      </c>
      <c r="F6469" t="s">
        <v>520</v>
      </c>
      <c r="G6469">
        <v>2</v>
      </c>
      <c r="H6469">
        <v>5</v>
      </c>
      <c r="I6469" s="25">
        <v>675</v>
      </c>
      <c r="K6469" t="s">
        <v>1977</v>
      </c>
      <c r="M6469" t="s">
        <v>52</v>
      </c>
      <c r="N6469" t="s">
        <v>44</v>
      </c>
      <c r="O6469">
        <f>60+60+49</f>
        <v>169</v>
      </c>
      <c r="Q6469">
        <f t="shared" si="109"/>
        <v>1</v>
      </c>
      <c r="R6469">
        <v>1</v>
      </c>
      <c r="S6469">
        <v>0</v>
      </c>
      <c r="T6469">
        <v>0</v>
      </c>
      <c r="U6469">
        <v>0</v>
      </c>
      <c r="V6469">
        <v>0</v>
      </c>
      <c r="W6469">
        <v>0</v>
      </c>
      <c r="X6469" s="21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1</v>
      </c>
      <c r="AF6469">
        <v>0</v>
      </c>
      <c r="AG6469">
        <v>0</v>
      </c>
      <c r="AH6469">
        <f t="shared" si="110"/>
        <v>0</v>
      </c>
      <c r="AP6469" t="s">
        <v>1915</v>
      </c>
    </row>
    <row r="6470" spans="1:42">
      <c r="A6470" s="1">
        <v>43826</v>
      </c>
      <c r="B6470">
        <v>5</v>
      </c>
      <c r="C6470">
        <v>535</v>
      </c>
      <c r="D6470">
        <v>11320</v>
      </c>
      <c r="E6470" t="s">
        <v>377</v>
      </c>
      <c r="F6470" t="s">
        <v>520</v>
      </c>
      <c r="G6470">
        <v>2</v>
      </c>
      <c r="H6470">
        <v>6</v>
      </c>
      <c r="I6470" s="25">
        <v>500</v>
      </c>
      <c r="K6470" s="21" t="s">
        <v>1978</v>
      </c>
      <c r="M6470" t="s">
        <v>52</v>
      </c>
      <c r="N6470" t="s">
        <v>40</v>
      </c>
      <c r="O6470">
        <v>59</v>
      </c>
      <c r="Q6470">
        <f t="shared" si="109"/>
        <v>1</v>
      </c>
      <c r="R6470">
        <v>1</v>
      </c>
      <c r="S6470">
        <v>0</v>
      </c>
      <c r="T6470">
        <v>0</v>
      </c>
      <c r="U6470">
        <v>0</v>
      </c>
      <c r="V6470">
        <v>0</v>
      </c>
      <c r="W6470">
        <v>0</v>
      </c>
      <c r="X6470" s="21">
        <v>0</v>
      </c>
      <c r="Y6470">
        <v>0</v>
      </c>
      <c r="Z6470">
        <v>0</v>
      </c>
      <c r="AA6470">
        <v>0</v>
      </c>
      <c r="AB6470">
        <v>0</v>
      </c>
      <c r="AC6470">
        <v>1</v>
      </c>
      <c r="AD6470">
        <v>0</v>
      </c>
      <c r="AE6470">
        <v>0</v>
      </c>
      <c r="AF6470">
        <v>0</v>
      </c>
      <c r="AG6470">
        <v>0</v>
      </c>
      <c r="AH6470">
        <f t="shared" si="110"/>
        <v>0</v>
      </c>
      <c r="AL6470" t="s">
        <v>1979</v>
      </c>
      <c r="AP6470" t="s">
        <v>1915</v>
      </c>
    </row>
    <row r="6471" spans="1:42">
      <c r="A6471" s="1">
        <v>43826</v>
      </c>
      <c r="B6471">
        <v>5</v>
      </c>
      <c r="C6471">
        <v>535</v>
      </c>
      <c r="D6471">
        <v>11320</v>
      </c>
      <c r="E6471" t="s">
        <v>377</v>
      </c>
      <c r="F6471" t="s">
        <v>520</v>
      </c>
      <c r="G6471">
        <v>2</v>
      </c>
      <c r="H6471">
        <v>7</v>
      </c>
      <c r="I6471" s="25">
        <v>295</v>
      </c>
      <c r="K6471" s="21" t="s">
        <v>1978</v>
      </c>
      <c r="M6471" t="s">
        <v>52</v>
      </c>
      <c r="N6471" t="s">
        <v>44</v>
      </c>
      <c r="O6471">
        <f>60+54</f>
        <v>114</v>
      </c>
      <c r="Q6471">
        <f t="shared" si="109"/>
        <v>1</v>
      </c>
      <c r="R6471">
        <v>1</v>
      </c>
      <c r="S6471">
        <v>0</v>
      </c>
      <c r="T6471">
        <v>0</v>
      </c>
      <c r="U6471">
        <v>0</v>
      </c>
      <c r="V6471">
        <v>0</v>
      </c>
      <c r="W6471">
        <v>0</v>
      </c>
      <c r="X6471" s="2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1</v>
      </c>
      <c r="AF6471">
        <v>0</v>
      </c>
      <c r="AG6471">
        <v>0</v>
      </c>
      <c r="AH6471">
        <f t="shared" si="110"/>
        <v>0</v>
      </c>
      <c r="AP6471" t="s">
        <v>1915</v>
      </c>
    </row>
    <row r="6472" spans="1:42">
      <c r="A6472" s="1">
        <v>43826</v>
      </c>
      <c r="B6472">
        <v>5</v>
      </c>
      <c r="C6472">
        <v>535</v>
      </c>
      <c r="D6472">
        <v>11320</v>
      </c>
      <c r="E6472" t="s">
        <v>377</v>
      </c>
      <c r="F6472" t="s">
        <v>520</v>
      </c>
      <c r="G6472">
        <v>2</v>
      </c>
      <c r="H6472">
        <v>8</v>
      </c>
      <c r="I6472" s="25">
        <v>601</v>
      </c>
      <c r="K6472" t="s">
        <v>1980</v>
      </c>
      <c r="M6472" t="s">
        <v>52</v>
      </c>
      <c r="N6472" t="s">
        <v>40</v>
      </c>
      <c r="O6472">
        <f>60+60+50</f>
        <v>170</v>
      </c>
      <c r="Q6472">
        <f t="shared" si="109"/>
        <v>1</v>
      </c>
      <c r="R6472">
        <v>1</v>
      </c>
      <c r="S6472">
        <v>0</v>
      </c>
      <c r="T6472">
        <v>0</v>
      </c>
      <c r="U6472">
        <v>0</v>
      </c>
      <c r="V6472">
        <v>0</v>
      </c>
      <c r="W6472">
        <v>0</v>
      </c>
      <c r="X6472" s="21">
        <v>0</v>
      </c>
      <c r="Y6472">
        <v>0</v>
      </c>
      <c r="Z6472">
        <v>0</v>
      </c>
      <c r="AA6472">
        <v>1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f t="shared" si="110"/>
        <v>0</v>
      </c>
      <c r="AL6472" t="s">
        <v>1981</v>
      </c>
      <c r="AP6472" t="s">
        <v>1915</v>
      </c>
    </row>
    <row r="6473" spans="1:42">
      <c r="A6473" s="1">
        <v>43826</v>
      </c>
      <c r="B6473">
        <v>5</v>
      </c>
      <c r="C6473">
        <v>535</v>
      </c>
      <c r="D6473">
        <v>11320</v>
      </c>
      <c r="E6473" t="s">
        <v>377</v>
      </c>
      <c r="F6473" t="s">
        <v>520</v>
      </c>
      <c r="G6473">
        <v>2</v>
      </c>
      <c r="H6473">
        <v>9</v>
      </c>
      <c r="I6473" s="25">
        <v>55</v>
      </c>
      <c r="K6473" t="s">
        <v>1982</v>
      </c>
      <c r="M6473" t="s">
        <v>52</v>
      </c>
      <c r="N6473" t="s">
        <v>44</v>
      </c>
      <c r="O6473">
        <f>60+60+9</f>
        <v>129</v>
      </c>
      <c r="Q6473">
        <f t="shared" si="109"/>
        <v>1</v>
      </c>
      <c r="R6473">
        <v>1</v>
      </c>
      <c r="S6473">
        <v>0</v>
      </c>
      <c r="T6473">
        <v>0</v>
      </c>
      <c r="U6473">
        <v>0</v>
      </c>
      <c r="V6473">
        <v>0</v>
      </c>
      <c r="W6473">
        <v>0</v>
      </c>
      <c r="X6473" s="21">
        <v>0</v>
      </c>
      <c r="Y6473">
        <v>0</v>
      </c>
      <c r="Z6473">
        <v>0</v>
      </c>
      <c r="AA6473">
        <v>0</v>
      </c>
      <c r="AB6473">
        <v>0</v>
      </c>
      <c r="AC6473">
        <v>1</v>
      </c>
      <c r="AD6473">
        <v>0</v>
      </c>
      <c r="AE6473">
        <v>0</v>
      </c>
      <c r="AF6473">
        <v>0</v>
      </c>
      <c r="AG6473">
        <v>0</v>
      </c>
      <c r="AH6473">
        <f t="shared" si="110"/>
        <v>0</v>
      </c>
      <c r="AL6473" t="s">
        <v>1983</v>
      </c>
      <c r="AP6473" t="s">
        <v>1915</v>
      </c>
    </row>
    <row r="6474" spans="1:42">
      <c r="A6474" s="1">
        <v>43826</v>
      </c>
      <c r="B6474">
        <v>5</v>
      </c>
      <c r="C6474">
        <v>535</v>
      </c>
      <c r="D6474">
        <v>11320</v>
      </c>
      <c r="E6474" t="s">
        <v>377</v>
      </c>
      <c r="F6474" t="s">
        <v>520</v>
      </c>
      <c r="G6474">
        <v>2</v>
      </c>
      <c r="H6474">
        <v>10</v>
      </c>
      <c r="I6474" s="25">
        <v>175</v>
      </c>
      <c r="K6474" t="s">
        <v>1984</v>
      </c>
      <c r="M6474" t="s">
        <v>52</v>
      </c>
      <c r="N6474" t="s">
        <v>40</v>
      </c>
      <c r="O6474">
        <f>60+22</f>
        <v>82</v>
      </c>
      <c r="Q6474">
        <f t="shared" si="109"/>
        <v>2</v>
      </c>
      <c r="R6474">
        <v>1</v>
      </c>
      <c r="S6474">
        <v>0</v>
      </c>
      <c r="T6474">
        <v>0</v>
      </c>
      <c r="U6474">
        <v>0</v>
      </c>
      <c r="V6474">
        <v>0</v>
      </c>
      <c r="W6474">
        <v>0</v>
      </c>
      <c r="X6474" s="21">
        <v>0</v>
      </c>
      <c r="Y6474">
        <v>0</v>
      </c>
      <c r="Z6474">
        <v>0</v>
      </c>
      <c r="AA6474">
        <v>0</v>
      </c>
      <c r="AB6474">
        <v>0</v>
      </c>
      <c r="AC6474">
        <v>2</v>
      </c>
      <c r="AD6474">
        <v>0</v>
      </c>
      <c r="AE6474">
        <v>0</v>
      </c>
      <c r="AF6474">
        <v>0</v>
      </c>
      <c r="AG6474">
        <v>0</v>
      </c>
      <c r="AH6474">
        <f t="shared" si="110"/>
        <v>0</v>
      </c>
      <c r="AP6474" t="s">
        <v>1915</v>
      </c>
    </row>
    <row r="6475" spans="1:42">
      <c r="A6475" s="1">
        <v>43826</v>
      </c>
      <c r="B6475">
        <v>5</v>
      </c>
      <c r="C6475">
        <v>535</v>
      </c>
      <c r="D6475">
        <v>11320</v>
      </c>
      <c r="E6475" t="s">
        <v>377</v>
      </c>
      <c r="F6475" t="s">
        <v>520</v>
      </c>
      <c r="G6475">
        <v>2</v>
      </c>
      <c r="H6475">
        <v>11</v>
      </c>
      <c r="I6475" s="25">
        <v>651</v>
      </c>
      <c r="K6475" t="s">
        <v>378</v>
      </c>
      <c r="M6475" t="s">
        <v>52</v>
      </c>
      <c r="N6475" t="s">
        <v>40</v>
      </c>
      <c r="O6475">
        <f>60+60+60+6</f>
        <v>186</v>
      </c>
      <c r="Q6475">
        <f t="shared" si="109"/>
        <v>2</v>
      </c>
      <c r="R6475">
        <v>1</v>
      </c>
      <c r="S6475">
        <v>0</v>
      </c>
      <c r="T6475">
        <v>0</v>
      </c>
      <c r="U6475">
        <v>0</v>
      </c>
      <c r="V6475">
        <v>0</v>
      </c>
      <c r="W6475">
        <v>0</v>
      </c>
      <c r="X6475" s="21">
        <v>0</v>
      </c>
      <c r="Y6475">
        <v>0</v>
      </c>
      <c r="Z6475">
        <v>0</v>
      </c>
      <c r="AA6475">
        <v>0</v>
      </c>
      <c r="AB6475">
        <v>0</v>
      </c>
      <c r="AC6475">
        <v>2</v>
      </c>
      <c r="AD6475">
        <v>0</v>
      </c>
      <c r="AE6475">
        <v>0</v>
      </c>
      <c r="AF6475">
        <v>0</v>
      </c>
      <c r="AG6475">
        <v>0</v>
      </c>
      <c r="AH6475">
        <f t="shared" si="110"/>
        <v>0</v>
      </c>
      <c r="AP6475" t="s">
        <v>1915</v>
      </c>
    </row>
    <row r="6476" spans="1:42">
      <c r="A6476" s="1">
        <v>43826</v>
      </c>
      <c r="B6476">
        <v>5</v>
      </c>
      <c r="C6476">
        <v>535</v>
      </c>
      <c r="D6476">
        <v>11320</v>
      </c>
      <c r="E6476" t="s">
        <v>377</v>
      </c>
      <c r="F6476" t="s">
        <v>520</v>
      </c>
      <c r="G6476">
        <v>2</v>
      </c>
      <c r="H6476">
        <v>12</v>
      </c>
      <c r="I6476" s="25">
        <v>601</v>
      </c>
      <c r="K6476" t="s">
        <v>48</v>
      </c>
      <c r="M6476" t="s">
        <v>52</v>
      </c>
      <c r="N6476" t="s">
        <v>40</v>
      </c>
      <c r="O6476">
        <f>60+60</f>
        <v>120</v>
      </c>
      <c r="Q6476">
        <f t="shared" si="109"/>
        <v>1</v>
      </c>
      <c r="R6476">
        <v>1</v>
      </c>
      <c r="S6476">
        <v>0</v>
      </c>
      <c r="T6476">
        <v>0</v>
      </c>
      <c r="U6476">
        <v>0</v>
      </c>
      <c r="V6476">
        <v>0</v>
      </c>
      <c r="W6476">
        <v>0</v>
      </c>
      <c r="X6476" s="21">
        <v>0</v>
      </c>
      <c r="Y6476">
        <v>0</v>
      </c>
      <c r="Z6476">
        <v>0</v>
      </c>
      <c r="AA6476">
        <v>0</v>
      </c>
      <c r="AB6476">
        <v>1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f t="shared" si="110"/>
        <v>0</v>
      </c>
      <c r="AP6476" t="s">
        <v>1915</v>
      </c>
    </row>
    <row r="6477" spans="1:42">
      <c r="A6477" s="1">
        <v>43826</v>
      </c>
      <c r="B6477">
        <v>5</v>
      </c>
      <c r="C6477">
        <v>535</v>
      </c>
      <c r="D6477">
        <v>11320</v>
      </c>
      <c r="E6477" t="s">
        <v>377</v>
      </c>
      <c r="F6477" t="s">
        <v>520</v>
      </c>
      <c r="G6477">
        <v>2</v>
      </c>
      <c r="H6477">
        <v>13</v>
      </c>
      <c r="I6477" s="25">
        <v>650</v>
      </c>
      <c r="K6477" t="s">
        <v>1985</v>
      </c>
      <c r="M6477" t="s">
        <v>52</v>
      </c>
      <c r="N6477" t="s">
        <v>44</v>
      </c>
      <c r="O6477">
        <f>60+60+60+60+5</f>
        <v>245</v>
      </c>
      <c r="Q6477">
        <f t="shared" si="109"/>
        <v>1</v>
      </c>
      <c r="R6477">
        <v>1</v>
      </c>
      <c r="S6477">
        <v>0</v>
      </c>
      <c r="T6477">
        <v>0</v>
      </c>
      <c r="U6477">
        <v>0</v>
      </c>
      <c r="V6477">
        <v>0</v>
      </c>
      <c r="W6477">
        <v>0</v>
      </c>
      <c r="X6477" s="21">
        <v>0</v>
      </c>
      <c r="Y6477">
        <v>0</v>
      </c>
      <c r="Z6477">
        <v>0</v>
      </c>
      <c r="AA6477">
        <v>0</v>
      </c>
      <c r="AB6477">
        <v>1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f t="shared" si="110"/>
        <v>0</v>
      </c>
      <c r="AL6477" t="s">
        <v>1983</v>
      </c>
      <c r="AP6477" t="s">
        <v>1915</v>
      </c>
    </row>
    <row r="6478" spans="1:42">
      <c r="A6478" s="1">
        <v>43826</v>
      </c>
      <c r="B6478">
        <v>5</v>
      </c>
      <c r="C6478">
        <v>535</v>
      </c>
      <c r="D6478">
        <v>11320</v>
      </c>
      <c r="E6478" t="s">
        <v>377</v>
      </c>
      <c r="F6478" t="s">
        <v>520</v>
      </c>
      <c r="G6478">
        <v>2</v>
      </c>
      <c r="H6478">
        <v>14</v>
      </c>
      <c r="I6478" s="25">
        <v>640</v>
      </c>
      <c r="K6478" t="s">
        <v>378</v>
      </c>
      <c r="M6478" t="s">
        <v>52</v>
      </c>
      <c r="N6478" t="s">
        <v>44</v>
      </c>
      <c r="O6478">
        <f>60+60+47</f>
        <v>167</v>
      </c>
      <c r="Q6478">
        <f t="shared" si="109"/>
        <v>1</v>
      </c>
      <c r="R6478">
        <v>1</v>
      </c>
      <c r="S6478">
        <v>0</v>
      </c>
      <c r="T6478">
        <v>0</v>
      </c>
      <c r="U6478">
        <v>0</v>
      </c>
      <c r="V6478">
        <v>0</v>
      </c>
      <c r="W6478">
        <v>0</v>
      </c>
      <c r="X6478" s="21">
        <v>0</v>
      </c>
      <c r="Y6478">
        <v>0</v>
      </c>
      <c r="Z6478">
        <v>0</v>
      </c>
      <c r="AA6478">
        <v>0</v>
      </c>
      <c r="AB6478">
        <v>0</v>
      </c>
      <c r="AC6478">
        <v>1</v>
      </c>
      <c r="AD6478">
        <v>0</v>
      </c>
      <c r="AE6478">
        <v>0</v>
      </c>
      <c r="AF6478">
        <v>0</v>
      </c>
      <c r="AG6478">
        <v>0</v>
      </c>
      <c r="AH6478">
        <f t="shared" si="110"/>
        <v>0</v>
      </c>
      <c r="AL6478" t="s">
        <v>1986</v>
      </c>
      <c r="AP6478" t="s">
        <v>1915</v>
      </c>
    </row>
    <row r="6479" spans="1:42">
      <c r="A6479" s="1">
        <v>43826</v>
      </c>
      <c r="B6479">
        <v>5</v>
      </c>
      <c r="C6479">
        <v>535</v>
      </c>
      <c r="D6479">
        <v>11320</v>
      </c>
      <c r="E6479" t="s">
        <v>377</v>
      </c>
      <c r="F6479" t="s">
        <v>520</v>
      </c>
      <c r="G6479">
        <v>2</v>
      </c>
      <c r="H6479">
        <v>15</v>
      </c>
      <c r="I6479" s="25">
        <v>790</v>
      </c>
      <c r="K6479" t="s">
        <v>378</v>
      </c>
      <c r="M6479" t="s">
        <v>52</v>
      </c>
      <c r="N6479" t="s">
        <v>40</v>
      </c>
      <c r="O6479">
        <f>60+60+29</f>
        <v>149</v>
      </c>
      <c r="Q6479">
        <f t="shared" si="109"/>
        <v>1</v>
      </c>
      <c r="R6479">
        <v>1</v>
      </c>
      <c r="S6479">
        <v>0</v>
      </c>
      <c r="T6479">
        <v>0</v>
      </c>
      <c r="U6479">
        <v>0</v>
      </c>
      <c r="V6479">
        <v>0</v>
      </c>
      <c r="W6479">
        <v>0</v>
      </c>
      <c r="X6479" s="21">
        <v>0</v>
      </c>
      <c r="Y6479">
        <v>0</v>
      </c>
      <c r="Z6479">
        <v>1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f t="shared" si="110"/>
        <v>0</v>
      </c>
      <c r="AL6479" t="s">
        <v>1987</v>
      </c>
      <c r="AP6479" t="s">
        <v>1915</v>
      </c>
    </row>
    <row r="6480" spans="1:42">
      <c r="A6480" s="1">
        <v>43826</v>
      </c>
      <c r="B6480">
        <v>5</v>
      </c>
      <c r="C6480">
        <v>535</v>
      </c>
      <c r="D6480">
        <v>11320</v>
      </c>
      <c r="E6480" t="s">
        <v>377</v>
      </c>
      <c r="F6480" t="s">
        <v>520</v>
      </c>
      <c r="G6480">
        <v>2</v>
      </c>
      <c r="H6480">
        <v>16</v>
      </c>
      <c r="I6480" s="25">
        <v>475</v>
      </c>
      <c r="K6480" t="s">
        <v>390</v>
      </c>
      <c r="M6480" t="s">
        <v>52</v>
      </c>
      <c r="N6480" t="s">
        <v>40</v>
      </c>
      <c r="O6480">
        <f>60+31</f>
        <v>91</v>
      </c>
      <c r="Q6480">
        <f t="shared" si="109"/>
        <v>1</v>
      </c>
      <c r="R6480">
        <v>1</v>
      </c>
      <c r="S6480">
        <v>0</v>
      </c>
      <c r="T6480">
        <v>0</v>
      </c>
      <c r="U6480">
        <v>0</v>
      </c>
      <c r="V6480">
        <v>0</v>
      </c>
      <c r="W6480">
        <v>0</v>
      </c>
      <c r="X6480" s="21">
        <v>0</v>
      </c>
      <c r="Y6480">
        <v>0</v>
      </c>
      <c r="Z6480">
        <v>0</v>
      </c>
      <c r="AA6480">
        <v>0</v>
      </c>
      <c r="AB6480">
        <v>0</v>
      </c>
      <c r="AC6480">
        <v>1</v>
      </c>
      <c r="AD6480">
        <v>0</v>
      </c>
      <c r="AE6480">
        <v>0</v>
      </c>
      <c r="AF6480">
        <v>0</v>
      </c>
      <c r="AG6480">
        <v>0</v>
      </c>
      <c r="AH6480">
        <f t="shared" si="110"/>
        <v>0</v>
      </c>
      <c r="AP6480" t="s">
        <v>1915</v>
      </c>
    </row>
    <row r="6481" spans="1:42">
      <c r="A6481" s="1">
        <v>43826</v>
      </c>
      <c r="B6481">
        <v>5</v>
      </c>
      <c r="C6481">
        <v>535</v>
      </c>
      <c r="D6481">
        <v>11320</v>
      </c>
      <c r="E6481" t="s">
        <v>377</v>
      </c>
      <c r="F6481" t="s">
        <v>520</v>
      </c>
      <c r="G6481">
        <v>2</v>
      </c>
      <c r="H6481">
        <v>17</v>
      </c>
      <c r="I6481" s="25">
        <v>451</v>
      </c>
      <c r="K6481" t="s">
        <v>390</v>
      </c>
      <c r="M6481" t="s">
        <v>52</v>
      </c>
      <c r="N6481" t="s">
        <v>40</v>
      </c>
      <c r="O6481">
        <f>60+15</f>
        <v>75</v>
      </c>
      <c r="Q6481">
        <f t="shared" si="109"/>
        <v>1</v>
      </c>
      <c r="R6481">
        <v>1</v>
      </c>
      <c r="S6481">
        <v>0</v>
      </c>
      <c r="T6481">
        <v>0</v>
      </c>
      <c r="U6481">
        <v>0</v>
      </c>
      <c r="V6481">
        <v>0</v>
      </c>
      <c r="W6481">
        <v>0</v>
      </c>
      <c r="X6481" s="21">
        <v>0</v>
      </c>
      <c r="Y6481">
        <v>0</v>
      </c>
      <c r="Z6481">
        <v>0</v>
      </c>
      <c r="AA6481">
        <v>0</v>
      </c>
      <c r="AB6481">
        <v>1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f t="shared" si="110"/>
        <v>0</v>
      </c>
      <c r="AP6481" t="s">
        <v>1915</v>
      </c>
    </row>
    <row r="6482" spans="1:42">
      <c r="A6482" s="1">
        <v>43826</v>
      </c>
      <c r="B6482">
        <v>5</v>
      </c>
      <c r="C6482">
        <v>535</v>
      </c>
      <c r="D6482">
        <v>11320</v>
      </c>
      <c r="E6482" t="s">
        <v>377</v>
      </c>
      <c r="F6482" t="s">
        <v>520</v>
      </c>
      <c r="G6482">
        <v>2</v>
      </c>
      <c r="H6482">
        <v>18</v>
      </c>
      <c r="I6482" s="25">
        <v>930</v>
      </c>
      <c r="K6482" t="s">
        <v>383</v>
      </c>
      <c r="M6482" t="s">
        <v>52</v>
      </c>
      <c r="N6482" t="s">
        <v>44</v>
      </c>
      <c r="O6482">
        <f>60+60+60+60+59</f>
        <v>299</v>
      </c>
      <c r="Q6482">
        <f t="shared" si="109"/>
        <v>1</v>
      </c>
      <c r="R6482">
        <v>1</v>
      </c>
      <c r="S6482">
        <v>0</v>
      </c>
      <c r="T6482">
        <v>0</v>
      </c>
      <c r="U6482">
        <v>0</v>
      </c>
      <c r="V6482">
        <v>0</v>
      </c>
      <c r="W6482">
        <v>0</v>
      </c>
      <c r="X6482" s="21">
        <v>0</v>
      </c>
      <c r="Y6482">
        <v>0</v>
      </c>
      <c r="Z6482">
        <v>0</v>
      </c>
      <c r="AA6482">
        <v>0</v>
      </c>
      <c r="AB6482">
        <v>1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f t="shared" si="110"/>
        <v>0</v>
      </c>
      <c r="AL6482" t="s">
        <v>1988</v>
      </c>
      <c r="AP6482" t="s">
        <v>1915</v>
      </c>
    </row>
    <row r="6483" spans="1:42">
      <c r="A6483" s="1">
        <v>43826</v>
      </c>
      <c r="B6483">
        <v>5</v>
      </c>
      <c r="C6483">
        <v>535</v>
      </c>
      <c r="D6483">
        <v>11320</v>
      </c>
      <c r="E6483" t="s">
        <v>377</v>
      </c>
      <c r="F6483" t="s">
        <v>520</v>
      </c>
      <c r="G6483">
        <v>2</v>
      </c>
      <c r="H6483">
        <v>19</v>
      </c>
      <c r="I6483" s="25">
        <v>928</v>
      </c>
      <c r="K6483" t="s">
        <v>383</v>
      </c>
      <c r="M6483" t="s">
        <v>52</v>
      </c>
      <c r="N6483" t="s">
        <v>40</v>
      </c>
      <c r="O6483">
        <f>60+60+6</f>
        <v>126</v>
      </c>
      <c r="Q6483">
        <f t="shared" si="109"/>
        <v>1</v>
      </c>
      <c r="R6483">
        <v>1</v>
      </c>
      <c r="S6483">
        <v>0</v>
      </c>
      <c r="T6483">
        <v>0</v>
      </c>
      <c r="U6483">
        <v>0</v>
      </c>
      <c r="V6483">
        <v>0</v>
      </c>
      <c r="W6483">
        <v>0</v>
      </c>
      <c r="X6483" s="21">
        <v>0</v>
      </c>
      <c r="Y6483">
        <v>0</v>
      </c>
      <c r="Z6483">
        <v>0</v>
      </c>
      <c r="AA6483">
        <v>1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f t="shared" si="110"/>
        <v>0</v>
      </c>
      <c r="AL6483" t="s">
        <v>1989</v>
      </c>
      <c r="AP6483" t="s">
        <v>1915</v>
      </c>
    </row>
    <row r="6484" spans="1:42">
      <c r="A6484" s="1">
        <v>43826</v>
      </c>
      <c r="B6484">
        <v>5</v>
      </c>
      <c r="C6484">
        <v>535</v>
      </c>
      <c r="D6484">
        <v>11320</v>
      </c>
      <c r="E6484" t="s">
        <v>377</v>
      </c>
      <c r="F6484" t="s">
        <v>520</v>
      </c>
      <c r="G6484">
        <v>2</v>
      </c>
      <c r="H6484">
        <v>20</v>
      </c>
      <c r="I6484" s="25">
        <v>1000</v>
      </c>
      <c r="K6484" t="s">
        <v>383</v>
      </c>
      <c r="M6484" t="s">
        <v>52</v>
      </c>
      <c r="N6484" t="s">
        <v>40</v>
      </c>
      <c r="O6484">
        <f>60+27</f>
        <v>87</v>
      </c>
      <c r="Q6484">
        <f t="shared" si="109"/>
        <v>1</v>
      </c>
      <c r="R6484">
        <v>1</v>
      </c>
      <c r="S6484">
        <v>0</v>
      </c>
      <c r="T6484">
        <v>0</v>
      </c>
      <c r="U6484">
        <v>0</v>
      </c>
      <c r="V6484">
        <v>0</v>
      </c>
      <c r="W6484">
        <v>0</v>
      </c>
      <c r="X6484" s="21">
        <v>0</v>
      </c>
      <c r="Y6484">
        <v>1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f t="shared" si="110"/>
        <v>0</v>
      </c>
      <c r="AP6484" t="s">
        <v>1915</v>
      </c>
    </row>
    <row r="6485" spans="1:42">
      <c r="A6485" s="1">
        <v>43826</v>
      </c>
      <c r="B6485">
        <v>5</v>
      </c>
      <c r="C6485">
        <v>535</v>
      </c>
      <c r="D6485">
        <v>11320</v>
      </c>
      <c r="E6485" t="s">
        <v>377</v>
      </c>
      <c r="F6485" t="s">
        <v>520</v>
      </c>
      <c r="G6485">
        <v>2</v>
      </c>
      <c r="H6485">
        <v>21</v>
      </c>
      <c r="I6485" s="25">
        <v>31</v>
      </c>
      <c r="K6485" t="s">
        <v>1990</v>
      </c>
      <c r="M6485" t="s">
        <v>52</v>
      </c>
      <c r="N6485" t="s">
        <v>44</v>
      </c>
      <c r="O6485">
        <f>60+60+58</f>
        <v>178</v>
      </c>
      <c r="Q6485">
        <f t="shared" si="109"/>
        <v>1</v>
      </c>
      <c r="R6485">
        <v>1</v>
      </c>
      <c r="S6485">
        <v>0</v>
      </c>
      <c r="T6485">
        <v>0</v>
      </c>
      <c r="U6485">
        <v>0</v>
      </c>
      <c r="V6485">
        <v>0</v>
      </c>
      <c r="W6485">
        <v>0</v>
      </c>
      <c r="X6485" s="21">
        <v>0</v>
      </c>
      <c r="Y6485">
        <v>0</v>
      </c>
      <c r="Z6485">
        <v>0</v>
      </c>
      <c r="AA6485">
        <v>1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f t="shared" si="110"/>
        <v>0</v>
      </c>
      <c r="AL6485" t="s">
        <v>1991</v>
      </c>
      <c r="AP6485" t="s">
        <v>1915</v>
      </c>
    </row>
    <row r="6486" spans="1:42">
      <c r="A6486" s="1">
        <v>43826</v>
      </c>
      <c r="B6486">
        <v>5</v>
      </c>
      <c r="C6486">
        <v>535</v>
      </c>
      <c r="D6486">
        <v>11320</v>
      </c>
      <c r="E6486" t="s">
        <v>377</v>
      </c>
      <c r="F6486" t="s">
        <v>520</v>
      </c>
      <c r="G6486">
        <v>2</v>
      </c>
      <c r="H6486">
        <v>22</v>
      </c>
      <c r="I6486" s="25">
        <v>300</v>
      </c>
      <c r="K6486" t="s">
        <v>529</v>
      </c>
      <c r="M6486" t="s">
        <v>52</v>
      </c>
      <c r="N6486" t="s">
        <v>40</v>
      </c>
      <c r="O6486">
        <f>60+15</f>
        <v>75</v>
      </c>
      <c r="Q6486">
        <f t="shared" si="109"/>
        <v>1</v>
      </c>
      <c r="R6486">
        <v>1</v>
      </c>
      <c r="S6486">
        <v>0</v>
      </c>
      <c r="T6486">
        <v>0</v>
      </c>
      <c r="U6486">
        <v>0</v>
      </c>
      <c r="V6486">
        <v>0</v>
      </c>
      <c r="W6486">
        <v>0</v>
      </c>
      <c r="X6486" s="21">
        <v>0</v>
      </c>
      <c r="Y6486">
        <v>0</v>
      </c>
      <c r="Z6486">
        <v>0</v>
      </c>
      <c r="AA6486">
        <v>1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f t="shared" si="110"/>
        <v>0</v>
      </c>
      <c r="AP6486" t="s">
        <v>1915</v>
      </c>
    </row>
    <row r="6487" spans="1:42">
      <c r="A6487" s="1">
        <v>43826</v>
      </c>
      <c r="B6487">
        <v>5</v>
      </c>
      <c r="C6487">
        <v>535</v>
      </c>
      <c r="D6487">
        <v>11320</v>
      </c>
      <c r="E6487" t="s">
        <v>377</v>
      </c>
      <c r="F6487" t="s">
        <v>520</v>
      </c>
      <c r="G6487">
        <v>2</v>
      </c>
      <c r="H6487">
        <v>23</v>
      </c>
      <c r="I6487" s="25">
        <v>826</v>
      </c>
      <c r="K6487" t="s">
        <v>107</v>
      </c>
      <c r="M6487" t="s">
        <v>52</v>
      </c>
      <c r="N6487" t="s">
        <v>44</v>
      </c>
      <c r="O6487">
        <f>60+60+60+60+60+1</f>
        <v>301</v>
      </c>
      <c r="Q6487">
        <f t="shared" si="109"/>
        <v>2</v>
      </c>
      <c r="R6487">
        <v>1</v>
      </c>
      <c r="S6487">
        <v>0</v>
      </c>
      <c r="T6487">
        <v>0</v>
      </c>
      <c r="U6487">
        <v>0</v>
      </c>
      <c r="V6487">
        <v>0</v>
      </c>
      <c r="W6487">
        <v>0</v>
      </c>
      <c r="X6487" s="21">
        <v>0</v>
      </c>
      <c r="Y6487">
        <v>0</v>
      </c>
      <c r="Z6487">
        <v>0</v>
      </c>
      <c r="AA6487">
        <v>0</v>
      </c>
      <c r="AB6487">
        <v>2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f t="shared" si="110"/>
        <v>0</v>
      </c>
      <c r="AL6487" t="s">
        <v>587</v>
      </c>
      <c r="AP6487" t="s">
        <v>1915</v>
      </c>
    </row>
    <row r="6488" spans="1:42">
      <c r="A6488" s="1">
        <v>43826</v>
      </c>
      <c r="B6488">
        <v>5</v>
      </c>
      <c r="C6488">
        <v>535</v>
      </c>
      <c r="D6488">
        <v>11320</v>
      </c>
      <c r="E6488" t="s">
        <v>377</v>
      </c>
      <c r="F6488" t="s">
        <v>520</v>
      </c>
      <c r="G6488">
        <v>2</v>
      </c>
      <c r="H6488">
        <v>24</v>
      </c>
      <c r="I6488" s="25">
        <v>250</v>
      </c>
      <c r="K6488" t="s">
        <v>406</v>
      </c>
      <c r="M6488" t="s">
        <v>95</v>
      </c>
      <c r="N6488" t="s">
        <v>40</v>
      </c>
      <c r="O6488">
        <f>60+60+53</f>
        <v>173</v>
      </c>
      <c r="Q6488">
        <f t="shared" si="109"/>
        <v>1</v>
      </c>
      <c r="R6488">
        <v>1</v>
      </c>
      <c r="S6488">
        <v>0</v>
      </c>
      <c r="T6488">
        <v>0</v>
      </c>
      <c r="U6488">
        <v>0</v>
      </c>
      <c r="V6488">
        <v>0</v>
      </c>
      <c r="W6488">
        <v>0</v>
      </c>
      <c r="X6488" s="21">
        <v>0</v>
      </c>
      <c r="Y6488">
        <v>0</v>
      </c>
      <c r="Z6488">
        <v>0</v>
      </c>
      <c r="AA6488">
        <v>0</v>
      </c>
      <c r="AB6488">
        <v>1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f t="shared" si="110"/>
        <v>0</v>
      </c>
      <c r="AL6488" t="s">
        <v>1992</v>
      </c>
      <c r="AP6488" t="s">
        <v>1915</v>
      </c>
    </row>
    <row r="6489" spans="1:42">
      <c r="A6489" s="1">
        <v>43826</v>
      </c>
      <c r="B6489">
        <v>5</v>
      </c>
      <c r="C6489">
        <v>535</v>
      </c>
      <c r="D6489">
        <v>11320</v>
      </c>
      <c r="E6489" t="s">
        <v>377</v>
      </c>
      <c r="F6489" t="s">
        <v>520</v>
      </c>
      <c r="G6489">
        <v>2</v>
      </c>
      <c r="H6489">
        <v>25</v>
      </c>
      <c r="I6489" s="25">
        <v>875</v>
      </c>
      <c r="K6489" t="s">
        <v>391</v>
      </c>
      <c r="M6489" t="s">
        <v>52</v>
      </c>
      <c r="N6489" t="s">
        <v>1703</v>
      </c>
      <c r="O6489">
        <f>60+26</f>
        <v>86</v>
      </c>
      <c r="Q6489">
        <f t="shared" si="109"/>
        <v>1</v>
      </c>
      <c r="R6489">
        <v>1</v>
      </c>
      <c r="S6489">
        <v>0</v>
      </c>
      <c r="T6489">
        <v>0</v>
      </c>
      <c r="U6489">
        <v>0</v>
      </c>
      <c r="V6489">
        <v>0</v>
      </c>
      <c r="W6489">
        <v>0</v>
      </c>
      <c r="X6489" s="21">
        <v>0</v>
      </c>
      <c r="Y6489">
        <v>0</v>
      </c>
      <c r="Z6489">
        <v>0</v>
      </c>
      <c r="AA6489">
        <v>0</v>
      </c>
      <c r="AB6489">
        <v>1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f t="shared" si="110"/>
        <v>0</v>
      </c>
      <c r="AL6489" t="s">
        <v>1993</v>
      </c>
      <c r="AP6489" t="s">
        <v>1915</v>
      </c>
    </row>
    <row r="6490" spans="1:42">
      <c r="A6490" s="1">
        <v>43826</v>
      </c>
      <c r="B6490">
        <v>5</v>
      </c>
      <c r="C6490">
        <v>535</v>
      </c>
      <c r="D6490">
        <v>11320</v>
      </c>
      <c r="E6490" t="s">
        <v>377</v>
      </c>
      <c r="F6490" t="s">
        <v>520</v>
      </c>
      <c r="G6490">
        <v>2</v>
      </c>
      <c r="H6490">
        <v>26</v>
      </c>
      <c r="I6490" s="25">
        <v>925</v>
      </c>
      <c r="K6490" t="s">
        <v>394</v>
      </c>
      <c r="M6490" t="s">
        <v>52</v>
      </c>
      <c r="N6490" t="s">
        <v>40</v>
      </c>
      <c r="O6490">
        <f>60+60+60+60+60+30</f>
        <v>330</v>
      </c>
      <c r="Q6490">
        <f t="shared" si="109"/>
        <v>4</v>
      </c>
      <c r="R6490">
        <v>1</v>
      </c>
      <c r="S6490">
        <v>0</v>
      </c>
      <c r="T6490">
        <v>0</v>
      </c>
      <c r="U6490">
        <v>0</v>
      </c>
      <c r="V6490">
        <v>0</v>
      </c>
      <c r="W6490">
        <v>0</v>
      </c>
      <c r="X6490" s="21">
        <v>0</v>
      </c>
      <c r="Y6490">
        <v>0</v>
      </c>
      <c r="Z6490">
        <v>0</v>
      </c>
      <c r="AA6490">
        <v>0</v>
      </c>
      <c r="AB6490">
        <v>0</v>
      </c>
      <c r="AC6490">
        <v>4</v>
      </c>
      <c r="AD6490">
        <v>0</v>
      </c>
      <c r="AE6490">
        <v>0</v>
      </c>
      <c r="AF6490">
        <v>0</v>
      </c>
      <c r="AG6490">
        <v>0</v>
      </c>
      <c r="AH6490">
        <f t="shared" si="110"/>
        <v>0</v>
      </c>
      <c r="AL6490" t="s">
        <v>1994</v>
      </c>
      <c r="AP6490" t="s">
        <v>1915</v>
      </c>
    </row>
    <row r="6491" spans="1:42">
      <c r="A6491" s="1">
        <v>43826</v>
      </c>
      <c r="B6491">
        <v>5</v>
      </c>
      <c r="C6491">
        <v>535</v>
      </c>
      <c r="D6491">
        <v>11320</v>
      </c>
      <c r="E6491" t="s">
        <v>377</v>
      </c>
      <c r="F6491" t="s">
        <v>520</v>
      </c>
      <c r="G6491">
        <v>2</v>
      </c>
      <c r="H6491">
        <v>27</v>
      </c>
      <c r="I6491" s="25">
        <v>457</v>
      </c>
      <c r="K6491" t="s">
        <v>394</v>
      </c>
      <c r="M6491" t="s">
        <v>52</v>
      </c>
      <c r="N6491" t="s">
        <v>44</v>
      </c>
      <c r="O6491">
        <f>60+60+55</f>
        <v>175</v>
      </c>
      <c r="Q6491">
        <f t="shared" si="109"/>
        <v>2</v>
      </c>
      <c r="R6491">
        <v>1</v>
      </c>
      <c r="S6491">
        <v>0</v>
      </c>
      <c r="T6491">
        <v>0</v>
      </c>
      <c r="U6491">
        <v>0</v>
      </c>
      <c r="V6491">
        <v>0</v>
      </c>
      <c r="W6491">
        <v>0</v>
      </c>
      <c r="X6491" s="21">
        <v>0</v>
      </c>
      <c r="Y6491">
        <v>0</v>
      </c>
      <c r="Z6491">
        <v>0</v>
      </c>
      <c r="AA6491">
        <v>2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f t="shared" si="110"/>
        <v>0</v>
      </c>
      <c r="AL6491" t="s">
        <v>587</v>
      </c>
      <c r="AP6491" t="s">
        <v>1915</v>
      </c>
    </row>
    <row r="6492" spans="1:42">
      <c r="A6492" s="1">
        <v>43826</v>
      </c>
      <c r="B6492">
        <v>5</v>
      </c>
      <c r="C6492">
        <v>535</v>
      </c>
      <c r="D6492">
        <v>11320</v>
      </c>
      <c r="E6492" t="s">
        <v>377</v>
      </c>
      <c r="F6492" t="s">
        <v>520</v>
      </c>
      <c r="G6492">
        <v>2</v>
      </c>
      <c r="H6492">
        <v>28</v>
      </c>
      <c r="I6492" s="25">
        <v>801</v>
      </c>
      <c r="K6492" t="s">
        <v>391</v>
      </c>
      <c r="M6492" t="s">
        <v>52</v>
      </c>
      <c r="N6492" t="s">
        <v>44</v>
      </c>
      <c r="O6492">
        <f>60+60+60</f>
        <v>180</v>
      </c>
      <c r="Q6492">
        <f t="shared" si="109"/>
        <v>2</v>
      </c>
      <c r="R6492">
        <v>1</v>
      </c>
      <c r="S6492">
        <v>0</v>
      </c>
      <c r="T6492">
        <v>0</v>
      </c>
      <c r="U6492">
        <v>0</v>
      </c>
      <c r="V6492">
        <v>0</v>
      </c>
      <c r="W6492">
        <v>0</v>
      </c>
      <c r="X6492" s="21">
        <v>0</v>
      </c>
      <c r="Y6492">
        <v>0</v>
      </c>
      <c r="Z6492">
        <v>0</v>
      </c>
      <c r="AA6492">
        <v>2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f t="shared" si="110"/>
        <v>0</v>
      </c>
      <c r="AL6492" t="s">
        <v>1995</v>
      </c>
      <c r="AP6492" t="s">
        <v>1915</v>
      </c>
    </row>
    <row r="6493" spans="1:42">
      <c r="A6493" s="1">
        <v>43826</v>
      </c>
      <c r="B6493">
        <v>5</v>
      </c>
      <c r="C6493">
        <v>535</v>
      </c>
      <c r="D6493">
        <v>11320</v>
      </c>
      <c r="E6493" t="s">
        <v>377</v>
      </c>
      <c r="F6493" t="s">
        <v>520</v>
      </c>
      <c r="G6493">
        <v>2</v>
      </c>
      <c r="H6493">
        <v>29</v>
      </c>
      <c r="I6493" s="25">
        <v>799</v>
      </c>
      <c r="K6493" t="s">
        <v>73</v>
      </c>
      <c r="M6493" t="s">
        <v>52</v>
      </c>
      <c r="N6493" t="s">
        <v>40</v>
      </c>
      <c r="O6493">
        <f>60+60+32</f>
        <v>152</v>
      </c>
      <c r="Q6493">
        <f t="shared" si="109"/>
        <v>1</v>
      </c>
      <c r="R6493">
        <v>1</v>
      </c>
      <c r="S6493">
        <v>0</v>
      </c>
      <c r="T6493">
        <v>0</v>
      </c>
      <c r="U6493">
        <v>0</v>
      </c>
      <c r="V6493">
        <v>0</v>
      </c>
      <c r="W6493">
        <v>0</v>
      </c>
      <c r="X6493" s="21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0</v>
      </c>
      <c r="AG6493">
        <v>0</v>
      </c>
      <c r="AH6493">
        <f t="shared" si="110"/>
        <v>0</v>
      </c>
      <c r="AL6493" t="s">
        <v>1979</v>
      </c>
      <c r="AP6493" t="s">
        <v>1915</v>
      </c>
    </row>
    <row r="6494" spans="1:42">
      <c r="A6494" s="1">
        <v>43826</v>
      </c>
      <c r="B6494">
        <v>5</v>
      </c>
      <c r="C6494">
        <v>535</v>
      </c>
      <c r="D6494">
        <v>11320</v>
      </c>
      <c r="E6494" t="s">
        <v>377</v>
      </c>
      <c r="F6494" t="s">
        <v>520</v>
      </c>
      <c r="G6494">
        <v>2</v>
      </c>
      <c r="H6494">
        <v>30</v>
      </c>
      <c r="I6494" s="25">
        <v>773</v>
      </c>
      <c r="K6494" t="s">
        <v>73</v>
      </c>
      <c r="M6494" t="s">
        <v>52</v>
      </c>
      <c r="N6494" t="s">
        <v>44</v>
      </c>
      <c r="O6494">
        <f>60+60+60+23</f>
        <v>203</v>
      </c>
      <c r="Q6494">
        <f t="shared" si="109"/>
        <v>3</v>
      </c>
      <c r="R6494">
        <v>1</v>
      </c>
      <c r="S6494">
        <v>0</v>
      </c>
      <c r="T6494">
        <v>0</v>
      </c>
      <c r="U6494">
        <v>0</v>
      </c>
      <c r="V6494">
        <v>0</v>
      </c>
      <c r="W6494">
        <v>0</v>
      </c>
      <c r="X6494" s="21">
        <v>0</v>
      </c>
      <c r="Y6494">
        <v>0</v>
      </c>
      <c r="Z6494">
        <v>0</v>
      </c>
      <c r="AA6494">
        <v>1</v>
      </c>
      <c r="AB6494">
        <v>0</v>
      </c>
      <c r="AC6494">
        <v>2</v>
      </c>
      <c r="AD6494">
        <v>0</v>
      </c>
      <c r="AE6494">
        <v>0</v>
      </c>
      <c r="AF6494">
        <v>0</v>
      </c>
      <c r="AG6494">
        <v>0</v>
      </c>
      <c r="AH6494">
        <f t="shared" si="110"/>
        <v>0</v>
      </c>
      <c r="AP6494" t="s">
        <v>1915</v>
      </c>
    </row>
    <row r="6495" spans="1:42">
      <c r="A6495" s="1">
        <v>43826</v>
      </c>
      <c r="B6495">
        <v>5</v>
      </c>
      <c r="C6495">
        <v>535</v>
      </c>
      <c r="D6495">
        <v>11320</v>
      </c>
      <c r="E6495" t="s">
        <v>377</v>
      </c>
      <c r="F6495" t="s">
        <v>520</v>
      </c>
      <c r="G6495">
        <v>2</v>
      </c>
      <c r="H6495">
        <v>31</v>
      </c>
      <c r="I6495" s="25">
        <v>685</v>
      </c>
      <c r="K6495" t="s">
        <v>73</v>
      </c>
      <c r="M6495" t="s">
        <v>52</v>
      </c>
      <c r="N6495" t="s">
        <v>1703</v>
      </c>
      <c r="O6495">
        <f>60+60+60+41</f>
        <v>221</v>
      </c>
      <c r="Q6495">
        <f t="shared" si="109"/>
        <v>2</v>
      </c>
      <c r="R6495">
        <v>1</v>
      </c>
      <c r="S6495">
        <v>0</v>
      </c>
      <c r="T6495">
        <v>0</v>
      </c>
      <c r="U6495">
        <v>0</v>
      </c>
      <c r="V6495">
        <v>0</v>
      </c>
      <c r="W6495">
        <v>0</v>
      </c>
      <c r="X6495" s="21">
        <v>0</v>
      </c>
      <c r="Y6495">
        <v>0</v>
      </c>
      <c r="Z6495">
        <v>0</v>
      </c>
      <c r="AA6495">
        <v>2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f t="shared" si="110"/>
        <v>0</v>
      </c>
      <c r="AL6495" t="s">
        <v>1996</v>
      </c>
      <c r="AP6495" t="s">
        <v>1915</v>
      </c>
    </row>
    <row r="6496" spans="1:42">
      <c r="A6496" s="1">
        <v>43826</v>
      </c>
      <c r="B6496">
        <v>5</v>
      </c>
      <c r="C6496">
        <v>535</v>
      </c>
      <c r="D6496">
        <v>11320</v>
      </c>
      <c r="E6496" t="s">
        <v>377</v>
      </c>
      <c r="F6496" t="s">
        <v>520</v>
      </c>
      <c r="G6496">
        <v>2</v>
      </c>
      <c r="H6496">
        <v>32</v>
      </c>
      <c r="I6496" s="25" t="s">
        <v>1997</v>
      </c>
      <c r="K6496" t="s">
        <v>394</v>
      </c>
      <c r="M6496" t="s">
        <v>52</v>
      </c>
      <c r="N6496" t="s">
        <v>40</v>
      </c>
      <c r="O6496">
        <f>60+60+60+60+31</f>
        <v>271</v>
      </c>
      <c r="Q6496">
        <f t="shared" si="109"/>
        <v>3</v>
      </c>
      <c r="R6496">
        <v>1</v>
      </c>
      <c r="S6496">
        <v>0</v>
      </c>
      <c r="T6496">
        <v>0</v>
      </c>
      <c r="U6496">
        <v>0</v>
      </c>
      <c r="V6496">
        <v>0</v>
      </c>
      <c r="W6496">
        <v>0</v>
      </c>
      <c r="X6496" s="21">
        <v>0</v>
      </c>
      <c r="Y6496">
        <v>0</v>
      </c>
      <c r="Z6496">
        <v>0</v>
      </c>
      <c r="AA6496">
        <v>3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f t="shared" si="110"/>
        <v>0</v>
      </c>
      <c r="AP6496" t="s">
        <v>1915</v>
      </c>
    </row>
    <row r="6497" spans="1:42">
      <c r="A6497" s="1">
        <v>43826</v>
      </c>
      <c r="B6497">
        <v>5</v>
      </c>
      <c r="C6497">
        <v>535</v>
      </c>
      <c r="D6497">
        <v>11320</v>
      </c>
      <c r="E6497" t="s">
        <v>377</v>
      </c>
      <c r="F6497" t="s">
        <v>520</v>
      </c>
      <c r="G6497">
        <v>2</v>
      </c>
      <c r="H6497">
        <v>33</v>
      </c>
      <c r="I6497" s="25">
        <v>100</v>
      </c>
      <c r="K6497" t="s">
        <v>403</v>
      </c>
      <c r="M6497" t="s">
        <v>52</v>
      </c>
      <c r="N6497" t="s">
        <v>40</v>
      </c>
      <c r="O6497">
        <f>60+60+60+55</f>
        <v>235</v>
      </c>
      <c r="Q6497">
        <f t="shared" si="109"/>
        <v>3</v>
      </c>
      <c r="R6497">
        <v>1</v>
      </c>
      <c r="S6497">
        <v>0</v>
      </c>
      <c r="T6497">
        <v>0</v>
      </c>
      <c r="U6497">
        <v>0</v>
      </c>
      <c r="V6497">
        <v>0</v>
      </c>
      <c r="W6497">
        <v>0</v>
      </c>
      <c r="X6497" s="21">
        <v>0</v>
      </c>
      <c r="Y6497">
        <v>0</v>
      </c>
      <c r="Z6497">
        <v>0</v>
      </c>
      <c r="AA6497">
        <v>0</v>
      </c>
      <c r="AB6497">
        <v>0</v>
      </c>
      <c r="AC6497">
        <v>3</v>
      </c>
      <c r="AD6497">
        <v>0</v>
      </c>
      <c r="AE6497">
        <v>0</v>
      </c>
      <c r="AF6497">
        <v>0</v>
      </c>
      <c r="AG6497">
        <v>0</v>
      </c>
      <c r="AH6497">
        <f t="shared" si="110"/>
        <v>0</v>
      </c>
      <c r="AP6497" t="s">
        <v>1915</v>
      </c>
    </row>
    <row r="6498" spans="1:42">
      <c r="A6498" s="1">
        <v>43826</v>
      </c>
      <c r="B6498">
        <v>5</v>
      </c>
      <c r="C6498">
        <v>535</v>
      </c>
      <c r="D6498">
        <v>11320</v>
      </c>
      <c r="E6498" t="s">
        <v>377</v>
      </c>
      <c r="F6498" t="s">
        <v>520</v>
      </c>
      <c r="G6498">
        <v>2</v>
      </c>
      <c r="H6498">
        <v>34</v>
      </c>
      <c r="I6498" s="25">
        <v>545</v>
      </c>
      <c r="K6498" t="s">
        <v>394</v>
      </c>
      <c r="M6498" t="s">
        <v>52</v>
      </c>
      <c r="N6498" t="s">
        <v>40</v>
      </c>
      <c r="O6498">
        <f>60+60+60+60+60+30</f>
        <v>330</v>
      </c>
      <c r="Q6498">
        <f t="shared" si="109"/>
        <v>2</v>
      </c>
      <c r="R6498">
        <v>1</v>
      </c>
      <c r="S6498">
        <v>0</v>
      </c>
      <c r="T6498">
        <v>0</v>
      </c>
      <c r="U6498">
        <v>0</v>
      </c>
      <c r="V6498">
        <v>0</v>
      </c>
      <c r="W6498">
        <v>0</v>
      </c>
      <c r="X6498" s="21">
        <v>0</v>
      </c>
      <c r="Y6498">
        <v>0</v>
      </c>
      <c r="Z6498">
        <v>0</v>
      </c>
      <c r="AA6498">
        <v>2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f t="shared" si="110"/>
        <v>0</v>
      </c>
      <c r="AP6498" t="s">
        <v>1915</v>
      </c>
    </row>
    <row r="6499" spans="1:42">
      <c r="A6499" s="1">
        <v>43826</v>
      </c>
      <c r="B6499">
        <v>5</v>
      </c>
      <c r="C6499">
        <v>535</v>
      </c>
      <c r="D6499">
        <v>11320</v>
      </c>
      <c r="E6499" t="s">
        <v>377</v>
      </c>
      <c r="F6499" t="s">
        <v>520</v>
      </c>
      <c r="G6499">
        <v>2</v>
      </c>
      <c r="H6499">
        <v>35</v>
      </c>
      <c r="I6499" s="25">
        <v>1235</v>
      </c>
      <c r="K6499" t="s">
        <v>394</v>
      </c>
      <c r="M6499" t="s">
        <v>52</v>
      </c>
      <c r="N6499" t="s">
        <v>40</v>
      </c>
      <c r="O6499">
        <f>60+31</f>
        <v>91</v>
      </c>
      <c r="Q6499">
        <f t="shared" si="109"/>
        <v>1</v>
      </c>
      <c r="R6499">
        <v>1</v>
      </c>
      <c r="S6499">
        <v>0</v>
      </c>
      <c r="T6499">
        <v>0</v>
      </c>
      <c r="U6499">
        <v>0</v>
      </c>
      <c r="V6499">
        <v>0</v>
      </c>
      <c r="W6499">
        <v>0</v>
      </c>
      <c r="X6499" s="21">
        <v>0</v>
      </c>
      <c r="Y6499">
        <v>0</v>
      </c>
      <c r="Z6499">
        <v>0</v>
      </c>
      <c r="AA6499">
        <v>1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f t="shared" si="110"/>
        <v>0</v>
      </c>
      <c r="AP6499" t="s">
        <v>1915</v>
      </c>
    </row>
    <row r="6500" spans="1:42">
      <c r="A6500" s="1">
        <v>43826</v>
      </c>
      <c r="B6500">
        <v>5</v>
      </c>
      <c r="C6500">
        <v>535</v>
      </c>
      <c r="D6500">
        <v>11320</v>
      </c>
      <c r="E6500" t="s">
        <v>377</v>
      </c>
      <c r="F6500" t="s">
        <v>520</v>
      </c>
      <c r="G6500">
        <v>2</v>
      </c>
      <c r="H6500">
        <v>36</v>
      </c>
      <c r="I6500" s="25">
        <v>1321</v>
      </c>
      <c r="K6500" t="s">
        <v>394</v>
      </c>
      <c r="M6500" t="s">
        <v>52</v>
      </c>
      <c r="N6500" t="s">
        <v>1703</v>
      </c>
      <c r="O6500">
        <f>60+43</f>
        <v>103</v>
      </c>
      <c r="Q6500">
        <f t="shared" si="109"/>
        <v>1</v>
      </c>
      <c r="R6500">
        <v>1</v>
      </c>
      <c r="S6500">
        <v>0</v>
      </c>
      <c r="T6500">
        <v>0</v>
      </c>
      <c r="U6500">
        <v>0</v>
      </c>
      <c r="V6500">
        <v>0</v>
      </c>
      <c r="W6500">
        <v>0</v>
      </c>
      <c r="X6500" s="21">
        <v>0</v>
      </c>
      <c r="Y6500">
        <v>1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f t="shared" si="110"/>
        <v>0</v>
      </c>
      <c r="AL6500" t="s">
        <v>1998</v>
      </c>
      <c r="AP6500" t="s">
        <v>1915</v>
      </c>
    </row>
    <row r="6501" spans="1:42">
      <c r="A6501" s="1">
        <v>43826</v>
      </c>
      <c r="B6501">
        <v>5</v>
      </c>
      <c r="C6501">
        <v>535</v>
      </c>
      <c r="D6501">
        <v>11320</v>
      </c>
      <c r="E6501" t="s">
        <v>377</v>
      </c>
      <c r="F6501" t="s">
        <v>520</v>
      </c>
      <c r="G6501">
        <v>2</v>
      </c>
      <c r="H6501">
        <v>37</v>
      </c>
      <c r="I6501" s="25">
        <v>1282</v>
      </c>
      <c r="K6501" t="s">
        <v>107</v>
      </c>
      <c r="M6501" t="s">
        <v>52</v>
      </c>
      <c r="N6501" t="s">
        <v>40</v>
      </c>
      <c r="O6501">
        <f>60+44</f>
        <v>104</v>
      </c>
      <c r="Q6501">
        <f t="shared" si="109"/>
        <v>1</v>
      </c>
      <c r="R6501">
        <v>1</v>
      </c>
      <c r="S6501">
        <v>0</v>
      </c>
      <c r="T6501">
        <v>0</v>
      </c>
      <c r="U6501">
        <v>0</v>
      </c>
      <c r="V6501">
        <v>0</v>
      </c>
      <c r="W6501">
        <v>0</v>
      </c>
      <c r="X6501" s="21">
        <v>0</v>
      </c>
      <c r="Y6501">
        <v>0</v>
      </c>
      <c r="Z6501">
        <v>0</v>
      </c>
      <c r="AA6501">
        <v>0</v>
      </c>
      <c r="AB6501">
        <v>0</v>
      </c>
      <c r="AC6501">
        <v>1</v>
      </c>
      <c r="AD6501">
        <v>0</v>
      </c>
      <c r="AE6501">
        <v>0</v>
      </c>
      <c r="AF6501">
        <v>0</v>
      </c>
      <c r="AG6501">
        <v>0</v>
      </c>
      <c r="AH6501">
        <f t="shared" si="110"/>
        <v>0</v>
      </c>
      <c r="AP6501" t="s">
        <v>1915</v>
      </c>
    </row>
    <row r="6502" spans="1:42">
      <c r="A6502" s="1">
        <v>43826</v>
      </c>
      <c r="B6502">
        <v>5</v>
      </c>
      <c r="C6502">
        <v>535</v>
      </c>
      <c r="D6502">
        <v>11320</v>
      </c>
      <c r="E6502" t="s">
        <v>377</v>
      </c>
      <c r="F6502" t="s">
        <v>520</v>
      </c>
      <c r="G6502">
        <v>2</v>
      </c>
      <c r="H6502">
        <v>38</v>
      </c>
      <c r="I6502" s="25">
        <v>1177</v>
      </c>
      <c r="K6502" t="s">
        <v>383</v>
      </c>
      <c r="M6502" t="s">
        <v>52</v>
      </c>
      <c r="N6502" t="s">
        <v>40</v>
      </c>
      <c r="O6502">
        <v>52</v>
      </c>
      <c r="Q6502">
        <f t="shared" si="109"/>
        <v>1</v>
      </c>
      <c r="R6502">
        <v>1</v>
      </c>
      <c r="S6502">
        <v>0</v>
      </c>
      <c r="T6502">
        <v>0</v>
      </c>
      <c r="U6502">
        <v>0</v>
      </c>
      <c r="V6502">
        <v>0</v>
      </c>
      <c r="W6502">
        <v>0</v>
      </c>
      <c r="X6502" s="21">
        <v>0</v>
      </c>
      <c r="Y6502">
        <v>0</v>
      </c>
      <c r="Z6502">
        <v>0</v>
      </c>
      <c r="AA6502">
        <v>1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f t="shared" si="110"/>
        <v>0</v>
      </c>
      <c r="AP6502" t="s">
        <v>1915</v>
      </c>
    </row>
    <row r="6503" spans="1:42">
      <c r="A6503" s="1">
        <v>43826</v>
      </c>
      <c r="B6503">
        <v>5</v>
      </c>
      <c r="C6503">
        <v>535</v>
      </c>
      <c r="D6503">
        <v>11320</v>
      </c>
      <c r="E6503" t="s">
        <v>377</v>
      </c>
      <c r="F6503" t="s">
        <v>520</v>
      </c>
      <c r="G6503">
        <v>2</v>
      </c>
      <c r="H6503">
        <v>39</v>
      </c>
      <c r="I6503" s="25">
        <v>1177</v>
      </c>
      <c r="K6503" t="s">
        <v>383</v>
      </c>
      <c r="M6503" t="s">
        <v>52</v>
      </c>
      <c r="N6503" t="s">
        <v>40</v>
      </c>
      <c r="O6503">
        <v>59</v>
      </c>
      <c r="Q6503">
        <f t="shared" si="109"/>
        <v>1</v>
      </c>
      <c r="R6503">
        <v>1</v>
      </c>
      <c r="S6503">
        <v>0</v>
      </c>
      <c r="T6503">
        <v>0</v>
      </c>
      <c r="U6503">
        <v>0</v>
      </c>
      <c r="V6503">
        <v>0</v>
      </c>
      <c r="W6503">
        <v>0</v>
      </c>
      <c r="X6503" s="21">
        <v>0</v>
      </c>
      <c r="Y6503">
        <v>1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f t="shared" si="110"/>
        <v>0</v>
      </c>
      <c r="AP6503" t="s">
        <v>1915</v>
      </c>
    </row>
    <row r="6504" spans="1:42">
      <c r="A6504" s="1">
        <v>43826</v>
      </c>
      <c r="B6504">
        <v>5</v>
      </c>
      <c r="C6504">
        <v>575</v>
      </c>
      <c r="D6504">
        <v>11320</v>
      </c>
      <c r="E6504" t="s">
        <v>377</v>
      </c>
      <c r="F6504" t="s">
        <v>436</v>
      </c>
      <c r="G6504">
        <v>2</v>
      </c>
      <c r="H6504">
        <v>40</v>
      </c>
      <c r="I6504" s="25">
        <v>1247</v>
      </c>
      <c r="K6504" t="s">
        <v>383</v>
      </c>
      <c r="M6504" t="s">
        <v>52</v>
      </c>
      <c r="N6504" t="s">
        <v>40</v>
      </c>
      <c r="O6504">
        <f>60+54</f>
        <v>114</v>
      </c>
      <c r="Q6504">
        <f t="shared" si="109"/>
        <v>1</v>
      </c>
      <c r="R6504">
        <v>1</v>
      </c>
      <c r="S6504">
        <v>0</v>
      </c>
      <c r="T6504">
        <v>0</v>
      </c>
      <c r="U6504">
        <v>0</v>
      </c>
      <c r="V6504">
        <v>0</v>
      </c>
      <c r="W6504">
        <v>0</v>
      </c>
      <c r="X6504" s="21">
        <v>0</v>
      </c>
      <c r="Y6504">
        <v>0</v>
      </c>
      <c r="Z6504">
        <v>0</v>
      </c>
      <c r="AA6504">
        <v>1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f t="shared" si="110"/>
        <v>0</v>
      </c>
      <c r="AP6504" t="s">
        <v>1915</v>
      </c>
    </row>
    <row r="6505" spans="1:42">
      <c r="A6505" s="1">
        <v>43826</v>
      </c>
      <c r="B6505">
        <v>5</v>
      </c>
      <c r="C6505">
        <v>575</v>
      </c>
      <c r="D6505">
        <v>11320</v>
      </c>
      <c r="E6505" t="s">
        <v>377</v>
      </c>
      <c r="F6505" t="s">
        <v>436</v>
      </c>
      <c r="G6505">
        <v>2</v>
      </c>
      <c r="H6505">
        <v>41</v>
      </c>
      <c r="I6505" s="25">
        <v>900</v>
      </c>
      <c r="K6505" t="s">
        <v>107</v>
      </c>
      <c r="M6505" t="s">
        <v>52</v>
      </c>
      <c r="N6505" t="s">
        <v>40</v>
      </c>
      <c r="O6505">
        <f>60+60+60+60+60+60</f>
        <v>360</v>
      </c>
      <c r="Q6505">
        <f t="shared" si="109"/>
        <v>3</v>
      </c>
      <c r="R6505">
        <v>1</v>
      </c>
      <c r="S6505">
        <v>0</v>
      </c>
      <c r="T6505">
        <v>0</v>
      </c>
      <c r="U6505">
        <v>0</v>
      </c>
      <c r="V6505">
        <v>0</v>
      </c>
      <c r="W6505">
        <v>0</v>
      </c>
      <c r="X6505" s="21">
        <v>0</v>
      </c>
      <c r="Y6505">
        <v>0</v>
      </c>
      <c r="Z6505">
        <v>0</v>
      </c>
      <c r="AA6505">
        <v>2</v>
      </c>
      <c r="AB6505">
        <v>0</v>
      </c>
      <c r="AC6505">
        <v>1</v>
      </c>
      <c r="AD6505">
        <v>0</v>
      </c>
      <c r="AE6505">
        <v>0</v>
      </c>
      <c r="AF6505">
        <v>0</v>
      </c>
      <c r="AG6505">
        <v>0</v>
      </c>
      <c r="AH6505">
        <f t="shared" si="110"/>
        <v>0</v>
      </c>
      <c r="AP6505" t="s">
        <v>1915</v>
      </c>
    </row>
    <row r="6506" spans="1:42">
      <c r="A6506" s="1">
        <v>43826</v>
      </c>
      <c r="B6506">
        <v>5</v>
      </c>
      <c r="C6506">
        <v>575</v>
      </c>
      <c r="D6506">
        <v>11320</v>
      </c>
      <c r="E6506" t="s">
        <v>377</v>
      </c>
      <c r="F6506" t="s">
        <v>436</v>
      </c>
      <c r="G6506">
        <v>2</v>
      </c>
      <c r="H6506">
        <v>42</v>
      </c>
      <c r="I6506" s="25">
        <v>400</v>
      </c>
      <c r="K6506" t="s">
        <v>1999</v>
      </c>
      <c r="M6506" t="s">
        <v>52</v>
      </c>
      <c r="N6506" t="s">
        <v>40</v>
      </c>
      <c r="O6506">
        <f>60+60+60+20</f>
        <v>200</v>
      </c>
      <c r="Q6506">
        <f t="shared" si="109"/>
        <v>1</v>
      </c>
      <c r="R6506">
        <v>1</v>
      </c>
      <c r="S6506">
        <v>0</v>
      </c>
      <c r="T6506">
        <v>0</v>
      </c>
      <c r="U6506">
        <v>0</v>
      </c>
      <c r="V6506">
        <v>0</v>
      </c>
      <c r="W6506">
        <v>0</v>
      </c>
      <c r="X6506" s="21">
        <v>0</v>
      </c>
      <c r="Y6506">
        <v>0</v>
      </c>
      <c r="Z6506">
        <v>0</v>
      </c>
      <c r="AA6506">
        <v>0</v>
      </c>
      <c r="AB6506">
        <v>1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f t="shared" si="110"/>
        <v>0</v>
      </c>
      <c r="AP6506" t="s">
        <v>1915</v>
      </c>
    </row>
    <row r="6507" spans="1:42">
      <c r="A6507" s="1">
        <v>43826</v>
      </c>
      <c r="B6507">
        <v>5</v>
      </c>
      <c r="C6507">
        <v>575</v>
      </c>
      <c r="D6507">
        <v>11320</v>
      </c>
      <c r="E6507" t="s">
        <v>377</v>
      </c>
      <c r="F6507" t="s">
        <v>436</v>
      </c>
      <c r="G6507">
        <v>2</v>
      </c>
      <c r="H6507">
        <v>43</v>
      </c>
      <c r="I6507" s="25">
        <v>923</v>
      </c>
      <c r="K6507" t="s">
        <v>107</v>
      </c>
      <c r="M6507" t="s">
        <v>52</v>
      </c>
      <c r="N6507" t="s">
        <v>40</v>
      </c>
      <c r="O6507">
        <f>60+60+45</f>
        <v>165</v>
      </c>
      <c r="Q6507">
        <f t="shared" si="109"/>
        <v>2</v>
      </c>
      <c r="R6507">
        <v>1</v>
      </c>
      <c r="S6507">
        <v>0</v>
      </c>
      <c r="T6507">
        <v>0</v>
      </c>
      <c r="U6507">
        <v>0</v>
      </c>
      <c r="V6507">
        <v>0</v>
      </c>
      <c r="W6507">
        <v>0</v>
      </c>
      <c r="X6507" s="21">
        <v>0</v>
      </c>
      <c r="Y6507">
        <v>0</v>
      </c>
      <c r="Z6507">
        <v>0</v>
      </c>
      <c r="AA6507">
        <v>2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f t="shared" si="110"/>
        <v>0</v>
      </c>
      <c r="AP6507" t="s">
        <v>1915</v>
      </c>
    </row>
    <row r="6508" spans="1:42">
      <c r="A6508" s="1">
        <v>43826</v>
      </c>
      <c r="B6508">
        <v>5</v>
      </c>
      <c r="C6508">
        <v>575</v>
      </c>
      <c r="D6508">
        <v>11320</v>
      </c>
      <c r="E6508" t="s">
        <v>377</v>
      </c>
      <c r="F6508" t="s">
        <v>436</v>
      </c>
      <c r="G6508">
        <v>2</v>
      </c>
      <c r="H6508">
        <v>44</v>
      </c>
      <c r="I6508" s="25">
        <v>1275</v>
      </c>
      <c r="K6508" t="s">
        <v>73</v>
      </c>
      <c r="M6508" t="s">
        <v>52</v>
      </c>
      <c r="N6508" t="s">
        <v>44</v>
      </c>
      <c r="O6508">
        <f>60+60+60+56</f>
        <v>236</v>
      </c>
      <c r="Q6508">
        <f t="shared" si="109"/>
        <v>3</v>
      </c>
      <c r="R6508">
        <v>1</v>
      </c>
      <c r="S6508">
        <v>0</v>
      </c>
      <c r="T6508">
        <v>0</v>
      </c>
      <c r="U6508">
        <v>0</v>
      </c>
      <c r="V6508">
        <v>0</v>
      </c>
      <c r="W6508">
        <v>0</v>
      </c>
      <c r="X6508" s="21">
        <v>0</v>
      </c>
      <c r="Y6508">
        <v>0</v>
      </c>
      <c r="Z6508">
        <v>0</v>
      </c>
      <c r="AA6508">
        <v>2</v>
      </c>
      <c r="AB6508">
        <v>0</v>
      </c>
      <c r="AC6508">
        <v>1</v>
      </c>
      <c r="AD6508">
        <v>0</v>
      </c>
      <c r="AE6508">
        <v>0</v>
      </c>
      <c r="AF6508">
        <v>0</v>
      </c>
      <c r="AG6508">
        <v>0</v>
      </c>
      <c r="AH6508">
        <f t="shared" si="110"/>
        <v>0</v>
      </c>
      <c r="AL6508" t="s">
        <v>589</v>
      </c>
      <c r="AP6508" t="s">
        <v>1915</v>
      </c>
    </row>
    <row r="6509" spans="1:42">
      <c r="A6509" s="1">
        <v>43826</v>
      </c>
      <c r="B6509">
        <v>5</v>
      </c>
      <c r="C6509">
        <v>575</v>
      </c>
      <c r="D6509">
        <v>11320</v>
      </c>
      <c r="E6509" t="s">
        <v>377</v>
      </c>
      <c r="F6509" t="s">
        <v>436</v>
      </c>
      <c r="G6509">
        <v>2</v>
      </c>
      <c r="H6509">
        <v>45</v>
      </c>
      <c r="I6509" s="25">
        <v>101</v>
      </c>
      <c r="K6509" t="s">
        <v>414</v>
      </c>
      <c r="M6509" t="s">
        <v>52</v>
      </c>
      <c r="N6509" t="s">
        <v>40</v>
      </c>
      <c r="O6509">
        <f>60+60+7</f>
        <v>127</v>
      </c>
      <c r="Q6509">
        <f t="shared" si="109"/>
        <v>1</v>
      </c>
      <c r="R6509">
        <v>1</v>
      </c>
      <c r="S6509">
        <v>0</v>
      </c>
      <c r="T6509">
        <v>0</v>
      </c>
      <c r="U6509">
        <v>0</v>
      </c>
      <c r="V6509">
        <v>0</v>
      </c>
      <c r="W6509">
        <v>0</v>
      </c>
      <c r="X6509" s="21">
        <v>0</v>
      </c>
      <c r="Y6509">
        <v>0</v>
      </c>
      <c r="Z6509">
        <v>0</v>
      </c>
      <c r="AA6509">
        <v>1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f t="shared" si="110"/>
        <v>0</v>
      </c>
      <c r="AP6509" t="s">
        <v>1915</v>
      </c>
    </row>
    <row r="6510" spans="1:42">
      <c r="A6510" s="1">
        <v>43826</v>
      </c>
      <c r="B6510">
        <v>5</v>
      </c>
      <c r="C6510">
        <v>575</v>
      </c>
      <c r="D6510">
        <v>11320</v>
      </c>
      <c r="E6510" t="s">
        <v>377</v>
      </c>
      <c r="F6510" t="s">
        <v>436</v>
      </c>
      <c r="G6510">
        <v>2</v>
      </c>
      <c r="H6510">
        <v>46</v>
      </c>
      <c r="I6510" s="25">
        <v>1390</v>
      </c>
      <c r="K6510" t="s">
        <v>73</v>
      </c>
      <c r="M6510" t="s">
        <v>52</v>
      </c>
      <c r="N6510" t="s">
        <v>40</v>
      </c>
      <c r="O6510">
        <v>52</v>
      </c>
      <c r="Q6510">
        <f t="shared" si="109"/>
        <v>3</v>
      </c>
      <c r="R6510">
        <v>1</v>
      </c>
      <c r="S6510">
        <v>0</v>
      </c>
      <c r="T6510">
        <v>0</v>
      </c>
      <c r="U6510">
        <v>0</v>
      </c>
      <c r="V6510">
        <v>0</v>
      </c>
      <c r="W6510">
        <v>0</v>
      </c>
      <c r="X6510" s="21">
        <v>0</v>
      </c>
      <c r="Y6510">
        <v>0</v>
      </c>
      <c r="Z6510">
        <v>0</v>
      </c>
      <c r="AA6510">
        <v>2</v>
      </c>
      <c r="AB6510">
        <v>0</v>
      </c>
      <c r="AC6510">
        <v>1</v>
      </c>
      <c r="AD6510">
        <v>0</v>
      </c>
      <c r="AE6510">
        <v>0</v>
      </c>
      <c r="AF6510">
        <v>0</v>
      </c>
      <c r="AG6510">
        <v>0</v>
      </c>
      <c r="AH6510">
        <f t="shared" si="110"/>
        <v>0</v>
      </c>
      <c r="AP6510" t="s">
        <v>1915</v>
      </c>
    </row>
    <row r="6511" spans="1:42">
      <c r="A6511" s="1">
        <v>43826</v>
      </c>
      <c r="B6511">
        <v>5</v>
      </c>
      <c r="C6511">
        <v>575</v>
      </c>
      <c r="D6511">
        <v>11320</v>
      </c>
      <c r="E6511" t="s">
        <v>377</v>
      </c>
      <c r="F6511" t="s">
        <v>436</v>
      </c>
      <c r="G6511">
        <v>2</v>
      </c>
      <c r="H6511">
        <v>47</v>
      </c>
      <c r="I6511" s="25">
        <v>185</v>
      </c>
      <c r="K6511" t="s">
        <v>2000</v>
      </c>
      <c r="M6511" t="s">
        <v>52</v>
      </c>
      <c r="N6511" t="s">
        <v>40</v>
      </c>
      <c r="O6511">
        <f>60+60+32</f>
        <v>152</v>
      </c>
      <c r="Q6511">
        <f t="shared" si="109"/>
        <v>1</v>
      </c>
      <c r="R6511">
        <v>1</v>
      </c>
      <c r="S6511">
        <v>0</v>
      </c>
      <c r="T6511">
        <v>0</v>
      </c>
      <c r="U6511">
        <v>0</v>
      </c>
      <c r="V6511">
        <v>0</v>
      </c>
      <c r="W6511">
        <v>0</v>
      </c>
      <c r="X6511" s="21">
        <v>0</v>
      </c>
      <c r="Y6511">
        <v>0</v>
      </c>
      <c r="Z6511">
        <v>0</v>
      </c>
      <c r="AA6511">
        <v>1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f t="shared" si="110"/>
        <v>0</v>
      </c>
      <c r="AL6511" t="s">
        <v>1979</v>
      </c>
      <c r="AP6511" t="s">
        <v>1915</v>
      </c>
    </row>
    <row r="6512" spans="1:42">
      <c r="A6512" s="1">
        <v>43826</v>
      </c>
      <c r="B6512">
        <v>5</v>
      </c>
      <c r="C6512">
        <v>575</v>
      </c>
      <c r="D6512">
        <v>11320</v>
      </c>
      <c r="E6512" t="s">
        <v>377</v>
      </c>
      <c r="F6512" t="s">
        <v>436</v>
      </c>
      <c r="G6512">
        <v>2</v>
      </c>
      <c r="H6512">
        <v>48</v>
      </c>
      <c r="I6512" s="25">
        <v>1180</v>
      </c>
      <c r="K6512" t="s">
        <v>2001</v>
      </c>
      <c r="M6512" t="s">
        <v>52</v>
      </c>
      <c r="N6512" t="s">
        <v>40</v>
      </c>
      <c r="O6512">
        <f>60+60+60+5</f>
        <v>185</v>
      </c>
      <c r="Q6512">
        <f t="shared" si="109"/>
        <v>2</v>
      </c>
      <c r="R6512">
        <v>1</v>
      </c>
      <c r="S6512">
        <v>0</v>
      </c>
      <c r="T6512">
        <v>0</v>
      </c>
      <c r="U6512">
        <v>0</v>
      </c>
      <c r="V6512">
        <v>0</v>
      </c>
      <c r="W6512">
        <v>0</v>
      </c>
      <c r="X6512" s="21">
        <v>0</v>
      </c>
      <c r="Y6512">
        <v>0</v>
      </c>
      <c r="Z6512">
        <v>0</v>
      </c>
      <c r="AA6512">
        <v>2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f t="shared" si="110"/>
        <v>0</v>
      </c>
      <c r="AP6512" t="s">
        <v>1915</v>
      </c>
    </row>
    <row r="6513" spans="1:42">
      <c r="A6513" s="1">
        <v>43826</v>
      </c>
      <c r="B6513">
        <v>5</v>
      </c>
      <c r="C6513">
        <v>575</v>
      </c>
      <c r="D6513">
        <v>11320</v>
      </c>
      <c r="E6513" t="s">
        <v>377</v>
      </c>
      <c r="F6513" t="s">
        <v>436</v>
      </c>
      <c r="G6513">
        <v>2</v>
      </c>
      <c r="H6513">
        <v>49</v>
      </c>
      <c r="I6513" s="25">
        <v>690</v>
      </c>
      <c r="K6513" t="s">
        <v>2002</v>
      </c>
      <c r="M6513" t="s">
        <v>52</v>
      </c>
      <c r="N6513" t="s">
        <v>40</v>
      </c>
      <c r="O6513">
        <f>60+60+60+60+60+6</f>
        <v>306</v>
      </c>
      <c r="Q6513">
        <f t="shared" si="109"/>
        <v>4</v>
      </c>
      <c r="R6513">
        <v>1</v>
      </c>
      <c r="S6513">
        <v>0</v>
      </c>
      <c r="T6513">
        <v>0</v>
      </c>
      <c r="U6513">
        <v>0</v>
      </c>
      <c r="V6513">
        <v>0</v>
      </c>
      <c r="W6513">
        <v>0</v>
      </c>
      <c r="X6513" s="21">
        <v>0</v>
      </c>
      <c r="Y6513">
        <v>0</v>
      </c>
      <c r="Z6513">
        <v>0</v>
      </c>
      <c r="AA6513">
        <v>4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f t="shared" si="110"/>
        <v>0</v>
      </c>
      <c r="AP6513" t="s">
        <v>1915</v>
      </c>
    </row>
    <row r="6514" spans="1:42">
      <c r="A6514" s="1">
        <v>43826</v>
      </c>
      <c r="B6514">
        <v>5</v>
      </c>
      <c r="C6514">
        <v>575</v>
      </c>
      <c r="D6514">
        <v>11320</v>
      </c>
      <c r="E6514" t="s">
        <v>377</v>
      </c>
      <c r="F6514" t="s">
        <v>436</v>
      </c>
      <c r="G6514">
        <v>2</v>
      </c>
      <c r="H6514">
        <v>50</v>
      </c>
      <c r="I6514" s="25">
        <v>690</v>
      </c>
      <c r="K6514" t="s">
        <v>2003</v>
      </c>
      <c r="M6514" t="s">
        <v>95</v>
      </c>
      <c r="N6514" t="s">
        <v>40</v>
      </c>
      <c r="O6514">
        <f>60+60+60+60+60+60+60+21</f>
        <v>441</v>
      </c>
      <c r="Q6514">
        <f t="shared" si="109"/>
        <v>3</v>
      </c>
      <c r="R6514">
        <v>1</v>
      </c>
      <c r="S6514">
        <v>0</v>
      </c>
      <c r="T6514">
        <v>0</v>
      </c>
      <c r="U6514">
        <v>0</v>
      </c>
      <c r="V6514">
        <v>0</v>
      </c>
      <c r="W6514">
        <v>0</v>
      </c>
      <c r="X6514" s="21">
        <v>0</v>
      </c>
      <c r="Y6514">
        <v>0</v>
      </c>
      <c r="Z6514">
        <v>0</v>
      </c>
      <c r="AA6514">
        <v>3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f t="shared" si="110"/>
        <v>0</v>
      </c>
      <c r="AP6514" t="s">
        <v>1915</v>
      </c>
    </row>
    <row r="6515" spans="1:42">
      <c r="A6515" s="1">
        <v>43826</v>
      </c>
      <c r="B6515">
        <v>5</v>
      </c>
      <c r="C6515">
        <v>575</v>
      </c>
      <c r="D6515">
        <v>11320</v>
      </c>
      <c r="E6515" t="s">
        <v>377</v>
      </c>
      <c r="F6515" t="s">
        <v>436</v>
      </c>
      <c r="G6515">
        <v>2</v>
      </c>
      <c r="H6515">
        <v>51</v>
      </c>
      <c r="I6515" s="25">
        <v>718</v>
      </c>
      <c r="K6515" t="s">
        <v>2002</v>
      </c>
      <c r="M6515" t="s">
        <v>52</v>
      </c>
      <c r="N6515" t="s">
        <v>40</v>
      </c>
      <c r="O6515">
        <f>60+60+34</f>
        <v>154</v>
      </c>
      <c r="Q6515">
        <f t="shared" si="109"/>
        <v>2</v>
      </c>
      <c r="R6515">
        <v>1</v>
      </c>
      <c r="S6515">
        <v>0</v>
      </c>
      <c r="T6515">
        <v>0</v>
      </c>
      <c r="U6515">
        <v>0</v>
      </c>
      <c r="V6515">
        <v>0</v>
      </c>
      <c r="W6515">
        <v>0</v>
      </c>
      <c r="X6515" s="21">
        <v>0</v>
      </c>
      <c r="Y6515">
        <v>0</v>
      </c>
      <c r="Z6515">
        <v>0</v>
      </c>
      <c r="AA6515">
        <v>2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f t="shared" si="110"/>
        <v>0</v>
      </c>
      <c r="AP6515" t="s">
        <v>1915</v>
      </c>
    </row>
    <row r="6516" spans="1:42">
      <c r="A6516" s="1">
        <v>43826</v>
      </c>
      <c r="B6516">
        <v>5</v>
      </c>
      <c r="C6516">
        <v>575</v>
      </c>
      <c r="D6516">
        <v>11320</v>
      </c>
      <c r="E6516" t="s">
        <v>377</v>
      </c>
      <c r="F6516" t="s">
        <v>436</v>
      </c>
      <c r="G6516">
        <v>2</v>
      </c>
      <c r="H6516">
        <v>52</v>
      </c>
      <c r="I6516" s="25">
        <v>626</v>
      </c>
      <c r="K6516" t="s">
        <v>1980</v>
      </c>
      <c r="M6516" t="s">
        <v>52</v>
      </c>
      <c r="N6516" t="s">
        <v>1703</v>
      </c>
      <c r="O6516">
        <f>60+60+60+60+23</f>
        <v>263</v>
      </c>
      <c r="Q6516">
        <f t="shared" si="109"/>
        <v>2</v>
      </c>
      <c r="R6516">
        <v>1</v>
      </c>
      <c r="S6516">
        <v>0</v>
      </c>
      <c r="T6516">
        <v>0</v>
      </c>
      <c r="U6516">
        <v>0</v>
      </c>
      <c r="V6516">
        <v>0</v>
      </c>
      <c r="W6516">
        <v>0</v>
      </c>
      <c r="X6516" s="21">
        <v>0</v>
      </c>
      <c r="Y6516">
        <v>0</v>
      </c>
      <c r="Z6516">
        <v>0</v>
      </c>
      <c r="AA6516">
        <v>1</v>
      </c>
      <c r="AB6516">
        <v>0</v>
      </c>
      <c r="AC6516">
        <v>1</v>
      </c>
      <c r="AD6516">
        <v>0</v>
      </c>
      <c r="AE6516">
        <v>0</v>
      </c>
      <c r="AF6516">
        <v>0</v>
      </c>
      <c r="AG6516">
        <v>0</v>
      </c>
      <c r="AH6516">
        <f t="shared" si="110"/>
        <v>0</v>
      </c>
      <c r="AL6516" t="s">
        <v>2004</v>
      </c>
      <c r="AP6516" t="s">
        <v>1915</v>
      </c>
    </row>
    <row r="6517" spans="1:42">
      <c r="A6517" s="1">
        <v>43826</v>
      </c>
      <c r="B6517">
        <v>5</v>
      </c>
      <c r="C6517">
        <v>535</v>
      </c>
      <c r="D6517">
        <v>11320</v>
      </c>
      <c r="E6517" t="s">
        <v>377</v>
      </c>
      <c r="F6517" t="s">
        <v>520</v>
      </c>
      <c r="G6517">
        <v>2</v>
      </c>
      <c r="H6517">
        <v>53</v>
      </c>
      <c r="I6517" s="25">
        <v>675</v>
      </c>
      <c r="K6517" t="s">
        <v>381</v>
      </c>
      <c r="M6517" t="s">
        <v>52</v>
      </c>
      <c r="N6517" t="s">
        <v>40</v>
      </c>
      <c r="O6517">
        <f>60+60+60+60+60+18</f>
        <v>318</v>
      </c>
      <c r="Q6517">
        <f t="shared" si="109"/>
        <v>5</v>
      </c>
      <c r="R6517">
        <v>1</v>
      </c>
      <c r="S6517">
        <v>0</v>
      </c>
      <c r="T6517">
        <v>0</v>
      </c>
      <c r="U6517">
        <v>0</v>
      </c>
      <c r="V6517">
        <v>0</v>
      </c>
      <c r="W6517">
        <v>0</v>
      </c>
      <c r="X6517" s="21">
        <v>0</v>
      </c>
      <c r="Y6517">
        <v>0</v>
      </c>
      <c r="Z6517">
        <v>0</v>
      </c>
      <c r="AA6517">
        <v>0</v>
      </c>
      <c r="AB6517">
        <v>0</v>
      </c>
      <c r="AC6517">
        <v>5</v>
      </c>
      <c r="AD6517">
        <v>0</v>
      </c>
      <c r="AE6517">
        <v>0</v>
      </c>
      <c r="AF6517">
        <v>0</v>
      </c>
      <c r="AG6517">
        <v>0</v>
      </c>
      <c r="AH6517">
        <f t="shared" si="110"/>
        <v>0</v>
      </c>
      <c r="AL6517" t="s">
        <v>382</v>
      </c>
      <c r="AP6517" t="s">
        <v>1915</v>
      </c>
    </row>
    <row r="6518" spans="1:42">
      <c r="A6518" s="1">
        <v>43826</v>
      </c>
      <c r="B6518">
        <v>5</v>
      </c>
      <c r="C6518">
        <v>535</v>
      </c>
      <c r="D6518">
        <v>11320</v>
      </c>
      <c r="E6518" t="s">
        <v>377</v>
      </c>
      <c r="F6518" t="s">
        <v>520</v>
      </c>
      <c r="G6518">
        <v>2</v>
      </c>
      <c r="H6518">
        <v>54</v>
      </c>
      <c r="I6518" s="25">
        <v>855</v>
      </c>
      <c r="K6518" t="s">
        <v>378</v>
      </c>
      <c r="M6518" t="s">
        <v>52</v>
      </c>
      <c r="N6518" t="s">
        <v>40</v>
      </c>
      <c r="O6518">
        <f>60+60+60+22</f>
        <v>202</v>
      </c>
      <c r="Q6518">
        <f t="shared" si="109"/>
        <v>2</v>
      </c>
      <c r="R6518">
        <v>1</v>
      </c>
      <c r="S6518">
        <v>0</v>
      </c>
      <c r="T6518">
        <v>0</v>
      </c>
      <c r="U6518">
        <v>0</v>
      </c>
      <c r="V6518">
        <v>0</v>
      </c>
      <c r="W6518">
        <v>0</v>
      </c>
      <c r="X6518" s="21">
        <v>0</v>
      </c>
      <c r="Y6518">
        <v>0</v>
      </c>
      <c r="Z6518">
        <v>0</v>
      </c>
      <c r="AA6518">
        <v>1</v>
      </c>
      <c r="AB6518">
        <v>0</v>
      </c>
      <c r="AC6518">
        <v>1</v>
      </c>
      <c r="AD6518">
        <v>0</v>
      </c>
      <c r="AE6518">
        <v>0</v>
      </c>
      <c r="AF6518">
        <v>0</v>
      </c>
      <c r="AG6518">
        <v>0</v>
      </c>
      <c r="AH6518">
        <f t="shared" si="110"/>
        <v>0</v>
      </c>
      <c r="AP6518" t="s">
        <v>1915</v>
      </c>
    </row>
    <row r="6519" spans="1:42">
      <c r="A6519" s="1">
        <v>43826</v>
      </c>
      <c r="B6519">
        <v>5</v>
      </c>
      <c r="C6519">
        <v>535</v>
      </c>
      <c r="D6519">
        <v>11320</v>
      </c>
      <c r="E6519" t="s">
        <v>377</v>
      </c>
      <c r="F6519" t="s">
        <v>520</v>
      </c>
      <c r="G6519">
        <v>2</v>
      </c>
      <c r="H6519">
        <v>55</v>
      </c>
      <c r="I6519" s="25">
        <v>855</v>
      </c>
      <c r="K6519" t="s">
        <v>378</v>
      </c>
      <c r="M6519" t="s">
        <v>52</v>
      </c>
      <c r="N6519" t="s">
        <v>40</v>
      </c>
      <c r="O6519">
        <f>60+34</f>
        <v>94</v>
      </c>
      <c r="Q6519">
        <f t="shared" si="109"/>
        <v>1</v>
      </c>
      <c r="R6519">
        <v>1</v>
      </c>
      <c r="S6519">
        <v>0</v>
      </c>
      <c r="T6519">
        <v>0</v>
      </c>
      <c r="U6519">
        <v>0</v>
      </c>
      <c r="V6519">
        <v>0</v>
      </c>
      <c r="W6519">
        <v>0</v>
      </c>
      <c r="X6519" s="21">
        <v>0</v>
      </c>
      <c r="Y6519">
        <v>0</v>
      </c>
      <c r="Z6519">
        <v>0</v>
      </c>
      <c r="AA6519">
        <v>1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f t="shared" si="110"/>
        <v>0</v>
      </c>
      <c r="AP6519" t="s">
        <v>1915</v>
      </c>
    </row>
    <row r="6520" spans="1:42">
      <c r="A6520" s="1">
        <v>43826</v>
      </c>
      <c r="B6520">
        <v>5</v>
      </c>
      <c r="C6520">
        <v>535</v>
      </c>
      <c r="D6520">
        <v>11320</v>
      </c>
      <c r="E6520" t="s">
        <v>377</v>
      </c>
      <c r="F6520" t="s">
        <v>520</v>
      </c>
      <c r="G6520">
        <v>2</v>
      </c>
      <c r="H6520">
        <v>56</v>
      </c>
      <c r="I6520" s="25">
        <v>855</v>
      </c>
      <c r="K6520" t="s">
        <v>378</v>
      </c>
      <c r="M6520" t="s">
        <v>52</v>
      </c>
      <c r="N6520" t="s">
        <v>40</v>
      </c>
      <c r="O6520">
        <f>60+10</f>
        <v>70</v>
      </c>
      <c r="Q6520">
        <f t="shared" si="109"/>
        <v>1</v>
      </c>
      <c r="R6520">
        <v>1</v>
      </c>
      <c r="S6520">
        <v>0</v>
      </c>
      <c r="T6520">
        <v>0</v>
      </c>
      <c r="U6520">
        <v>0</v>
      </c>
      <c r="V6520">
        <v>0</v>
      </c>
      <c r="W6520">
        <v>0</v>
      </c>
      <c r="X6520" s="21">
        <v>0</v>
      </c>
      <c r="Y6520">
        <v>0</v>
      </c>
      <c r="Z6520">
        <v>0</v>
      </c>
      <c r="AA6520">
        <v>0</v>
      </c>
      <c r="AB6520">
        <v>0</v>
      </c>
      <c r="AC6520">
        <v>1</v>
      </c>
      <c r="AD6520">
        <v>0</v>
      </c>
      <c r="AE6520">
        <v>0</v>
      </c>
      <c r="AF6520">
        <v>0</v>
      </c>
      <c r="AG6520">
        <v>0</v>
      </c>
      <c r="AH6520">
        <f t="shared" si="110"/>
        <v>0</v>
      </c>
      <c r="AP6520" t="s">
        <v>1915</v>
      </c>
    </row>
    <row r="6521" spans="1:42">
      <c r="A6521" s="1">
        <v>43826</v>
      </c>
      <c r="B6521">
        <v>5</v>
      </c>
      <c r="C6521">
        <v>535</v>
      </c>
      <c r="D6521">
        <v>11320</v>
      </c>
      <c r="E6521" t="s">
        <v>377</v>
      </c>
      <c r="F6521" t="s">
        <v>520</v>
      </c>
      <c r="G6521">
        <v>2</v>
      </c>
      <c r="H6521">
        <v>57</v>
      </c>
      <c r="I6521" s="25">
        <v>185</v>
      </c>
      <c r="K6521" t="s">
        <v>2000</v>
      </c>
      <c r="M6521" t="s">
        <v>95</v>
      </c>
      <c r="N6521" t="s">
        <v>40</v>
      </c>
      <c r="O6521">
        <f>60+60+60+28</f>
        <v>208</v>
      </c>
      <c r="Q6521">
        <f t="shared" si="109"/>
        <v>1</v>
      </c>
      <c r="R6521">
        <v>1</v>
      </c>
      <c r="S6521">
        <v>0</v>
      </c>
      <c r="T6521">
        <v>0</v>
      </c>
      <c r="U6521">
        <v>0</v>
      </c>
      <c r="V6521">
        <v>0</v>
      </c>
      <c r="W6521">
        <v>0</v>
      </c>
      <c r="X6521" s="21">
        <v>0</v>
      </c>
      <c r="Y6521">
        <v>0</v>
      </c>
      <c r="Z6521">
        <v>0</v>
      </c>
      <c r="AA6521">
        <v>1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f t="shared" si="110"/>
        <v>0</v>
      </c>
      <c r="AL6521" t="s">
        <v>1979</v>
      </c>
      <c r="AP6521" t="s">
        <v>1915</v>
      </c>
    </row>
    <row r="6522" spans="1:42">
      <c r="A6522" s="1">
        <v>43826</v>
      </c>
      <c r="B6522">
        <v>5</v>
      </c>
      <c r="C6522">
        <v>535</v>
      </c>
      <c r="D6522">
        <v>11320</v>
      </c>
      <c r="E6522" t="s">
        <v>377</v>
      </c>
      <c r="F6522" t="s">
        <v>520</v>
      </c>
      <c r="G6522">
        <v>2</v>
      </c>
      <c r="H6522">
        <v>58</v>
      </c>
      <c r="I6522" s="25">
        <v>1180</v>
      </c>
      <c r="K6522" t="s">
        <v>406</v>
      </c>
      <c r="M6522" t="s">
        <v>52</v>
      </c>
      <c r="N6522" t="s">
        <v>40</v>
      </c>
      <c r="O6522">
        <f>60+60+60+23</f>
        <v>203</v>
      </c>
      <c r="Q6522">
        <f t="shared" si="109"/>
        <v>2</v>
      </c>
      <c r="R6522">
        <v>1</v>
      </c>
      <c r="S6522">
        <v>0</v>
      </c>
      <c r="T6522">
        <v>0</v>
      </c>
      <c r="U6522">
        <v>0</v>
      </c>
      <c r="V6522">
        <v>0</v>
      </c>
      <c r="W6522">
        <v>0</v>
      </c>
      <c r="X6522" s="21">
        <v>0</v>
      </c>
      <c r="Y6522">
        <v>0</v>
      </c>
      <c r="Z6522">
        <v>0</v>
      </c>
      <c r="AA6522">
        <v>0</v>
      </c>
      <c r="AB6522">
        <v>0</v>
      </c>
      <c r="AC6522">
        <v>2</v>
      </c>
      <c r="AD6522">
        <v>0</v>
      </c>
      <c r="AE6522">
        <v>0</v>
      </c>
      <c r="AF6522">
        <v>0</v>
      </c>
      <c r="AG6522">
        <v>0</v>
      </c>
      <c r="AH6522">
        <f t="shared" si="110"/>
        <v>0</v>
      </c>
      <c r="AP6522" t="s">
        <v>1915</v>
      </c>
    </row>
    <row r="6523" spans="1:42">
      <c r="A6523" s="1">
        <v>43826</v>
      </c>
      <c r="B6523">
        <v>5</v>
      </c>
      <c r="C6523">
        <v>535</v>
      </c>
      <c r="D6523">
        <v>11320</v>
      </c>
      <c r="E6523" t="s">
        <v>377</v>
      </c>
      <c r="F6523" t="s">
        <v>520</v>
      </c>
      <c r="G6523">
        <v>2</v>
      </c>
      <c r="H6523">
        <v>59</v>
      </c>
      <c r="I6523" s="25">
        <v>1200</v>
      </c>
      <c r="K6523" t="s">
        <v>406</v>
      </c>
      <c r="M6523" t="s">
        <v>52</v>
      </c>
      <c r="N6523" t="s">
        <v>40</v>
      </c>
      <c r="O6523">
        <f>60+17</f>
        <v>77</v>
      </c>
      <c r="Q6523">
        <f t="shared" si="109"/>
        <v>1</v>
      </c>
      <c r="R6523">
        <v>1</v>
      </c>
      <c r="S6523">
        <v>0</v>
      </c>
      <c r="T6523">
        <v>0</v>
      </c>
      <c r="U6523">
        <v>0</v>
      </c>
      <c r="V6523">
        <v>0</v>
      </c>
      <c r="W6523">
        <v>0</v>
      </c>
      <c r="X6523" s="21">
        <v>0</v>
      </c>
      <c r="Y6523">
        <v>0</v>
      </c>
      <c r="Z6523">
        <v>0</v>
      </c>
      <c r="AA6523">
        <v>0</v>
      </c>
      <c r="AB6523">
        <v>1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f t="shared" si="110"/>
        <v>0</v>
      </c>
      <c r="AP6523" t="s">
        <v>1915</v>
      </c>
    </row>
    <row r="6524" spans="1:42">
      <c r="A6524" s="1">
        <v>43826</v>
      </c>
      <c r="B6524">
        <v>5</v>
      </c>
      <c r="C6524">
        <v>535</v>
      </c>
      <c r="D6524">
        <v>11320</v>
      </c>
      <c r="E6524" t="s">
        <v>377</v>
      </c>
      <c r="F6524" t="s">
        <v>520</v>
      </c>
      <c r="G6524">
        <v>2</v>
      </c>
      <c r="H6524">
        <v>60</v>
      </c>
      <c r="I6524" s="25">
        <v>690</v>
      </c>
      <c r="K6524" t="s">
        <v>2002</v>
      </c>
      <c r="M6524" t="s">
        <v>52</v>
      </c>
      <c r="N6524" t="s">
        <v>40</v>
      </c>
      <c r="O6524">
        <f>60+60+60+60+34</f>
        <v>274</v>
      </c>
      <c r="Q6524">
        <f t="shared" si="109"/>
        <v>4</v>
      </c>
      <c r="R6524">
        <v>1</v>
      </c>
      <c r="S6524">
        <v>0</v>
      </c>
      <c r="T6524">
        <v>0</v>
      </c>
      <c r="U6524">
        <v>0</v>
      </c>
      <c r="V6524">
        <v>0</v>
      </c>
      <c r="W6524">
        <v>0</v>
      </c>
      <c r="X6524" s="21">
        <v>0</v>
      </c>
      <c r="Y6524">
        <v>0</v>
      </c>
      <c r="Z6524">
        <v>0</v>
      </c>
      <c r="AA6524">
        <v>3</v>
      </c>
      <c r="AB6524">
        <v>0</v>
      </c>
      <c r="AC6524">
        <v>1</v>
      </c>
      <c r="AD6524">
        <v>0</v>
      </c>
      <c r="AE6524">
        <v>0</v>
      </c>
      <c r="AF6524">
        <v>0</v>
      </c>
      <c r="AG6524">
        <v>0</v>
      </c>
      <c r="AH6524">
        <f t="shared" si="110"/>
        <v>0</v>
      </c>
      <c r="AL6524" t="s">
        <v>2005</v>
      </c>
      <c r="AP6524" t="s">
        <v>1915</v>
      </c>
    </row>
    <row r="6525" spans="1:42">
      <c r="A6525" s="1">
        <v>43826</v>
      </c>
      <c r="B6525">
        <v>5</v>
      </c>
      <c r="C6525">
        <v>535</v>
      </c>
      <c r="D6525">
        <v>11320</v>
      </c>
      <c r="E6525" t="s">
        <v>377</v>
      </c>
      <c r="F6525" t="s">
        <v>520</v>
      </c>
      <c r="G6525">
        <v>2</v>
      </c>
      <c r="H6525">
        <v>61</v>
      </c>
      <c r="I6525" s="25">
        <v>718</v>
      </c>
      <c r="K6525" t="s">
        <v>406</v>
      </c>
      <c r="M6525" t="s">
        <v>52</v>
      </c>
      <c r="N6525" t="s">
        <v>40</v>
      </c>
      <c r="O6525">
        <f>60+60+19</f>
        <v>139</v>
      </c>
      <c r="Q6525">
        <f t="shared" si="109"/>
        <v>2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0</v>
      </c>
      <c r="X6525" s="21">
        <v>0</v>
      </c>
      <c r="Y6525">
        <v>0</v>
      </c>
      <c r="Z6525">
        <v>0</v>
      </c>
      <c r="AA6525">
        <v>0</v>
      </c>
      <c r="AB6525">
        <v>0</v>
      </c>
      <c r="AC6525">
        <v>2</v>
      </c>
      <c r="AD6525">
        <v>0</v>
      </c>
      <c r="AE6525">
        <v>0</v>
      </c>
      <c r="AF6525">
        <v>0</v>
      </c>
      <c r="AG6525">
        <v>0</v>
      </c>
      <c r="AH6525">
        <f t="shared" si="110"/>
        <v>0</v>
      </c>
      <c r="AP6525" t="s">
        <v>1915</v>
      </c>
    </row>
    <row r="6526" spans="1:42">
      <c r="A6526" s="1">
        <v>43826</v>
      </c>
      <c r="B6526">
        <v>5</v>
      </c>
      <c r="C6526">
        <v>535</v>
      </c>
      <c r="D6526">
        <v>11320</v>
      </c>
      <c r="E6526" t="s">
        <v>377</v>
      </c>
      <c r="F6526" t="s">
        <v>520</v>
      </c>
      <c r="G6526">
        <v>2</v>
      </c>
      <c r="H6526">
        <v>62</v>
      </c>
      <c r="I6526" s="25">
        <v>1200</v>
      </c>
      <c r="K6526" t="s">
        <v>2006</v>
      </c>
      <c r="M6526" t="s">
        <v>52</v>
      </c>
      <c r="N6526" t="s">
        <v>40</v>
      </c>
      <c r="O6526">
        <f>60+60+24</f>
        <v>144</v>
      </c>
      <c r="Q6526">
        <f t="shared" si="109"/>
        <v>1</v>
      </c>
      <c r="R6526">
        <v>1</v>
      </c>
      <c r="S6526">
        <v>0</v>
      </c>
      <c r="T6526">
        <v>0</v>
      </c>
      <c r="U6526">
        <v>0</v>
      </c>
      <c r="V6526">
        <v>0</v>
      </c>
      <c r="W6526">
        <v>0</v>
      </c>
      <c r="X6526" s="21">
        <v>0</v>
      </c>
      <c r="Y6526">
        <v>0</v>
      </c>
      <c r="Z6526">
        <v>0</v>
      </c>
      <c r="AA6526">
        <v>0</v>
      </c>
      <c r="AB6526">
        <v>1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f t="shared" si="110"/>
        <v>0</v>
      </c>
      <c r="AP6526" t="s">
        <v>1915</v>
      </c>
    </row>
    <row r="6527" spans="1:42">
      <c r="A6527" s="1">
        <v>43826</v>
      </c>
      <c r="B6527">
        <v>5</v>
      </c>
      <c r="C6527">
        <v>535</v>
      </c>
      <c r="D6527">
        <v>11320</v>
      </c>
      <c r="E6527" t="s">
        <v>377</v>
      </c>
      <c r="F6527" t="s">
        <v>520</v>
      </c>
      <c r="G6527">
        <v>2</v>
      </c>
      <c r="H6527">
        <v>63</v>
      </c>
      <c r="I6527" s="25">
        <v>626</v>
      </c>
      <c r="K6527" t="s">
        <v>1980</v>
      </c>
      <c r="M6527" t="s">
        <v>52</v>
      </c>
      <c r="N6527" t="s">
        <v>40</v>
      </c>
      <c r="O6527">
        <f>60+60+21</f>
        <v>141</v>
      </c>
      <c r="Q6527">
        <f t="shared" si="109"/>
        <v>1</v>
      </c>
      <c r="R6527">
        <v>1</v>
      </c>
      <c r="S6527">
        <v>0</v>
      </c>
      <c r="T6527">
        <v>0</v>
      </c>
      <c r="U6527">
        <v>0</v>
      </c>
      <c r="V6527">
        <v>0</v>
      </c>
      <c r="W6527">
        <v>0</v>
      </c>
      <c r="X6527" s="21">
        <v>0</v>
      </c>
      <c r="Y6527">
        <v>0</v>
      </c>
      <c r="Z6527">
        <v>0</v>
      </c>
      <c r="AA6527">
        <v>0</v>
      </c>
      <c r="AB6527">
        <v>1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f t="shared" si="110"/>
        <v>0</v>
      </c>
      <c r="AP6527" t="s">
        <v>1915</v>
      </c>
    </row>
    <row r="6528" spans="1:42">
      <c r="A6528" s="1">
        <v>43826</v>
      </c>
      <c r="B6528">
        <v>5</v>
      </c>
      <c r="C6528">
        <v>535</v>
      </c>
      <c r="D6528">
        <v>11320</v>
      </c>
      <c r="E6528" t="s">
        <v>377</v>
      </c>
      <c r="F6528" t="s">
        <v>520</v>
      </c>
      <c r="G6528">
        <v>2</v>
      </c>
      <c r="H6528">
        <v>64</v>
      </c>
      <c r="I6528" s="25">
        <v>325</v>
      </c>
      <c r="K6528" t="s">
        <v>2006</v>
      </c>
      <c r="M6528" t="s">
        <v>52</v>
      </c>
      <c r="N6528" t="s">
        <v>40</v>
      </c>
      <c r="O6528">
        <f>60+60+22</f>
        <v>142</v>
      </c>
      <c r="Q6528">
        <f t="shared" ref="Q6528:Q6591" si="111">SUM(S6528:AE6528)</f>
        <v>1</v>
      </c>
      <c r="R6528">
        <v>1</v>
      </c>
      <c r="S6528">
        <v>0</v>
      </c>
      <c r="T6528">
        <v>0</v>
      </c>
      <c r="U6528">
        <v>0</v>
      </c>
      <c r="V6528">
        <v>0</v>
      </c>
      <c r="W6528">
        <v>0</v>
      </c>
      <c r="X6528" s="21">
        <v>0</v>
      </c>
      <c r="Y6528">
        <v>0</v>
      </c>
      <c r="Z6528">
        <v>0</v>
      </c>
      <c r="AA6528">
        <v>0</v>
      </c>
      <c r="AB6528">
        <v>1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f t="shared" si="110"/>
        <v>0</v>
      </c>
      <c r="AP6528" t="s">
        <v>1915</v>
      </c>
    </row>
    <row r="6529" spans="1:42">
      <c r="A6529" s="1">
        <v>43826</v>
      </c>
      <c r="B6529">
        <v>5</v>
      </c>
      <c r="C6529">
        <v>535</v>
      </c>
      <c r="D6529">
        <v>11320</v>
      </c>
      <c r="E6529" t="s">
        <v>377</v>
      </c>
      <c r="F6529" t="s">
        <v>520</v>
      </c>
      <c r="G6529">
        <v>2</v>
      </c>
      <c r="H6529">
        <v>65</v>
      </c>
      <c r="I6529" s="25">
        <v>435</v>
      </c>
      <c r="K6529" t="s">
        <v>2006</v>
      </c>
      <c r="M6529" t="s">
        <v>52</v>
      </c>
      <c r="N6529" t="s">
        <v>40</v>
      </c>
      <c r="O6529">
        <f>60+60+60+60+21</f>
        <v>261</v>
      </c>
      <c r="Q6529">
        <f t="shared" si="111"/>
        <v>2</v>
      </c>
      <c r="R6529">
        <v>1</v>
      </c>
      <c r="S6529">
        <v>0</v>
      </c>
      <c r="T6529">
        <v>0</v>
      </c>
      <c r="U6529">
        <v>0</v>
      </c>
      <c r="V6529">
        <v>0</v>
      </c>
      <c r="W6529">
        <v>0</v>
      </c>
      <c r="X6529" s="21">
        <v>0</v>
      </c>
      <c r="Y6529">
        <v>0</v>
      </c>
      <c r="Z6529">
        <v>0</v>
      </c>
      <c r="AA6529">
        <v>0</v>
      </c>
      <c r="AB6529">
        <v>2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f t="shared" si="110"/>
        <v>0</v>
      </c>
      <c r="AP6529" t="s">
        <v>1915</v>
      </c>
    </row>
    <row r="6530" spans="1:42">
      <c r="A6530" s="1">
        <v>43826</v>
      </c>
      <c r="B6530">
        <v>5</v>
      </c>
      <c r="C6530">
        <v>535</v>
      </c>
      <c r="D6530">
        <v>11320</v>
      </c>
      <c r="E6530" t="s">
        <v>377</v>
      </c>
      <c r="F6530" t="s">
        <v>520</v>
      </c>
      <c r="G6530">
        <v>2</v>
      </c>
      <c r="H6530">
        <v>66</v>
      </c>
      <c r="I6530" s="25">
        <v>1201</v>
      </c>
      <c r="K6530" t="s">
        <v>406</v>
      </c>
      <c r="M6530" t="s">
        <v>52</v>
      </c>
      <c r="N6530" t="s">
        <v>40</v>
      </c>
      <c r="O6530">
        <f>60+60+44</f>
        <v>164</v>
      </c>
      <c r="Q6530">
        <f t="shared" si="111"/>
        <v>2</v>
      </c>
      <c r="R6530">
        <v>1</v>
      </c>
      <c r="S6530">
        <v>0</v>
      </c>
      <c r="T6530">
        <v>0</v>
      </c>
      <c r="U6530">
        <v>0</v>
      </c>
      <c r="V6530">
        <v>0</v>
      </c>
      <c r="W6530">
        <v>0</v>
      </c>
      <c r="X6530" s="21">
        <v>0</v>
      </c>
      <c r="Y6530">
        <v>0</v>
      </c>
      <c r="Z6530">
        <v>0</v>
      </c>
      <c r="AA6530">
        <v>0</v>
      </c>
      <c r="AB6530">
        <v>1</v>
      </c>
      <c r="AC6530">
        <v>1</v>
      </c>
      <c r="AD6530">
        <v>0</v>
      </c>
      <c r="AE6530">
        <v>0</v>
      </c>
      <c r="AF6530">
        <v>0</v>
      </c>
      <c r="AG6530">
        <v>0</v>
      </c>
      <c r="AH6530">
        <f t="shared" ref="AH6530:AH6593" si="112">(16*S6530)+(20*T6530)+(32*U6530)+(64*V6530)+(96*W6530)</f>
        <v>0</v>
      </c>
      <c r="AP6530" t="s">
        <v>1915</v>
      </c>
    </row>
    <row r="6531" spans="1:42">
      <c r="A6531" s="1">
        <v>43826</v>
      </c>
      <c r="B6531">
        <v>5</v>
      </c>
      <c r="C6531">
        <v>535</v>
      </c>
      <c r="D6531">
        <v>11320</v>
      </c>
      <c r="E6531" t="s">
        <v>377</v>
      </c>
      <c r="F6531" t="s">
        <v>520</v>
      </c>
      <c r="G6531">
        <v>2</v>
      </c>
      <c r="H6531">
        <v>67</v>
      </c>
      <c r="I6531" s="25">
        <v>588</v>
      </c>
      <c r="K6531" t="s">
        <v>2007</v>
      </c>
      <c r="M6531" t="s">
        <v>52</v>
      </c>
      <c r="N6531" t="s">
        <v>40</v>
      </c>
      <c r="O6531">
        <f>60+54</f>
        <v>114</v>
      </c>
      <c r="Q6531">
        <f t="shared" si="111"/>
        <v>1</v>
      </c>
      <c r="R6531">
        <v>1</v>
      </c>
      <c r="S6531">
        <v>0</v>
      </c>
      <c r="T6531">
        <v>0</v>
      </c>
      <c r="U6531">
        <v>0</v>
      </c>
      <c r="V6531">
        <v>0</v>
      </c>
      <c r="W6531">
        <v>0</v>
      </c>
      <c r="X6531" s="21">
        <v>0</v>
      </c>
      <c r="Y6531">
        <v>0</v>
      </c>
      <c r="Z6531">
        <v>0</v>
      </c>
      <c r="AA6531">
        <v>1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f t="shared" si="112"/>
        <v>0</v>
      </c>
      <c r="AL6531" t="s">
        <v>2008</v>
      </c>
      <c r="AP6531" t="s">
        <v>1915</v>
      </c>
    </row>
    <row r="6532" spans="1:42">
      <c r="A6532" s="1">
        <v>43826</v>
      </c>
      <c r="B6532">
        <v>5</v>
      </c>
      <c r="C6532">
        <v>535</v>
      </c>
      <c r="D6532">
        <v>11320</v>
      </c>
      <c r="E6532" t="s">
        <v>377</v>
      </c>
      <c r="F6532" t="s">
        <v>520</v>
      </c>
      <c r="G6532">
        <v>2</v>
      </c>
      <c r="H6532">
        <v>68</v>
      </c>
      <c r="I6532" s="25">
        <v>440</v>
      </c>
      <c r="K6532" t="s">
        <v>2006</v>
      </c>
      <c r="M6532" t="s">
        <v>52</v>
      </c>
      <c r="N6532" t="s">
        <v>40</v>
      </c>
      <c r="O6532">
        <f>60+60+40</f>
        <v>160</v>
      </c>
      <c r="Q6532">
        <f t="shared" si="111"/>
        <v>1</v>
      </c>
      <c r="R6532">
        <v>1</v>
      </c>
      <c r="S6532">
        <v>0</v>
      </c>
      <c r="T6532">
        <v>0</v>
      </c>
      <c r="U6532">
        <v>0</v>
      </c>
      <c r="V6532">
        <v>0</v>
      </c>
      <c r="W6532">
        <v>0</v>
      </c>
      <c r="X6532" s="21">
        <v>0</v>
      </c>
      <c r="Y6532">
        <v>0</v>
      </c>
      <c r="Z6532">
        <v>0</v>
      </c>
      <c r="AA6532">
        <v>1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f t="shared" si="112"/>
        <v>0</v>
      </c>
      <c r="AP6532" t="s">
        <v>1915</v>
      </c>
    </row>
    <row r="6533" spans="1:42">
      <c r="A6533" s="1">
        <v>43826</v>
      </c>
      <c r="B6533">
        <v>5</v>
      </c>
      <c r="C6533">
        <v>535</v>
      </c>
      <c r="D6533">
        <v>11320</v>
      </c>
      <c r="E6533" t="s">
        <v>377</v>
      </c>
      <c r="F6533" t="s">
        <v>520</v>
      </c>
      <c r="G6533">
        <v>2</v>
      </c>
      <c r="H6533">
        <v>69</v>
      </c>
      <c r="I6533" s="25">
        <v>1351</v>
      </c>
      <c r="K6533" t="s">
        <v>389</v>
      </c>
      <c r="M6533" t="s">
        <v>52</v>
      </c>
      <c r="N6533" t="s">
        <v>44</v>
      </c>
      <c r="O6533">
        <f>60+60+60+60+60+33</f>
        <v>333</v>
      </c>
      <c r="Q6533">
        <f t="shared" si="111"/>
        <v>0</v>
      </c>
      <c r="R6533">
        <v>1</v>
      </c>
      <c r="S6533">
        <v>0</v>
      </c>
      <c r="T6533">
        <v>0</v>
      </c>
      <c r="U6533">
        <v>0</v>
      </c>
      <c r="V6533">
        <v>0</v>
      </c>
      <c r="W6533">
        <v>0</v>
      </c>
      <c r="X6533" s="21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f t="shared" si="112"/>
        <v>0</v>
      </c>
      <c r="AL6533" t="s">
        <v>2009</v>
      </c>
      <c r="AP6533" t="s">
        <v>1915</v>
      </c>
    </row>
    <row r="6534" spans="1:42">
      <c r="A6534" s="1">
        <v>43826</v>
      </c>
      <c r="B6534">
        <v>5</v>
      </c>
      <c r="C6534">
        <v>535</v>
      </c>
      <c r="D6534">
        <v>11320</v>
      </c>
      <c r="E6534" t="s">
        <v>377</v>
      </c>
      <c r="F6534" t="s">
        <v>520</v>
      </c>
      <c r="G6534">
        <v>2</v>
      </c>
      <c r="H6534">
        <v>70</v>
      </c>
      <c r="I6534" s="25">
        <v>1155</v>
      </c>
      <c r="K6534" t="s">
        <v>406</v>
      </c>
      <c r="M6534" t="s">
        <v>95</v>
      </c>
      <c r="N6534" t="s">
        <v>40</v>
      </c>
      <c r="O6534">
        <f>60+60+60+56</f>
        <v>236</v>
      </c>
      <c r="Q6534">
        <f t="shared" si="111"/>
        <v>3</v>
      </c>
      <c r="R6534">
        <v>1</v>
      </c>
      <c r="S6534">
        <v>0</v>
      </c>
      <c r="T6534">
        <v>0</v>
      </c>
      <c r="U6534">
        <v>0</v>
      </c>
      <c r="V6534">
        <v>0</v>
      </c>
      <c r="W6534">
        <v>0</v>
      </c>
      <c r="X6534" s="21">
        <v>0</v>
      </c>
      <c r="Y6534">
        <v>0</v>
      </c>
      <c r="Z6534">
        <v>0</v>
      </c>
      <c r="AA6534">
        <v>0</v>
      </c>
      <c r="AB6534">
        <v>3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f t="shared" si="112"/>
        <v>0</v>
      </c>
      <c r="AP6534" t="s">
        <v>1915</v>
      </c>
    </row>
    <row r="6535" spans="1:42">
      <c r="A6535" s="1">
        <v>43826</v>
      </c>
      <c r="B6535">
        <v>5</v>
      </c>
      <c r="C6535">
        <v>535</v>
      </c>
      <c r="D6535">
        <v>11320</v>
      </c>
      <c r="E6535" t="s">
        <v>377</v>
      </c>
      <c r="F6535" t="s">
        <v>520</v>
      </c>
      <c r="G6535">
        <v>2</v>
      </c>
      <c r="H6535">
        <v>71</v>
      </c>
      <c r="I6535" s="25">
        <v>110</v>
      </c>
      <c r="K6535" t="s">
        <v>2000</v>
      </c>
      <c r="M6535" t="s">
        <v>52</v>
      </c>
      <c r="N6535" t="s">
        <v>40</v>
      </c>
      <c r="O6535">
        <f>60+60+60+60+60+60+60+32</f>
        <v>452</v>
      </c>
      <c r="Q6535">
        <f t="shared" si="111"/>
        <v>5</v>
      </c>
      <c r="R6535">
        <v>1</v>
      </c>
      <c r="S6535">
        <v>0</v>
      </c>
      <c r="T6535">
        <v>0</v>
      </c>
      <c r="U6535">
        <v>0</v>
      </c>
      <c r="V6535">
        <v>0</v>
      </c>
      <c r="W6535">
        <v>0</v>
      </c>
      <c r="X6535" s="21">
        <v>0</v>
      </c>
      <c r="Y6535">
        <v>0</v>
      </c>
      <c r="Z6535">
        <v>0</v>
      </c>
      <c r="AA6535">
        <v>5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f t="shared" si="112"/>
        <v>0</v>
      </c>
      <c r="AP6535" t="s">
        <v>1915</v>
      </c>
    </row>
    <row r="6536" spans="1:42">
      <c r="A6536" s="1">
        <v>43826</v>
      </c>
      <c r="B6536">
        <v>5</v>
      </c>
      <c r="C6536">
        <v>575</v>
      </c>
      <c r="D6536">
        <v>11320</v>
      </c>
      <c r="E6536" t="s">
        <v>377</v>
      </c>
      <c r="F6536" t="s">
        <v>436</v>
      </c>
      <c r="G6536">
        <v>2</v>
      </c>
      <c r="H6536">
        <v>72</v>
      </c>
      <c r="I6536" s="25">
        <v>325</v>
      </c>
      <c r="K6536" t="s">
        <v>2006</v>
      </c>
      <c r="M6536" t="s">
        <v>52</v>
      </c>
      <c r="N6536" t="s">
        <v>40</v>
      </c>
      <c r="O6536">
        <f>60+10</f>
        <v>70</v>
      </c>
      <c r="Q6536">
        <f t="shared" si="111"/>
        <v>1</v>
      </c>
      <c r="R6536">
        <v>1</v>
      </c>
      <c r="S6536">
        <v>0</v>
      </c>
      <c r="T6536">
        <v>0</v>
      </c>
      <c r="U6536">
        <v>0</v>
      </c>
      <c r="V6536">
        <v>0</v>
      </c>
      <c r="W6536">
        <v>0</v>
      </c>
      <c r="X6536" s="21">
        <v>0</v>
      </c>
      <c r="Y6536">
        <v>0</v>
      </c>
      <c r="Z6536">
        <v>0</v>
      </c>
      <c r="AA6536">
        <v>0</v>
      </c>
      <c r="AB6536">
        <v>1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f t="shared" si="112"/>
        <v>0</v>
      </c>
      <c r="AP6536" t="s">
        <v>1915</v>
      </c>
    </row>
    <row r="6537" spans="1:42">
      <c r="A6537" s="1">
        <v>43826</v>
      </c>
      <c r="B6537">
        <v>5</v>
      </c>
      <c r="C6537">
        <v>575</v>
      </c>
      <c r="D6537">
        <v>11320</v>
      </c>
      <c r="E6537" t="s">
        <v>377</v>
      </c>
      <c r="F6537" t="s">
        <v>436</v>
      </c>
      <c r="G6537">
        <v>2</v>
      </c>
      <c r="H6537">
        <v>73</v>
      </c>
      <c r="I6537" s="25">
        <v>325</v>
      </c>
      <c r="K6537" t="s">
        <v>2006</v>
      </c>
      <c r="M6537" t="s">
        <v>52</v>
      </c>
      <c r="N6537" t="s">
        <v>40</v>
      </c>
      <c r="O6537">
        <f>60+60+60+20</f>
        <v>200</v>
      </c>
      <c r="Q6537">
        <f t="shared" si="111"/>
        <v>3</v>
      </c>
      <c r="R6537">
        <v>1</v>
      </c>
      <c r="S6537">
        <v>0</v>
      </c>
      <c r="T6537">
        <v>0</v>
      </c>
      <c r="U6537">
        <v>0</v>
      </c>
      <c r="V6537">
        <v>0</v>
      </c>
      <c r="W6537">
        <v>0</v>
      </c>
      <c r="X6537" s="21">
        <v>0</v>
      </c>
      <c r="Y6537">
        <v>0</v>
      </c>
      <c r="Z6537">
        <v>0</v>
      </c>
      <c r="AA6537">
        <v>0</v>
      </c>
      <c r="AB6537">
        <v>3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f t="shared" si="112"/>
        <v>0</v>
      </c>
      <c r="AP6537" t="s">
        <v>1915</v>
      </c>
    </row>
    <row r="6538" spans="1:42">
      <c r="A6538" s="1">
        <v>43826</v>
      </c>
      <c r="B6538">
        <v>5</v>
      </c>
      <c r="C6538">
        <v>575</v>
      </c>
      <c r="D6538">
        <v>11320</v>
      </c>
      <c r="E6538" t="s">
        <v>377</v>
      </c>
      <c r="F6538" t="s">
        <v>436</v>
      </c>
      <c r="G6538">
        <v>2</v>
      </c>
      <c r="H6538">
        <v>74</v>
      </c>
      <c r="I6538" s="25">
        <v>1351</v>
      </c>
      <c r="K6538" t="s">
        <v>389</v>
      </c>
      <c r="M6538" t="s">
        <v>52</v>
      </c>
      <c r="N6538" t="s">
        <v>40</v>
      </c>
      <c r="O6538">
        <f>60+60+36</f>
        <v>156</v>
      </c>
      <c r="Q6538">
        <f t="shared" si="111"/>
        <v>2</v>
      </c>
      <c r="R6538">
        <v>1</v>
      </c>
      <c r="S6538">
        <v>0</v>
      </c>
      <c r="T6538">
        <v>0</v>
      </c>
      <c r="U6538">
        <v>0</v>
      </c>
      <c r="V6538">
        <v>0</v>
      </c>
      <c r="W6538">
        <v>0</v>
      </c>
      <c r="X6538" s="21">
        <v>0</v>
      </c>
      <c r="Y6538">
        <v>0</v>
      </c>
      <c r="Z6538">
        <v>0</v>
      </c>
      <c r="AA6538">
        <v>2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f t="shared" si="112"/>
        <v>0</v>
      </c>
      <c r="AP6538" t="s">
        <v>1915</v>
      </c>
    </row>
    <row r="6539" spans="1:42">
      <c r="A6539" s="1">
        <v>43826</v>
      </c>
      <c r="B6539">
        <v>5</v>
      </c>
      <c r="C6539">
        <v>575</v>
      </c>
      <c r="D6539">
        <v>11320</v>
      </c>
      <c r="E6539" t="s">
        <v>377</v>
      </c>
      <c r="F6539" t="s">
        <v>436</v>
      </c>
      <c r="G6539">
        <v>2</v>
      </c>
      <c r="H6539">
        <v>75</v>
      </c>
      <c r="I6539" s="25">
        <v>1159</v>
      </c>
      <c r="K6539" t="s">
        <v>406</v>
      </c>
      <c r="M6539" t="s">
        <v>52</v>
      </c>
      <c r="N6539" t="s">
        <v>40</v>
      </c>
      <c r="O6539">
        <f>60+60+60+60+38</f>
        <v>278</v>
      </c>
      <c r="Q6539">
        <f t="shared" si="111"/>
        <v>4</v>
      </c>
      <c r="R6539">
        <v>1</v>
      </c>
      <c r="S6539">
        <v>0</v>
      </c>
      <c r="T6539">
        <v>0</v>
      </c>
      <c r="U6539">
        <v>0</v>
      </c>
      <c r="V6539">
        <v>0</v>
      </c>
      <c r="W6539">
        <v>0</v>
      </c>
      <c r="X6539" s="21">
        <v>0</v>
      </c>
      <c r="Y6539">
        <v>0</v>
      </c>
      <c r="Z6539">
        <v>0</v>
      </c>
      <c r="AA6539">
        <v>0</v>
      </c>
      <c r="AB6539">
        <v>4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f t="shared" si="112"/>
        <v>0</v>
      </c>
      <c r="AP6539" t="s">
        <v>1915</v>
      </c>
    </row>
    <row r="6540" spans="1:42">
      <c r="A6540" s="1">
        <v>43833</v>
      </c>
      <c r="B6540">
        <v>5</v>
      </c>
      <c r="C6540">
        <v>984</v>
      </c>
      <c r="D6540">
        <v>10425</v>
      </c>
      <c r="E6540" t="s">
        <v>37</v>
      </c>
      <c r="F6540" t="s">
        <v>520</v>
      </c>
      <c r="G6540">
        <v>2</v>
      </c>
      <c r="H6540">
        <v>1</v>
      </c>
      <c r="I6540" s="25">
        <v>1800</v>
      </c>
      <c r="K6540" t="s">
        <v>56</v>
      </c>
      <c r="M6540" t="s">
        <v>52</v>
      </c>
      <c r="N6540" t="s">
        <v>44</v>
      </c>
      <c r="O6540">
        <f>60+60+60+43</f>
        <v>223</v>
      </c>
      <c r="Q6540">
        <f t="shared" si="111"/>
        <v>4</v>
      </c>
      <c r="R6540">
        <v>1</v>
      </c>
      <c r="S6540">
        <v>0</v>
      </c>
      <c r="T6540">
        <v>0</v>
      </c>
      <c r="U6540">
        <v>0</v>
      </c>
      <c r="V6540">
        <v>0</v>
      </c>
      <c r="W6540">
        <v>4</v>
      </c>
      <c r="X6540" s="21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f t="shared" si="112"/>
        <v>384</v>
      </c>
      <c r="AL6540" t="s">
        <v>2010</v>
      </c>
      <c r="AP6540" t="s">
        <v>1915</v>
      </c>
    </row>
    <row r="6541" spans="1:42">
      <c r="A6541" s="1">
        <v>43833</v>
      </c>
      <c r="B6541">
        <v>5</v>
      </c>
      <c r="C6541">
        <v>984</v>
      </c>
      <c r="D6541">
        <v>10425</v>
      </c>
      <c r="E6541" t="s">
        <v>37</v>
      </c>
      <c r="F6541" t="s">
        <v>520</v>
      </c>
      <c r="G6541">
        <v>2</v>
      </c>
      <c r="H6541">
        <v>2</v>
      </c>
      <c r="I6541" s="25">
        <v>1880</v>
      </c>
      <c r="K6541" t="s">
        <v>56</v>
      </c>
      <c r="L6541" t="s">
        <v>114</v>
      </c>
      <c r="M6541" t="s">
        <v>95</v>
      </c>
      <c r="N6541" t="s">
        <v>44</v>
      </c>
      <c r="O6541">
        <v>151</v>
      </c>
      <c r="Q6541">
        <f t="shared" si="111"/>
        <v>1</v>
      </c>
      <c r="R6541">
        <v>1</v>
      </c>
      <c r="S6541">
        <v>0</v>
      </c>
      <c r="T6541">
        <v>0</v>
      </c>
      <c r="U6541">
        <v>0</v>
      </c>
      <c r="V6541">
        <v>0</v>
      </c>
      <c r="W6541">
        <v>1</v>
      </c>
      <c r="X6541" s="2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f t="shared" si="112"/>
        <v>96</v>
      </c>
      <c r="AP6541" t="s">
        <v>1915</v>
      </c>
    </row>
    <row r="6542" spans="1:42">
      <c r="A6542" s="1">
        <v>43833</v>
      </c>
      <c r="B6542">
        <v>5</v>
      </c>
      <c r="C6542">
        <v>984</v>
      </c>
      <c r="D6542">
        <v>10425</v>
      </c>
      <c r="E6542" t="s">
        <v>37</v>
      </c>
      <c r="F6542" t="s">
        <v>520</v>
      </c>
      <c r="G6542">
        <v>2</v>
      </c>
      <c r="H6542">
        <v>3</v>
      </c>
      <c r="I6542" s="25">
        <v>2075</v>
      </c>
      <c r="K6542" t="s">
        <v>62</v>
      </c>
      <c r="L6542" t="s">
        <v>141</v>
      </c>
      <c r="M6542" t="s">
        <v>52</v>
      </c>
      <c r="N6542" t="s">
        <v>44</v>
      </c>
      <c r="O6542">
        <v>108</v>
      </c>
      <c r="Q6542">
        <f t="shared" si="111"/>
        <v>1</v>
      </c>
      <c r="R6542">
        <v>1</v>
      </c>
      <c r="S6542">
        <v>0</v>
      </c>
      <c r="T6542">
        <v>0</v>
      </c>
      <c r="U6542">
        <v>1</v>
      </c>
      <c r="V6542">
        <v>0</v>
      </c>
      <c r="W6542">
        <v>0</v>
      </c>
      <c r="X6542" s="21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f t="shared" si="112"/>
        <v>32</v>
      </c>
      <c r="AP6542" t="s">
        <v>1915</v>
      </c>
    </row>
    <row r="6543" spans="1:42">
      <c r="A6543" s="1">
        <v>43833</v>
      </c>
      <c r="B6543">
        <v>5</v>
      </c>
      <c r="C6543">
        <v>984</v>
      </c>
      <c r="D6543">
        <v>10425</v>
      </c>
      <c r="E6543" t="s">
        <v>37</v>
      </c>
      <c r="F6543" t="s">
        <v>520</v>
      </c>
      <c r="G6543">
        <v>2</v>
      </c>
      <c r="H6543">
        <v>4</v>
      </c>
      <c r="I6543" s="25">
        <v>2055</v>
      </c>
      <c r="K6543" t="s">
        <v>62</v>
      </c>
      <c r="L6543" t="s">
        <v>141</v>
      </c>
      <c r="M6543" t="s">
        <v>52</v>
      </c>
      <c r="N6543" t="s">
        <v>44</v>
      </c>
      <c r="O6543">
        <v>116</v>
      </c>
      <c r="Q6543">
        <f t="shared" si="111"/>
        <v>2</v>
      </c>
      <c r="R6543">
        <v>1</v>
      </c>
      <c r="S6543">
        <v>0</v>
      </c>
      <c r="T6543">
        <v>0</v>
      </c>
      <c r="U6543">
        <v>0</v>
      </c>
      <c r="V6543">
        <v>0</v>
      </c>
      <c r="W6543">
        <v>2</v>
      </c>
      <c r="X6543" s="21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f t="shared" si="112"/>
        <v>192</v>
      </c>
      <c r="AL6543" t="s">
        <v>590</v>
      </c>
      <c r="AP6543" t="s">
        <v>1915</v>
      </c>
    </row>
    <row r="6544" spans="1:42">
      <c r="A6544" s="1">
        <v>43833</v>
      </c>
      <c r="B6544">
        <v>5</v>
      </c>
      <c r="C6544">
        <v>984</v>
      </c>
      <c r="D6544">
        <v>10425</v>
      </c>
      <c r="E6544" t="s">
        <v>37</v>
      </c>
      <c r="F6544" t="s">
        <v>520</v>
      </c>
      <c r="G6544">
        <v>2</v>
      </c>
      <c r="H6544">
        <v>5</v>
      </c>
      <c r="I6544" s="25">
        <v>2001</v>
      </c>
      <c r="K6544" t="s">
        <v>62</v>
      </c>
      <c r="L6544" t="s">
        <v>141</v>
      </c>
      <c r="M6544" t="s">
        <v>52</v>
      </c>
      <c r="N6544" t="s">
        <v>44</v>
      </c>
      <c r="O6544">
        <v>196</v>
      </c>
      <c r="Q6544">
        <f t="shared" si="111"/>
        <v>2</v>
      </c>
      <c r="R6544">
        <v>1</v>
      </c>
      <c r="S6544">
        <v>0</v>
      </c>
      <c r="T6544">
        <v>0</v>
      </c>
      <c r="U6544">
        <v>0</v>
      </c>
      <c r="V6544">
        <v>0</v>
      </c>
      <c r="W6544">
        <v>2</v>
      </c>
      <c r="X6544" s="21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f t="shared" si="112"/>
        <v>192</v>
      </c>
      <c r="AL6544" t="s">
        <v>2011</v>
      </c>
      <c r="AP6544" t="s">
        <v>1915</v>
      </c>
    </row>
    <row r="6545" spans="1:42">
      <c r="A6545" s="1">
        <v>43833</v>
      </c>
      <c r="B6545">
        <v>5</v>
      </c>
      <c r="C6545">
        <v>984</v>
      </c>
      <c r="D6545">
        <v>10425</v>
      </c>
      <c r="E6545" t="s">
        <v>37</v>
      </c>
      <c r="F6545" t="s">
        <v>520</v>
      </c>
      <c r="G6545">
        <v>2</v>
      </c>
      <c r="H6545">
        <v>6</v>
      </c>
      <c r="I6545" s="25">
        <v>1848</v>
      </c>
      <c r="K6545" t="s">
        <v>638</v>
      </c>
      <c r="L6545" t="s">
        <v>114</v>
      </c>
      <c r="M6545" t="s">
        <v>52</v>
      </c>
      <c r="N6545" t="s">
        <v>44</v>
      </c>
      <c r="O6545">
        <f>60+21</f>
        <v>81</v>
      </c>
      <c r="Q6545">
        <f t="shared" si="111"/>
        <v>1</v>
      </c>
      <c r="R6545">
        <v>1</v>
      </c>
      <c r="S6545">
        <v>0</v>
      </c>
      <c r="T6545">
        <v>0</v>
      </c>
      <c r="U6545">
        <v>0</v>
      </c>
      <c r="V6545">
        <v>0</v>
      </c>
      <c r="W6545">
        <v>1</v>
      </c>
      <c r="X6545" s="21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f t="shared" si="112"/>
        <v>96</v>
      </c>
      <c r="AP6545" t="s">
        <v>1915</v>
      </c>
    </row>
    <row r="6546" spans="1:42">
      <c r="A6546" s="1">
        <v>43833</v>
      </c>
      <c r="B6546">
        <v>5</v>
      </c>
      <c r="C6546">
        <v>984</v>
      </c>
      <c r="D6546">
        <v>10425</v>
      </c>
      <c r="E6546" t="s">
        <v>37</v>
      </c>
      <c r="F6546" t="s">
        <v>520</v>
      </c>
      <c r="G6546">
        <v>2</v>
      </c>
      <c r="H6546">
        <v>7</v>
      </c>
      <c r="I6546" s="25" t="s">
        <v>2012</v>
      </c>
      <c r="K6546" t="s">
        <v>638</v>
      </c>
      <c r="M6546" t="s">
        <v>95</v>
      </c>
      <c r="N6546" t="s">
        <v>44</v>
      </c>
      <c r="O6546">
        <f>60+60+60+60+13</f>
        <v>253</v>
      </c>
      <c r="Q6546">
        <f t="shared" si="111"/>
        <v>5</v>
      </c>
      <c r="R6546">
        <v>1</v>
      </c>
      <c r="S6546">
        <v>0</v>
      </c>
      <c r="T6546">
        <v>0</v>
      </c>
      <c r="U6546">
        <v>0</v>
      </c>
      <c r="V6546">
        <v>0</v>
      </c>
      <c r="W6546">
        <v>5</v>
      </c>
      <c r="X6546" s="21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f t="shared" si="112"/>
        <v>480</v>
      </c>
      <c r="AL6546" t="s">
        <v>2013</v>
      </c>
      <c r="AP6546" t="s">
        <v>1915</v>
      </c>
    </row>
    <row r="6547" spans="1:42">
      <c r="A6547" s="1">
        <v>43833</v>
      </c>
      <c r="B6547">
        <v>5</v>
      </c>
      <c r="C6547">
        <v>984</v>
      </c>
      <c r="D6547">
        <v>10425</v>
      </c>
      <c r="E6547" t="s">
        <v>37</v>
      </c>
      <c r="F6547" t="s">
        <v>520</v>
      </c>
      <c r="G6547">
        <v>2</v>
      </c>
      <c r="H6547">
        <v>8</v>
      </c>
      <c r="I6547" s="25">
        <v>1817</v>
      </c>
      <c r="K6547" t="s">
        <v>56</v>
      </c>
      <c r="L6547" t="s">
        <v>141</v>
      </c>
      <c r="M6547" t="s">
        <v>52</v>
      </c>
      <c r="N6547" t="s">
        <v>44</v>
      </c>
      <c r="O6547">
        <f>60+60+11</f>
        <v>131</v>
      </c>
      <c r="Q6547">
        <f t="shared" si="111"/>
        <v>2</v>
      </c>
      <c r="R6547">
        <v>1</v>
      </c>
      <c r="S6547">
        <v>0</v>
      </c>
      <c r="T6547">
        <v>0</v>
      </c>
      <c r="U6547">
        <v>0</v>
      </c>
      <c r="V6547">
        <v>0</v>
      </c>
      <c r="W6547">
        <v>2</v>
      </c>
      <c r="X6547" s="21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f t="shared" si="112"/>
        <v>192</v>
      </c>
      <c r="AP6547" t="s">
        <v>1915</v>
      </c>
    </row>
    <row r="6548" spans="1:42">
      <c r="A6548" s="1">
        <v>43833</v>
      </c>
      <c r="B6548">
        <v>5</v>
      </c>
      <c r="C6548">
        <v>984</v>
      </c>
      <c r="D6548">
        <v>10425</v>
      </c>
      <c r="E6548" t="s">
        <v>37</v>
      </c>
      <c r="F6548" t="s">
        <v>520</v>
      </c>
      <c r="G6548">
        <v>2</v>
      </c>
      <c r="H6548">
        <v>9</v>
      </c>
      <c r="I6548" s="25">
        <v>1809</v>
      </c>
      <c r="K6548" t="s">
        <v>56</v>
      </c>
      <c r="L6548" t="s">
        <v>141</v>
      </c>
      <c r="M6548" t="s">
        <v>95</v>
      </c>
      <c r="N6548" t="s">
        <v>44</v>
      </c>
      <c r="O6548">
        <f>60+60+13</f>
        <v>133</v>
      </c>
      <c r="Q6548">
        <f t="shared" si="111"/>
        <v>2</v>
      </c>
      <c r="R6548">
        <v>1</v>
      </c>
      <c r="S6548">
        <v>0</v>
      </c>
      <c r="T6548">
        <v>0</v>
      </c>
      <c r="U6548">
        <v>0</v>
      </c>
      <c r="V6548">
        <v>0</v>
      </c>
      <c r="W6548">
        <v>2</v>
      </c>
      <c r="X6548" s="21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f t="shared" si="112"/>
        <v>192</v>
      </c>
      <c r="AL6548" t="s">
        <v>590</v>
      </c>
      <c r="AP6548" t="s">
        <v>1915</v>
      </c>
    </row>
    <row r="6549" spans="1:42">
      <c r="A6549" s="1">
        <v>43833</v>
      </c>
      <c r="B6549">
        <v>5</v>
      </c>
      <c r="C6549">
        <v>984</v>
      </c>
      <c r="D6549">
        <v>10425</v>
      </c>
      <c r="E6549" t="s">
        <v>37</v>
      </c>
      <c r="F6549" t="s">
        <v>520</v>
      </c>
      <c r="G6549">
        <v>2</v>
      </c>
      <c r="H6549">
        <v>10</v>
      </c>
      <c r="I6549" s="25" t="s">
        <v>2014</v>
      </c>
      <c r="K6549" t="s">
        <v>631</v>
      </c>
      <c r="L6549" t="s">
        <v>114</v>
      </c>
      <c r="M6549" t="s">
        <v>52</v>
      </c>
      <c r="N6549" t="s">
        <v>44</v>
      </c>
      <c r="O6549">
        <f>60+60+60+60+35</f>
        <v>275</v>
      </c>
      <c r="Q6549">
        <f t="shared" si="111"/>
        <v>4</v>
      </c>
      <c r="R6549">
        <v>1</v>
      </c>
      <c r="S6549">
        <v>0</v>
      </c>
      <c r="T6549">
        <v>0</v>
      </c>
      <c r="U6549">
        <v>0</v>
      </c>
      <c r="V6549">
        <v>0</v>
      </c>
      <c r="W6549">
        <v>4</v>
      </c>
      <c r="X6549" s="21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f t="shared" si="112"/>
        <v>384</v>
      </c>
      <c r="AP6549" t="s">
        <v>1915</v>
      </c>
    </row>
    <row r="6550" spans="1:42">
      <c r="A6550" s="1">
        <v>43833</v>
      </c>
      <c r="B6550">
        <v>5</v>
      </c>
      <c r="C6550">
        <v>984</v>
      </c>
      <c r="D6550">
        <v>10425</v>
      </c>
      <c r="E6550" t="s">
        <v>37</v>
      </c>
      <c r="F6550" t="s">
        <v>520</v>
      </c>
      <c r="G6550">
        <v>2</v>
      </c>
      <c r="H6550">
        <v>11</v>
      </c>
      <c r="I6550" s="25">
        <v>1745</v>
      </c>
      <c r="K6550" t="s">
        <v>631</v>
      </c>
      <c r="L6550" t="s">
        <v>141</v>
      </c>
      <c r="M6550" t="s">
        <v>52</v>
      </c>
      <c r="N6550" t="s">
        <v>44</v>
      </c>
      <c r="O6550">
        <f>60+52</f>
        <v>112</v>
      </c>
      <c r="Q6550">
        <f t="shared" si="111"/>
        <v>1</v>
      </c>
      <c r="R6550">
        <v>1</v>
      </c>
      <c r="S6550">
        <v>0</v>
      </c>
      <c r="T6550">
        <v>0</v>
      </c>
      <c r="U6550">
        <v>0</v>
      </c>
      <c r="V6550">
        <v>0</v>
      </c>
      <c r="W6550">
        <v>1</v>
      </c>
      <c r="X6550" s="21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f t="shared" si="112"/>
        <v>96</v>
      </c>
      <c r="AP6550" t="s">
        <v>1915</v>
      </c>
    </row>
    <row r="6551" spans="1:42">
      <c r="A6551" s="1">
        <v>43833</v>
      </c>
      <c r="B6551">
        <v>5</v>
      </c>
      <c r="C6551">
        <v>984</v>
      </c>
      <c r="D6551">
        <v>10425</v>
      </c>
      <c r="E6551" t="s">
        <v>37</v>
      </c>
      <c r="F6551" t="s">
        <v>520</v>
      </c>
      <c r="G6551">
        <v>2</v>
      </c>
      <c r="H6551">
        <v>12</v>
      </c>
      <c r="I6551" s="25">
        <v>1835</v>
      </c>
      <c r="K6551" t="s">
        <v>631</v>
      </c>
      <c r="L6551" t="s">
        <v>141</v>
      </c>
      <c r="M6551" t="s">
        <v>52</v>
      </c>
      <c r="N6551" t="s">
        <v>44</v>
      </c>
      <c r="O6551">
        <f>60+33</f>
        <v>93</v>
      </c>
      <c r="Q6551">
        <f t="shared" si="111"/>
        <v>2</v>
      </c>
      <c r="R6551">
        <v>1</v>
      </c>
      <c r="S6551">
        <v>0</v>
      </c>
      <c r="T6551">
        <v>0</v>
      </c>
      <c r="U6551">
        <v>0</v>
      </c>
      <c r="V6551">
        <v>0</v>
      </c>
      <c r="W6551">
        <v>2</v>
      </c>
      <c r="X6551" s="2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f t="shared" si="112"/>
        <v>192</v>
      </c>
      <c r="AL6551" t="s">
        <v>1937</v>
      </c>
      <c r="AP6551" t="s">
        <v>1915</v>
      </c>
    </row>
    <row r="6552" spans="1:42">
      <c r="A6552" s="1">
        <v>43833</v>
      </c>
      <c r="B6552">
        <v>5</v>
      </c>
      <c r="C6552">
        <v>984</v>
      </c>
      <c r="D6552">
        <v>10425</v>
      </c>
      <c r="E6552" t="s">
        <v>37</v>
      </c>
      <c r="F6552" t="s">
        <v>520</v>
      </c>
      <c r="G6552">
        <v>2</v>
      </c>
      <c r="H6552">
        <v>13</v>
      </c>
      <c r="I6552" s="25">
        <v>1900</v>
      </c>
      <c r="K6552" t="s">
        <v>631</v>
      </c>
      <c r="L6552" t="s">
        <v>114</v>
      </c>
      <c r="M6552" t="s">
        <v>52</v>
      </c>
      <c r="N6552" t="s">
        <v>44</v>
      </c>
      <c r="O6552">
        <f>60+60+59</f>
        <v>179</v>
      </c>
      <c r="Q6552">
        <f t="shared" si="111"/>
        <v>4</v>
      </c>
      <c r="R6552">
        <v>1</v>
      </c>
      <c r="S6552">
        <v>0</v>
      </c>
      <c r="T6552">
        <v>0</v>
      </c>
      <c r="U6552">
        <v>0</v>
      </c>
      <c r="V6552">
        <v>0</v>
      </c>
      <c r="W6552">
        <v>4</v>
      </c>
      <c r="X6552" s="21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f t="shared" si="112"/>
        <v>384</v>
      </c>
      <c r="AL6552" t="s">
        <v>587</v>
      </c>
      <c r="AP6552" t="s">
        <v>1915</v>
      </c>
    </row>
    <row r="6553" spans="1:42">
      <c r="A6553" s="1">
        <v>43833</v>
      </c>
      <c r="B6553">
        <v>5</v>
      </c>
      <c r="C6553">
        <v>984</v>
      </c>
      <c r="D6553">
        <v>10425</v>
      </c>
      <c r="E6553" t="s">
        <v>37</v>
      </c>
      <c r="F6553" t="s">
        <v>520</v>
      </c>
      <c r="G6553">
        <v>2</v>
      </c>
      <c r="H6553">
        <v>14</v>
      </c>
      <c r="I6553" s="25">
        <v>1920</v>
      </c>
      <c r="K6553" t="s">
        <v>631</v>
      </c>
      <c r="L6553" t="s">
        <v>114</v>
      </c>
      <c r="M6553" t="s">
        <v>52</v>
      </c>
      <c r="N6553" t="s">
        <v>44</v>
      </c>
      <c r="O6553">
        <f>60+60+60+14</f>
        <v>194</v>
      </c>
      <c r="Q6553">
        <f t="shared" si="111"/>
        <v>2</v>
      </c>
      <c r="R6553">
        <v>1</v>
      </c>
      <c r="S6553">
        <v>0</v>
      </c>
      <c r="T6553">
        <v>0</v>
      </c>
      <c r="U6553">
        <v>0</v>
      </c>
      <c r="V6553">
        <v>0</v>
      </c>
      <c r="W6553">
        <v>2</v>
      </c>
      <c r="X6553" s="21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f t="shared" si="112"/>
        <v>192</v>
      </c>
      <c r="AL6553" t="s">
        <v>587</v>
      </c>
      <c r="AP6553" t="s">
        <v>1915</v>
      </c>
    </row>
    <row r="6554" spans="1:42">
      <c r="A6554" s="1">
        <v>43833</v>
      </c>
      <c r="B6554">
        <v>5</v>
      </c>
      <c r="C6554">
        <v>984</v>
      </c>
      <c r="D6554">
        <v>10425</v>
      </c>
      <c r="E6554" t="s">
        <v>37</v>
      </c>
      <c r="F6554" t="s">
        <v>520</v>
      </c>
      <c r="G6554">
        <v>2</v>
      </c>
      <c r="H6554">
        <v>15</v>
      </c>
      <c r="I6554" s="25">
        <v>1930</v>
      </c>
      <c r="K6554" t="s">
        <v>631</v>
      </c>
      <c r="L6554" t="s">
        <v>114</v>
      </c>
      <c r="M6554" t="s">
        <v>52</v>
      </c>
      <c r="N6554" t="s">
        <v>44</v>
      </c>
      <c r="O6554">
        <f>60+60+7</f>
        <v>127</v>
      </c>
      <c r="Q6554">
        <f t="shared" si="111"/>
        <v>2</v>
      </c>
      <c r="R6554">
        <v>1</v>
      </c>
      <c r="S6554">
        <v>0</v>
      </c>
      <c r="T6554">
        <v>0</v>
      </c>
      <c r="U6554">
        <v>0</v>
      </c>
      <c r="V6554">
        <v>0</v>
      </c>
      <c r="W6554">
        <v>2</v>
      </c>
      <c r="X6554" s="21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f t="shared" si="112"/>
        <v>192</v>
      </c>
      <c r="AP6554" t="s">
        <v>1915</v>
      </c>
    </row>
    <row r="6555" spans="1:42">
      <c r="A6555" s="1">
        <v>43833</v>
      </c>
      <c r="B6555">
        <v>5</v>
      </c>
      <c r="C6555">
        <v>984</v>
      </c>
      <c r="D6555">
        <v>10425</v>
      </c>
      <c r="E6555" t="s">
        <v>37</v>
      </c>
      <c r="F6555" t="s">
        <v>520</v>
      </c>
      <c r="G6555">
        <v>2</v>
      </c>
      <c r="H6555">
        <v>16</v>
      </c>
      <c r="I6555" s="25">
        <v>1940</v>
      </c>
      <c r="K6555" t="s">
        <v>631</v>
      </c>
      <c r="L6555" t="s">
        <v>114</v>
      </c>
      <c r="M6555" t="s">
        <v>52</v>
      </c>
      <c r="N6555" t="s">
        <v>44</v>
      </c>
      <c r="O6555">
        <f>60+32</f>
        <v>92</v>
      </c>
      <c r="Q6555">
        <f t="shared" si="111"/>
        <v>2</v>
      </c>
      <c r="R6555">
        <v>1</v>
      </c>
      <c r="S6555">
        <v>0</v>
      </c>
      <c r="T6555">
        <v>0</v>
      </c>
      <c r="U6555">
        <v>0</v>
      </c>
      <c r="V6555">
        <v>0</v>
      </c>
      <c r="W6555">
        <v>2</v>
      </c>
      <c r="X6555" s="21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f t="shared" si="112"/>
        <v>192</v>
      </c>
      <c r="AP6555" t="s">
        <v>1915</v>
      </c>
    </row>
    <row r="6556" spans="1:42">
      <c r="A6556" s="1">
        <v>43833</v>
      </c>
      <c r="B6556">
        <v>5</v>
      </c>
      <c r="C6556">
        <v>984</v>
      </c>
      <c r="D6556">
        <v>10425</v>
      </c>
      <c r="E6556" t="s">
        <v>37</v>
      </c>
      <c r="F6556" t="s">
        <v>520</v>
      </c>
      <c r="G6556">
        <v>2</v>
      </c>
      <c r="H6556">
        <v>17</v>
      </c>
      <c r="I6556" s="25">
        <v>1935</v>
      </c>
      <c r="K6556" t="s">
        <v>631</v>
      </c>
      <c r="L6556" t="s">
        <v>141</v>
      </c>
      <c r="M6556" t="s">
        <v>52</v>
      </c>
      <c r="N6556" t="s">
        <v>44</v>
      </c>
      <c r="O6556">
        <f>60+60+60+18</f>
        <v>198</v>
      </c>
      <c r="Q6556">
        <f t="shared" si="111"/>
        <v>2</v>
      </c>
      <c r="R6556">
        <v>1</v>
      </c>
      <c r="S6556">
        <v>0</v>
      </c>
      <c r="T6556">
        <v>0</v>
      </c>
      <c r="U6556">
        <v>0</v>
      </c>
      <c r="V6556">
        <v>0</v>
      </c>
      <c r="W6556">
        <v>2</v>
      </c>
      <c r="X6556" s="21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f t="shared" si="112"/>
        <v>192</v>
      </c>
      <c r="AP6556" t="s">
        <v>1915</v>
      </c>
    </row>
    <row r="6557" spans="1:42">
      <c r="A6557" s="1">
        <v>43833</v>
      </c>
      <c r="B6557">
        <v>5</v>
      </c>
      <c r="C6557">
        <v>984</v>
      </c>
      <c r="D6557">
        <v>10425</v>
      </c>
      <c r="E6557" t="s">
        <v>37</v>
      </c>
      <c r="F6557" t="s">
        <v>520</v>
      </c>
      <c r="G6557">
        <v>2</v>
      </c>
      <c r="H6557">
        <v>18</v>
      </c>
      <c r="I6557" s="25" t="s">
        <v>2015</v>
      </c>
      <c r="K6557" t="s">
        <v>631</v>
      </c>
      <c r="L6557" t="s">
        <v>114</v>
      </c>
      <c r="M6557" t="s">
        <v>52</v>
      </c>
      <c r="N6557" t="s">
        <v>44</v>
      </c>
      <c r="O6557">
        <f>60+60+60+21</f>
        <v>201</v>
      </c>
      <c r="Q6557">
        <f t="shared" si="111"/>
        <v>4</v>
      </c>
      <c r="R6557">
        <v>1</v>
      </c>
      <c r="S6557">
        <v>0</v>
      </c>
      <c r="T6557">
        <v>0</v>
      </c>
      <c r="U6557">
        <v>0</v>
      </c>
      <c r="V6557">
        <v>0</v>
      </c>
      <c r="W6557">
        <v>4</v>
      </c>
      <c r="X6557" s="21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1</v>
      </c>
      <c r="AG6557">
        <v>0</v>
      </c>
      <c r="AH6557">
        <f t="shared" si="112"/>
        <v>384</v>
      </c>
      <c r="AP6557" t="s">
        <v>1915</v>
      </c>
    </row>
    <row r="6558" spans="1:42">
      <c r="A6558" s="1">
        <v>43833</v>
      </c>
      <c r="B6558">
        <v>5</v>
      </c>
      <c r="C6558">
        <v>984</v>
      </c>
      <c r="D6558">
        <v>10425</v>
      </c>
      <c r="E6558" t="s">
        <v>37</v>
      </c>
      <c r="F6558" t="s">
        <v>520</v>
      </c>
      <c r="G6558">
        <v>2</v>
      </c>
      <c r="H6558">
        <v>19</v>
      </c>
      <c r="I6558" s="25">
        <v>2003</v>
      </c>
      <c r="K6558" t="s">
        <v>631</v>
      </c>
      <c r="L6558" t="s">
        <v>141</v>
      </c>
      <c r="M6558" t="s">
        <v>52</v>
      </c>
      <c r="N6558" t="s">
        <v>44</v>
      </c>
      <c r="O6558">
        <f>60+51</f>
        <v>111</v>
      </c>
      <c r="Q6558">
        <f t="shared" si="111"/>
        <v>1</v>
      </c>
      <c r="R6558">
        <v>1</v>
      </c>
      <c r="S6558">
        <v>0</v>
      </c>
      <c r="T6558">
        <v>0</v>
      </c>
      <c r="U6558">
        <v>0</v>
      </c>
      <c r="V6558">
        <v>0</v>
      </c>
      <c r="W6558">
        <v>1</v>
      </c>
      <c r="X6558" s="21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f t="shared" si="112"/>
        <v>96</v>
      </c>
      <c r="AL6558" t="s">
        <v>1941</v>
      </c>
      <c r="AP6558" t="s">
        <v>1915</v>
      </c>
    </row>
    <row r="6559" spans="1:42">
      <c r="A6559" s="1">
        <v>43833</v>
      </c>
      <c r="B6559">
        <v>5</v>
      </c>
      <c r="C6559">
        <v>984</v>
      </c>
      <c r="D6559">
        <v>10425</v>
      </c>
      <c r="E6559" t="s">
        <v>37</v>
      </c>
      <c r="F6559" t="s">
        <v>520</v>
      </c>
      <c r="G6559">
        <v>2</v>
      </c>
      <c r="H6559">
        <v>20</v>
      </c>
      <c r="I6559" s="25">
        <v>2000</v>
      </c>
      <c r="K6559" t="s">
        <v>631</v>
      </c>
      <c r="L6559" t="s">
        <v>114</v>
      </c>
      <c r="M6559" t="s">
        <v>52</v>
      </c>
      <c r="N6559" t="s">
        <v>44</v>
      </c>
      <c r="O6559">
        <f>60+38</f>
        <v>98</v>
      </c>
      <c r="Q6559">
        <f t="shared" si="111"/>
        <v>2</v>
      </c>
      <c r="R6559">
        <v>1</v>
      </c>
      <c r="S6559">
        <v>0</v>
      </c>
      <c r="T6559">
        <v>0</v>
      </c>
      <c r="U6559">
        <v>0</v>
      </c>
      <c r="V6559">
        <v>0</v>
      </c>
      <c r="W6559">
        <v>2</v>
      </c>
      <c r="X6559" s="21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f t="shared" si="112"/>
        <v>192</v>
      </c>
      <c r="AP6559" t="s">
        <v>1915</v>
      </c>
    </row>
    <row r="6560" spans="1:42">
      <c r="A6560" s="1">
        <v>43833</v>
      </c>
      <c r="B6560">
        <v>5</v>
      </c>
      <c r="C6560">
        <v>984</v>
      </c>
      <c r="D6560">
        <v>10425</v>
      </c>
      <c r="E6560" t="s">
        <v>37</v>
      </c>
      <c r="F6560" t="s">
        <v>520</v>
      </c>
      <c r="G6560">
        <v>2</v>
      </c>
      <c r="H6560">
        <v>21</v>
      </c>
      <c r="I6560" s="25">
        <v>2100</v>
      </c>
      <c r="K6560" t="s">
        <v>631</v>
      </c>
      <c r="M6560" t="s">
        <v>52</v>
      </c>
      <c r="N6560" t="s">
        <v>40</v>
      </c>
      <c r="O6560">
        <v>60</v>
      </c>
      <c r="Q6560">
        <f t="shared" si="111"/>
        <v>1</v>
      </c>
      <c r="R6560">
        <v>1</v>
      </c>
      <c r="S6560">
        <v>0</v>
      </c>
      <c r="T6560">
        <v>0</v>
      </c>
      <c r="U6560">
        <v>0</v>
      </c>
      <c r="V6560">
        <v>0</v>
      </c>
      <c r="W6560">
        <v>1</v>
      </c>
      <c r="X6560" s="21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f t="shared" si="112"/>
        <v>96</v>
      </c>
      <c r="AP6560" t="s">
        <v>1915</v>
      </c>
    </row>
    <row r="6561" spans="1:42">
      <c r="A6561" s="1">
        <v>43833</v>
      </c>
      <c r="B6561">
        <v>5</v>
      </c>
      <c r="C6561">
        <v>984</v>
      </c>
      <c r="D6561">
        <v>10425</v>
      </c>
      <c r="E6561" t="s">
        <v>37</v>
      </c>
      <c r="F6561" t="s">
        <v>520</v>
      </c>
      <c r="G6561">
        <v>2</v>
      </c>
      <c r="H6561">
        <v>22</v>
      </c>
      <c r="I6561" s="25">
        <v>1800</v>
      </c>
      <c r="K6561" t="s">
        <v>605</v>
      </c>
      <c r="M6561" t="s">
        <v>52</v>
      </c>
      <c r="N6561" t="s">
        <v>44</v>
      </c>
      <c r="O6561">
        <f>60+60+60+60+60+23</f>
        <v>323</v>
      </c>
      <c r="Q6561">
        <f t="shared" si="111"/>
        <v>6</v>
      </c>
      <c r="R6561">
        <v>1</v>
      </c>
      <c r="S6561">
        <v>0</v>
      </c>
      <c r="T6561">
        <v>0</v>
      </c>
      <c r="U6561">
        <v>0</v>
      </c>
      <c r="V6561">
        <v>0</v>
      </c>
      <c r="W6561">
        <v>6</v>
      </c>
      <c r="X6561" s="2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f t="shared" si="112"/>
        <v>576</v>
      </c>
      <c r="AL6561" t="s">
        <v>2016</v>
      </c>
      <c r="AP6561" t="s">
        <v>1915</v>
      </c>
    </row>
    <row r="6562" spans="1:42">
      <c r="A6562" s="1">
        <v>43833</v>
      </c>
      <c r="B6562">
        <v>5</v>
      </c>
      <c r="C6562">
        <v>984</v>
      </c>
      <c r="D6562">
        <v>10425</v>
      </c>
      <c r="E6562" t="s">
        <v>37</v>
      </c>
      <c r="F6562" t="s">
        <v>520</v>
      </c>
      <c r="G6562">
        <v>2</v>
      </c>
      <c r="H6562">
        <v>23</v>
      </c>
      <c r="I6562" s="25">
        <v>2100</v>
      </c>
      <c r="K6562" t="s">
        <v>415</v>
      </c>
      <c r="M6562" t="s">
        <v>52</v>
      </c>
      <c r="N6562" t="s">
        <v>40</v>
      </c>
      <c r="O6562">
        <v>46</v>
      </c>
      <c r="Q6562">
        <f t="shared" si="111"/>
        <v>1</v>
      </c>
      <c r="R6562">
        <v>1</v>
      </c>
      <c r="S6562">
        <v>0</v>
      </c>
      <c r="T6562">
        <v>0</v>
      </c>
      <c r="U6562">
        <v>0</v>
      </c>
      <c r="V6562">
        <v>0</v>
      </c>
      <c r="W6562">
        <v>1</v>
      </c>
      <c r="X6562" s="21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f t="shared" si="112"/>
        <v>96</v>
      </c>
      <c r="AP6562" t="s">
        <v>1915</v>
      </c>
    </row>
    <row r="6563" spans="1:42">
      <c r="A6563" s="1">
        <v>43833</v>
      </c>
      <c r="B6563">
        <v>5</v>
      </c>
      <c r="C6563">
        <v>984</v>
      </c>
      <c r="D6563">
        <v>10425</v>
      </c>
      <c r="E6563" t="s">
        <v>37</v>
      </c>
      <c r="F6563" t="s">
        <v>520</v>
      </c>
      <c r="G6563">
        <v>2</v>
      </c>
      <c r="H6563">
        <v>24</v>
      </c>
      <c r="I6563" s="25">
        <v>2100</v>
      </c>
      <c r="K6563" t="s">
        <v>415</v>
      </c>
      <c r="M6563" t="s">
        <v>52</v>
      </c>
      <c r="N6563" t="s">
        <v>40</v>
      </c>
      <c r="O6563">
        <f>60+23</f>
        <v>83</v>
      </c>
      <c r="Q6563">
        <f t="shared" si="111"/>
        <v>1</v>
      </c>
      <c r="R6563">
        <v>1</v>
      </c>
      <c r="S6563">
        <v>0</v>
      </c>
      <c r="T6563">
        <v>0</v>
      </c>
      <c r="U6563">
        <v>0</v>
      </c>
      <c r="V6563">
        <v>0</v>
      </c>
      <c r="W6563">
        <v>1</v>
      </c>
      <c r="X6563" s="21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f t="shared" si="112"/>
        <v>96</v>
      </c>
      <c r="AP6563" t="s">
        <v>1915</v>
      </c>
    </row>
    <row r="6564" spans="1:42">
      <c r="A6564" s="1">
        <v>43833</v>
      </c>
      <c r="B6564">
        <v>5</v>
      </c>
      <c r="C6564">
        <v>984</v>
      </c>
      <c r="D6564">
        <v>10425</v>
      </c>
      <c r="E6564" t="s">
        <v>37</v>
      </c>
      <c r="F6564" t="s">
        <v>520</v>
      </c>
      <c r="G6564">
        <v>2</v>
      </c>
      <c r="H6564">
        <v>25</v>
      </c>
      <c r="I6564" s="25">
        <v>1735</v>
      </c>
      <c r="K6564" t="s">
        <v>415</v>
      </c>
      <c r="L6564" t="s">
        <v>141</v>
      </c>
      <c r="M6564" t="s">
        <v>52</v>
      </c>
      <c r="N6564" t="s">
        <v>44</v>
      </c>
      <c r="O6564">
        <f>60+60+60+60+57</f>
        <v>297</v>
      </c>
      <c r="Q6564">
        <f t="shared" si="111"/>
        <v>6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6</v>
      </c>
      <c r="X6564" s="21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f t="shared" si="112"/>
        <v>576</v>
      </c>
      <c r="AP6564" t="s">
        <v>1915</v>
      </c>
    </row>
    <row r="6565" spans="1:42">
      <c r="A6565" s="1">
        <v>43833</v>
      </c>
      <c r="B6565">
        <v>5</v>
      </c>
      <c r="C6565">
        <v>984</v>
      </c>
      <c r="D6565">
        <v>10425</v>
      </c>
      <c r="E6565" t="s">
        <v>37</v>
      </c>
      <c r="F6565" t="s">
        <v>520</v>
      </c>
      <c r="G6565">
        <v>2</v>
      </c>
      <c r="H6565">
        <v>26</v>
      </c>
      <c r="I6565" s="25">
        <v>1800</v>
      </c>
      <c r="K6565" t="s">
        <v>62</v>
      </c>
      <c r="M6565" t="s">
        <v>52</v>
      </c>
      <c r="N6565" t="s">
        <v>44</v>
      </c>
      <c r="O6565">
        <f>60+60+42</f>
        <v>162</v>
      </c>
      <c r="Q6565">
        <f t="shared" si="111"/>
        <v>2</v>
      </c>
      <c r="R6565">
        <v>1</v>
      </c>
      <c r="S6565">
        <v>0</v>
      </c>
      <c r="T6565">
        <v>0</v>
      </c>
      <c r="U6565">
        <v>0</v>
      </c>
      <c r="V6565">
        <v>0</v>
      </c>
      <c r="W6565">
        <v>2</v>
      </c>
      <c r="X6565" s="21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f t="shared" si="112"/>
        <v>192</v>
      </c>
      <c r="AP6565" t="s">
        <v>1915</v>
      </c>
    </row>
    <row r="6566" spans="1:42">
      <c r="A6566" s="1">
        <v>43833</v>
      </c>
      <c r="B6566">
        <v>5</v>
      </c>
      <c r="C6566">
        <v>984</v>
      </c>
      <c r="D6566">
        <v>10425</v>
      </c>
      <c r="E6566" t="s">
        <v>37</v>
      </c>
      <c r="F6566" t="s">
        <v>520</v>
      </c>
      <c r="G6566">
        <v>2</v>
      </c>
      <c r="H6566">
        <v>27</v>
      </c>
      <c r="I6566" s="25">
        <v>1840</v>
      </c>
      <c r="K6566" t="s">
        <v>62</v>
      </c>
      <c r="L6566" t="s">
        <v>114</v>
      </c>
      <c r="M6566" t="s">
        <v>52</v>
      </c>
      <c r="N6566" t="s">
        <v>44</v>
      </c>
      <c r="O6566">
        <f>60+29</f>
        <v>89</v>
      </c>
      <c r="Q6566">
        <f t="shared" si="111"/>
        <v>1</v>
      </c>
      <c r="R6566">
        <v>1</v>
      </c>
      <c r="S6566">
        <v>0</v>
      </c>
      <c r="T6566">
        <v>0</v>
      </c>
      <c r="U6566">
        <v>0</v>
      </c>
      <c r="V6566">
        <v>0</v>
      </c>
      <c r="W6566">
        <v>1</v>
      </c>
      <c r="X6566" s="21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f t="shared" si="112"/>
        <v>96</v>
      </c>
      <c r="AP6566" t="s">
        <v>1915</v>
      </c>
    </row>
    <row r="6567" spans="1:42">
      <c r="A6567" s="1">
        <v>43833</v>
      </c>
      <c r="B6567">
        <v>5</v>
      </c>
      <c r="C6567">
        <v>984</v>
      </c>
      <c r="D6567">
        <v>10425</v>
      </c>
      <c r="E6567" t="s">
        <v>37</v>
      </c>
      <c r="F6567" t="s">
        <v>520</v>
      </c>
      <c r="G6567">
        <v>2</v>
      </c>
      <c r="H6567">
        <v>28</v>
      </c>
      <c r="I6567" s="25">
        <v>1850</v>
      </c>
      <c r="K6567" t="s">
        <v>62</v>
      </c>
      <c r="L6567" t="s">
        <v>114</v>
      </c>
      <c r="M6567" t="s">
        <v>52</v>
      </c>
      <c r="N6567" t="s">
        <v>42</v>
      </c>
      <c r="O6567">
        <f>60+60+60+60+21</f>
        <v>261</v>
      </c>
      <c r="Q6567">
        <f t="shared" si="111"/>
        <v>5</v>
      </c>
      <c r="R6567">
        <v>1</v>
      </c>
      <c r="S6567">
        <v>0</v>
      </c>
      <c r="T6567">
        <v>0</v>
      </c>
      <c r="U6567">
        <v>0</v>
      </c>
      <c r="V6567">
        <v>0</v>
      </c>
      <c r="W6567">
        <v>5</v>
      </c>
      <c r="X6567" s="21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f t="shared" si="112"/>
        <v>480</v>
      </c>
      <c r="AP6567" t="s">
        <v>1915</v>
      </c>
    </row>
    <row r="6568" spans="1:42">
      <c r="A6568" s="1">
        <v>43833</v>
      </c>
      <c r="B6568">
        <v>5</v>
      </c>
      <c r="C6568">
        <v>984</v>
      </c>
      <c r="D6568">
        <v>10425</v>
      </c>
      <c r="E6568" t="s">
        <v>37</v>
      </c>
      <c r="F6568" t="s">
        <v>520</v>
      </c>
      <c r="G6568">
        <v>2</v>
      </c>
      <c r="H6568">
        <v>29</v>
      </c>
      <c r="I6568" s="25" t="s">
        <v>2017</v>
      </c>
      <c r="K6568" t="s">
        <v>62</v>
      </c>
      <c r="L6568" t="s">
        <v>141</v>
      </c>
      <c r="M6568" t="s">
        <v>52</v>
      </c>
      <c r="N6568" t="s">
        <v>44</v>
      </c>
      <c r="O6568">
        <f>60+60+0+60+60+2</f>
        <v>242</v>
      </c>
      <c r="Q6568">
        <f t="shared" si="111"/>
        <v>4</v>
      </c>
      <c r="R6568">
        <v>1</v>
      </c>
      <c r="S6568">
        <v>0</v>
      </c>
      <c r="T6568">
        <v>0</v>
      </c>
      <c r="U6568">
        <v>0</v>
      </c>
      <c r="V6568">
        <v>0</v>
      </c>
      <c r="W6568">
        <v>4</v>
      </c>
      <c r="X6568" s="21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f t="shared" si="112"/>
        <v>384</v>
      </c>
      <c r="AL6568" t="s">
        <v>1941</v>
      </c>
      <c r="AP6568" t="s">
        <v>1915</v>
      </c>
    </row>
    <row r="6569" spans="1:42">
      <c r="A6569" s="1">
        <v>43833</v>
      </c>
      <c r="B6569">
        <v>5</v>
      </c>
      <c r="C6569">
        <v>984</v>
      </c>
      <c r="D6569">
        <v>10425</v>
      </c>
      <c r="E6569" t="s">
        <v>37</v>
      </c>
      <c r="F6569" t="s">
        <v>520</v>
      </c>
      <c r="G6569">
        <v>2</v>
      </c>
      <c r="H6569">
        <v>30</v>
      </c>
      <c r="I6569" s="25">
        <v>1800</v>
      </c>
      <c r="K6569" t="s">
        <v>631</v>
      </c>
      <c r="M6569" t="s">
        <v>52</v>
      </c>
      <c r="N6569" t="s">
        <v>44</v>
      </c>
      <c r="O6569">
        <f>60+60+60+60+5</f>
        <v>245</v>
      </c>
      <c r="Q6569">
        <f t="shared" si="111"/>
        <v>3</v>
      </c>
      <c r="R6569">
        <v>1</v>
      </c>
      <c r="S6569">
        <v>0</v>
      </c>
      <c r="T6569">
        <v>0</v>
      </c>
      <c r="U6569">
        <v>0</v>
      </c>
      <c r="V6569">
        <v>0</v>
      </c>
      <c r="W6569">
        <v>3</v>
      </c>
      <c r="X6569" s="21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f t="shared" si="112"/>
        <v>288</v>
      </c>
      <c r="AL6569" t="s">
        <v>2018</v>
      </c>
      <c r="AP6569" t="s">
        <v>1915</v>
      </c>
    </row>
    <row r="6570" spans="1:42">
      <c r="A6570" s="1">
        <v>43833</v>
      </c>
      <c r="B6570">
        <v>5</v>
      </c>
      <c r="C6570">
        <v>984</v>
      </c>
      <c r="D6570">
        <v>10425</v>
      </c>
      <c r="E6570" t="s">
        <v>37</v>
      </c>
      <c r="F6570" t="s">
        <v>520</v>
      </c>
      <c r="G6570">
        <v>2</v>
      </c>
      <c r="H6570">
        <v>31</v>
      </c>
      <c r="I6570" s="25">
        <v>1900</v>
      </c>
      <c r="K6570" t="s">
        <v>62</v>
      </c>
      <c r="M6570" t="s">
        <v>52</v>
      </c>
      <c r="N6570" t="s">
        <v>44</v>
      </c>
      <c r="O6570">
        <f>60+60+5</f>
        <v>125</v>
      </c>
      <c r="Q6570">
        <f t="shared" si="111"/>
        <v>2</v>
      </c>
      <c r="R6570">
        <v>1</v>
      </c>
      <c r="S6570">
        <v>0</v>
      </c>
      <c r="T6570">
        <v>0</v>
      </c>
      <c r="U6570">
        <v>0</v>
      </c>
      <c r="V6570">
        <v>0</v>
      </c>
      <c r="W6570">
        <v>2</v>
      </c>
      <c r="X6570" s="21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f t="shared" si="112"/>
        <v>192</v>
      </c>
      <c r="AP6570" t="s">
        <v>1915</v>
      </c>
    </row>
    <row r="6571" spans="1:42">
      <c r="A6571" s="1">
        <v>43833</v>
      </c>
      <c r="B6571">
        <v>5</v>
      </c>
      <c r="C6571">
        <v>984</v>
      </c>
      <c r="D6571">
        <v>10425</v>
      </c>
      <c r="E6571" t="s">
        <v>37</v>
      </c>
      <c r="F6571" t="s">
        <v>520</v>
      </c>
      <c r="G6571">
        <v>2</v>
      </c>
      <c r="H6571">
        <v>32</v>
      </c>
      <c r="I6571" s="25" t="s">
        <v>2019</v>
      </c>
      <c r="K6571" t="s">
        <v>62</v>
      </c>
      <c r="L6571" t="s">
        <v>114</v>
      </c>
      <c r="M6571" t="s">
        <v>52</v>
      </c>
      <c r="N6571" t="s">
        <v>44</v>
      </c>
      <c r="O6571">
        <f>60+60+60+17</f>
        <v>197</v>
      </c>
      <c r="Q6571">
        <f t="shared" si="111"/>
        <v>3</v>
      </c>
      <c r="R6571">
        <v>1</v>
      </c>
      <c r="S6571">
        <v>0</v>
      </c>
      <c r="T6571">
        <v>0</v>
      </c>
      <c r="U6571">
        <v>0</v>
      </c>
      <c r="V6571">
        <v>0</v>
      </c>
      <c r="W6571">
        <v>3</v>
      </c>
      <c r="X6571" s="2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f t="shared" si="112"/>
        <v>288</v>
      </c>
      <c r="AP6571" t="s">
        <v>1915</v>
      </c>
    </row>
    <row r="6572" spans="1:42">
      <c r="A6572" s="1">
        <v>43833</v>
      </c>
      <c r="B6572">
        <v>5</v>
      </c>
      <c r="C6572">
        <v>984</v>
      </c>
      <c r="D6572">
        <v>10425</v>
      </c>
      <c r="E6572" t="s">
        <v>37</v>
      </c>
      <c r="F6572" t="s">
        <v>520</v>
      </c>
      <c r="G6572">
        <v>2</v>
      </c>
      <c r="H6572">
        <v>33</v>
      </c>
      <c r="I6572" s="25">
        <v>1909</v>
      </c>
      <c r="K6572" t="s">
        <v>62</v>
      </c>
      <c r="L6572" t="s">
        <v>141</v>
      </c>
      <c r="M6572" t="s">
        <v>52</v>
      </c>
      <c r="N6572" t="s">
        <v>44</v>
      </c>
      <c r="O6572">
        <f>60+60+60+32</f>
        <v>212</v>
      </c>
      <c r="Q6572">
        <f t="shared" si="111"/>
        <v>3</v>
      </c>
      <c r="R6572">
        <v>1</v>
      </c>
      <c r="S6572">
        <v>0</v>
      </c>
      <c r="T6572">
        <v>0</v>
      </c>
      <c r="U6572">
        <v>0</v>
      </c>
      <c r="V6572">
        <v>0</v>
      </c>
      <c r="W6572">
        <v>3</v>
      </c>
      <c r="X6572" s="21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f t="shared" si="112"/>
        <v>288</v>
      </c>
      <c r="AP6572" t="s">
        <v>1915</v>
      </c>
    </row>
    <row r="6573" spans="1:42">
      <c r="A6573" s="1">
        <v>43833</v>
      </c>
      <c r="B6573">
        <v>5</v>
      </c>
      <c r="C6573">
        <v>984</v>
      </c>
      <c r="D6573">
        <v>10425</v>
      </c>
      <c r="E6573" t="s">
        <v>37</v>
      </c>
      <c r="F6573" t="s">
        <v>520</v>
      </c>
      <c r="G6573">
        <v>2</v>
      </c>
      <c r="H6573">
        <v>34</v>
      </c>
      <c r="I6573" s="25" t="s">
        <v>2020</v>
      </c>
      <c r="K6573" t="s">
        <v>638</v>
      </c>
      <c r="L6573" t="s">
        <v>114</v>
      </c>
      <c r="M6573" t="s">
        <v>52</v>
      </c>
      <c r="N6573" t="s">
        <v>44</v>
      </c>
      <c r="O6573">
        <f>60+60+60+60+60+16</f>
        <v>316</v>
      </c>
      <c r="Q6573">
        <f t="shared" si="111"/>
        <v>4</v>
      </c>
      <c r="R6573">
        <v>1</v>
      </c>
      <c r="S6573">
        <v>0</v>
      </c>
      <c r="T6573">
        <v>0</v>
      </c>
      <c r="U6573">
        <v>0</v>
      </c>
      <c r="V6573">
        <v>0</v>
      </c>
      <c r="W6573">
        <v>4</v>
      </c>
      <c r="X6573" s="21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f t="shared" si="112"/>
        <v>384</v>
      </c>
      <c r="AL6573" t="s">
        <v>2021</v>
      </c>
      <c r="AP6573" t="s">
        <v>1915</v>
      </c>
    </row>
    <row r="6574" spans="1:42">
      <c r="A6574" s="1">
        <v>43833</v>
      </c>
      <c r="B6574">
        <v>5</v>
      </c>
      <c r="C6574">
        <v>984</v>
      </c>
      <c r="D6574">
        <v>10425</v>
      </c>
      <c r="E6574" t="s">
        <v>37</v>
      </c>
      <c r="F6574" t="s">
        <v>520</v>
      </c>
      <c r="G6574">
        <v>2</v>
      </c>
      <c r="H6574">
        <v>35</v>
      </c>
      <c r="I6574" s="25">
        <v>1925</v>
      </c>
      <c r="K6574" t="s">
        <v>638</v>
      </c>
      <c r="L6574" t="s">
        <v>141</v>
      </c>
      <c r="M6574" t="s">
        <v>52</v>
      </c>
      <c r="N6574" t="s">
        <v>44</v>
      </c>
      <c r="O6574">
        <f>60+60+10</f>
        <v>130</v>
      </c>
      <c r="Q6574">
        <f t="shared" si="111"/>
        <v>1</v>
      </c>
      <c r="R6574">
        <v>1</v>
      </c>
      <c r="S6574">
        <v>0</v>
      </c>
      <c r="T6574">
        <v>0</v>
      </c>
      <c r="U6574">
        <v>0</v>
      </c>
      <c r="V6574">
        <v>0</v>
      </c>
      <c r="W6574">
        <v>1</v>
      </c>
      <c r="X6574" s="21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f t="shared" si="112"/>
        <v>96</v>
      </c>
      <c r="AL6574" t="s">
        <v>587</v>
      </c>
      <c r="AP6574" t="s">
        <v>1915</v>
      </c>
    </row>
    <row r="6575" spans="1:42">
      <c r="A6575" s="1">
        <v>43833</v>
      </c>
      <c r="B6575">
        <v>5</v>
      </c>
      <c r="C6575">
        <v>984</v>
      </c>
      <c r="D6575">
        <v>10425</v>
      </c>
      <c r="E6575" t="s">
        <v>37</v>
      </c>
      <c r="F6575" t="s">
        <v>520</v>
      </c>
      <c r="G6575">
        <v>2</v>
      </c>
      <c r="H6575">
        <v>36</v>
      </c>
      <c r="I6575" s="25">
        <v>1950</v>
      </c>
      <c r="K6575" t="s">
        <v>638</v>
      </c>
      <c r="M6575" t="s">
        <v>52</v>
      </c>
      <c r="N6575" t="s">
        <v>44</v>
      </c>
      <c r="O6575">
        <f>60+60+32</f>
        <v>152</v>
      </c>
      <c r="Q6575">
        <f t="shared" si="111"/>
        <v>4</v>
      </c>
      <c r="R6575">
        <v>1</v>
      </c>
      <c r="S6575">
        <v>0</v>
      </c>
      <c r="T6575">
        <v>0</v>
      </c>
      <c r="U6575">
        <v>0</v>
      </c>
      <c r="V6575">
        <v>0</v>
      </c>
      <c r="W6575">
        <v>4</v>
      </c>
      <c r="X6575" s="21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f t="shared" si="112"/>
        <v>384</v>
      </c>
      <c r="AL6575" t="s">
        <v>2022</v>
      </c>
      <c r="AP6575" t="s">
        <v>1915</v>
      </c>
    </row>
    <row r="6576" spans="1:42">
      <c r="A6576" s="1">
        <v>43833</v>
      </c>
      <c r="B6576">
        <v>5</v>
      </c>
      <c r="C6576">
        <v>984</v>
      </c>
      <c r="D6576">
        <v>10425</v>
      </c>
      <c r="E6576" t="s">
        <v>37</v>
      </c>
      <c r="F6576" t="s">
        <v>520</v>
      </c>
      <c r="G6576">
        <v>2</v>
      </c>
      <c r="H6576">
        <v>37</v>
      </c>
      <c r="I6576" s="25">
        <v>1960</v>
      </c>
      <c r="K6576" t="s">
        <v>68</v>
      </c>
      <c r="M6576" t="s">
        <v>52</v>
      </c>
      <c r="N6576" t="s">
        <v>44</v>
      </c>
      <c r="O6576">
        <f>60+31</f>
        <v>91</v>
      </c>
      <c r="Q6576">
        <f t="shared" si="111"/>
        <v>1</v>
      </c>
      <c r="R6576">
        <v>1</v>
      </c>
      <c r="S6576">
        <v>0</v>
      </c>
      <c r="T6576">
        <v>0</v>
      </c>
      <c r="U6576">
        <v>0</v>
      </c>
      <c r="V6576">
        <v>0</v>
      </c>
      <c r="W6576">
        <v>1</v>
      </c>
      <c r="X6576" s="21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f t="shared" si="112"/>
        <v>96</v>
      </c>
      <c r="AP6576" t="s">
        <v>1915</v>
      </c>
    </row>
    <row r="6577" spans="1:42">
      <c r="A6577" s="1">
        <v>43833</v>
      </c>
      <c r="B6577">
        <v>5</v>
      </c>
      <c r="C6577">
        <v>984</v>
      </c>
      <c r="D6577">
        <v>10425</v>
      </c>
      <c r="E6577" t="s">
        <v>37</v>
      </c>
      <c r="F6577" t="s">
        <v>520</v>
      </c>
      <c r="G6577">
        <v>2</v>
      </c>
      <c r="H6577">
        <v>38</v>
      </c>
      <c r="I6577" s="25" t="s">
        <v>2023</v>
      </c>
      <c r="K6577" t="s">
        <v>68</v>
      </c>
      <c r="M6577" t="s">
        <v>95</v>
      </c>
      <c r="N6577" t="s">
        <v>44</v>
      </c>
      <c r="O6577">
        <f>60+60+60+60+19</f>
        <v>259</v>
      </c>
      <c r="Q6577">
        <f t="shared" si="111"/>
        <v>3</v>
      </c>
      <c r="R6577">
        <v>1</v>
      </c>
      <c r="S6577">
        <v>0</v>
      </c>
      <c r="T6577">
        <v>0</v>
      </c>
      <c r="U6577">
        <v>0</v>
      </c>
      <c r="V6577">
        <v>0</v>
      </c>
      <c r="W6577">
        <v>3</v>
      </c>
      <c r="X6577" s="21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f t="shared" si="112"/>
        <v>288</v>
      </c>
      <c r="AL6577" t="s">
        <v>2024</v>
      </c>
      <c r="AP6577" t="s">
        <v>1915</v>
      </c>
    </row>
    <row r="6578" spans="1:42">
      <c r="A6578" s="1">
        <v>43833</v>
      </c>
      <c r="B6578">
        <v>5</v>
      </c>
      <c r="C6578">
        <v>984</v>
      </c>
      <c r="D6578">
        <v>10425</v>
      </c>
      <c r="E6578" t="s">
        <v>37</v>
      </c>
      <c r="F6578" t="s">
        <v>520</v>
      </c>
      <c r="G6578">
        <v>2</v>
      </c>
      <c r="H6578">
        <v>39</v>
      </c>
      <c r="I6578" s="25">
        <v>1845</v>
      </c>
      <c r="K6578" t="s">
        <v>631</v>
      </c>
      <c r="L6578" t="s">
        <v>141</v>
      </c>
      <c r="M6578" t="s">
        <v>95</v>
      </c>
      <c r="N6578" t="s">
        <v>44</v>
      </c>
      <c r="O6578">
        <f>60+60+60+60+44</f>
        <v>284</v>
      </c>
      <c r="Q6578">
        <f t="shared" si="111"/>
        <v>4</v>
      </c>
      <c r="R6578">
        <v>1</v>
      </c>
      <c r="S6578">
        <v>0</v>
      </c>
      <c r="T6578">
        <v>0</v>
      </c>
      <c r="U6578">
        <v>0</v>
      </c>
      <c r="V6578">
        <v>0</v>
      </c>
      <c r="W6578">
        <v>4</v>
      </c>
      <c r="X6578" s="21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f t="shared" si="112"/>
        <v>384</v>
      </c>
      <c r="AL6578" t="s">
        <v>2025</v>
      </c>
      <c r="AP6578" t="s">
        <v>1915</v>
      </c>
    </row>
    <row r="6579" spans="1:42">
      <c r="A6579" s="1">
        <v>43833</v>
      </c>
      <c r="B6579">
        <v>5</v>
      </c>
      <c r="C6579">
        <v>984</v>
      </c>
      <c r="D6579">
        <v>10425</v>
      </c>
      <c r="E6579" t="s">
        <v>37</v>
      </c>
      <c r="F6579" t="s">
        <v>520</v>
      </c>
      <c r="G6579">
        <v>2</v>
      </c>
      <c r="H6579">
        <v>40</v>
      </c>
      <c r="I6579" s="25">
        <v>1856</v>
      </c>
      <c r="K6579" t="s">
        <v>631</v>
      </c>
      <c r="L6579" t="s">
        <v>141</v>
      </c>
      <c r="M6579" t="s">
        <v>52</v>
      </c>
      <c r="N6579" t="s">
        <v>44</v>
      </c>
      <c r="O6579">
        <f>60+18</f>
        <v>78</v>
      </c>
      <c r="Q6579">
        <f t="shared" si="111"/>
        <v>1</v>
      </c>
      <c r="R6579">
        <v>1</v>
      </c>
      <c r="S6579">
        <v>0</v>
      </c>
      <c r="T6579">
        <v>0</v>
      </c>
      <c r="U6579">
        <v>0</v>
      </c>
      <c r="V6579">
        <v>0</v>
      </c>
      <c r="W6579">
        <v>1</v>
      </c>
      <c r="X6579" s="21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f t="shared" si="112"/>
        <v>96</v>
      </c>
      <c r="AL6579" t="s">
        <v>2026</v>
      </c>
      <c r="AP6579" t="s">
        <v>1915</v>
      </c>
    </row>
    <row r="6580" spans="1:42">
      <c r="A6580" s="1">
        <v>43833</v>
      </c>
      <c r="B6580">
        <v>5</v>
      </c>
      <c r="C6580">
        <v>984</v>
      </c>
      <c r="D6580">
        <v>10425</v>
      </c>
      <c r="E6580" t="s">
        <v>37</v>
      </c>
      <c r="F6580" t="s">
        <v>520</v>
      </c>
      <c r="G6580">
        <v>2</v>
      </c>
      <c r="H6580">
        <v>41</v>
      </c>
      <c r="I6580" s="25">
        <v>1865</v>
      </c>
      <c r="K6580" t="s">
        <v>68</v>
      </c>
      <c r="L6580" t="s">
        <v>141</v>
      </c>
      <c r="M6580" t="s">
        <v>52</v>
      </c>
      <c r="N6580" t="s">
        <v>44</v>
      </c>
      <c r="O6580">
        <f>60+60+21</f>
        <v>141</v>
      </c>
      <c r="Q6580">
        <f t="shared" si="111"/>
        <v>1</v>
      </c>
      <c r="R6580">
        <v>1</v>
      </c>
      <c r="S6580">
        <v>0</v>
      </c>
      <c r="T6580">
        <v>0</v>
      </c>
      <c r="U6580">
        <v>0</v>
      </c>
      <c r="V6580">
        <v>0</v>
      </c>
      <c r="W6580">
        <v>1</v>
      </c>
      <c r="X6580" s="21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f t="shared" si="112"/>
        <v>96</v>
      </c>
      <c r="AL6580" t="s">
        <v>1937</v>
      </c>
      <c r="AP6580" t="s">
        <v>1915</v>
      </c>
    </row>
    <row r="6581" spans="1:42">
      <c r="A6581" s="1">
        <v>43833</v>
      </c>
      <c r="B6581">
        <v>5</v>
      </c>
      <c r="C6581">
        <v>984</v>
      </c>
      <c r="D6581">
        <v>10425</v>
      </c>
      <c r="E6581" t="s">
        <v>37</v>
      </c>
      <c r="F6581" t="s">
        <v>520</v>
      </c>
      <c r="G6581">
        <v>2</v>
      </c>
      <c r="H6581">
        <v>42</v>
      </c>
      <c r="I6581" s="25" t="s">
        <v>2027</v>
      </c>
      <c r="K6581" t="s">
        <v>68</v>
      </c>
      <c r="L6581" t="s">
        <v>114</v>
      </c>
      <c r="M6581" t="s">
        <v>52</v>
      </c>
      <c r="N6581" t="s">
        <v>44</v>
      </c>
      <c r="O6581">
        <f>60+60+60+10</f>
        <v>190</v>
      </c>
      <c r="Q6581">
        <f t="shared" si="111"/>
        <v>4</v>
      </c>
      <c r="R6581">
        <v>1</v>
      </c>
      <c r="S6581">
        <v>0</v>
      </c>
      <c r="T6581">
        <v>0</v>
      </c>
      <c r="U6581">
        <v>0</v>
      </c>
      <c r="V6581">
        <v>0</v>
      </c>
      <c r="W6581">
        <v>4</v>
      </c>
      <c r="X6581" s="2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f t="shared" si="112"/>
        <v>384</v>
      </c>
      <c r="AP6581" t="s">
        <v>1915</v>
      </c>
    </row>
    <row r="6582" spans="1:42">
      <c r="A6582" s="1">
        <v>43833</v>
      </c>
      <c r="B6582">
        <v>5</v>
      </c>
      <c r="C6582">
        <v>984</v>
      </c>
      <c r="D6582">
        <v>10425</v>
      </c>
      <c r="E6582" t="s">
        <v>37</v>
      </c>
      <c r="F6582" t="s">
        <v>520</v>
      </c>
      <c r="G6582">
        <v>2</v>
      </c>
      <c r="H6582">
        <v>43</v>
      </c>
      <c r="I6582" s="25" t="s">
        <v>2028</v>
      </c>
      <c r="K6582" t="s">
        <v>68</v>
      </c>
      <c r="L6582" t="s">
        <v>141</v>
      </c>
      <c r="M6582" t="s">
        <v>52</v>
      </c>
      <c r="N6582" t="s">
        <v>42</v>
      </c>
      <c r="O6582">
        <f>60+60+60+60+60+60+60+26</f>
        <v>446</v>
      </c>
      <c r="Q6582">
        <f t="shared" si="111"/>
        <v>11</v>
      </c>
      <c r="R6582">
        <v>1</v>
      </c>
      <c r="S6582">
        <v>0</v>
      </c>
      <c r="T6582">
        <v>0</v>
      </c>
      <c r="U6582">
        <v>0</v>
      </c>
      <c r="V6582">
        <v>0</v>
      </c>
      <c r="W6582">
        <v>11</v>
      </c>
      <c r="X6582" s="21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f t="shared" si="112"/>
        <v>1056</v>
      </c>
      <c r="AP6582" t="s">
        <v>1915</v>
      </c>
    </row>
    <row r="6583" spans="1:42">
      <c r="A6583" s="1">
        <v>43833</v>
      </c>
      <c r="B6583">
        <v>5</v>
      </c>
      <c r="C6583">
        <v>984</v>
      </c>
      <c r="D6583">
        <v>10425</v>
      </c>
      <c r="E6583" t="s">
        <v>37</v>
      </c>
      <c r="F6583" t="s">
        <v>520</v>
      </c>
      <c r="G6583">
        <v>2</v>
      </c>
      <c r="H6583">
        <v>44</v>
      </c>
      <c r="I6583" s="25">
        <v>1880</v>
      </c>
      <c r="K6583" t="s">
        <v>516</v>
      </c>
      <c r="M6583" t="s">
        <v>52</v>
      </c>
      <c r="N6583" t="s">
        <v>44</v>
      </c>
      <c r="O6583">
        <f>60+60+60+60+60+48</f>
        <v>348</v>
      </c>
      <c r="Q6583">
        <f t="shared" si="111"/>
        <v>4</v>
      </c>
      <c r="R6583">
        <v>1</v>
      </c>
      <c r="S6583">
        <v>0</v>
      </c>
      <c r="T6583">
        <v>0</v>
      </c>
      <c r="U6583">
        <v>0</v>
      </c>
      <c r="V6583">
        <v>0</v>
      </c>
      <c r="W6583">
        <v>4</v>
      </c>
      <c r="X6583" s="21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f t="shared" si="112"/>
        <v>384</v>
      </c>
      <c r="AP6583" t="s">
        <v>1915</v>
      </c>
    </row>
    <row r="6584" spans="1:42">
      <c r="A6584" s="1">
        <v>43833</v>
      </c>
      <c r="B6584">
        <v>5</v>
      </c>
      <c r="C6584">
        <v>984</v>
      </c>
      <c r="D6584">
        <v>10425</v>
      </c>
      <c r="E6584" t="s">
        <v>37</v>
      </c>
      <c r="F6584" t="s">
        <v>520</v>
      </c>
      <c r="G6584">
        <v>2</v>
      </c>
      <c r="H6584">
        <v>45</v>
      </c>
      <c r="I6584" s="25">
        <v>1900</v>
      </c>
      <c r="K6584" t="s">
        <v>647</v>
      </c>
      <c r="M6584" t="s">
        <v>52</v>
      </c>
      <c r="N6584" t="s">
        <v>44</v>
      </c>
      <c r="O6584">
        <f>60+60+60+60</f>
        <v>240</v>
      </c>
      <c r="Q6584">
        <f t="shared" si="111"/>
        <v>2</v>
      </c>
      <c r="R6584">
        <v>1</v>
      </c>
      <c r="S6584">
        <v>0</v>
      </c>
      <c r="T6584">
        <v>0</v>
      </c>
      <c r="U6584">
        <v>0</v>
      </c>
      <c r="V6584">
        <v>0</v>
      </c>
      <c r="W6584">
        <v>2</v>
      </c>
      <c r="X6584" s="21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f t="shared" si="112"/>
        <v>192</v>
      </c>
      <c r="AL6584" t="s">
        <v>2029</v>
      </c>
      <c r="AP6584" t="s">
        <v>1915</v>
      </c>
    </row>
    <row r="6585" spans="1:42">
      <c r="A6585" s="1">
        <v>43833</v>
      </c>
      <c r="B6585">
        <v>5</v>
      </c>
      <c r="C6585">
        <v>984</v>
      </c>
      <c r="D6585">
        <v>10425</v>
      </c>
      <c r="E6585" t="s">
        <v>37</v>
      </c>
      <c r="F6585" t="s">
        <v>520</v>
      </c>
      <c r="G6585">
        <v>2</v>
      </c>
      <c r="H6585">
        <v>46</v>
      </c>
      <c r="I6585" s="25">
        <v>2221</v>
      </c>
      <c r="K6585" t="s">
        <v>638</v>
      </c>
      <c r="L6585" t="s">
        <v>141</v>
      </c>
      <c r="M6585" t="s">
        <v>52</v>
      </c>
      <c r="N6585" t="s">
        <v>44</v>
      </c>
      <c r="O6585">
        <f>60+60+56</f>
        <v>176</v>
      </c>
      <c r="Q6585">
        <f t="shared" si="111"/>
        <v>2</v>
      </c>
      <c r="R6585">
        <v>1</v>
      </c>
      <c r="S6585">
        <v>0</v>
      </c>
      <c r="T6585">
        <v>0</v>
      </c>
      <c r="U6585">
        <v>0</v>
      </c>
      <c r="V6585">
        <v>0</v>
      </c>
      <c r="W6585">
        <v>2</v>
      </c>
      <c r="X6585" s="21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f t="shared" si="112"/>
        <v>192</v>
      </c>
      <c r="AL6585" t="s">
        <v>587</v>
      </c>
      <c r="AP6585" t="s">
        <v>1915</v>
      </c>
    </row>
    <row r="6586" spans="1:42">
      <c r="A6586" s="1">
        <v>43833</v>
      </c>
      <c r="B6586">
        <v>5</v>
      </c>
      <c r="C6586">
        <v>984</v>
      </c>
      <c r="D6586">
        <v>10425</v>
      </c>
      <c r="E6586" t="s">
        <v>37</v>
      </c>
      <c r="F6586" t="s">
        <v>520</v>
      </c>
      <c r="G6586">
        <v>2</v>
      </c>
      <c r="H6586">
        <v>47</v>
      </c>
      <c r="I6586" s="25">
        <v>1896</v>
      </c>
      <c r="K6586" t="s">
        <v>605</v>
      </c>
      <c r="L6586" t="s">
        <v>114</v>
      </c>
      <c r="M6586" t="s">
        <v>52</v>
      </c>
      <c r="N6586" t="s">
        <v>44</v>
      </c>
      <c r="O6586">
        <f>60+60+60+60+2</f>
        <v>242</v>
      </c>
      <c r="Q6586">
        <f t="shared" si="111"/>
        <v>4</v>
      </c>
      <c r="R6586">
        <v>1</v>
      </c>
      <c r="S6586">
        <v>0</v>
      </c>
      <c r="T6586">
        <v>0</v>
      </c>
      <c r="U6586">
        <v>0</v>
      </c>
      <c r="V6586">
        <v>0</v>
      </c>
      <c r="W6586">
        <v>4</v>
      </c>
      <c r="X6586" s="21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f t="shared" si="112"/>
        <v>384</v>
      </c>
      <c r="AL6586" t="s">
        <v>2029</v>
      </c>
      <c r="AP6586" t="s">
        <v>1915</v>
      </c>
    </row>
    <row r="6587" spans="1:42">
      <c r="A6587" s="1">
        <v>43833</v>
      </c>
      <c r="B6587">
        <v>5</v>
      </c>
      <c r="C6587">
        <v>984</v>
      </c>
      <c r="D6587">
        <v>10425</v>
      </c>
      <c r="E6587" t="s">
        <v>37</v>
      </c>
      <c r="F6587" t="s">
        <v>520</v>
      </c>
      <c r="G6587">
        <v>2</v>
      </c>
      <c r="H6587">
        <v>48</v>
      </c>
      <c r="I6587" s="25" t="s">
        <v>2030</v>
      </c>
      <c r="K6587" t="s">
        <v>605</v>
      </c>
      <c r="M6587" t="s">
        <v>95</v>
      </c>
      <c r="N6587" t="s">
        <v>44</v>
      </c>
      <c r="O6587">
        <f>60+60+60+60+25</f>
        <v>265</v>
      </c>
      <c r="Q6587">
        <f t="shared" si="111"/>
        <v>4</v>
      </c>
      <c r="R6587">
        <v>1</v>
      </c>
      <c r="S6587">
        <v>0</v>
      </c>
      <c r="T6587">
        <v>0</v>
      </c>
      <c r="U6587">
        <v>0</v>
      </c>
      <c r="V6587">
        <v>0</v>
      </c>
      <c r="W6587">
        <v>4</v>
      </c>
      <c r="X6587" s="21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f t="shared" si="112"/>
        <v>384</v>
      </c>
      <c r="AP6587" t="s">
        <v>1915</v>
      </c>
    </row>
    <row r="6588" spans="1:42">
      <c r="A6588" s="1">
        <v>43833</v>
      </c>
      <c r="B6588">
        <v>5</v>
      </c>
      <c r="C6588">
        <v>984</v>
      </c>
      <c r="D6588">
        <v>10425</v>
      </c>
      <c r="E6588" t="s">
        <v>37</v>
      </c>
      <c r="F6588" t="s">
        <v>520</v>
      </c>
      <c r="G6588">
        <v>2</v>
      </c>
      <c r="H6588">
        <v>49</v>
      </c>
      <c r="I6588" s="25">
        <v>1770</v>
      </c>
      <c r="K6588" t="s">
        <v>605</v>
      </c>
      <c r="L6588" t="s">
        <v>114</v>
      </c>
      <c r="M6588" t="s">
        <v>52</v>
      </c>
      <c r="N6588" t="s">
        <v>44</v>
      </c>
      <c r="O6588">
        <f>60+60+60+6</f>
        <v>186</v>
      </c>
      <c r="Q6588">
        <f t="shared" si="111"/>
        <v>2</v>
      </c>
      <c r="R6588">
        <v>1</v>
      </c>
      <c r="S6588">
        <v>0</v>
      </c>
      <c r="T6588">
        <v>0</v>
      </c>
      <c r="U6588">
        <v>0</v>
      </c>
      <c r="V6588">
        <v>0</v>
      </c>
      <c r="W6588">
        <v>2</v>
      </c>
      <c r="X6588" s="21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f t="shared" si="112"/>
        <v>192</v>
      </c>
      <c r="AL6588" t="s">
        <v>1956</v>
      </c>
      <c r="AP6588" t="s">
        <v>1915</v>
      </c>
    </row>
    <row r="6589" spans="1:42">
      <c r="A6589" s="1">
        <v>43833</v>
      </c>
      <c r="B6589">
        <v>5</v>
      </c>
      <c r="C6589">
        <v>984</v>
      </c>
      <c r="D6589">
        <v>10425</v>
      </c>
      <c r="E6589" t="s">
        <v>37</v>
      </c>
      <c r="F6589" t="s">
        <v>520</v>
      </c>
      <c r="G6589">
        <v>2</v>
      </c>
      <c r="H6589">
        <v>50</v>
      </c>
      <c r="I6589" s="25" t="s">
        <v>2031</v>
      </c>
      <c r="K6589" t="s">
        <v>605</v>
      </c>
      <c r="L6589" t="s">
        <v>141</v>
      </c>
      <c r="M6589" t="s">
        <v>52</v>
      </c>
      <c r="N6589" t="s">
        <v>44</v>
      </c>
      <c r="O6589">
        <f>60+60+60+7</f>
        <v>187</v>
      </c>
      <c r="Q6589">
        <f t="shared" si="111"/>
        <v>3</v>
      </c>
      <c r="R6589">
        <v>1</v>
      </c>
      <c r="S6589">
        <v>0</v>
      </c>
      <c r="T6589">
        <v>0</v>
      </c>
      <c r="U6589">
        <v>0</v>
      </c>
      <c r="V6589">
        <v>0</v>
      </c>
      <c r="W6589">
        <v>3</v>
      </c>
      <c r="X6589" s="21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f t="shared" si="112"/>
        <v>288</v>
      </c>
      <c r="AP6589" t="s">
        <v>1915</v>
      </c>
    </row>
    <row r="6590" spans="1:42">
      <c r="A6590" s="1">
        <v>43833</v>
      </c>
      <c r="B6590">
        <v>5</v>
      </c>
      <c r="C6590">
        <v>984</v>
      </c>
      <c r="D6590">
        <v>10425</v>
      </c>
      <c r="E6590" t="s">
        <v>37</v>
      </c>
      <c r="F6590" t="s">
        <v>520</v>
      </c>
      <c r="G6590">
        <v>2</v>
      </c>
      <c r="H6590">
        <v>51</v>
      </c>
      <c r="I6590" s="25" t="s">
        <v>2032</v>
      </c>
      <c r="K6590" t="s">
        <v>605</v>
      </c>
      <c r="M6590" t="s">
        <v>52</v>
      </c>
      <c r="N6590" t="s">
        <v>44</v>
      </c>
      <c r="O6590">
        <f>60+60+60+60+22</f>
        <v>262</v>
      </c>
      <c r="Q6590">
        <f t="shared" si="111"/>
        <v>2</v>
      </c>
      <c r="R6590">
        <v>1</v>
      </c>
      <c r="S6590">
        <v>0</v>
      </c>
      <c r="T6590">
        <v>0</v>
      </c>
      <c r="U6590">
        <v>0</v>
      </c>
      <c r="V6590">
        <v>0</v>
      </c>
      <c r="W6590">
        <v>2</v>
      </c>
      <c r="X6590" s="21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f t="shared" si="112"/>
        <v>192</v>
      </c>
      <c r="AL6590" t="s">
        <v>1956</v>
      </c>
      <c r="AP6590" t="s">
        <v>1915</v>
      </c>
    </row>
    <row r="6591" spans="1:42">
      <c r="A6591" s="1">
        <v>43833</v>
      </c>
      <c r="B6591">
        <v>5</v>
      </c>
      <c r="C6591">
        <v>984</v>
      </c>
      <c r="D6591">
        <v>10425</v>
      </c>
      <c r="E6591" t="s">
        <v>37</v>
      </c>
      <c r="F6591" t="s">
        <v>520</v>
      </c>
      <c r="G6591">
        <v>2</v>
      </c>
      <c r="H6591">
        <v>52</v>
      </c>
      <c r="I6591" s="25" t="s">
        <v>2033</v>
      </c>
      <c r="K6591" t="s">
        <v>605</v>
      </c>
      <c r="L6591" t="s">
        <v>141</v>
      </c>
      <c r="M6591" t="s">
        <v>52</v>
      </c>
      <c r="N6591" t="s">
        <v>44</v>
      </c>
      <c r="O6591">
        <f>60+60+60+60+60+60+25</f>
        <v>385</v>
      </c>
      <c r="Q6591">
        <f t="shared" si="111"/>
        <v>5</v>
      </c>
      <c r="R6591">
        <v>1</v>
      </c>
      <c r="S6591">
        <v>0</v>
      </c>
      <c r="T6591">
        <v>0</v>
      </c>
      <c r="U6591">
        <v>0</v>
      </c>
      <c r="V6591">
        <v>0</v>
      </c>
      <c r="W6591">
        <v>5</v>
      </c>
      <c r="X6591" s="2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f t="shared" si="112"/>
        <v>480</v>
      </c>
      <c r="AL6591" t="s">
        <v>587</v>
      </c>
      <c r="AP6591" t="s">
        <v>1915</v>
      </c>
    </row>
    <row r="6592" spans="1:42">
      <c r="A6592" s="1">
        <v>43833</v>
      </c>
      <c r="B6592">
        <v>5</v>
      </c>
      <c r="C6592">
        <v>984</v>
      </c>
      <c r="D6592">
        <v>10425</v>
      </c>
      <c r="E6592" t="s">
        <v>37</v>
      </c>
      <c r="F6592" t="s">
        <v>520</v>
      </c>
      <c r="G6592">
        <v>2</v>
      </c>
      <c r="H6592">
        <v>53</v>
      </c>
      <c r="I6592" s="25" t="s">
        <v>2034</v>
      </c>
      <c r="K6592" t="s">
        <v>595</v>
      </c>
      <c r="M6592" t="s">
        <v>52</v>
      </c>
      <c r="N6592" t="s">
        <v>44</v>
      </c>
      <c r="O6592">
        <f>60+60+60+60+60+10</f>
        <v>310</v>
      </c>
      <c r="Q6592">
        <f t="shared" ref="Q6592:Q6655" si="113">SUM(S6592:AE6592)</f>
        <v>4</v>
      </c>
      <c r="R6592">
        <v>1</v>
      </c>
      <c r="S6592">
        <v>0</v>
      </c>
      <c r="T6592">
        <v>0</v>
      </c>
      <c r="U6592">
        <v>0</v>
      </c>
      <c r="V6592">
        <v>0</v>
      </c>
      <c r="W6592">
        <v>4</v>
      </c>
      <c r="X6592" s="21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f t="shared" si="112"/>
        <v>384</v>
      </c>
      <c r="AL6592" t="s">
        <v>2035</v>
      </c>
      <c r="AP6592" t="s">
        <v>1915</v>
      </c>
    </row>
    <row r="6593" spans="1:42">
      <c r="A6593" s="1">
        <v>43833</v>
      </c>
      <c r="B6593">
        <v>5</v>
      </c>
      <c r="C6593">
        <v>984</v>
      </c>
      <c r="D6593">
        <v>10425</v>
      </c>
      <c r="E6593" t="s">
        <v>37</v>
      </c>
      <c r="F6593" t="s">
        <v>520</v>
      </c>
      <c r="G6593">
        <v>2</v>
      </c>
      <c r="H6593">
        <v>54</v>
      </c>
      <c r="I6593" s="25">
        <v>1889</v>
      </c>
      <c r="K6593" t="s">
        <v>185</v>
      </c>
      <c r="L6593" t="s">
        <v>141</v>
      </c>
      <c r="M6593" t="s">
        <v>52</v>
      </c>
      <c r="N6593" t="s">
        <v>44</v>
      </c>
      <c r="O6593">
        <f>60+60+56</f>
        <v>176</v>
      </c>
      <c r="Q6593">
        <f t="shared" si="113"/>
        <v>4</v>
      </c>
      <c r="R6593">
        <v>1</v>
      </c>
      <c r="S6593">
        <v>0</v>
      </c>
      <c r="T6593">
        <v>0</v>
      </c>
      <c r="U6593">
        <v>0</v>
      </c>
      <c r="V6593">
        <v>0</v>
      </c>
      <c r="W6593">
        <v>4</v>
      </c>
      <c r="X6593" s="21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f t="shared" si="112"/>
        <v>384</v>
      </c>
      <c r="AL6593" t="s">
        <v>2036</v>
      </c>
      <c r="AP6593" t="s">
        <v>1915</v>
      </c>
    </row>
    <row r="6594" spans="1:42">
      <c r="A6594" s="1">
        <v>43833</v>
      </c>
      <c r="B6594">
        <v>5</v>
      </c>
      <c r="C6594">
        <v>984</v>
      </c>
      <c r="D6594">
        <v>10425</v>
      </c>
      <c r="E6594" t="s">
        <v>37</v>
      </c>
      <c r="F6594" t="s">
        <v>520</v>
      </c>
      <c r="G6594">
        <v>2</v>
      </c>
      <c r="H6594">
        <v>55</v>
      </c>
      <c r="I6594" s="25" t="s">
        <v>2037</v>
      </c>
      <c r="K6594" t="s">
        <v>516</v>
      </c>
      <c r="M6594" t="s">
        <v>95</v>
      </c>
      <c r="N6594" t="s">
        <v>44</v>
      </c>
      <c r="O6594">
        <f>60+60+60+60+60+60+60+60+60+60+14</f>
        <v>614</v>
      </c>
      <c r="Q6594">
        <f t="shared" si="113"/>
        <v>8</v>
      </c>
      <c r="R6594">
        <v>1</v>
      </c>
      <c r="S6594">
        <v>0</v>
      </c>
      <c r="T6594">
        <v>0</v>
      </c>
      <c r="U6594">
        <v>0</v>
      </c>
      <c r="V6594">
        <v>0</v>
      </c>
      <c r="W6594">
        <v>8</v>
      </c>
      <c r="X6594" s="21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f t="shared" ref="AH6594:AH6657" si="114">(16*S6594)+(20*T6594)+(32*U6594)+(64*V6594)+(96*W6594)</f>
        <v>768</v>
      </c>
      <c r="AP6594" t="s">
        <v>1915</v>
      </c>
    </row>
    <row r="6595" spans="1:42">
      <c r="A6595" s="1">
        <v>43833</v>
      </c>
      <c r="B6595">
        <v>5</v>
      </c>
      <c r="C6595">
        <v>984</v>
      </c>
      <c r="D6595">
        <v>10425</v>
      </c>
      <c r="E6595" t="s">
        <v>37</v>
      </c>
      <c r="F6595" t="s">
        <v>520</v>
      </c>
      <c r="G6595">
        <v>2</v>
      </c>
      <c r="H6595">
        <v>56</v>
      </c>
      <c r="I6595" s="25">
        <v>1900</v>
      </c>
      <c r="K6595" t="s">
        <v>516</v>
      </c>
      <c r="L6595" t="s">
        <v>114</v>
      </c>
      <c r="M6595" t="s">
        <v>52</v>
      </c>
      <c r="N6595" t="s">
        <v>44</v>
      </c>
      <c r="O6595">
        <f>60+60+60+40</f>
        <v>220</v>
      </c>
      <c r="Q6595">
        <f t="shared" si="113"/>
        <v>4</v>
      </c>
      <c r="R6595">
        <v>1</v>
      </c>
      <c r="S6595">
        <v>0</v>
      </c>
      <c r="T6595">
        <v>0</v>
      </c>
      <c r="U6595">
        <v>0</v>
      </c>
      <c r="V6595">
        <v>0</v>
      </c>
      <c r="W6595">
        <v>4</v>
      </c>
      <c r="X6595" s="21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f t="shared" si="114"/>
        <v>384</v>
      </c>
      <c r="AP6595" t="s">
        <v>1915</v>
      </c>
    </row>
    <row r="6596" spans="1:42">
      <c r="A6596" s="1">
        <v>43833</v>
      </c>
      <c r="B6596">
        <v>5</v>
      </c>
      <c r="C6596">
        <v>984</v>
      </c>
      <c r="D6596">
        <v>10425</v>
      </c>
      <c r="E6596" t="s">
        <v>37</v>
      </c>
      <c r="F6596" t="s">
        <v>520</v>
      </c>
      <c r="G6596">
        <v>2</v>
      </c>
      <c r="H6596">
        <v>57</v>
      </c>
      <c r="I6596" s="25" t="s">
        <v>2038</v>
      </c>
      <c r="K6596" t="s">
        <v>516</v>
      </c>
      <c r="L6596" t="s">
        <v>114</v>
      </c>
      <c r="M6596" t="s">
        <v>52</v>
      </c>
      <c r="N6596" t="s">
        <v>44</v>
      </c>
      <c r="O6596">
        <f>60+60+60+60+60+60+60+57</f>
        <v>477</v>
      </c>
      <c r="Q6596">
        <f t="shared" si="113"/>
        <v>3</v>
      </c>
      <c r="R6596">
        <v>1</v>
      </c>
      <c r="S6596">
        <v>0</v>
      </c>
      <c r="T6596">
        <v>0</v>
      </c>
      <c r="U6596">
        <v>0</v>
      </c>
      <c r="V6596">
        <v>0</v>
      </c>
      <c r="W6596">
        <v>3</v>
      </c>
      <c r="X6596" s="21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1</v>
      </c>
      <c r="AG6596">
        <v>0</v>
      </c>
      <c r="AH6596">
        <f t="shared" si="114"/>
        <v>288</v>
      </c>
      <c r="AP6596" t="s">
        <v>1915</v>
      </c>
    </row>
    <row r="6597" spans="1:42">
      <c r="A6597" s="1">
        <v>43833</v>
      </c>
      <c r="B6597">
        <v>5</v>
      </c>
      <c r="C6597">
        <v>984</v>
      </c>
      <c r="D6597">
        <v>10425</v>
      </c>
      <c r="E6597" t="s">
        <v>37</v>
      </c>
      <c r="F6597" t="s">
        <v>520</v>
      </c>
      <c r="G6597">
        <v>2</v>
      </c>
      <c r="H6597">
        <v>58</v>
      </c>
      <c r="I6597" s="25">
        <v>1701</v>
      </c>
      <c r="K6597" t="s">
        <v>647</v>
      </c>
      <c r="L6597" t="s">
        <v>141</v>
      </c>
      <c r="M6597" t="s">
        <v>95</v>
      </c>
      <c r="N6597" t="s">
        <v>44</v>
      </c>
      <c r="O6597">
        <f>60+60+60+60+60+60+60+60+60+60+60+60+60+60+60+39</f>
        <v>939</v>
      </c>
      <c r="Q6597">
        <f t="shared" si="113"/>
        <v>11</v>
      </c>
      <c r="R6597">
        <v>1</v>
      </c>
      <c r="S6597">
        <v>0</v>
      </c>
      <c r="T6597">
        <v>0</v>
      </c>
      <c r="U6597">
        <v>0</v>
      </c>
      <c r="V6597">
        <v>0</v>
      </c>
      <c r="W6597">
        <v>11</v>
      </c>
      <c r="X6597" s="21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f t="shared" si="114"/>
        <v>1056</v>
      </c>
      <c r="AL6597" t="s">
        <v>587</v>
      </c>
      <c r="AP6597" t="s">
        <v>1915</v>
      </c>
    </row>
    <row r="6598" spans="1:42">
      <c r="A6598" s="1">
        <v>43833</v>
      </c>
      <c r="B6598">
        <v>5</v>
      </c>
      <c r="C6598">
        <v>984</v>
      </c>
      <c r="D6598">
        <v>10425</v>
      </c>
      <c r="E6598" t="s">
        <v>37</v>
      </c>
      <c r="F6598" t="s">
        <v>520</v>
      </c>
      <c r="G6598">
        <v>2</v>
      </c>
      <c r="H6598">
        <v>59</v>
      </c>
      <c r="I6598" s="25">
        <v>1737</v>
      </c>
      <c r="K6598" t="s">
        <v>647</v>
      </c>
      <c r="L6598" t="s">
        <v>141</v>
      </c>
      <c r="M6598" t="s">
        <v>52</v>
      </c>
      <c r="N6598" t="s">
        <v>44</v>
      </c>
      <c r="O6598">
        <f>60+60+60+60+10</f>
        <v>250</v>
      </c>
      <c r="Q6598">
        <f t="shared" si="113"/>
        <v>4</v>
      </c>
      <c r="R6598">
        <v>1</v>
      </c>
      <c r="S6598">
        <v>0</v>
      </c>
      <c r="T6598">
        <v>0</v>
      </c>
      <c r="U6598">
        <v>0</v>
      </c>
      <c r="V6598">
        <v>0</v>
      </c>
      <c r="W6598">
        <v>4</v>
      </c>
      <c r="X6598" s="21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f t="shared" si="114"/>
        <v>384</v>
      </c>
      <c r="AP6598" t="s">
        <v>1915</v>
      </c>
    </row>
    <row r="6599" spans="1:42">
      <c r="A6599" s="1">
        <v>43833</v>
      </c>
      <c r="B6599">
        <v>5</v>
      </c>
      <c r="C6599">
        <v>984</v>
      </c>
      <c r="D6599">
        <v>10425</v>
      </c>
      <c r="E6599" t="s">
        <v>37</v>
      </c>
      <c r="F6599" t="s">
        <v>520</v>
      </c>
      <c r="G6599">
        <v>2</v>
      </c>
      <c r="H6599">
        <v>60</v>
      </c>
      <c r="I6599" s="25">
        <v>1755</v>
      </c>
      <c r="K6599" t="s">
        <v>647</v>
      </c>
      <c r="L6599" t="s">
        <v>141</v>
      </c>
      <c r="M6599" t="s">
        <v>52</v>
      </c>
      <c r="N6599" t="s">
        <v>44</v>
      </c>
      <c r="O6599">
        <f>60+60+31</f>
        <v>151</v>
      </c>
      <c r="Q6599">
        <f t="shared" si="113"/>
        <v>2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2</v>
      </c>
      <c r="X6599" s="21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f t="shared" si="114"/>
        <v>192</v>
      </c>
      <c r="AL6599" t="s">
        <v>1937</v>
      </c>
      <c r="AP6599" t="s">
        <v>1915</v>
      </c>
    </row>
    <row r="6600" spans="1:42">
      <c r="A6600" s="1">
        <v>43833</v>
      </c>
      <c r="B6600">
        <v>5</v>
      </c>
      <c r="C6600">
        <v>984</v>
      </c>
      <c r="D6600">
        <v>10425</v>
      </c>
      <c r="E6600" t="s">
        <v>37</v>
      </c>
      <c r="F6600" t="s">
        <v>520</v>
      </c>
      <c r="G6600">
        <v>2</v>
      </c>
      <c r="H6600">
        <v>61</v>
      </c>
      <c r="I6600" s="25">
        <v>2090</v>
      </c>
      <c r="K6600" t="s">
        <v>631</v>
      </c>
      <c r="L6600" t="s">
        <v>114</v>
      </c>
      <c r="M6600" t="s">
        <v>52</v>
      </c>
      <c r="N6600" t="s">
        <v>40</v>
      </c>
      <c r="O6600">
        <f>60+60+60+60+60+60+17</f>
        <v>377</v>
      </c>
      <c r="Q6600">
        <f t="shared" si="113"/>
        <v>12</v>
      </c>
      <c r="R6600">
        <v>1</v>
      </c>
      <c r="S6600">
        <v>0</v>
      </c>
      <c r="T6600">
        <v>0</v>
      </c>
      <c r="U6600">
        <v>0</v>
      </c>
      <c r="V6600">
        <v>0</v>
      </c>
      <c r="W6600">
        <v>12</v>
      </c>
      <c r="X6600" s="21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f t="shared" si="114"/>
        <v>1152</v>
      </c>
      <c r="AP6600" t="s">
        <v>1915</v>
      </c>
    </row>
    <row r="6601" spans="1:42">
      <c r="A6601" s="1">
        <v>43833</v>
      </c>
      <c r="B6601">
        <v>5</v>
      </c>
      <c r="C6601">
        <v>984</v>
      </c>
      <c r="D6601">
        <v>10425</v>
      </c>
      <c r="E6601" t="s">
        <v>37</v>
      </c>
      <c r="F6601" t="s">
        <v>520</v>
      </c>
      <c r="G6601">
        <v>2</v>
      </c>
      <c r="H6601">
        <v>62</v>
      </c>
      <c r="I6601" s="25" t="s">
        <v>2039</v>
      </c>
      <c r="K6601" t="s">
        <v>647</v>
      </c>
      <c r="L6601" t="s">
        <v>114</v>
      </c>
      <c r="M6601" t="s">
        <v>52</v>
      </c>
      <c r="N6601" t="s">
        <v>42</v>
      </c>
      <c r="O6601">
        <f>60+60+60+56</f>
        <v>236</v>
      </c>
      <c r="Q6601">
        <f t="shared" si="113"/>
        <v>4</v>
      </c>
      <c r="R6601">
        <v>1</v>
      </c>
      <c r="S6601">
        <v>0</v>
      </c>
      <c r="T6601">
        <v>0</v>
      </c>
      <c r="U6601">
        <v>0</v>
      </c>
      <c r="V6601">
        <v>0</v>
      </c>
      <c r="W6601">
        <v>4</v>
      </c>
      <c r="X6601" s="2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f t="shared" si="114"/>
        <v>384</v>
      </c>
      <c r="AP6601" t="s">
        <v>1915</v>
      </c>
    </row>
    <row r="6602" spans="1:42">
      <c r="A6602" s="1">
        <v>43833</v>
      </c>
      <c r="B6602">
        <v>5</v>
      </c>
      <c r="C6602">
        <v>984</v>
      </c>
      <c r="D6602">
        <v>10425</v>
      </c>
      <c r="E6602" t="s">
        <v>37</v>
      </c>
      <c r="F6602" t="s">
        <v>520</v>
      </c>
      <c r="G6602">
        <v>2</v>
      </c>
      <c r="H6602">
        <v>63</v>
      </c>
      <c r="I6602" s="25" t="s">
        <v>2040</v>
      </c>
      <c r="K6602" t="s">
        <v>647</v>
      </c>
      <c r="L6602" t="s">
        <v>114</v>
      </c>
      <c r="M6602" t="s">
        <v>52</v>
      </c>
      <c r="N6602" t="s">
        <v>44</v>
      </c>
      <c r="O6602">
        <f>60+60+60+60+60+60+60+33</f>
        <v>453</v>
      </c>
      <c r="Q6602">
        <f t="shared" si="113"/>
        <v>5</v>
      </c>
      <c r="R6602">
        <v>1</v>
      </c>
      <c r="S6602">
        <v>0</v>
      </c>
      <c r="T6602">
        <v>0</v>
      </c>
      <c r="U6602">
        <v>0</v>
      </c>
      <c r="V6602">
        <v>0</v>
      </c>
      <c r="W6602">
        <v>5</v>
      </c>
      <c r="X6602" s="21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f t="shared" si="114"/>
        <v>480</v>
      </c>
      <c r="AL6602" t="s">
        <v>2041</v>
      </c>
      <c r="AP6602" t="s">
        <v>1915</v>
      </c>
    </row>
    <row r="6603" spans="1:42">
      <c r="A6603" s="1">
        <v>43833</v>
      </c>
      <c r="B6603">
        <v>5</v>
      </c>
      <c r="C6603">
        <v>984</v>
      </c>
      <c r="D6603">
        <v>10425</v>
      </c>
      <c r="E6603" t="s">
        <v>37</v>
      </c>
      <c r="F6603" t="s">
        <v>520</v>
      </c>
      <c r="G6603">
        <v>2</v>
      </c>
      <c r="H6603">
        <v>64</v>
      </c>
      <c r="I6603" s="25" t="s">
        <v>2042</v>
      </c>
      <c r="K6603" t="s">
        <v>647</v>
      </c>
      <c r="L6603" t="s">
        <v>114</v>
      </c>
      <c r="M6603" t="s">
        <v>52</v>
      </c>
      <c r="N6603" t="s">
        <v>44</v>
      </c>
      <c r="O6603">
        <f>60+60+60+60+60+60+60+23</f>
        <v>443</v>
      </c>
      <c r="Q6603">
        <f t="shared" si="113"/>
        <v>8</v>
      </c>
      <c r="R6603">
        <v>1</v>
      </c>
      <c r="S6603">
        <v>0</v>
      </c>
      <c r="T6603">
        <v>0</v>
      </c>
      <c r="U6603">
        <v>0</v>
      </c>
      <c r="V6603">
        <v>0</v>
      </c>
      <c r="W6603">
        <v>8</v>
      </c>
      <c r="X6603" s="21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f t="shared" si="114"/>
        <v>768</v>
      </c>
      <c r="AL6603" t="s">
        <v>2043</v>
      </c>
      <c r="AP6603" t="s">
        <v>1915</v>
      </c>
    </row>
    <row r="6604" spans="1:42">
      <c r="A6604" s="1">
        <v>43833</v>
      </c>
      <c r="B6604">
        <v>5</v>
      </c>
      <c r="C6604">
        <v>984</v>
      </c>
      <c r="D6604">
        <v>10425</v>
      </c>
      <c r="E6604" t="s">
        <v>37</v>
      </c>
      <c r="F6604" t="s">
        <v>520</v>
      </c>
      <c r="G6604">
        <v>2</v>
      </c>
      <c r="H6604">
        <v>65</v>
      </c>
      <c r="I6604" s="25">
        <v>1895</v>
      </c>
      <c r="K6604" t="s">
        <v>647</v>
      </c>
      <c r="L6604" t="s">
        <v>141</v>
      </c>
      <c r="M6604" t="s">
        <v>52</v>
      </c>
      <c r="N6604" t="s">
        <v>44</v>
      </c>
      <c r="O6604">
        <f>60+60+60+60+33</f>
        <v>273</v>
      </c>
      <c r="Q6604">
        <f t="shared" si="113"/>
        <v>4</v>
      </c>
      <c r="R6604">
        <v>1</v>
      </c>
      <c r="S6604">
        <v>0</v>
      </c>
      <c r="T6604">
        <v>0</v>
      </c>
      <c r="U6604">
        <v>0</v>
      </c>
      <c r="V6604">
        <v>0</v>
      </c>
      <c r="W6604">
        <v>4</v>
      </c>
      <c r="X6604" s="21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f t="shared" si="114"/>
        <v>384</v>
      </c>
      <c r="AP6604" t="s">
        <v>1915</v>
      </c>
    </row>
    <row r="6605" spans="1:42">
      <c r="A6605" s="1">
        <v>43833</v>
      </c>
      <c r="B6605">
        <v>5</v>
      </c>
      <c r="C6605">
        <v>984</v>
      </c>
      <c r="D6605">
        <v>10425</v>
      </c>
      <c r="E6605" t="s">
        <v>37</v>
      </c>
      <c r="F6605" t="s">
        <v>520</v>
      </c>
      <c r="G6605">
        <v>2</v>
      </c>
      <c r="H6605">
        <v>66</v>
      </c>
      <c r="I6605" s="25">
        <v>2110</v>
      </c>
      <c r="K6605" t="s">
        <v>647</v>
      </c>
      <c r="L6605" t="s">
        <v>114</v>
      </c>
      <c r="M6605" t="s">
        <v>52</v>
      </c>
      <c r="N6605" t="s">
        <v>44</v>
      </c>
      <c r="O6605">
        <f>60+60+14</f>
        <v>134</v>
      </c>
      <c r="Q6605">
        <f t="shared" si="113"/>
        <v>3</v>
      </c>
      <c r="R6605">
        <v>1</v>
      </c>
      <c r="S6605">
        <v>0</v>
      </c>
      <c r="T6605">
        <v>0</v>
      </c>
      <c r="U6605">
        <v>0</v>
      </c>
      <c r="V6605">
        <v>0</v>
      </c>
      <c r="W6605">
        <v>3</v>
      </c>
      <c r="X6605" s="21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f t="shared" si="114"/>
        <v>288</v>
      </c>
      <c r="AP6605" t="s">
        <v>1915</v>
      </c>
    </row>
    <row r="6606" spans="1:42">
      <c r="A6606" s="1">
        <v>43833</v>
      </c>
      <c r="B6606">
        <v>5</v>
      </c>
      <c r="C6606">
        <v>984</v>
      </c>
      <c r="D6606">
        <v>10425</v>
      </c>
      <c r="E6606" t="s">
        <v>37</v>
      </c>
      <c r="F6606" t="s">
        <v>520</v>
      </c>
      <c r="G6606">
        <v>2</v>
      </c>
      <c r="H6606">
        <v>67</v>
      </c>
      <c r="I6606" s="25">
        <v>2150</v>
      </c>
      <c r="K6606" t="s">
        <v>647</v>
      </c>
      <c r="L6606" t="s">
        <v>114</v>
      </c>
      <c r="M6606" t="s">
        <v>52</v>
      </c>
      <c r="N6606" t="s">
        <v>44</v>
      </c>
      <c r="O6606">
        <f>60+60+7</f>
        <v>127</v>
      </c>
      <c r="Q6606">
        <f t="shared" si="113"/>
        <v>2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2</v>
      </c>
      <c r="X6606" s="21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f t="shared" si="114"/>
        <v>192</v>
      </c>
      <c r="AP6606" t="s">
        <v>1915</v>
      </c>
    </row>
    <row r="6607" spans="1:42">
      <c r="A6607" s="1">
        <v>43833</v>
      </c>
      <c r="B6607">
        <v>5</v>
      </c>
      <c r="C6607">
        <v>984</v>
      </c>
      <c r="D6607">
        <v>10425</v>
      </c>
      <c r="E6607" t="s">
        <v>37</v>
      </c>
      <c r="F6607" t="s">
        <v>520</v>
      </c>
      <c r="G6607">
        <v>2</v>
      </c>
      <c r="H6607">
        <v>68</v>
      </c>
      <c r="I6607" s="25">
        <v>2155</v>
      </c>
      <c r="J6607" t="s">
        <v>2044</v>
      </c>
      <c r="K6607" t="s">
        <v>647</v>
      </c>
      <c r="L6607" t="s">
        <v>141</v>
      </c>
      <c r="M6607" t="s">
        <v>52</v>
      </c>
      <c r="N6607" t="s">
        <v>44</v>
      </c>
      <c r="O6607">
        <f>60+60+2</f>
        <v>122</v>
      </c>
      <c r="Q6607">
        <f t="shared" si="113"/>
        <v>1</v>
      </c>
      <c r="R6607">
        <v>1</v>
      </c>
      <c r="S6607">
        <v>0</v>
      </c>
      <c r="T6607">
        <v>0</v>
      </c>
      <c r="U6607">
        <v>0</v>
      </c>
      <c r="V6607">
        <v>0</v>
      </c>
      <c r="W6607">
        <v>1</v>
      </c>
      <c r="X6607" s="21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f t="shared" si="114"/>
        <v>96</v>
      </c>
      <c r="AP6607" t="s">
        <v>1915</v>
      </c>
    </row>
    <row r="6608" spans="1:42">
      <c r="A6608" s="1">
        <v>43833</v>
      </c>
      <c r="B6608">
        <v>5</v>
      </c>
      <c r="C6608">
        <v>984</v>
      </c>
      <c r="D6608">
        <v>10425</v>
      </c>
      <c r="E6608" t="s">
        <v>37</v>
      </c>
      <c r="F6608" t="s">
        <v>520</v>
      </c>
      <c r="G6608">
        <v>2</v>
      </c>
      <c r="H6608">
        <v>69</v>
      </c>
      <c r="I6608" s="25">
        <v>2170</v>
      </c>
      <c r="K6608" t="s">
        <v>647</v>
      </c>
      <c r="L6608" t="s">
        <v>114</v>
      </c>
      <c r="M6608" t="s">
        <v>95</v>
      </c>
      <c r="N6608" t="s">
        <v>40</v>
      </c>
      <c r="O6608">
        <f>60+50</f>
        <v>110</v>
      </c>
      <c r="Q6608">
        <f t="shared" si="113"/>
        <v>2</v>
      </c>
      <c r="R6608">
        <v>1</v>
      </c>
      <c r="S6608">
        <v>0</v>
      </c>
      <c r="T6608">
        <v>0</v>
      </c>
      <c r="U6608">
        <v>0</v>
      </c>
      <c r="V6608">
        <v>0</v>
      </c>
      <c r="W6608">
        <v>2</v>
      </c>
      <c r="X6608" s="21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f t="shared" si="114"/>
        <v>192</v>
      </c>
      <c r="AP6608" t="s">
        <v>1915</v>
      </c>
    </row>
    <row r="6609" spans="1:42">
      <c r="A6609" s="1">
        <v>43833</v>
      </c>
      <c r="B6609">
        <v>5</v>
      </c>
      <c r="C6609">
        <v>984</v>
      </c>
      <c r="D6609">
        <v>10425</v>
      </c>
      <c r="E6609" t="s">
        <v>37</v>
      </c>
      <c r="F6609" t="s">
        <v>520</v>
      </c>
      <c r="G6609">
        <v>2</v>
      </c>
      <c r="H6609">
        <v>70</v>
      </c>
      <c r="I6609" s="25" t="s">
        <v>2045</v>
      </c>
      <c r="K6609" t="s">
        <v>516</v>
      </c>
      <c r="L6609" t="s">
        <v>141</v>
      </c>
      <c r="M6609" t="s">
        <v>52</v>
      </c>
      <c r="N6609" t="s">
        <v>44</v>
      </c>
      <c r="O6609">
        <f>60+60+60+60+2</f>
        <v>242</v>
      </c>
      <c r="Q6609">
        <f t="shared" si="113"/>
        <v>3</v>
      </c>
      <c r="R6609">
        <v>1</v>
      </c>
      <c r="S6609">
        <v>0</v>
      </c>
      <c r="T6609">
        <v>0</v>
      </c>
      <c r="U6609">
        <v>0</v>
      </c>
      <c r="V6609">
        <v>0</v>
      </c>
      <c r="W6609">
        <v>3</v>
      </c>
      <c r="X6609" s="21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f t="shared" si="114"/>
        <v>288</v>
      </c>
      <c r="AP6609" t="s">
        <v>1915</v>
      </c>
    </row>
    <row r="6610" spans="1:42">
      <c r="A6610" s="1">
        <v>43833</v>
      </c>
      <c r="B6610">
        <v>5</v>
      </c>
      <c r="C6610">
        <v>984</v>
      </c>
      <c r="D6610">
        <v>10425</v>
      </c>
      <c r="E6610" t="s">
        <v>37</v>
      </c>
      <c r="F6610" t="s">
        <v>520</v>
      </c>
      <c r="G6610">
        <v>2</v>
      </c>
      <c r="H6610">
        <v>71</v>
      </c>
      <c r="I6610" s="25" t="s">
        <v>2046</v>
      </c>
      <c r="K6610" t="s">
        <v>516</v>
      </c>
      <c r="L6610" t="s">
        <v>11</v>
      </c>
      <c r="M6610" t="s">
        <v>52</v>
      </c>
      <c r="N6610" t="s">
        <v>44</v>
      </c>
      <c r="O6610">
        <f>60+60+60+59</f>
        <v>239</v>
      </c>
      <c r="Q6610">
        <f t="shared" si="113"/>
        <v>2</v>
      </c>
      <c r="R6610">
        <v>1</v>
      </c>
      <c r="S6610">
        <v>0</v>
      </c>
      <c r="T6610">
        <v>0</v>
      </c>
      <c r="U6610">
        <v>0</v>
      </c>
      <c r="V6610">
        <v>0</v>
      </c>
      <c r="W6610">
        <v>2</v>
      </c>
      <c r="X6610" s="21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f t="shared" si="114"/>
        <v>192</v>
      </c>
      <c r="AP6610" t="s">
        <v>1915</v>
      </c>
    </row>
    <row r="6611" spans="1:42">
      <c r="A6611" s="1">
        <v>43833</v>
      </c>
      <c r="B6611">
        <v>5</v>
      </c>
      <c r="C6611">
        <v>984</v>
      </c>
      <c r="D6611">
        <v>10425</v>
      </c>
      <c r="E6611" t="s">
        <v>37</v>
      </c>
      <c r="F6611" t="s">
        <v>520</v>
      </c>
      <c r="G6611">
        <v>2</v>
      </c>
      <c r="H6611">
        <v>72</v>
      </c>
      <c r="I6611" s="25">
        <v>2190</v>
      </c>
      <c r="K6611" t="s">
        <v>516</v>
      </c>
      <c r="L6611" t="s">
        <v>114</v>
      </c>
      <c r="M6611" t="s">
        <v>52</v>
      </c>
      <c r="N6611" t="s">
        <v>44</v>
      </c>
      <c r="O6611">
        <f>60+60+60+12</f>
        <v>192</v>
      </c>
      <c r="Q6611">
        <f t="shared" si="113"/>
        <v>4</v>
      </c>
      <c r="R6611">
        <v>1</v>
      </c>
      <c r="S6611">
        <v>0</v>
      </c>
      <c r="T6611">
        <v>0</v>
      </c>
      <c r="U6611">
        <v>0</v>
      </c>
      <c r="V6611">
        <v>0</v>
      </c>
      <c r="W6611">
        <v>4</v>
      </c>
      <c r="X6611" s="2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f t="shared" si="114"/>
        <v>384</v>
      </c>
      <c r="AP6611" t="s">
        <v>1915</v>
      </c>
    </row>
    <row r="6612" spans="1:42">
      <c r="A6612" s="1">
        <v>43833</v>
      </c>
      <c r="B6612">
        <v>5</v>
      </c>
      <c r="C6612">
        <v>984</v>
      </c>
      <c r="D6612">
        <v>10425</v>
      </c>
      <c r="E6612" t="s">
        <v>37</v>
      </c>
      <c r="F6612" t="s">
        <v>520</v>
      </c>
      <c r="G6612">
        <v>2</v>
      </c>
      <c r="H6612">
        <v>73</v>
      </c>
      <c r="I6612" s="25">
        <v>2095</v>
      </c>
      <c r="K6612" t="s">
        <v>647</v>
      </c>
      <c r="L6612" t="s">
        <v>141</v>
      </c>
      <c r="M6612" t="s">
        <v>52</v>
      </c>
      <c r="N6612" t="s">
        <v>44</v>
      </c>
      <c r="O6612">
        <f>60+60+21</f>
        <v>141</v>
      </c>
      <c r="Q6612">
        <f t="shared" si="113"/>
        <v>3</v>
      </c>
      <c r="R6612">
        <v>1</v>
      </c>
      <c r="S6612">
        <v>0</v>
      </c>
      <c r="T6612">
        <v>0</v>
      </c>
      <c r="U6612">
        <v>0</v>
      </c>
      <c r="V6612">
        <v>0</v>
      </c>
      <c r="W6612">
        <v>3</v>
      </c>
      <c r="X6612" s="21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f t="shared" si="114"/>
        <v>288</v>
      </c>
      <c r="AL6612" t="s">
        <v>2047</v>
      </c>
      <c r="AP6612" t="s">
        <v>1915</v>
      </c>
    </row>
    <row r="6613" spans="1:42">
      <c r="A6613" s="1">
        <v>43833</v>
      </c>
      <c r="B6613">
        <v>5</v>
      </c>
      <c r="C6613">
        <v>984</v>
      </c>
      <c r="D6613">
        <v>10425</v>
      </c>
      <c r="E6613" t="s">
        <v>37</v>
      </c>
      <c r="F6613" t="s">
        <v>520</v>
      </c>
      <c r="G6613">
        <v>2</v>
      </c>
      <c r="H6613">
        <v>74</v>
      </c>
      <c r="I6613" s="25">
        <v>2077</v>
      </c>
      <c r="K6613" t="s">
        <v>647</v>
      </c>
      <c r="L6613" t="s">
        <v>141</v>
      </c>
      <c r="M6613" t="s">
        <v>52</v>
      </c>
      <c r="N6613" t="s">
        <v>44</v>
      </c>
      <c r="O6613">
        <f>60+60+60+13</f>
        <v>193</v>
      </c>
      <c r="Q6613">
        <f t="shared" si="113"/>
        <v>4</v>
      </c>
      <c r="R6613">
        <v>1</v>
      </c>
      <c r="S6613">
        <v>0</v>
      </c>
      <c r="T6613">
        <v>0</v>
      </c>
      <c r="U6613">
        <v>0</v>
      </c>
      <c r="V6613">
        <v>0</v>
      </c>
      <c r="W6613">
        <v>4</v>
      </c>
      <c r="X6613" s="21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f t="shared" si="114"/>
        <v>384</v>
      </c>
      <c r="AL6613" t="s">
        <v>587</v>
      </c>
      <c r="AP6613" t="s">
        <v>1915</v>
      </c>
    </row>
    <row r="6614" spans="1:42">
      <c r="A6614" s="1">
        <v>43833</v>
      </c>
      <c r="B6614">
        <v>5</v>
      </c>
      <c r="C6614">
        <v>984</v>
      </c>
      <c r="D6614">
        <v>10425</v>
      </c>
      <c r="E6614" t="s">
        <v>37</v>
      </c>
      <c r="F6614" t="s">
        <v>520</v>
      </c>
      <c r="G6614">
        <v>2</v>
      </c>
      <c r="H6614">
        <v>75</v>
      </c>
      <c r="I6614" s="25">
        <v>2000</v>
      </c>
      <c r="K6614" t="s">
        <v>516</v>
      </c>
      <c r="L6614" t="s">
        <v>114</v>
      </c>
      <c r="M6614" t="s">
        <v>52</v>
      </c>
      <c r="N6614" t="s">
        <v>40</v>
      </c>
      <c r="O6614">
        <v>59</v>
      </c>
      <c r="Q6614">
        <f t="shared" si="113"/>
        <v>1</v>
      </c>
      <c r="R6614">
        <v>1</v>
      </c>
      <c r="S6614">
        <v>0</v>
      </c>
      <c r="T6614">
        <v>0</v>
      </c>
      <c r="U6614">
        <v>0</v>
      </c>
      <c r="V6614">
        <v>0</v>
      </c>
      <c r="W6614">
        <v>1</v>
      </c>
      <c r="X6614" s="21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f t="shared" si="114"/>
        <v>96</v>
      </c>
      <c r="AP6614" t="s">
        <v>1915</v>
      </c>
    </row>
    <row r="6615" spans="1:42">
      <c r="A6615" s="1">
        <v>43833</v>
      </c>
      <c r="B6615">
        <v>5</v>
      </c>
      <c r="C6615">
        <v>984</v>
      </c>
      <c r="D6615">
        <v>10425</v>
      </c>
      <c r="E6615" t="s">
        <v>37</v>
      </c>
      <c r="F6615" t="s">
        <v>520</v>
      </c>
      <c r="G6615">
        <v>2</v>
      </c>
      <c r="H6615">
        <v>76</v>
      </c>
      <c r="I6615" s="25">
        <v>2080</v>
      </c>
      <c r="K6615" t="s">
        <v>516</v>
      </c>
      <c r="L6615" t="s">
        <v>114</v>
      </c>
      <c r="M6615" t="s">
        <v>52</v>
      </c>
      <c r="N6615" t="s">
        <v>44</v>
      </c>
      <c r="O6615">
        <f>60+60+60+60+41</f>
        <v>281</v>
      </c>
      <c r="Q6615">
        <f t="shared" si="113"/>
        <v>3</v>
      </c>
      <c r="R6615">
        <v>1</v>
      </c>
      <c r="S6615">
        <v>0</v>
      </c>
      <c r="T6615">
        <v>0</v>
      </c>
      <c r="U6615">
        <v>0</v>
      </c>
      <c r="V6615">
        <v>0</v>
      </c>
      <c r="W6615">
        <v>3</v>
      </c>
      <c r="X6615" s="21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f t="shared" si="114"/>
        <v>288</v>
      </c>
      <c r="AP6615" t="s">
        <v>1915</v>
      </c>
    </row>
    <row r="6616" spans="1:42">
      <c r="A6616" s="1">
        <v>43833</v>
      </c>
      <c r="B6616">
        <v>5</v>
      </c>
      <c r="C6616">
        <v>984</v>
      </c>
      <c r="D6616">
        <v>10425</v>
      </c>
      <c r="E6616" t="s">
        <v>37</v>
      </c>
      <c r="F6616" t="s">
        <v>520</v>
      </c>
      <c r="G6616">
        <v>2</v>
      </c>
      <c r="H6616">
        <v>77</v>
      </c>
      <c r="I6616" s="25" t="s">
        <v>2048</v>
      </c>
      <c r="K6616" t="s">
        <v>588</v>
      </c>
      <c r="L6616" t="s">
        <v>141</v>
      </c>
      <c r="M6616" t="s">
        <v>95</v>
      </c>
      <c r="N6616" t="s">
        <v>42</v>
      </c>
      <c r="O6616">
        <f>60+60+60+60+34</f>
        <v>274</v>
      </c>
      <c r="Q6616">
        <f t="shared" si="113"/>
        <v>7</v>
      </c>
      <c r="R6616">
        <v>1</v>
      </c>
      <c r="S6616">
        <v>0</v>
      </c>
      <c r="T6616">
        <v>0</v>
      </c>
      <c r="U6616">
        <v>0</v>
      </c>
      <c r="V6616">
        <v>0</v>
      </c>
      <c r="W6616">
        <v>7</v>
      </c>
      <c r="X6616" s="21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f t="shared" si="114"/>
        <v>672</v>
      </c>
      <c r="AL6616" t="s">
        <v>2049</v>
      </c>
      <c r="AP6616" t="s">
        <v>1915</v>
      </c>
    </row>
    <row r="6617" spans="1:42">
      <c r="A6617" s="1">
        <v>43833</v>
      </c>
      <c r="B6617">
        <v>5</v>
      </c>
      <c r="C6617">
        <v>984</v>
      </c>
      <c r="D6617">
        <v>10425</v>
      </c>
      <c r="E6617" t="s">
        <v>37</v>
      </c>
      <c r="F6617" t="s">
        <v>520</v>
      </c>
      <c r="G6617">
        <v>2</v>
      </c>
      <c r="H6617">
        <v>78</v>
      </c>
      <c r="I6617" s="25">
        <v>2121</v>
      </c>
      <c r="K6617" t="s">
        <v>588</v>
      </c>
      <c r="L6617" t="s">
        <v>141</v>
      </c>
      <c r="M6617" t="s">
        <v>52</v>
      </c>
      <c r="N6617" t="s">
        <v>44</v>
      </c>
      <c r="O6617">
        <f>60+60+60+43</f>
        <v>223</v>
      </c>
      <c r="Q6617">
        <f t="shared" si="113"/>
        <v>4</v>
      </c>
      <c r="R6617">
        <v>1</v>
      </c>
      <c r="S6617">
        <v>0</v>
      </c>
      <c r="T6617">
        <v>0</v>
      </c>
      <c r="U6617">
        <v>0</v>
      </c>
      <c r="V6617">
        <v>0</v>
      </c>
      <c r="W6617">
        <v>4</v>
      </c>
      <c r="X6617" s="21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f t="shared" si="114"/>
        <v>384</v>
      </c>
      <c r="AP6617" t="s">
        <v>1915</v>
      </c>
    </row>
    <row r="6618" spans="1:42">
      <c r="A6618" s="1">
        <v>43833</v>
      </c>
      <c r="B6618">
        <v>5</v>
      </c>
      <c r="C6618">
        <v>984</v>
      </c>
      <c r="D6618">
        <v>10425</v>
      </c>
      <c r="E6618" t="s">
        <v>37</v>
      </c>
      <c r="F6618" t="s">
        <v>520</v>
      </c>
      <c r="G6618">
        <v>2</v>
      </c>
      <c r="H6618">
        <v>79</v>
      </c>
      <c r="I6618" s="25">
        <v>2200</v>
      </c>
      <c r="K6618" t="s">
        <v>62</v>
      </c>
      <c r="L6618" t="s">
        <v>114</v>
      </c>
      <c r="M6618" t="s">
        <v>52</v>
      </c>
      <c r="N6618" t="s">
        <v>44</v>
      </c>
      <c r="O6618">
        <f>60+60+60+60+11</f>
        <v>251</v>
      </c>
      <c r="Q6618">
        <f t="shared" si="113"/>
        <v>4</v>
      </c>
      <c r="R6618">
        <v>1</v>
      </c>
      <c r="S6618">
        <v>0</v>
      </c>
      <c r="T6618">
        <v>0</v>
      </c>
      <c r="U6618">
        <v>0</v>
      </c>
      <c r="V6618">
        <v>0</v>
      </c>
      <c r="W6618">
        <v>4</v>
      </c>
      <c r="X6618" s="21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f t="shared" si="114"/>
        <v>384</v>
      </c>
      <c r="AL6618" t="s">
        <v>587</v>
      </c>
      <c r="AP6618" t="s">
        <v>1915</v>
      </c>
    </row>
    <row r="6619" spans="1:42">
      <c r="A6619" s="1">
        <v>43833</v>
      </c>
      <c r="B6619">
        <v>5</v>
      </c>
      <c r="C6619">
        <v>984</v>
      </c>
      <c r="D6619">
        <v>10425</v>
      </c>
      <c r="E6619" t="s">
        <v>37</v>
      </c>
      <c r="F6619" t="s">
        <v>520</v>
      </c>
      <c r="G6619">
        <v>2</v>
      </c>
      <c r="H6619">
        <v>80</v>
      </c>
      <c r="I6619" s="25">
        <v>2040</v>
      </c>
      <c r="K6619" t="s">
        <v>588</v>
      </c>
      <c r="L6619" t="s">
        <v>114</v>
      </c>
      <c r="M6619" t="s">
        <v>95</v>
      </c>
      <c r="N6619" t="s">
        <v>44</v>
      </c>
      <c r="O6619">
        <f>60+60+60+60+35</f>
        <v>275</v>
      </c>
      <c r="Q6619">
        <f t="shared" si="113"/>
        <v>2</v>
      </c>
      <c r="R6619">
        <v>1</v>
      </c>
      <c r="S6619">
        <v>0</v>
      </c>
      <c r="T6619">
        <v>0</v>
      </c>
      <c r="U6619">
        <v>0</v>
      </c>
      <c r="V6619">
        <v>0</v>
      </c>
      <c r="W6619">
        <v>2</v>
      </c>
      <c r="X6619" s="21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f t="shared" si="114"/>
        <v>192</v>
      </c>
      <c r="AL6619" t="s">
        <v>1941</v>
      </c>
      <c r="AP6619" t="s">
        <v>1915</v>
      </c>
    </row>
    <row r="6620" spans="1:42">
      <c r="A6620" s="1">
        <v>43833</v>
      </c>
      <c r="B6620">
        <v>5</v>
      </c>
      <c r="C6620">
        <v>984</v>
      </c>
      <c r="D6620">
        <v>10425</v>
      </c>
      <c r="E6620" t="s">
        <v>37</v>
      </c>
      <c r="F6620" t="s">
        <v>520</v>
      </c>
      <c r="G6620">
        <v>2</v>
      </c>
      <c r="H6620">
        <v>81</v>
      </c>
      <c r="I6620" s="25">
        <v>2015</v>
      </c>
      <c r="K6620" t="s">
        <v>588</v>
      </c>
      <c r="L6620" t="s">
        <v>141</v>
      </c>
      <c r="M6620" t="s">
        <v>52</v>
      </c>
      <c r="N6620" t="s">
        <v>44</v>
      </c>
      <c r="O6620">
        <f>60+60+60+26</f>
        <v>206</v>
      </c>
      <c r="Q6620">
        <f t="shared" si="113"/>
        <v>2</v>
      </c>
      <c r="R6620">
        <v>1</v>
      </c>
      <c r="S6620">
        <v>0</v>
      </c>
      <c r="T6620">
        <v>0</v>
      </c>
      <c r="U6620">
        <v>0</v>
      </c>
      <c r="V6620">
        <v>0</v>
      </c>
      <c r="W6620">
        <v>2</v>
      </c>
      <c r="X6620" s="21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f t="shared" si="114"/>
        <v>192</v>
      </c>
      <c r="AP6620" t="s">
        <v>1915</v>
      </c>
    </row>
    <row r="6621" spans="1:42">
      <c r="A6621" s="1">
        <v>43833</v>
      </c>
      <c r="B6621">
        <v>5</v>
      </c>
      <c r="C6621">
        <v>984</v>
      </c>
      <c r="D6621">
        <v>10425</v>
      </c>
      <c r="E6621" t="s">
        <v>37</v>
      </c>
      <c r="F6621" t="s">
        <v>520</v>
      </c>
      <c r="G6621">
        <v>2</v>
      </c>
      <c r="H6621">
        <v>82</v>
      </c>
      <c r="I6621" s="25" t="s">
        <v>2050</v>
      </c>
      <c r="K6621" t="s">
        <v>56</v>
      </c>
      <c r="L6621" t="s">
        <v>114</v>
      </c>
      <c r="M6621" t="s">
        <v>52</v>
      </c>
      <c r="N6621" t="s">
        <v>44</v>
      </c>
      <c r="O6621">
        <f>60+60+60+60+60+60+60+43</f>
        <v>463</v>
      </c>
      <c r="Q6621">
        <f t="shared" si="113"/>
        <v>5</v>
      </c>
      <c r="R6621">
        <v>1</v>
      </c>
      <c r="S6621">
        <v>0</v>
      </c>
      <c r="T6621">
        <v>0</v>
      </c>
      <c r="U6621">
        <v>0</v>
      </c>
      <c r="V6621">
        <v>0</v>
      </c>
      <c r="W6621">
        <v>5</v>
      </c>
      <c r="X6621" s="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f t="shared" si="114"/>
        <v>480</v>
      </c>
      <c r="AL6621" t="s">
        <v>2051</v>
      </c>
      <c r="AP6621" t="s">
        <v>1915</v>
      </c>
    </row>
    <row r="6622" spans="1:42">
      <c r="A6622" s="1">
        <v>43833</v>
      </c>
      <c r="B6622">
        <v>5</v>
      </c>
      <c r="C6622">
        <v>984</v>
      </c>
      <c r="D6622">
        <v>10425</v>
      </c>
      <c r="E6622" t="s">
        <v>37</v>
      </c>
      <c r="F6622" t="s">
        <v>520</v>
      </c>
      <c r="G6622">
        <v>2</v>
      </c>
      <c r="H6622">
        <v>83</v>
      </c>
      <c r="I6622" s="25">
        <v>2174</v>
      </c>
      <c r="K6622" t="s">
        <v>56</v>
      </c>
      <c r="L6622" t="s">
        <v>114</v>
      </c>
      <c r="M6622" t="s">
        <v>52</v>
      </c>
      <c r="N6622" t="s">
        <v>44</v>
      </c>
      <c r="O6622">
        <f>60+33</f>
        <v>93</v>
      </c>
      <c r="Q6622">
        <f t="shared" si="113"/>
        <v>1</v>
      </c>
      <c r="R6622">
        <v>1</v>
      </c>
      <c r="S6622">
        <v>0</v>
      </c>
      <c r="T6622">
        <v>0</v>
      </c>
      <c r="U6622">
        <v>0</v>
      </c>
      <c r="V6622">
        <v>0</v>
      </c>
      <c r="W6622">
        <v>1</v>
      </c>
      <c r="X6622" s="21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f t="shared" si="114"/>
        <v>96</v>
      </c>
      <c r="AP6622" t="s">
        <v>1915</v>
      </c>
    </row>
    <row r="6623" spans="1:42">
      <c r="A6623" s="1">
        <v>43833</v>
      </c>
      <c r="B6623">
        <v>5</v>
      </c>
      <c r="C6623">
        <v>984</v>
      </c>
      <c r="D6623">
        <v>10425</v>
      </c>
      <c r="E6623" t="s">
        <v>37</v>
      </c>
      <c r="F6623" t="s">
        <v>520</v>
      </c>
      <c r="G6623">
        <v>2</v>
      </c>
      <c r="H6623">
        <v>84</v>
      </c>
      <c r="I6623" s="25">
        <v>2261</v>
      </c>
      <c r="K6623" t="s">
        <v>62</v>
      </c>
      <c r="L6623" t="s">
        <v>141</v>
      </c>
      <c r="M6623" t="s">
        <v>52</v>
      </c>
      <c r="N6623" t="s">
        <v>44</v>
      </c>
      <c r="O6623">
        <f>60+60+54</f>
        <v>174</v>
      </c>
      <c r="Q6623">
        <f t="shared" si="113"/>
        <v>2</v>
      </c>
      <c r="R6623">
        <v>1</v>
      </c>
      <c r="S6623">
        <v>0</v>
      </c>
      <c r="T6623">
        <v>0</v>
      </c>
      <c r="U6623">
        <v>0</v>
      </c>
      <c r="V6623">
        <v>0</v>
      </c>
      <c r="W6623">
        <v>2</v>
      </c>
      <c r="X6623" s="21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f t="shared" si="114"/>
        <v>192</v>
      </c>
      <c r="AL6623" t="s">
        <v>587</v>
      </c>
      <c r="AP6623" t="s">
        <v>1915</v>
      </c>
    </row>
    <row r="6624" spans="1:42">
      <c r="A6624" s="1">
        <v>43833</v>
      </c>
      <c r="B6624">
        <v>5</v>
      </c>
      <c r="C6624">
        <v>984</v>
      </c>
      <c r="D6624">
        <v>10425</v>
      </c>
      <c r="E6624" t="s">
        <v>37</v>
      </c>
      <c r="F6624" t="s">
        <v>520</v>
      </c>
      <c r="G6624">
        <v>2</v>
      </c>
      <c r="H6624">
        <v>85</v>
      </c>
      <c r="I6624" s="25">
        <v>2245</v>
      </c>
      <c r="K6624" t="s">
        <v>62</v>
      </c>
      <c r="L6624" t="s">
        <v>141</v>
      </c>
      <c r="M6624" t="s">
        <v>95</v>
      </c>
      <c r="N6624" t="s">
        <v>44</v>
      </c>
      <c r="O6624">
        <f>60+60+60+19</f>
        <v>199</v>
      </c>
      <c r="Q6624">
        <f t="shared" si="113"/>
        <v>1</v>
      </c>
      <c r="R6624">
        <v>1</v>
      </c>
      <c r="S6624">
        <v>0</v>
      </c>
      <c r="T6624">
        <v>0</v>
      </c>
      <c r="U6624">
        <v>0</v>
      </c>
      <c r="V6624">
        <v>0</v>
      </c>
      <c r="W6624">
        <v>1</v>
      </c>
      <c r="X6624" s="21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f t="shared" si="114"/>
        <v>96</v>
      </c>
      <c r="AL6624" t="s">
        <v>2051</v>
      </c>
      <c r="AP6624" t="s">
        <v>1915</v>
      </c>
    </row>
    <row r="6625" spans="1:42">
      <c r="A6625" s="1">
        <v>43833</v>
      </c>
      <c r="B6625">
        <v>5</v>
      </c>
      <c r="C6625">
        <v>984</v>
      </c>
      <c r="D6625">
        <v>10425</v>
      </c>
      <c r="E6625" t="s">
        <v>37</v>
      </c>
      <c r="F6625" t="s">
        <v>520</v>
      </c>
      <c r="G6625">
        <v>2</v>
      </c>
      <c r="H6625">
        <v>86</v>
      </c>
      <c r="I6625" s="25" t="s">
        <v>2052</v>
      </c>
      <c r="K6625" t="s">
        <v>62</v>
      </c>
      <c r="L6625" t="s">
        <v>141</v>
      </c>
      <c r="M6625" t="s">
        <v>52</v>
      </c>
      <c r="N6625" t="s">
        <v>44</v>
      </c>
      <c r="O6625">
        <f>60+60+60+60+60+60+32</f>
        <v>392</v>
      </c>
      <c r="Q6625">
        <f t="shared" si="113"/>
        <v>5</v>
      </c>
      <c r="R6625">
        <v>1</v>
      </c>
      <c r="S6625">
        <v>0</v>
      </c>
      <c r="T6625">
        <v>0</v>
      </c>
      <c r="U6625">
        <v>0</v>
      </c>
      <c r="V6625">
        <v>0</v>
      </c>
      <c r="W6625">
        <v>5</v>
      </c>
      <c r="X6625" s="21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f t="shared" si="114"/>
        <v>480</v>
      </c>
      <c r="AP6625" t="s">
        <v>1915</v>
      </c>
    </row>
    <row r="6626" spans="1:42">
      <c r="A6626" s="1">
        <v>43833</v>
      </c>
      <c r="B6626">
        <v>5</v>
      </c>
      <c r="C6626">
        <v>984</v>
      </c>
      <c r="D6626">
        <v>10425</v>
      </c>
      <c r="E6626" t="s">
        <v>37</v>
      </c>
      <c r="F6626" t="s">
        <v>520</v>
      </c>
      <c r="G6626">
        <v>2</v>
      </c>
      <c r="H6626">
        <v>87</v>
      </c>
      <c r="I6626" s="25">
        <v>2201</v>
      </c>
      <c r="K6626" t="s">
        <v>62</v>
      </c>
      <c r="L6626" t="s">
        <v>141</v>
      </c>
      <c r="M6626" t="s">
        <v>95</v>
      </c>
      <c r="N6626" t="s">
        <v>44</v>
      </c>
      <c r="O6626">
        <f>60+25</f>
        <v>85</v>
      </c>
      <c r="Q6626">
        <f t="shared" si="113"/>
        <v>1</v>
      </c>
      <c r="R6626">
        <v>1</v>
      </c>
      <c r="S6626">
        <v>0</v>
      </c>
      <c r="T6626">
        <v>0</v>
      </c>
      <c r="U6626">
        <v>0</v>
      </c>
      <c r="V6626">
        <v>0</v>
      </c>
      <c r="W6626">
        <v>1</v>
      </c>
      <c r="X6626" s="21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f t="shared" si="114"/>
        <v>96</v>
      </c>
      <c r="AL6626" t="s">
        <v>2053</v>
      </c>
      <c r="AP6626" t="s">
        <v>1915</v>
      </c>
    </row>
    <row r="6627" spans="1:42">
      <c r="A6627" s="1">
        <v>43833</v>
      </c>
      <c r="B6627">
        <v>5</v>
      </c>
      <c r="C6627">
        <v>984</v>
      </c>
      <c r="D6627">
        <v>10425</v>
      </c>
      <c r="E6627" t="s">
        <v>37</v>
      </c>
      <c r="F6627" t="s">
        <v>520</v>
      </c>
      <c r="G6627">
        <v>2</v>
      </c>
      <c r="H6627">
        <v>88</v>
      </c>
      <c r="I6627" s="25">
        <v>2195</v>
      </c>
      <c r="K6627" t="s">
        <v>62</v>
      </c>
      <c r="L6627" t="s">
        <v>141</v>
      </c>
      <c r="M6627" t="s">
        <v>52</v>
      </c>
      <c r="N6627" t="s">
        <v>44</v>
      </c>
      <c r="O6627">
        <f>60+49</f>
        <v>109</v>
      </c>
      <c r="Q6627">
        <f t="shared" si="113"/>
        <v>2</v>
      </c>
      <c r="R6627">
        <v>1</v>
      </c>
      <c r="S6627">
        <v>0</v>
      </c>
      <c r="T6627">
        <v>0</v>
      </c>
      <c r="U6627">
        <v>0</v>
      </c>
      <c r="V6627">
        <v>0</v>
      </c>
      <c r="W6627">
        <v>2</v>
      </c>
      <c r="X6627" s="21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f t="shared" si="114"/>
        <v>192</v>
      </c>
      <c r="AP6627" t="s">
        <v>1915</v>
      </c>
    </row>
    <row r="6628" spans="1:42">
      <c r="A6628" s="1">
        <v>43833</v>
      </c>
      <c r="B6628">
        <v>5</v>
      </c>
      <c r="C6628">
        <v>984</v>
      </c>
      <c r="D6628">
        <v>10425</v>
      </c>
      <c r="E6628" t="s">
        <v>37</v>
      </c>
      <c r="F6628" t="s">
        <v>520</v>
      </c>
      <c r="G6628">
        <v>2</v>
      </c>
      <c r="H6628">
        <v>89</v>
      </c>
      <c r="I6628" s="25" t="s">
        <v>2054</v>
      </c>
      <c r="K6628" t="s">
        <v>62</v>
      </c>
      <c r="L6628" t="s">
        <v>141</v>
      </c>
      <c r="M6628" t="s">
        <v>52</v>
      </c>
      <c r="N6628" t="s">
        <v>44</v>
      </c>
      <c r="O6628">
        <f>60+60+60+51</f>
        <v>231</v>
      </c>
      <c r="Q6628">
        <f t="shared" si="113"/>
        <v>4</v>
      </c>
      <c r="R6628">
        <v>1</v>
      </c>
      <c r="S6628">
        <v>0</v>
      </c>
      <c r="T6628">
        <v>0</v>
      </c>
      <c r="U6628">
        <v>0</v>
      </c>
      <c r="V6628">
        <v>0</v>
      </c>
      <c r="W6628">
        <v>4</v>
      </c>
      <c r="X6628" s="21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f t="shared" si="114"/>
        <v>384</v>
      </c>
      <c r="AL6628" t="s">
        <v>2055</v>
      </c>
      <c r="AP6628" t="s">
        <v>1915</v>
      </c>
    </row>
    <row r="6629" spans="1:42">
      <c r="A6629" s="1">
        <v>43833</v>
      </c>
      <c r="B6629">
        <v>5</v>
      </c>
      <c r="C6629">
        <v>984</v>
      </c>
      <c r="D6629">
        <v>10425</v>
      </c>
      <c r="E6629" t="s">
        <v>37</v>
      </c>
      <c r="F6629" t="s">
        <v>520</v>
      </c>
      <c r="G6629">
        <v>2</v>
      </c>
      <c r="H6629">
        <v>90</v>
      </c>
      <c r="I6629" s="25">
        <v>2135</v>
      </c>
      <c r="K6629" t="s">
        <v>62</v>
      </c>
      <c r="L6629" t="s">
        <v>141</v>
      </c>
      <c r="M6629" t="s">
        <v>52</v>
      </c>
      <c r="N6629" t="s">
        <v>44</v>
      </c>
      <c r="O6629">
        <f>60+60+37</f>
        <v>157</v>
      </c>
      <c r="Q6629">
        <f t="shared" si="113"/>
        <v>2</v>
      </c>
      <c r="R6629">
        <v>1</v>
      </c>
      <c r="S6629">
        <v>0</v>
      </c>
      <c r="T6629">
        <v>0</v>
      </c>
      <c r="U6629">
        <v>0</v>
      </c>
      <c r="V6629">
        <v>0</v>
      </c>
      <c r="W6629">
        <v>2</v>
      </c>
      <c r="X6629" s="21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f t="shared" si="114"/>
        <v>192</v>
      </c>
      <c r="AL6629" t="s">
        <v>1945</v>
      </c>
      <c r="AP6629" t="s">
        <v>1915</v>
      </c>
    </row>
    <row r="6630" spans="1:42">
      <c r="A6630" s="1">
        <v>43833</v>
      </c>
      <c r="B6630">
        <v>5</v>
      </c>
      <c r="C6630">
        <v>984</v>
      </c>
      <c r="D6630">
        <v>10425</v>
      </c>
      <c r="E6630" t="s">
        <v>37</v>
      </c>
      <c r="F6630" t="s">
        <v>520</v>
      </c>
      <c r="G6630">
        <v>2</v>
      </c>
      <c r="H6630">
        <v>91</v>
      </c>
      <c r="I6630" s="25">
        <v>2121</v>
      </c>
      <c r="K6630" t="s">
        <v>62</v>
      </c>
      <c r="L6630" t="s">
        <v>141</v>
      </c>
      <c r="M6630" t="s">
        <v>52</v>
      </c>
      <c r="N6630" t="s">
        <v>44</v>
      </c>
      <c r="O6630">
        <f>60+60+42</f>
        <v>162</v>
      </c>
      <c r="Q6630">
        <f t="shared" si="113"/>
        <v>2</v>
      </c>
      <c r="R6630">
        <v>1</v>
      </c>
      <c r="S6630">
        <v>0</v>
      </c>
      <c r="T6630">
        <v>0</v>
      </c>
      <c r="U6630">
        <v>0</v>
      </c>
      <c r="V6630">
        <v>0</v>
      </c>
      <c r="W6630">
        <v>2</v>
      </c>
      <c r="X6630" s="21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f t="shared" si="114"/>
        <v>192</v>
      </c>
      <c r="AL6630" t="s">
        <v>1945</v>
      </c>
      <c r="AP6630" t="s">
        <v>1915</v>
      </c>
    </row>
    <row r="6631" spans="1:42">
      <c r="A6631" s="1">
        <v>43833</v>
      </c>
      <c r="B6631">
        <v>5</v>
      </c>
      <c r="C6631">
        <v>984</v>
      </c>
      <c r="D6631">
        <v>10425</v>
      </c>
      <c r="E6631" t="s">
        <v>37</v>
      </c>
      <c r="F6631" t="s">
        <v>520</v>
      </c>
      <c r="G6631">
        <v>2</v>
      </c>
      <c r="H6631">
        <v>92</v>
      </c>
      <c r="I6631" s="25">
        <v>2085</v>
      </c>
      <c r="K6631" t="s">
        <v>62</v>
      </c>
      <c r="L6631" t="s">
        <v>141</v>
      </c>
      <c r="M6631" t="s">
        <v>52</v>
      </c>
      <c r="N6631" t="s">
        <v>44</v>
      </c>
      <c r="O6631">
        <f>60+60+60+41</f>
        <v>221</v>
      </c>
      <c r="Q6631">
        <f t="shared" si="113"/>
        <v>3</v>
      </c>
      <c r="R6631">
        <v>1</v>
      </c>
      <c r="S6631">
        <v>0</v>
      </c>
      <c r="T6631">
        <v>0</v>
      </c>
      <c r="U6631">
        <v>0</v>
      </c>
      <c r="V6631">
        <v>0</v>
      </c>
      <c r="W6631">
        <v>3</v>
      </c>
      <c r="X6631" s="2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f t="shared" si="114"/>
        <v>288</v>
      </c>
      <c r="AL6631" t="s">
        <v>2056</v>
      </c>
      <c r="AP6631" t="s">
        <v>1915</v>
      </c>
    </row>
    <row r="6632" spans="1:42">
      <c r="A6632" s="1">
        <v>43833</v>
      </c>
      <c r="B6632">
        <v>5</v>
      </c>
      <c r="C6632">
        <v>984</v>
      </c>
      <c r="D6632">
        <v>10425</v>
      </c>
      <c r="E6632" t="s">
        <v>37</v>
      </c>
      <c r="F6632" t="s">
        <v>520</v>
      </c>
      <c r="G6632">
        <v>2</v>
      </c>
      <c r="H6632">
        <v>93</v>
      </c>
      <c r="I6632" s="25">
        <v>1937</v>
      </c>
      <c r="K6632" t="s">
        <v>595</v>
      </c>
      <c r="L6632" t="s">
        <v>141</v>
      </c>
      <c r="M6632" t="s">
        <v>52</v>
      </c>
      <c r="N6632" t="s">
        <v>44</v>
      </c>
      <c r="O6632">
        <f>60+60+60+46</f>
        <v>226</v>
      </c>
      <c r="Q6632">
        <f t="shared" si="113"/>
        <v>4</v>
      </c>
      <c r="R6632">
        <v>1</v>
      </c>
      <c r="S6632">
        <v>0</v>
      </c>
      <c r="T6632">
        <v>0</v>
      </c>
      <c r="U6632">
        <v>0</v>
      </c>
      <c r="V6632">
        <v>0</v>
      </c>
      <c r="W6632">
        <v>4</v>
      </c>
      <c r="X6632" s="21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f t="shared" si="114"/>
        <v>384</v>
      </c>
      <c r="AP6632" t="s">
        <v>1915</v>
      </c>
    </row>
    <row r="6633" spans="1:42">
      <c r="A6633" s="1">
        <v>43833</v>
      </c>
      <c r="B6633">
        <v>5</v>
      </c>
      <c r="C6633">
        <v>984</v>
      </c>
      <c r="D6633">
        <v>10425</v>
      </c>
      <c r="E6633" t="s">
        <v>37</v>
      </c>
      <c r="F6633" t="s">
        <v>520</v>
      </c>
      <c r="G6633">
        <v>2</v>
      </c>
      <c r="H6633">
        <v>94</v>
      </c>
      <c r="I6633" s="25">
        <v>1919</v>
      </c>
      <c r="K6633" t="s">
        <v>595</v>
      </c>
      <c r="L6633" t="s">
        <v>141</v>
      </c>
      <c r="M6633" t="s">
        <v>52</v>
      </c>
      <c r="N6633" t="s">
        <v>44</v>
      </c>
      <c r="O6633">
        <f>60+60+6</f>
        <v>126</v>
      </c>
      <c r="Q6633">
        <f t="shared" si="113"/>
        <v>2</v>
      </c>
      <c r="R6633">
        <v>1</v>
      </c>
      <c r="S6633">
        <v>0</v>
      </c>
      <c r="T6633">
        <v>0</v>
      </c>
      <c r="U6633">
        <v>0</v>
      </c>
      <c r="V6633">
        <v>0</v>
      </c>
      <c r="W6633">
        <v>2</v>
      </c>
      <c r="X6633" s="21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f t="shared" si="114"/>
        <v>192</v>
      </c>
      <c r="AP6633" t="s">
        <v>1915</v>
      </c>
    </row>
    <row r="6634" spans="1:42">
      <c r="A6634" s="1">
        <v>43833</v>
      </c>
      <c r="B6634">
        <v>5</v>
      </c>
      <c r="C6634">
        <v>984</v>
      </c>
      <c r="D6634">
        <v>10425</v>
      </c>
      <c r="E6634" t="s">
        <v>37</v>
      </c>
      <c r="F6634" t="s">
        <v>520</v>
      </c>
      <c r="G6634">
        <v>2</v>
      </c>
      <c r="H6634">
        <v>95</v>
      </c>
      <c r="I6634" s="25">
        <v>2000</v>
      </c>
      <c r="K6634" t="s">
        <v>56</v>
      </c>
      <c r="L6634" t="s">
        <v>114</v>
      </c>
      <c r="M6634" t="s">
        <v>52</v>
      </c>
      <c r="N6634" t="s">
        <v>44</v>
      </c>
      <c r="O6634">
        <f>60+60+60</f>
        <v>180</v>
      </c>
      <c r="Q6634">
        <f t="shared" si="113"/>
        <v>2</v>
      </c>
      <c r="R6634">
        <v>1</v>
      </c>
      <c r="S6634">
        <v>0</v>
      </c>
      <c r="T6634">
        <v>0</v>
      </c>
      <c r="U6634">
        <v>0</v>
      </c>
      <c r="V6634">
        <v>0</v>
      </c>
      <c r="W6634">
        <v>2</v>
      </c>
      <c r="X6634" s="21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f t="shared" si="114"/>
        <v>192</v>
      </c>
      <c r="AL6634" t="s">
        <v>2056</v>
      </c>
      <c r="AP6634" t="s">
        <v>1915</v>
      </c>
    </row>
    <row r="6635" spans="1:42">
      <c r="A6635" s="1">
        <v>43833</v>
      </c>
      <c r="B6635">
        <v>5</v>
      </c>
      <c r="C6635">
        <v>984</v>
      </c>
      <c r="D6635">
        <v>10425</v>
      </c>
      <c r="E6635" t="s">
        <v>37</v>
      </c>
      <c r="F6635" t="s">
        <v>520</v>
      </c>
      <c r="G6635">
        <v>2</v>
      </c>
      <c r="H6635">
        <v>96</v>
      </c>
      <c r="I6635" s="25">
        <v>2095</v>
      </c>
      <c r="K6635" t="s">
        <v>56</v>
      </c>
      <c r="L6635" t="s">
        <v>141</v>
      </c>
      <c r="M6635" t="s">
        <v>52</v>
      </c>
      <c r="N6635" t="s">
        <v>44</v>
      </c>
      <c r="O6635">
        <f>60+60+60+60+60+60+15</f>
        <v>375</v>
      </c>
      <c r="Q6635">
        <f t="shared" si="113"/>
        <v>5</v>
      </c>
      <c r="R6635">
        <v>1</v>
      </c>
      <c r="S6635">
        <v>0</v>
      </c>
      <c r="T6635">
        <v>0</v>
      </c>
      <c r="U6635">
        <v>0</v>
      </c>
      <c r="V6635">
        <v>0</v>
      </c>
      <c r="W6635">
        <v>5</v>
      </c>
      <c r="X6635" s="21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f t="shared" si="114"/>
        <v>480</v>
      </c>
      <c r="AL6635" t="s">
        <v>1946</v>
      </c>
      <c r="AP6635" t="s">
        <v>1915</v>
      </c>
    </row>
    <row r="6636" spans="1:42">
      <c r="A6636" s="1">
        <v>43833</v>
      </c>
      <c r="B6636">
        <v>5</v>
      </c>
      <c r="C6636">
        <v>984</v>
      </c>
      <c r="D6636">
        <v>10425</v>
      </c>
      <c r="E6636" t="s">
        <v>37</v>
      </c>
      <c r="F6636" t="s">
        <v>520</v>
      </c>
      <c r="G6636">
        <v>2</v>
      </c>
      <c r="H6636">
        <v>97</v>
      </c>
      <c r="I6636" s="25">
        <v>2075</v>
      </c>
      <c r="K6636" t="s">
        <v>56</v>
      </c>
      <c r="L6636" t="s">
        <v>141</v>
      </c>
      <c r="M6636" t="s">
        <v>52</v>
      </c>
      <c r="N6636" t="s">
        <v>44</v>
      </c>
      <c r="O6636">
        <f>60+60+1</f>
        <v>121</v>
      </c>
      <c r="Q6636">
        <f t="shared" si="113"/>
        <v>2</v>
      </c>
      <c r="R6636">
        <v>1</v>
      </c>
      <c r="S6636">
        <v>0</v>
      </c>
      <c r="T6636">
        <v>0</v>
      </c>
      <c r="U6636">
        <v>0</v>
      </c>
      <c r="V6636">
        <v>0</v>
      </c>
      <c r="W6636">
        <v>2</v>
      </c>
      <c r="X6636" s="21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f t="shared" si="114"/>
        <v>192</v>
      </c>
      <c r="AP6636" t="s">
        <v>1915</v>
      </c>
    </row>
    <row r="6637" spans="1:42">
      <c r="A6637" s="1">
        <v>43833</v>
      </c>
      <c r="B6637">
        <v>5</v>
      </c>
      <c r="C6637">
        <v>984</v>
      </c>
      <c r="D6637">
        <v>10425</v>
      </c>
      <c r="E6637" t="s">
        <v>37</v>
      </c>
      <c r="F6637" t="s">
        <v>520</v>
      </c>
      <c r="G6637">
        <v>2</v>
      </c>
      <c r="H6637">
        <v>98</v>
      </c>
      <c r="I6637" s="25">
        <v>2065</v>
      </c>
      <c r="K6637" t="s">
        <v>56</v>
      </c>
      <c r="L6637" t="s">
        <v>141</v>
      </c>
      <c r="M6637" t="s">
        <v>52</v>
      </c>
      <c r="N6637" t="s">
        <v>44</v>
      </c>
      <c r="O6637">
        <f>60+60+7</f>
        <v>127</v>
      </c>
      <c r="Q6637">
        <f t="shared" si="113"/>
        <v>1</v>
      </c>
      <c r="R6637">
        <v>1</v>
      </c>
      <c r="S6637">
        <v>0</v>
      </c>
      <c r="T6637">
        <v>0</v>
      </c>
      <c r="U6637">
        <v>0</v>
      </c>
      <c r="V6637">
        <v>0</v>
      </c>
      <c r="W6637">
        <v>1</v>
      </c>
      <c r="X6637" s="21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f t="shared" si="114"/>
        <v>96</v>
      </c>
      <c r="AP6637" t="s">
        <v>1915</v>
      </c>
    </row>
    <row r="6638" spans="1:42">
      <c r="A6638" s="1">
        <v>43833</v>
      </c>
      <c r="B6638">
        <v>5</v>
      </c>
      <c r="C6638">
        <v>984</v>
      </c>
      <c r="D6638">
        <v>10425</v>
      </c>
      <c r="E6638" t="s">
        <v>37</v>
      </c>
      <c r="F6638" t="s">
        <v>520</v>
      </c>
      <c r="G6638">
        <v>2</v>
      </c>
      <c r="H6638">
        <v>99</v>
      </c>
      <c r="I6638" s="25">
        <v>2055</v>
      </c>
      <c r="K6638" t="s">
        <v>56</v>
      </c>
      <c r="L6638" t="s">
        <v>141</v>
      </c>
      <c r="M6638" t="s">
        <v>52</v>
      </c>
      <c r="N6638" t="s">
        <v>44</v>
      </c>
      <c r="O6638">
        <f>60+60+60+2</f>
        <v>182</v>
      </c>
      <c r="Q6638">
        <f t="shared" si="113"/>
        <v>2</v>
      </c>
      <c r="R6638">
        <v>1</v>
      </c>
      <c r="S6638">
        <v>0</v>
      </c>
      <c r="T6638">
        <v>0</v>
      </c>
      <c r="U6638">
        <v>0</v>
      </c>
      <c r="V6638">
        <v>0</v>
      </c>
      <c r="W6638">
        <v>2</v>
      </c>
      <c r="X6638" s="21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f t="shared" si="114"/>
        <v>192</v>
      </c>
      <c r="AP6638" t="s">
        <v>1915</v>
      </c>
    </row>
    <row r="6639" spans="1:42">
      <c r="A6639" s="1">
        <v>43833</v>
      </c>
      <c r="B6639">
        <v>5</v>
      </c>
      <c r="C6639">
        <v>984</v>
      </c>
      <c r="D6639">
        <v>10425</v>
      </c>
      <c r="E6639" t="s">
        <v>37</v>
      </c>
      <c r="F6639" t="s">
        <v>520</v>
      </c>
      <c r="G6639">
        <v>2</v>
      </c>
      <c r="H6639">
        <v>100</v>
      </c>
      <c r="I6639" s="25">
        <v>2045</v>
      </c>
      <c r="K6639" t="s">
        <v>56</v>
      </c>
      <c r="L6639" t="s">
        <v>141</v>
      </c>
      <c r="M6639" t="s">
        <v>52</v>
      </c>
      <c r="N6639" t="s">
        <v>44</v>
      </c>
      <c r="O6639">
        <f>60+29</f>
        <v>89</v>
      </c>
      <c r="Q6639">
        <f t="shared" si="113"/>
        <v>2</v>
      </c>
      <c r="R6639">
        <v>1</v>
      </c>
      <c r="S6639">
        <v>0</v>
      </c>
      <c r="T6639">
        <v>0</v>
      </c>
      <c r="U6639">
        <v>0</v>
      </c>
      <c r="V6639">
        <v>0</v>
      </c>
      <c r="W6639">
        <v>2</v>
      </c>
      <c r="X6639" s="21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f t="shared" si="114"/>
        <v>192</v>
      </c>
      <c r="AP6639" t="s">
        <v>1915</v>
      </c>
    </row>
    <row r="6640" spans="1:42">
      <c r="A6640" s="1">
        <v>43833</v>
      </c>
      <c r="B6640">
        <v>5</v>
      </c>
      <c r="C6640">
        <v>984</v>
      </c>
      <c r="D6640">
        <v>10425</v>
      </c>
      <c r="E6640" t="s">
        <v>37</v>
      </c>
      <c r="F6640" t="s">
        <v>520</v>
      </c>
      <c r="G6640">
        <v>2</v>
      </c>
      <c r="H6640">
        <v>101</v>
      </c>
      <c r="I6640" s="25">
        <v>2011</v>
      </c>
      <c r="K6640" t="s">
        <v>56</v>
      </c>
      <c r="L6640" t="s">
        <v>141</v>
      </c>
      <c r="M6640" t="s">
        <v>52</v>
      </c>
      <c r="N6640" t="s">
        <v>44</v>
      </c>
      <c r="O6640">
        <f>60+60+60+19</f>
        <v>199</v>
      </c>
      <c r="Q6640">
        <f t="shared" si="113"/>
        <v>2</v>
      </c>
      <c r="R6640">
        <v>1</v>
      </c>
      <c r="S6640">
        <v>0</v>
      </c>
      <c r="T6640">
        <v>0</v>
      </c>
      <c r="U6640">
        <v>0</v>
      </c>
      <c r="V6640">
        <v>0</v>
      </c>
      <c r="W6640">
        <v>2</v>
      </c>
      <c r="X6640" s="21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f t="shared" si="114"/>
        <v>192</v>
      </c>
      <c r="AP6640" t="s">
        <v>1915</v>
      </c>
    </row>
    <row r="6641" spans="1:42">
      <c r="A6641" s="1">
        <v>43833</v>
      </c>
      <c r="B6641">
        <v>5</v>
      </c>
      <c r="C6641">
        <v>984</v>
      </c>
      <c r="D6641">
        <v>10425</v>
      </c>
      <c r="E6641" t="s">
        <v>37</v>
      </c>
      <c r="F6641" t="s">
        <v>520</v>
      </c>
      <c r="G6641">
        <v>2</v>
      </c>
      <c r="H6641">
        <v>102</v>
      </c>
      <c r="I6641" s="25">
        <v>1987</v>
      </c>
      <c r="K6641" t="s">
        <v>56</v>
      </c>
      <c r="L6641" t="s">
        <v>141</v>
      </c>
      <c r="M6641" t="s">
        <v>52</v>
      </c>
      <c r="N6641" t="s">
        <v>44</v>
      </c>
      <c r="O6641">
        <f>60+60+60+43</f>
        <v>223</v>
      </c>
      <c r="Q6641">
        <f t="shared" si="113"/>
        <v>2</v>
      </c>
      <c r="R6641">
        <v>1</v>
      </c>
      <c r="S6641">
        <v>0</v>
      </c>
      <c r="T6641">
        <v>0</v>
      </c>
      <c r="U6641">
        <v>0</v>
      </c>
      <c r="V6641">
        <v>0</v>
      </c>
      <c r="W6641">
        <v>2</v>
      </c>
      <c r="X6641" s="2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f t="shared" si="114"/>
        <v>192</v>
      </c>
      <c r="AL6641" t="s">
        <v>1937</v>
      </c>
      <c r="AP6641" t="s">
        <v>1915</v>
      </c>
    </row>
    <row r="6642" spans="1:42">
      <c r="A6642" s="1">
        <v>43833</v>
      </c>
      <c r="B6642">
        <v>5</v>
      </c>
      <c r="C6642">
        <v>984</v>
      </c>
      <c r="D6642">
        <v>10425</v>
      </c>
      <c r="E6642" t="s">
        <v>37</v>
      </c>
      <c r="F6642" t="s">
        <v>520</v>
      </c>
      <c r="G6642">
        <v>2</v>
      </c>
      <c r="H6642">
        <v>103</v>
      </c>
      <c r="I6642" s="25">
        <v>1915</v>
      </c>
      <c r="K6642" t="s">
        <v>56</v>
      </c>
      <c r="L6642" t="s">
        <v>141</v>
      </c>
      <c r="M6642" t="s">
        <v>52</v>
      </c>
      <c r="N6642" t="s">
        <v>44</v>
      </c>
      <c r="O6642">
        <f>60+60+60+60+50</f>
        <v>290</v>
      </c>
      <c r="Q6642">
        <f t="shared" si="113"/>
        <v>2</v>
      </c>
      <c r="R6642">
        <v>1</v>
      </c>
      <c r="S6642">
        <v>0</v>
      </c>
      <c r="T6642">
        <v>0</v>
      </c>
      <c r="U6642">
        <v>0</v>
      </c>
      <c r="V6642">
        <v>0</v>
      </c>
      <c r="W6642">
        <v>2</v>
      </c>
      <c r="X6642" s="21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f t="shared" si="114"/>
        <v>192</v>
      </c>
      <c r="AP6642" t="s">
        <v>1915</v>
      </c>
    </row>
    <row r="6643" spans="1:42">
      <c r="A6643" s="1">
        <v>43837</v>
      </c>
      <c r="B6643">
        <v>2</v>
      </c>
      <c r="C6643">
        <v>984</v>
      </c>
      <c r="D6643">
        <v>10425</v>
      </c>
      <c r="E6643" t="s">
        <v>37</v>
      </c>
      <c r="F6643" t="s">
        <v>520</v>
      </c>
      <c r="G6643">
        <v>2</v>
      </c>
      <c r="H6643">
        <v>1</v>
      </c>
      <c r="I6643" s="25">
        <v>1701</v>
      </c>
      <c r="K6643" t="s">
        <v>631</v>
      </c>
      <c r="L6643" t="s">
        <v>141</v>
      </c>
      <c r="M6643" t="s">
        <v>52</v>
      </c>
      <c r="N6643" t="s">
        <v>42</v>
      </c>
      <c r="O6643">
        <f>60+60</f>
        <v>120</v>
      </c>
      <c r="Q6643">
        <f t="shared" si="113"/>
        <v>2</v>
      </c>
      <c r="R6643">
        <v>1</v>
      </c>
      <c r="S6643">
        <v>0</v>
      </c>
      <c r="T6643">
        <v>0</v>
      </c>
      <c r="U6643">
        <v>1</v>
      </c>
      <c r="V6643">
        <v>0</v>
      </c>
      <c r="W6643">
        <v>1</v>
      </c>
      <c r="X6643" s="21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f t="shared" si="114"/>
        <v>128</v>
      </c>
      <c r="AL6643" t="s">
        <v>2057</v>
      </c>
      <c r="AP6643" t="s">
        <v>1915</v>
      </c>
    </row>
    <row r="6644" spans="1:42">
      <c r="A6644" s="1">
        <v>43837</v>
      </c>
      <c r="B6644">
        <v>2</v>
      </c>
      <c r="C6644">
        <v>984</v>
      </c>
      <c r="D6644">
        <v>10425</v>
      </c>
      <c r="E6644" t="s">
        <v>37</v>
      </c>
      <c r="F6644" t="s">
        <v>520</v>
      </c>
      <c r="G6644">
        <v>2</v>
      </c>
      <c r="H6644">
        <v>2</v>
      </c>
      <c r="I6644" s="25">
        <v>2000</v>
      </c>
      <c r="K6644" t="s">
        <v>56</v>
      </c>
      <c r="L6644" t="s">
        <v>114</v>
      </c>
      <c r="M6644" t="s">
        <v>52</v>
      </c>
      <c r="N6644" t="s">
        <v>40</v>
      </c>
      <c r="O6644">
        <v>49</v>
      </c>
      <c r="Q6644">
        <f t="shared" si="113"/>
        <v>1</v>
      </c>
      <c r="R6644">
        <v>1</v>
      </c>
      <c r="S6644">
        <v>0</v>
      </c>
      <c r="T6644">
        <v>0</v>
      </c>
      <c r="U6644">
        <v>0</v>
      </c>
      <c r="V6644">
        <v>0</v>
      </c>
      <c r="W6644">
        <v>1</v>
      </c>
      <c r="X6644" s="21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f t="shared" si="114"/>
        <v>96</v>
      </c>
      <c r="AP6644" t="s">
        <v>1915</v>
      </c>
    </row>
    <row r="6645" spans="1:42">
      <c r="A6645" s="1">
        <v>43837</v>
      </c>
      <c r="B6645">
        <v>2</v>
      </c>
      <c r="C6645">
        <v>984</v>
      </c>
      <c r="D6645">
        <v>10425</v>
      </c>
      <c r="E6645" t="s">
        <v>37</v>
      </c>
      <c r="F6645" t="s">
        <v>520</v>
      </c>
      <c r="G6645">
        <v>2</v>
      </c>
      <c r="H6645">
        <v>3</v>
      </c>
      <c r="I6645" s="25">
        <v>2100</v>
      </c>
      <c r="K6645" t="s">
        <v>56</v>
      </c>
      <c r="L6645" t="s">
        <v>114</v>
      </c>
      <c r="M6645" t="s">
        <v>52</v>
      </c>
      <c r="N6645" t="s">
        <v>40</v>
      </c>
      <c r="O6645">
        <f>60+33</f>
        <v>93</v>
      </c>
      <c r="Q6645">
        <f t="shared" si="113"/>
        <v>3</v>
      </c>
      <c r="R6645">
        <v>1</v>
      </c>
      <c r="S6645">
        <v>0</v>
      </c>
      <c r="T6645">
        <v>0</v>
      </c>
      <c r="U6645">
        <v>0</v>
      </c>
      <c r="V6645">
        <v>0</v>
      </c>
      <c r="W6645">
        <v>3</v>
      </c>
      <c r="X6645" s="21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f t="shared" si="114"/>
        <v>288</v>
      </c>
      <c r="AP6645" t="s">
        <v>1915</v>
      </c>
    </row>
    <row r="6646" spans="1:42">
      <c r="A6646" s="1">
        <v>43837</v>
      </c>
      <c r="B6646">
        <v>2</v>
      </c>
      <c r="C6646">
        <v>984</v>
      </c>
      <c r="D6646">
        <v>10425</v>
      </c>
      <c r="E6646" t="s">
        <v>37</v>
      </c>
      <c r="F6646" t="s">
        <v>520</v>
      </c>
      <c r="G6646">
        <v>2</v>
      </c>
      <c r="H6646">
        <v>4</v>
      </c>
      <c r="I6646" s="25">
        <v>2200</v>
      </c>
      <c r="K6646" t="s">
        <v>62</v>
      </c>
      <c r="L6646" t="s">
        <v>114</v>
      </c>
      <c r="M6646" t="s">
        <v>52</v>
      </c>
      <c r="N6646" t="s">
        <v>44</v>
      </c>
      <c r="O6646">
        <f>60+34</f>
        <v>94</v>
      </c>
      <c r="Q6646">
        <f t="shared" si="113"/>
        <v>1</v>
      </c>
      <c r="R6646">
        <v>1</v>
      </c>
      <c r="S6646">
        <v>0</v>
      </c>
      <c r="T6646">
        <v>0</v>
      </c>
      <c r="U6646">
        <v>0</v>
      </c>
      <c r="V6646">
        <v>0</v>
      </c>
      <c r="W6646">
        <v>1</v>
      </c>
      <c r="X6646" s="21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f t="shared" si="114"/>
        <v>96</v>
      </c>
      <c r="AP6646" t="s">
        <v>1915</v>
      </c>
    </row>
    <row r="6647" spans="1:42">
      <c r="A6647" s="1">
        <v>43837</v>
      </c>
      <c r="B6647">
        <v>2</v>
      </c>
      <c r="C6647">
        <v>984</v>
      </c>
      <c r="D6647">
        <v>10425</v>
      </c>
      <c r="E6647" t="s">
        <v>37</v>
      </c>
      <c r="F6647" t="s">
        <v>520</v>
      </c>
      <c r="G6647">
        <v>2</v>
      </c>
      <c r="H6647">
        <v>5</v>
      </c>
      <c r="I6647" s="25">
        <v>2120</v>
      </c>
      <c r="K6647" t="s">
        <v>62</v>
      </c>
      <c r="L6647" t="s">
        <v>114</v>
      </c>
      <c r="M6647" t="s">
        <v>52</v>
      </c>
      <c r="N6647" t="s">
        <v>44</v>
      </c>
      <c r="O6647">
        <f>60+56</f>
        <v>116</v>
      </c>
      <c r="Q6647">
        <f t="shared" si="113"/>
        <v>1</v>
      </c>
      <c r="R6647">
        <v>1</v>
      </c>
      <c r="S6647">
        <v>0</v>
      </c>
      <c r="T6647">
        <v>0</v>
      </c>
      <c r="U6647">
        <v>0</v>
      </c>
      <c r="V6647">
        <v>0</v>
      </c>
      <c r="W6647">
        <v>1</v>
      </c>
      <c r="X6647" s="21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f t="shared" si="114"/>
        <v>96</v>
      </c>
      <c r="AP6647" t="s">
        <v>1915</v>
      </c>
    </row>
    <row r="6648" spans="1:42">
      <c r="A6648" s="1">
        <v>43837</v>
      </c>
      <c r="B6648">
        <v>2</v>
      </c>
      <c r="C6648">
        <v>984</v>
      </c>
      <c r="D6648">
        <v>10425</v>
      </c>
      <c r="E6648" t="s">
        <v>37</v>
      </c>
      <c r="F6648" t="s">
        <v>520</v>
      </c>
      <c r="G6648">
        <v>2</v>
      </c>
      <c r="H6648">
        <v>6</v>
      </c>
      <c r="I6648" s="25">
        <v>1925</v>
      </c>
      <c r="K6648" t="s">
        <v>638</v>
      </c>
      <c r="L6648" t="s">
        <v>141</v>
      </c>
      <c r="M6648" t="s">
        <v>52</v>
      </c>
      <c r="N6648" t="s">
        <v>44</v>
      </c>
      <c r="O6648">
        <f>60+60+43</f>
        <v>163</v>
      </c>
      <c r="Q6648">
        <f t="shared" si="113"/>
        <v>1</v>
      </c>
      <c r="R6648">
        <v>1</v>
      </c>
      <c r="S6648">
        <v>0</v>
      </c>
      <c r="T6648">
        <v>0</v>
      </c>
      <c r="U6648">
        <v>0</v>
      </c>
      <c r="V6648">
        <v>0</v>
      </c>
      <c r="W6648">
        <v>1</v>
      </c>
      <c r="X6648" s="21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f t="shared" si="114"/>
        <v>96</v>
      </c>
      <c r="AP6648" t="s">
        <v>1915</v>
      </c>
    </row>
    <row r="6649" spans="1:42">
      <c r="A6649" s="1">
        <v>43837</v>
      </c>
      <c r="B6649">
        <v>2</v>
      </c>
      <c r="C6649">
        <v>984</v>
      </c>
      <c r="D6649">
        <v>10425</v>
      </c>
      <c r="E6649" t="s">
        <v>37</v>
      </c>
      <c r="F6649" t="s">
        <v>520</v>
      </c>
      <c r="G6649">
        <v>2</v>
      </c>
      <c r="H6649">
        <v>7</v>
      </c>
      <c r="I6649" s="25">
        <v>1950</v>
      </c>
      <c r="K6649" t="s">
        <v>68</v>
      </c>
      <c r="L6649" t="s">
        <v>141</v>
      </c>
      <c r="M6649" t="s">
        <v>52</v>
      </c>
      <c r="N6649" t="s">
        <v>44</v>
      </c>
      <c r="O6649">
        <f>60+60+18</f>
        <v>138</v>
      </c>
      <c r="Q6649">
        <f t="shared" si="113"/>
        <v>1</v>
      </c>
      <c r="R6649">
        <v>1</v>
      </c>
      <c r="S6649">
        <v>0</v>
      </c>
      <c r="T6649">
        <v>0</v>
      </c>
      <c r="U6649">
        <v>0</v>
      </c>
      <c r="V6649">
        <v>0</v>
      </c>
      <c r="W6649">
        <v>1</v>
      </c>
      <c r="X6649" s="21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f t="shared" si="114"/>
        <v>96</v>
      </c>
      <c r="AL6649" t="s">
        <v>1943</v>
      </c>
      <c r="AP6649" t="s">
        <v>1915</v>
      </c>
    </row>
    <row r="6650" spans="1:42">
      <c r="A6650" s="1">
        <v>43837</v>
      </c>
      <c r="B6650">
        <v>2</v>
      </c>
      <c r="C6650">
        <v>984</v>
      </c>
      <c r="D6650">
        <v>10425</v>
      </c>
      <c r="E6650" t="s">
        <v>37</v>
      </c>
      <c r="F6650" t="s">
        <v>520</v>
      </c>
      <c r="G6650">
        <v>2</v>
      </c>
      <c r="H6650">
        <v>8</v>
      </c>
      <c r="I6650" s="25">
        <v>1735</v>
      </c>
      <c r="K6650" t="s">
        <v>415</v>
      </c>
      <c r="L6650" t="s">
        <v>141</v>
      </c>
      <c r="M6650" t="s">
        <v>52</v>
      </c>
      <c r="N6650" t="s">
        <v>44</v>
      </c>
      <c r="O6650">
        <f>60+60+7</f>
        <v>127</v>
      </c>
      <c r="Q6650">
        <f t="shared" si="113"/>
        <v>1</v>
      </c>
      <c r="R6650">
        <v>1</v>
      </c>
      <c r="S6650">
        <v>0</v>
      </c>
      <c r="T6650">
        <v>0</v>
      </c>
      <c r="U6650">
        <v>0</v>
      </c>
      <c r="V6650">
        <v>0</v>
      </c>
      <c r="W6650">
        <v>1</v>
      </c>
      <c r="X6650" s="21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f t="shared" si="114"/>
        <v>96</v>
      </c>
      <c r="AP6650" t="s">
        <v>1915</v>
      </c>
    </row>
    <row r="6651" spans="1:42">
      <c r="A6651" s="1">
        <v>43837</v>
      </c>
      <c r="B6651">
        <v>2</v>
      </c>
      <c r="C6651">
        <v>984</v>
      </c>
      <c r="D6651">
        <v>10425</v>
      </c>
      <c r="E6651" t="s">
        <v>37</v>
      </c>
      <c r="F6651" t="s">
        <v>520</v>
      </c>
      <c r="G6651">
        <v>2</v>
      </c>
      <c r="H6651">
        <v>9</v>
      </c>
      <c r="I6651" s="25">
        <v>1835</v>
      </c>
      <c r="K6651" t="s">
        <v>631</v>
      </c>
      <c r="L6651" t="s">
        <v>141</v>
      </c>
      <c r="M6651" t="s">
        <v>52</v>
      </c>
      <c r="N6651" t="s">
        <v>44</v>
      </c>
      <c r="O6651">
        <f>60+33</f>
        <v>93</v>
      </c>
      <c r="Q6651">
        <f t="shared" si="113"/>
        <v>1</v>
      </c>
      <c r="R6651">
        <v>1</v>
      </c>
      <c r="S6651">
        <v>0</v>
      </c>
      <c r="T6651">
        <v>0</v>
      </c>
      <c r="U6651">
        <v>0</v>
      </c>
      <c r="V6651">
        <v>0</v>
      </c>
      <c r="W6651">
        <v>1</v>
      </c>
      <c r="X6651" s="2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f t="shared" si="114"/>
        <v>96</v>
      </c>
      <c r="AP6651" t="s">
        <v>1915</v>
      </c>
    </row>
    <row r="6652" spans="1:42">
      <c r="A6652" s="1">
        <v>43837</v>
      </c>
      <c r="B6652">
        <v>2</v>
      </c>
      <c r="C6652">
        <v>984</v>
      </c>
      <c r="D6652">
        <v>10425</v>
      </c>
      <c r="E6652" t="s">
        <v>37</v>
      </c>
      <c r="F6652" t="s">
        <v>520</v>
      </c>
      <c r="G6652">
        <v>2</v>
      </c>
      <c r="H6652">
        <v>10</v>
      </c>
      <c r="I6652" s="25">
        <v>1890</v>
      </c>
      <c r="K6652" t="s">
        <v>68</v>
      </c>
      <c r="L6652" t="s">
        <v>114</v>
      </c>
      <c r="M6652" t="s">
        <v>52</v>
      </c>
      <c r="N6652" t="s">
        <v>44</v>
      </c>
      <c r="O6652">
        <f>60+60+41</f>
        <v>161</v>
      </c>
      <c r="Q6652">
        <f t="shared" si="113"/>
        <v>3</v>
      </c>
      <c r="R6652">
        <v>1</v>
      </c>
      <c r="S6652">
        <v>0</v>
      </c>
      <c r="T6652">
        <v>0</v>
      </c>
      <c r="U6652">
        <v>0</v>
      </c>
      <c r="V6652">
        <v>0</v>
      </c>
      <c r="W6652">
        <v>3</v>
      </c>
      <c r="X6652" s="21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f t="shared" si="114"/>
        <v>288</v>
      </c>
      <c r="AP6652" t="s">
        <v>1915</v>
      </c>
    </row>
    <row r="6653" spans="1:42">
      <c r="A6653" s="1">
        <v>43837</v>
      </c>
      <c r="B6653">
        <v>2</v>
      </c>
      <c r="C6653">
        <v>984</v>
      </c>
      <c r="D6653">
        <v>10425</v>
      </c>
      <c r="E6653" t="s">
        <v>37</v>
      </c>
      <c r="F6653" t="s">
        <v>520</v>
      </c>
      <c r="G6653">
        <v>2</v>
      </c>
      <c r="H6653">
        <v>11</v>
      </c>
      <c r="I6653" s="25">
        <v>1900</v>
      </c>
      <c r="K6653" t="s">
        <v>631</v>
      </c>
      <c r="L6653" t="s">
        <v>114</v>
      </c>
      <c r="M6653" t="s">
        <v>52</v>
      </c>
      <c r="N6653" t="s">
        <v>40</v>
      </c>
      <c r="O6653">
        <f>60+21</f>
        <v>81</v>
      </c>
      <c r="Q6653">
        <f t="shared" si="113"/>
        <v>1</v>
      </c>
      <c r="R6653">
        <v>1</v>
      </c>
      <c r="S6653">
        <v>0</v>
      </c>
      <c r="T6653">
        <v>0</v>
      </c>
      <c r="U6653">
        <v>1</v>
      </c>
      <c r="V6653">
        <v>0</v>
      </c>
      <c r="W6653">
        <v>0</v>
      </c>
      <c r="X6653" s="21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f t="shared" si="114"/>
        <v>32</v>
      </c>
      <c r="AP6653" t="s">
        <v>1915</v>
      </c>
    </row>
    <row r="6654" spans="1:42">
      <c r="A6654" s="1">
        <v>43837</v>
      </c>
      <c r="B6654">
        <v>2</v>
      </c>
      <c r="C6654">
        <v>984</v>
      </c>
      <c r="D6654">
        <v>10425</v>
      </c>
      <c r="E6654" t="s">
        <v>37</v>
      </c>
      <c r="F6654" t="s">
        <v>520</v>
      </c>
      <c r="G6654">
        <v>2</v>
      </c>
      <c r="H6654">
        <v>12</v>
      </c>
      <c r="I6654" s="25">
        <v>1935</v>
      </c>
      <c r="K6654" t="s">
        <v>631</v>
      </c>
      <c r="L6654" t="s">
        <v>141</v>
      </c>
      <c r="M6654" t="s">
        <v>52</v>
      </c>
      <c r="N6654" t="s">
        <v>44</v>
      </c>
      <c r="O6654">
        <f>60+60+21</f>
        <v>141</v>
      </c>
      <c r="Q6654">
        <f t="shared" si="113"/>
        <v>1</v>
      </c>
      <c r="R6654">
        <v>1</v>
      </c>
      <c r="S6654">
        <v>0</v>
      </c>
      <c r="T6654">
        <v>0</v>
      </c>
      <c r="U6654">
        <v>0</v>
      </c>
      <c r="V6654">
        <v>0</v>
      </c>
      <c r="W6654">
        <v>1</v>
      </c>
      <c r="X6654" s="21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f t="shared" si="114"/>
        <v>96</v>
      </c>
      <c r="AP6654" t="s">
        <v>1915</v>
      </c>
    </row>
    <row r="6655" spans="1:42">
      <c r="A6655" s="1">
        <v>43837</v>
      </c>
      <c r="B6655">
        <v>2</v>
      </c>
      <c r="C6655">
        <v>984</v>
      </c>
      <c r="D6655">
        <v>10425</v>
      </c>
      <c r="E6655" t="s">
        <v>37</v>
      </c>
      <c r="F6655" t="s">
        <v>520</v>
      </c>
      <c r="G6655">
        <v>2</v>
      </c>
      <c r="H6655">
        <v>13</v>
      </c>
      <c r="I6655" s="25">
        <v>2000</v>
      </c>
      <c r="K6655" t="s">
        <v>631</v>
      </c>
      <c r="L6655" t="s">
        <v>114</v>
      </c>
      <c r="M6655" t="s">
        <v>52</v>
      </c>
      <c r="N6655" t="s">
        <v>42</v>
      </c>
      <c r="O6655">
        <f>60+60+60</f>
        <v>180</v>
      </c>
      <c r="Q6655">
        <f t="shared" si="113"/>
        <v>3</v>
      </c>
      <c r="R6655">
        <v>1</v>
      </c>
      <c r="S6655">
        <v>0</v>
      </c>
      <c r="T6655">
        <v>0</v>
      </c>
      <c r="U6655">
        <v>0</v>
      </c>
      <c r="V6655">
        <v>0</v>
      </c>
      <c r="W6655">
        <v>3</v>
      </c>
      <c r="X6655" s="21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f t="shared" si="114"/>
        <v>288</v>
      </c>
      <c r="AP6655" t="s">
        <v>1915</v>
      </c>
    </row>
    <row r="6656" spans="1:42">
      <c r="A6656" s="1">
        <v>43837</v>
      </c>
      <c r="B6656">
        <v>2</v>
      </c>
      <c r="C6656">
        <v>984</v>
      </c>
      <c r="D6656">
        <v>10425</v>
      </c>
      <c r="E6656" t="s">
        <v>37</v>
      </c>
      <c r="F6656" t="s">
        <v>520</v>
      </c>
      <c r="G6656">
        <v>2</v>
      </c>
      <c r="H6656">
        <v>14</v>
      </c>
      <c r="I6656" s="25">
        <v>2000</v>
      </c>
      <c r="K6656" t="s">
        <v>631</v>
      </c>
      <c r="M6656" t="s">
        <v>52</v>
      </c>
      <c r="N6656" t="s">
        <v>40</v>
      </c>
      <c r="O6656">
        <f>60+32</f>
        <v>92</v>
      </c>
      <c r="Q6656">
        <f t="shared" ref="Q6656:Q6719" si="115">SUM(S6656:AE6656)</f>
        <v>2</v>
      </c>
      <c r="R6656">
        <v>1</v>
      </c>
      <c r="S6656">
        <v>0</v>
      </c>
      <c r="T6656">
        <v>0</v>
      </c>
      <c r="U6656">
        <v>1</v>
      </c>
      <c r="V6656">
        <v>0</v>
      </c>
      <c r="W6656">
        <v>1</v>
      </c>
      <c r="X6656" s="21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f t="shared" si="114"/>
        <v>128</v>
      </c>
      <c r="AL6656" t="s">
        <v>2058</v>
      </c>
      <c r="AP6656" t="s">
        <v>1915</v>
      </c>
    </row>
    <row r="6657" spans="1:42">
      <c r="A6657" s="1">
        <v>43837</v>
      </c>
      <c r="B6657">
        <v>2</v>
      </c>
      <c r="C6657">
        <v>984</v>
      </c>
      <c r="D6657">
        <v>10425</v>
      </c>
      <c r="E6657" t="s">
        <v>37</v>
      </c>
      <c r="F6657" t="s">
        <v>520</v>
      </c>
      <c r="G6657">
        <v>2</v>
      </c>
      <c r="H6657">
        <v>15</v>
      </c>
      <c r="I6657" s="25">
        <v>2000</v>
      </c>
      <c r="K6657" t="s">
        <v>631</v>
      </c>
      <c r="M6657" t="s">
        <v>95</v>
      </c>
      <c r="N6657" t="s">
        <v>40</v>
      </c>
      <c r="O6657">
        <f>60+23</f>
        <v>83</v>
      </c>
      <c r="Q6657">
        <f t="shared" si="115"/>
        <v>1</v>
      </c>
      <c r="R6657">
        <v>1</v>
      </c>
      <c r="S6657">
        <v>0</v>
      </c>
      <c r="T6657">
        <v>0</v>
      </c>
      <c r="U6657">
        <v>0</v>
      </c>
      <c r="V6657">
        <v>0</v>
      </c>
      <c r="W6657">
        <v>1</v>
      </c>
      <c r="X6657" s="21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f t="shared" si="114"/>
        <v>96</v>
      </c>
      <c r="AP6657" t="s">
        <v>1915</v>
      </c>
    </row>
    <row r="6658" spans="1:42">
      <c r="A6658" s="1">
        <v>43837</v>
      </c>
      <c r="B6658">
        <v>2</v>
      </c>
      <c r="C6658">
        <v>984</v>
      </c>
      <c r="D6658">
        <v>10425</v>
      </c>
      <c r="E6658" t="s">
        <v>37</v>
      </c>
      <c r="F6658" t="s">
        <v>520</v>
      </c>
      <c r="G6658">
        <v>2</v>
      </c>
      <c r="H6658">
        <v>16</v>
      </c>
      <c r="I6658" s="25">
        <v>1782</v>
      </c>
      <c r="K6658" t="s">
        <v>605</v>
      </c>
      <c r="L6658" t="s">
        <v>114</v>
      </c>
      <c r="M6658" t="s">
        <v>52</v>
      </c>
      <c r="N6658" t="s">
        <v>44</v>
      </c>
      <c r="O6658">
        <f>60+23</f>
        <v>83</v>
      </c>
      <c r="Q6658">
        <f t="shared" si="115"/>
        <v>2</v>
      </c>
      <c r="R6658">
        <v>1</v>
      </c>
      <c r="S6658">
        <v>0</v>
      </c>
      <c r="T6658">
        <v>0</v>
      </c>
      <c r="U6658">
        <v>0</v>
      </c>
      <c r="V6658">
        <v>0</v>
      </c>
      <c r="W6658">
        <v>2</v>
      </c>
      <c r="X6658" s="21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f t="shared" ref="AH6658:AH6721" si="116">(16*S6658)+(20*T6658)+(32*U6658)+(64*V6658)+(96*W6658)</f>
        <v>192</v>
      </c>
      <c r="AP6658" t="s">
        <v>1915</v>
      </c>
    </row>
    <row r="6659" spans="1:42">
      <c r="A6659" s="1">
        <v>43837</v>
      </c>
      <c r="B6659">
        <v>2</v>
      </c>
      <c r="C6659">
        <v>984</v>
      </c>
      <c r="D6659">
        <v>10425</v>
      </c>
      <c r="E6659" t="s">
        <v>37</v>
      </c>
      <c r="F6659" t="s">
        <v>520</v>
      </c>
      <c r="G6659">
        <v>2</v>
      </c>
      <c r="H6659">
        <v>17</v>
      </c>
      <c r="I6659" s="25">
        <v>2200</v>
      </c>
      <c r="K6659" t="s">
        <v>631</v>
      </c>
      <c r="L6659" t="s">
        <v>141</v>
      </c>
      <c r="M6659" t="s">
        <v>52</v>
      </c>
      <c r="N6659" t="s">
        <v>40</v>
      </c>
      <c r="O6659">
        <v>45</v>
      </c>
      <c r="Q6659">
        <f t="shared" si="115"/>
        <v>1</v>
      </c>
      <c r="R6659">
        <v>1</v>
      </c>
      <c r="S6659">
        <v>0</v>
      </c>
      <c r="T6659">
        <v>0</v>
      </c>
      <c r="U6659">
        <v>0</v>
      </c>
      <c r="V6659">
        <v>1</v>
      </c>
      <c r="W6659">
        <v>0</v>
      </c>
      <c r="X6659" s="21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f t="shared" si="116"/>
        <v>64</v>
      </c>
      <c r="AP6659" t="s">
        <v>1915</v>
      </c>
    </row>
    <row r="6660" spans="1:42">
      <c r="A6660" s="1">
        <v>43837</v>
      </c>
      <c r="B6660">
        <v>2</v>
      </c>
      <c r="C6660">
        <v>984</v>
      </c>
      <c r="D6660">
        <v>10425</v>
      </c>
      <c r="E6660" t="s">
        <v>37</v>
      </c>
      <c r="F6660" t="s">
        <v>520</v>
      </c>
      <c r="G6660">
        <v>2</v>
      </c>
      <c r="H6660">
        <v>18</v>
      </c>
      <c r="I6660" s="25">
        <v>2247</v>
      </c>
      <c r="K6660" t="s">
        <v>631</v>
      </c>
      <c r="L6660" t="s">
        <v>141</v>
      </c>
      <c r="M6660" t="s">
        <v>52</v>
      </c>
      <c r="N6660" t="s">
        <v>44</v>
      </c>
      <c r="O6660">
        <f>60+60+60+3</f>
        <v>183</v>
      </c>
      <c r="Q6660">
        <f t="shared" si="115"/>
        <v>2</v>
      </c>
      <c r="R6660">
        <v>1</v>
      </c>
      <c r="S6660">
        <v>0</v>
      </c>
      <c r="T6660">
        <v>0</v>
      </c>
      <c r="U6660">
        <v>0</v>
      </c>
      <c r="V6660">
        <v>1</v>
      </c>
      <c r="W6660">
        <v>1</v>
      </c>
      <c r="X6660" s="21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f t="shared" si="116"/>
        <v>160</v>
      </c>
      <c r="AP6660" t="s">
        <v>1915</v>
      </c>
    </row>
    <row r="6661" spans="1:42">
      <c r="A6661" s="1">
        <v>43837</v>
      </c>
      <c r="B6661">
        <v>2</v>
      </c>
      <c r="C6661">
        <v>984</v>
      </c>
      <c r="D6661">
        <v>10425</v>
      </c>
      <c r="E6661" t="s">
        <v>37</v>
      </c>
      <c r="F6661" t="s">
        <v>520</v>
      </c>
      <c r="G6661">
        <v>2</v>
      </c>
      <c r="H6661">
        <v>19</v>
      </c>
      <c r="I6661" s="25">
        <v>1840</v>
      </c>
      <c r="K6661" t="s">
        <v>62</v>
      </c>
      <c r="L6661" t="s">
        <v>114</v>
      </c>
      <c r="M6661" t="s">
        <v>52</v>
      </c>
      <c r="N6661" t="s">
        <v>44</v>
      </c>
      <c r="O6661">
        <f>60+60+60+28</f>
        <v>208</v>
      </c>
      <c r="Q6661">
        <f t="shared" si="115"/>
        <v>3</v>
      </c>
      <c r="R6661">
        <v>1</v>
      </c>
      <c r="S6661">
        <v>0</v>
      </c>
      <c r="T6661">
        <v>0</v>
      </c>
      <c r="U6661">
        <v>0</v>
      </c>
      <c r="V6661">
        <v>0</v>
      </c>
      <c r="W6661">
        <v>3</v>
      </c>
      <c r="X6661" s="2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f t="shared" si="116"/>
        <v>288</v>
      </c>
      <c r="AP6661" t="s">
        <v>1915</v>
      </c>
    </row>
    <row r="6662" spans="1:42">
      <c r="A6662" s="1">
        <v>43837</v>
      </c>
      <c r="B6662">
        <v>2</v>
      </c>
      <c r="C6662">
        <v>984</v>
      </c>
      <c r="D6662">
        <v>10425</v>
      </c>
      <c r="E6662" t="s">
        <v>37</v>
      </c>
      <c r="F6662" t="s">
        <v>520</v>
      </c>
      <c r="G6662">
        <v>2</v>
      </c>
      <c r="H6662">
        <v>20</v>
      </c>
      <c r="I6662" s="25">
        <v>1800</v>
      </c>
      <c r="K6662" t="s">
        <v>62</v>
      </c>
      <c r="M6662" t="s">
        <v>52</v>
      </c>
      <c r="N6662" t="s">
        <v>40</v>
      </c>
      <c r="O6662">
        <f>60+28</f>
        <v>88</v>
      </c>
      <c r="Q6662">
        <f t="shared" si="115"/>
        <v>2</v>
      </c>
      <c r="R6662">
        <v>1</v>
      </c>
      <c r="S6662">
        <v>0</v>
      </c>
      <c r="T6662">
        <v>0</v>
      </c>
      <c r="U6662">
        <v>0</v>
      </c>
      <c r="V6662">
        <v>0</v>
      </c>
      <c r="W6662">
        <v>2</v>
      </c>
      <c r="X6662" s="21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2</v>
      </c>
      <c r="AG6662">
        <v>0</v>
      </c>
      <c r="AH6662">
        <f t="shared" si="116"/>
        <v>192</v>
      </c>
      <c r="AP6662" t="s">
        <v>1915</v>
      </c>
    </row>
    <row r="6663" spans="1:42">
      <c r="A6663" s="1">
        <v>43837</v>
      </c>
      <c r="B6663">
        <v>2</v>
      </c>
      <c r="C6663">
        <v>984</v>
      </c>
      <c r="D6663">
        <v>10425</v>
      </c>
      <c r="E6663" t="s">
        <v>37</v>
      </c>
      <c r="F6663" t="s">
        <v>520</v>
      </c>
      <c r="G6663">
        <v>2</v>
      </c>
      <c r="H6663">
        <v>21</v>
      </c>
      <c r="I6663" s="25">
        <v>1801</v>
      </c>
      <c r="K6663" t="s">
        <v>631</v>
      </c>
      <c r="L6663" t="s">
        <v>141</v>
      </c>
      <c r="M6663" t="s">
        <v>52</v>
      </c>
      <c r="N6663" t="s">
        <v>44</v>
      </c>
      <c r="O6663">
        <f>60+22</f>
        <v>82</v>
      </c>
      <c r="Q6663">
        <f t="shared" si="115"/>
        <v>1</v>
      </c>
      <c r="R6663">
        <v>1</v>
      </c>
      <c r="S6663">
        <v>0</v>
      </c>
      <c r="T6663">
        <v>0</v>
      </c>
      <c r="U6663">
        <v>0</v>
      </c>
      <c r="V6663">
        <v>0</v>
      </c>
      <c r="W6663">
        <v>1</v>
      </c>
      <c r="X6663" s="21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f t="shared" si="116"/>
        <v>96</v>
      </c>
      <c r="AP6663" t="s">
        <v>1915</v>
      </c>
    </row>
    <row r="6664" spans="1:42">
      <c r="A6664" s="1">
        <v>43837</v>
      </c>
      <c r="B6664">
        <v>2</v>
      </c>
      <c r="C6664">
        <v>984</v>
      </c>
      <c r="D6664">
        <v>10425</v>
      </c>
      <c r="E6664" t="s">
        <v>37</v>
      </c>
      <c r="F6664" t="s">
        <v>520</v>
      </c>
      <c r="G6664">
        <v>2</v>
      </c>
      <c r="H6664">
        <v>22</v>
      </c>
      <c r="I6664" s="25">
        <v>1930</v>
      </c>
      <c r="K6664" t="s">
        <v>62</v>
      </c>
      <c r="L6664" t="s">
        <v>114</v>
      </c>
      <c r="M6664" t="s">
        <v>52</v>
      </c>
      <c r="N6664" t="s">
        <v>44</v>
      </c>
      <c r="O6664">
        <f>60+55</f>
        <v>115</v>
      </c>
      <c r="Q6664">
        <f t="shared" si="115"/>
        <v>2</v>
      </c>
      <c r="R6664">
        <v>1</v>
      </c>
      <c r="S6664">
        <v>0</v>
      </c>
      <c r="T6664">
        <v>0</v>
      </c>
      <c r="U6664">
        <v>0</v>
      </c>
      <c r="V6664">
        <v>0</v>
      </c>
      <c r="W6664">
        <v>2</v>
      </c>
      <c r="X6664" s="21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f t="shared" si="116"/>
        <v>192</v>
      </c>
      <c r="AP6664" t="s">
        <v>1915</v>
      </c>
    </row>
    <row r="6665" spans="1:42">
      <c r="A6665" s="1">
        <v>43837</v>
      </c>
      <c r="B6665">
        <v>2</v>
      </c>
      <c r="C6665">
        <v>984</v>
      </c>
      <c r="D6665">
        <v>10425</v>
      </c>
      <c r="E6665" t="s">
        <v>37</v>
      </c>
      <c r="F6665" t="s">
        <v>520</v>
      </c>
      <c r="G6665">
        <v>2</v>
      </c>
      <c r="H6665">
        <v>23</v>
      </c>
      <c r="I6665" s="25">
        <v>1909</v>
      </c>
      <c r="K6665" t="s">
        <v>62</v>
      </c>
      <c r="L6665" t="s">
        <v>141</v>
      </c>
      <c r="M6665" t="s">
        <v>52</v>
      </c>
      <c r="N6665" t="s">
        <v>44</v>
      </c>
      <c r="O6665">
        <f>60+23</f>
        <v>83</v>
      </c>
      <c r="Q6665">
        <f t="shared" si="115"/>
        <v>1</v>
      </c>
      <c r="R6665">
        <v>1</v>
      </c>
      <c r="S6665">
        <v>0</v>
      </c>
      <c r="T6665">
        <v>0</v>
      </c>
      <c r="U6665">
        <v>0</v>
      </c>
      <c r="V6665">
        <v>0</v>
      </c>
      <c r="W6665">
        <v>1</v>
      </c>
      <c r="X6665" s="21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f t="shared" si="116"/>
        <v>96</v>
      </c>
      <c r="AP6665" t="s">
        <v>1915</v>
      </c>
    </row>
    <row r="6666" spans="1:42">
      <c r="A6666" s="1">
        <v>43837</v>
      </c>
      <c r="B6666">
        <v>2</v>
      </c>
      <c r="C6666">
        <v>984</v>
      </c>
      <c r="D6666">
        <v>10425</v>
      </c>
      <c r="E6666" t="s">
        <v>37</v>
      </c>
      <c r="F6666" t="s">
        <v>520</v>
      </c>
      <c r="G6666">
        <v>2</v>
      </c>
      <c r="H6666">
        <v>24</v>
      </c>
      <c r="I6666" s="25">
        <v>1900</v>
      </c>
      <c r="K6666" t="s">
        <v>62</v>
      </c>
      <c r="L6666" t="s">
        <v>114</v>
      </c>
      <c r="M6666" t="s">
        <v>52</v>
      </c>
      <c r="N6666" t="s">
        <v>42</v>
      </c>
      <c r="O6666">
        <f>60+52</f>
        <v>112</v>
      </c>
      <c r="Q6666">
        <f t="shared" si="115"/>
        <v>2</v>
      </c>
      <c r="R6666">
        <v>1</v>
      </c>
      <c r="S6666">
        <v>0</v>
      </c>
      <c r="T6666">
        <v>0</v>
      </c>
      <c r="U6666">
        <v>0</v>
      </c>
      <c r="V6666">
        <v>0</v>
      </c>
      <c r="W6666">
        <v>2</v>
      </c>
      <c r="X6666" s="21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f t="shared" si="116"/>
        <v>192</v>
      </c>
      <c r="AP6666" t="s">
        <v>1915</v>
      </c>
    </row>
    <row r="6667" spans="1:42">
      <c r="A6667" s="1">
        <v>43837</v>
      </c>
      <c r="B6667">
        <v>2</v>
      </c>
      <c r="C6667">
        <v>984</v>
      </c>
      <c r="D6667">
        <v>10425</v>
      </c>
      <c r="E6667" t="s">
        <v>37</v>
      </c>
      <c r="F6667" t="s">
        <v>520</v>
      </c>
      <c r="G6667">
        <v>2</v>
      </c>
      <c r="H6667">
        <v>25</v>
      </c>
      <c r="I6667" s="25">
        <v>1940</v>
      </c>
      <c r="K6667" t="s">
        <v>62</v>
      </c>
      <c r="L6667" t="s">
        <v>114</v>
      </c>
      <c r="M6667" t="s">
        <v>52</v>
      </c>
      <c r="N6667" t="s">
        <v>44</v>
      </c>
      <c r="O6667">
        <f>60+60+60+21</f>
        <v>201</v>
      </c>
      <c r="Q6667">
        <f t="shared" si="115"/>
        <v>2</v>
      </c>
      <c r="R6667">
        <v>1</v>
      </c>
      <c r="S6667">
        <v>0</v>
      </c>
      <c r="T6667">
        <v>0</v>
      </c>
      <c r="U6667">
        <v>0</v>
      </c>
      <c r="V6667">
        <v>0</v>
      </c>
      <c r="W6667">
        <v>2</v>
      </c>
      <c r="X6667" s="21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f t="shared" si="116"/>
        <v>192</v>
      </c>
      <c r="AL6667" t="s">
        <v>2011</v>
      </c>
      <c r="AP6667" t="s">
        <v>1915</v>
      </c>
    </row>
    <row r="6668" spans="1:42">
      <c r="A6668" s="1">
        <v>43837</v>
      </c>
      <c r="B6668">
        <v>2</v>
      </c>
      <c r="C6668">
        <v>984</v>
      </c>
      <c r="D6668">
        <v>10425</v>
      </c>
      <c r="E6668" t="s">
        <v>37</v>
      </c>
      <c r="F6668" t="s">
        <v>520</v>
      </c>
      <c r="G6668">
        <v>2</v>
      </c>
      <c r="H6668">
        <v>26</v>
      </c>
      <c r="I6668" s="25">
        <v>1900</v>
      </c>
      <c r="K6668" t="s">
        <v>62</v>
      </c>
      <c r="M6668" t="s">
        <v>52</v>
      </c>
      <c r="N6668" t="s">
        <v>40</v>
      </c>
      <c r="O6668">
        <f>60+41</f>
        <v>101</v>
      </c>
      <c r="Q6668">
        <f t="shared" si="115"/>
        <v>2</v>
      </c>
      <c r="R6668">
        <v>1</v>
      </c>
      <c r="S6668">
        <v>0</v>
      </c>
      <c r="T6668">
        <v>0</v>
      </c>
      <c r="U6668">
        <v>0</v>
      </c>
      <c r="V6668">
        <v>2</v>
      </c>
      <c r="W6668">
        <v>0</v>
      </c>
      <c r="X6668" s="21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f t="shared" si="116"/>
        <v>128</v>
      </c>
      <c r="AP6668" t="s">
        <v>1915</v>
      </c>
    </row>
    <row r="6669" spans="1:42">
      <c r="A6669" s="1">
        <v>43837</v>
      </c>
      <c r="B6669">
        <v>2</v>
      </c>
      <c r="C6669">
        <v>984</v>
      </c>
      <c r="D6669">
        <v>10425</v>
      </c>
      <c r="E6669" t="s">
        <v>37</v>
      </c>
      <c r="F6669" t="s">
        <v>520</v>
      </c>
      <c r="G6669">
        <v>2</v>
      </c>
      <c r="H6669">
        <v>27</v>
      </c>
      <c r="I6669" s="25">
        <v>1980</v>
      </c>
      <c r="K6669" t="s">
        <v>638</v>
      </c>
      <c r="L6669" t="s">
        <v>114</v>
      </c>
      <c r="M6669" t="s">
        <v>52</v>
      </c>
      <c r="N6669" t="s">
        <v>44</v>
      </c>
      <c r="O6669">
        <f>60+39</f>
        <v>99</v>
      </c>
      <c r="Q6669">
        <f t="shared" si="115"/>
        <v>2</v>
      </c>
      <c r="R6669">
        <v>1</v>
      </c>
      <c r="S6669">
        <v>0</v>
      </c>
      <c r="T6669">
        <v>0</v>
      </c>
      <c r="U6669">
        <v>0</v>
      </c>
      <c r="V6669">
        <v>0</v>
      </c>
      <c r="W6669">
        <v>2</v>
      </c>
      <c r="X6669" s="21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f t="shared" si="116"/>
        <v>192</v>
      </c>
      <c r="AL6669" t="s">
        <v>587</v>
      </c>
      <c r="AP6669" t="s">
        <v>1915</v>
      </c>
    </row>
    <row r="6670" spans="1:42">
      <c r="A6670" s="1">
        <v>43837</v>
      </c>
      <c r="B6670">
        <v>2</v>
      </c>
      <c r="C6670">
        <v>984</v>
      </c>
      <c r="D6670">
        <v>10425</v>
      </c>
      <c r="E6670" t="s">
        <v>37</v>
      </c>
      <c r="F6670" t="s">
        <v>520</v>
      </c>
      <c r="G6670">
        <v>2</v>
      </c>
      <c r="H6670">
        <v>28</v>
      </c>
      <c r="I6670" s="25">
        <v>1850</v>
      </c>
      <c r="K6670" t="s">
        <v>638</v>
      </c>
      <c r="L6670" t="s">
        <v>114</v>
      </c>
      <c r="M6670" t="s">
        <v>52</v>
      </c>
      <c r="N6670" t="s">
        <v>44</v>
      </c>
      <c r="O6670">
        <f>60+60+60+38</f>
        <v>218</v>
      </c>
      <c r="Q6670">
        <f t="shared" si="115"/>
        <v>3</v>
      </c>
      <c r="R6670">
        <v>1</v>
      </c>
      <c r="S6670">
        <v>0</v>
      </c>
      <c r="T6670">
        <v>0</v>
      </c>
      <c r="U6670">
        <v>0</v>
      </c>
      <c r="V6670">
        <v>0</v>
      </c>
      <c r="W6670">
        <v>3</v>
      </c>
      <c r="X6670" s="21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f t="shared" si="116"/>
        <v>288</v>
      </c>
      <c r="AL6670" t="s">
        <v>587</v>
      </c>
      <c r="AP6670" t="s">
        <v>1915</v>
      </c>
    </row>
    <row r="6671" spans="1:42">
      <c r="A6671" s="1">
        <v>43837</v>
      </c>
      <c r="B6671">
        <v>2</v>
      </c>
      <c r="C6671">
        <v>984</v>
      </c>
      <c r="D6671">
        <v>10425</v>
      </c>
      <c r="E6671" t="s">
        <v>37</v>
      </c>
      <c r="F6671" t="s">
        <v>520</v>
      </c>
      <c r="G6671">
        <v>2</v>
      </c>
      <c r="H6671">
        <v>29</v>
      </c>
      <c r="I6671" s="25">
        <v>200</v>
      </c>
      <c r="K6671" t="s">
        <v>638</v>
      </c>
      <c r="M6671" t="s">
        <v>52</v>
      </c>
      <c r="N6671" t="s">
        <v>40</v>
      </c>
      <c r="O6671">
        <f>60+22</f>
        <v>82</v>
      </c>
      <c r="Q6671">
        <f t="shared" si="115"/>
        <v>1</v>
      </c>
      <c r="R6671">
        <v>1</v>
      </c>
      <c r="S6671">
        <v>0</v>
      </c>
      <c r="T6671">
        <v>0</v>
      </c>
      <c r="U6671">
        <v>0</v>
      </c>
      <c r="V6671">
        <v>0</v>
      </c>
      <c r="W6671">
        <v>1</v>
      </c>
      <c r="X6671" s="2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f t="shared" si="116"/>
        <v>96</v>
      </c>
      <c r="AP6671" t="s">
        <v>1915</v>
      </c>
    </row>
    <row r="6672" spans="1:42">
      <c r="A6672" s="1">
        <v>43837</v>
      </c>
      <c r="B6672">
        <v>2</v>
      </c>
      <c r="C6672">
        <v>984</v>
      </c>
      <c r="D6672">
        <v>10425</v>
      </c>
      <c r="E6672" t="s">
        <v>37</v>
      </c>
      <c r="F6672" t="s">
        <v>520</v>
      </c>
      <c r="G6672">
        <v>2</v>
      </c>
      <c r="H6672">
        <v>30</v>
      </c>
      <c r="I6672" s="25">
        <v>1980</v>
      </c>
      <c r="K6672" t="s">
        <v>516</v>
      </c>
      <c r="L6672" t="s">
        <v>114</v>
      </c>
      <c r="M6672" t="s">
        <v>52</v>
      </c>
      <c r="N6672" t="s">
        <v>44</v>
      </c>
      <c r="O6672">
        <f>60+60+60+54</f>
        <v>234</v>
      </c>
      <c r="Q6672">
        <f t="shared" si="115"/>
        <v>2</v>
      </c>
      <c r="R6672">
        <v>1</v>
      </c>
      <c r="S6672">
        <v>0</v>
      </c>
      <c r="T6672">
        <v>0</v>
      </c>
      <c r="U6672">
        <v>0</v>
      </c>
      <c r="V6672">
        <v>0</v>
      </c>
      <c r="W6672">
        <v>2</v>
      </c>
      <c r="X6672" s="21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f t="shared" si="116"/>
        <v>192</v>
      </c>
      <c r="AP6672" t="s">
        <v>1915</v>
      </c>
    </row>
    <row r="6673" spans="1:42">
      <c r="A6673" s="1">
        <v>43837</v>
      </c>
      <c r="B6673">
        <v>2</v>
      </c>
      <c r="C6673">
        <v>984</v>
      </c>
      <c r="D6673">
        <v>10425</v>
      </c>
      <c r="E6673" t="s">
        <v>37</v>
      </c>
      <c r="F6673" t="s">
        <v>520</v>
      </c>
      <c r="G6673">
        <v>2</v>
      </c>
      <c r="H6673">
        <v>31</v>
      </c>
      <c r="I6673" s="25">
        <v>2235</v>
      </c>
      <c r="K6673" t="s">
        <v>588</v>
      </c>
      <c r="L6673" t="s">
        <v>141</v>
      </c>
      <c r="M6673" t="s">
        <v>52</v>
      </c>
      <c r="N6673" t="s">
        <v>44</v>
      </c>
      <c r="O6673">
        <f>60+60+24</f>
        <v>144</v>
      </c>
      <c r="Q6673">
        <f t="shared" si="115"/>
        <v>2</v>
      </c>
      <c r="R6673">
        <v>1</v>
      </c>
      <c r="S6673">
        <v>0</v>
      </c>
      <c r="T6673">
        <v>0</v>
      </c>
      <c r="U6673">
        <v>0</v>
      </c>
      <c r="V6673">
        <v>0</v>
      </c>
      <c r="W6673">
        <v>2</v>
      </c>
      <c r="X6673" s="21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f t="shared" si="116"/>
        <v>192</v>
      </c>
      <c r="AL6673" t="s">
        <v>587</v>
      </c>
      <c r="AP6673" t="s">
        <v>1915</v>
      </c>
    </row>
    <row r="6674" spans="1:42">
      <c r="A6674" s="1">
        <v>43837</v>
      </c>
      <c r="B6674">
        <v>2</v>
      </c>
      <c r="C6674">
        <v>984</v>
      </c>
      <c r="D6674">
        <v>10425</v>
      </c>
      <c r="E6674" t="s">
        <v>37</v>
      </c>
      <c r="F6674" t="s">
        <v>520</v>
      </c>
      <c r="G6674">
        <v>2</v>
      </c>
      <c r="H6674">
        <v>32</v>
      </c>
      <c r="I6674" s="25">
        <v>2200</v>
      </c>
      <c r="K6674" t="s">
        <v>68</v>
      </c>
      <c r="M6674" t="s">
        <v>52</v>
      </c>
      <c r="N6674" t="s">
        <v>40</v>
      </c>
      <c r="O6674">
        <f>60+10</f>
        <v>70</v>
      </c>
      <c r="Q6674">
        <f t="shared" si="115"/>
        <v>2</v>
      </c>
      <c r="R6674">
        <v>1</v>
      </c>
      <c r="S6674">
        <v>0</v>
      </c>
      <c r="T6674">
        <v>0</v>
      </c>
      <c r="U6674">
        <v>0</v>
      </c>
      <c r="V6674">
        <v>0</v>
      </c>
      <c r="W6674">
        <v>2</v>
      </c>
      <c r="X6674" s="21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f t="shared" si="116"/>
        <v>192</v>
      </c>
      <c r="AP6674" t="s">
        <v>1915</v>
      </c>
    </row>
    <row r="6675" spans="1:42">
      <c r="A6675" s="1">
        <v>43837</v>
      </c>
      <c r="B6675">
        <v>2</v>
      </c>
      <c r="C6675">
        <v>984</v>
      </c>
      <c r="D6675">
        <v>10425</v>
      </c>
      <c r="E6675" t="s">
        <v>37</v>
      </c>
      <c r="F6675" t="s">
        <v>520</v>
      </c>
      <c r="G6675">
        <v>2</v>
      </c>
      <c r="H6675">
        <v>33</v>
      </c>
      <c r="I6675" s="25">
        <v>2214</v>
      </c>
      <c r="K6675" t="s">
        <v>68</v>
      </c>
      <c r="L6675" t="s">
        <v>114</v>
      </c>
      <c r="M6675" t="s">
        <v>52</v>
      </c>
      <c r="N6675" t="s">
        <v>42</v>
      </c>
      <c r="O6675">
        <f>60+51</f>
        <v>111</v>
      </c>
      <c r="Q6675">
        <f t="shared" si="115"/>
        <v>2</v>
      </c>
      <c r="R6675">
        <v>1</v>
      </c>
      <c r="S6675">
        <v>0</v>
      </c>
      <c r="T6675">
        <v>0</v>
      </c>
      <c r="U6675">
        <v>0</v>
      </c>
      <c r="V6675">
        <v>1</v>
      </c>
      <c r="W6675">
        <v>1</v>
      </c>
      <c r="X6675" s="21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f t="shared" si="116"/>
        <v>160</v>
      </c>
      <c r="AP6675" t="s">
        <v>1915</v>
      </c>
    </row>
    <row r="6676" spans="1:42">
      <c r="A6676" s="1">
        <v>43837</v>
      </c>
      <c r="B6676">
        <v>2</v>
      </c>
      <c r="C6676">
        <v>984</v>
      </c>
      <c r="D6676">
        <v>10425</v>
      </c>
      <c r="E6676" t="s">
        <v>37</v>
      </c>
      <c r="F6676" t="s">
        <v>520</v>
      </c>
      <c r="G6676">
        <v>2</v>
      </c>
      <c r="H6676">
        <v>34</v>
      </c>
      <c r="I6676" s="25">
        <v>2200</v>
      </c>
      <c r="K6676" t="s">
        <v>68</v>
      </c>
      <c r="L6676" t="s">
        <v>114</v>
      </c>
      <c r="M6676" t="s">
        <v>52</v>
      </c>
      <c r="N6676" t="s">
        <v>40</v>
      </c>
      <c r="O6676">
        <f>60+32</f>
        <v>92</v>
      </c>
      <c r="Q6676">
        <f t="shared" si="115"/>
        <v>1</v>
      </c>
      <c r="R6676">
        <v>1</v>
      </c>
      <c r="S6676">
        <v>0</v>
      </c>
      <c r="T6676">
        <v>0</v>
      </c>
      <c r="U6676">
        <v>0</v>
      </c>
      <c r="V6676">
        <v>0</v>
      </c>
      <c r="W6676">
        <v>1</v>
      </c>
      <c r="X6676" s="21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f t="shared" si="116"/>
        <v>96</v>
      </c>
      <c r="AP6676" t="s">
        <v>1915</v>
      </c>
    </row>
    <row r="6677" spans="1:42">
      <c r="A6677" s="1">
        <v>43837</v>
      </c>
      <c r="B6677">
        <v>2</v>
      </c>
      <c r="C6677">
        <v>984</v>
      </c>
      <c r="D6677">
        <v>10425</v>
      </c>
      <c r="E6677" t="s">
        <v>37</v>
      </c>
      <c r="F6677" t="s">
        <v>520</v>
      </c>
      <c r="G6677">
        <v>2</v>
      </c>
      <c r="H6677">
        <v>35</v>
      </c>
      <c r="I6677" s="25">
        <v>2200</v>
      </c>
      <c r="K6677" t="s">
        <v>68</v>
      </c>
      <c r="L6677" t="s">
        <v>141</v>
      </c>
      <c r="M6677" t="s">
        <v>52</v>
      </c>
      <c r="N6677" t="s">
        <v>40</v>
      </c>
      <c r="O6677">
        <f>60+60+16</f>
        <v>136</v>
      </c>
      <c r="Q6677">
        <f t="shared" si="115"/>
        <v>3</v>
      </c>
      <c r="R6677">
        <v>1</v>
      </c>
      <c r="S6677">
        <v>0</v>
      </c>
      <c r="T6677">
        <v>0</v>
      </c>
      <c r="U6677">
        <v>0</v>
      </c>
      <c r="V6677">
        <v>1</v>
      </c>
      <c r="W6677">
        <v>2</v>
      </c>
      <c r="X6677" s="21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f t="shared" si="116"/>
        <v>256</v>
      </c>
      <c r="AP6677" t="s">
        <v>1915</v>
      </c>
    </row>
    <row r="6678" spans="1:42">
      <c r="A6678" s="1">
        <v>43837</v>
      </c>
      <c r="B6678">
        <v>2</v>
      </c>
      <c r="C6678">
        <v>984</v>
      </c>
      <c r="D6678">
        <v>10425</v>
      </c>
      <c r="E6678" t="s">
        <v>37</v>
      </c>
      <c r="F6678" t="s">
        <v>520</v>
      </c>
      <c r="G6678">
        <v>2</v>
      </c>
      <c r="H6678">
        <v>36</v>
      </c>
      <c r="I6678" s="25">
        <v>2200</v>
      </c>
      <c r="K6678" t="s">
        <v>68</v>
      </c>
      <c r="M6678" t="s">
        <v>52</v>
      </c>
      <c r="N6678" t="s">
        <v>44</v>
      </c>
      <c r="O6678">
        <f>60+57</f>
        <v>117</v>
      </c>
      <c r="Q6678">
        <f t="shared" si="115"/>
        <v>1</v>
      </c>
      <c r="R6678">
        <v>1</v>
      </c>
      <c r="S6678">
        <v>0</v>
      </c>
      <c r="T6678">
        <v>0</v>
      </c>
      <c r="U6678">
        <v>0</v>
      </c>
      <c r="V6678">
        <v>0</v>
      </c>
      <c r="W6678">
        <v>1</v>
      </c>
      <c r="X6678" s="21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f t="shared" si="116"/>
        <v>96</v>
      </c>
      <c r="AP6678" t="s">
        <v>1915</v>
      </c>
    </row>
    <row r="6679" spans="1:42">
      <c r="A6679" s="1">
        <v>43837</v>
      </c>
      <c r="B6679">
        <v>2</v>
      </c>
      <c r="C6679">
        <v>984</v>
      </c>
      <c r="D6679">
        <v>10425</v>
      </c>
      <c r="E6679" t="s">
        <v>37</v>
      </c>
      <c r="F6679" t="s">
        <v>520</v>
      </c>
      <c r="G6679">
        <v>2</v>
      </c>
      <c r="H6679">
        <v>37</v>
      </c>
      <c r="I6679" s="25">
        <v>2200</v>
      </c>
      <c r="K6679" t="s">
        <v>68</v>
      </c>
      <c r="L6679" t="s">
        <v>141</v>
      </c>
      <c r="M6679" t="s">
        <v>52</v>
      </c>
      <c r="N6679" t="s">
        <v>40</v>
      </c>
      <c r="O6679">
        <f>60+57</f>
        <v>117</v>
      </c>
      <c r="Q6679">
        <f t="shared" si="115"/>
        <v>2</v>
      </c>
      <c r="R6679">
        <v>1</v>
      </c>
      <c r="S6679">
        <v>0</v>
      </c>
      <c r="T6679">
        <v>0</v>
      </c>
      <c r="U6679">
        <v>0</v>
      </c>
      <c r="V6679">
        <v>1</v>
      </c>
      <c r="W6679">
        <v>1</v>
      </c>
      <c r="X6679" s="21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f t="shared" si="116"/>
        <v>160</v>
      </c>
      <c r="AP6679" t="s">
        <v>1915</v>
      </c>
    </row>
    <row r="6680" spans="1:42">
      <c r="A6680" s="1">
        <v>43837</v>
      </c>
      <c r="B6680">
        <v>2</v>
      </c>
      <c r="C6680">
        <v>984</v>
      </c>
      <c r="D6680">
        <v>10425</v>
      </c>
      <c r="E6680" t="s">
        <v>37</v>
      </c>
      <c r="F6680" t="s">
        <v>520</v>
      </c>
      <c r="G6680">
        <v>2</v>
      </c>
      <c r="H6680">
        <v>38</v>
      </c>
      <c r="I6680" s="25">
        <v>2305</v>
      </c>
      <c r="K6680" t="s">
        <v>516</v>
      </c>
      <c r="L6680" t="s">
        <v>141</v>
      </c>
      <c r="M6680" t="s">
        <v>52</v>
      </c>
      <c r="N6680" t="s">
        <v>44</v>
      </c>
      <c r="O6680">
        <f>60+5</f>
        <v>65</v>
      </c>
      <c r="Q6680">
        <f t="shared" si="115"/>
        <v>2</v>
      </c>
      <c r="R6680">
        <v>1</v>
      </c>
      <c r="S6680">
        <v>0</v>
      </c>
      <c r="T6680">
        <v>0</v>
      </c>
      <c r="U6680">
        <v>0</v>
      </c>
      <c r="V6680">
        <v>0</v>
      </c>
      <c r="W6680">
        <v>2</v>
      </c>
      <c r="X6680" s="21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f t="shared" si="116"/>
        <v>192</v>
      </c>
      <c r="AL6680" t="s">
        <v>2059</v>
      </c>
      <c r="AP6680" t="s">
        <v>1915</v>
      </c>
    </row>
    <row r="6681" spans="1:42">
      <c r="A6681" s="1">
        <v>43837</v>
      </c>
      <c r="B6681">
        <v>2</v>
      </c>
      <c r="C6681">
        <v>984</v>
      </c>
      <c r="D6681">
        <v>10425</v>
      </c>
      <c r="E6681" t="s">
        <v>37</v>
      </c>
      <c r="F6681" t="s">
        <v>520</v>
      </c>
      <c r="G6681">
        <v>2</v>
      </c>
      <c r="H6681">
        <v>39</v>
      </c>
      <c r="I6681" s="25">
        <v>2305</v>
      </c>
      <c r="K6681" t="s">
        <v>516</v>
      </c>
      <c r="M6681" t="s">
        <v>52</v>
      </c>
      <c r="N6681" t="s">
        <v>44</v>
      </c>
      <c r="O6681">
        <f>60+60+35</f>
        <v>155</v>
      </c>
      <c r="Q6681">
        <f t="shared" si="115"/>
        <v>1</v>
      </c>
      <c r="R6681">
        <v>1</v>
      </c>
      <c r="S6681">
        <v>0</v>
      </c>
      <c r="T6681">
        <v>0</v>
      </c>
      <c r="U6681">
        <v>0</v>
      </c>
      <c r="V6681">
        <v>0</v>
      </c>
      <c r="W6681">
        <v>1</v>
      </c>
      <c r="X6681" s="2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f t="shared" si="116"/>
        <v>96</v>
      </c>
      <c r="AL6681" t="s">
        <v>2059</v>
      </c>
      <c r="AP6681" t="s">
        <v>1915</v>
      </c>
    </row>
    <row r="6682" spans="1:42">
      <c r="A6682" s="1">
        <v>43837</v>
      </c>
      <c r="B6682">
        <v>2</v>
      </c>
      <c r="C6682">
        <v>984</v>
      </c>
      <c r="D6682">
        <v>10425</v>
      </c>
      <c r="E6682" t="s">
        <v>37</v>
      </c>
      <c r="F6682" t="s">
        <v>520</v>
      </c>
      <c r="G6682">
        <v>2</v>
      </c>
      <c r="H6682">
        <v>40</v>
      </c>
      <c r="I6682" s="25">
        <v>2100</v>
      </c>
      <c r="K6682" t="s">
        <v>647</v>
      </c>
      <c r="M6682" t="s">
        <v>52</v>
      </c>
      <c r="N6682" t="s">
        <v>40</v>
      </c>
      <c r="O6682">
        <f>60+35</f>
        <v>95</v>
      </c>
      <c r="Q6682">
        <f t="shared" si="115"/>
        <v>2</v>
      </c>
      <c r="R6682">
        <v>1</v>
      </c>
      <c r="S6682">
        <v>0</v>
      </c>
      <c r="T6682">
        <v>0</v>
      </c>
      <c r="U6682">
        <v>0</v>
      </c>
      <c r="V6682">
        <v>1</v>
      </c>
      <c r="W6682">
        <v>1</v>
      </c>
      <c r="X6682" s="21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f t="shared" si="116"/>
        <v>160</v>
      </c>
      <c r="AP6682" t="s">
        <v>1915</v>
      </c>
    </row>
    <row r="6683" spans="1:42">
      <c r="A6683" s="1">
        <v>43837</v>
      </c>
      <c r="B6683">
        <v>2</v>
      </c>
      <c r="C6683">
        <v>984</v>
      </c>
      <c r="D6683">
        <v>10425</v>
      </c>
      <c r="E6683" t="s">
        <v>37</v>
      </c>
      <c r="F6683" t="s">
        <v>520</v>
      </c>
      <c r="G6683">
        <v>2</v>
      </c>
      <c r="H6683">
        <v>41</v>
      </c>
      <c r="I6683" s="25">
        <v>2165</v>
      </c>
      <c r="K6683" t="s">
        <v>647</v>
      </c>
      <c r="L6683" t="s">
        <v>141</v>
      </c>
      <c r="M6683" t="s">
        <v>52</v>
      </c>
      <c r="N6683" t="s">
        <v>44</v>
      </c>
      <c r="O6683">
        <f>60+60+60+60+34</f>
        <v>274</v>
      </c>
      <c r="Q6683">
        <f t="shared" si="115"/>
        <v>2</v>
      </c>
      <c r="R6683">
        <v>1</v>
      </c>
      <c r="S6683">
        <v>0</v>
      </c>
      <c r="T6683">
        <v>0</v>
      </c>
      <c r="U6683">
        <v>0</v>
      </c>
      <c r="V6683">
        <v>0</v>
      </c>
      <c r="W6683">
        <v>2</v>
      </c>
      <c r="X6683" s="21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f t="shared" si="116"/>
        <v>192</v>
      </c>
      <c r="AP6683" t="s">
        <v>1915</v>
      </c>
    </row>
    <row r="6684" spans="1:42">
      <c r="A6684" s="1">
        <v>43837</v>
      </c>
      <c r="B6684">
        <v>2</v>
      </c>
      <c r="C6684">
        <v>984</v>
      </c>
      <c r="D6684">
        <v>10425</v>
      </c>
      <c r="E6684" t="s">
        <v>37</v>
      </c>
      <c r="F6684" t="s">
        <v>520</v>
      </c>
      <c r="G6684">
        <v>2</v>
      </c>
      <c r="H6684">
        <v>42</v>
      </c>
      <c r="I6684" s="25">
        <v>2155</v>
      </c>
      <c r="K6684" t="s">
        <v>647</v>
      </c>
      <c r="L6684" t="s">
        <v>141</v>
      </c>
      <c r="M6684" t="s">
        <v>52</v>
      </c>
      <c r="N6684" t="s">
        <v>44</v>
      </c>
      <c r="O6684">
        <f>60+56</f>
        <v>116</v>
      </c>
      <c r="Q6684">
        <f t="shared" si="115"/>
        <v>2</v>
      </c>
      <c r="R6684">
        <v>1</v>
      </c>
      <c r="S6684">
        <v>0</v>
      </c>
      <c r="T6684">
        <v>0</v>
      </c>
      <c r="U6684">
        <v>0</v>
      </c>
      <c r="V6684">
        <v>0</v>
      </c>
      <c r="W6684">
        <v>2</v>
      </c>
      <c r="X6684" s="21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f t="shared" si="116"/>
        <v>192</v>
      </c>
      <c r="AP6684" t="s">
        <v>1915</v>
      </c>
    </row>
    <row r="6685" spans="1:42">
      <c r="A6685" s="1">
        <v>43837</v>
      </c>
      <c r="B6685">
        <v>2</v>
      </c>
      <c r="C6685">
        <v>984</v>
      </c>
      <c r="D6685">
        <v>10425</v>
      </c>
      <c r="E6685" t="s">
        <v>37</v>
      </c>
      <c r="F6685" t="s">
        <v>520</v>
      </c>
      <c r="G6685">
        <v>2</v>
      </c>
      <c r="H6685">
        <v>43</v>
      </c>
      <c r="I6685" s="25">
        <v>2130</v>
      </c>
      <c r="K6685" t="s">
        <v>647</v>
      </c>
      <c r="M6685" t="s">
        <v>52</v>
      </c>
      <c r="N6685" t="s">
        <v>44</v>
      </c>
      <c r="O6685">
        <f>60+58</f>
        <v>118</v>
      </c>
      <c r="Q6685">
        <f t="shared" si="115"/>
        <v>2</v>
      </c>
      <c r="R6685">
        <v>1</v>
      </c>
      <c r="S6685">
        <v>0</v>
      </c>
      <c r="T6685">
        <v>0</v>
      </c>
      <c r="U6685">
        <v>0</v>
      </c>
      <c r="V6685">
        <v>0</v>
      </c>
      <c r="W6685">
        <v>2</v>
      </c>
      <c r="X6685" s="21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f t="shared" si="116"/>
        <v>192</v>
      </c>
      <c r="AL6685" t="s">
        <v>587</v>
      </c>
      <c r="AP6685" t="s">
        <v>1915</v>
      </c>
    </row>
    <row r="6686" spans="1:42">
      <c r="A6686" s="1">
        <v>43837</v>
      </c>
      <c r="B6686">
        <v>2</v>
      </c>
      <c r="C6686">
        <v>984</v>
      </c>
      <c r="D6686">
        <v>10425</v>
      </c>
      <c r="E6686" t="s">
        <v>37</v>
      </c>
      <c r="F6686" t="s">
        <v>520</v>
      </c>
      <c r="G6686">
        <v>2</v>
      </c>
      <c r="H6686">
        <v>44</v>
      </c>
      <c r="I6686" s="25">
        <v>2100</v>
      </c>
      <c r="K6686" t="s">
        <v>647</v>
      </c>
      <c r="M6686" t="s">
        <v>52</v>
      </c>
      <c r="N6686" t="s">
        <v>40</v>
      </c>
      <c r="O6686">
        <f>60+35</f>
        <v>95</v>
      </c>
      <c r="Q6686">
        <f t="shared" si="115"/>
        <v>2</v>
      </c>
      <c r="R6686">
        <v>1</v>
      </c>
      <c r="S6686">
        <v>0</v>
      </c>
      <c r="T6686">
        <v>0</v>
      </c>
      <c r="U6686">
        <v>0</v>
      </c>
      <c r="V6686">
        <v>1</v>
      </c>
      <c r="W6686">
        <v>1</v>
      </c>
      <c r="X6686" s="21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f t="shared" si="116"/>
        <v>160</v>
      </c>
      <c r="AP6686" t="s">
        <v>1915</v>
      </c>
    </row>
    <row r="6687" spans="1:42">
      <c r="A6687" s="1">
        <v>43837</v>
      </c>
      <c r="B6687">
        <v>2</v>
      </c>
      <c r="C6687">
        <v>984</v>
      </c>
      <c r="D6687">
        <v>10425</v>
      </c>
      <c r="E6687" t="s">
        <v>37</v>
      </c>
      <c r="F6687" t="s">
        <v>520</v>
      </c>
      <c r="G6687">
        <v>2</v>
      </c>
      <c r="H6687">
        <v>45</v>
      </c>
      <c r="I6687" s="25">
        <v>2165</v>
      </c>
      <c r="K6687" t="s">
        <v>647</v>
      </c>
      <c r="L6687" t="s">
        <v>141</v>
      </c>
      <c r="M6687" t="s">
        <v>52</v>
      </c>
      <c r="N6687" t="s">
        <v>44</v>
      </c>
      <c r="O6687">
        <f>60+60+60+60+34</f>
        <v>274</v>
      </c>
      <c r="Q6687">
        <f t="shared" si="115"/>
        <v>2</v>
      </c>
      <c r="R6687">
        <v>1</v>
      </c>
      <c r="S6687">
        <v>0</v>
      </c>
      <c r="T6687">
        <v>0</v>
      </c>
      <c r="U6687">
        <v>0</v>
      </c>
      <c r="V6687">
        <v>0</v>
      </c>
      <c r="W6687">
        <v>2</v>
      </c>
      <c r="X6687" s="21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f t="shared" si="116"/>
        <v>192</v>
      </c>
      <c r="AP6687" t="s">
        <v>1915</v>
      </c>
    </row>
    <row r="6688" spans="1:42">
      <c r="A6688" s="1">
        <v>43837</v>
      </c>
      <c r="B6688">
        <v>2</v>
      </c>
      <c r="C6688">
        <v>984</v>
      </c>
      <c r="D6688">
        <v>10425</v>
      </c>
      <c r="E6688" t="s">
        <v>37</v>
      </c>
      <c r="F6688" t="s">
        <v>520</v>
      </c>
      <c r="G6688">
        <v>2</v>
      </c>
      <c r="H6688">
        <v>46</v>
      </c>
      <c r="I6688" s="25">
        <v>2155</v>
      </c>
      <c r="K6688" t="s">
        <v>647</v>
      </c>
      <c r="L6688" t="s">
        <v>141</v>
      </c>
      <c r="M6688" t="s">
        <v>52</v>
      </c>
      <c r="N6688" t="s">
        <v>44</v>
      </c>
      <c r="O6688">
        <f>60+56</f>
        <v>116</v>
      </c>
      <c r="Q6688">
        <f t="shared" si="115"/>
        <v>2</v>
      </c>
      <c r="R6688">
        <v>1</v>
      </c>
      <c r="S6688">
        <v>0</v>
      </c>
      <c r="T6688">
        <v>0</v>
      </c>
      <c r="U6688">
        <v>0</v>
      </c>
      <c r="V6688">
        <v>0</v>
      </c>
      <c r="W6688">
        <v>2</v>
      </c>
      <c r="X6688" s="21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f t="shared" si="116"/>
        <v>192</v>
      </c>
      <c r="AP6688" t="s">
        <v>1915</v>
      </c>
    </row>
    <row r="6689" spans="1:42">
      <c r="A6689" s="1">
        <v>43837</v>
      </c>
      <c r="B6689">
        <v>2</v>
      </c>
      <c r="C6689">
        <v>984</v>
      </c>
      <c r="D6689">
        <v>10425</v>
      </c>
      <c r="E6689" t="s">
        <v>37</v>
      </c>
      <c r="F6689" t="s">
        <v>520</v>
      </c>
      <c r="G6689">
        <v>2</v>
      </c>
      <c r="H6689">
        <v>47</v>
      </c>
      <c r="I6689" s="25">
        <v>2130</v>
      </c>
      <c r="K6689" t="s">
        <v>647</v>
      </c>
      <c r="M6689" t="s">
        <v>52</v>
      </c>
      <c r="N6689" t="s">
        <v>44</v>
      </c>
      <c r="O6689">
        <f>60+58</f>
        <v>118</v>
      </c>
      <c r="Q6689">
        <f t="shared" si="115"/>
        <v>2</v>
      </c>
      <c r="R6689">
        <v>1</v>
      </c>
      <c r="S6689">
        <v>0</v>
      </c>
      <c r="T6689">
        <v>0</v>
      </c>
      <c r="U6689">
        <v>0</v>
      </c>
      <c r="V6689">
        <v>0</v>
      </c>
      <c r="W6689">
        <v>2</v>
      </c>
      <c r="X6689" s="21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f t="shared" si="116"/>
        <v>192</v>
      </c>
      <c r="AL6689" t="s">
        <v>587</v>
      </c>
      <c r="AP6689" t="s">
        <v>1915</v>
      </c>
    </row>
    <row r="6690" spans="1:42">
      <c r="A6690" s="1">
        <v>43837</v>
      </c>
      <c r="B6690">
        <v>2</v>
      </c>
      <c r="C6690">
        <v>984</v>
      </c>
      <c r="D6690">
        <v>10425</v>
      </c>
      <c r="E6690" t="s">
        <v>37</v>
      </c>
      <c r="F6690" t="s">
        <v>520</v>
      </c>
      <c r="G6690">
        <v>2</v>
      </c>
      <c r="H6690">
        <v>48</v>
      </c>
      <c r="I6690" s="25">
        <v>2100</v>
      </c>
      <c r="K6690" t="s">
        <v>647</v>
      </c>
      <c r="M6690" t="s">
        <v>52</v>
      </c>
      <c r="N6690" t="s">
        <v>40</v>
      </c>
      <c r="O6690">
        <f>60+60+32</f>
        <v>152</v>
      </c>
      <c r="Q6690">
        <f t="shared" si="115"/>
        <v>2</v>
      </c>
      <c r="R6690">
        <v>1</v>
      </c>
      <c r="S6690">
        <v>0</v>
      </c>
      <c r="T6690">
        <v>0</v>
      </c>
      <c r="U6690">
        <v>1</v>
      </c>
      <c r="V6690">
        <v>0</v>
      </c>
      <c r="W6690">
        <v>1</v>
      </c>
      <c r="X6690" s="21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f t="shared" si="116"/>
        <v>128</v>
      </c>
      <c r="AP6690" t="s">
        <v>1915</v>
      </c>
    </row>
    <row r="6691" spans="1:42">
      <c r="A6691" s="1">
        <v>43837</v>
      </c>
      <c r="B6691">
        <v>2</v>
      </c>
      <c r="C6691">
        <v>984</v>
      </c>
      <c r="D6691">
        <v>10425</v>
      </c>
      <c r="E6691" t="s">
        <v>37</v>
      </c>
      <c r="F6691" t="s">
        <v>520</v>
      </c>
      <c r="G6691">
        <v>2</v>
      </c>
      <c r="H6691">
        <v>49</v>
      </c>
      <c r="I6691" s="25">
        <v>2143</v>
      </c>
      <c r="K6691" t="s">
        <v>647</v>
      </c>
      <c r="L6691" t="s">
        <v>141</v>
      </c>
      <c r="M6691" t="s">
        <v>52</v>
      </c>
      <c r="N6691" t="s">
        <v>42</v>
      </c>
      <c r="O6691">
        <f>60+48</f>
        <v>108</v>
      </c>
      <c r="Q6691">
        <f t="shared" si="115"/>
        <v>2</v>
      </c>
      <c r="R6691">
        <v>1</v>
      </c>
      <c r="S6691">
        <v>0</v>
      </c>
      <c r="T6691">
        <v>0</v>
      </c>
      <c r="U6691">
        <v>1</v>
      </c>
      <c r="V6691">
        <v>1</v>
      </c>
      <c r="W6691">
        <v>0</v>
      </c>
      <c r="X6691" s="2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f t="shared" si="116"/>
        <v>96</v>
      </c>
      <c r="AP6691" t="s">
        <v>1915</v>
      </c>
    </row>
    <row r="6692" spans="1:42">
      <c r="A6692" s="1">
        <v>43837</v>
      </c>
      <c r="B6692">
        <v>2</v>
      </c>
      <c r="C6692">
        <v>984</v>
      </c>
      <c r="D6692">
        <v>10425</v>
      </c>
      <c r="E6692" t="s">
        <v>37</v>
      </c>
      <c r="F6692" t="s">
        <v>520</v>
      </c>
      <c r="G6692">
        <v>2</v>
      </c>
      <c r="H6692">
        <v>50</v>
      </c>
      <c r="I6692" s="25">
        <v>2131</v>
      </c>
      <c r="K6692" t="s">
        <v>647</v>
      </c>
      <c r="L6692" t="s">
        <v>141</v>
      </c>
      <c r="M6692" t="s">
        <v>52</v>
      </c>
      <c r="N6692" t="s">
        <v>44</v>
      </c>
      <c r="O6692">
        <f>60+3</f>
        <v>63</v>
      </c>
      <c r="Q6692">
        <f t="shared" si="115"/>
        <v>1</v>
      </c>
      <c r="R6692">
        <v>1</v>
      </c>
      <c r="S6692">
        <v>0</v>
      </c>
      <c r="T6692">
        <v>0</v>
      </c>
      <c r="U6692">
        <v>0</v>
      </c>
      <c r="V6692">
        <v>1</v>
      </c>
      <c r="W6692">
        <v>0</v>
      </c>
      <c r="X6692" s="21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f t="shared" si="116"/>
        <v>64</v>
      </c>
      <c r="AP6692" t="s">
        <v>1915</v>
      </c>
    </row>
    <row r="6693" spans="1:42">
      <c r="A6693" s="1">
        <v>43837</v>
      </c>
      <c r="B6693">
        <v>2</v>
      </c>
      <c r="C6693">
        <v>984</v>
      </c>
      <c r="D6693">
        <v>10425</v>
      </c>
      <c r="E6693" t="s">
        <v>37</v>
      </c>
      <c r="F6693" t="s">
        <v>520</v>
      </c>
      <c r="G6693">
        <v>2</v>
      </c>
      <c r="H6693">
        <v>51</v>
      </c>
      <c r="I6693" s="25">
        <v>2100</v>
      </c>
      <c r="K6693" t="s">
        <v>647</v>
      </c>
      <c r="M6693" t="s">
        <v>52</v>
      </c>
      <c r="N6693" t="s">
        <v>40</v>
      </c>
      <c r="O6693">
        <v>55</v>
      </c>
      <c r="Q6693">
        <f t="shared" si="115"/>
        <v>1</v>
      </c>
      <c r="R6693">
        <v>1</v>
      </c>
      <c r="S6693">
        <v>0</v>
      </c>
      <c r="T6693">
        <v>0</v>
      </c>
      <c r="U6693">
        <v>0</v>
      </c>
      <c r="V6693">
        <v>0</v>
      </c>
      <c r="W6693">
        <v>1</v>
      </c>
      <c r="X6693" s="21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f t="shared" si="116"/>
        <v>96</v>
      </c>
      <c r="AP6693" t="s">
        <v>1915</v>
      </c>
    </row>
    <row r="6694" spans="1:42">
      <c r="A6694" s="1">
        <v>43837</v>
      </c>
      <c r="B6694">
        <v>2</v>
      </c>
      <c r="C6694">
        <v>984</v>
      </c>
      <c r="D6694">
        <v>10425</v>
      </c>
      <c r="E6694" t="s">
        <v>37</v>
      </c>
      <c r="F6694" t="s">
        <v>520</v>
      </c>
      <c r="G6694">
        <v>2</v>
      </c>
      <c r="H6694">
        <v>52</v>
      </c>
      <c r="I6694" s="25">
        <v>2190</v>
      </c>
      <c r="K6694" t="s">
        <v>588</v>
      </c>
      <c r="L6694" t="s">
        <v>114</v>
      </c>
      <c r="M6694" t="s">
        <v>52</v>
      </c>
      <c r="N6694" t="s">
        <v>44</v>
      </c>
      <c r="O6694">
        <f>60+60+38</f>
        <v>158</v>
      </c>
      <c r="Q6694">
        <f t="shared" si="115"/>
        <v>2</v>
      </c>
      <c r="R6694">
        <v>1</v>
      </c>
      <c r="S6694">
        <v>0</v>
      </c>
      <c r="T6694">
        <v>0</v>
      </c>
      <c r="U6694">
        <v>0</v>
      </c>
      <c r="V6694">
        <v>0</v>
      </c>
      <c r="W6694">
        <v>2</v>
      </c>
      <c r="X6694" s="21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f t="shared" si="116"/>
        <v>192</v>
      </c>
      <c r="AL6694" t="s">
        <v>587</v>
      </c>
      <c r="AP6694" t="s">
        <v>1915</v>
      </c>
    </row>
    <row r="6695" spans="1:42">
      <c r="A6695" s="1">
        <v>43837</v>
      </c>
      <c r="B6695">
        <v>2</v>
      </c>
      <c r="C6695">
        <v>984</v>
      </c>
      <c r="D6695">
        <v>10425</v>
      </c>
      <c r="E6695" t="s">
        <v>37</v>
      </c>
      <c r="F6695" t="s">
        <v>520</v>
      </c>
      <c r="G6695">
        <v>2</v>
      </c>
      <c r="H6695">
        <v>53</v>
      </c>
      <c r="I6695" s="25">
        <v>2077</v>
      </c>
      <c r="K6695" t="s">
        <v>647</v>
      </c>
      <c r="L6695" t="s">
        <v>141</v>
      </c>
      <c r="M6695" t="s">
        <v>52</v>
      </c>
      <c r="N6695" t="s">
        <v>44</v>
      </c>
      <c r="O6695">
        <f>60+60+21</f>
        <v>141</v>
      </c>
      <c r="Q6695">
        <f t="shared" si="115"/>
        <v>4</v>
      </c>
      <c r="R6695">
        <v>1</v>
      </c>
      <c r="S6695">
        <v>0</v>
      </c>
      <c r="T6695">
        <v>0</v>
      </c>
      <c r="U6695">
        <v>0</v>
      </c>
      <c r="V6695">
        <v>0</v>
      </c>
      <c r="W6695">
        <v>4</v>
      </c>
      <c r="X6695" s="21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f t="shared" si="116"/>
        <v>384</v>
      </c>
      <c r="AP6695" t="s">
        <v>1915</v>
      </c>
    </row>
    <row r="6696" spans="1:42">
      <c r="A6696" s="1">
        <v>43837</v>
      </c>
      <c r="B6696">
        <v>2</v>
      </c>
      <c r="C6696">
        <v>984</v>
      </c>
      <c r="D6696">
        <v>10425</v>
      </c>
      <c r="E6696" t="s">
        <v>37</v>
      </c>
      <c r="F6696" t="s">
        <v>520</v>
      </c>
      <c r="G6696">
        <v>2</v>
      </c>
      <c r="H6696">
        <v>54</v>
      </c>
      <c r="I6696" s="25">
        <v>2074</v>
      </c>
      <c r="K6696" t="s">
        <v>647</v>
      </c>
      <c r="L6696" t="s">
        <v>114</v>
      </c>
      <c r="M6696" t="s">
        <v>52</v>
      </c>
      <c r="N6696" t="s">
        <v>44</v>
      </c>
      <c r="O6696">
        <f>60+60+60+3</f>
        <v>183</v>
      </c>
      <c r="Q6696">
        <f t="shared" si="115"/>
        <v>3</v>
      </c>
      <c r="R6696">
        <v>1</v>
      </c>
      <c r="S6696">
        <v>0</v>
      </c>
      <c r="T6696">
        <v>0</v>
      </c>
      <c r="U6696">
        <v>0</v>
      </c>
      <c r="V6696">
        <v>0</v>
      </c>
      <c r="W6696">
        <v>3</v>
      </c>
      <c r="X6696" s="21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f t="shared" si="116"/>
        <v>288</v>
      </c>
      <c r="AP6696" t="s">
        <v>1915</v>
      </c>
    </row>
    <row r="6697" spans="1:42">
      <c r="A6697" s="1">
        <v>43837</v>
      </c>
      <c r="B6697">
        <v>2</v>
      </c>
      <c r="C6697">
        <v>984</v>
      </c>
      <c r="D6697">
        <v>10425</v>
      </c>
      <c r="E6697" t="s">
        <v>37</v>
      </c>
      <c r="F6697" t="s">
        <v>520</v>
      </c>
      <c r="G6697">
        <v>2</v>
      </c>
      <c r="H6697">
        <v>55</v>
      </c>
      <c r="I6697" s="25">
        <v>2060</v>
      </c>
      <c r="K6697" t="s">
        <v>647</v>
      </c>
      <c r="L6697" t="s">
        <v>114</v>
      </c>
      <c r="M6697" t="s">
        <v>52</v>
      </c>
      <c r="N6697" t="s">
        <v>42</v>
      </c>
      <c r="O6697">
        <f>60+60+49</f>
        <v>169</v>
      </c>
      <c r="Q6697">
        <f t="shared" si="115"/>
        <v>2</v>
      </c>
      <c r="R6697">
        <v>1</v>
      </c>
      <c r="S6697">
        <v>0</v>
      </c>
      <c r="T6697">
        <v>0</v>
      </c>
      <c r="U6697">
        <v>0</v>
      </c>
      <c r="V6697">
        <v>1</v>
      </c>
      <c r="W6697">
        <v>1</v>
      </c>
      <c r="X6697" s="21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f t="shared" si="116"/>
        <v>160</v>
      </c>
      <c r="AP6697" t="s">
        <v>1915</v>
      </c>
    </row>
    <row r="6698" spans="1:42">
      <c r="A6698" s="1">
        <v>43837</v>
      </c>
      <c r="B6698">
        <v>2</v>
      </c>
      <c r="C6698">
        <v>984</v>
      </c>
      <c r="D6698">
        <v>10425</v>
      </c>
      <c r="E6698" t="s">
        <v>37</v>
      </c>
      <c r="F6698" t="s">
        <v>520</v>
      </c>
      <c r="G6698">
        <v>2</v>
      </c>
      <c r="H6698">
        <v>56</v>
      </c>
      <c r="I6698" s="25">
        <v>2045</v>
      </c>
      <c r="K6698" t="s">
        <v>647</v>
      </c>
      <c r="L6698" t="s">
        <v>141</v>
      </c>
      <c r="M6698" t="s">
        <v>52</v>
      </c>
      <c r="N6698" t="s">
        <v>44</v>
      </c>
      <c r="O6698">
        <f>60+60+20</f>
        <v>140</v>
      </c>
      <c r="Q6698">
        <f t="shared" si="115"/>
        <v>2</v>
      </c>
      <c r="R6698">
        <v>1</v>
      </c>
      <c r="S6698">
        <v>0</v>
      </c>
      <c r="T6698">
        <v>0</v>
      </c>
      <c r="U6698">
        <v>0</v>
      </c>
      <c r="V6698">
        <v>0</v>
      </c>
      <c r="W6698">
        <v>2</v>
      </c>
      <c r="X6698" s="21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f t="shared" si="116"/>
        <v>192</v>
      </c>
      <c r="AP6698" t="s">
        <v>1915</v>
      </c>
    </row>
    <row r="6699" spans="1:42">
      <c r="A6699" s="1">
        <v>43837</v>
      </c>
      <c r="B6699">
        <v>2</v>
      </c>
      <c r="C6699">
        <v>984</v>
      </c>
      <c r="D6699">
        <v>10425</v>
      </c>
      <c r="E6699" t="s">
        <v>37</v>
      </c>
      <c r="F6699" t="s">
        <v>520</v>
      </c>
      <c r="G6699">
        <v>2</v>
      </c>
      <c r="H6699">
        <v>57</v>
      </c>
      <c r="I6699" s="25">
        <v>2000</v>
      </c>
      <c r="K6699" t="s">
        <v>647</v>
      </c>
      <c r="L6699" t="s">
        <v>114</v>
      </c>
      <c r="M6699" t="s">
        <v>52</v>
      </c>
      <c r="N6699" t="s">
        <v>40</v>
      </c>
      <c r="O6699">
        <v>58</v>
      </c>
      <c r="Q6699">
        <f t="shared" si="115"/>
        <v>2</v>
      </c>
      <c r="R6699">
        <v>1</v>
      </c>
      <c r="S6699">
        <v>0</v>
      </c>
      <c r="T6699">
        <v>0</v>
      </c>
      <c r="U6699">
        <v>0</v>
      </c>
      <c r="V6699">
        <v>0</v>
      </c>
      <c r="W6699">
        <v>2</v>
      </c>
      <c r="X6699" s="21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f t="shared" si="116"/>
        <v>192</v>
      </c>
      <c r="AP6699" t="s">
        <v>1915</v>
      </c>
    </row>
    <row r="6700" spans="1:42">
      <c r="A6700" s="1">
        <v>43837</v>
      </c>
      <c r="B6700">
        <v>2</v>
      </c>
      <c r="C6700">
        <v>984</v>
      </c>
      <c r="D6700">
        <v>10425</v>
      </c>
      <c r="E6700" t="s">
        <v>37</v>
      </c>
      <c r="F6700" t="s">
        <v>520</v>
      </c>
      <c r="G6700">
        <v>2</v>
      </c>
      <c r="H6700">
        <v>58</v>
      </c>
      <c r="I6700" s="25">
        <v>2000</v>
      </c>
      <c r="K6700" t="s">
        <v>647</v>
      </c>
      <c r="L6700" t="s">
        <v>114</v>
      </c>
      <c r="M6700" t="s">
        <v>52</v>
      </c>
      <c r="N6700" t="s">
        <v>40</v>
      </c>
      <c r="O6700">
        <f>60+9</f>
        <v>69</v>
      </c>
      <c r="Q6700">
        <f t="shared" si="115"/>
        <v>2</v>
      </c>
      <c r="R6700">
        <v>1</v>
      </c>
      <c r="S6700">
        <v>0</v>
      </c>
      <c r="T6700">
        <v>0</v>
      </c>
      <c r="U6700">
        <v>0</v>
      </c>
      <c r="V6700">
        <v>0</v>
      </c>
      <c r="W6700">
        <v>2</v>
      </c>
      <c r="X6700" s="21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f t="shared" si="116"/>
        <v>192</v>
      </c>
      <c r="AP6700" t="s">
        <v>1915</v>
      </c>
    </row>
    <row r="6701" spans="1:42">
      <c r="A6701" s="1">
        <v>43837</v>
      </c>
      <c r="B6701">
        <v>2</v>
      </c>
      <c r="C6701">
        <v>984</v>
      </c>
      <c r="D6701">
        <v>10425</v>
      </c>
      <c r="E6701" t="s">
        <v>37</v>
      </c>
      <c r="F6701" t="s">
        <v>520</v>
      </c>
      <c r="G6701">
        <v>2</v>
      </c>
      <c r="H6701">
        <v>59</v>
      </c>
      <c r="I6701" s="25">
        <v>2000</v>
      </c>
      <c r="K6701" t="s">
        <v>647</v>
      </c>
      <c r="L6701" t="s">
        <v>141</v>
      </c>
      <c r="M6701" t="s">
        <v>52</v>
      </c>
      <c r="N6701" t="s">
        <v>40</v>
      </c>
      <c r="O6701">
        <v>37</v>
      </c>
      <c r="Q6701">
        <f t="shared" si="115"/>
        <v>1</v>
      </c>
      <c r="R6701">
        <v>1</v>
      </c>
      <c r="S6701">
        <v>0</v>
      </c>
      <c r="T6701">
        <v>0</v>
      </c>
      <c r="U6701">
        <v>0</v>
      </c>
      <c r="V6701">
        <v>1</v>
      </c>
      <c r="W6701">
        <v>0</v>
      </c>
      <c r="X6701" s="2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f t="shared" si="116"/>
        <v>64</v>
      </c>
      <c r="AP6701" t="s">
        <v>1915</v>
      </c>
    </row>
    <row r="6702" spans="1:42">
      <c r="A6702" s="1">
        <v>43837</v>
      </c>
      <c r="B6702">
        <v>2</v>
      </c>
      <c r="C6702">
        <v>984</v>
      </c>
      <c r="D6702">
        <v>10425</v>
      </c>
      <c r="E6702" t="s">
        <v>37</v>
      </c>
      <c r="F6702" t="s">
        <v>520</v>
      </c>
      <c r="G6702">
        <v>2</v>
      </c>
      <c r="H6702">
        <v>60</v>
      </c>
      <c r="I6702" s="25">
        <v>2000</v>
      </c>
      <c r="K6702" t="s">
        <v>647</v>
      </c>
      <c r="L6702" t="s">
        <v>141</v>
      </c>
      <c r="M6702" t="s">
        <v>52</v>
      </c>
      <c r="N6702" t="s">
        <v>40</v>
      </c>
      <c r="O6702">
        <v>55</v>
      </c>
      <c r="Q6702">
        <f t="shared" si="115"/>
        <v>1</v>
      </c>
      <c r="R6702">
        <v>1</v>
      </c>
      <c r="S6702">
        <v>0</v>
      </c>
      <c r="T6702">
        <v>0</v>
      </c>
      <c r="U6702">
        <v>0</v>
      </c>
      <c r="V6702">
        <v>0</v>
      </c>
      <c r="W6702">
        <v>1</v>
      </c>
      <c r="X6702" s="21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f t="shared" si="116"/>
        <v>96</v>
      </c>
      <c r="AP6702" t="s">
        <v>1915</v>
      </c>
    </row>
    <row r="6703" spans="1:42">
      <c r="A6703" s="1">
        <v>43837</v>
      </c>
      <c r="B6703">
        <v>2</v>
      </c>
      <c r="C6703">
        <v>984</v>
      </c>
      <c r="D6703">
        <v>10425</v>
      </c>
      <c r="E6703" t="s">
        <v>37</v>
      </c>
      <c r="F6703" t="s">
        <v>520</v>
      </c>
      <c r="G6703">
        <v>2</v>
      </c>
      <c r="H6703">
        <v>61</v>
      </c>
      <c r="I6703" s="25">
        <v>2000</v>
      </c>
      <c r="K6703" t="s">
        <v>647</v>
      </c>
      <c r="L6703" t="s">
        <v>114</v>
      </c>
      <c r="M6703" t="s">
        <v>52</v>
      </c>
      <c r="N6703" t="s">
        <v>40</v>
      </c>
      <c r="O6703">
        <f>60+19</f>
        <v>79</v>
      </c>
      <c r="Q6703">
        <f t="shared" si="115"/>
        <v>2</v>
      </c>
      <c r="R6703">
        <v>1</v>
      </c>
      <c r="S6703">
        <v>0</v>
      </c>
      <c r="T6703">
        <v>0</v>
      </c>
      <c r="U6703">
        <v>0</v>
      </c>
      <c r="V6703">
        <v>0</v>
      </c>
      <c r="W6703">
        <v>2</v>
      </c>
      <c r="X6703" s="21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f t="shared" si="116"/>
        <v>192</v>
      </c>
      <c r="AP6703" t="s">
        <v>1915</v>
      </c>
    </row>
    <row r="6704" spans="1:42">
      <c r="A6704" s="1">
        <v>43837</v>
      </c>
      <c r="B6704">
        <v>2</v>
      </c>
      <c r="C6704">
        <v>984</v>
      </c>
      <c r="D6704">
        <v>10425</v>
      </c>
      <c r="E6704" t="s">
        <v>37</v>
      </c>
      <c r="F6704" t="s">
        <v>520</v>
      </c>
      <c r="G6704">
        <v>2</v>
      </c>
      <c r="H6704">
        <v>62</v>
      </c>
      <c r="I6704" s="25">
        <v>1900</v>
      </c>
      <c r="K6704" t="s">
        <v>647</v>
      </c>
      <c r="L6704" t="s">
        <v>114</v>
      </c>
      <c r="M6704" t="s">
        <v>52</v>
      </c>
      <c r="N6704" t="s">
        <v>40</v>
      </c>
      <c r="O6704">
        <v>112</v>
      </c>
      <c r="Q6704">
        <f t="shared" si="115"/>
        <v>2</v>
      </c>
      <c r="R6704">
        <v>1</v>
      </c>
      <c r="S6704">
        <v>0</v>
      </c>
      <c r="T6704">
        <v>0</v>
      </c>
      <c r="U6704">
        <v>0</v>
      </c>
      <c r="V6704">
        <v>0</v>
      </c>
      <c r="W6704">
        <v>2</v>
      </c>
      <c r="X6704" s="21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f t="shared" si="116"/>
        <v>192</v>
      </c>
      <c r="AP6704" t="s">
        <v>1915</v>
      </c>
    </row>
    <row r="6705" spans="1:42">
      <c r="A6705" s="1">
        <v>43837</v>
      </c>
      <c r="B6705">
        <v>2</v>
      </c>
      <c r="C6705">
        <v>984</v>
      </c>
      <c r="D6705">
        <v>10425</v>
      </c>
      <c r="E6705" t="s">
        <v>37</v>
      </c>
      <c r="F6705" t="s">
        <v>520</v>
      </c>
      <c r="G6705">
        <v>2</v>
      </c>
      <c r="H6705">
        <v>63</v>
      </c>
      <c r="I6705" s="25">
        <v>1955</v>
      </c>
      <c r="K6705" t="s">
        <v>647</v>
      </c>
      <c r="M6705" t="s">
        <v>52</v>
      </c>
      <c r="N6705" t="s">
        <v>44</v>
      </c>
      <c r="O6705">
        <f>5*60+38</f>
        <v>338</v>
      </c>
      <c r="Q6705">
        <f t="shared" si="115"/>
        <v>1</v>
      </c>
      <c r="R6705">
        <v>1</v>
      </c>
      <c r="S6705">
        <v>0</v>
      </c>
      <c r="T6705">
        <v>0</v>
      </c>
      <c r="U6705">
        <v>0</v>
      </c>
      <c r="V6705">
        <v>0</v>
      </c>
      <c r="W6705">
        <v>1</v>
      </c>
      <c r="X6705" s="21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f t="shared" si="116"/>
        <v>96</v>
      </c>
      <c r="AL6705" t="s">
        <v>597</v>
      </c>
      <c r="AP6705" t="s">
        <v>1915</v>
      </c>
    </row>
    <row r="6706" spans="1:42">
      <c r="A6706" s="1">
        <v>43837</v>
      </c>
      <c r="B6706">
        <v>2</v>
      </c>
      <c r="C6706">
        <v>984</v>
      </c>
      <c r="D6706">
        <v>10425</v>
      </c>
      <c r="E6706" t="s">
        <v>37</v>
      </c>
      <c r="F6706" t="s">
        <v>520</v>
      </c>
      <c r="G6706">
        <v>2</v>
      </c>
      <c r="H6706">
        <v>64</v>
      </c>
      <c r="I6706" s="25">
        <v>1900</v>
      </c>
      <c r="K6706" t="s">
        <v>647</v>
      </c>
      <c r="M6706" t="s">
        <v>52</v>
      </c>
      <c r="N6706" t="s">
        <v>40</v>
      </c>
      <c r="O6706">
        <f>60*2+59</f>
        <v>179</v>
      </c>
      <c r="Q6706">
        <f t="shared" si="115"/>
        <v>4</v>
      </c>
      <c r="R6706">
        <v>1</v>
      </c>
      <c r="S6706">
        <v>0</v>
      </c>
      <c r="T6706">
        <v>0</v>
      </c>
      <c r="U6706">
        <v>0</v>
      </c>
      <c r="V6706">
        <v>4</v>
      </c>
      <c r="W6706">
        <v>0</v>
      </c>
      <c r="X6706" s="21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f t="shared" si="116"/>
        <v>256</v>
      </c>
      <c r="AP6706" t="s">
        <v>1915</v>
      </c>
    </row>
    <row r="6707" spans="1:42">
      <c r="A6707" s="1">
        <v>43837</v>
      </c>
      <c r="B6707">
        <v>2</v>
      </c>
      <c r="C6707">
        <v>984</v>
      </c>
      <c r="D6707">
        <v>10425</v>
      </c>
      <c r="E6707" t="s">
        <v>37</v>
      </c>
      <c r="F6707" t="s">
        <v>520</v>
      </c>
      <c r="G6707">
        <v>2</v>
      </c>
      <c r="H6707">
        <v>65</v>
      </c>
      <c r="I6707" s="25">
        <v>1925</v>
      </c>
      <c r="K6707" t="s">
        <v>647</v>
      </c>
      <c r="L6707" t="s">
        <v>141</v>
      </c>
      <c r="M6707" t="s">
        <v>52</v>
      </c>
      <c r="N6707" t="s">
        <v>44</v>
      </c>
      <c r="O6707">
        <f>3*60+25</f>
        <v>205</v>
      </c>
      <c r="Q6707">
        <f t="shared" si="115"/>
        <v>3</v>
      </c>
      <c r="R6707">
        <v>1</v>
      </c>
      <c r="S6707">
        <v>0</v>
      </c>
      <c r="T6707">
        <v>0</v>
      </c>
      <c r="U6707">
        <v>2</v>
      </c>
      <c r="V6707">
        <v>0</v>
      </c>
      <c r="W6707">
        <v>1</v>
      </c>
      <c r="X6707" s="21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f t="shared" si="116"/>
        <v>160</v>
      </c>
      <c r="AL6707" t="s">
        <v>587</v>
      </c>
      <c r="AP6707" t="s">
        <v>1915</v>
      </c>
    </row>
    <row r="6708" spans="1:42">
      <c r="A6708" s="1">
        <v>43837</v>
      </c>
      <c r="B6708">
        <v>2</v>
      </c>
      <c r="C6708">
        <v>984</v>
      </c>
      <c r="D6708">
        <v>10425</v>
      </c>
      <c r="E6708" t="s">
        <v>37</v>
      </c>
      <c r="F6708" t="s">
        <v>520</v>
      </c>
      <c r="G6708">
        <v>2</v>
      </c>
      <c r="H6708">
        <v>66</v>
      </c>
      <c r="I6708" s="25">
        <v>1900</v>
      </c>
      <c r="K6708" t="s">
        <v>647</v>
      </c>
      <c r="M6708" t="s">
        <v>52</v>
      </c>
      <c r="N6708" t="s">
        <v>40</v>
      </c>
      <c r="O6708">
        <f>3*60+1</f>
        <v>181</v>
      </c>
      <c r="Q6708">
        <f t="shared" si="115"/>
        <v>4</v>
      </c>
      <c r="R6708">
        <v>1</v>
      </c>
      <c r="S6708">
        <v>0</v>
      </c>
      <c r="T6708">
        <v>0</v>
      </c>
      <c r="U6708">
        <v>0</v>
      </c>
      <c r="V6708">
        <v>0</v>
      </c>
      <c r="W6708">
        <v>4</v>
      </c>
      <c r="X6708" s="21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f t="shared" si="116"/>
        <v>384</v>
      </c>
      <c r="AP6708" t="s">
        <v>1915</v>
      </c>
    </row>
    <row r="6709" spans="1:42">
      <c r="A6709" s="1">
        <v>43837</v>
      </c>
      <c r="B6709">
        <v>2</v>
      </c>
      <c r="C6709">
        <v>984</v>
      </c>
      <c r="D6709">
        <v>10425</v>
      </c>
      <c r="E6709" t="s">
        <v>37</v>
      </c>
      <c r="F6709" t="s">
        <v>520</v>
      </c>
      <c r="G6709">
        <v>2</v>
      </c>
      <c r="H6709">
        <v>67</v>
      </c>
      <c r="I6709" s="25">
        <v>1855</v>
      </c>
      <c r="K6709" t="s">
        <v>647</v>
      </c>
      <c r="L6709" t="s">
        <v>141</v>
      </c>
      <c r="M6709" t="s">
        <v>52</v>
      </c>
      <c r="N6709" t="s">
        <v>44</v>
      </c>
      <c r="O6709">
        <f>60+20</f>
        <v>80</v>
      </c>
      <c r="Q6709">
        <f t="shared" si="115"/>
        <v>2</v>
      </c>
      <c r="R6709">
        <v>1</v>
      </c>
      <c r="S6709">
        <v>0</v>
      </c>
      <c r="T6709">
        <v>0</v>
      </c>
      <c r="U6709">
        <v>0</v>
      </c>
      <c r="V6709">
        <v>0</v>
      </c>
      <c r="W6709">
        <v>2</v>
      </c>
      <c r="X6709" s="21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f t="shared" si="116"/>
        <v>192</v>
      </c>
      <c r="AP6709" t="s">
        <v>1915</v>
      </c>
    </row>
    <row r="6710" spans="1:42">
      <c r="A6710" s="1">
        <v>43837</v>
      </c>
      <c r="B6710">
        <v>2</v>
      </c>
      <c r="C6710">
        <v>984</v>
      </c>
      <c r="D6710">
        <v>10425</v>
      </c>
      <c r="E6710" t="s">
        <v>37</v>
      </c>
      <c r="F6710" t="s">
        <v>520</v>
      </c>
      <c r="G6710">
        <v>2</v>
      </c>
      <c r="H6710">
        <v>68</v>
      </c>
      <c r="I6710" s="25">
        <v>1880</v>
      </c>
      <c r="K6710" t="s">
        <v>647</v>
      </c>
      <c r="L6710" t="s">
        <v>114</v>
      </c>
      <c r="M6710" t="s">
        <v>52</v>
      </c>
      <c r="N6710" t="s">
        <v>44</v>
      </c>
      <c r="O6710">
        <f>2*60+35</f>
        <v>155</v>
      </c>
      <c r="Q6710">
        <f t="shared" si="115"/>
        <v>2</v>
      </c>
      <c r="R6710">
        <v>1</v>
      </c>
      <c r="S6710">
        <v>0</v>
      </c>
      <c r="T6710">
        <v>0</v>
      </c>
      <c r="U6710">
        <v>0</v>
      </c>
      <c r="V6710">
        <v>0</v>
      </c>
      <c r="W6710">
        <v>2</v>
      </c>
      <c r="X6710" s="21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f t="shared" si="116"/>
        <v>192</v>
      </c>
      <c r="AL6710" t="s">
        <v>597</v>
      </c>
      <c r="AP6710" t="s">
        <v>1915</v>
      </c>
    </row>
    <row r="6711" spans="1:42">
      <c r="A6711" s="1">
        <v>43837</v>
      </c>
      <c r="B6711">
        <v>2</v>
      </c>
      <c r="C6711">
        <v>984</v>
      </c>
      <c r="D6711">
        <v>10425</v>
      </c>
      <c r="E6711" t="s">
        <v>37</v>
      </c>
      <c r="F6711" t="s">
        <v>520</v>
      </c>
      <c r="G6711">
        <v>2</v>
      </c>
      <c r="H6711">
        <v>69</v>
      </c>
      <c r="I6711" s="25">
        <v>1735</v>
      </c>
      <c r="K6711" t="s">
        <v>605</v>
      </c>
      <c r="L6711" t="s">
        <v>141</v>
      </c>
      <c r="M6711" t="s">
        <v>52</v>
      </c>
      <c r="N6711" t="s">
        <v>44</v>
      </c>
      <c r="O6711">
        <f>3*60+21</f>
        <v>201</v>
      </c>
      <c r="Q6711">
        <f t="shared" si="115"/>
        <v>2</v>
      </c>
      <c r="R6711">
        <v>1</v>
      </c>
      <c r="S6711">
        <v>0</v>
      </c>
      <c r="T6711">
        <v>0</v>
      </c>
      <c r="U6711">
        <v>0</v>
      </c>
      <c r="V6711">
        <v>0</v>
      </c>
      <c r="W6711">
        <v>2</v>
      </c>
      <c r="X6711" s="2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f t="shared" si="116"/>
        <v>192</v>
      </c>
      <c r="AP6711" t="s">
        <v>1915</v>
      </c>
    </row>
    <row r="6712" spans="1:42">
      <c r="A6712" s="1">
        <v>43837</v>
      </c>
      <c r="B6712">
        <v>2</v>
      </c>
      <c r="C6712">
        <v>984</v>
      </c>
      <c r="D6712">
        <v>10425</v>
      </c>
      <c r="E6712" t="s">
        <v>37</v>
      </c>
      <c r="F6712" t="s">
        <v>520</v>
      </c>
      <c r="G6712">
        <v>2</v>
      </c>
      <c r="H6712">
        <v>70</v>
      </c>
      <c r="I6712" s="25">
        <v>1750</v>
      </c>
      <c r="K6712" t="s">
        <v>605</v>
      </c>
      <c r="L6712" t="s">
        <v>114</v>
      </c>
      <c r="M6712" t="s">
        <v>52</v>
      </c>
      <c r="N6712" t="s">
        <v>44</v>
      </c>
      <c r="O6712">
        <f>1*60+21</f>
        <v>81</v>
      </c>
      <c r="Q6712">
        <f t="shared" si="115"/>
        <v>1</v>
      </c>
      <c r="R6712">
        <v>1</v>
      </c>
      <c r="S6712">
        <v>0</v>
      </c>
      <c r="T6712">
        <v>0</v>
      </c>
      <c r="U6712">
        <v>0</v>
      </c>
      <c r="V6712">
        <v>0</v>
      </c>
      <c r="W6712">
        <v>1</v>
      </c>
      <c r="X6712" s="21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f t="shared" si="116"/>
        <v>96</v>
      </c>
      <c r="AP6712" t="s">
        <v>1915</v>
      </c>
    </row>
    <row r="6713" spans="1:42">
      <c r="A6713" s="1">
        <v>43837</v>
      </c>
      <c r="B6713">
        <v>2</v>
      </c>
      <c r="C6713">
        <v>984</v>
      </c>
      <c r="D6713">
        <v>10425</v>
      </c>
      <c r="E6713" t="s">
        <v>37</v>
      </c>
      <c r="F6713" t="s">
        <v>520</v>
      </c>
      <c r="G6713">
        <v>2</v>
      </c>
      <c r="H6713">
        <v>71</v>
      </c>
      <c r="I6713" s="25">
        <v>1737</v>
      </c>
      <c r="K6713" t="s">
        <v>605</v>
      </c>
      <c r="L6713" t="s">
        <v>141</v>
      </c>
      <c r="M6713" t="s">
        <v>52</v>
      </c>
      <c r="N6713" t="s">
        <v>44</v>
      </c>
      <c r="O6713">
        <f>3*60+25</f>
        <v>205</v>
      </c>
      <c r="Q6713">
        <f t="shared" si="115"/>
        <v>3</v>
      </c>
      <c r="R6713">
        <v>1</v>
      </c>
      <c r="S6713">
        <v>0</v>
      </c>
      <c r="T6713">
        <v>0</v>
      </c>
      <c r="U6713">
        <v>0</v>
      </c>
      <c r="V6713">
        <v>0</v>
      </c>
      <c r="W6713">
        <v>3</v>
      </c>
      <c r="X6713" s="21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1</v>
      </c>
      <c r="AG6713">
        <v>0</v>
      </c>
      <c r="AH6713">
        <f t="shared" si="116"/>
        <v>288</v>
      </c>
      <c r="AP6713" t="s">
        <v>1915</v>
      </c>
    </row>
    <row r="6714" spans="1:42">
      <c r="A6714" s="1">
        <v>43837</v>
      </c>
      <c r="B6714">
        <v>2</v>
      </c>
      <c r="C6714">
        <v>984</v>
      </c>
      <c r="D6714">
        <v>10425</v>
      </c>
      <c r="E6714" t="s">
        <v>37</v>
      </c>
      <c r="F6714" t="s">
        <v>520</v>
      </c>
      <c r="G6714">
        <v>2</v>
      </c>
      <c r="H6714">
        <v>72</v>
      </c>
      <c r="I6714" s="25">
        <v>1815</v>
      </c>
      <c r="K6714" t="s">
        <v>647</v>
      </c>
      <c r="L6714" t="s">
        <v>141</v>
      </c>
      <c r="M6714" t="s">
        <v>52</v>
      </c>
      <c r="N6714" t="s">
        <v>42</v>
      </c>
      <c r="O6714">
        <f>2*60+55</f>
        <v>175</v>
      </c>
      <c r="Q6714">
        <f t="shared" si="115"/>
        <v>4</v>
      </c>
      <c r="R6714">
        <v>1</v>
      </c>
      <c r="S6714">
        <v>0</v>
      </c>
      <c r="T6714">
        <v>0</v>
      </c>
      <c r="U6714">
        <v>0</v>
      </c>
      <c r="V6714">
        <v>2</v>
      </c>
      <c r="W6714">
        <v>2</v>
      </c>
      <c r="X6714" s="21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f t="shared" si="116"/>
        <v>320</v>
      </c>
      <c r="AP6714" t="s">
        <v>1915</v>
      </c>
    </row>
    <row r="6715" spans="1:42">
      <c r="A6715" s="1">
        <v>43837</v>
      </c>
      <c r="B6715">
        <v>2</v>
      </c>
      <c r="C6715">
        <v>984</v>
      </c>
      <c r="D6715">
        <v>10425</v>
      </c>
      <c r="E6715" t="s">
        <v>37</v>
      </c>
      <c r="F6715" t="s">
        <v>520</v>
      </c>
      <c r="G6715">
        <v>2</v>
      </c>
      <c r="H6715">
        <v>73</v>
      </c>
      <c r="I6715" s="25">
        <v>1824</v>
      </c>
      <c r="K6715" t="s">
        <v>647</v>
      </c>
      <c r="L6715" t="s">
        <v>114</v>
      </c>
      <c r="M6715" t="s">
        <v>52</v>
      </c>
      <c r="N6715" t="s">
        <v>44</v>
      </c>
      <c r="O6715">
        <f>60+60+58</f>
        <v>178</v>
      </c>
      <c r="Q6715">
        <f t="shared" si="115"/>
        <v>3</v>
      </c>
      <c r="R6715">
        <v>1</v>
      </c>
      <c r="S6715">
        <v>0</v>
      </c>
      <c r="T6715">
        <v>0</v>
      </c>
      <c r="U6715">
        <v>0</v>
      </c>
      <c r="V6715">
        <v>0</v>
      </c>
      <c r="W6715">
        <v>3</v>
      </c>
      <c r="X6715" s="21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f t="shared" si="116"/>
        <v>288</v>
      </c>
      <c r="AP6715" t="s">
        <v>1915</v>
      </c>
    </row>
    <row r="6716" spans="1:42">
      <c r="A6716" s="1">
        <v>43837</v>
      </c>
      <c r="B6716">
        <v>2</v>
      </c>
      <c r="C6716">
        <v>984</v>
      </c>
      <c r="D6716">
        <v>10425</v>
      </c>
      <c r="E6716" t="s">
        <v>37</v>
      </c>
      <c r="F6716" t="s">
        <v>520</v>
      </c>
      <c r="G6716">
        <v>2</v>
      </c>
      <c r="H6716">
        <v>74</v>
      </c>
      <c r="I6716" s="25">
        <v>1819</v>
      </c>
      <c r="K6716" t="s">
        <v>647</v>
      </c>
      <c r="L6716" t="s">
        <v>141</v>
      </c>
      <c r="M6716" t="s">
        <v>52</v>
      </c>
      <c r="N6716" t="s">
        <v>44</v>
      </c>
      <c r="O6716">
        <f>60*2+57</f>
        <v>177</v>
      </c>
      <c r="Q6716">
        <f t="shared" si="115"/>
        <v>1</v>
      </c>
      <c r="R6716">
        <v>1</v>
      </c>
      <c r="S6716">
        <v>0</v>
      </c>
      <c r="T6716">
        <v>0</v>
      </c>
      <c r="U6716">
        <v>0</v>
      </c>
      <c r="V6716">
        <v>0</v>
      </c>
      <c r="W6716">
        <v>1</v>
      </c>
      <c r="X6716" s="21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f t="shared" si="116"/>
        <v>96</v>
      </c>
      <c r="AP6716" t="s">
        <v>1915</v>
      </c>
    </row>
    <row r="6717" spans="1:42">
      <c r="A6717" s="1">
        <v>43837</v>
      </c>
      <c r="B6717">
        <v>2</v>
      </c>
      <c r="C6717">
        <v>984</v>
      </c>
      <c r="D6717">
        <v>10425</v>
      </c>
      <c r="E6717" t="s">
        <v>37</v>
      </c>
      <c r="F6717" t="s">
        <v>520</v>
      </c>
      <c r="G6717">
        <v>2</v>
      </c>
      <c r="H6717">
        <v>75</v>
      </c>
      <c r="I6717" s="25">
        <v>1830</v>
      </c>
      <c r="K6717" t="s">
        <v>647</v>
      </c>
      <c r="L6717" t="s">
        <v>114</v>
      </c>
      <c r="M6717" t="s">
        <v>52</v>
      </c>
      <c r="N6717" t="s">
        <v>44</v>
      </c>
      <c r="O6717">
        <f>1*60+15</f>
        <v>75</v>
      </c>
      <c r="Q6717">
        <f t="shared" si="115"/>
        <v>1</v>
      </c>
      <c r="R6717">
        <v>1</v>
      </c>
      <c r="S6717">
        <v>0</v>
      </c>
      <c r="T6717">
        <v>0</v>
      </c>
      <c r="U6717">
        <v>0</v>
      </c>
      <c r="V6717">
        <v>0</v>
      </c>
      <c r="W6717">
        <v>1</v>
      </c>
      <c r="X6717" s="21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f t="shared" si="116"/>
        <v>96</v>
      </c>
      <c r="AP6717" t="s">
        <v>1915</v>
      </c>
    </row>
    <row r="6718" spans="1:42">
      <c r="A6718" s="1">
        <v>43837</v>
      </c>
      <c r="B6718">
        <v>2</v>
      </c>
      <c r="C6718">
        <v>984</v>
      </c>
      <c r="D6718">
        <v>10425</v>
      </c>
      <c r="E6718" t="s">
        <v>37</v>
      </c>
      <c r="F6718" t="s">
        <v>520</v>
      </c>
      <c r="G6718">
        <v>2</v>
      </c>
      <c r="H6718">
        <v>76</v>
      </c>
      <c r="I6718" s="25">
        <v>1700</v>
      </c>
      <c r="K6718" t="s">
        <v>647</v>
      </c>
      <c r="L6718" t="s">
        <v>114</v>
      </c>
      <c r="M6718" t="s">
        <v>52</v>
      </c>
      <c r="N6718" t="s">
        <v>44</v>
      </c>
      <c r="O6718">
        <f>60*4+3</f>
        <v>243</v>
      </c>
      <c r="Q6718">
        <f t="shared" si="115"/>
        <v>4</v>
      </c>
      <c r="R6718">
        <v>1</v>
      </c>
      <c r="S6718">
        <v>0</v>
      </c>
      <c r="T6718">
        <v>0</v>
      </c>
      <c r="U6718">
        <v>0</v>
      </c>
      <c r="V6718">
        <v>0</v>
      </c>
      <c r="W6718">
        <v>4</v>
      </c>
      <c r="X6718" s="21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f t="shared" si="116"/>
        <v>384</v>
      </c>
      <c r="AP6718" t="s">
        <v>1915</v>
      </c>
    </row>
    <row r="6719" spans="1:42">
      <c r="A6719" s="1">
        <v>43837</v>
      </c>
      <c r="B6719">
        <v>2</v>
      </c>
      <c r="C6719">
        <v>984</v>
      </c>
      <c r="D6719">
        <v>10425</v>
      </c>
      <c r="E6719" t="s">
        <v>37</v>
      </c>
      <c r="F6719" t="s">
        <v>520</v>
      </c>
      <c r="G6719">
        <v>2</v>
      </c>
      <c r="H6719">
        <v>77</v>
      </c>
      <c r="I6719" s="25">
        <v>2120</v>
      </c>
      <c r="K6719" t="s">
        <v>631</v>
      </c>
      <c r="L6719" t="s">
        <v>114</v>
      </c>
      <c r="M6719" t="s">
        <v>52</v>
      </c>
      <c r="N6719" t="s">
        <v>40</v>
      </c>
      <c r="O6719">
        <f>2*60+18</f>
        <v>138</v>
      </c>
      <c r="Q6719">
        <f t="shared" si="115"/>
        <v>1</v>
      </c>
      <c r="R6719">
        <v>1</v>
      </c>
      <c r="S6719">
        <v>0</v>
      </c>
      <c r="T6719">
        <v>0</v>
      </c>
      <c r="U6719">
        <v>1</v>
      </c>
      <c r="V6719">
        <v>0</v>
      </c>
      <c r="W6719">
        <v>0</v>
      </c>
      <c r="X6719" s="21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f t="shared" si="116"/>
        <v>32</v>
      </c>
      <c r="AP6719" t="s">
        <v>1915</v>
      </c>
    </row>
    <row r="6720" spans="1:42">
      <c r="A6720" s="1">
        <v>43838</v>
      </c>
      <c r="B6720">
        <v>3</v>
      </c>
      <c r="C6720">
        <v>979</v>
      </c>
      <c r="D6720">
        <v>10415</v>
      </c>
      <c r="E6720" t="s">
        <v>37</v>
      </c>
      <c r="F6720" t="s">
        <v>520</v>
      </c>
      <c r="G6720">
        <v>2</v>
      </c>
      <c r="H6720">
        <v>1</v>
      </c>
      <c r="I6720" s="25">
        <v>1336</v>
      </c>
      <c r="K6720" t="s">
        <v>647</v>
      </c>
      <c r="L6720" t="s">
        <v>114</v>
      </c>
      <c r="M6720" t="s">
        <v>52</v>
      </c>
      <c r="N6720" t="s">
        <v>44</v>
      </c>
      <c r="O6720">
        <f>2*60+42</f>
        <v>162</v>
      </c>
      <c r="Q6720">
        <f t="shared" ref="Q6720:Q6783" si="117">SUM(S6720:AE6720)</f>
        <v>1</v>
      </c>
      <c r="R6720">
        <v>1</v>
      </c>
      <c r="S6720">
        <v>0</v>
      </c>
      <c r="T6720">
        <v>0</v>
      </c>
      <c r="U6720">
        <v>1</v>
      </c>
      <c r="V6720">
        <v>0</v>
      </c>
      <c r="W6720">
        <v>0</v>
      </c>
      <c r="X6720" s="21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f t="shared" si="116"/>
        <v>32</v>
      </c>
      <c r="AL6720" t="s">
        <v>597</v>
      </c>
      <c r="AP6720" t="s">
        <v>1915</v>
      </c>
    </row>
    <row r="6721" spans="1:42">
      <c r="A6721" s="1">
        <v>43838</v>
      </c>
      <c r="B6721">
        <v>3</v>
      </c>
      <c r="C6721">
        <v>979</v>
      </c>
      <c r="D6721">
        <v>10415</v>
      </c>
      <c r="E6721" t="s">
        <v>37</v>
      </c>
      <c r="F6721" t="s">
        <v>520</v>
      </c>
      <c r="G6721">
        <v>2</v>
      </c>
      <c r="H6721">
        <v>2</v>
      </c>
      <c r="I6721" s="25">
        <v>1344</v>
      </c>
      <c r="K6721" t="s">
        <v>647</v>
      </c>
      <c r="L6721" t="s">
        <v>114</v>
      </c>
      <c r="M6721" t="s">
        <v>52</v>
      </c>
      <c r="N6721" t="s">
        <v>44</v>
      </c>
      <c r="O6721">
        <f>60*1+32</f>
        <v>92</v>
      </c>
      <c r="Q6721">
        <f t="shared" si="117"/>
        <v>1</v>
      </c>
      <c r="R6721">
        <v>1</v>
      </c>
      <c r="S6721">
        <v>0</v>
      </c>
      <c r="T6721">
        <v>0</v>
      </c>
      <c r="U6721">
        <v>0</v>
      </c>
      <c r="V6721">
        <v>0</v>
      </c>
      <c r="W6721">
        <v>1</v>
      </c>
      <c r="X6721" s="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f t="shared" si="116"/>
        <v>96</v>
      </c>
      <c r="AL6721" t="s">
        <v>597</v>
      </c>
      <c r="AP6721" t="s">
        <v>1915</v>
      </c>
    </row>
    <row r="6722" spans="1:42">
      <c r="A6722" s="1">
        <v>43838</v>
      </c>
      <c r="B6722">
        <v>3</v>
      </c>
      <c r="C6722">
        <v>979</v>
      </c>
      <c r="D6722">
        <v>10415</v>
      </c>
      <c r="E6722" t="s">
        <v>37</v>
      </c>
      <c r="F6722" t="s">
        <v>520</v>
      </c>
      <c r="G6722">
        <v>2</v>
      </c>
      <c r="H6722">
        <v>3</v>
      </c>
      <c r="I6722" s="25">
        <v>1369</v>
      </c>
      <c r="K6722" t="s">
        <v>828</v>
      </c>
      <c r="L6722" t="s">
        <v>141</v>
      </c>
      <c r="M6722" t="s">
        <v>52</v>
      </c>
      <c r="N6722" t="s">
        <v>44</v>
      </c>
      <c r="O6722">
        <f>5*60</f>
        <v>300</v>
      </c>
      <c r="Q6722">
        <f t="shared" si="117"/>
        <v>6</v>
      </c>
      <c r="R6722">
        <v>1</v>
      </c>
      <c r="S6722">
        <v>0</v>
      </c>
      <c r="T6722">
        <v>0</v>
      </c>
      <c r="U6722">
        <v>0</v>
      </c>
      <c r="V6722">
        <v>0</v>
      </c>
      <c r="W6722">
        <v>6</v>
      </c>
      <c r="X6722" s="21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f t="shared" ref="AH6722:AH6785" si="118">(16*S6722)+(20*T6722)+(32*U6722)+(64*V6722)+(96*W6722)</f>
        <v>576</v>
      </c>
      <c r="AP6722" t="s">
        <v>1915</v>
      </c>
    </row>
    <row r="6723" spans="1:42">
      <c r="A6723" s="1">
        <v>43838</v>
      </c>
      <c r="B6723">
        <v>3</v>
      </c>
      <c r="C6723">
        <v>979</v>
      </c>
      <c r="D6723">
        <v>10415</v>
      </c>
      <c r="E6723" t="s">
        <v>37</v>
      </c>
      <c r="F6723" t="s">
        <v>520</v>
      </c>
      <c r="G6723">
        <v>2</v>
      </c>
      <c r="H6723">
        <v>4</v>
      </c>
      <c r="I6723" s="25">
        <v>1585</v>
      </c>
      <c r="K6723" t="s">
        <v>516</v>
      </c>
      <c r="L6723" t="s">
        <v>141</v>
      </c>
      <c r="M6723" t="s">
        <v>52</v>
      </c>
      <c r="N6723" t="s">
        <v>44</v>
      </c>
      <c r="O6723">
        <f>60+49</f>
        <v>109</v>
      </c>
      <c r="Q6723">
        <f t="shared" si="117"/>
        <v>1</v>
      </c>
      <c r="R6723">
        <v>1</v>
      </c>
      <c r="S6723">
        <v>0</v>
      </c>
      <c r="T6723">
        <v>0</v>
      </c>
      <c r="U6723">
        <v>0</v>
      </c>
      <c r="V6723">
        <v>0</v>
      </c>
      <c r="W6723">
        <v>1</v>
      </c>
      <c r="X6723" s="21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f t="shared" si="118"/>
        <v>96</v>
      </c>
      <c r="AP6723" t="s">
        <v>1915</v>
      </c>
    </row>
    <row r="6724" spans="1:42">
      <c r="A6724" s="1">
        <v>43838</v>
      </c>
      <c r="B6724">
        <v>3</v>
      </c>
      <c r="C6724">
        <v>979</v>
      </c>
      <c r="D6724">
        <v>10415</v>
      </c>
      <c r="E6724" t="s">
        <v>37</v>
      </c>
      <c r="F6724" t="s">
        <v>520</v>
      </c>
      <c r="G6724">
        <v>2</v>
      </c>
      <c r="H6724">
        <v>5</v>
      </c>
      <c r="I6724" s="25">
        <v>1629</v>
      </c>
      <c r="K6724" t="s">
        <v>516</v>
      </c>
      <c r="L6724" t="s">
        <v>141</v>
      </c>
      <c r="M6724" t="s">
        <v>52</v>
      </c>
      <c r="N6724" t="s">
        <v>44</v>
      </c>
      <c r="O6724">
        <f>60+52</f>
        <v>112</v>
      </c>
      <c r="Q6724">
        <f t="shared" si="117"/>
        <v>1</v>
      </c>
      <c r="R6724">
        <v>1</v>
      </c>
      <c r="S6724">
        <v>0</v>
      </c>
      <c r="T6724">
        <v>0</v>
      </c>
      <c r="U6724">
        <v>0</v>
      </c>
      <c r="V6724">
        <v>1</v>
      </c>
      <c r="W6724">
        <v>0</v>
      </c>
      <c r="X6724" s="21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f t="shared" si="118"/>
        <v>64</v>
      </c>
      <c r="AP6724" t="s">
        <v>1915</v>
      </c>
    </row>
    <row r="6725" spans="1:42">
      <c r="A6725" s="1">
        <v>43838</v>
      </c>
      <c r="B6725">
        <v>3</v>
      </c>
      <c r="C6725">
        <v>979</v>
      </c>
      <c r="D6725">
        <v>10415</v>
      </c>
      <c r="E6725" t="s">
        <v>37</v>
      </c>
      <c r="F6725" t="s">
        <v>520</v>
      </c>
      <c r="G6725">
        <v>2</v>
      </c>
      <c r="H6725">
        <v>6</v>
      </c>
      <c r="I6725" s="25">
        <v>1644</v>
      </c>
      <c r="K6725" t="s">
        <v>516</v>
      </c>
      <c r="L6725" t="s">
        <v>114</v>
      </c>
      <c r="M6725" t="s">
        <v>52</v>
      </c>
      <c r="N6725" t="s">
        <v>44</v>
      </c>
      <c r="O6725">
        <f>60+60+60+54</f>
        <v>234</v>
      </c>
      <c r="Q6725">
        <f t="shared" si="117"/>
        <v>2</v>
      </c>
      <c r="R6725">
        <v>1</v>
      </c>
      <c r="S6725">
        <v>0</v>
      </c>
      <c r="T6725">
        <v>0</v>
      </c>
      <c r="U6725">
        <v>0</v>
      </c>
      <c r="V6725">
        <v>1</v>
      </c>
      <c r="W6725">
        <v>1</v>
      </c>
      <c r="X6725" s="21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f t="shared" si="118"/>
        <v>160</v>
      </c>
      <c r="AP6725" t="s">
        <v>1915</v>
      </c>
    </row>
    <row r="6726" spans="1:42">
      <c r="A6726" s="1">
        <v>43838</v>
      </c>
      <c r="B6726">
        <v>3</v>
      </c>
      <c r="C6726">
        <v>979</v>
      </c>
      <c r="D6726">
        <v>10415</v>
      </c>
      <c r="E6726" t="s">
        <v>37</v>
      </c>
      <c r="F6726" t="s">
        <v>520</v>
      </c>
      <c r="G6726">
        <v>2</v>
      </c>
      <c r="H6726">
        <v>7</v>
      </c>
      <c r="I6726" s="25">
        <v>1690</v>
      </c>
      <c r="K6726" t="s">
        <v>516</v>
      </c>
      <c r="L6726" t="s">
        <v>114</v>
      </c>
      <c r="M6726" t="s">
        <v>52</v>
      </c>
      <c r="N6726" t="s">
        <v>44</v>
      </c>
      <c r="O6726">
        <f>60+60+42</f>
        <v>162</v>
      </c>
      <c r="Q6726">
        <f t="shared" si="117"/>
        <v>1</v>
      </c>
      <c r="R6726">
        <v>1</v>
      </c>
      <c r="S6726">
        <v>0</v>
      </c>
      <c r="T6726">
        <v>0</v>
      </c>
      <c r="U6726">
        <v>0</v>
      </c>
      <c r="V6726">
        <v>1</v>
      </c>
      <c r="W6726">
        <v>0</v>
      </c>
      <c r="X6726" s="21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f t="shared" si="118"/>
        <v>64</v>
      </c>
      <c r="AL6726" t="s">
        <v>2060</v>
      </c>
      <c r="AP6726" t="s">
        <v>1915</v>
      </c>
    </row>
    <row r="6727" spans="1:42">
      <c r="A6727" s="1">
        <v>43838</v>
      </c>
      <c r="B6727">
        <v>3</v>
      </c>
      <c r="C6727">
        <v>979</v>
      </c>
      <c r="D6727">
        <v>10415</v>
      </c>
      <c r="E6727" t="s">
        <v>37</v>
      </c>
      <c r="F6727" t="s">
        <v>520</v>
      </c>
      <c r="G6727">
        <v>2</v>
      </c>
      <c r="H6727">
        <v>8</v>
      </c>
      <c r="I6727" s="25">
        <v>1924</v>
      </c>
      <c r="K6727" t="s">
        <v>414</v>
      </c>
      <c r="L6727" t="s">
        <v>114</v>
      </c>
      <c r="M6727" t="s">
        <v>52</v>
      </c>
      <c r="N6727" t="s">
        <v>44</v>
      </c>
      <c r="O6727">
        <f>60+30</f>
        <v>90</v>
      </c>
      <c r="Q6727">
        <f t="shared" si="117"/>
        <v>1</v>
      </c>
      <c r="R6727">
        <v>1</v>
      </c>
      <c r="S6727">
        <v>0</v>
      </c>
      <c r="T6727">
        <v>0</v>
      </c>
      <c r="U6727">
        <v>1</v>
      </c>
      <c r="V6727">
        <v>0</v>
      </c>
      <c r="W6727">
        <v>0</v>
      </c>
      <c r="X6727" s="21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f t="shared" si="118"/>
        <v>32</v>
      </c>
      <c r="AP6727" t="s">
        <v>1915</v>
      </c>
    </row>
    <row r="6728" spans="1:42">
      <c r="A6728" s="1">
        <v>43838</v>
      </c>
      <c r="B6728">
        <v>3</v>
      </c>
      <c r="C6728">
        <v>979</v>
      </c>
      <c r="D6728">
        <v>10415</v>
      </c>
      <c r="E6728" t="s">
        <v>37</v>
      </c>
      <c r="F6728" t="s">
        <v>520</v>
      </c>
      <c r="G6728">
        <v>2</v>
      </c>
      <c r="H6728">
        <v>9</v>
      </c>
      <c r="I6728" s="25">
        <v>1601</v>
      </c>
      <c r="K6728" t="s">
        <v>605</v>
      </c>
      <c r="L6728" t="s">
        <v>141</v>
      </c>
      <c r="M6728" t="s">
        <v>52</v>
      </c>
      <c r="N6728" t="s">
        <v>44</v>
      </c>
      <c r="O6728">
        <f>60+60+21</f>
        <v>141</v>
      </c>
      <c r="Q6728">
        <f t="shared" si="117"/>
        <v>2</v>
      </c>
      <c r="R6728">
        <v>1</v>
      </c>
      <c r="S6728">
        <v>0</v>
      </c>
      <c r="T6728">
        <v>0</v>
      </c>
      <c r="U6728">
        <v>0</v>
      </c>
      <c r="V6728">
        <v>0</v>
      </c>
      <c r="W6728">
        <v>2</v>
      </c>
      <c r="X6728" s="21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f t="shared" si="118"/>
        <v>192</v>
      </c>
      <c r="AP6728" t="s">
        <v>1915</v>
      </c>
    </row>
    <row r="6729" spans="1:42">
      <c r="A6729" s="1">
        <v>43838</v>
      </c>
      <c r="B6729">
        <v>3</v>
      </c>
      <c r="C6729">
        <v>979</v>
      </c>
      <c r="D6729">
        <v>10415</v>
      </c>
      <c r="E6729" t="s">
        <v>37</v>
      </c>
      <c r="F6729" t="s">
        <v>520</v>
      </c>
      <c r="G6729">
        <v>2</v>
      </c>
      <c r="H6729">
        <v>10</v>
      </c>
      <c r="I6729" s="25">
        <v>2146</v>
      </c>
      <c r="K6729" t="s">
        <v>415</v>
      </c>
      <c r="L6729" t="s">
        <v>114</v>
      </c>
      <c r="M6729" t="s">
        <v>52</v>
      </c>
      <c r="N6729" t="s">
        <v>44</v>
      </c>
      <c r="O6729">
        <f>60+53</f>
        <v>113</v>
      </c>
      <c r="Q6729">
        <f t="shared" si="117"/>
        <v>1</v>
      </c>
      <c r="R6729">
        <v>1</v>
      </c>
      <c r="S6729">
        <v>0</v>
      </c>
      <c r="T6729">
        <v>0</v>
      </c>
      <c r="U6729">
        <v>0</v>
      </c>
      <c r="V6729">
        <v>0</v>
      </c>
      <c r="W6729">
        <v>1</v>
      </c>
      <c r="X6729" s="21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f t="shared" si="118"/>
        <v>96</v>
      </c>
      <c r="AP6729" t="s">
        <v>1915</v>
      </c>
    </row>
    <row r="6730" spans="1:42">
      <c r="A6730" s="1">
        <v>43838</v>
      </c>
      <c r="B6730">
        <v>3</v>
      </c>
      <c r="C6730">
        <v>979</v>
      </c>
      <c r="D6730">
        <v>10415</v>
      </c>
      <c r="E6730" t="s">
        <v>37</v>
      </c>
      <c r="F6730" t="s">
        <v>520</v>
      </c>
      <c r="G6730">
        <v>2</v>
      </c>
      <c r="H6730">
        <v>11</v>
      </c>
      <c r="I6730" s="25">
        <v>1575</v>
      </c>
      <c r="K6730" t="s">
        <v>185</v>
      </c>
      <c r="L6730" t="s">
        <v>141</v>
      </c>
      <c r="M6730" t="s">
        <v>52</v>
      </c>
      <c r="N6730" t="s">
        <v>44</v>
      </c>
      <c r="O6730">
        <f>60+43</f>
        <v>103</v>
      </c>
      <c r="Q6730">
        <f t="shared" si="117"/>
        <v>2</v>
      </c>
      <c r="R6730">
        <v>1</v>
      </c>
      <c r="S6730">
        <v>0</v>
      </c>
      <c r="T6730">
        <v>0</v>
      </c>
      <c r="U6730">
        <v>0</v>
      </c>
      <c r="V6730">
        <v>0</v>
      </c>
      <c r="W6730">
        <v>2</v>
      </c>
      <c r="X6730" s="21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f t="shared" si="118"/>
        <v>192</v>
      </c>
      <c r="AP6730" t="s">
        <v>1915</v>
      </c>
    </row>
    <row r="6731" spans="1:42">
      <c r="A6731" s="1">
        <v>43838</v>
      </c>
      <c r="B6731">
        <v>3</v>
      </c>
      <c r="C6731">
        <v>979</v>
      </c>
      <c r="D6731">
        <v>10415</v>
      </c>
      <c r="E6731" t="s">
        <v>37</v>
      </c>
      <c r="F6731" t="s">
        <v>520</v>
      </c>
      <c r="G6731">
        <v>2</v>
      </c>
      <c r="H6731">
        <v>12</v>
      </c>
      <c r="I6731" s="25">
        <v>1565</v>
      </c>
      <c r="K6731" t="s">
        <v>185</v>
      </c>
      <c r="L6731" t="s">
        <v>141</v>
      </c>
      <c r="M6731" t="s">
        <v>52</v>
      </c>
      <c r="N6731" t="s">
        <v>44</v>
      </c>
      <c r="O6731">
        <f>60+60+5</f>
        <v>125</v>
      </c>
      <c r="Q6731">
        <f t="shared" si="117"/>
        <v>2</v>
      </c>
      <c r="R6731">
        <v>1</v>
      </c>
      <c r="S6731">
        <v>0</v>
      </c>
      <c r="T6731">
        <v>0</v>
      </c>
      <c r="U6731">
        <v>0</v>
      </c>
      <c r="V6731">
        <v>0</v>
      </c>
      <c r="W6731">
        <v>2</v>
      </c>
      <c r="X6731" s="2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f t="shared" si="118"/>
        <v>192</v>
      </c>
      <c r="AP6731" t="s">
        <v>1915</v>
      </c>
    </row>
    <row r="6732" spans="1:42">
      <c r="A6732" s="1">
        <v>43838</v>
      </c>
      <c r="B6732">
        <v>3</v>
      </c>
      <c r="C6732">
        <v>979</v>
      </c>
      <c r="D6732">
        <v>10415</v>
      </c>
      <c r="E6732" t="s">
        <v>37</v>
      </c>
      <c r="F6732" t="s">
        <v>520</v>
      </c>
      <c r="G6732">
        <v>2</v>
      </c>
      <c r="H6732">
        <v>13</v>
      </c>
      <c r="I6732" s="25">
        <v>1545</v>
      </c>
      <c r="K6732" t="s">
        <v>185</v>
      </c>
      <c r="L6732" t="s">
        <v>141</v>
      </c>
      <c r="M6732" t="s">
        <v>52</v>
      </c>
      <c r="N6732" t="s">
        <v>44</v>
      </c>
      <c r="O6732">
        <f>60+60+60+60+60+13</f>
        <v>313</v>
      </c>
      <c r="Q6732">
        <f t="shared" si="117"/>
        <v>3</v>
      </c>
      <c r="R6732">
        <v>1</v>
      </c>
      <c r="S6732">
        <v>0</v>
      </c>
      <c r="T6732">
        <v>0</v>
      </c>
      <c r="U6732">
        <v>0</v>
      </c>
      <c r="V6732">
        <v>0</v>
      </c>
      <c r="W6732">
        <v>3</v>
      </c>
      <c r="X6732" s="21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f t="shared" si="118"/>
        <v>288</v>
      </c>
      <c r="AP6732" t="s">
        <v>1915</v>
      </c>
    </row>
    <row r="6733" spans="1:42">
      <c r="A6733" s="1">
        <v>43838</v>
      </c>
      <c r="B6733">
        <v>3</v>
      </c>
      <c r="C6733">
        <v>979</v>
      </c>
      <c r="D6733">
        <v>10415</v>
      </c>
      <c r="E6733" t="s">
        <v>37</v>
      </c>
      <c r="F6733" t="s">
        <v>520</v>
      </c>
      <c r="G6733">
        <v>2</v>
      </c>
      <c r="H6733">
        <v>14</v>
      </c>
      <c r="I6733" s="25">
        <v>1515</v>
      </c>
      <c r="K6733" t="s">
        <v>185</v>
      </c>
      <c r="L6733" t="s">
        <v>141</v>
      </c>
      <c r="M6733" t="s">
        <v>52</v>
      </c>
      <c r="N6733" t="s">
        <v>44</v>
      </c>
      <c r="O6733">
        <f>60+60+58</f>
        <v>178</v>
      </c>
      <c r="Q6733">
        <f t="shared" si="117"/>
        <v>2</v>
      </c>
      <c r="R6733">
        <v>1</v>
      </c>
      <c r="S6733">
        <v>0</v>
      </c>
      <c r="T6733">
        <v>0</v>
      </c>
      <c r="U6733">
        <v>0</v>
      </c>
      <c r="V6733">
        <v>1</v>
      </c>
      <c r="W6733">
        <v>1</v>
      </c>
      <c r="X6733" s="21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f t="shared" si="118"/>
        <v>160</v>
      </c>
      <c r="AL6733" t="s">
        <v>2061</v>
      </c>
      <c r="AP6733" t="s">
        <v>1915</v>
      </c>
    </row>
    <row r="6734" spans="1:42">
      <c r="A6734" s="1">
        <v>43838</v>
      </c>
      <c r="B6734">
        <v>3</v>
      </c>
      <c r="C6734">
        <v>979</v>
      </c>
      <c r="D6734">
        <v>10415</v>
      </c>
      <c r="E6734" t="s">
        <v>37</v>
      </c>
      <c r="F6734" t="s">
        <v>520</v>
      </c>
      <c r="G6734">
        <v>2</v>
      </c>
      <c r="H6734">
        <v>15</v>
      </c>
      <c r="I6734" s="25">
        <v>1465</v>
      </c>
      <c r="K6734" t="s">
        <v>185</v>
      </c>
      <c r="L6734" t="s">
        <v>141</v>
      </c>
      <c r="M6734" t="s">
        <v>52</v>
      </c>
      <c r="N6734" t="s">
        <v>44</v>
      </c>
      <c r="O6734">
        <f>60+60+22</f>
        <v>142</v>
      </c>
      <c r="Q6734">
        <f t="shared" si="117"/>
        <v>2</v>
      </c>
      <c r="R6734">
        <v>1</v>
      </c>
      <c r="S6734">
        <v>0</v>
      </c>
      <c r="T6734">
        <v>0</v>
      </c>
      <c r="U6734">
        <v>0</v>
      </c>
      <c r="V6734">
        <v>0</v>
      </c>
      <c r="W6734">
        <v>2</v>
      </c>
      <c r="X6734" s="21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f t="shared" si="118"/>
        <v>192</v>
      </c>
      <c r="AP6734" t="s">
        <v>1915</v>
      </c>
    </row>
    <row r="6735" spans="1:42">
      <c r="A6735" s="1">
        <v>43838</v>
      </c>
      <c r="B6735">
        <v>3</v>
      </c>
      <c r="C6735">
        <v>979</v>
      </c>
      <c r="D6735">
        <v>10415</v>
      </c>
      <c r="E6735" t="s">
        <v>37</v>
      </c>
      <c r="F6735" t="s">
        <v>520</v>
      </c>
      <c r="G6735">
        <v>2</v>
      </c>
      <c r="H6735">
        <v>16</v>
      </c>
      <c r="I6735" s="25">
        <v>1400</v>
      </c>
      <c r="K6735" t="s">
        <v>185</v>
      </c>
      <c r="M6735" t="s">
        <v>52</v>
      </c>
      <c r="N6735" t="s">
        <v>40</v>
      </c>
      <c r="O6735">
        <v>56</v>
      </c>
      <c r="Q6735">
        <f t="shared" si="117"/>
        <v>1</v>
      </c>
      <c r="R6735">
        <v>1</v>
      </c>
      <c r="S6735">
        <v>0</v>
      </c>
      <c r="T6735">
        <v>0</v>
      </c>
      <c r="U6735">
        <v>0</v>
      </c>
      <c r="V6735">
        <v>1</v>
      </c>
      <c r="W6735">
        <v>0</v>
      </c>
      <c r="X6735" s="21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f t="shared" si="118"/>
        <v>64</v>
      </c>
      <c r="AP6735" t="s">
        <v>1915</v>
      </c>
    </row>
    <row r="6736" spans="1:42">
      <c r="A6736" s="1">
        <v>43838</v>
      </c>
      <c r="B6736">
        <v>3</v>
      </c>
      <c r="C6736">
        <v>979</v>
      </c>
      <c r="D6736">
        <v>10415</v>
      </c>
      <c r="E6736" t="s">
        <v>37</v>
      </c>
      <c r="F6736" t="s">
        <v>520</v>
      </c>
      <c r="G6736">
        <v>2</v>
      </c>
      <c r="H6736">
        <v>17</v>
      </c>
      <c r="I6736" s="25">
        <v>1492</v>
      </c>
      <c r="K6736" t="s">
        <v>605</v>
      </c>
      <c r="L6736" t="s">
        <v>114</v>
      </c>
      <c r="M6736" t="s">
        <v>52</v>
      </c>
      <c r="N6736" t="s">
        <v>44</v>
      </c>
      <c r="O6736">
        <f>60+60+18</f>
        <v>138</v>
      </c>
      <c r="Q6736">
        <f t="shared" si="117"/>
        <v>1</v>
      </c>
      <c r="R6736">
        <v>1</v>
      </c>
      <c r="S6736">
        <v>0</v>
      </c>
      <c r="T6736">
        <v>0</v>
      </c>
      <c r="U6736">
        <v>0</v>
      </c>
      <c r="V6736">
        <v>0</v>
      </c>
      <c r="W6736">
        <v>1</v>
      </c>
      <c r="X6736" s="21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f t="shared" si="118"/>
        <v>96</v>
      </c>
      <c r="AP6736" t="s">
        <v>1915</v>
      </c>
    </row>
    <row r="6737" spans="1:42">
      <c r="A6737" s="1">
        <v>43838</v>
      </c>
      <c r="B6737">
        <v>3</v>
      </c>
      <c r="C6737">
        <v>979</v>
      </c>
      <c r="D6737">
        <v>10415</v>
      </c>
      <c r="E6737" t="s">
        <v>37</v>
      </c>
      <c r="F6737" t="s">
        <v>520</v>
      </c>
      <c r="G6737">
        <v>2</v>
      </c>
      <c r="H6737">
        <v>18</v>
      </c>
      <c r="I6737" s="25">
        <v>1529</v>
      </c>
      <c r="K6737" t="s">
        <v>420</v>
      </c>
      <c r="L6737" t="s">
        <v>141</v>
      </c>
      <c r="M6737" t="s">
        <v>52</v>
      </c>
      <c r="N6737" t="s">
        <v>44</v>
      </c>
      <c r="O6737">
        <f>60+60+31</f>
        <v>151</v>
      </c>
      <c r="Q6737">
        <f t="shared" si="117"/>
        <v>1</v>
      </c>
      <c r="R6737">
        <v>1</v>
      </c>
      <c r="S6737">
        <v>0</v>
      </c>
      <c r="T6737">
        <v>0</v>
      </c>
      <c r="U6737">
        <v>0</v>
      </c>
      <c r="V6737">
        <v>0</v>
      </c>
      <c r="W6737">
        <v>1</v>
      </c>
      <c r="X6737" s="21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f t="shared" si="118"/>
        <v>96</v>
      </c>
      <c r="AP6737" t="s">
        <v>1915</v>
      </c>
    </row>
    <row r="6738" spans="1:42">
      <c r="A6738" s="1">
        <v>43838</v>
      </c>
      <c r="B6738">
        <v>3</v>
      </c>
      <c r="C6738">
        <v>979</v>
      </c>
      <c r="D6738">
        <v>10415</v>
      </c>
      <c r="E6738" t="s">
        <v>37</v>
      </c>
      <c r="F6738" t="s">
        <v>520</v>
      </c>
      <c r="G6738">
        <v>2</v>
      </c>
      <c r="H6738">
        <v>19</v>
      </c>
      <c r="I6738" s="25" t="s">
        <v>2062</v>
      </c>
      <c r="K6738" t="s">
        <v>420</v>
      </c>
      <c r="L6738" t="s">
        <v>114</v>
      </c>
      <c r="M6738" t="s">
        <v>52</v>
      </c>
      <c r="N6738" t="s">
        <v>42</v>
      </c>
      <c r="O6738">
        <f>60+60+60+60+60+60+60+13</f>
        <v>433</v>
      </c>
      <c r="Q6738">
        <f t="shared" si="117"/>
        <v>9</v>
      </c>
      <c r="R6738">
        <v>1</v>
      </c>
      <c r="S6738">
        <v>0</v>
      </c>
      <c r="T6738">
        <v>0</v>
      </c>
      <c r="U6738">
        <v>1</v>
      </c>
      <c r="V6738">
        <v>4</v>
      </c>
      <c r="W6738">
        <v>4</v>
      </c>
      <c r="X6738" s="21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f t="shared" si="118"/>
        <v>672</v>
      </c>
      <c r="AL6738" t="s">
        <v>2063</v>
      </c>
      <c r="AP6738" t="s">
        <v>1915</v>
      </c>
    </row>
    <row r="6739" spans="1:42">
      <c r="A6739" s="1">
        <v>43838</v>
      </c>
      <c r="B6739">
        <v>3</v>
      </c>
      <c r="C6739">
        <v>979</v>
      </c>
      <c r="D6739">
        <v>10415</v>
      </c>
      <c r="E6739" t="s">
        <v>37</v>
      </c>
      <c r="F6739" t="s">
        <v>520</v>
      </c>
      <c r="G6739">
        <v>2</v>
      </c>
      <c r="H6739">
        <v>20</v>
      </c>
      <c r="I6739" s="25">
        <v>1700</v>
      </c>
      <c r="K6739" t="s">
        <v>420</v>
      </c>
      <c r="M6739" t="s">
        <v>52</v>
      </c>
      <c r="N6739" t="s">
        <v>40</v>
      </c>
      <c r="O6739">
        <v>54</v>
      </c>
      <c r="Q6739">
        <f t="shared" si="117"/>
        <v>1</v>
      </c>
      <c r="R6739">
        <v>1</v>
      </c>
      <c r="S6739">
        <v>0</v>
      </c>
      <c r="T6739">
        <v>0</v>
      </c>
      <c r="U6739">
        <v>1</v>
      </c>
      <c r="V6739">
        <v>0</v>
      </c>
      <c r="W6739">
        <v>0</v>
      </c>
      <c r="X6739" s="21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f t="shared" si="118"/>
        <v>32</v>
      </c>
      <c r="AP6739" t="s">
        <v>1915</v>
      </c>
    </row>
    <row r="6740" spans="1:42">
      <c r="A6740" s="1">
        <v>43838</v>
      </c>
      <c r="B6740">
        <v>3</v>
      </c>
      <c r="C6740">
        <v>979</v>
      </c>
      <c r="D6740">
        <v>10415</v>
      </c>
      <c r="E6740" t="s">
        <v>37</v>
      </c>
      <c r="F6740" t="s">
        <v>520</v>
      </c>
      <c r="G6740">
        <v>2</v>
      </c>
      <c r="H6740">
        <v>21</v>
      </c>
      <c r="I6740" s="25">
        <v>1710</v>
      </c>
      <c r="K6740" t="s">
        <v>420</v>
      </c>
      <c r="M6740" t="s">
        <v>52</v>
      </c>
      <c r="N6740" t="s">
        <v>42</v>
      </c>
      <c r="O6740">
        <f>60+60+4</f>
        <v>124</v>
      </c>
      <c r="Q6740">
        <f t="shared" si="117"/>
        <v>2</v>
      </c>
      <c r="R6740">
        <v>1</v>
      </c>
      <c r="S6740">
        <v>0</v>
      </c>
      <c r="T6740">
        <v>0</v>
      </c>
      <c r="U6740">
        <v>0</v>
      </c>
      <c r="V6740">
        <v>0</v>
      </c>
      <c r="W6740">
        <v>2</v>
      </c>
      <c r="X6740" s="21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f t="shared" si="118"/>
        <v>192</v>
      </c>
      <c r="AP6740" t="s">
        <v>1915</v>
      </c>
    </row>
    <row r="6741" spans="1:42">
      <c r="A6741" s="1">
        <v>43838</v>
      </c>
      <c r="B6741">
        <v>3</v>
      </c>
      <c r="C6741">
        <v>979</v>
      </c>
      <c r="D6741">
        <v>10415</v>
      </c>
      <c r="E6741" t="s">
        <v>37</v>
      </c>
      <c r="F6741" t="s">
        <v>520</v>
      </c>
      <c r="G6741">
        <v>2</v>
      </c>
      <c r="H6741">
        <v>22</v>
      </c>
      <c r="I6741" s="25">
        <v>1800</v>
      </c>
      <c r="K6741" t="s">
        <v>828</v>
      </c>
      <c r="M6741" t="s">
        <v>52</v>
      </c>
      <c r="N6741" t="s">
        <v>44</v>
      </c>
      <c r="O6741">
        <f>60+60+60+57</f>
        <v>237</v>
      </c>
      <c r="Q6741">
        <f t="shared" si="117"/>
        <v>2</v>
      </c>
      <c r="R6741">
        <v>1</v>
      </c>
      <c r="S6741">
        <v>0</v>
      </c>
      <c r="T6741">
        <v>0</v>
      </c>
      <c r="U6741">
        <v>0</v>
      </c>
      <c r="V6741">
        <v>0</v>
      </c>
      <c r="W6741">
        <v>2</v>
      </c>
      <c r="X6741" s="2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f t="shared" si="118"/>
        <v>192</v>
      </c>
      <c r="AP6741" t="s">
        <v>1915</v>
      </c>
    </row>
    <row r="6742" spans="1:42">
      <c r="A6742" s="1">
        <v>43838</v>
      </c>
      <c r="B6742">
        <v>3</v>
      </c>
      <c r="C6742">
        <v>979</v>
      </c>
      <c r="D6742">
        <v>10415</v>
      </c>
      <c r="E6742" t="s">
        <v>37</v>
      </c>
      <c r="F6742" t="s">
        <v>520</v>
      </c>
      <c r="G6742">
        <v>2</v>
      </c>
      <c r="H6742">
        <v>23</v>
      </c>
      <c r="I6742" s="25">
        <v>1759</v>
      </c>
      <c r="K6742" t="s">
        <v>828</v>
      </c>
      <c r="L6742" t="s">
        <v>141</v>
      </c>
      <c r="M6742" t="s">
        <v>52</v>
      </c>
      <c r="N6742" t="s">
        <v>42</v>
      </c>
      <c r="O6742">
        <f>60+60+60+1</f>
        <v>181</v>
      </c>
      <c r="Q6742">
        <f t="shared" si="117"/>
        <v>4</v>
      </c>
      <c r="R6742">
        <v>1</v>
      </c>
      <c r="S6742">
        <v>0</v>
      </c>
      <c r="T6742">
        <v>0</v>
      </c>
      <c r="U6742">
        <v>1</v>
      </c>
      <c r="V6742">
        <v>0</v>
      </c>
      <c r="W6742">
        <v>3</v>
      </c>
      <c r="X6742" s="21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f t="shared" si="118"/>
        <v>320</v>
      </c>
      <c r="AP6742" t="s">
        <v>1915</v>
      </c>
    </row>
    <row r="6743" spans="1:42">
      <c r="A6743" s="1">
        <v>43838</v>
      </c>
      <c r="B6743">
        <v>3</v>
      </c>
      <c r="C6743">
        <v>979</v>
      </c>
      <c r="D6743">
        <v>10415</v>
      </c>
      <c r="E6743" t="s">
        <v>37</v>
      </c>
      <c r="F6743" t="s">
        <v>520</v>
      </c>
      <c r="G6743">
        <v>2</v>
      </c>
      <c r="H6743">
        <v>24</v>
      </c>
      <c r="I6743" s="25">
        <v>1566</v>
      </c>
      <c r="K6743" t="s">
        <v>828</v>
      </c>
      <c r="L6743" t="s">
        <v>114</v>
      </c>
      <c r="M6743" t="s">
        <v>52</v>
      </c>
      <c r="N6743" t="s">
        <v>42</v>
      </c>
      <c r="O6743">
        <f>60+60+10</f>
        <v>130</v>
      </c>
      <c r="Q6743">
        <f t="shared" si="117"/>
        <v>2</v>
      </c>
      <c r="R6743">
        <v>1</v>
      </c>
      <c r="S6743">
        <v>0</v>
      </c>
      <c r="T6743">
        <v>0</v>
      </c>
      <c r="U6743">
        <v>1</v>
      </c>
      <c r="V6743">
        <v>0</v>
      </c>
      <c r="W6743">
        <v>1</v>
      </c>
      <c r="X6743" s="21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f t="shared" si="118"/>
        <v>128</v>
      </c>
      <c r="AP6743" t="s">
        <v>1915</v>
      </c>
    </row>
    <row r="6744" spans="1:42">
      <c r="A6744" s="1">
        <v>43838</v>
      </c>
      <c r="B6744">
        <v>3</v>
      </c>
      <c r="C6744">
        <v>979</v>
      </c>
      <c r="D6744">
        <v>10415</v>
      </c>
      <c r="E6744" t="s">
        <v>37</v>
      </c>
      <c r="F6744" t="s">
        <v>520</v>
      </c>
      <c r="G6744">
        <v>2</v>
      </c>
      <c r="H6744">
        <v>25</v>
      </c>
      <c r="I6744" s="25">
        <v>1367</v>
      </c>
      <c r="K6744" t="s">
        <v>605</v>
      </c>
      <c r="L6744" t="s">
        <v>141</v>
      </c>
      <c r="M6744" t="s">
        <v>52</v>
      </c>
      <c r="N6744" t="s">
        <v>44</v>
      </c>
      <c r="O6744">
        <f>60+60+25</f>
        <v>145</v>
      </c>
      <c r="Q6744">
        <f t="shared" si="117"/>
        <v>1</v>
      </c>
      <c r="R6744">
        <v>1</v>
      </c>
      <c r="S6744">
        <v>0</v>
      </c>
      <c r="T6744">
        <v>0</v>
      </c>
      <c r="U6744">
        <v>0</v>
      </c>
      <c r="V6744">
        <v>0</v>
      </c>
      <c r="W6744">
        <v>1</v>
      </c>
      <c r="X6744" s="21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f t="shared" si="118"/>
        <v>96</v>
      </c>
      <c r="AP6744" t="s">
        <v>1915</v>
      </c>
    </row>
    <row r="6745" spans="1:42">
      <c r="A6745" s="1">
        <v>43838</v>
      </c>
      <c r="B6745">
        <v>3</v>
      </c>
      <c r="C6745">
        <v>979</v>
      </c>
      <c r="D6745">
        <v>10415</v>
      </c>
      <c r="E6745" t="s">
        <v>37</v>
      </c>
      <c r="F6745" t="s">
        <v>520</v>
      </c>
      <c r="G6745">
        <v>2</v>
      </c>
      <c r="H6745">
        <v>26</v>
      </c>
      <c r="I6745" s="25">
        <v>0</v>
      </c>
      <c r="K6745" t="s">
        <v>2064</v>
      </c>
      <c r="M6745" t="s">
        <v>52</v>
      </c>
      <c r="N6745" t="s">
        <v>42</v>
      </c>
      <c r="O6745">
        <f>60+60+60+60+43</f>
        <v>283</v>
      </c>
      <c r="Q6745">
        <f t="shared" si="117"/>
        <v>4</v>
      </c>
      <c r="R6745">
        <v>1</v>
      </c>
      <c r="S6745">
        <v>0</v>
      </c>
      <c r="T6745">
        <v>0</v>
      </c>
      <c r="U6745">
        <v>3</v>
      </c>
      <c r="V6745">
        <v>0</v>
      </c>
      <c r="W6745">
        <v>1</v>
      </c>
      <c r="X6745" s="21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f t="shared" si="118"/>
        <v>192</v>
      </c>
      <c r="AL6745" t="s">
        <v>587</v>
      </c>
      <c r="AP6745" t="s">
        <v>1915</v>
      </c>
    </row>
    <row r="6746" spans="1:42">
      <c r="A6746" s="1">
        <v>43838</v>
      </c>
      <c r="B6746">
        <v>3</v>
      </c>
      <c r="C6746">
        <v>979</v>
      </c>
      <c r="D6746">
        <v>10415</v>
      </c>
      <c r="E6746" t="s">
        <v>37</v>
      </c>
      <c r="F6746" t="s">
        <v>520</v>
      </c>
      <c r="G6746">
        <v>2</v>
      </c>
      <c r="H6746">
        <v>27</v>
      </c>
      <c r="I6746" s="25">
        <v>1408</v>
      </c>
      <c r="K6746" t="s">
        <v>56</v>
      </c>
      <c r="L6746" t="s">
        <v>114</v>
      </c>
      <c r="M6746" t="s">
        <v>52</v>
      </c>
      <c r="N6746" t="s">
        <v>42</v>
      </c>
      <c r="O6746">
        <f>60+60+60+39</f>
        <v>219</v>
      </c>
      <c r="Q6746">
        <f t="shared" si="117"/>
        <v>2</v>
      </c>
      <c r="R6746">
        <v>1</v>
      </c>
      <c r="S6746">
        <v>0</v>
      </c>
      <c r="T6746">
        <v>0</v>
      </c>
      <c r="U6746">
        <v>1</v>
      </c>
      <c r="V6746">
        <v>0</v>
      </c>
      <c r="W6746">
        <v>1</v>
      </c>
      <c r="X6746" s="21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f t="shared" si="118"/>
        <v>128</v>
      </c>
      <c r="AP6746" t="s">
        <v>1915</v>
      </c>
    </row>
    <row r="6747" spans="1:42">
      <c r="A6747" s="1">
        <v>43838</v>
      </c>
      <c r="B6747">
        <v>3</v>
      </c>
      <c r="C6747">
        <v>979</v>
      </c>
      <c r="D6747">
        <v>10415</v>
      </c>
      <c r="E6747" t="s">
        <v>37</v>
      </c>
      <c r="F6747" t="s">
        <v>520</v>
      </c>
      <c r="G6747">
        <v>2</v>
      </c>
      <c r="H6747">
        <v>28</v>
      </c>
      <c r="I6747" s="25" t="s">
        <v>2065</v>
      </c>
      <c r="K6747" t="s">
        <v>56</v>
      </c>
      <c r="L6747" t="s">
        <v>114</v>
      </c>
      <c r="M6747" t="s">
        <v>52</v>
      </c>
      <c r="N6747" t="s">
        <v>44</v>
      </c>
      <c r="O6747">
        <f>60+60+48</f>
        <v>168</v>
      </c>
      <c r="Q6747">
        <f t="shared" si="117"/>
        <v>3</v>
      </c>
      <c r="R6747">
        <v>1</v>
      </c>
      <c r="S6747">
        <v>0</v>
      </c>
      <c r="T6747">
        <v>0</v>
      </c>
      <c r="U6747">
        <v>0</v>
      </c>
      <c r="V6747">
        <v>0</v>
      </c>
      <c r="W6747">
        <v>3</v>
      </c>
      <c r="X6747" s="21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f t="shared" si="118"/>
        <v>288</v>
      </c>
      <c r="AL6747" t="s">
        <v>2066</v>
      </c>
      <c r="AP6747" t="s">
        <v>1915</v>
      </c>
    </row>
    <row r="6748" spans="1:42">
      <c r="A6748" s="1">
        <v>43838</v>
      </c>
      <c r="B6748">
        <v>3</v>
      </c>
      <c r="C6748">
        <v>979</v>
      </c>
      <c r="D6748">
        <v>10415</v>
      </c>
      <c r="E6748" t="s">
        <v>37</v>
      </c>
      <c r="F6748" t="s">
        <v>520</v>
      </c>
      <c r="G6748">
        <v>2</v>
      </c>
      <c r="H6748">
        <v>29</v>
      </c>
      <c r="I6748" s="25">
        <v>1456</v>
      </c>
      <c r="K6748" t="s">
        <v>56</v>
      </c>
      <c r="L6748" t="s">
        <v>114</v>
      </c>
      <c r="M6748" t="s">
        <v>52</v>
      </c>
      <c r="N6748" t="s">
        <v>44</v>
      </c>
      <c r="O6748">
        <f>60+60+31</f>
        <v>151</v>
      </c>
      <c r="Q6748">
        <f t="shared" si="117"/>
        <v>1</v>
      </c>
      <c r="R6748">
        <v>1</v>
      </c>
      <c r="S6748">
        <v>0</v>
      </c>
      <c r="T6748">
        <v>0</v>
      </c>
      <c r="U6748">
        <v>0</v>
      </c>
      <c r="V6748">
        <v>0</v>
      </c>
      <c r="W6748">
        <v>1</v>
      </c>
      <c r="X6748" s="21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f t="shared" si="118"/>
        <v>96</v>
      </c>
      <c r="AP6748" t="s">
        <v>1915</v>
      </c>
    </row>
    <row r="6749" spans="1:42">
      <c r="A6749" s="1">
        <v>43838</v>
      </c>
      <c r="B6749">
        <v>3</v>
      </c>
      <c r="C6749">
        <v>979</v>
      </c>
      <c r="D6749">
        <v>10415</v>
      </c>
      <c r="E6749" t="s">
        <v>37</v>
      </c>
      <c r="F6749" t="s">
        <v>520</v>
      </c>
      <c r="G6749">
        <v>2</v>
      </c>
      <c r="H6749">
        <v>30</v>
      </c>
      <c r="I6749" s="25" t="s">
        <v>2067</v>
      </c>
      <c r="K6749" t="s">
        <v>56</v>
      </c>
      <c r="L6749" t="s">
        <v>114</v>
      </c>
      <c r="M6749" t="s">
        <v>52</v>
      </c>
      <c r="N6749" t="s">
        <v>44</v>
      </c>
      <c r="O6749">
        <f>60+60+60+60+52</f>
        <v>292</v>
      </c>
      <c r="Q6749">
        <f t="shared" si="117"/>
        <v>4</v>
      </c>
      <c r="R6749">
        <v>1</v>
      </c>
      <c r="S6749">
        <v>0</v>
      </c>
      <c r="T6749">
        <v>0</v>
      </c>
      <c r="U6749">
        <v>0</v>
      </c>
      <c r="V6749">
        <v>0</v>
      </c>
      <c r="W6749">
        <v>4</v>
      </c>
      <c r="X6749" s="21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f t="shared" si="118"/>
        <v>384</v>
      </c>
      <c r="AP6749" t="s">
        <v>1915</v>
      </c>
    </row>
    <row r="6750" spans="1:42">
      <c r="A6750" s="1">
        <v>43838</v>
      </c>
      <c r="B6750">
        <v>3</v>
      </c>
      <c r="C6750">
        <v>979</v>
      </c>
      <c r="D6750">
        <v>10415</v>
      </c>
      <c r="E6750" t="s">
        <v>37</v>
      </c>
      <c r="F6750" t="s">
        <v>520</v>
      </c>
      <c r="G6750">
        <v>2</v>
      </c>
      <c r="H6750">
        <v>31</v>
      </c>
      <c r="I6750" s="25">
        <v>1500</v>
      </c>
      <c r="K6750" t="s">
        <v>56</v>
      </c>
      <c r="M6750" t="s">
        <v>52</v>
      </c>
      <c r="N6750" t="s">
        <v>40</v>
      </c>
      <c r="O6750">
        <f>60+17</f>
        <v>77</v>
      </c>
      <c r="Q6750">
        <f t="shared" si="117"/>
        <v>1</v>
      </c>
      <c r="R6750">
        <v>1</v>
      </c>
      <c r="S6750">
        <v>0</v>
      </c>
      <c r="T6750">
        <v>0</v>
      </c>
      <c r="U6750">
        <v>0</v>
      </c>
      <c r="V6750">
        <v>0</v>
      </c>
      <c r="W6750">
        <v>1</v>
      </c>
      <c r="X6750" s="21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f t="shared" si="118"/>
        <v>96</v>
      </c>
      <c r="AP6750" t="s">
        <v>1915</v>
      </c>
    </row>
    <row r="6751" spans="1:42">
      <c r="A6751" s="1">
        <v>43838</v>
      </c>
      <c r="B6751">
        <v>3</v>
      </c>
      <c r="C6751">
        <v>979</v>
      </c>
      <c r="D6751">
        <v>10415</v>
      </c>
      <c r="E6751" t="s">
        <v>37</v>
      </c>
      <c r="F6751" t="s">
        <v>520</v>
      </c>
      <c r="G6751">
        <v>2</v>
      </c>
      <c r="H6751">
        <v>32</v>
      </c>
      <c r="I6751" s="25">
        <v>1538</v>
      </c>
      <c r="K6751" t="s">
        <v>56</v>
      </c>
      <c r="L6751" t="s">
        <v>114</v>
      </c>
      <c r="M6751" t="s">
        <v>52</v>
      </c>
      <c r="N6751" t="s">
        <v>42</v>
      </c>
      <c r="O6751">
        <f>60+60+29</f>
        <v>149</v>
      </c>
      <c r="Q6751">
        <f t="shared" si="117"/>
        <v>4</v>
      </c>
      <c r="R6751">
        <v>1</v>
      </c>
      <c r="S6751">
        <v>0</v>
      </c>
      <c r="T6751">
        <v>0</v>
      </c>
      <c r="U6751">
        <v>0</v>
      </c>
      <c r="V6751">
        <v>0</v>
      </c>
      <c r="W6751">
        <v>4</v>
      </c>
      <c r="X6751" s="2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f t="shared" si="118"/>
        <v>384</v>
      </c>
      <c r="AL6751" t="s">
        <v>2068</v>
      </c>
      <c r="AP6751" t="s">
        <v>1915</v>
      </c>
    </row>
    <row r="6752" spans="1:42">
      <c r="A6752" s="1">
        <v>43838</v>
      </c>
      <c r="B6752">
        <v>3</v>
      </c>
      <c r="C6752">
        <v>979</v>
      </c>
      <c r="D6752">
        <v>10415</v>
      </c>
      <c r="E6752" t="s">
        <v>37</v>
      </c>
      <c r="F6752" t="s">
        <v>520</v>
      </c>
      <c r="G6752">
        <v>2</v>
      </c>
      <c r="H6752">
        <v>33</v>
      </c>
      <c r="I6752" s="25">
        <v>1500</v>
      </c>
      <c r="K6752" t="s">
        <v>56</v>
      </c>
      <c r="M6752" t="s">
        <v>52</v>
      </c>
      <c r="N6752" t="s">
        <v>40</v>
      </c>
      <c r="O6752">
        <f>60+36</f>
        <v>96</v>
      </c>
      <c r="Q6752">
        <f t="shared" si="117"/>
        <v>3</v>
      </c>
      <c r="R6752">
        <v>1</v>
      </c>
      <c r="S6752">
        <v>0</v>
      </c>
      <c r="T6752">
        <v>0</v>
      </c>
      <c r="U6752">
        <v>0</v>
      </c>
      <c r="V6752">
        <v>0</v>
      </c>
      <c r="W6752">
        <v>3</v>
      </c>
      <c r="X6752" s="21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f t="shared" si="118"/>
        <v>288</v>
      </c>
      <c r="AP6752" t="s">
        <v>1915</v>
      </c>
    </row>
    <row r="6753" spans="1:42">
      <c r="A6753" s="1">
        <v>43838</v>
      </c>
      <c r="B6753">
        <v>3</v>
      </c>
      <c r="C6753">
        <v>979</v>
      </c>
      <c r="D6753">
        <v>10415</v>
      </c>
      <c r="E6753" t="s">
        <v>37</v>
      </c>
      <c r="F6753" t="s">
        <v>520</v>
      </c>
      <c r="G6753">
        <v>2</v>
      </c>
      <c r="H6753">
        <v>34</v>
      </c>
      <c r="I6753" s="25">
        <v>1500</v>
      </c>
      <c r="K6753" t="s">
        <v>56</v>
      </c>
      <c r="M6753" t="s">
        <v>52</v>
      </c>
      <c r="N6753" t="s">
        <v>40</v>
      </c>
      <c r="O6753">
        <v>28</v>
      </c>
      <c r="Q6753">
        <f t="shared" si="117"/>
        <v>1</v>
      </c>
      <c r="R6753">
        <v>1</v>
      </c>
      <c r="S6753">
        <v>0</v>
      </c>
      <c r="T6753">
        <v>0</v>
      </c>
      <c r="U6753">
        <v>1</v>
      </c>
      <c r="V6753">
        <v>0</v>
      </c>
      <c r="W6753">
        <v>0</v>
      </c>
      <c r="X6753" s="21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f t="shared" si="118"/>
        <v>32</v>
      </c>
      <c r="AP6753" t="s">
        <v>1915</v>
      </c>
    </row>
    <row r="6754" spans="1:42">
      <c r="A6754" s="1">
        <v>43838</v>
      </c>
      <c r="B6754">
        <v>3</v>
      </c>
      <c r="C6754">
        <v>979</v>
      </c>
      <c r="D6754">
        <v>10415</v>
      </c>
      <c r="E6754" t="s">
        <v>37</v>
      </c>
      <c r="F6754" t="s">
        <v>520</v>
      </c>
      <c r="G6754">
        <v>2</v>
      </c>
      <c r="H6754">
        <v>35</v>
      </c>
      <c r="I6754" s="25">
        <v>1500</v>
      </c>
      <c r="K6754" t="s">
        <v>414</v>
      </c>
      <c r="M6754" t="s">
        <v>52</v>
      </c>
      <c r="N6754" t="s">
        <v>40</v>
      </c>
      <c r="O6754">
        <f>60+19</f>
        <v>79</v>
      </c>
      <c r="Q6754">
        <f t="shared" si="117"/>
        <v>1</v>
      </c>
      <c r="R6754">
        <v>1</v>
      </c>
      <c r="S6754">
        <v>0</v>
      </c>
      <c r="T6754">
        <v>0</v>
      </c>
      <c r="U6754">
        <v>0</v>
      </c>
      <c r="V6754">
        <v>0</v>
      </c>
      <c r="W6754">
        <v>1</v>
      </c>
      <c r="X6754" s="21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f t="shared" si="118"/>
        <v>96</v>
      </c>
      <c r="AP6754" t="s">
        <v>1915</v>
      </c>
    </row>
    <row r="6755" spans="1:42">
      <c r="A6755" s="1">
        <v>43838</v>
      </c>
      <c r="B6755">
        <v>3</v>
      </c>
      <c r="C6755">
        <v>979</v>
      </c>
      <c r="D6755">
        <v>10415</v>
      </c>
      <c r="E6755" t="s">
        <v>37</v>
      </c>
      <c r="F6755" t="s">
        <v>520</v>
      </c>
      <c r="G6755">
        <v>2</v>
      </c>
      <c r="H6755">
        <v>36</v>
      </c>
      <c r="I6755" s="25">
        <v>1622</v>
      </c>
      <c r="K6755" t="s">
        <v>414</v>
      </c>
      <c r="M6755" t="s">
        <v>52</v>
      </c>
      <c r="N6755" t="s">
        <v>42</v>
      </c>
      <c r="O6755">
        <f>60+60+42</f>
        <v>162</v>
      </c>
      <c r="Q6755">
        <f t="shared" si="117"/>
        <v>3</v>
      </c>
      <c r="R6755">
        <v>1</v>
      </c>
      <c r="S6755">
        <v>0</v>
      </c>
      <c r="T6755">
        <v>0</v>
      </c>
      <c r="U6755">
        <v>1</v>
      </c>
      <c r="V6755">
        <v>0</v>
      </c>
      <c r="W6755">
        <v>2</v>
      </c>
      <c r="X6755" s="21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1</v>
      </c>
      <c r="AG6755">
        <v>0</v>
      </c>
      <c r="AH6755">
        <f t="shared" si="118"/>
        <v>224</v>
      </c>
      <c r="AP6755" t="s">
        <v>1915</v>
      </c>
    </row>
    <row r="6756" spans="1:42">
      <c r="A6756" s="1">
        <v>43838</v>
      </c>
      <c r="B6756">
        <v>3</v>
      </c>
      <c r="C6756">
        <v>979</v>
      </c>
      <c r="D6756">
        <v>10415</v>
      </c>
      <c r="E6756" t="s">
        <v>37</v>
      </c>
      <c r="F6756" t="s">
        <v>520</v>
      </c>
      <c r="G6756">
        <v>2</v>
      </c>
      <c r="H6756">
        <v>37</v>
      </c>
      <c r="I6756" s="25">
        <v>1742</v>
      </c>
      <c r="K6756" t="s">
        <v>414</v>
      </c>
      <c r="M6756" t="s">
        <v>52</v>
      </c>
      <c r="N6756" t="s">
        <v>42</v>
      </c>
      <c r="O6756">
        <f>60+60+60+9</f>
        <v>189</v>
      </c>
      <c r="Q6756">
        <f t="shared" si="117"/>
        <v>3</v>
      </c>
      <c r="R6756">
        <v>1</v>
      </c>
      <c r="S6756">
        <v>0</v>
      </c>
      <c r="T6756">
        <v>0</v>
      </c>
      <c r="U6756">
        <v>0</v>
      </c>
      <c r="V6756">
        <v>1</v>
      </c>
      <c r="W6756">
        <v>2</v>
      </c>
      <c r="X6756" s="21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1</v>
      </c>
      <c r="AG6756">
        <v>0</v>
      </c>
      <c r="AH6756">
        <f t="shared" si="118"/>
        <v>256</v>
      </c>
      <c r="AL6756" t="s">
        <v>2069</v>
      </c>
      <c r="AP6756" t="s">
        <v>1915</v>
      </c>
    </row>
    <row r="6757" spans="1:42">
      <c r="A6757" s="1">
        <v>43838</v>
      </c>
      <c r="B6757">
        <v>3</v>
      </c>
      <c r="C6757">
        <v>979</v>
      </c>
      <c r="D6757">
        <v>10415</v>
      </c>
      <c r="E6757" t="s">
        <v>37</v>
      </c>
      <c r="F6757" t="s">
        <v>520</v>
      </c>
      <c r="G6757">
        <v>2</v>
      </c>
      <c r="H6757">
        <v>38</v>
      </c>
      <c r="I6757" s="25">
        <v>1500</v>
      </c>
      <c r="K6757" t="s">
        <v>647</v>
      </c>
      <c r="M6757" t="s">
        <v>52</v>
      </c>
      <c r="N6757" t="s">
        <v>40</v>
      </c>
      <c r="O6757">
        <f>60+15</f>
        <v>75</v>
      </c>
      <c r="Q6757">
        <f t="shared" si="117"/>
        <v>2</v>
      </c>
      <c r="R6757">
        <v>1</v>
      </c>
      <c r="S6757">
        <v>0</v>
      </c>
      <c r="T6757">
        <v>0</v>
      </c>
      <c r="U6757">
        <v>0</v>
      </c>
      <c r="V6757">
        <v>0</v>
      </c>
      <c r="W6757">
        <v>2</v>
      </c>
      <c r="X6757" s="21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f t="shared" si="118"/>
        <v>192</v>
      </c>
      <c r="AP6757" t="s">
        <v>1915</v>
      </c>
    </row>
    <row r="6758" spans="1:42">
      <c r="A6758" s="1">
        <v>43838</v>
      </c>
      <c r="B6758">
        <v>3</v>
      </c>
      <c r="C6758">
        <v>979</v>
      </c>
      <c r="D6758">
        <v>10415</v>
      </c>
      <c r="E6758" t="s">
        <v>37</v>
      </c>
      <c r="F6758" t="s">
        <v>520</v>
      </c>
      <c r="G6758">
        <v>2</v>
      </c>
      <c r="H6758">
        <v>39</v>
      </c>
      <c r="I6758" s="25">
        <v>2000</v>
      </c>
      <c r="K6758" t="s">
        <v>414</v>
      </c>
      <c r="L6758" t="s">
        <v>141</v>
      </c>
      <c r="M6758" t="s">
        <v>52</v>
      </c>
      <c r="N6758" t="s">
        <v>1703</v>
      </c>
      <c r="O6758">
        <f>60+58</f>
        <v>118</v>
      </c>
      <c r="Q6758">
        <f t="shared" si="117"/>
        <v>2</v>
      </c>
      <c r="R6758">
        <v>1</v>
      </c>
      <c r="S6758">
        <v>0</v>
      </c>
      <c r="T6758">
        <v>0</v>
      </c>
      <c r="U6758">
        <v>0</v>
      </c>
      <c r="V6758">
        <v>0</v>
      </c>
      <c r="W6758">
        <v>2</v>
      </c>
      <c r="X6758" s="21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f t="shared" si="118"/>
        <v>192</v>
      </c>
      <c r="AL6758" t="s">
        <v>2070</v>
      </c>
      <c r="AP6758" t="s">
        <v>1915</v>
      </c>
    </row>
    <row r="6759" spans="1:42">
      <c r="A6759" s="1">
        <v>43838</v>
      </c>
      <c r="B6759">
        <v>3</v>
      </c>
      <c r="C6759">
        <v>979</v>
      </c>
      <c r="D6759">
        <v>10415</v>
      </c>
      <c r="E6759" t="s">
        <v>37</v>
      </c>
      <c r="F6759" t="s">
        <v>520</v>
      </c>
      <c r="G6759">
        <v>2</v>
      </c>
      <c r="H6759">
        <v>40</v>
      </c>
      <c r="I6759" s="25">
        <v>2000</v>
      </c>
      <c r="K6759" t="s">
        <v>414</v>
      </c>
      <c r="M6759" t="s">
        <v>52</v>
      </c>
      <c r="N6759" t="s">
        <v>40</v>
      </c>
      <c r="O6759">
        <f>60+60+34</f>
        <v>154</v>
      </c>
      <c r="Q6759">
        <f t="shared" si="117"/>
        <v>5</v>
      </c>
      <c r="R6759">
        <v>1</v>
      </c>
      <c r="S6759">
        <v>0</v>
      </c>
      <c r="T6759">
        <v>0</v>
      </c>
      <c r="U6759">
        <v>0</v>
      </c>
      <c r="V6759">
        <v>1</v>
      </c>
      <c r="W6759">
        <v>4</v>
      </c>
      <c r="X6759" s="21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f t="shared" si="118"/>
        <v>448</v>
      </c>
      <c r="AP6759" t="s">
        <v>1915</v>
      </c>
    </row>
    <row r="6760" spans="1:42">
      <c r="A6760" s="1">
        <v>43838</v>
      </c>
      <c r="B6760">
        <v>3</v>
      </c>
      <c r="C6760">
        <v>979</v>
      </c>
      <c r="D6760">
        <v>10415</v>
      </c>
      <c r="E6760" t="s">
        <v>37</v>
      </c>
      <c r="F6760" t="s">
        <v>520</v>
      </c>
      <c r="G6760">
        <v>2</v>
      </c>
      <c r="H6760">
        <v>41</v>
      </c>
      <c r="I6760" s="25">
        <v>2000</v>
      </c>
      <c r="K6760" t="s">
        <v>414</v>
      </c>
      <c r="M6760" t="s">
        <v>52</v>
      </c>
      <c r="N6760" t="s">
        <v>40</v>
      </c>
      <c r="O6760">
        <f>60+25</f>
        <v>85</v>
      </c>
      <c r="Q6760">
        <f t="shared" si="117"/>
        <v>1</v>
      </c>
      <c r="R6760">
        <v>1</v>
      </c>
      <c r="S6760">
        <v>0</v>
      </c>
      <c r="T6760">
        <v>0</v>
      </c>
      <c r="U6760">
        <v>0</v>
      </c>
      <c r="V6760">
        <v>0</v>
      </c>
      <c r="W6760">
        <v>1</v>
      </c>
      <c r="X6760" s="21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f t="shared" si="118"/>
        <v>96</v>
      </c>
      <c r="AP6760" t="s">
        <v>1915</v>
      </c>
    </row>
    <row r="6761" spans="1:42">
      <c r="A6761" s="1">
        <v>43838</v>
      </c>
      <c r="B6761">
        <v>3</v>
      </c>
      <c r="C6761">
        <v>979</v>
      </c>
      <c r="D6761">
        <v>10415</v>
      </c>
      <c r="E6761" t="s">
        <v>37</v>
      </c>
      <c r="F6761" t="s">
        <v>520</v>
      </c>
      <c r="G6761">
        <v>2</v>
      </c>
      <c r="H6761">
        <v>42</v>
      </c>
      <c r="I6761" s="25">
        <v>2200</v>
      </c>
      <c r="K6761" t="s">
        <v>414</v>
      </c>
      <c r="L6761" t="s">
        <v>141</v>
      </c>
      <c r="M6761" t="s">
        <v>52</v>
      </c>
      <c r="N6761" t="s">
        <v>40</v>
      </c>
      <c r="O6761">
        <v>57</v>
      </c>
      <c r="Q6761">
        <f t="shared" si="117"/>
        <v>1</v>
      </c>
      <c r="R6761">
        <v>1</v>
      </c>
      <c r="S6761">
        <v>0</v>
      </c>
      <c r="T6761">
        <v>0</v>
      </c>
      <c r="U6761">
        <v>0</v>
      </c>
      <c r="V6761">
        <v>0</v>
      </c>
      <c r="W6761">
        <v>1</v>
      </c>
      <c r="X6761" s="2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f t="shared" si="118"/>
        <v>96</v>
      </c>
      <c r="AP6761" t="s">
        <v>1915</v>
      </c>
    </row>
    <row r="6762" spans="1:42">
      <c r="A6762" s="1">
        <v>43838</v>
      </c>
      <c r="B6762">
        <v>3</v>
      </c>
      <c r="C6762">
        <v>979</v>
      </c>
      <c r="D6762">
        <v>10415</v>
      </c>
      <c r="E6762" t="s">
        <v>37</v>
      </c>
      <c r="F6762" t="s">
        <v>520</v>
      </c>
      <c r="G6762">
        <v>2</v>
      </c>
      <c r="H6762">
        <v>43</v>
      </c>
      <c r="I6762" s="25">
        <v>2200</v>
      </c>
      <c r="K6762" t="s">
        <v>605</v>
      </c>
      <c r="M6762" t="s">
        <v>95</v>
      </c>
      <c r="N6762" t="s">
        <v>40</v>
      </c>
      <c r="O6762">
        <f>60+31</f>
        <v>91</v>
      </c>
      <c r="Q6762">
        <f t="shared" si="117"/>
        <v>2</v>
      </c>
      <c r="R6762">
        <v>1</v>
      </c>
      <c r="S6762">
        <v>0</v>
      </c>
      <c r="T6762">
        <v>0</v>
      </c>
      <c r="U6762">
        <v>1</v>
      </c>
      <c r="V6762">
        <v>0</v>
      </c>
      <c r="W6762">
        <v>1</v>
      </c>
      <c r="X6762" s="21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f t="shared" si="118"/>
        <v>128</v>
      </c>
      <c r="AP6762" t="s">
        <v>1915</v>
      </c>
    </row>
    <row r="6763" spans="1:42">
      <c r="A6763" s="1">
        <v>43838</v>
      </c>
      <c r="B6763">
        <v>3</v>
      </c>
      <c r="C6763">
        <v>979</v>
      </c>
      <c r="D6763">
        <v>10415</v>
      </c>
      <c r="E6763" t="s">
        <v>37</v>
      </c>
      <c r="F6763" t="s">
        <v>520</v>
      </c>
      <c r="G6763">
        <v>2</v>
      </c>
      <c r="H6763">
        <v>44</v>
      </c>
      <c r="I6763" s="25">
        <v>2165</v>
      </c>
      <c r="K6763" t="s">
        <v>414</v>
      </c>
      <c r="M6763" t="s">
        <v>52</v>
      </c>
      <c r="N6763" t="s">
        <v>44</v>
      </c>
      <c r="O6763">
        <f>60+60+9</f>
        <v>129</v>
      </c>
      <c r="Q6763">
        <f t="shared" si="117"/>
        <v>2</v>
      </c>
      <c r="R6763">
        <v>1</v>
      </c>
      <c r="S6763">
        <v>0</v>
      </c>
      <c r="T6763">
        <v>0</v>
      </c>
      <c r="U6763">
        <v>0</v>
      </c>
      <c r="V6763">
        <v>0</v>
      </c>
      <c r="W6763">
        <v>2</v>
      </c>
      <c r="X6763" s="21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f t="shared" si="118"/>
        <v>192</v>
      </c>
      <c r="AP6763" t="s">
        <v>1915</v>
      </c>
    </row>
    <row r="6764" spans="1:42">
      <c r="A6764" s="1">
        <v>43838</v>
      </c>
      <c r="B6764">
        <v>3</v>
      </c>
      <c r="C6764">
        <v>979</v>
      </c>
      <c r="D6764">
        <v>10415</v>
      </c>
      <c r="E6764" t="s">
        <v>37</v>
      </c>
      <c r="F6764" t="s">
        <v>520</v>
      </c>
      <c r="G6764">
        <v>2</v>
      </c>
      <c r="H6764">
        <v>45</v>
      </c>
      <c r="I6764" s="25">
        <v>2100</v>
      </c>
      <c r="K6764" t="s">
        <v>414</v>
      </c>
      <c r="M6764" t="s">
        <v>52</v>
      </c>
      <c r="N6764" t="s">
        <v>1703</v>
      </c>
      <c r="O6764">
        <f>60+21</f>
        <v>81</v>
      </c>
      <c r="Q6764">
        <f t="shared" si="117"/>
        <v>1</v>
      </c>
      <c r="R6764">
        <v>1</v>
      </c>
      <c r="S6764">
        <v>0</v>
      </c>
      <c r="T6764">
        <v>0</v>
      </c>
      <c r="U6764">
        <v>1</v>
      </c>
      <c r="V6764">
        <v>0</v>
      </c>
      <c r="W6764">
        <v>0</v>
      </c>
      <c r="X6764" s="21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f t="shared" si="118"/>
        <v>32</v>
      </c>
      <c r="AL6764" t="s">
        <v>1950</v>
      </c>
      <c r="AP6764" t="s">
        <v>1915</v>
      </c>
    </row>
    <row r="6765" spans="1:42">
      <c r="A6765" s="1">
        <v>43838</v>
      </c>
      <c r="B6765">
        <v>3</v>
      </c>
      <c r="C6765">
        <v>979</v>
      </c>
      <c r="D6765">
        <v>10415</v>
      </c>
      <c r="E6765" t="s">
        <v>37</v>
      </c>
      <c r="F6765" t="s">
        <v>520</v>
      </c>
      <c r="G6765">
        <v>2</v>
      </c>
      <c r="H6765">
        <v>46</v>
      </c>
      <c r="I6765" s="25">
        <v>2200</v>
      </c>
      <c r="K6765" t="s">
        <v>414</v>
      </c>
      <c r="N6765" t="s">
        <v>40</v>
      </c>
      <c r="O6765">
        <f>60+60+8</f>
        <v>128</v>
      </c>
      <c r="Q6765">
        <f t="shared" si="117"/>
        <v>3</v>
      </c>
      <c r="R6765">
        <v>1</v>
      </c>
      <c r="S6765">
        <v>0</v>
      </c>
      <c r="T6765">
        <v>0</v>
      </c>
      <c r="U6765">
        <v>0</v>
      </c>
      <c r="V6765">
        <v>0</v>
      </c>
      <c r="W6765">
        <v>3</v>
      </c>
      <c r="X6765" s="21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1</v>
      </c>
      <c r="AG6765">
        <v>0</v>
      </c>
      <c r="AH6765">
        <f t="shared" si="118"/>
        <v>288</v>
      </c>
      <c r="AP6765" t="s">
        <v>1915</v>
      </c>
    </row>
    <row r="6766" spans="1:42">
      <c r="A6766" s="1">
        <v>43838</v>
      </c>
      <c r="B6766">
        <v>3</v>
      </c>
      <c r="C6766">
        <v>979</v>
      </c>
      <c r="D6766">
        <v>10415</v>
      </c>
      <c r="E6766" t="s">
        <v>37</v>
      </c>
      <c r="F6766" t="s">
        <v>520</v>
      </c>
      <c r="G6766">
        <v>2</v>
      </c>
      <c r="H6766">
        <v>47</v>
      </c>
      <c r="I6766" s="25">
        <v>2200</v>
      </c>
      <c r="K6766" t="s">
        <v>414</v>
      </c>
      <c r="N6766" t="s">
        <v>40</v>
      </c>
      <c r="O6766">
        <v>55</v>
      </c>
      <c r="Q6766">
        <f t="shared" si="117"/>
        <v>2</v>
      </c>
      <c r="R6766">
        <v>1</v>
      </c>
      <c r="S6766">
        <v>0</v>
      </c>
      <c r="T6766">
        <v>0</v>
      </c>
      <c r="U6766">
        <v>0</v>
      </c>
      <c r="V6766">
        <v>0</v>
      </c>
      <c r="W6766">
        <v>2</v>
      </c>
      <c r="X6766" s="21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f t="shared" si="118"/>
        <v>192</v>
      </c>
      <c r="AP6766" t="s">
        <v>1915</v>
      </c>
    </row>
    <row r="6767" spans="1:42">
      <c r="A6767" s="1">
        <v>43838</v>
      </c>
      <c r="B6767">
        <v>3</v>
      </c>
      <c r="C6767">
        <v>979</v>
      </c>
      <c r="D6767">
        <v>10415</v>
      </c>
      <c r="E6767" t="s">
        <v>37</v>
      </c>
      <c r="F6767" t="s">
        <v>520</v>
      </c>
      <c r="G6767">
        <v>2</v>
      </c>
      <c r="H6767">
        <v>48</v>
      </c>
      <c r="I6767" s="25">
        <v>1590</v>
      </c>
      <c r="K6767" t="s">
        <v>185</v>
      </c>
      <c r="N6767" t="s">
        <v>44</v>
      </c>
      <c r="O6767">
        <f>60+44</f>
        <v>104</v>
      </c>
      <c r="Q6767">
        <f t="shared" si="117"/>
        <v>2</v>
      </c>
      <c r="R6767">
        <v>1</v>
      </c>
      <c r="S6767">
        <v>0</v>
      </c>
      <c r="T6767">
        <v>0</v>
      </c>
      <c r="U6767">
        <v>0</v>
      </c>
      <c r="V6767">
        <v>0</v>
      </c>
      <c r="W6767">
        <v>2</v>
      </c>
      <c r="X6767" s="21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f t="shared" si="118"/>
        <v>192</v>
      </c>
      <c r="AP6767" t="s">
        <v>1915</v>
      </c>
    </row>
    <row r="6768" spans="1:42">
      <c r="A6768" s="1">
        <v>43838</v>
      </c>
      <c r="B6768">
        <v>3</v>
      </c>
      <c r="C6768">
        <v>979</v>
      </c>
      <c r="D6768">
        <v>10415</v>
      </c>
      <c r="E6768" t="s">
        <v>37</v>
      </c>
      <c r="F6768" t="s">
        <v>520</v>
      </c>
      <c r="G6768">
        <v>2</v>
      </c>
      <c r="H6768">
        <v>49</v>
      </c>
      <c r="I6768" s="25">
        <v>2300</v>
      </c>
      <c r="K6768" t="s">
        <v>415</v>
      </c>
      <c r="N6768" t="s">
        <v>44</v>
      </c>
      <c r="O6768">
        <f>60+43</f>
        <v>103</v>
      </c>
      <c r="Q6768">
        <f t="shared" si="117"/>
        <v>2</v>
      </c>
      <c r="R6768">
        <v>1</v>
      </c>
      <c r="S6768">
        <v>0</v>
      </c>
      <c r="T6768">
        <v>0</v>
      </c>
      <c r="U6768">
        <v>0</v>
      </c>
      <c r="V6768">
        <v>0</v>
      </c>
      <c r="W6768">
        <v>2</v>
      </c>
      <c r="X6768" s="21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f t="shared" si="118"/>
        <v>192</v>
      </c>
      <c r="AL6768" t="s">
        <v>587</v>
      </c>
      <c r="AP6768" t="s">
        <v>1915</v>
      </c>
    </row>
    <row r="6769" spans="1:42">
      <c r="A6769" s="1">
        <v>43838</v>
      </c>
      <c r="B6769">
        <v>3</v>
      </c>
      <c r="C6769">
        <v>979</v>
      </c>
      <c r="D6769">
        <v>10415</v>
      </c>
      <c r="E6769" t="s">
        <v>37</v>
      </c>
      <c r="F6769" t="s">
        <v>520</v>
      </c>
      <c r="G6769">
        <v>2</v>
      </c>
      <c r="H6769">
        <v>50</v>
      </c>
      <c r="I6769" s="25" t="s">
        <v>2071</v>
      </c>
      <c r="K6769" t="s">
        <v>415</v>
      </c>
      <c r="N6769" t="s">
        <v>44</v>
      </c>
      <c r="O6769">
        <f>60+60+25</f>
        <v>145</v>
      </c>
      <c r="Q6769">
        <f t="shared" si="117"/>
        <v>2</v>
      </c>
      <c r="R6769">
        <v>1</v>
      </c>
      <c r="S6769">
        <v>0</v>
      </c>
      <c r="T6769">
        <v>0</v>
      </c>
      <c r="U6769">
        <v>0</v>
      </c>
      <c r="V6769">
        <v>0</v>
      </c>
      <c r="W6769">
        <v>2</v>
      </c>
      <c r="X6769" s="21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f t="shared" si="118"/>
        <v>192</v>
      </c>
      <c r="AP6769" t="s">
        <v>1915</v>
      </c>
    </row>
    <row r="6770" spans="1:42">
      <c r="A6770" s="1">
        <v>43838</v>
      </c>
      <c r="B6770">
        <v>3</v>
      </c>
      <c r="C6770">
        <v>979</v>
      </c>
      <c r="D6770">
        <v>10415</v>
      </c>
      <c r="E6770" t="s">
        <v>37</v>
      </c>
      <c r="F6770" t="s">
        <v>520</v>
      </c>
      <c r="G6770">
        <v>2</v>
      </c>
      <c r="H6770">
        <v>51</v>
      </c>
      <c r="I6770" s="25">
        <v>2360</v>
      </c>
      <c r="K6770" t="s">
        <v>415</v>
      </c>
      <c r="N6770" t="s">
        <v>44</v>
      </c>
      <c r="O6770">
        <f>60+60+60+10</f>
        <v>190</v>
      </c>
      <c r="Q6770">
        <f t="shared" si="117"/>
        <v>3</v>
      </c>
      <c r="R6770">
        <v>1</v>
      </c>
      <c r="S6770">
        <v>0</v>
      </c>
      <c r="T6770">
        <v>0</v>
      </c>
      <c r="U6770">
        <v>0</v>
      </c>
      <c r="V6770">
        <v>0</v>
      </c>
      <c r="W6770">
        <v>3</v>
      </c>
      <c r="X6770" s="21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f t="shared" si="118"/>
        <v>288</v>
      </c>
      <c r="AP6770" t="s">
        <v>1915</v>
      </c>
    </row>
    <row r="6771" spans="1:42">
      <c r="A6771" s="1">
        <v>43838</v>
      </c>
      <c r="B6771">
        <v>3</v>
      </c>
      <c r="C6771">
        <v>979</v>
      </c>
      <c r="D6771">
        <v>10415</v>
      </c>
      <c r="E6771" t="s">
        <v>37</v>
      </c>
      <c r="F6771" t="s">
        <v>520</v>
      </c>
      <c r="G6771">
        <v>2</v>
      </c>
      <c r="H6771">
        <v>52</v>
      </c>
      <c r="I6771" s="25">
        <v>1625</v>
      </c>
      <c r="K6771" t="s">
        <v>605</v>
      </c>
      <c r="N6771" t="s">
        <v>42</v>
      </c>
      <c r="O6771">
        <f>60+60+36</f>
        <v>156</v>
      </c>
      <c r="Q6771">
        <f t="shared" si="117"/>
        <v>3</v>
      </c>
      <c r="R6771">
        <v>1</v>
      </c>
      <c r="S6771">
        <v>0</v>
      </c>
      <c r="T6771">
        <v>0</v>
      </c>
      <c r="U6771">
        <v>0</v>
      </c>
      <c r="V6771">
        <v>0</v>
      </c>
      <c r="W6771">
        <v>3</v>
      </c>
      <c r="X6771" s="2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f t="shared" si="118"/>
        <v>288</v>
      </c>
      <c r="AL6771" t="s">
        <v>2072</v>
      </c>
      <c r="AP6771" t="s">
        <v>1915</v>
      </c>
    </row>
    <row r="6772" spans="1:42">
      <c r="A6772" s="1">
        <v>43838</v>
      </c>
      <c r="B6772">
        <v>3</v>
      </c>
      <c r="C6772">
        <v>979</v>
      </c>
      <c r="D6772">
        <v>10415</v>
      </c>
      <c r="E6772" t="s">
        <v>37</v>
      </c>
      <c r="F6772" t="s">
        <v>520</v>
      </c>
      <c r="G6772">
        <v>2</v>
      </c>
      <c r="H6772">
        <v>53</v>
      </c>
      <c r="I6772" s="25">
        <v>1600</v>
      </c>
      <c r="K6772" t="s">
        <v>605</v>
      </c>
      <c r="N6772" t="s">
        <v>40</v>
      </c>
      <c r="O6772">
        <v>48</v>
      </c>
      <c r="Q6772">
        <f t="shared" si="117"/>
        <v>1</v>
      </c>
      <c r="R6772">
        <v>1</v>
      </c>
      <c r="S6772">
        <v>0</v>
      </c>
      <c r="T6772">
        <v>0</v>
      </c>
      <c r="U6772">
        <v>1</v>
      </c>
      <c r="V6772">
        <v>0</v>
      </c>
      <c r="W6772">
        <v>0</v>
      </c>
      <c r="X6772" s="21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f t="shared" si="118"/>
        <v>32</v>
      </c>
      <c r="AP6772" t="s">
        <v>1915</v>
      </c>
    </row>
    <row r="6773" spans="1:42">
      <c r="A6773" s="1">
        <v>43838</v>
      </c>
      <c r="B6773">
        <v>3</v>
      </c>
      <c r="C6773">
        <v>979</v>
      </c>
      <c r="D6773">
        <v>10415</v>
      </c>
      <c r="E6773" t="s">
        <v>37</v>
      </c>
      <c r="F6773" t="s">
        <v>520</v>
      </c>
      <c r="G6773">
        <v>2</v>
      </c>
      <c r="H6773">
        <v>54</v>
      </c>
      <c r="I6773" s="25">
        <v>1600</v>
      </c>
      <c r="K6773" t="s">
        <v>605</v>
      </c>
      <c r="N6773" t="s">
        <v>40</v>
      </c>
      <c r="O6773">
        <f>60+60+60+28</f>
        <v>208</v>
      </c>
      <c r="Q6773">
        <f t="shared" si="117"/>
        <v>3</v>
      </c>
      <c r="R6773">
        <v>1</v>
      </c>
      <c r="S6773">
        <v>0</v>
      </c>
      <c r="T6773">
        <v>0</v>
      </c>
      <c r="U6773">
        <v>0</v>
      </c>
      <c r="V6773">
        <v>0</v>
      </c>
      <c r="W6773">
        <v>3</v>
      </c>
      <c r="X6773" s="21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f t="shared" si="118"/>
        <v>288</v>
      </c>
      <c r="AP6773" t="s">
        <v>1915</v>
      </c>
    </row>
    <row r="6774" spans="1:42">
      <c r="A6774" s="1">
        <v>43838</v>
      </c>
      <c r="B6774">
        <v>3</v>
      </c>
      <c r="C6774">
        <v>979</v>
      </c>
      <c r="D6774">
        <v>10415</v>
      </c>
      <c r="E6774" t="s">
        <v>37</v>
      </c>
      <c r="F6774" t="s">
        <v>520</v>
      </c>
      <c r="G6774">
        <v>2</v>
      </c>
      <c r="H6774">
        <v>55</v>
      </c>
      <c r="I6774" s="25">
        <v>1700</v>
      </c>
      <c r="K6774" t="s">
        <v>414</v>
      </c>
      <c r="N6774" t="s">
        <v>40</v>
      </c>
      <c r="O6774">
        <f>60+43</f>
        <v>103</v>
      </c>
      <c r="Q6774">
        <f t="shared" si="117"/>
        <v>2</v>
      </c>
      <c r="R6774">
        <v>1</v>
      </c>
      <c r="S6774">
        <v>0</v>
      </c>
      <c r="T6774">
        <v>0</v>
      </c>
      <c r="U6774">
        <v>1</v>
      </c>
      <c r="V6774">
        <v>0</v>
      </c>
      <c r="W6774">
        <v>1</v>
      </c>
      <c r="X6774" s="21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f t="shared" si="118"/>
        <v>128</v>
      </c>
      <c r="AP6774" t="s">
        <v>1915</v>
      </c>
    </row>
    <row r="6775" spans="1:42">
      <c r="A6775" s="1">
        <v>43838</v>
      </c>
      <c r="B6775">
        <v>3</v>
      </c>
      <c r="C6775">
        <v>979</v>
      </c>
      <c r="D6775">
        <v>10415</v>
      </c>
      <c r="E6775" t="s">
        <v>37</v>
      </c>
      <c r="F6775" t="s">
        <v>520</v>
      </c>
      <c r="G6775">
        <v>2</v>
      </c>
      <c r="H6775">
        <v>56</v>
      </c>
      <c r="I6775" s="25">
        <v>1600</v>
      </c>
      <c r="K6775" t="s">
        <v>414</v>
      </c>
      <c r="N6775" t="s">
        <v>40</v>
      </c>
      <c r="O6775">
        <v>30</v>
      </c>
      <c r="Q6775">
        <f t="shared" si="117"/>
        <v>1</v>
      </c>
      <c r="R6775">
        <v>1</v>
      </c>
      <c r="S6775">
        <v>0</v>
      </c>
      <c r="T6775">
        <v>0</v>
      </c>
      <c r="U6775">
        <v>1</v>
      </c>
      <c r="V6775">
        <v>0</v>
      </c>
      <c r="W6775">
        <v>0</v>
      </c>
      <c r="X6775" s="21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f t="shared" si="118"/>
        <v>32</v>
      </c>
      <c r="AP6775" t="s">
        <v>1915</v>
      </c>
    </row>
    <row r="6776" spans="1:42">
      <c r="A6776" s="1">
        <v>43838</v>
      </c>
      <c r="B6776">
        <v>3</v>
      </c>
      <c r="C6776">
        <v>979</v>
      </c>
      <c r="D6776">
        <v>10415</v>
      </c>
      <c r="E6776" t="s">
        <v>37</v>
      </c>
      <c r="F6776" t="s">
        <v>520</v>
      </c>
      <c r="G6776">
        <v>2</v>
      </c>
      <c r="H6776">
        <v>57</v>
      </c>
      <c r="I6776" s="25">
        <v>1600</v>
      </c>
      <c r="K6776" t="s">
        <v>414</v>
      </c>
      <c r="N6776" t="s">
        <v>40</v>
      </c>
      <c r="O6776">
        <f>60+6</f>
        <v>66</v>
      </c>
      <c r="Q6776">
        <f t="shared" si="117"/>
        <v>1</v>
      </c>
      <c r="R6776">
        <v>1</v>
      </c>
      <c r="S6776">
        <v>0</v>
      </c>
      <c r="T6776">
        <v>0</v>
      </c>
      <c r="U6776">
        <v>0</v>
      </c>
      <c r="V6776">
        <v>0</v>
      </c>
      <c r="W6776">
        <v>1</v>
      </c>
      <c r="X6776" s="21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1</v>
      </c>
      <c r="AG6776">
        <v>0</v>
      </c>
      <c r="AH6776">
        <f t="shared" si="118"/>
        <v>96</v>
      </c>
      <c r="AP6776" t="s">
        <v>1915</v>
      </c>
    </row>
    <row r="6777" spans="1:42">
      <c r="A6777" s="1">
        <v>43838</v>
      </c>
      <c r="B6777">
        <v>3</v>
      </c>
      <c r="C6777">
        <v>979</v>
      </c>
      <c r="D6777">
        <v>10415</v>
      </c>
      <c r="E6777" t="s">
        <v>37</v>
      </c>
      <c r="F6777" t="s">
        <v>520</v>
      </c>
      <c r="G6777">
        <v>2</v>
      </c>
      <c r="H6777">
        <v>58</v>
      </c>
      <c r="I6777" s="25">
        <v>1600</v>
      </c>
      <c r="K6777" t="s">
        <v>414</v>
      </c>
      <c r="N6777" t="s">
        <v>40</v>
      </c>
      <c r="O6777">
        <v>26</v>
      </c>
      <c r="Q6777">
        <f t="shared" si="117"/>
        <v>1</v>
      </c>
      <c r="R6777">
        <v>1</v>
      </c>
      <c r="S6777">
        <v>0</v>
      </c>
      <c r="T6777">
        <v>0</v>
      </c>
      <c r="U6777">
        <v>1</v>
      </c>
      <c r="V6777">
        <v>0</v>
      </c>
      <c r="W6777">
        <v>0</v>
      </c>
      <c r="X6777" s="21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f t="shared" si="118"/>
        <v>32</v>
      </c>
      <c r="AP6777" t="s">
        <v>1915</v>
      </c>
    </row>
    <row r="6778" spans="1:42">
      <c r="A6778" s="1">
        <v>43838</v>
      </c>
      <c r="B6778">
        <v>3</v>
      </c>
      <c r="C6778">
        <v>979</v>
      </c>
      <c r="D6778">
        <v>10415</v>
      </c>
      <c r="E6778" t="s">
        <v>37</v>
      </c>
      <c r="F6778" t="s">
        <v>520</v>
      </c>
      <c r="G6778">
        <v>2</v>
      </c>
      <c r="H6778">
        <v>59</v>
      </c>
      <c r="I6778" s="25">
        <v>1740</v>
      </c>
      <c r="K6778" t="s">
        <v>62</v>
      </c>
      <c r="N6778" t="s">
        <v>44</v>
      </c>
      <c r="O6778">
        <f>60+54</f>
        <v>114</v>
      </c>
      <c r="Q6778">
        <f t="shared" si="117"/>
        <v>1</v>
      </c>
      <c r="R6778">
        <v>1</v>
      </c>
      <c r="S6778">
        <v>0</v>
      </c>
      <c r="T6778">
        <v>0</v>
      </c>
      <c r="U6778">
        <v>0</v>
      </c>
      <c r="V6778">
        <v>0</v>
      </c>
      <c r="W6778">
        <v>1</v>
      </c>
      <c r="X6778" s="21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f t="shared" si="118"/>
        <v>96</v>
      </c>
      <c r="AP6778" t="s">
        <v>1915</v>
      </c>
    </row>
    <row r="6779" spans="1:42">
      <c r="A6779" s="1">
        <v>43838</v>
      </c>
      <c r="B6779">
        <v>3</v>
      </c>
      <c r="C6779">
        <v>979</v>
      </c>
      <c r="D6779">
        <v>10415</v>
      </c>
      <c r="E6779" t="s">
        <v>37</v>
      </c>
      <c r="F6779" t="s">
        <v>520</v>
      </c>
      <c r="G6779">
        <v>2</v>
      </c>
      <c r="H6779">
        <v>60</v>
      </c>
      <c r="I6779" s="25">
        <v>1868</v>
      </c>
      <c r="K6779" t="s">
        <v>415</v>
      </c>
      <c r="N6779" t="s">
        <v>44</v>
      </c>
      <c r="O6779">
        <f>60+60+60+23</f>
        <v>203</v>
      </c>
      <c r="Q6779">
        <f t="shared" si="117"/>
        <v>2</v>
      </c>
      <c r="R6779">
        <v>1</v>
      </c>
      <c r="S6779">
        <v>0</v>
      </c>
      <c r="T6779">
        <v>0</v>
      </c>
      <c r="U6779">
        <v>0</v>
      </c>
      <c r="V6779">
        <v>0</v>
      </c>
      <c r="W6779">
        <v>2</v>
      </c>
      <c r="X6779" s="21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f t="shared" si="118"/>
        <v>192</v>
      </c>
      <c r="AP6779" t="s">
        <v>1915</v>
      </c>
    </row>
    <row r="6780" spans="1:42">
      <c r="A6780" s="1">
        <v>43838</v>
      </c>
      <c r="B6780">
        <v>3</v>
      </c>
      <c r="C6780">
        <v>979</v>
      </c>
      <c r="D6780">
        <v>10415</v>
      </c>
      <c r="E6780" t="s">
        <v>37</v>
      </c>
      <c r="F6780" t="s">
        <v>520</v>
      </c>
      <c r="G6780">
        <v>2</v>
      </c>
      <c r="H6780">
        <v>61</v>
      </c>
      <c r="I6780" s="25">
        <v>1700</v>
      </c>
      <c r="K6780" t="s">
        <v>516</v>
      </c>
      <c r="N6780" t="s">
        <v>1703</v>
      </c>
      <c r="O6780">
        <f>60+15</f>
        <v>75</v>
      </c>
      <c r="Q6780">
        <f t="shared" si="117"/>
        <v>1</v>
      </c>
      <c r="R6780">
        <v>1</v>
      </c>
      <c r="S6780">
        <v>0</v>
      </c>
      <c r="T6780">
        <v>0</v>
      </c>
      <c r="U6780">
        <v>0</v>
      </c>
      <c r="V6780">
        <v>0</v>
      </c>
      <c r="W6780">
        <v>1</v>
      </c>
      <c r="X6780" s="21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f t="shared" si="118"/>
        <v>96</v>
      </c>
      <c r="AL6780" t="s">
        <v>1950</v>
      </c>
      <c r="AP6780" t="s">
        <v>1915</v>
      </c>
    </row>
    <row r="6781" spans="1:42">
      <c r="A6781" s="1">
        <v>43838</v>
      </c>
      <c r="B6781">
        <v>3</v>
      </c>
      <c r="C6781">
        <v>979</v>
      </c>
      <c r="D6781">
        <v>10415</v>
      </c>
      <c r="E6781" t="s">
        <v>37</v>
      </c>
      <c r="F6781" t="s">
        <v>520</v>
      </c>
      <c r="G6781">
        <v>2</v>
      </c>
      <c r="H6781">
        <v>62</v>
      </c>
      <c r="I6781" s="25">
        <v>1711</v>
      </c>
      <c r="K6781" t="s">
        <v>516</v>
      </c>
      <c r="N6781" t="s">
        <v>44</v>
      </c>
      <c r="O6781">
        <f>60+32</f>
        <v>92</v>
      </c>
      <c r="Q6781">
        <f t="shared" si="117"/>
        <v>1</v>
      </c>
      <c r="R6781">
        <v>1</v>
      </c>
      <c r="S6781">
        <v>0</v>
      </c>
      <c r="T6781">
        <v>0</v>
      </c>
      <c r="U6781">
        <v>0</v>
      </c>
      <c r="V6781">
        <v>0</v>
      </c>
      <c r="W6781">
        <v>1</v>
      </c>
      <c r="X6781" s="2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f t="shared" si="118"/>
        <v>96</v>
      </c>
      <c r="AP6781" t="s">
        <v>1915</v>
      </c>
    </row>
    <row r="6782" spans="1:42">
      <c r="A6782" s="1">
        <v>43838</v>
      </c>
      <c r="B6782">
        <v>3</v>
      </c>
      <c r="C6782">
        <v>979</v>
      </c>
      <c r="D6782">
        <v>10415</v>
      </c>
      <c r="E6782" t="s">
        <v>37</v>
      </c>
      <c r="F6782" t="s">
        <v>520</v>
      </c>
      <c r="G6782">
        <v>2</v>
      </c>
      <c r="H6782">
        <v>63</v>
      </c>
      <c r="I6782" s="25">
        <v>1628</v>
      </c>
      <c r="K6782" t="s">
        <v>56</v>
      </c>
      <c r="N6782" t="s">
        <v>1703</v>
      </c>
      <c r="O6782">
        <f>60+21</f>
        <v>81</v>
      </c>
      <c r="Q6782">
        <f t="shared" si="117"/>
        <v>1</v>
      </c>
      <c r="R6782">
        <v>1</v>
      </c>
      <c r="S6782">
        <v>0</v>
      </c>
      <c r="T6782">
        <v>0</v>
      </c>
      <c r="U6782">
        <v>0</v>
      </c>
      <c r="V6782">
        <v>0</v>
      </c>
      <c r="W6782">
        <v>1</v>
      </c>
      <c r="X6782" s="21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f t="shared" si="118"/>
        <v>96</v>
      </c>
      <c r="AL6782" t="s">
        <v>1950</v>
      </c>
      <c r="AP6782" t="s">
        <v>1915</v>
      </c>
    </row>
    <row r="6783" spans="1:42">
      <c r="A6783" s="1">
        <v>43838</v>
      </c>
      <c r="B6783">
        <v>3</v>
      </c>
      <c r="C6783">
        <v>979</v>
      </c>
      <c r="D6783">
        <v>10415</v>
      </c>
      <c r="E6783" t="s">
        <v>37</v>
      </c>
      <c r="F6783" t="s">
        <v>520</v>
      </c>
      <c r="G6783">
        <v>2</v>
      </c>
      <c r="H6783">
        <v>64</v>
      </c>
      <c r="I6783" s="25">
        <v>1600</v>
      </c>
      <c r="K6783" t="s">
        <v>56</v>
      </c>
      <c r="N6783" t="s">
        <v>40</v>
      </c>
      <c r="O6783">
        <f>60+24</f>
        <v>84</v>
      </c>
      <c r="Q6783">
        <f t="shared" si="117"/>
        <v>1</v>
      </c>
      <c r="R6783">
        <v>1</v>
      </c>
      <c r="S6783">
        <v>0</v>
      </c>
      <c r="T6783">
        <v>0</v>
      </c>
      <c r="U6783">
        <v>0</v>
      </c>
      <c r="V6783">
        <v>0</v>
      </c>
      <c r="W6783">
        <v>1</v>
      </c>
      <c r="X6783" s="21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f t="shared" si="118"/>
        <v>96</v>
      </c>
      <c r="AP6783" t="s">
        <v>1915</v>
      </c>
    </row>
    <row r="6784" spans="1:42">
      <c r="A6784" s="1">
        <v>43838</v>
      </c>
      <c r="B6784">
        <v>3</v>
      </c>
      <c r="C6784">
        <v>979</v>
      </c>
      <c r="D6784">
        <v>10415</v>
      </c>
      <c r="E6784" t="s">
        <v>37</v>
      </c>
      <c r="F6784" t="s">
        <v>520</v>
      </c>
      <c r="G6784">
        <v>2</v>
      </c>
      <c r="H6784">
        <v>65</v>
      </c>
      <c r="I6784" s="25">
        <v>1600</v>
      </c>
      <c r="K6784" t="s">
        <v>56</v>
      </c>
      <c r="N6784" t="s">
        <v>40</v>
      </c>
      <c r="O6784">
        <v>56</v>
      </c>
      <c r="Q6784">
        <f t="shared" ref="Q6784:Q6847" si="119">SUM(S6784:AE6784)</f>
        <v>1</v>
      </c>
      <c r="R6784">
        <v>1</v>
      </c>
      <c r="S6784">
        <v>0</v>
      </c>
      <c r="T6784">
        <v>0</v>
      </c>
      <c r="U6784">
        <v>0</v>
      </c>
      <c r="V6784">
        <v>0</v>
      </c>
      <c r="W6784">
        <v>1</v>
      </c>
      <c r="X6784" s="21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f t="shared" si="118"/>
        <v>96</v>
      </c>
      <c r="AP6784" t="s">
        <v>1915</v>
      </c>
    </row>
    <row r="6785" spans="1:42">
      <c r="A6785" s="1">
        <v>43838</v>
      </c>
      <c r="B6785">
        <v>3</v>
      </c>
      <c r="C6785">
        <v>979</v>
      </c>
      <c r="D6785">
        <v>10415</v>
      </c>
      <c r="E6785" t="s">
        <v>37</v>
      </c>
      <c r="F6785" t="s">
        <v>520</v>
      </c>
      <c r="G6785">
        <v>2</v>
      </c>
      <c r="H6785">
        <v>66</v>
      </c>
      <c r="I6785" s="25">
        <v>1600</v>
      </c>
      <c r="K6785" t="s">
        <v>415</v>
      </c>
      <c r="N6785" t="s">
        <v>40</v>
      </c>
      <c r="O6785">
        <f>60+58</f>
        <v>118</v>
      </c>
      <c r="Q6785">
        <f t="shared" si="119"/>
        <v>6</v>
      </c>
      <c r="R6785">
        <v>1</v>
      </c>
      <c r="S6785">
        <v>0</v>
      </c>
      <c r="T6785">
        <v>0</v>
      </c>
      <c r="U6785">
        <v>0</v>
      </c>
      <c r="V6785">
        <v>0</v>
      </c>
      <c r="W6785">
        <v>6</v>
      </c>
      <c r="X6785" s="21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f t="shared" si="118"/>
        <v>576</v>
      </c>
      <c r="AP6785" t="s">
        <v>1915</v>
      </c>
    </row>
    <row r="6786" spans="1:42">
      <c r="A6786" s="1">
        <v>43838</v>
      </c>
      <c r="B6786">
        <v>3</v>
      </c>
      <c r="C6786">
        <v>979</v>
      </c>
      <c r="D6786">
        <v>10415</v>
      </c>
      <c r="E6786" t="s">
        <v>37</v>
      </c>
      <c r="F6786" t="s">
        <v>520</v>
      </c>
      <c r="G6786">
        <v>2</v>
      </c>
      <c r="H6786">
        <v>67</v>
      </c>
      <c r="I6786" s="25" t="s">
        <v>2073</v>
      </c>
      <c r="K6786" t="s">
        <v>415</v>
      </c>
      <c r="N6786" t="s">
        <v>44</v>
      </c>
      <c r="O6786">
        <f>60+60+60+60+60+60+1</f>
        <v>361</v>
      </c>
      <c r="Q6786">
        <f t="shared" si="119"/>
        <v>3</v>
      </c>
      <c r="R6786">
        <v>1</v>
      </c>
      <c r="S6786">
        <v>0</v>
      </c>
      <c r="T6786">
        <v>0</v>
      </c>
      <c r="U6786">
        <v>0</v>
      </c>
      <c r="V6786">
        <v>0</v>
      </c>
      <c r="W6786">
        <v>3</v>
      </c>
      <c r="X6786" s="21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f t="shared" ref="AH6786:AH6849" si="120">(16*S6786)+(20*T6786)+(32*U6786)+(64*V6786)+(96*W6786)</f>
        <v>288</v>
      </c>
      <c r="AL6786" t="s">
        <v>2074</v>
      </c>
      <c r="AP6786" t="s">
        <v>1915</v>
      </c>
    </row>
    <row r="6787" spans="1:42">
      <c r="A6787" s="1">
        <v>43838</v>
      </c>
      <c r="B6787">
        <v>3</v>
      </c>
      <c r="C6787">
        <v>979</v>
      </c>
      <c r="D6787">
        <v>10415</v>
      </c>
      <c r="E6787" t="s">
        <v>37</v>
      </c>
      <c r="F6787" t="s">
        <v>520</v>
      </c>
      <c r="G6787">
        <v>2</v>
      </c>
      <c r="H6787">
        <v>68</v>
      </c>
      <c r="I6787" s="25">
        <v>1600</v>
      </c>
      <c r="K6787" t="s">
        <v>56</v>
      </c>
      <c r="L6787" t="s">
        <v>141</v>
      </c>
      <c r="N6787" t="s">
        <v>40</v>
      </c>
      <c r="O6787">
        <f>60+30</f>
        <v>90</v>
      </c>
      <c r="Q6787">
        <f t="shared" si="119"/>
        <v>1</v>
      </c>
      <c r="R6787">
        <v>1</v>
      </c>
      <c r="S6787">
        <v>0</v>
      </c>
      <c r="T6787">
        <v>0</v>
      </c>
      <c r="U6787">
        <v>0</v>
      </c>
      <c r="V6787">
        <v>0</v>
      </c>
      <c r="W6787">
        <v>1</v>
      </c>
      <c r="X6787" s="21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2</v>
      </c>
      <c r="AG6787">
        <v>0</v>
      </c>
      <c r="AH6787">
        <f t="shared" si="120"/>
        <v>96</v>
      </c>
      <c r="AP6787" t="s">
        <v>1915</v>
      </c>
    </row>
    <row r="6788" spans="1:42">
      <c r="A6788" s="1">
        <v>43838</v>
      </c>
      <c r="B6788">
        <v>3</v>
      </c>
      <c r="C6788">
        <v>979</v>
      </c>
      <c r="D6788">
        <v>10415</v>
      </c>
      <c r="E6788" t="s">
        <v>37</v>
      </c>
      <c r="F6788" t="s">
        <v>520</v>
      </c>
      <c r="G6788">
        <v>2</v>
      </c>
      <c r="H6788">
        <v>69</v>
      </c>
      <c r="I6788" s="25">
        <v>1645</v>
      </c>
      <c r="K6788" t="s">
        <v>56</v>
      </c>
      <c r="N6788" t="s">
        <v>44</v>
      </c>
      <c r="O6788">
        <f>60+60+10</f>
        <v>130</v>
      </c>
      <c r="Q6788">
        <f t="shared" si="119"/>
        <v>2</v>
      </c>
      <c r="R6788">
        <v>1</v>
      </c>
      <c r="S6788">
        <v>0</v>
      </c>
      <c r="T6788">
        <v>0</v>
      </c>
      <c r="U6788">
        <v>0</v>
      </c>
      <c r="V6788">
        <v>0</v>
      </c>
      <c r="W6788">
        <v>2</v>
      </c>
      <c r="X6788" s="21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f t="shared" si="120"/>
        <v>192</v>
      </c>
      <c r="AP6788" t="s">
        <v>1915</v>
      </c>
    </row>
    <row r="6789" spans="1:42">
      <c r="A6789" s="1">
        <v>43838</v>
      </c>
      <c r="B6789">
        <v>3</v>
      </c>
      <c r="C6789">
        <v>979</v>
      </c>
      <c r="D6789">
        <v>10415</v>
      </c>
      <c r="E6789" t="s">
        <v>37</v>
      </c>
      <c r="F6789" t="s">
        <v>520</v>
      </c>
      <c r="G6789">
        <v>2</v>
      </c>
      <c r="H6789">
        <v>70</v>
      </c>
      <c r="I6789" s="25">
        <v>1621</v>
      </c>
      <c r="K6789" t="s">
        <v>56</v>
      </c>
      <c r="N6789" t="s">
        <v>44</v>
      </c>
      <c r="O6789">
        <f>60+60+2</f>
        <v>122</v>
      </c>
      <c r="Q6789">
        <f t="shared" si="119"/>
        <v>1</v>
      </c>
      <c r="R6789">
        <v>1</v>
      </c>
      <c r="S6789">
        <v>0</v>
      </c>
      <c r="T6789">
        <v>0</v>
      </c>
      <c r="U6789">
        <v>0</v>
      </c>
      <c r="V6789">
        <v>0</v>
      </c>
      <c r="W6789">
        <v>1</v>
      </c>
      <c r="X6789" s="21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f t="shared" si="120"/>
        <v>96</v>
      </c>
      <c r="AP6789" t="s">
        <v>1915</v>
      </c>
    </row>
    <row r="6790" spans="1:42">
      <c r="A6790" s="1">
        <v>43838</v>
      </c>
      <c r="B6790">
        <v>3</v>
      </c>
      <c r="C6790">
        <v>979</v>
      </c>
      <c r="D6790">
        <v>10415</v>
      </c>
      <c r="E6790" t="s">
        <v>37</v>
      </c>
      <c r="F6790" t="s">
        <v>520</v>
      </c>
      <c r="G6790">
        <v>2</v>
      </c>
      <c r="H6790">
        <v>71</v>
      </c>
      <c r="I6790" s="25">
        <v>1541</v>
      </c>
      <c r="K6790" t="s">
        <v>56</v>
      </c>
      <c r="N6790" t="s">
        <v>44</v>
      </c>
      <c r="O6790">
        <f>60+60+1</f>
        <v>121</v>
      </c>
      <c r="Q6790">
        <f t="shared" si="119"/>
        <v>2</v>
      </c>
      <c r="R6790">
        <v>1</v>
      </c>
      <c r="S6790">
        <v>0</v>
      </c>
      <c r="T6790">
        <v>0</v>
      </c>
      <c r="U6790">
        <v>0</v>
      </c>
      <c r="V6790">
        <v>0</v>
      </c>
      <c r="W6790">
        <v>2</v>
      </c>
      <c r="X6790" s="21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f t="shared" si="120"/>
        <v>192</v>
      </c>
      <c r="AP6790" t="s">
        <v>1915</v>
      </c>
    </row>
    <row r="6791" spans="1:42">
      <c r="A6791" s="1">
        <v>43838</v>
      </c>
      <c r="B6791">
        <v>3</v>
      </c>
      <c r="C6791">
        <v>979</v>
      </c>
      <c r="D6791">
        <v>10415</v>
      </c>
      <c r="E6791" t="s">
        <v>37</v>
      </c>
      <c r="F6791" t="s">
        <v>520</v>
      </c>
      <c r="G6791">
        <v>2</v>
      </c>
      <c r="H6791">
        <v>72</v>
      </c>
      <c r="I6791" s="25">
        <v>1500</v>
      </c>
      <c r="K6791" t="s">
        <v>56</v>
      </c>
      <c r="L6791" t="s">
        <v>141</v>
      </c>
      <c r="N6791" t="s">
        <v>40</v>
      </c>
      <c r="O6791">
        <f>60+4</f>
        <v>64</v>
      </c>
      <c r="Q6791">
        <f t="shared" si="119"/>
        <v>1</v>
      </c>
      <c r="R6791">
        <v>1</v>
      </c>
      <c r="S6791">
        <v>0</v>
      </c>
      <c r="T6791">
        <v>0</v>
      </c>
      <c r="U6791">
        <v>0</v>
      </c>
      <c r="V6791">
        <v>0</v>
      </c>
      <c r="W6791">
        <v>1</v>
      </c>
      <c r="X6791" s="2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f t="shared" si="120"/>
        <v>96</v>
      </c>
      <c r="AP6791" t="s">
        <v>1915</v>
      </c>
    </row>
    <row r="6792" spans="1:42">
      <c r="A6792" s="1">
        <v>43838</v>
      </c>
      <c r="B6792">
        <v>3</v>
      </c>
      <c r="C6792">
        <v>979</v>
      </c>
      <c r="D6792">
        <v>10415</v>
      </c>
      <c r="E6792" t="s">
        <v>37</v>
      </c>
      <c r="F6792" t="s">
        <v>520</v>
      </c>
      <c r="G6792">
        <v>2</v>
      </c>
      <c r="H6792">
        <v>73</v>
      </c>
      <c r="I6792" s="25" t="s">
        <v>2075</v>
      </c>
      <c r="K6792" t="s">
        <v>56</v>
      </c>
      <c r="N6792" t="s">
        <v>44</v>
      </c>
      <c r="O6792">
        <f>60+60+60+42</f>
        <v>222</v>
      </c>
      <c r="Q6792">
        <f t="shared" si="119"/>
        <v>2</v>
      </c>
      <c r="R6792">
        <v>1</v>
      </c>
      <c r="S6792">
        <v>0</v>
      </c>
      <c r="T6792">
        <v>0</v>
      </c>
      <c r="U6792">
        <v>0</v>
      </c>
      <c r="V6792">
        <v>0</v>
      </c>
      <c r="W6792">
        <v>2</v>
      </c>
      <c r="X6792" s="21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f t="shared" si="120"/>
        <v>192</v>
      </c>
      <c r="AP6792" t="s">
        <v>1915</v>
      </c>
    </row>
    <row r="6793" spans="1:42">
      <c r="A6793" s="1">
        <v>43838</v>
      </c>
      <c r="B6793">
        <v>3</v>
      </c>
      <c r="C6793">
        <v>979</v>
      </c>
      <c r="D6793">
        <v>10415</v>
      </c>
      <c r="E6793" t="s">
        <v>37</v>
      </c>
      <c r="F6793" t="s">
        <v>520</v>
      </c>
      <c r="G6793">
        <v>2</v>
      </c>
      <c r="H6793">
        <v>74</v>
      </c>
      <c r="I6793" s="25">
        <v>1400</v>
      </c>
      <c r="K6793" t="s">
        <v>56</v>
      </c>
      <c r="L6793" t="s">
        <v>141</v>
      </c>
      <c r="N6793" t="s">
        <v>40</v>
      </c>
      <c r="O6793">
        <f>60+24</f>
        <v>84</v>
      </c>
      <c r="Q6793">
        <f t="shared" si="119"/>
        <v>3</v>
      </c>
      <c r="R6793">
        <v>1</v>
      </c>
      <c r="S6793">
        <v>0</v>
      </c>
      <c r="T6793">
        <v>0</v>
      </c>
      <c r="U6793">
        <v>0</v>
      </c>
      <c r="V6793">
        <v>0</v>
      </c>
      <c r="W6793">
        <v>3</v>
      </c>
      <c r="X6793" s="21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f t="shared" si="120"/>
        <v>288</v>
      </c>
      <c r="AP6793" t="s">
        <v>1915</v>
      </c>
    </row>
    <row r="6794" spans="1:42">
      <c r="A6794" s="1">
        <v>43838</v>
      </c>
      <c r="B6794">
        <v>3</v>
      </c>
      <c r="C6794">
        <v>979</v>
      </c>
      <c r="D6794">
        <v>10415</v>
      </c>
      <c r="E6794" t="s">
        <v>37</v>
      </c>
      <c r="F6794" t="s">
        <v>520</v>
      </c>
      <c r="G6794">
        <v>2</v>
      </c>
      <c r="H6794">
        <v>75</v>
      </c>
      <c r="I6794" s="25">
        <v>0</v>
      </c>
      <c r="K6794" t="s">
        <v>2076</v>
      </c>
      <c r="N6794" t="s">
        <v>40</v>
      </c>
      <c r="O6794">
        <f>60+60+19</f>
        <v>139</v>
      </c>
      <c r="Q6794">
        <f t="shared" si="119"/>
        <v>3</v>
      </c>
      <c r="R6794">
        <v>1</v>
      </c>
      <c r="S6794">
        <v>0</v>
      </c>
      <c r="T6794">
        <v>0</v>
      </c>
      <c r="U6794">
        <v>1</v>
      </c>
      <c r="V6794">
        <v>2</v>
      </c>
      <c r="W6794">
        <v>0</v>
      </c>
      <c r="X6794" s="21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f t="shared" si="120"/>
        <v>160</v>
      </c>
      <c r="AL6794" t="s">
        <v>379</v>
      </c>
      <c r="AP6794" t="s">
        <v>1915</v>
      </c>
    </row>
    <row r="6795" spans="1:42">
      <c r="A6795" s="1">
        <v>43838</v>
      </c>
      <c r="B6795">
        <v>3</v>
      </c>
      <c r="C6795">
        <v>979</v>
      </c>
      <c r="D6795">
        <v>10415</v>
      </c>
      <c r="E6795" t="s">
        <v>37</v>
      </c>
      <c r="F6795" t="s">
        <v>520</v>
      </c>
      <c r="G6795">
        <v>2</v>
      </c>
      <c r="H6795">
        <v>76</v>
      </c>
      <c r="I6795" s="25">
        <v>0</v>
      </c>
      <c r="K6795" t="s">
        <v>2077</v>
      </c>
      <c r="N6795" t="s">
        <v>42</v>
      </c>
      <c r="O6795">
        <f>60+60+11</f>
        <v>131</v>
      </c>
      <c r="Q6795">
        <f t="shared" si="119"/>
        <v>2</v>
      </c>
      <c r="R6795">
        <v>1</v>
      </c>
      <c r="S6795">
        <v>0</v>
      </c>
      <c r="T6795">
        <v>0</v>
      </c>
      <c r="U6795">
        <v>0</v>
      </c>
      <c r="V6795">
        <v>0</v>
      </c>
      <c r="W6795">
        <v>2</v>
      </c>
      <c r="X6795" s="21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f t="shared" si="120"/>
        <v>192</v>
      </c>
      <c r="AP6795" t="s">
        <v>1915</v>
      </c>
    </row>
    <row r="6796" spans="1:42">
      <c r="A6796" s="1">
        <v>43838</v>
      </c>
      <c r="B6796">
        <v>3</v>
      </c>
      <c r="C6796">
        <v>979</v>
      </c>
      <c r="D6796">
        <v>10415</v>
      </c>
      <c r="E6796" t="s">
        <v>37</v>
      </c>
      <c r="F6796" t="s">
        <v>520</v>
      </c>
      <c r="G6796">
        <v>2</v>
      </c>
      <c r="H6796">
        <v>77</v>
      </c>
      <c r="I6796" s="25">
        <v>0</v>
      </c>
      <c r="K6796" t="s">
        <v>2077</v>
      </c>
      <c r="N6796" t="s">
        <v>40</v>
      </c>
      <c r="O6796">
        <f>60+25</f>
        <v>85</v>
      </c>
      <c r="Q6796">
        <f t="shared" si="119"/>
        <v>3</v>
      </c>
      <c r="R6796">
        <v>1</v>
      </c>
      <c r="S6796">
        <v>0</v>
      </c>
      <c r="T6796">
        <v>0</v>
      </c>
      <c r="U6796">
        <v>1</v>
      </c>
      <c r="V6796">
        <v>2</v>
      </c>
      <c r="W6796">
        <v>0</v>
      </c>
      <c r="X6796" s="21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f t="shared" si="120"/>
        <v>160</v>
      </c>
      <c r="AP6796" t="s">
        <v>1915</v>
      </c>
    </row>
    <row r="6797" spans="1:42">
      <c r="A6797" s="1">
        <v>43838</v>
      </c>
      <c r="B6797">
        <v>3</v>
      </c>
      <c r="C6797">
        <v>979</v>
      </c>
      <c r="D6797">
        <v>10415</v>
      </c>
      <c r="E6797" t="s">
        <v>37</v>
      </c>
      <c r="F6797" t="s">
        <v>520</v>
      </c>
      <c r="G6797">
        <v>2</v>
      </c>
      <c r="H6797">
        <v>78</v>
      </c>
      <c r="I6797" s="25">
        <v>0</v>
      </c>
      <c r="K6797" t="s">
        <v>2077</v>
      </c>
      <c r="N6797" t="s">
        <v>40</v>
      </c>
      <c r="O6797">
        <f>60+3</f>
        <v>63</v>
      </c>
      <c r="Q6797">
        <f t="shared" si="119"/>
        <v>2</v>
      </c>
      <c r="R6797">
        <v>1</v>
      </c>
      <c r="S6797">
        <v>0</v>
      </c>
      <c r="T6797">
        <v>0</v>
      </c>
      <c r="U6797">
        <v>0</v>
      </c>
      <c r="V6797">
        <v>2</v>
      </c>
      <c r="W6797">
        <v>0</v>
      </c>
      <c r="X6797" s="21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f t="shared" si="120"/>
        <v>128</v>
      </c>
      <c r="AP6797" t="s">
        <v>1915</v>
      </c>
    </row>
    <row r="6798" spans="1:42">
      <c r="A6798" s="1">
        <v>43838</v>
      </c>
      <c r="B6798">
        <v>3</v>
      </c>
      <c r="C6798">
        <v>979</v>
      </c>
      <c r="D6798">
        <v>10415</v>
      </c>
      <c r="E6798" t="s">
        <v>37</v>
      </c>
      <c r="F6798" t="s">
        <v>520</v>
      </c>
      <c r="G6798">
        <v>2</v>
      </c>
      <c r="H6798">
        <v>79</v>
      </c>
      <c r="I6798" s="25">
        <v>0</v>
      </c>
      <c r="K6798" t="s">
        <v>2077</v>
      </c>
      <c r="N6798" t="s">
        <v>44</v>
      </c>
      <c r="O6798">
        <f>60+60+18</f>
        <v>138</v>
      </c>
      <c r="Q6798">
        <f t="shared" si="119"/>
        <v>2</v>
      </c>
      <c r="R6798">
        <v>1</v>
      </c>
      <c r="S6798">
        <v>0</v>
      </c>
      <c r="T6798">
        <v>0</v>
      </c>
      <c r="U6798">
        <v>1</v>
      </c>
      <c r="V6798">
        <v>0</v>
      </c>
      <c r="W6798">
        <v>1</v>
      </c>
      <c r="X6798" s="21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f t="shared" si="120"/>
        <v>128</v>
      </c>
      <c r="AP6798" t="s">
        <v>1915</v>
      </c>
    </row>
    <row r="6799" spans="1:42">
      <c r="A6799" s="1">
        <v>43838</v>
      </c>
      <c r="B6799">
        <v>3</v>
      </c>
      <c r="C6799">
        <v>979</v>
      </c>
      <c r="D6799">
        <v>10415</v>
      </c>
      <c r="E6799" t="s">
        <v>37</v>
      </c>
      <c r="F6799" t="s">
        <v>520</v>
      </c>
      <c r="G6799">
        <v>2</v>
      </c>
      <c r="H6799">
        <v>80</v>
      </c>
      <c r="I6799" s="25">
        <v>1440</v>
      </c>
      <c r="K6799" t="s">
        <v>185</v>
      </c>
      <c r="N6799" t="s">
        <v>44</v>
      </c>
      <c r="O6799">
        <f>60+60+60+24</f>
        <v>204</v>
      </c>
      <c r="Q6799">
        <f t="shared" si="119"/>
        <v>2</v>
      </c>
      <c r="R6799">
        <v>1</v>
      </c>
      <c r="S6799">
        <v>0</v>
      </c>
      <c r="T6799">
        <v>0</v>
      </c>
      <c r="U6799">
        <v>0</v>
      </c>
      <c r="V6799">
        <v>0</v>
      </c>
      <c r="W6799">
        <v>2</v>
      </c>
      <c r="X6799" s="21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f t="shared" si="120"/>
        <v>192</v>
      </c>
      <c r="AL6799" t="s">
        <v>587</v>
      </c>
      <c r="AP6799" t="s">
        <v>1915</v>
      </c>
    </row>
    <row r="6800" spans="1:42">
      <c r="A6800" s="1">
        <v>43838</v>
      </c>
      <c r="B6800">
        <v>3</v>
      </c>
      <c r="C6800">
        <v>979</v>
      </c>
      <c r="D6800">
        <v>10415</v>
      </c>
      <c r="E6800" t="s">
        <v>37</v>
      </c>
      <c r="F6800" t="s">
        <v>520</v>
      </c>
      <c r="G6800">
        <v>2</v>
      </c>
      <c r="H6800">
        <v>81</v>
      </c>
      <c r="I6800" s="25">
        <v>1467</v>
      </c>
      <c r="K6800" t="s">
        <v>585</v>
      </c>
      <c r="N6800" t="s">
        <v>44</v>
      </c>
      <c r="O6800">
        <f>60+60+60+51</f>
        <v>231</v>
      </c>
      <c r="Q6800">
        <f t="shared" si="119"/>
        <v>2</v>
      </c>
      <c r="R6800">
        <v>1</v>
      </c>
      <c r="S6800">
        <v>0</v>
      </c>
      <c r="T6800">
        <v>0</v>
      </c>
      <c r="U6800">
        <v>0</v>
      </c>
      <c r="V6800">
        <v>0</v>
      </c>
      <c r="W6800">
        <v>2</v>
      </c>
      <c r="X6800" s="21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f t="shared" si="120"/>
        <v>192</v>
      </c>
      <c r="AP6800" t="s">
        <v>1915</v>
      </c>
    </row>
    <row r="6801" spans="1:42">
      <c r="A6801" s="1">
        <v>43838</v>
      </c>
      <c r="B6801">
        <v>3</v>
      </c>
      <c r="C6801">
        <v>979</v>
      </c>
      <c r="D6801">
        <v>10415</v>
      </c>
      <c r="E6801" t="s">
        <v>37</v>
      </c>
      <c r="F6801" t="s">
        <v>520</v>
      </c>
      <c r="G6801">
        <v>2</v>
      </c>
      <c r="H6801">
        <v>82</v>
      </c>
      <c r="I6801" s="25" t="s">
        <v>2078</v>
      </c>
      <c r="K6801" t="s">
        <v>585</v>
      </c>
      <c r="N6801" t="s">
        <v>44</v>
      </c>
      <c r="O6801">
        <f>60+60+29</f>
        <v>149</v>
      </c>
      <c r="Q6801">
        <f t="shared" si="119"/>
        <v>2</v>
      </c>
      <c r="R6801">
        <v>1</v>
      </c>
      <c r="S6801">
        <v>0</v>
      </c>
      <c r="T6801">
        <v>0</v>
      </c>
      <c r="U6801">
        <v>0</v>
      </c>
      <c r="V6801">
        <v>0</v>
      </c>
      <c r="W6801">
        <v>2</v>
      </c>
      <c r="X6801" s="2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f t="shared" si="120"/>
        <v>192</v>
      </c>
      <c r="AL6801" t="s">
        <v>2079</v>
      </c>
      <c r="AP6801" t="s">
        <v>1915</v>
      </c>
    </row>
    <row r="6802" spans="1:42">
      <c r="A6802" s="1">
        <v>43838</v>
      </c>
      <c r="B6802">
        <v>3</v>
      </c>
      <c r="C6802">
        <v>979</v>
      </c>
      <c r="D6802">
        <v>10415</v>
      </c>
      <c r="E6802" t="s">
        <v>37</v>
      </c>
      <c r="F6802" t="s">
        <v>520</v>
      </c>
      <c r="G6802">
        <v>2</v>
      </c>
      <c r="H6802">
        <v>83</v>
      </c>
      <c r="I6802" s="25">
        <v>1456</v>
      </c>
      <c r="K6802" t="s">
        <v>585</v>
      </c>
      <c r="N6802" t="s">
        <v>44</v>
      </c>
      <c r="O6802">
        <f>60+41</f>
        <v>101</v>
      </c>
      <c r="Q6802">
        <f t="shared" si="119"/>
        <v>1</v>
      </c>
      <c r="R6802">
        <v>1</v>
      </c>
      <c r="S6802">
        <v>0</v>
      </c>
      <c r="T6802">
        <v>0</v>
      </c>
      <c r="U6802">
        <v>0</v>
      </c>
      <c r="V6802">
        <v>0</v>
      </c>
      <c r="W6802">
        <v>1</v>
      </c>
      <c r="X6802" s="21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f t="shared" si="120"/>
        <v>96</v>
      </c>
      <c r="AL6802" t="s">
        <v>2080</v>
      </c>
      <c r="AP6802" t="s">
        <v>1915</v>
      </c>
    </row>
    <row r="6803" spans="1:42">
      <c r="A6803" s="1">
        <v>43838</v>
      </c>
      <c r="B6803">
        <v>3</v>
      </c>
      <c r="C6803">
        <v>979</v>
      </c>
      <c r="D6803">
        <v>10415</v>
      </c>
      <c r="E6803" t="s">
        <v>37</v>
      </c>
      <c r="F6803" t="s">
        <v>520</v>
      </c>
      <c r="G6803">
        <v>2</v>
      </c>
      <c r="H6803">
        <v>84</v>
      </c>
      <c r="I6803" s="25">
        <v>1425</v>
      </c>
      <c r="K6803" t="s">
        <v>585</v>
      </c>
      <c r="N6803" t="s">
        <v>44</v>
      </c>
      <c r="O6803">
        <f>60+60</f>
        <v>120</v>
      </c>
      <c r="Q6803">
        <f t="shared" si="119"/>
        <v>2</v>
      </c>
      <c r="R6803">
        <v>1</v>
      </c>
      <c r="S6803">
        <v>0</v>
      </c>
      <c r="T6803">
        <v>0</v>
      </c>
      <c r="U6803">
        <v>0</v>
      </c>
      <c r="V6803">
        <v>0</v>
      </c>
      <c r="W6803">
        <v>2</v>
      </c>
      <c r="X6803" s="21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f t="shared" si="120"/>
        <v>192</v>
      </c>
      <c r="AL6803" t="s">
        <v>2081</v>
      </c>
      <c r="AP6803" t="s">
        <v>1915</v>
      </c>
    </row>
    <row r="6804" spans="1:42">
      <c r="A6804" s="1">
        <v>43838</v>
      </c>
      <c r="B6804">
        <v>3</v>
      </c>
      <c r="C6804">
        <v>979</v>
      </c>
      <c r="D6804">
        <v>10415</v>
      </c>
      <c r="E6804" t="s">
        <v>37</v>
      </c>
      <c r="F6804" t="s">
        <v>520</v>
      </c>
      <c r="G6804">
        <v>2</v>
      </c>
      <c r="H6804">
        <v>85</v>
      </c>
      <c r="I6804" s="25">
        <v>2120</v>
      </c>
      <c r="K6804" t="s">
        <v>420</v>
      </c>
      <c r="N6804" t="s">
        <v>44</v>
      </c>
      <c r="O6804">
        <f>60+26</f>
        <v>86</v>
      </c>
      <c r="Q6804">
        <f t="shared" si="119"/>
        <v>2</v>
      </c>
      <c r="R6804">
        <v>1</v>
      </c>
      <c r="S6804">
        <v>0</v>
      </c>
      <c r="T6804">
        <v>0</v>
      </c>
      <c r="U6804">
        <v>0</v>
      </c>
      <c r="V6804">
        <v>0</v>
      </c>
      <c r="W6804">
        <v>2</v>
      </c>
      <c r="X6804" s="21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f t="shared" si="120"/>
        <v>192</v>
      </c>
      <c r="AP6804" t="s">
        <v>1915</v>
      </c>
    </row>
    <row r="6805" spans="1:42">
      <c r="A6805" s="1">
        <v>43838</v>
      </c>
      <c r="B6805">
        <v>3</v>
      </c>
      <c r="C6805">
        <v>979</v>
      </c>
      <c r="D6805">
        <v>10415</v>
      </c>
      <c r="E6805" t="s">
        <v>37</v>
      </c>
      <c r="F6805" t="s">
        <v>520</v>
      </c>
      <c r="G6805">
        <v>2</v>
      </c>
      <c r="H6805">
        <v>86</v>
      </c>
      <c r="I6805" s="25">
        <v>2148</v>
      </c>
      <c r="K6805" t="s">
        <v>420</v>
      </c>
      <c r="N6805" t="s">
        <v>44</v>
      </c>
      <c r="O6805">
        <f>60+60+26</f>
        <v>146</v>
      </c>
      <c r="Q6805">
        <f t="shared" si="119"/>
        <v>2</v>
      </c>
      <c r="R6805">
        <v>1</v>
      </c>
      <c r="S6805">
        <v>0</v>
      </c>
      <c r="T6805">
        <v>0</v>
      </c>
      <c r="U6805">
        <v>2</v>
      </c>
      <c r="V6805">
        <v>0</v>
      </c>
      <c r="W6805">
        <v>0</v>
      </c>
      <c r="X6805" s="21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1</v>
      </c>
      <c r="AG6805">
        <v>0</v>
      </c>
      <c r="AH6805">
        <f t="shared" si="120"/>
        <v>64</v>
      </c>
      <c r="AP6805" t="s">
        <v>1915</v>
      </c>
    </row>
    <row r="6806" spans="1:42">
      <c r="A6806" s="1">
        <v>43838</v>
      </c>
      <c r="B6806">
        <v>3</v>
      </c>
      <c r="C6806">
        <v>979</v>
      </c>
      <c r="D6806">
        <v>10415</v>
      </c>
      <c r="E6806" t="s">
        <v>37</v>
      </c>
      <c r="F6806" t="s">
        <v>520</v>
      </c>
      <c r="G6806">
        <v>2</v>
      </c>
      <c r="H6806">
        <v>87</v>
      </c>
      <c r="I6806" s="25">
        <v>2165</v>
      </c>
      <c r="K6806" t="s">
        <v>420</v>
      </c>
      <c r="N6806" t="s">
        <v>44</v>
      </c>
      <c r="O6806">
        <f>60+60+60</f>
        <v>180</v>
      </c>
      <c r="Q6806">
        <f t="shared" si="119"/>
        <v>2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2</v>
      </c>
      <c r="X6806" s="21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f t="shared" si="120"/>
        <v>192</v>
      </c>
      <c r="AP6806" t="s">
        <v>1915</v>
      </c>
    </row>
    <row r="6807" spans="1:42">
      <c r="A6807" s="1">
        <v>43838</v>
      </c>
      <c r="B6807">
        <v>3</v>
      </c>
      <c r="C6807">
        <v>979</v>
      </c>
      <c r="D6807">
        <v>10415</v>
      </c>
      <c r="E6807" t="s">
        <v>37</v>
      </c>
      <c r="F6807" t="s">
        <v>520</v>
      </c>
      <c r="G6807">
        <v>2</v>
      </c>
      <c r="H6807">
        <v>88</v>
      </c>
      <c r="I6807" s="25">
        <v>1400</v>
      </c>
      <c r="K6807" t="s">
        <v>647</v>
      </c>
      <c r="N6807" t="s">
        <v>40</v>
      </c>
      <c r="O6807">
        <f>60+21</f>
        <v>81</v>
      </c>
      <c r="Q6807">
        <f t="shared" si="119"/>
        <v>2</v>
      </c>
      <c r="R6807">
        <v>1</v>
      </c>
      <c r="S6807">
        <v>0</v>
      </c>
      <c r="T6807">
        <v>0</v>
      </c>
      <c r="U6807">
        <v>0</v>
      </c>
      <c r="V6807">
        <v>0</v>
      </c>
      <c r="W6807">
        <v>2</v>
      </c>
      <c r="X6807" s="21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f t="shared" si="120"/>
        <v>192</v>
      </c>
      <c r="AP6807" t="s">
        <v>1915</v>
      </c>
    </row>
    <row r="6808" spans="1:42">
      <c r="A6808" s="1">
        <v>43838</v>
      </c>
      <c r="B6808">
        <v>3</v>
      </c>
      <c r="C6808">
        <v>979</v>
      </c>
      <c r="D6808">
        <v>10415</v>
      </c>
      <c r="E6808" t="s">
        <v>37</v>
      </c>
      <c r="F6808" t="s">
        <v>520</v>
      </c>
      <c r="G6808">
        <v>2</v>
      </c>
      <c r="H6808">
        <v>89</v>
      </c>
      <c r="I6808" s="25">
        <v>1471</v>
      </c>
      <c r="K6808" t="s">
        <v>647</v>
      </c>
      <c r="M6808" t="s">
        <v>95</v>
      </c>
      <c r="N6808" t="s">
        <v>44</v>
      </c>
      <c r="O6808">
        <f>60+60+60+60+60+19</f>
        <v>319</v>
      </c>
      <c r="Q6808">
        <f t="shared" si="119"/>
        <v>6</v>
      </c>
      <c r="R6808">
        <v>1</v>
      </c>
      <c r="S6808">
        <v>0</v>
      </c>
      <c r="T6808">
        <v>0</v>
      </c>
      <c r="U6808">
        <v>0</v>
      </c>
      <c r="V6808">
        <v>0</v>
      </c>
      <c r="W6808">
        <v>6</v>
      </c>
      <c r="X6808" s="21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f t="shared" si="120"/>
        <v>576</v>
      </c>
      <c r="AP6808" t="s">
        <v>1915</v>
      </c>
    </row>
    <row r="6809" spans="1:42">
      <c r="A6809" s="1">
        <v>43850</v>
      </c>
      <c r="B6809">
        <v>2</v>
      </c>
      <c r="C6809">
        <v>507</v>
      </c>
      <c r="D6809">
        <v>11442</v>
      </c>
      <c r="E6809" t="s">
        <v>377</v>
      </c>
      <c r="F6809" t="s">
        <v>38</v>
      </c>
      <c r="G6809">
        <v>1</v>
      </c>
      <c r="H6809">
        <v>1</v>
      </c>
      <c r="I6809" s="25">
        <v>675</v>
      </c>
      <c r="K6809" t="s">
        <v>381</v>
      </c>
      <c r="N6809" t="s">
        <v>40</v>
      </c>
      <c r="O6809">
        <v>30</v>
      </c>
      <c r="Q6809">
        <f t="shared" si="119"/>
        <v>1</v>
      </c>
      <c r="R6809">
        <v>1</v>
      </c>
      <c r="S6809">
        <v>0</v>
      </c>
      <c r="T6809">
        <v>0</v>
      </c>
      <c r="U6809">
        <v>0</v>
      </c>
      <c r="V6809">
        <v>0</v>
      </c>
      <c r="W6809">
        <v>0</v>
      </c>
      <c r="X6809" s="21">
        <v>0</v>
      </c>
      <c r="Y6809">
        <v>0</v>
      </c>
      <c r="Z6809">
        <v>0</v>
      </c>
      <c r="AA6809">
        <v>1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f t="shared" si="120"/>
        <v>0</v>
      </c>
      <c r="AP6809" t="s">
        <v>1915</v>
      </c>
    </row>
    <row r="6810" spans="1:42">
      <c r="A6810" s="1">
        <v>43850</v>
      </c>
      <c r="B6810">
        <v>2</v>
      </c>
      <c r="C6810">
        <v>507</v>
      </c>
      <c r="D6810">
        <v>11442</v>
      </c>
      <c r="E6810" t="s">
        <v>377</v>
      </c>
      <c r="F6810" t="s">
        <v>38</v>
      </c>
      <c r="G6810">
        <v>1</v>
      </c>
      <c r="H6810">
        <v>2</v>
      </c>
      <c r="I6810" s="25">
        <v>601</v>
      </c>
      <c r="K6810" t="s">
        <v>381</v>
      </c>
      <c r="N6810" t="s">
        <v>40</v>
      </c>
      <c r="O6810">
        <v>43</v>
      </c>
      <c r="Q6810">
        <f t="shared" si="119"/>
        <v>1</v>
      </c>
      <c r="R6810">
        <v>1</v>
      </c>
      <c r="S6810">
        <v>0</v>
      </c>
      <c r="T6810">
        <v>0</v>
      </c>
      <c r="U6810">
        <v>0</v>
      </c>
      <c r="V6810">
        <v>0</v>
      </c>
      <c r="W6810">
        <v>0</v>
      </c>
      <c r="X6810" s="21">
        <v>0</v>
      </c>
      <c r="Y6810">
        <v>0</v>
      </c>
      <c r="Z6810">
        <v>0</v>
      </c>
      <c r="AA6810">
        <v>0</v>
      </c>
      <c r="AB6810">
        <v>0</v>
      </c>
      <c r="AC6810">
        <v>1</v>
      </c>
      <c r="AD6810">
        <v>0</v>
      </c>
      <c r="AE6810">
        <v>0</v>
      </c>
      <c r="AF6810">
        <v>0</v>
      </c>
      <c r="AG6810">
        <v>0</v>
      </c>
      <c r="AH6810">
        <f t="shared" si="120"/>
        <v>0</v>
      </c>
      <c r="AL6810" t="s">
        <v>2082</v>
      </c>
      <c r="AP6810" t="s">
        <v>1915</v>
      </c>
    </row>
    <row r="6811" spans="1:42">
      <c r="A6811" s="1">
        <v>43850</v>
      </c>
      <c r="B6811">
        <v>2</v>
      </c>
      <c r="C6811">
        <v>507</v>
      </c>
      <c r="D6811">
        <v>11442</v>
      </c>
      <c r="E6811" t="s">
        <v>377</v>
      </c>
      <c r="F6811" t="s">
        <v>38</v>
      </c>
      <c r="G6811">
        <v>1</v>
      </c>
      <c r="H6811">
        <v>3</v>
      </c>
      <c r="I6811" s="25">
        <v>657</v>
      </c>
      <c r="K6811" t="s">
        <v>381</v>
      </c>
      <c r="N6811" t="s">
        <v>44</v>
      </c>
      <c r="O6811">
        <f>60+47</f>
        <v>107</v>
      </c>
      <c r="Q6811">
        <f t="shared" si="119"/>
        <v>1</v>
      </c>
      <c r="R6811">
        <v>1</v>
      </c>
      <c r="S6811">
        <v>0</v>
      </c>
      <c r="T6811">
        <v>0</v>
      </c>
      <c r="U6811">
        <v>0</v>
      </c>
      <c r="V6811">
        <v>0</v>
      </c>
      <c r="W6811">
        <v>0</v>
      </c>
      <c r="X6811" s="21">
        <v>0</v>
      </c>
      <c r="Y6811">
        <v>0</v>
      </c>
      <c r="Z6811">
        <v>0</v>
      </c>
      <c r="AA6811">
        <v>1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f t="shared" si="120"/>
        <v>0</v>
      </c>
      <c r="AL6811" t="s">
        <v>2083</v>
      </c>
      <c r="AP6811" t="s">
        <v>1915</v>
      </c>
    </row>
    <row r="6812" spans="1:42">
      <c r="A6812" s="1">
        <v>43850</v>
      </c>
      <c r="B6812">
        <v>2</v>
      </c>
      <c r="C6812">
        <v>507</v>
      </c>
      <c r="D6812">
        <v>11442</v>
      </c>
      <c r="E6812" t="s">
        <v>377</v>
      </c>
      <c r="F6812" t="s">
        <v>38</v>
      </c>
      <c r="G6812">
        <v>1</v>
      </c>
      <c r="H6812">
        <v>4</v>
      </c>
      <c r="I6812" s="25">
        <v>601</v>
      </c>
      <c r="K6812" t="s">
        <v>381</v>
      </c>
      <c r="N6812" t="s">
        <v>44</v>
      </c>
      <c r="O6812">
        <f>60+53</f>
        <v>113</v>
      </c>
      <c r="Q6812">
        <f t="shared" si="119"/>
        <v>1</v>
      </c>
      <c r="R6812">
        <v>1</v>
      </c>
      <c r="S6812">
        <v>0</v>
      </c>
      <c r="T6812">
        <v>0</v>
      </c>
      <c r="U6812">
        <v>0</v>
      </c>
      <c r="V6812">
        <v>0</v>
      </c>
      <c r="W6812">
        <v>0</v>
      </c>
      <c r="X6812" s="21">
        <v>0</v>
      </c>
      <c r="Y6812">
        <v>0</v>
      </c>
      <c r="Z6812">
        <v>0</v>
      </c>
      <c r="AA6812">
        <v>1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f t="shared" si="120"/>
        <v>0</v>
      </c>
      <c r="AL6812" t="s">
        <v>2083</v>
      </c>
      <c r="AP6812" t="s">
        <v>1915</v>
      </c>
    </row>
    <row r="6813" spans="1:42">
      <c r="A6813" s="1">
        <v>43850</v>
      </c>
      <c r="B6813">
        <v>2</v>
      </c>
      <c r="C6813">
        <v>507</v>
      </c>
      <c r="D6813">
        <v>11442</v>
      </c>
      <c r="E6813" t="s">
        <v>377</v>
      </c>
      <c r="F6813" t="s">
        <v>38</v>
      </c>
      <c r="G6813">
        <v>1</v>
      </c>
      <c r="H6813">
        <v>5</v>
      </c>
      <c r="I6813" s="25">
        <v>510</v>
      </c>
      <c r="K6813" t="s">
        <v>381</v>
      </c>
      <c r="N6813" t="s">
        <v>44</v>
      </c>
      <c r="O6813">
        <f>60+60+17</f>
        <v>137</v>
      </c>
      <c r="Q6813">
        <f t="shared" si="119"/>
        <v>1</v>
      </c>
      <c r="R6813">
        <v>1</v>
      </c>
      <c r="S6813">
        <v>0</v>
      </c>
      <c r="T6813">
        <v>0</v>
      </c>
      <c r="U6813">
        <v>0</v>
      </c>
      <c r="V6813">
        <v>0</v>
      </c>
      <c r="W6813">
        <v>0</v>
      </c>
      <c r="X6813" s="21">
        <v>0</v>
      </c>
      <c r="Y6813">
        <v>0</v>
      </c>
      <c r="Z6813">
        <v>0</v>
      </c>
      <c r="AA6813">
        <v>1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f t="shared" si="120"/>
        <v>0</v>
      </c>
      <c r="AL6813" t="s">
        <v>2084</v>
      </c>
      <c r="AP6813" t="s">
        <v>1915</v>
      </c>
    </row>
    <row r="6814" spans="1:42">
      <c r="A6814" s="1">
        <v>43850</v>
      </c>
      <c r="B6814">
        <v>2</v>
      </c>
      <c r="C6814">
        <v>507</v>
      </c>
      <c r="D6814">
        <v>11442</v>
      </c>
      <c r="E6814" t="s">
        <v>377</v>
      </c>
      <c r="F6814" t="s">
        <v>38</v>
      </c>
      <c r="G6814">
        <v>1</v>
      </c>
      <c r="H6814">
        <v>6</v>
      </c>
      <c r="I6814" s="25">
        <v>1161</v>
      </c>
      <c r="K6814" t="s">
        <v>394</v>
      </c>
      <c r="N6814" t="s">
        <v>1703</v>
      </c>
      <c r="O6814">
        <f>60+60+2</f>
        <v>122</v>
      </c>
      <c r="Q6814">
        <f t="shared" si="119"/>
        <v>1</v>
      </c>
      <c r="R6814">
        <v>1</v>
      </c>
      <c r="S6814">
        <v>0</v>
      </c>
      <c r="T6814">
        <v>0</v>
      </c>
      <c r="U6814">
        <v>0</v>
      </c>
      <c r="V6814">
        <v>0</v>
      </c>
      <c r="W6814">
        <v>0</v>
      </c>
      <c r="X6814" s="21">
        <v>0</v>
      </c>
      <c r="Y6814">
        <v>1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f t="shared" si="120"/>
        <v>0</v>
      </c>
      <c r="AL6814" t="s">
        <v>2085</v>
      </c>
      <c r="AP6814" t="s">
        <v>1915</v>
      </c>
    </row>
    <row r="6815" spans="1:42">
      <c r="A6815" s="1">
        <v>43850</v>
      </c>
      <c r="B6815">
        <v>2</v>
      </c>
      <c r="C6815">
        <v>507</v>
      </c>
      <c r="D6815">
        <v>11442</v>
      </c>
      <c r="E6815" t="s">
        <v>377</v>
      </c>
      <c r="F6815" t="s">
        <v>38</v>
      </c>
      <c r="G6815">
        <v>1</v>
      </c>
      <c r="H6815">
        <v>7</v>
      </c>
      <c r="I6815" s="25">
        <v>901</v>
      </c>
      <c r="K6815" t="s">
        <v>73</v>
      </c>
      <c r="N6815" t="s">
        <v>1703</v>
      </c>
      <c r="O6815">
        <f>60+39</f>
        <v>99</v>
      </c>
      <c r="Q6815">
        <f t="shared" si="119"/>
        <v>1</v>
      </c>
      <c r="R6815">
        <v>1</v>
      </c>
      <c r="S6815">
        <v>0</v>
      </c>
      <c r="T6815">
        <v>0</v>
      </c>
      <c r="U6815">
        <v>0</v>
      </c>
      <c r="V6815">
        <v>0</v>
      </c>
      <c r="W6815">
        <v>0</v>
      </c>
      <c r="X6815" s="21">
        <v>0</v>
      </c>
      <c r="Y6815">
        <v>0</v>
      </c>
      <c r="Z6815">
        <v>0</v>
      </c>
      <c r="AA6815">
        <v>1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f t="shared" si="120"/>
        <v>0</v>
      </c>
      <c r="AL6815" t="s">
        <v>2086</v>
      </c>
      <c r="AP6815" t="s">
        <v>1915</v>
      </c>
    </row>
    <row r="6816" spans="1:42">
      <c r="A6816" s="1">
        <v>43850</v>
      </c>
      <c r="B6816">
        <v>2</v>
      </c>
      <c r="C6816">
        <v>507</v>
      </c>
      <c r="D6816">
        <v>11442</v>
      </c>
      <c r="E6816" t="s">
        <v>377</v>
      </c>
      <c r="F6816" t="s">
        <v>38</v>
      </c>
      <c r="G6816">
        <v>1</v>
      </c>
      <c r="H6816">
        <v>8</v>
      </c>
      <c r="I6816" s="25">
        <v>666</v>
      </c>
      <c r="K6816" t="s">
        <v>100</v>
      </c>
      <c r="N6816" t="s">
        <v>40</v>
      </c>
      <c r="O6816">
        <f>60+16</f>
        <v>76</v>
      </c>
      <c r="Q6816">
        <f t="shared" si="119"/>
        <v>1</v>
      </c>
      <c r="R6816">
        <v>1</v>
      </c>
      <c r="S6816">
        <v>0</v>
      </c>
      <c r="T6816">
        <v>0</v>
      </c>
      <c r="U6816">
        <v>0</v>
      </c>
      <c r="V6816">
        <v>0</v>
      </c>
      <c r="W6816">
        <v>0</v>
      </c>
      <c r="X6816" s="21">
        <v>0</v>
      </c>
      <c r="Y6816">
        <v>0</v>
      </c>
      <c r="Z6816">
        <v>0</v>
      </c>
      <c r="AA6816">
        <v>1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f t="shared" si="120"/>
        <v>0</v>
      </c>
      <c r="AP6816" t="s">
        <v>1915</v>
      </c>
    </row>
    <row r="6817" spans="1:42">
      <c r="A6817" s="1">
        <v>43850</v>
      </c>
      <c r="B6817">
        <v>2</v>
      </c>
      <c r="C6817">
        <v>507</v>
      </c>
      <c r="D6817">
        <v>11442</v>
      </c>
      <c r="E6817" t="s">
        <v>377</v>
      </c>
      <c r="F6817" t="s">
        <v>38</v>
      </c>
      <c r="G6817">
        <v>1</v>
      </c>
      <c r="H6817">
        <v>9</v>
      </c>
      <c r="I6817" s="25">
        <v>198</v>
      </c>
      <c r="K6817" t="s">
        <v>431</v>
      </c>
      <c r="N6817" t="s">
        <v>40</v>
      </c>
      <c r="O6817">
        <f>60+14</f>
        <v>74</v>
      </c>
      <c r="Q6817">
        <f t="shared" si="119"/>
        <v>1</v>
      </c>
      <c r="R6817">
        <v>1</v>
      </c>
      <c r="S6817">
        <v>0</v>
      </c>
      <c r="T6817">
        <v>0</v>
      </c>
      <c r="U6817">
        <v>0</v>
      </c>
      <c r="V6817">
        <v>0</v>
      </c>
      <c r="W6817">
        <v>0</v>
      </c>
      <c r="X6817" s="21">
        <v>0</v>
      </c>
      <c r="Y6817">
        <v>0</v>
      </c>
      <c r="Z6817">
        <v>0</v>
      </c>
      <c r="AA6817">
        <v>1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f t="shared" si="120"/>
        <v>0</v>
      </c>
      <c r="AP6817" t="s">
        <v>1915</v>
      </c>
    </row>
    <row r="6818" spans="1:42">
      <c r="A6818" s="1">
        <v>43850</v>
      </c>
      <c r="B6818">
        <v>2</v>
      </c>
      <c r="C6818">
        <v>507</v>
      </c>
      <c r="D6818">
        <v>11442</v>
      </c>
      <c r="E6818" t="s">
        <v>377</v>
      </c>
      <c r="F6818" t="s">
        <v>38</v>
      </c>
      <c r="G6818">
        <v>1</v>
      </c>
      <c r="H6818">
        <v>10</v>
      </c>
      <c r="I6818" s="25">
        <v>1275</v>
      </c>
      <c r="K6818" t="s">
        <v>73</v>
      </c>
      <c r="N6818" t="s">
        <v>40</v>
      </c>
      <c r="O6818">
        <f>60+60+60+60+21</f>
        <v>261</v>
      </c>
      <c r="Q6818">
        <f t="shared" si="119"/>
        <v>1</v>
      </c>
      <c r="R6818">
        <v>1</v>
      </c>
      <c r="S6818">
        <v>0</v>
      </c>
      <c r="T6818">
        <v>0</v>
      </c>
      <c r="U6818">
        <v>0</v>
      </c>
      <c r="V6818">
        <v>0</v>
      </c>
      <c r="W6818">
        <v>0</v>
      </c>
      <c r="X6818" s="21">
        <v>0</v>
      </c>
      <c r="Y6818">
        <v>0</v>
      </c>
      <c r="Z6818">
        <v>0</v>
      </c>
      <c r="AA6818">
        <v>0</v>
      </c>
      <c r="AB6818">
        <v>0</v>
      </c>
      <c r="AC6818">
        <v>1</v>
      </c>
      <c r="AD6818">
        <v>0</v>
      </c>
      <c r="AE6818">
        <v>0</v>
      </c>
      <c r="AF6818">
        <v>0</v>
      </c>
      <c r="AG6818">
        <v>0</v>
      </c>
      <c r="AH6818">
        <f t="shared" si="120"/>
        <v>0</v>
      </c>
      <c r="AP6818" t="s">
        <v>1915</v>
      </c>
    </row>
    <row r="6819" spans="1:42">
      <c r="A6819" s="1">
        <v>43850</v>
      </c>
      <c r="B6819">
        <v>2</v>
      </c>
      <c r="C6819">
        <v>507</v>
      </c>
      <c r="D6819">
        <v>11442</v>
      </c>
      <c r="E6819" t="s">
        <v>377</v>
      </c>
      <c r="F6819" t="s">
        <v>38</v>
      </c>
      <c r="G6819">
        <v>1</v>
      </c>
      <c r="H6819">
        <v>11</v>
      </c>
      <c r="I6819" s="25">
        <v>99</v>
      </c>
      <c r="K6819" t="s">
        <v>430</v>
      </c>
      <c r="N6819" t="s">
        <v>40</v>
      </c>
      <c r="O6819">
        <v>43</v>
      </c>
      <c r="Q6819">
        <f t="shared" si="119"/>
        <v>1</v>
      </c>
      <c r="R6819">
        <v>1</v>
      </c>
      <c r="S6819">
        <v>0</v>
      </c>
      <c r="T6819">
        <v>0</v>
      </c>
      <c r="U6819">
        <v>0</v>
      </c>
      <c r="V6819">
        <v>0</v>
      </c>
      <c r="W6819">
        <v>0</v>
      </c>
      <c r="X6819" s="21">
        <v>0</v>
      </c>
      <c r="Y6819">
        <v>0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0</v>
      </c>
      <c r="AH6819">
        <f t="shared" si="120"/>
        <v>0</v>
      </c>
      <c r="AP6819" t="s">
        <v>1915</v>
      </c>
    </row>
    <row r="6820" spans="1:42">
      <c r="A6820" s="1">
        <v>43850</v>
      </c>
      <c r="B6820">
        <v>2</v>
      </c>
      <c r="C6820">
        <v>507</v>
      </c>
      <c r="D6820">
        <v>11442</v>
      </c>
      <c r="E6820" t="s">
        <v>377</v>
      </c>
      <c r="F6820" t="s">
        <v>38</v>
      </c>
      <c r="G6820">
        <v>1</v>
      </c>
      <c r="H6820">
        <v>12</v>
      </c>
      <c r="I6820" s="25">
        <v>1390</v>
      </c>
      <c r="K6820" t="s">
        <v>73</v>
      </c>
      <c r="N6820" t="s">
        <v>40</v>
      </c>
      <c r="O6820">
        <v>52</v>
      </c>
      <c r="Q6820">
        <f t="shared" si="119"/>
        <v>1</v>
      </c>
      <c r="R6820">
        <v>1</v>
      </c>
      <c r="S6820">
        <v>0</v>
      </c>
      <c r="T6820">
        <v>0</v>
      </c>
      <c r="U6820">
        <v>0</v>
      </c>
      <c r="V6820">
        <v>0</v>
      </c>
      <c r="W6820">
        <v>0</v>
      </c>
      <c r="X6820" s="21">
        <v>0</v>
      </c>
      <c r="Y6820">
        <v>0</v>
      </c>
      <c r="Z6820">
        <v>0</v>
      </c>
      <c r="AA6820">
        <v>1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f t="shared" si="120"/>
        <v>0</v>
      </c>
      <c r="AP6820" t="s">
        <v>1915</v>
      </c>
    </row>
    <row r="6821" spans="1:42">
      <c r="A6821" s="1">
        <v>43850</v>
      </c>
      <c r="B6821">
        <v>2</v>
      </c>
      <c r="C6821">
        <v>507</v>
      </c>
      <c r="D6821">
        <v>11442</v>
      </c>
      <c r="E6821" t="s">
        <v>377</v>
      </c>
      <c r="F6821" t="s">
        <v>38</v>
      </c>
      <c r="G6821">
        <v>1</v>
      </c>
      <c r="H6821">
        <v>13</v>
      </c>
      <c r="I6821" s="25">
        <v>505</v>
      </c>
      <c r="K6821" t="s">
        <v>415</v>
      </c>
      <c r="N6821" t="s">
        <v>40</v>
      </c>
      <c r="O6821">
        <f>60+60+14</f>
        <v>134</v>
      </c>
      <c r="Q6821">
        <f t="shared" si="119"/>
        <v>1</v>
      </c>
      <c r="R6821">
        <v>1</v>
      </c>
      <c r="S6821">
        <v>0</v>
      </c>
      <c r="T6821">
        <v>0</v>
      </c>
      <c r="U6821">
        <v>0</v>
      </c>
      <c r="V6821">
        <v>0</v>
      </c>
      <c r="W6821">
        <v>0</v>
      </c>
      <c r="X6821" s="21">
        <v>0</v>
      </c>
      <c r="Y6821">
        <v>0</v>
      </c>
      <c r="Z6821">
        <v>0</v>
      </c>
      <c r="AA6821">
        <v>1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f t="shared" si="120"/>
        <v>0</v>
      </c>
      <c r="AL6821" t="s">
        <v>2087</v>
      </c>
      <c r="AP6821" t="s">
        <v>1915</v>
      </c>
    </row>
    <row r="6822" spans="1:42">
      <c r="A6822" s="1">
        <v>43850</v>
      </c>
      <c r="B6822">
        <v>2</v>
      </c>
      <c r="C6822">
        <v>507</v>
      </c>
      <c r="D6822">
        <v>11442</v>
      </c>
      <c r="E6822" t="s">
        <v>377</v>
      </c>
      <c r="F6822" t="s">
        <v>38</v>
      </c>
      <c r="G6822">
        <v>1</v>
      </c>
      <c r="H6822">
        <v>14</v>
      </c>
      <c r="I6822" s="25">
        <v>1500</v>
      </c>
      <c r="K6822" t="s">
        <v>588</v>
      </c>
      <c r="N6822" t="s">
        <v>44</v>
      </c>
      <c r="O6822">
        <f>60+60+60+12</f>
        <v>192</v>
      </c>
      <c r="Q6822">
        <f t="shared" si="119"/>
        <v>1</v>
      </c>
      <c r="R6822">
        <v>1</v>
      </c>
      <c r="S6822">
        <v>0</v>
      </c>
      <c r="T6822">
        <v>0</v>
      </c>
      <c r="U6822">
        <v>0</v>
      </c>
      <c r="V6822">
        <v>0</v>
      </c>
      <c r="W6822">
        <v>0</v>
      </c>
      <c r="X6822" s="21">
        <v>0</v>
      </c>
      <c r="Y6822">
        <v>0</v>
      </c>
      <c r="Z6822">
        <v>0</v>
      </c>
      <c r="AA6822">
        <v>0</v>
      </c>
      <c r="AB6822">
        <v>1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f t="shared" si="120"/>
        <v>0</v>
      </c>
      <c r="AP6822" t="s">
        <v>1915</v>
      </c>
    </row>
    <row r="6823" spans="1:42">
      <c r="A6823" s="1">
        <v>43850</v>
      </c>
      <c r="B6823">
        <v>2</v>
      </c>
      <c r="C6823">
        <v>507</v>
      </c>
      <c r="D6823">
        <v>11442</v>
      </c>
      <c r="E6823" t="s">
        <v>377</v>
      </c>
      <c r="F6823" t="s">
        <v>38</v>
      </c>
      <c r="G6823">
        <v>1</v>
      </c>
      <c r="H6823">
        <v>15</v>
      </c>
      <c r="I6823" s="25">
        <v>1581</v>
      </c>
      <c r="K6823" t="s">
        <v>599</v>
      </c>
      <c r="N6823" t="s">
        <v>44</v>
      </c>
      <c r="O6823">
        <f>60+60+60+60+12</f>
        <v>252</v>
      </c>
      <c r="Q6823">
        <f t="shared" si="119"/>
        <v>1</v>
      </c>
      <c r="R6823">
        <v>1</v>
      </c>
      <c r="S6823">
        <v>0</v>
      </c>
      <c r="T6823">
        <v>0</v>
      </c>
      <c r="U6823">
        <v>0</v>
      </c>
      <c r="V6823">
        <v>0</v>
      </c>
      <c r="W6823">
        <v>0</v>
      </c>
      <c r="X6823" s="21">
        <v>0</v>
      </c>
      <c r="Y6823">
        <v>1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f t="shared" si="120"/>
        <v>0</v>
      </c>
      <c r="AP6823" t="s">
        <v>1915</v>
      </c>
    </row>
    <row r="6824" spans="1:42">
      <c r="A6824" s="1">
        <v>43850</v>
      </c>
      <c r="B6824">
        <v>2</v>
      </c>
      <c r="C6824">
        <v>507</v>
      </c>
      <c r="D6824">
        <v>11442</v>
      </c>
      <c r="E6824" t="s">
        <v>377</v>
      </c>
      <c r="F6824" t="s">
        <v>38</v>
      </c>
      <c r="G6824">
        <v>1</v>
      </c>
      <c r="H6824">
        <v>16</v>
      </c>
      <c r="I6824" s="25">
        <v>333</v>
      </c>
      <c r="K6824" t="s">
        <v>98</v>
      </c>
      <c r="N6824" t="s">
        <v>40</v>
      </c>
      <c r="O6824">
        <f>60+60+26</f>
        <v>146</v>
      </c>
      <c r="Q6824">
        <f t="shared" si="119"/>
        <v>2</v>
      </c>
      <c r="R6824">
        <v>1</v>
      </c>
      <c r="S6824">
        <v>0</v>
      </c>
      <c r="T6824">
        <v>0</v>
      </c>
      <c r="U6824">
        <v>0</v>
      </c>
      <c r="V6824">
        <v>0</v>
      </c>
      <c r="W6824">
        <v>0</v>
      </c>
      <c r="X6824" s="21">
        <v>0</v>
      </c>
      <c r="Y6824">
        <v>0</v>
      </c>
      <c r="Z6824">
        <v>0</v>
      </c>
      <c r="AA6824">
        <v>0</v>
      </c>
      <c r="AB6824">
        <v>2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f t="shared" si="120"/>
        <v>0</v>
      </c>
      <c r="AP6824" t="s">
        <v>1915</v>
      </c>
    </row>
    <row r="6825" spans="1:42">
      <c r="A6825" s="1">
        <v>43850</v>
      </c>
      <c r="B6825">
        <v>2</v>
      </c>
      <c r="C6825">
        <v>507</v>
      </c>
      <c r="D6825">
        <v>11442</v>
      </c>
      <c r="E6825" t="s">
        <v>377</v>
      </c>
      <c r="F6825" t="s">
        <v>38</v>
      </c>
      <c r="G6825">
        <v>1</v>
      </c>
      <c r="H6825">
        <v>17</v>
      </c>
      <c r="I6825" s="25">
        <v>651</v>
      </c>
      <c r="K6825" t="s">
        <v>378</v>
      </c>
      <c r="N6825" t="s">
        <v>40</v>
      </c>
      <c r="O6825">
        <f>60+12</f>
        <v>72</v>
      </c>
      <c r="Q6825">
        <f t="shared" si="119"/>
        <v>1</v>
      </c>
      <c r="R6825">
        <v>1</v>
      </c>
      <c r="S6825">
        <v>0</v>
      </c>
      <c r="T6825">
        <v>0</v>
      </c>
      <c r="U6825">
        <v>0</v>
      </c>
      <c r="V6825">
        <v>0</v>
      </c>
      <c r="W6825">
        <v>0</v>
      </c>
      <c r="X6825" s="21">
        <v>0</v>
      </c>
      <c r="Y6825">
        <v>0</v>
      </c>
      <c r="Z6825">
        <v>0</v>
      </c>
      <c r="AA6825">
        <v>0</v>
      </c>
      <c r="AB6825">
        <v>0</v>
      </c>
      <c r="AC6825">
        <v>1</v>
      </c>
      <c r="AD6825">
        <v>0</v>
      </c>
      <c r="AE6825">
        <v>0</v>
      </c>
      <c r="AF6825">
        <v>0</v>
      </c>
      <c r="AG6825">
        <v>0</v>
      </c>
      <c r="AH6825">
        <f t="shared" si="120"/>
        <v>0</v>
      </c>
      <c r="AP6825" t="s">
        <v>1915</v>
      </c>
    </row>
    <row r="6826" spans="1:42">
      <c r="A6826" s="1">
        <v>43850</v>
      </c>
      <c r="B6826">
        <v>2</v>
      </c>
      <c r="C6826">
        <v>507</v>
      </c>
      <c r="D6826">
        <v>11442</v>
      </c>
      <c r="E6826" t="s">
        <v>377</v>
      </c>
      <c r="F6826" t="s">
        <v>38</v>
      </c>
      <c r="G6826">
        <v>1</v>
      </c>
      <c r="H6826">
        <v>18</v>
      </c>
      <c r="I6826" s="25">
        <v>501</v>
      </c>
      <c r="K6826" t="s">
        <v>378</v>
      </c>
      <c r="N6826" t="s">
        <v>40</v>
      </c>
      <c r="O6826">
        <v>36</v>
      </c>
      <c r="Q6826">
        <f t="shared" si="119"/>
        <v>2</v>
      </c>
      <c r="R6826">
        <v>1</v>
      </c>
      <c r="S6826">
        <v>0</v>
      </c>
      <c r="T6826">
        <v>0</v>
      </c>
      <c r="U6826">
        <v>0</v>
      </c>
      <c r="V6826">
        <v>0</v>
      </c>
      <c r="W6826">
        <v>0</v>
      </c>
      <c r="X6826" s="21">
        <v>0</v>
      </c>
      <c r="Y6826">
        <v>0</v>
      </c>
      <c r="Z6826">
        <v>0</v>
      </c>
      <c r="AA6826">
        <v>1</v>
      </c>
      <c r="AB6826">
        <v>1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f t="shared" si="120"/>
        <v>0</v>
      </c>
      <c r="AL6826" t="s">
        <v>2088</v>
      </c>
      <c r="AP6826" t="s">
        <v>1915</v>
      </c>
    </row>
    <row r="6827" spans="1:42">
      <c r="A6827" s="1">
        <v>43850</v>
      </c>
      <c r="B6827">
        <v>2</v>
      </c>
      <c r="C6827">
        <v>507</v>
      </c>
      <c r="D6827">
        <v>11442</v>
      </c>
      <c r="E6827" t="s">
        <v>377</v>
      </c>
      <c r="F6827" t="s">
        <v>38</v>
      </c>
      <c r="G6827">
        <v>1</v>
      </c>
      <c r="H6827">
        <v>19</v>
      </c>
      <c r="I6827" s="25">
        <v>301</v>
      </c>
      <c r="K6827" t="s">
        <v>473</v>
      </c>
      <c r="N6827" t="s">
        <v>40</v>
      </c>
      <c r="O6827">
        <v>57</v>
      </c>
      <c r="Q6827">
        <f t="shared" si="119"/>
        <v>1</v>
      </c>
      <c r="R6827">
        <v>1</v>
      </c>
      <c r="S6827">
        <v>0</v>
      </c>
      <c r="T6827">
        <v>0</v>
      </c>
      <c r="U6827">
        <v>0</v>
      </c>
      <c r="V6827">
        <v>0</v>
      </c>
      <c r="W6827">
        <v>0</v>
      </c>
      <c r="X6827" s="21">
        <v>0</v>
      </c>
      <c r="Y6827">
        <v>0</v>
      </c>
      <c r="Z6827">
        <v>0</v>
      </c>
      <c r="AA6827">
        <v>1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f t="shared" si="120"/>
        <v>0</v>
      </c>
      <c r="AP6827" t="s">
        <v>1915</v>
      </c>
    </row>
    <row r="6828" spans="1:42">
      <c r="A6828" s="1">
        <v>43850</v>
      </c>
      <c r="B6828">
        <v>2</v>
      </c>
      <c r="C6828">
        <v>507</v>
      </c>
      <c r="D6828">
        <v>11442</v>
      </c>
      <c r="E6828" t="s">
        <v>377</v>
      </c>
      <c r="F6828" t="s">
        <v>38</v>
      </c>
      <c r="G6828">
        <v>1</v>
      </c>
      <c r="H6828">
        <v>20</v>
      </c>
      <c r="I6828" s="25">
        <v>301</v>
      </c>
      <c r="K6828" t="s">
        <v>2000</v>
      </c>
      <c r="N6828" t="s">
        <v>40</v>
      </c>
      <c r="O6828">
        <v>54</v>
      </c>
      <c r="Q6828">
        <f t="shared" si="119"/>
        <v>1</v>
      </c>
      <c r="R6828">
        <v>1</v>
      </c>
      <c r="S6828">
        <v>0</v>
      </c>
      <c r="T6828">
        <v>0</v>
      </c>
      <c r="U6828">
        <v>0</v>
      </c>
      <c r="V6828">
        <v>0</v>
      </c>
      <c r="W6828">
        <v>0</v>
      </c>
      <c r="X6828" s="21">
        <v>0</v>
      </c>
      <c r="Y6828">
        <v>0</v>
      </c>
      <c r="Z6828">
        <v>0</v>
      </c>
      <c r="AA6828">
        <v>0</v>
      </c>
      <c r="AB6828">
        <v>0</v>
      </c>
      <c r="AC6828">
        <v>1</v>
      </c>
      <c r="AD6828">
        <v>0</v>
      </c>
      <c r="AE6828">
        <v>0</v>
      </c>
      <c r="AF6828">
        <v>0</v>
      </c>
      <c r="AG6828">
        <v>0</v>
      </c>
      <c r="AH6828">
        <f t="shared" si="120"/>
        <v>0</v>
      </c>
      <c r="AP6828" t="s">
        <v>1915</v>
      </c>
    </row>
    <row r="6829" spans="1:42">
      <c r="A6829" s="1">
        <v>43850</v>
      </c>
      <c r="B6829">
        <v>2</v>
      </c>
      <c r="C6829">
        <v>507</v>
      </c>
      <c r="D6829">
        <v>11442</v>
      </c>
      <c r="E6829" t="s">
        <v>377</v>
      </c>
      <c r="F6829" t="s">
        <v>38</v>
      </c>
      <c r="G6829">
        <v>1</v>
      </c>
      <c r="H6829">
        <v>21</v>
      </c>
      <c r="I6829" s="25">
        <v>588</v>
      </c>
      <c r="K6829" t="s">
        <v>2007</v>
      </c>
      <c r="N6829" t="s">
        <v>40</v>
      </c>
      <c r="O6829">
        <f>60+7</f>
        <v>67</v>
      </c>
      <c r="Q6829">
        <f t="shared" si="119"/>
        <v>1</v>
      </c>
      <c r="R6829">
        <v>1</v>
      </c>
      <c r="S6829">
        <v>0</v>
      </c>
      <c r="T6829">
        <v>0</v>
      </c>
      <c r="U6829">
        <v>0</v>
      </c>
      <c r="V6829">
        <v>0</v>
      </c>
      <c r="W6829">
        <v>0</v>
      </c>
      <c r="X6829" s="21">
        <v>0</v>
      </c>
      <c r="Y6829">
        <v>0</v>
      </c>
      <c r="Z6829">
        <v>1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f t="shared" si="120"/>
        <v>0</v>
      </c>
      <c r="AP6829" t="s">
        <v>1915</v>
      </c>
    </row>
    <row r="6830" spans="1:42">
      <c r="A6830" s="1">
        <v>43850</v>
      </c>
      <c r="B6830">
        <v>2</v>
      </c>
      <c r="C6830">
        <v>507</v>
      </c>
      <c r="D6830">
        <v>11442</v>
      </c>
      <c r="E6830" t="s">
        <v>377</v>
      </c>
      <c r="F6830" t="s">
        <v>38</v>
      </c>
      <c r="G6830">
        <v>1</v>
      </c>
      <c r="H6830">
        <v>22</v>
      </c>
      <c r="I6830" s="25">
        <v>455</v>
      </c>
      <c r="K6830" t="s">
        <v>2007</v>
      </c>
      <c r="N6830" t="s">
        <v>44</v>
      </c>
      <c r="O6830">
        <f>60+60+49</f>
        <v>169</v>
      </c>
      <c r="Q6830">
        <f t="shared" si="119"/>
        <v>2</v>
      </c>
      <c r="R6830">
        <v>1</v>
      </c>
      <c r="S6830">
        <v>0</v>
      </c>
      <c r="T6830">
        <v>0</v>
      </c>
      <c r="U6830">
        <v>0</v>
      </c>
      <c r="V6830">
        <v>0</v>
      </c>
      <c r="W6830">
        <v>0</v>
      </c>
      <c r="X6830" s="21">
        <v>0</v>
      </c>
      <c r="Y6830">
        <v>0</v>
      </c>
      <c r="Z6830">
        <v>0</v>
      </c>
      <c r="AA6830">
        <v>2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f t="shared" si="120"/>
        <v>0</v>
      </c>
      <c r="AL6830" t="s">
        <v>2089</v>
      </c>
      <c r="AP6830" t="s">
        <v>1915</v>
      </c>
    </row>
    <row r="6831" spans="1:42">
      <c r="A6831" s="1">
        <v>43850</v>
      </c>
      <c r="B6831">
        <v>2</v>
      </c>
      <c r="C6831">
        <v>507</v>
      </c>
      <c r="D6831">
        <v>11442</v>
      </c>
      <c r="E6831" t="s">
        <v>377</v>
      </c>
      <c r="F6831" t="s">
        <v>38</v>
      </c>
      <c r="G6831">
        <v>1</v>
      </c>
      <c r="H6831">
        <v>23</v>
      </c>
      <c r="I6831" s="25">
        <v>500</v>
      </c>
      <c r="K6831" s="21" t="s">
        <v>1978</v>
      </c>
      <c r="N6831" t="s">
        <v>40</v>
      </c>
      <c r="O6831">
        <v>43</v>
      </c>
      <c r="Q6831">
        <f t="shared" si="119"/>
        <v>1</v>
      </c>
      <c r="R6831">
        <v>1</v>
      </c>
      <c r="S6831">
        <v>0</v>
      </c>
      <c r="T6831">
        <v>0</v>
      </c>
      <c r="U6831">
        <v>0</v>
      </c>
      <c r="V6831">
        <v>0</v>
      </c>
      <c r="W6831">
        <v>0</v>
      </c>
      <c r="X6831" s="2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1</v>
      </c>
      <c r="AF6831">
        <v>0</v>
      </c>
      <c r="AG6831">
        <v>0</v>
      </c>
      <c r="AH6831">
        <f t="shared" si="120"/>
        <v>0</v>
      </c>
      <c r="AL6831" t="s">
        <v>1979</v>
      </c>
      <c r="AP6831" t="s">
        <v>1915</v>
      </c>
    </row>
    <row r="6832" spans="1:42">
      <c r="A6832" s="1">
        <v>43850</v>
      </c>
      <c r="B6832">
        <v>2</v>
      </c>
      <c r="C6832">
        <v>507</v>
      </c>
      <c r="D6832">
        <v>11442</v>
      </c>
      <c r="E6832" t="s">
        <v>377</v>
      </c>
      <c r="F6832" t="s">
        <v>38</v>
      </c>
      <c r="G6832">
        <v>1</v>
      </c>
      <c r="H6832">
        <v>24</v>
      </c>
      <c r="I6832" s="25">
        <v>1600</v>
      </c>
      <c r="K6832" t="s">
        <v>1975</v>
      </c>
      <c r="N6832" t="s">
        <v>40</v>
      </c>
      <c r="O6832">
        <f>60+8</f>
        <v>68</v>
      </c>
      <c r="Q6832">
        <f t="shared" si="119"/>
        <v>1</v>
      </c>
      <c r="R6832">
        <v>1</v>
      </c>
      <c r="S6832">
        <v>0</v>
      </c>
      <c r="T6832">
        <v>0</v>
      </c>
      <c r="U6832">
        <v>0</v>
      </c>
      <c r="V6832">
        <v>0</v>
      </c>
      <c r="W6832">
        <v>0</v>
      </c>
      <c r="X6832" s="21">
        <v>0</v>
      </c>
      <c r="Y6832">
        <v>0</v>
      </c>
      <c r="Z6832">
        <v>0</v>
      </c>
      <c r="AA6832">
        <v>0</v>
      </c>
      <c r="AB6832">
        <v>0</v>
      </c>
      <c r="AC6832">
        <v>1</v>
      </c>
      <c r="AD6832">
        <v>0</v>
      </c>
      <c r="AE6832">
        <v>0</v>
      </c>
      <c r="AF6832">
        <v>0</v>
      </c>
      <c r="AG6832">
        <v>0</v>
      </c>
      <c r="AH6832">
        <f t="shared" si="120"/>
        <v>0</v>
      </c>
      <c r="AP6832" t="s">
        <v>1915</v>
      </c>
    </row>
    <row r="6833" spans="1:42">
      <c r="A6833" s="1">
        <v>43850</v>
      </c>
      <c r="B6833">
        <v>2</v>
      </c>
      <c r="C6833">
        <v>507</v>
      </c>
      <c r="D6833">
        <v>11442</v>
      </c>
      <c r="E6833" t="s">
        <v>377</v>
      </c>
      <c r="F6833" t="s">
        <v>38</v>
      </c>
      <c r="G6833">
        <v>1</v>
      </c>
      <c r="H6833">
        <v>25</v>
      </c>
      <c r="I6833" s="25">
        <v>1500</v>
      </c>
      <c r="K6833" t="s">
        <v>1975</v>
      </c>
      <c r="N6833" t="s">
        <v>40</v>
      </c>
      <c r="O6833">
        <f>60+45</f>
        <v>105</v>
      </c>
      <c r="Q6833">
        <f t="shared" si="119"/>
        <v>2</v>
      </c>
      <c r="R6833">
        <v>1</v>
      </c>
      <c r="S6833">
        <v>0</v>
      </c>
      <c r="T6833">
        <v>0</v>
      </c>
      <c r="U6833">
        <v>0</v>
      </c>
      <c r="V6833">
        <v>0</v>
      </c>
      <c r="W6833">
        <v>0</v>
      </c>
      <c r="X6833" s="21">
        <v>0</v>
      </c>
      <c r="Y6833">
        <v>0</v>
      </c>
      <c r="Z6833">
        <v>0</v>
      </c>
      <c r="AA6833">
        <v>2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f t="shared" si="120"/>
        <v>0</v>
      </c>
      <c r="AL6833" t="s">
        <v>2090</v>
      </c>
      <c r="AP6833" t="s">
        <v>1915</v>
      </c>
    </row>
    <row r="6834" spans="1:42">
      <c r="A6834" s="1">
        <v>43850</v>
      </c>
      <c r="B6834">
        <v>2</v>
      </c>
      <c r="C6834">
        <v>507</v>
      </c>
      <c r="D6834">
        <v>11442</v>
      </c>
      <c r="E6834" t="s">
        <v>377</v>
      </c>
      <c r="F6834" t="s">
        <v>38</v>
      </c>
      <c r="G6834">
        <v>1</v>
      </c>
      <c r="H6834">
        <v>26</v>
      </c>
      <c r="I6834" s="25">
        <v>675</v>
      </c>
      <c r="K6834" t="s">
        <v>1977</v>
      </c>
      <c r="N6834" t="s">
        <v>44</v>
      </c>
      <c r="O6834">
        <f>60+60+55</f>
        <v>175</v>
      </c>
      <c r="Q6834">
        <f t="shared" si="119"/>
        <v>1</v>
      </c>
      <c r="R6834">
        <v>1</v>
      </c>
      <c r="S6834">
        <v>0</v>
      </c>
      <c r="T6834">
        <v>0</v>
      </c>
      <c r="U6834">
        <v>0</v>
      </c>
      <c r="V6834">
        <v>0</v>
      </c>
      <c r="W6834">
        <v>0</v>
      </c>
      <c r="X6834" s="21">
        <v>0</v>
      </c>
      <c r="Y6834">
        <v>0</v>
      </c>
      <c r="Z6834">
        <v>0</v>
      </c>
      <c r="AA6834">
        <v>0</v>
      </c>
      <c r="AB6834">
        <v>1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f t="shared" si="120"/>
        <v>0</v>
      </c>
      <c r="AL6834" t="s">
        <v>2091</v>
      </c>
      <c r="AP6834" t="s">
        <v>1915</v>
      </c>
    </row>
    <row r="6835" spans="1:42">
      <c r="A6835" s="1">
        <v>43850</v>
      </c>
      <c r="B6835">
        <v>2</v>
      </c>
      <c r="C6835">
        <v>507</v>
      </c>
      <c r="D6835">
        <v>11442</v>
      </c>
      <c r="E6835" t="s">
        <v>377</v>
      </c>
      <c r="F6835" t="s">
        <v>38</v>
      </c>
      <c r="G6835">
        <v>1</v>
      </c>
      <c r="H6835">
        <v>27</v>
      </c>
      <c r="I6835" s="25">
        <v>185</v>
      </c>
      <c r="K6835" t="s">
        <v>535</v>
      </c>
      <c r="N6835" t="s">
        <v>44</v>
      </c>
      <c r="O6835">
        <f>60+60+10</f>
        <v>130</v>
      </c>
      <c r="Q6835">
        <f t="shared" si="119"/>
        <v>2</v>
      </c>
      <c r="R6835">
        <v>1</v>
      </c>
      <c r="S6835">
        <v>0</v>
      </c>
      <c r="T6835">
        <v>0</v>
      </c>
      <c r="U6835">
        <v>0</v>
      </c>
      <c r="V6835">
        <v>0</v>
      </c>
      <c r="W6835">
        <v>0</v>
      </c>
      <c r="X6835" s="21">
        <v>0</v>
      </c>
      <c r="Y6835">
        <v>0</v>
      </c>
      <c r="Z6835">
        <v>0</v>
      </c>
      <c r="AA6835">
        <v>0</v>
      </c>
      <c r="AB6835">
        <v>0</v>
      </c>
      <c r="AC6835">
        <v>2</v>
      </c>
      <c r="AD6835">
        <v>0</v>
      </c>
      <c r="AE6835">
        <v>0</v>
      </c>
      <c r="AF6835">
        <v>0</v>
      </c>
      <c r="AG6835">
        <v>0</v>
      </c>
      <c r="AH6835">
        <f t="shared" si="120"/>
        <v>0</v>
      </c>
      <c r="AP6835" t="s">
        <v>1915</v>
      </c>
    </row>
    <row r="6836" spans="1:42">
      <c r="A6836" s="1">
        <v>43850</v>
      </c>
      <c r="B6836">
        <v>2</v>
      </c>
      <c r="C6836">
        <v>507</v>
      </c>
      <c r="D6836">
        <v>11442</v>
      </c>
      <c r="E6836" t="s">
        <v>377</v>
      </c>
      <c r="F6836" t="s">
        <v>38</v>
      </c>
      <c r="G6836">
        <v>1</v>
      </c>
      <c r="H6836">
        <v>28</v>
      </c>
      <c r="I6836" s="25">
        <v>375</v>
      </c>
      <c r="K6836" t="s">
        <v>535</v>
      </c>
      <c r="N6836" t="s">
        <v>40</v>
      </c>
      <c r="O6836">
        <v>53</v>
      </c>
      <c r="Q6836">
        <f t="shared" si="119"/>
        <v>1</v>
      </c>
      <c r="R6836">
        <v>1</v>
      </c>
      <c r="S6836">
        <v>0</v>
      </c>
      <c r="T6836">
        <v>0</v>
      </c>
      <c r="U6836">
        <v>0</v>
      </c>
      <c r="V6836">
        <v>0</v>
      </c>
      <c r="W6836">
        <v>0</v>
      </c>
      <c r="X6836" s="21">
        <v>0</v>
      </c>
      <c r="Y6836">
        <v>0</v>
      </c>
      <c r="Z6836">
        <v>0</v>
      </c>
      <c r="AA6836">
        <v>0</v>
      </c>
      <c r="AB6836">
        <v>0</v>
      </c>
      <c r="AC6836">
        <v>1</v>
      </c>
      <c r="AD6836">
        <v>0</v>
      </c>
      <c r="AE6836">
        <v>0</v>
      </c>
      <c r="AF6836">
        <v>0</v>
      </c>
      <c r="AG6836">
        <v>0</v>
      </c>
      <c r="AH6836">
        <f t="shared" si="120"/>
        <v>0</v>
      </c>
      <c r="AP6836" t="s">
        <v>1915</v>
      </c>
    </row>
    <row r="6837" spans="1:42">
      <c r="A6837" s="1">
        <v>43850</v>
      </c>
      <c r="B6837">
        <v>2</v>
      </c>
      <c r="C6837">
        <v>507</v>
      </c>
      <c r="D6837">
        <v>11442</v>
      </c>
      <c r="E6837" t="s">
        <v>377</v>
      </c>
      <c r="F6837" t="s">
        <v>38</v>
      </c>
      <c r="G6837">
        <v>1</v>
      </c>
      <c r="H6837">
        <v>29</v>
      </c>
      <c r="I6837" s="25">
        <v>1155</v>
      </c>
      <c r="K6837" t="s">
        <v>60</v>
      </c>
      <c r="N6837" t="s">
        <v>40</v>
      </c>
      <c r="O6837">
        <f>60+60+60+60+13</f>
        <v>253</v>
      </c>
      <c r="Q6837">
        <f t="shared" si="119"/>
        <v>4</v>
      </c>
      <c r="R6837">
        <v>1</v>
      </c>
      <c r="S6837">
        <v>0</v>
      </c>
      <c r="T6837">
        <v>0</v>
      </c>
      <c r="U6837">
        <v>0</v>
      </c>
      <c r="V6837">
        <v>0</v>
      </c>
      <c r="W6837">
        <v>0</v>
      </c>
      <c r="X6837" s="21">
        <v>0</v>
      </c>
      <c r="Y6837">
        <v>0</v>
      </c>
      <c r="Z6837">
        <v>0</v>
      </c>
      <c r="AA6837">
        <v>4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f t="shared" si="120"/>
        <v>0</v>
      </c>
      <c r="AP6837" t="s">
        <v>1915</v>
      </c>
    </row>
    <row r="6838" spans="1:42">
      <c r="A6838" s="1">
        <v>43850</v>
      </c>
      <c r="B6838">
        <v>2</v>
      </c>
      <c r="C6838">
        <v>507</v>
      </c>
      <c r="D6838">
        <v>11442</v>
      </c>
      <c r="E6838" t="s">
        <v>377</v>
      </c>
      <c r="F6838" t="s">
        <v>38</v>
      </c>
      <c r="G6838">
        <v>1</v>
      </c>
      <c r="H6838">
        <v>30</v>
      </c>
      <c r="I6838" s="25">
        <v>717</v>
      </c>
      <c r="K6838" t="s">
        <v>60</v>
      </c>
      <c r="N6838" t="s">
        <v>40</v>
      </c>
      <c r="O6838">
        <v>32</v>
      </c>
      <c r="Q6838">
        <f t="shared" si="119"/>
        <v>1</v>
      </c>
      <c r="R6838">
        <v>1</v>
      </c>
      <c r="S6838">
        <v>0</v>
      </c>
      <c r="T6838">
        <v>0</v>
      </c>
      <c r="U6838">
        <v>0</v>
      </c>
      <c r="V6838">
        <v>0</v>
      </c>
      <c r="W6838">
        <v>0</v>
      </c>
      <c r="X6838" s="21">
        <v>0</v>
      </c>
      <c r="Y6838">
        <v>1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f t="shared" si="120"/>
        <v>0</v>
      </c>
      <c r="AL6838" t="s">
        <v>2092</v>
      </c>
      <c r="AP6838" t="s">
        <v>1915</v>
      </c>
    </row>
    <row r="6839" spans="1:42">
      <c r="A6839" s="1">
        <v>43850</v>
      </c>
      <c r="B6839">
        <v>2</v>
      </c>
      <c r="C6839">
        <v>507</v>
      </c>
      <c r="D6839">
        <v>11442</v>
      </c>
      <c r="E6839" t="s">
        <v>377</v>
      </c>
      <c r="F6839" t="s">
        <v>38</v>
      </c>
      <c r="G6839">
        <v>1</v>
      </c>
      <c r="H6839">
        <v>31</v>
      </c>
      <c r="I6839" s="25">
        <v>150</v>
      </c>
      <c r="K6839" t="s">
        <v>378</v>
      </c>
      <c r="N6839" t="s">
        <v>40</v>
      </c>
      <c r="O6839">
        <v>36</v>
      </c>
      <c r="Q6839">
        <f t="shared" si="119"/>
        <v>1</v>
      </c>
      <c r="R6839">
        <v>1</v>
      </c>
      <c r="S6839">
        <v>0</v>
      </c>
      <c r="T6839">
        <v>0</v>
      </c>
      <c r="U6839">
        <v>0</v>
      </c>
      <c r="V6839">
        <v>0</v>
      </c>
      <c r="W6839">
        <v>0</v>
      </c>
      <c r="X6839" s="21">
        <v>0</v>
      </c>
      <c r="Y6839">
        <v>0</v>
      </c>
      <c r="Z6839">
        <v>1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f t="shared" si="120"/>
        <v>0</v>
      </c>
      <c r="AL6839" t="s">
        <v>2093</v>
      </c>
      <c r="AP6839" t="s">
        <v>1915</v>
      </c>
    </row>
    <row r="6840" spans="1:42">
      <c r="A6840" s="1">
        <v>43850</v>
      </c>
      <c r="B6840">
        <v>2</v>
      </c>
      <c r="C6840">
        <v>507</v>
      </c>
      <c r="D6840">
        <v>11442</v>
      </c>
      <c r="E6840" t="s">
        <v>377</v>
      </c>
      <c r="F6840" t="s">
        <v>38</v>
      </c>
      <c r="G6840">
        <v>1</v>
      </c>
      <c r="H6840">
        <v>32</v>
      </c>
      <c r="I6840" s="25">
        <v>1700</v>
      </c>
      <c r="K6840" t="s">
        <v>71</v>
      </c>
      <c r="N6840" t="s">
        <v>40</v>
      </c>
      <c r="O6840">
        <v>58</v>
      </c>
      <c r="Q6840">
        <f t="shared" si="119"/>
        <v>1</v>
      </c>
      <c r="R6840">
        <v>1</v>
      </c>
      <c r="S6840">
        <v>0</v>
      </c>
      <c r="T6840">
        <v>0</v>
      </c>
      <c r="U6840">
        <v>0</v>
      </c>
      <c r="V6840">
        <v>0</v>
      </c>
      <c r="W6840">
        <v>0</v>
      </c>
      <c r="X6840" s="21">
        <v>0</v>
      </c>
      <c r="Y6840">
        <v>0</v>
      </c>
      <c r="Z6840">
        <v>0</v>
      </c>
      <c r="AA6840">
        <v>1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f t="shared" si="120"/>
        <v>0</v>
      </c>
      <c r="AP6840" t="s">
        <v>1915</v>
      </c>
    </row>
    <row r="6841" spans="1:42">
      <c r="A6841" s="1">
        <v>43850</v>
      </c>
      <c r="B6841">
        <v>2</v>
      </c>
      <c r="C6841">
        <v>507</v>
      </c>
      <c r="D6841">
        <v>11442</v>
      </c>
      <c r="E6841" t="s">
        <v>377</v>
      </c>
      <c r="F6841" t="s">
        <v>38</v>
      </c>
      <c r="G6841">
        <v>1</v>
      </c>
      <c r="H6841">
        <v>33</v>
      </c>
      <c r="I6841" s="25">
        <v>55</v>
      </c>
      <c r="K6841" t="s">
        <v>862</v>
      </c>
      <c r="N6841" t="s">
        <v>40</v>
      </c>
      <c r="O6841">
        <v>55</v>
      </c>
      <c r="Q6841">
        <f t="shared" si="119"/>
        <v>3</v>
      </c>
      <c r="R6841">
        <v>1</v>
      </c>
      <c r="S6841">
        <v>0</v>
      </c>
      <c r="T6841">
        <v>0</v>
      </c>
      <c r="U6841">
        <v>0</v>
      </c>
      <c r="V6841">
        <v>0</v>
      </c>
      <c r="W6841">
        <v>0</v>
      </c>
      <c r="X6841" s="21">
        <v>0</v>
      </c>
      <c r="Y6841">
        <v>1</v>
      </c>
      <c r="Z6841">
        <v>0</v>
      </c>
      <c r="AA6841">
        <v>2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f t="shared" si="120"/>
        <v>0</v>
      </c>
      <c r="AP6841" t="s">
        <v>1915</v>
      </c>
    </row>
    <row r="6842" spans="1:42">
      <c r="A6842" s="1">
        <v>43850</v>
      </c>
      <c r="B6842">
        <v>2</v>
      </c>
      <c r="C6842">
        <v>507</v>
      </c>
      <c r="D6842">
        <v>11442</v>
      </c>
      <c r="E6842" t="s">
        <v>377</v>
      </c>
      <c r="F6842" t="s">
        <v>38</v>
      </c>
      <c r="G6842">
        <v>1</v>
      </c>
      <c r="H6842">
        <v>34</v>
      </c>
      <c r="I6842" s="25">
        <v>80</v>
      </c>
      <c r="K6842" t="s">
        <v>862</v>
      </c>
      <c r="N6842" t="s">
        <v>1703</v>
      </c>
      <c r="O6842">
        <f>60+39</f>
        <v>99</v>
      </c>
      <c r="Q6842">
        <f t="shared" si="119"/>
        <v>1</v>
      </c>
      <c r="R6842">
        <v>1</v>
      </c>
      <c r="S6842">
        <v>0</v>
      </c>
      <c r="T6842">
        <v>0</v>
      </c>
      <c r="U6842">
        <v>0</v>
      </c>
      <c r="V6842">
        <v>0</v>
      </c>
      <c r="W6842">
        <v>0</v>
      </c>
      <c r="X6842" s="21">
        <v>0</v>
      </c>
      <c r="Y6842">
        <v>0</v>
      </c>
      <c r="Z6842">
        <v>0</v>
      </c>
      <c r="AA6842">
        <v>0</v>
      </c>
      <c r="AB6842">
        <v>0</v>
      </c>
      <c r="AC6842">
        <v>1</v>
      </c>
      <c r="AD6842">
        <v>0</v>
      </c>
      <c r="AE6842">
        <v>0</v>
      </c>
      <c r="AF6842">
        <v>0</v>
      </c>
      <c r="AG6842">
        <v>0</v>
      </c>
      <c r="AH6842">
        <f t="shared" si="120"/>
        <v>0</v>
      </c>
      <c r="AL6842" t="s">
        <v>2004</v>
      </c>
      <c r="AP6842" t="s">
        <v>1915</v>
      </c>
    </row>
    <row r="6843" spans="1:42">
      <c r="A6843" s="1">
        <v>43850</v>
      </c>
      <c r="B6843">
        <v>2</v>
      </c>
      <c r="C6843">
        <v>507</v>
      </c>
      <c r="D6843">
        <v>11442</v>
      </c>
      <c r="E6843" t="s">
        <v>377</v>
      </c>
      <c r="F6843" t="s">
        <v>38</v>
      </c>
      <c r="G6843">
        <v>1</v>
      </c>
      <c r="H6843">
        <v>35</v>
      </c>
      <c r="I6843" s="25" t="s">
        <v>2094</v>
      </c>
      <c r="K6843" t="s">
        <v>913</v>
      </c>
      <c r="N6843" t="s">
        <v>40</v>
      </c>
      <c r="O6843">
        <f>60+52</f>
        <v>112</v>
      </c>
      <c r="Q6843">
        <f t="shared" si="119"/>
        <v>1</v>
      </c>
      <c r="R6843">
        <v>1</v>
      </c>
      <c r="S6843">
        <v>0</v>
      </c>
      <c r="T6843">
        <v>0</v>
      </c>
      <c r="U6843">
        <v>0</v>
      </c>
      <c r="V6843">
        <v>0</v>
      </c>
      <c r="W6843">
        <v>0</v>
      </c>
      <c r="X6843" s="21">
        <v>0</v>
      </c>
      <c r="Y6843">
        <v>0</v>
      </c>
      <c r="Z6843">
        <v>0</v>
      </c>
      <c r="AA6843">
        <v>0</v>
      </c>
      <c r="AB6843">
        <v>0</v>
      </c>
      <c r="AC6843">
        <v>1</v>
      </c>
      <c r="AD6843">
        <v>0</v>
      </c>
      <c r="AE6843">
        <v>0</v>
      </c>
      <c r="AF6843">
        <v>0</v>
      </c>
      <c r="AG6843">
        <v>0</v>
      </c>
      <c r="AH6843">
        <f t="shared" si="120"/>
        <v>0</v>
      </c>
      <c r="AP6843" t="s">
        <v>1915</v>
      </c>
    </row>
    <row r="6844" spans="1:42">
      <c r="A6844" s="1">
        <v>43850</v>
      </c>
      <c r="B6844">
        <v>2</v>
      </c>
      <c r="C6844">
        <v>507</v>
      </c>
      <c r="D6844">
        <v>11442</v>
      </c>
      <c r="E6844" t="s">
        <v>377</v>
      </c>
      <c r="F6844" t="s">
        <v>38</v>
      </c>
      <c r="G6844">
        <v>1</v>
      </c>
      <c r="H6844">
        <v>36</v>
      </c>
      <c r="I6844" s="25"/>
      <c r="K6844" t="s">
        <v>2095</v>
      </c>
      <c r="N6844" t="s">
        <v>40</v>
      </c>
      <c r="O6844">
        <f>60+21</f>
        <v>81</v>
      </c>
      <c r="Q6844">
        <f t="shared" si="119"/>
        <v>1</v>
      </c>
      <c r="R6844">
        <v>1</v>
      </c>
      <c r="S6844">
        <v>0</v>
      </c>
      <c r="T6844">
        <v>0</v>
      </c>
      <c r="U6844">
        <v>0</v>
      </c>
      <c r="V6844">
        <v>0</v>
      </c>
      <c r="W6844">
        <v>0</v>
      </c>
      <c r="X6844" s="21">
        <v>0</v>
      </c>
      <c r="Y6844">
        <v>0</v>
      </c>
      <c r="Z6844">
        <v>0</v>
      </c>
      <c r="AA6844">
        <v>0</v>
      </c>
      <c r="AB6844">
        <v>1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f t="shared" si="120"/>
        <v>0</v>
      </c>
      <c r="AP6844" t="s">
        <v>1915</v>
      </c>
    </row>
    <row r="6845" spans="1:42">
      <c r="A6845" s="1">
        <v>43850</v>
      </c>
      <c r="B6845">
        <v>2</v>
      </c>
      <c r="C6845">
        <v>507</v>
      </c>
      <c r="D6845">
        <v>11442</v>
      </c>
      <c r="E6845" t="s">
        <v>377</v>
      </c>
      <c r="F6845" t="s">
        <v>38</v>
      </c>
      <c r="G6845">
        <v>1</v>
      </c>
      <c r="H6845">
        <v>37</v>
      </c>
      <c r="I6845" s="25">
        <v>250</v>
      </c>
      <c r="K6845" t="s">
        <v>906</v>
      </c>
      <c r="N6845" t="s">
        <v>40</v>
      </c>
      <c r="O6845">
        <v>36</v>
      </c>
      <c r="Q6845">
        <f t="shared" si="119"/>
        <v>1</v>
      </c>
      <c r="R6845">
        <v>1</v>
      </c>
      <c r="S6845">
        <v>0</v>
      </c>
      <c r="T6845">
        <v>0</v>
      </c>
      <c r="U6845">
        <v>0</v>
      </c>
      <c r="V6845">
        <v>0</v>
      </c>
      <c r="W6845">
        <v>0</v>
      </c>
      <c r="X6845" s="21">
        <v>0</v>
      </c>
      <c r="Y6845">
        <v>0</v>
      </c>
      <c r="Z6845">
        <v>0</v>
      </c>
      <c r="AA6845">
        <v>1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f t="shared" si="120"/>
        <v>0</v>
      </c>
      <c r="AP6845" t="s">
        <v>1915</v>
      </c>
    </row>
    <row r="6846" spans="1:42">
      <c r="A6846" s="1">
        <v>43850</v>
      </c>
      <c r="B6846">
        <v>2</v>
      </c>
      <c r="C6846">
        <v>507</v>
      </c>
      <c r="D6846">
        <v>11442</v>
      </c>
      <c r="E6846" t="s">
        <v>377</v>
      </c>
      <c r="F6846" t="s">
        <v>38</v>
      </c>
      <c r="G6846">
        <v>1</v>
      </c>
      <c r="H6846">
        <v>38</v>
      </c>
      <c r="I6846" s="25">
        <v>145</v>
      </c>
      <c r="K6846" t="s">
        <v>913</v>
      </c>
      <c r="N6846" t="s">
        <v>40</v>
      </c>
      <c r="O6846">
        <v>59</v>
      </c>
      <c r="Q6846">
        <f t="shared" si="119"/>
        <v>1</v>
      </c>
      <c r="R6846">
        <v>1</v>
      </c>
      <c r="S6846">
        <v>0</v>
      </c>
      <c r="T6846">
        <v>0</v>
      </c>
      <c r="U6846">
        <v>0</v>
      </c>
      <c r="V6846">
        <v>0</v>
      </c>
      <c r="W6846">
        <v>0</v>
      </c>
      <c r="X6846" s="21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1</v>
      </c>
      <c r="AF6846">
        <v>0</v>
      </c>
      <c r="AG6846">
        <v>0</v>
      </c>
      <c r="AH6846">
        <f t="shared" si="120"/>
        <v>0</v>
      </c>
      <c r="AP6846" t="s">
        <v>1915</v>
      </c>
    </row>
    <row r="6847" spans="1:42">
      <c r="A6847" s="1">
        <v>43850</v>
      </c>
      <c r="B6847">
        <v>2</v>
      </c>
      <c r="C6847">
        <v>507</v>
      </c>
      <c r="D6847">
        <v>11442</v>
      </c>
      <c r="E6847" t="s">
        <v>377</v>
      </c>
      <c r="F6847" t="s">
        <v>38</v>
      </c>
      <c r="G6847">
        <v>1</v>
      </c>
      <c r="H6847">
        <v>39</v>
      </c>
      <c r="I6847" s="25">
        <v>502</v>
      </c>
      <c r="K6847" t="s">
        <v>913</v>
      </c>
      <c r="N6847" t="s">
        <v>40</v>
      </c>
      <c r="O6847">
        <v>57</v>
      </c>
      <c r="Q6847">
        <f t="shared" si="119"/>
        <v>1</v>
      </c>
      <c r="R6847">
        <v>1</v>
      </c>
      <c r="S6847">
        <v>0</v>
      </c>
      <c r="T6847">
        <v>0</v>
      </c>
      <c r="U6847">
        <v>0</v>
      </c>
      <c r="V6847">
        <v>0</v>
      </c>
      <c r="W6847">
        <v>0</v>
      </c>
      <c r="X6847" s="21">
        <v>0</v>
      </c>
      <c r="Y6847">
        <v>1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f t="shared" si="120"/>
        <v>0</v>
      </c>
      <c r="AP6847" t="s">
        <v>1915</v>
      </c>
    </row>
    <row r="6848" spans="1:42">
      <c r="A6848" s="1">
        <v>43850</v>
      </c>
      <c r="B6848">
        <v>2</v>
      </c>
      <c r="C6848">
        <v>507</v>
      </c>
      <c r="D6848">
        <v>11442</v>
      </c>
      <c r="E6848" t="s">
        <v>377</v>
      </c>
      <c r="F6848" t="s">
        <v>38</v>
      </c>
      <c r="G6848">
        <v>1</v>
      </c>
      <c r="H6848">
        <v>40</v>
      </c>
      <c r="I6848" s="25">
        <v>900</v>
      </c>
      <c r="K6848" t="s">
        <v>570</v>
      </c>
      <c r="N6848" t="s">
        <v>40</v>
      </c>
      <c r="O6848">
        <f>60+21</f>
        <v>81</v>
      </c>
      <c r="Q6848">
        <f t="shared" ref="Q6848:Q6911" si="121">SUM(S6848:AE6848)</f>
        <v>1</v>
      </c>
      <c r="R6848">
        <v>1</v>
      </c>
      <c r="S6848">
        <v>0</v>
      </c>
      <c r="T6848">
        <v>0</v>
      </c>
      <c r="U6848">
        <v>0</v>
      </c>
      <c r="V6848">
        <v>0</v>
      </c>
      <c r="W6848">
        <v>0</v>
      </c>
      <c r="X6848" s="21">
        <v>0</v>
      </c>
      <c r="Y6848">
        <v>0</v>
      </c>
      <c r="Z6848">
        <v>0</v>
      </c>
      <c r="AA6848">
        <v>0</v>
      </c>
      <c r="AB6848">
        <v>1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f t="shared" si="120"/>
        <v>0</v>
      </c>
      <c r="AP6848" t="s">
        <v>1915</v>
      </c>
    </row>
    <row r="6849" spans="1:42">
      <c r="A6849" s="1">
        <v>43850</v>
      </c>
      <c r="B6849">
        <v>2</v>
      </c>
      <c r="C6849">
        <v>507</v>
      </c>
      <c r="D6849">
        <v>11442</v>
      </c>
      <c r="E6849" t="s">
        <v>377</v>
      </c>
      <c r="F6849" t="s">
        <v>38</v>
      </c>
      <c r="G6849">
        <v>1</v>
      </c>
      <c r="H6849">
        <v>41</v>
      </c>
      <c r="I6849" s="25">
        <v>0</v>
      </c>
      <c r="K6849" t="s">
        <v>1274</v>
      </c>
      <c r="N6849" t="s">
        <v>40</v>
      </c>
      <c r="O6849">
        <f>60+1</f>
        <v>61</v>
      </c>
      <c r="Q6849">
        <f t="shared" si="121"/>
        <v>1</v>
      </c>
      <c r="R6849">
        <v>1</v>
      </c>
      <c r="S6849">
        <v>0</v>
      </c>
      <c r="T6849">
        <v>0</v>
      </c>
      <c r="U6849">
        <v>0</v>
      </c>
      <c r="V6849">
        <v>0</v>
      </c>
      <c r="W6849">
        <v>0</v>
      </c>
      <c r="X6849" s="21">
        <v>0</v>
      </c>
      <c r="Y6849">
        <v>0</v>
      </c>
      <c r="Z6849">
        <v>0</v>
      </c>
      <c r="AA6849">
        <v>1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f t="shared" si="120"/>
        <v>0</v>
      </c>
      <c r="AP6849" t="s">
        <v>1915</v>
      </c>
    </row>
    <row r="6850" spans="1:42">
      <c r="A6850" s="1">
        <v>43850</v>
      </c>
      <c r="B6850">
        <v>2</v>
      </c>
      <c r="C6850">
        <v>507</v>
      </c>
      <c r="D6850">
        <v>11442</v>
      </c>
      <c r="E6850" t="s">
        <v>377</v>
      </c>
      <c r="F6850" t="s">
        <v>38</v>
      </c>
      <c r="G6850">
        <v>1</v>
      </c>
      <c r="H6850">
        <v>42</v>
      </c>
      <c r="I6850" s="25">
        <v>240</v>
      </c>
      <c r="K6850" t="s">
        <v>1274</v>
      </c>
      <c r="N6850" t="s">
        <v>40</v>
      </c>
      <c r="O6850">
        <f>60+12</f>
        <v>72</v>
      </c>
      <c r="Q6850">
        <f t="shared" si="121"/>
        <v>1</v>
      </c>
      <c r="R6850">
        <v>1</v>
      </c>
      <c r="S6850">
        <v>0</v>
      </c>
      <c r="T6850">
        <v>0</v>
      </c>
      <c r="U6850">
        <v>0</v>
      </c>
      <c r="V6850">
        <v>0</v>
      </c>
      <c r="W6850">
        <v>0</v>
      </c>
      <c r="X6850" s="21">
        <v>0</v>
      </c>
      <c r="Y6850">
        <v>0</v>
      </c>
      <c r="Z6850">
        <v>0</v>
      </c>
      <c r="AA6850">
        <v>0</v>
      </c>
      <c r="AB6850">
        <v>1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f t="shared" ref="AH6850:AH6913" si="122">(16*S6850)+(20*T6850)+(32*U6850)+(64*V6850)+(96*W6850)</f>
        <v>0</v>
      </c>
      <c r="AP6850" t="s">
        <v>1915</v>
      </c>
    </row>
    <row r="6851" spans="1:42">
      <c r="A6851" s="1">
        <v>43850</v>
      </c>
      <c r="B6851">
        <v>2</v>
      </c>
      <c r="C6851">
        <v>507</v>
      </c>
      <c r="D6851">
        <v>11442</v>
      </c>
      <c r="E6851" t="s">
        <v>377</v>
      </c>
      <c r="F6851" t="s">
        <v>38</v>
      </c>
      <c r="G6851">
        <v>1</v>
      </c>
      <c r="H6851">
        <v>43</v>
      </c>
      <c r="I6851" s="25">
        <v>1</v>
      </c>
      <c r="K6851" t="s">
        <v>1255</v>
      </c>
      <c r="N6851" t="s">
        <v>40</v>
      </c>
      <c r="O6851">
        <f>60+60+42</f>
        <v>162</v>
      </c>
      <c r="Q6851">
        <f t="shared" si="121"/>
        <v>2</v>
      </c>
      <c r="R6851">
        <v>1</v>
      </c>
      <c r="S6851">
        <v>0</v>
      </c>
      <c r="T6851">
        <v>0</v>
      </c>
      <c r="U6851">
        <v>0</v>
      </c>
      <c r="V6851">
        <v>0</v>
      </c>
      <c r="W6851">
        <v>0</v>
      </c>
      <c r="X6851" s="21">
        <v>0</v>
      </c>
      <c r="Y6851">
        <v>0</v>
      </c>
      <c r="Z6851">
        <v>0</v>
      </c>
      <c r="AA6851">
        <v>0</v>
      </c>
      <c r="AB6851">
        <v>0</v>
      </c>
      <c r="AC6851">
        <v>2</v>
      </c>
      <c r="AD6851">
        <v>0</v>
      </c>
      <c r="AE6851">
        <v>0</v>
      </c>
      <c r="AF6851">
        <v>0</v>
      </c>
      <c r="AG6851">
        <v>0</v>
      </c>
      <c r="AH6851">
        <f t="shared" si="122"/>
        <v>0</v>
      </c>
      <c r="AL6851" t="s">
        <v>2096</v>
      </c>
      <c r="AP6851" t="s">
        <v>1915</v>
      </c>
    </row>
    <row r="6852" spans="1:42">
      <c r="A6852" s="1">
        <v>43850</v>
      </c>
      <c r="B6852">
        <v>2</v>
      </c>
      <c r="C6852">
        <v>507</v>
      </c>
      <c r="D6852">
        <v>11442</v>
      </c>
      <c r="E6852" t="s">
        <v>377</v>
      </c>
      <c r="F6852" t="s">
        <v>38</v>
      </c>
      <c r="G6852">
        <v>1</v>
      </c>
      <c r="H6852">
        <v>44</v>
      </c>
      <c r="I6852" s="25">
        <v>1016</v>
      </c>
      <c r="K6852" t="s">
        <v>94</v>
      </c>
      <c r="N6852" t="s">
        <v>44</v>
      </c>
      <c r="O6852">
        <f>60+23</f>
        <v>83</v>
      </c>
      <c r="Q6852">
        <f t="shared" si="121"/>
        <v>1</v>
      </c>
      <c r="R6852">
        <v>1</v>
      </c>
      <c r="S6852">
        <v>0</v>
      </c>
      <c r="T6852">
        <v>0</v>
      </c>
      <c r="U6852">
        <v>0</v>
      </c>
      <c r="V6852">
        <v>0</v>
      </c>
      <c r="W6852">
        <v>0</v>
      </c>
      <c r="X6852" s="21">
        <v>0</v>
      </c>
      <c r="Y6852">
        <v>0</v>
      </c>
      <c r="Z6852">
        <v>0</v>
      </c>
      <c r="AA6852">
        <v>1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f t="shared" si="122"/>
        <v>0</v>
      </c>
      <c r="AP6852" t="s">
        <v>1915</v>
      </c>
    </row>
    <row r="6853" spans="1:42">
      <c r="A6853" s="1">
        <v>43850</v>
      </c>
      <c r="B6853">
        <v>2</v>
      </c>
      <c r="C6853">
        <v>507</v>
      </c>
      <c r="D6853">
        <v>11442</v>
      </c>
      <c r="E6853" t="s">
        <v>377</v>
      </c>
      <c r="F6853" t="s">
        <v>38</v>
      </c>
      <c r="G6853">
        <v>1</v>
      </c>
      <c r="H6853">
        <v>45</v>
      </c>
      <c r="I6853" s="25">
        <v>1028</v>
      </c>
      <c r="K6853" t="s">
        <v>94</v>
      </c>
      <c r="N6853" t="s">
        <v>44</v>
      </c>
      <c r="O6853">
        <v>30</v>
      </c>
      <c r="Q6853">
        <f t="shared" si="121"/>
        <v>1</v>
      </c>
      <c r="R6853">
        <v>1</v>
      </c>
      <c r="S6853">
        <v>0</v>
      </c>
      <c r="T6853">
        <v>0</v>
      </c>
      <c r="U6853">
        <v>0</v>
      </c>
      <c r="V6853">
        <v>0</v>
      </c>
      <c r="W6853">
        <v>0</v>
      </c>
      <c r="X6853" s="21">
        <v>0</v>
      </c>
      <c r="Y6853">
        <v>0</v>
      </c>
      <c r="Z6853">
        <v>0</v>
      </c>
      <c r="AA6853">
        <v>0</v>
      </c>
      <c r="AB6853">
        <v>0</v>
      </c>
      <c r="AC6853">
        <v>1</v>
      </c>
      <c r="AD6853">
        <v>0</v>
      </c>
      <c r="AE6853">
        <v>0</v>
      </c>
      <c r="AF6853">
        <v>0</v>
      </c>
      <c r="AG6853">
        <v>0</v>
      </c>
      <c r="AH6853">
        <f t="shared" si="122"/>
        <v>0</v>
      </c>
      <c r="AP6853" t="s">
        <v>1915</v>
      </c>
    </row>
    <row r="6854" spans="1:42">
      <c r="A6854" s="1">
        <v>43850</v>
      </c>
      <c r="B6854">
        <v>2</v>
      </c>
      <c r="C6854">
        <v>507</v>
      </c>
      <c r="D6854">
        <v>11442</v>
      </c>
      <c r="E6854" t="s">
        <v>377</v>
      </c>
      <c r="F6854" t="s">
        <v>38</v>
      </c>
      <c r="G6854">
        <v>1</v>
      </c>
      <c r="H6854">
        <v>46</v>
      </c>
      <c r="I6854" s="25">
        <v>151</v>
      </c>
      <c r="K6854" t="s">
        <v>542</v>
      </c>
      <c r="N6854" t="s">
        <v>44</v>
      </c>
      <c r="O6854">
        <f>60+52</f>
        <v>112</v>
      </c>
      <c r="Q6854">
        <f t="shared" si="121"/>
        <v>1</v>
      </c>
      <c r="R6854">
        <v>1</v>
      </c>
      <c r="S6854">
        <v>0</v>
      </c>
      <c r="T6854">
        <v>0</v>
      </c>
      <c r="U6854">
        <v>0</v>
      </c>
      <c r="V6854">
        <v>0</v>
      </c>
      <c r="W6854">
        <v>0</v>
      </c>
      <c r="X6854" s="21">
        <v>0</v>
      </c>
      <c r="Y6854">
        <v>0</v>
      </c>
      <c r="Z6854">
        <v>0</v>
      </c>
      <c r="AA6854">
        <v>0</v>
      </c>
      <c r="AB6854">
        <v>1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f t="shared" si="122"/>
        <v>0</v>
      </c>
      <c r="AL6854" t="s">
        <v>2097</v>
      </c>
      <c r="AP6854" t="s">
        <v>1915</v>
      </c>
    </row>
    <row r="6855" spans="1:42">
      <c r="A6855" s="1">
        <v>43850</v>
      </c>
      <c r="B6855">
        <v>2</v>
      </c>
      <c r="C6855">
        <v>507</v>
      </c>
      <c r="D6855">
        <v>11442</v>
      </c>
      <c r="E6855" t="s">
        <v>377</v>
      </c>
      <c r="F6855" t="s">
        <v>38</v>
      </c>
      <c r="G6855">
        <v>1</v>
      </c>
      <c r="H6855">
        <v>47</v>
      </c>
      <c r="I6855" s="25">
        <v>135</v>
      </c>
      <c r="K6855" t="s">
        <v>2098</v>
      </c>
      <c r="N6855" t="s">
        <v>44</v>
      </c>
      <c r="O6855">
        <f>60+60+60+13</f>
        <v>193</v>
      </c>
      <c r="Q6855">
        <f t="shared" si="121"/>
        <v>1</v>
      </c>
      <c r="R6855">
        <v>1</v>
      </c>
      <c r="S6855">
        <v>0</v>
      </c>
      <c r="T6855">
        <v>0</v>
      </c>
      <c r="U6855">
        <v>0</v>
      </c>
      <c r="V6855">
        <v>0</v>
      </c>
      <c r="W6855">
        <v>0</v>
      </c>
      <c r="X6855" s="21">
        <v>0</v>
      </c>
      <c r="Y6855">
        <v>0</v>
      </c>
      <c r="Z6855">
        <v>0</v>
      </c>
      <c r="AA6855">
        <v>0</v>
      </c>
      <c r="AB6855">
        <v>1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f t="shared" si="122"/>
        <v>0</v>
      </c>
      <c r="AL6855" t="s">
        <v>2097</v>
      </c>
      <c r="AP6855" t="s">
        <v>1915</v>
      </c>
    </row>
    <row r="6856" spans="1:42">
      <c r="A6856" s="1">
        <v>43850</v>
      </c>
      <c r="B6856">
        <v>2</v>
      </c>
      <c r="C6856">
        <v>507</v>
      </c>
      <c r="D6856">
        <v>11442</v>
      </c>
      <c r="E6856" t="s">
        <v>377</v>
      </c>
      <c r="F6856" t="s">
        <v>38</v>
      </c>
      <c r="G6856">
        <v>1</v>
      </c>
      <c r="H6856">
        <v>48</v>
      </c>
      <c r="I6856" s="25">
        <v>1539</v>
      </c>
      <c r="K6856" t="s">
        <v>2099</v>
      </c>
      <c r="N6856" t="s">
        <v>44</v>
      </c>
      <c r="O6856">
        <f>60+60+60+22</f>
        <v>202</v>
      </c>
      <c r="Q6856">
        <f t="shared" si="121"/>
        <v>1</v>
      </c>
      <c r="R6856">
        <v>1</v>
      </c>
      <c r="S6856">
        <v>0</v>
      </c>
      <c r="T6856">
        <v>0</v>
      </c>
      <c r="U6856">
        <v>0</v>
      </c>
      <c r="V6856">
        <v>0</v>
      </c>
      <c r="W6856">
        <v>0</v>
      </c>
      <c r="X6856" s="21">
        <v>0</v>
      </c>
      <c r="Y6856">
        <v>0</v>
      </c>
      <c r="Z6856">
        <v>0</v>
      </c>
      <c r="AA6856">
        <v>1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f t="shared" si="122"/>
        <v>0</v>
      </c>
      <c r="AP6856" t="s">
        <v>1915</v>
      </c>
    </row>
    <row r="6857" spans="1:42">
      <c r="A6857" s="1">
        <v>43850</v>
      </c>
      <c r="B6857">
        <v>2</v>
      </c>
      <c r="C6857">
        <v>507</v>
      </c>
      <c r="D6857">
        <v>11442</v>
      </c>
      <c r="E6857" t="s">
        <v>377</v>
      </c>
      <c r="F6857" t="s">
        <v>38</v>
      </c>
      <c r="G6857">
        <v>1</v>
      </c>
      <c r="H6857">
        <v>49</v>
      </c>
      <c r="I6857" s="25">
        <v>1561</v>
      </c>
      <c r="K6857" t="s">
        <v>2099</v>
      </c>
      <c r="N6857" t="s">
        <v>40</v>
      </c>
      <c r="O6857">
        <f>60+60+43</f>
        <v>163</v>
      </c>
      <c r="Q6857">
        <f t="shared" si="121"/>
        <v>1</v>
      </c>
      <c r="R6857">
        <v>1</v>
      </c>
      <c r="S6857">
        <v>0</v>
      </c>
      <c r="T6857">
        <v>0</v>
      </c>
      <c r="U6857">
        <v>0</v>
      </c>
      <c r="V6857">
        <v>0</v>
      </c>
      <c r="W6857">
        <v>0</v>
      </c>
      <c r="X6857" s="21">
        <v>0</v>
      </c>
      <c r="Y6857">
        <v>0</v>
      </c>
      <c r="Z6857">
        <v>0</v>
      </c>
      <c r="AA6857">
        <v>1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f t="shared" si="122"/>
        <v>0</v>
      </c>
      <c r="AP6857" t="s">
        <v>1915</v>
      </c>
    </row>
    <row r="6858" spans="1:42">
      <c r="A6858" s="1">
        <v>43850</v>
      </c>
      <c r="B6858">
        <v>2</v>
      </c>
      <c r="C6858">
        <v>507</v>
      </c>
      <c r="D6858">
        <v>11442</v>
      </c>
      <c r="E6858" t="s">
        <v>377</v>
      </c>
      <c r="F6858" t="s">
        <v>38</v>
      </c>
      <c r="G6858">
        <v>1</v>
      </c>
      <c r="H6858">
        <v>50</v>
      </c>
      <c r="I6858" s="25">
        <v>1299</v>
      </c>
      <c r="K6858" t="s">
        <v>553</v>
      </c>
      <c r="N6858" t="s">
        <v>40</v>
      </c>
      <c r="O6858">
        <f>60+60+60+3</f>
        <v>183</v>
      </c>
      <c r="Q6858">
        <f t="shared" si="121"/>
        <v>1</v>
      </c>
      <c r="R6858">
        <v>1</v>
      </c>
      <c r="S6858">
        <v>0</v>
      </c>
      <c r="T6858">
        <v>0</v>
      </c>
      <c r="U6858">
        <v>0</v>
      </c>
      <c r="V6858">
        <v>0</v>
      </c>
      <c r="W6858">
        <v>0</v>
      </c>
      <c r="X6858" s="21">
        <v>0</v>
      </c>
      <c r="Y6858">
        <v>1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f t="shared" si="122"/>
        <v>0</v>
      </c>
      <c r="AP6858" t="s">
        <v>1915</v>
      </c>
    </row>
    <row r="6859" spans="1:42">
      <c r="A6859" s="1">
        <v>43850</v>
      </c>
      <c r="B6859">
        <v>2</v>
      </c>
      <c r="C6859">
        <v>507</v>
      </c>
      <c r="D6859">
        <v>11442</v>
      </c>
      <c r="E6859" t="s">
        <v>377</v>
      </c>
      <c r="F6859" t="s">
        <v>38</v>
      </c>
      <c r="G6859">
        <v>1</v>
      </c>
      <c r="H6859">
        <v>51</v>
      </c>
      <c r="I6859" s="25">
        <v>1249</v>
      </c>
      <c r="K6859" t="s">
        <v>2100</v>
      </c>
      <c r="M6859" t="s">
        <v>95</v>
      </c>
      <c r="N6859" t="s">
        <v>40</v>
      </c>
      <c r="O6859">
        <f>60+60+26</f>
        <v>146</v>
      </c>
      <c r="Q6859">
        <f t="shared" si="121"/>
        <v>1</v>
      </c>
      <c r="R6859">
        <v>1</v>
      </c>
      <c r="S6859">
        <v>0</v>
      </c>
      <c r="T6859">
        <v>0</v>
      </c>
      <c r="U6859">
        <v>0</v>
      </c>
      <c r="V6859">
        <v>0</v>
      </c>
      <c r="W6859">
        <v>0</v>
      </c>
      <c r="X6859" s="21">
        <v>0</v>
      </c>
      <c r="Y6859">
        <v>0</v>
      </c>
      <c r="Z6859">
        <v>1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f t="shared" si="122"/>
        <v>0</v>
      </c>
      <c r="AP6859" t="s">
        <v>1915</v>
      </c>
    </row>
    <row r="6860" spans="1:42">
      <c r="A6860" s="1">
        <v>43850</v>
      </c>
      <c r="B6860">
        <v>2</v>
      </c>
      <c r="C6860">
        <v>507</v>
      </c>
      <c r="D6860">
        <v>11442</v>
      </c>
      <c r="E6860" t="s">
        <v>377</v>
      </c>
      <c r="F6860" t="s">
        <v>38</v>
      </c>
      <c r="G6860">
        <v>1</v>
      </c>
      <c r="H6860">
        <v>52</v>
      </c>
      <c r="I6860" s="25">
        <v>1202</v>
      </c>
      <c r="K6860" t="s">
        <v>2101</v>
      </c>
      <c r="N6860" t="s">
        <v>40</v>
      </c>
      <c r="O6860">
        <f>60+60+60+4</f>
        <v>184</v>
      </c>
      <c r="Q6860">
        <f t="shared" si="121"/>
        <v>1</v>
      </c>
      <c r="R6860">
        <v>1</v>
      </c>
      <c r="S6860">
        <v>0</v>
      </c>
      <c r="T6860">
        <v>0</v>
      </c>
      <c r="U6860">
        <v>0</v>
      </c>
      <c r="V6860">
        <v>0</v>
      </c>
      <c r="W6860">
        <v>0</v>
      </c>
      <c r="X6860" s="21">
        <v>0</v>
      </c>
      <c r="Y6860">
        <v>1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f t="shared" si="122"/>
        <v>0</v>
      </c>
      <c r="AP6860" t="s">
        <v>1915</v>
      </c>
    </row>
    <row r="6861" spans="1:42">
      <c r="A6861" s="1">
        <v>43850</v>
      </c>
      <c r="B6861">
        <v>2</v>
      </c>
      <c r="C6861">
        <v>507</v>
      </c>
      <c r="D6861">
        <v>11442</v>
      </c>
      <c r="E6861" t="s">
        <v>377</v>
      </c>
      <c r="F6861" t="s">
        <v>38</v>
      </c>
      <c r="G6861">
        <v>1</v>
      </c>
      <c r="H6861">
        <v>53</v>
      </c>
      <c r="I6861" s="25">
        <v>9000</v>
      </c>
      <c r="K6861" t="s">
        <v>417</v>
      </c>
      <c r="N6861" t="s">
        <v>40</v>
      </c>
      <c r="O6861">
        <f>60+19</f>
        <v>79</v>
      </c>
      <c r="Q6861">
        <f t="shared" si="121"/>
        <v>1</v>
      </c>
      <c r="R6861">
        <v>1</v>
      </c>
      <c r="S6861">
        <v>0</v>
      </c>
      <c r="T6861">
        <v>0</v>
      </c>
      <c r="U6861">
        <v>0</v>
      </c>
      <c r="V6861">
        <v>0</v>
      </c>
      <c r="W6861">
        <v>0</v>
      </c>
      <c r="X6861" s="21">
        <v>0</v>
      </c>
      <c r="Y6861">
        <v>0</v>
      </c>
      <c r="Z6861">
        <v>0</v>
      </c>
      <c r="AA6861">
        <v>0</v>
      </c>
      <c r="AB6861">
        <v>0</v>
      </c>
      <c r="AC6861">
        <v>1</v>
      </c>
      <c r="AD6861">
        <v>0</v>
      </c>
      <c r="AE6861">
        <v>0</v>
      </c>
      <c r="AF6861">
        <v>0</v>
      </c>
      <c r="AG6861">
        <v>0</v>
      </c>
      <c r="AH6861">
        <f t="shared" si="122"/>
        <v>0</v>
      </c>
      <c r="AP6861" t="s">
        <v>1915</v>
      </c>
    </row>
    <row r="6862" spans="1:42">
      <c r="A6862" s="1">
        <v>43850</v>
      </c>
      <c r="B6862">
        <v>2</v>
      </c>
      <c r="C6862">
        <v>507</v>
      </c>
      <c r="D6862">
        <v>11442</v>
      </c>
      <c r="E6862" t="s">
        <v>377</v>
      </c>
      <c r="F6862" t="s">
        <v>38</v>
      </c>
      <c r="G6862">
        <v>1</v>
      </c>
      <c r="H6862">
        <v>54</v>
      </c>
      <c r="I6862" s="25"/>
      <c r="K6862" t="s">
        <v>2102</v>
      </c>
      <c r="N6862" t="s">
        <v>44</v>
      </c>
      <c r="O6862">
        <f>60+60+60+60+60+60+60+60+60+17</f>
        <v>557</v>
      </c>
      <c r="Q6862">
        <f t="shared" si="121"/>
        <v>0</v>
      </c>
      <c r="R6862">
        <v>1</v>
      </c>
      <c r="S6862">
        <v>0</v>
      </c>
      <c r="T6862">
        <v>0</v>
      </c>
      <c r="U6862">
        <v>0</v>
      </c>
      <c r="V6862">
        <v>0</v>
      </c>
      <c r="W6862">
        <v>0</v>
      </c>
      <c r="X6862" s="21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f t="shared" si="122"/>
        <v>0</v>
      </c>
      <c r="AL6862" t="s">
        <v>2103</v>
      </c>
      <c r="AP6862" t="s">
        <v>1915</v>
      </c>
    </row>
    <row r="6863" spans="1:42">
      <c r="A6863" s="1">
        <v>43839</v>
      </c>
      <c r="B6863">
        <v>4</v>
      </c>
      <c r="C6863">
        <v>979</v>
      </c>
      <c r="D6863">
        <v>10415</v>
      </c>
      <c r="E6863" t="s">
        <v>37</v>
      </c>
      <c r="F6863" t="s">
        <v>520</v>
      </c>
      <c r="G6863">
        <v>2</v>
      </c>
      <c r="H6863">
        <v>1</v>
      </c>
      <c r="I6863" s="25">
        <v>1300</v>
      </c>
      <c r="K6863" t="s">
        <v>647</v>
      </c>
      <c r="N6863" t="s">
        <v>40</v>
      </c>
      <c r="O6863">
        <f>60+60+19</f>
        <v>139</v>
      </c>
      <c r="Q6863">
        <f t="shared" si="121"/>
        <v>2</v>
      </c>
      <c r="R6863">
        <v>1</v>
      </c>
      <c r="S6863">
        <v>0</v>
      </c>
      <c r="T6863">
        <v>0</v>
      </c>
      <c r="U6863">
        <v>1</v>
      </c>
      <c r="V6863">
        <v>1</v>
      </c>
      <c r="W6863">
        <v>0</v>
      </c>
      <c r="X6863" s="21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1</v>
      </c>
      <c r="AG6863">
        <v>0</v>
      </c>
      <c r="AH6863">
        <f t="shared" si="122"/>
        <v>96</v>
      </c>
      <c r="AP6863" t="s">
        <v>1915</v>
      </c>
    </row>
    <row r="6864" spans="1:42">
      <c r="A6864" s="1">
        <v>43839</v>
      </c>
      <c r="B6864">
        <v>4</v>
      </c>
      <c r="C6864">
        <v>979</v>
      </c>
      <c r="D6864">
        <v>10415</v>
      </c>
      <c r="E6864" t="s">
        <v>37</v>
      </c>
      <c r="F6864" t="s">
        <v>520</v>
      </c>
      <c r="G6864">
        <v>2</v>
      </c>
      <c r="H6864">
        <v>2</v>
      </c>
      <c r="I6864" s="25">
        <v>1347</v>
      </c>
      <c r="K6864" t="s">
        <v>647</v>
      </c>
      <c r="N6864" t="s">
        <v>42</v>
      </c>
      <c r="O6864">
        <f>60+60+58</f>
        <v>178</v>
      </c>
      <c r="Q6864">
        <f t="shared" si="121"/>
        <v>3</v>
      </c>
      <c r="R6864">
        <v>1</v>
      </c>
      <c r="S6864">
        <v>0</v>
      </c>
      <c r="T6864">
        <v>0</v>
      </c>
      <c r="U6864">
        <v>0</v>
      </c>
      <c r="V6864">
        <v>3</v>
      </c>
      <c r="W6864">
        <v>0</v>
      </c>
      <c r="X6864" s="21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f t="shared" si="122"/>
        <v>192</v>
      </c>
      <c r="AL6864" t="s">
        <v>2104</v>
      </c>
      <c r="AP6864" t="s">
        <v>1915</v>
      </c>
    </row>
    <row r="6865" spans="1:42">
      <c r="A6865" s="1">
        <v>43839</v>
      </c>
      <c r="B6865">
        <v>4</v>
      </c>
      <c r="C6865">
        <v>979</v>
      </c>
      <c r="D6865">
        <v>10415</v>
      </c>
      <c r="E6865" t="s">
        <v>37</v>
      </c>
      <c r="F6865" t="s">
        <v>520</v>
      </c>
      <c r="G6865">
        <v>2</v>
      </c>
      <c r="H6865">
        <v>3</v>
      </c>
      <c r="I6865" s="25">
        <v>1300</v>
      </c>
      <c r="K6865" t="s">
        <v>647</v>
      </c>
      <c r="N6865" t="s">
        <v>40</v>
      </c>
      <c r="O6865">
        <f>60+36</f>
        <v>96</v>
      </c>
      <c r="Q6865">
        <f t="shared" si="121"/>
        <v>3</v>
      </c>
      <c r="R6865">
        <v>1</v>
      </c>
      <c r="S6865">
        <v>0</v>
      </c>
      <c r="T6865">
        <v>0</v>
      </c>
      <c r="U6865">
        <v>0</v>
      </c>
      <c r="V6865">
        <v>3</v>
      </c>
      <c r="W6865">
        <v>0</v>
      </c>
      <c r="X6865" s="21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f t="shared" si="122"/>
        <v>192</v>
      </c>
      <c r="AP6865" t="s">
        <v>1915</v>
      </c>
    </row>
    <row r="6866" spans="1:42">
      <c r="A6866" s="1">
        <v>43839</v>
      </c>
      <c r="B6866">
        <v>4</v>
      </c>
      <c r="C6866">
        <v>979</v>
      </c>
      <c r="D6866">
        <v>10415</v>
      </c>
      <c r="E6866" t="s">
        <v>37</v>
      </c>
      <c r="F6866" t="s">
        <v>520</v>
      </c>
      <c r="G6866">
        <v>2</v>
      </c>
      <c r="H6866">
        <v>4</v>
      </c>
      <c r="I6866" s="25">
        <v>1300</v>
      </c>
      <c r="K6866" t="s">
        <v>647</v>
      </c>
      <c r="N6866" t="s">
        <v>42</v>
      </c>
      <c r="O6866">
        <f>60+60+60+60+60+5</f>
        <v>305</v>
      </c>
      <c r="Q6866">
        <f t="shared" si="121"/>
        <v>4</v>
      </c>
      <c r="R6866">
        <v>1</v>
      </c>
      <c r="S6866">
        <v>0</v>
      </c>
      <c r="T6866">
        <v>0</v>
      </c>
      <c r="U6866">
        <v>3</v>
      </c>
      <c r="V6866">
        <v>0</v>
      </c>
      <c r="W6866">
        <v>1</v>
      </c>
      <c r="X6866" s="21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f t="shared" si="122"/>
        <v>192</v>
      </c>
      <c r="AP6866" t="s">
        <v>1915</v>
      </c>
    </row>
    <row r="6867" spans="1:42">
      <c r="A6867" s="1">
        <v>43839</v>
      </c>
      <c r="B6867">
        <v>4</v>
      </c>
      <c r="C6867">
        <v>979</v>
      </c>
      <c r="D6867">
        <v>10415</v>
      </c>
      <c r="E6867" t="s">
        <v>37</v>
      </c>
      <c r="F6867" t="s">
        <v>520</v>
      </c>
      <c r="G6867">
        <v>2</v>
      </c>
      <c r="H6867">
        <v>5</v>
      </c>
      <c r="I6867" s="25">
        <v>1300</v>
      </c>
      <c r="K6867" t="s">
        <v>647</v>
      </c>
      <c r="N6867" t="s">
        <v>40</v>
      </c>
      <c r="O6867">
        <f>60+60+60+53</f>
        <v>233</v>
      </c>
      <c r="Q6867">
        <f t="shared" si="121"/>
        <v>4</v>
      </c>
      <c r="R6867">
        <v>1</v>
      </c>
      <c r="S6867">
        <v>0</v>
      </c>
      <c r="T6867">
        <v>0</v>
      </c>
      <c r="U6867">
        <v>0</v>
      </c>
      <c r="V6867">
        <v>0</v>
      </c>
      <c r="W6867">
        <v>4</v>
      </c>
      <c r="X6867" s="21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f t="shared" si="122"/>
        <v>384</v>
      </c>
      <c r="AP6867" t="s">
        <v>1915</v>
      </c>
    </row>
    <row r="6868" spans="1:42">
      <c r="A6868" s="1">
        <v>43839</v>
      </c>
      <c r="B6868">
        <v>4</v>
      </c>
      <c r="C6868">
        <v>979</v>
      </c>
      <c r="D6868">
        <v>10415</v>
      </c>
      <c r="E6868" t="s">
        <v>37</v>
      </c>
      <c r="F6868" t="s">
        <v>520</v>
      </c>
      <c r="G6868">
        <v>2</v>
      </c>
      <c r="H6868">
        <v>6</v>
      </c>
      <c r="I6868" s="25">
        <v>1390</v>
      </c>
      <c r="K6868" t="s">
        <v>647</v>
      </c>
      <c r="N6868" t="s">
        <v>44</v>
      </c>
      <c r="O6868">
        <f>60+36</f>
        <v>96</v>
      </c>
      <c r="Q6868">
        <f t="shared" si="121"/>
        <v>1</v>
      </c>
      <c r="R6868">
        <v>1</v>
      </c>
      <c r="S6868">
        <v>0</v>
      </c>
      <c r="T6868">
        <v>0</v>
      </c>
      <c r="U6868">
        <v>0</v>
      </c>
      <c r="V6868">
        <v>0</v>
      </c>
      <c r="W6868">
        <v>1</v>
      </c>
      <c r="X6868" s="21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f t="shared" si="122"/>
        <v>96</v>
      </c>
      <c r="AP6868" t="s">
        <v>1915</v>
      </c>
    </row>
    <row r="6869" spans="1:42">
      <c r="A6869" s="1">
        <v>43839</v>
      </c>
      <c r="B6869">
        <v>4</v>
      </c>
      <c r="C6869">
        <v>979</v>
      </c>
      <c r="D6869">
        <v>10415</v>
      </c>
      <c r="E6869" t="s">
        <v>37</v>
      </c>
      <c r="F6869" t="s">
        <v>520</v>
      </c>
      <c r="G6869">
        <v>2</v>
      </c>
      <c r="H6869">
        <v>7</v>
      </c>
      <c r="I6869" s="25">
        <v>1369</v>
      </c>
      <c r="K6869" t="s">
        <v>828</v>
      </c>
      <c r="N6869" t="s">
        <v>44</v>
      </c>
      <c r="O6869">
        <f>60+60+60+52</f>
        <v>232</v>
      </c>
      <c r="Q6869">
        <f t="shared" si="121"/>
        <v>4</v>
      </c>
      <c r="R6869">
        <v>1</v>
      </c>
      <c r="S6869">
        <v>0</v>
      </c>
      <c r="T6869">
        <v>0</v>
      </c>
      <c r="U6869">
        <v>0</v>
      </c>
      <c r="V6869">
        <v>0</v>
      </c>
      <c r="W6869">
        <v>4</v>
      </c>
      <c r="X6869" s="21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f t="shared" si="122"/>
        <v>384</v>
      </c>
      <c r="AL6869" t="s">
        <v>2105</v>
      </c>
      <c r="AP6869" t="s">
        <v>1915</v>
      </c>
    </row>
    <row r="6870" spans="1:42">
      <c r="A6870" s="1">
        <v>43839</v>
      </c>
      <c r="B6870">
        <v>4</v>
      </c>
      <c r="C6870">
        <v>979</v>
      </c>
      <c r="D6870">
        <v>10415</v>
      </c>
      <c r="E6870" t="s">
        <v>37</v>
      </c>
      <c r="F6870" t="s">
        <v>520</v>
      </c>
      <c r="G6870">
        <v>2</v>
      </c>
      <c r="H6870">
        <v>8</v>
      </c>
      <c r="I6870" s="25">
        <v>1500</v>
      </c>
      <c r="K6870" t="s">
        <v>516</v>
      </c>
      <c r="N6870" t="s">
        <v>40</v>
      </c>
      <c r="O6870">
        <f>60+32</f>
        <v>92</v>
      </c>
      <c r="Q6870">
        <f t="shared" si="121"/>
        <v>2</v>
      </c>
      <c r="R6870">
        <v>1</v>
      </c>
      <c r="S6870">
        <v>0</v>
      </c>
      <c r="T6870">
        <v>0</v>
      </c>
      <c r="U6870">
        <v>0</v>
      </c>
      <c r="V6870">
        <v>2</v>
      </c>
      <c r="W6870">
        <v>0</v>
      </c>
      <c r="X6870" s="21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f t="shared" si="122"/>
        <v>128</v>
      </c>
      <c r="AP6870" t="s">
        <v>1915</v>
      </c>
    </row>
    <row r="6871" spans="1:42">
      <c r="A6871" s="1">
        <v>43839</v>
      </c>
      <c r="B6871">
        <v>4</v>
      </c>
      <c r="C6871">
        <v>979</v>
      </c>
      <c r="D6871">
        <v>10415</v>
      </c>
      <c r="E6871" t="s">
        <v>37</v>
      </c>
      <c r="F6871" t="s">
        <v>520</v>
      </c>
      <c r="G6871">
        <v>2</v>
      </c>
      <c r="H6871">
        <v>9</v>
      </c>
      <c r="I6871" s="25">
        <v>1592</v>
      </c>
      <c r="K6871" t="s">
        <v>516</v>
      </c>
      <c r="N6871" t="s">
        <v>44</v>
      </c>
      <c r="O6871">
        <v>142</v>
      </c>
      <c r="Q6871">
        <f t="shared" si="121"/>
        <v>1</v>
      </c>
      <c r="R6871">
        <v>1</v>
      </c>
      <c r="S6871">
        <v>0</v>
      </c>
      <c r="T6871">
        <v>0</v>
      </c>
      <c r="U6871">
        <v>0</v>
      </c>
      <c r="V6871">
        <v>0</v>
      </c>
      <c r="W6871">
        <v>1</v>
      </c>
      <c r="X6871" s="2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f t="shared" si="122"/>
        <v>96</v>
      </c>
      <c r="AP6871" t="s">
        <v>1915</v>
      </c>
    </row>
    <row r="6872" spans="1:42">
      <c r="A6872" s="1">
        <v>43839</v>
      </c>
      <c r="B6872">
        <v>4</v>
      </c>
      <c r="C6872">
        <v>979</v>
      </c>
      <c r="D6872">
        <v>10415</v>
      </c>
      <c r="E6872" t="s">
        <v>37</v>
      </c>
      <c r="F6872" t="s">
        <v>520</v>
      </c>
      <c r="G6872">
        <v>2</v>
      </c>
      <c r="H6872">
        <v>10</v>
      </c>
      <c r="I6872" s="25">
        <v>1582</v>
      </c>
      <c r="K6872" t="s">
        <v>516</v>
      </c>
      <c r="N6872" t="s">
        <v>44</v>
      </c>
      <c r="O6872">
        <v>145</v>
      </c>
      <c r="Q6872">
        <f t="shared" si="121"/>
        <v>2</v>
      </c>
      <c r="R6872">
        <v>1</v>
      </c>
      <c r="S6872">
        <v>0</v>
      </c>
      <c r="T6872">
        <v>0</v>
      </c>
      <c r="U6872">
        <v>0</v>
      </c>
      <c r="V6872">
        <v>0</v>
      </c>
      <c r="W6872">
        <v>2</v>
      </c>
      <c r="X6872" s="21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f t="shared" si="122"/>
        <v>192</v>
      </c>
      <c r="AP6872" t="s">
        <v>1915</v>
      </c>
    </row>
    <row r="6873" spans="1:42">
      <c r="A6873" s="1">
        <v>43839</v>
      </c>
      <c r="B6873">
        <v>4</v>
      </c>
      <c r="C6873">
        <v>979</v>
      </c>
      <c r="D6873">
        <v>10415</v>
      </c>
      <c r="E6873" t="s">
        <v>37</v>
      </c>
      <c r="F6873" t="s">
        <v>520</v>
      </c>
      <c r="G6873">
        <v>2</v>
      </c>
      <c r="H6873">
        <v>11</v>
      </c>
      <c r="I6873" s="25">
        <v>1575</v>
      </c>
      <c r="K6873" t="s">
        <v>516</v>
      </c>
      <c r="N6873" t="s">
        <v>44</v>
      </c>
      <c r="O6873">
        <v>151</v>
      </c>
      <c r="Q6873">
        <f t="shared" si="121"/>
        <v>1</v>
      </c>
      <c r="R6873">
        <v>1</v>
      </c>
      <c r="S6873">
        <v>0</v>
      </c>
      <c r="T6873">
        <v>0</v>
      </c>
      <c r="U6873">
        <v>0</v>
      </c>
      <c r="V6873">
        <v>0</v>
      </c>
      <c r="W6873">
        <v>1</v>
      </c>
      <c r="X6873" s="21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f t="shared" si="122"/>
        <v>96</v>
      </c>
      <c r="AP6873" t="s">
        <v>1915</v>
      </c>
    </row>
    <row r="6874" spans="1:42">
      <c r="A6874" s="1">
        <v>43839</v>
      </c>
      <c r="B6874">
        <v>4</v>
      </c>
      <c r="C6874">
        <v>979</v>
      </c>
      <c r="D6874">
        <v>10415</v>
      </c>
      <c r="E6874" t="s">
        <v>37</v>
      </c>
      <c r="F6874" t="s">
        <v>520</v>
      </c>
      <c r="G6874">
        <v>2</v>
      </c>
      <c r="H6874">
        <v>12</v>
      </c>
      <c r="I6874" s="25">
        <v>1600</v>
      </c>
      <c r="K6874" t="s">
        <v>516</v>
      </c>
      <c r="N6874" t="s">
        <v>40</v>
      </c>
      <c r="O6874">
        <f>60+13</f>
        <v>73</v>
      </c>
      <c r="Q6874">
        <f t="shared" si="121"/>
        <v>2</v>
      </c>
      <c r="R6874">
        <v>1</v>
      </c>
      <c r="S6874">
        <v>0</v>
      </c>
      <c r="T6874">
        <v>0</v>
      </c>
      <c r="U6874">
        <v>0</v>
      </c>
      <c r="V6874">
        <v>2</v>
      </c>
      <c r="W6874">
        <v>0</v>
      </c>
      <c r="X6874" s="21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f t="shared" si="122"/>
        <v>128</v>
      </c>
      <c r="AP6874" t="s">
        <v>1915</v>
      </c>
    </row>
    <row r="6875" spans="1:42">
      <c r="A6875" s="1">
        <v>43839</v>
      </c>
      <c r="B6875">
        <v>4</v>
      </c>
      <c r="C6875">
        <v>979</v>
      </c>
      <c r="D6875">
        <v>10415</v>
      </c>
      <c r="E6875" t="s">
        <v>37</v>
      </c>
      <c r="F6875" t="s">
        <v>520</v>
      </c>
      <c r="G6875">
        <v>2</v>
      </c>
      <c r="H6875">
        <v>13</v>
      </c>
      <c r="I6875" s="25">
        <v>1600</v>
      </c>
      <c r="K6875" t="s">
        <v>516</v>
      </c>
      <c r="N6875" t="s">
        <v>40</v>
      </c>
      <c r="O6875">
        <f>60+60+16</f>
        <v>136</v>
      </c>
      <c r="Q6875">
        <f t="shared" si="121"/>
        <v>2</v>
      </c>
      <c r="R6875">
        <v>1</v>
      </c>
      <c r="S6875">
        <v>0</v>
      </c>
      <c r="T6875">
        <v>0</v>
      </c>
      <c r="U6875">
        <v>0</v>
      </c>
      <c r="V6875">
        <v>2</v>
      </c>
      <c r="W6875">
        <v>0</v>
      </c>
      <c r="X6875" s="21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f t="shared" si="122"/>
        <v>128</v>
      </c>
      <c r="AP6875" t="s">
        <v>1915</v>
      </c>
    </row>
    <row r="6876" spans="1:42">
      <c r="A6876" s="1">
        <v>43839</v>
      </c>
      <c r="B6876">
        <v>4</v>
      </c>
      <c r="C6876">
        <v>979</v>
      </c>
      <c r="D6876">
        <v>10415</v>
      </c>
      <c r="E6876" t="s">
        <v>37</v>
      </c>
      <c r="F6876" t="s">
        <v>520</v>
      </c>
      <c r="G6876">
        <v>2</v>
      </c>
      <c r="H6876">
        <v>14</v>
      </c>
      <c r="I6876" s="25">
        <v>1600</v>
      </c>
      <c r="K6876" t="s">
        <v>516</v>
      </c>
      <c r="N6876" t="s">
        <v>40</v>
      </c>
      <c r="O6876">
        <v>46</v>
      </c>
      <c r="Q6876">
        <f t="shared" si="121"/>
        <v>2</v>
      </c>
      <c r="R6876">
        <v>1</v>
      </c>
      <c r="S6876">
        <v>0</v>
      </c>
      <c r="T6876">
        <v>0</v>
      </c>
      <c r="U6876">
        <v>0</v>
      </c>
      <c r="V6876">
        <v>0</v>
      </c>
      <c r="W6876">
        <v>2</v>
      </c>
      <c r="X6876" s="21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f t="shared" si="122"/>
        <v>192</v>
      </c>
      <c r="AP6876" t="s">
        <v>1915</v>
      </c>
    </row>
    <row r="6877" spans="1:42">
      <c r="A6877" s="1">
        <v>43839</v>
      </c>
      <c r="B6877">
        <v>4</v>
      </c>
      <c r="C6877">
        <v>979</v>
      </c>
      <c r="D6877">
        <v>10415</v>
      </c>
      <c r="E6877" t="s">
        <v>37</v>
      </c>
      <c r="F6877" t="s">
        <v>520</v>
      </c>
      <c r="G6877">
        <v>2</v>
      </c>
      <c r="H6877">
        <v>15</v>
      </c>
      <c r="I6877" s="25">
        <v>1649</v>
      </c>
      <c r="K6877" t="s">
        <v>516</v>
      </c>
      <c r="N6877" t="s">
        <v>44</v>
      </c>
      <c r="O6877">
        <f>((6*60)+9)/3</f>
        <v>123</v>
      </c>
      <c r="Q6877">
        <f t="shared" si="121"/>
        <v>2</v>
      </c>
      <c r="R6877">
        <v>1</v>
      </c>
      <c r="S6877">
        <v>0</v>
      </c>
      <c r="T6877">
        <v>0</v>
      </c>
      <c r="U6877">
        <v>0</v>
      </c>
      <c r="V6877">
        <v>0</v>
      </c>
      <c r="W6877">
        <v>2</v>
      </c>
      <c r="X6877" s="21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f t="shared" si="122"/>
        <v>192</v>
      </c>
      <c r="AP6877" t="s">
        <v>1915</v>
      </c>
    </row>
    <row r="6878" spans="1:42">
      <c r="A6878" s="1">
        <v>43839</v>
      </c>
      <c r="B6878">
        <v>4</v>
      </c>
      <c r="C6878">
        <v>979</v>
      </c>
      <c r="D6878">
        <v>10415</v>
      </c>
      <c r="E6878" t="s">
        <v>37</v>
      </c>
      <c r="F6878" t="s">
        <v>520</v>
      </c>
      <c r="G6878">
        <v>2</v>
      </c>
      <c r="H6878">
        <v>16</v>
      </c>
      <c r="I6878" s="25">
        <v>1653</v>
      </c>
      <c r="K6878" t="s">
        <v>516</v>
      </c>
      <c r="N6878" t="s">
        <v>44</v>
      </c>
      <c r="O6878">
        <v>112</v>
      </c>
      <c r="Q6878">
        <f t="shared" si="121"/>
        <v>1</v>
      </c>
      <c r="R6878">
        <v>1</v>
      </c>
      <c r="S6878">
        <v>0</v>
      </c>
      <c r="T6878">
        <v>0</v>
      </c>
      <c r="U6878">
        <v>0</v>
      </c>
      <c r="V6878">
        <v>0</v>
      </c>
      <c r="W6878">
        <v>1</v>
      </c>
      <c r="X6878" s="21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f t="shared" si="122"/>
        <v>96</v>
      </c>
      <c r="AP6878" t="s">
        <v>1915</v>
      </c>
    </row>
    <row r="6879" spans="1:42">
      <c r="A6879" s="1">
        <v>43839</v>
      </c>
      <c r="B6879">
        <v>4</v>
      </c>
      <c r="C6879">
        <v>979</v>
      </c>
      <c r="D6879">
        <v>10415</v>
      </c>
      <c r="E6879" t="s">
        <v>37</v>
      </c>
      <c r="F6879" t="s">
        <v>520</v>
      </c>
      <c r="G6879">
        <v>2</v>
      </c>
      <c r="H6879">
        <v>17</v>
      </c>
      <c r="I6879" s="25">
        <v>1663</v>
      </c>
      <c r="K6879" t="s">
        <v>516</v>
      </c>
      <c r="N6879" t="s">
        <v>44</v>
      </c>
      <c r="O6879">
        <v>115</v>
      </c>
      <c r="Q6879">
        <f t="shared" si="121"/>
        <v>1</v>
      </c>
      <c r="R6879">
        <v>1</v>
      </c>
      <c r="S6879">
        <v>0</v>
      </c>
      <c r="T6879">
        <v>0</v>
      </c>
      <c r="U6879">
        <v>0</v>
      </c>
      <c r="V6879">
        <v>0</v>
      </c>
      <c r="W6879">
        <v>1</v>
      </c>
      <c r="X6879" s="21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f t="shared" si="122"/>
        <v>96</v>
      </c>
      <c r="AP6879" t="s">
        <v>1915</v>
      </c>
    </row>
    <row r="6880" spans="1:42">
      <c r="A6880" s="1">
        <v>43839</v>
      </c>
      <c r="B6880">
        <v>4</v>
      </c>
      <c r="C6880">
        <v>979</v>
      </c>
      <c r="D6880">
        <v>10415</v>
      </c>
      <c r="E6880" t="s">
        <v>37</v>
      </c>
      <c r="F6880" t="s">
        <v>520</v>
      </c>
      <c r="G6880">
        <v>2</v>
      </c>
      <c r="H6880">
        <v>18</v>
      </c>
      <c r="I6880" s="25">
        <v>1690</v>
      </c>
      <c r="K6880" t="s">
        <v>516</v>
      </c>
      <c r="N6880" t="s">
        <v>44</v>
      </c>
      <c r="O6880">
        <f>(69+45)/2</f>
        <v>57</v>
      </c>
      <c r="Q6880">
        <f t="shared" si="121"/>
        <v>1</v>
      </c>
      <c r="R6880">
        <v>1</v>
      </c>
      <c r="S6880">
        <v>0</v>
      </c>
      <c r="T6880">
        <v>0</v>
      </c>
      <c r="U6880">
        <v>0</v>
      </c>
      <c r="V6880">
        <v>0</v>
      </c>
      <c r="W6880">
        <v>1</v>
      </c>
      <c r="X6880" s="21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f t="shared" si="122"/>
        <v>96</v>
      </c>
      <c r="AL6880" t="s">
        <v>597</v>
      </c>
      <c r="AP6880" t="s">
        <v>1915</v>
      </c>
    </row>
    <row r="6881" spans="1:42">
      <c r="A6881" s="1">
        <v>43839</v>
      </c>
      <c r="B6881">
        <v>4</v>
      </c>
      <c r="C6881">
        <v>979</v>
      </c>
      <c r="D6881">
        <v>10415</v>
      </c>
      <c r="E6881" t="s">
        <v>37</v>
      </c>
      <c r="F6881" t="s">
        <v>520</v>
      </c>
      <c r="G6881">
        <v>2</v>
      </c>
      <c r="H6881">
        <v>19</v>
      </c>
      <c r="I6881" s="25">
        <v>1664</v>
      </c>
      <c r="K6881" t="s">
        <v>516</v>
      </c>
      <c r="N6881" t="s">
        <v>44</v>
      </c>
      <c r="O6881">
        <v>56</v>
      </c>
      <c r="Q6881">
        <f t="shared" si="121"/>
        <v>1</v>
      </c>
      <c r="R6881">
        <v>1</v>
      </c>
      <c r="S6881">
        <v>0</v>
      </c>
      <c r="T6881">
        <v>0</v>
      </c>
      <c r="U6881">
        <v>0</v>
      </c>
      <c r="V6881">
        <v>0</v>
      </c>
      <c r="W6881">
        <v>1</v>
      </c>
      <c r="X6881" s="2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f t="shared" si="122"/>
        <v>96</v>
      </c>
      <c r="AL6881" t="s">
        <v>597</v>
      </c>
      <c r="AP6881" t="s">
        <v>1915</v>
      </c>
    </row>
    <row r="6882" spans="1:42">
      <c r="A6882" s="1">
        <v>43839</v>
      </c>
      <c r="B6882">
        <v>4</v>
      </c>
      <c r="C6882">
        <v>979</v>
      </c>
      <c r="D6882">
        <v>10415</v>
      </c>
      <c r="E6882" t="s">
        <v>37</v>
      </c>
      <c r="F6882" t="s">
        <v>520</v>
      </c>
      <c r="G6882">
        <v>2</v>
      </c>
      <c r="H6882">
        <v>20</v>
      </c>
      <c r="I6882" s="25">
        <v>1800</v>
      </c>
      <c r="K6882" t="s">
        <v>414</v>
      </c>
      <c r="N6882" t="s">
        <v>40</v>
      </c>
      <c r="O6882">
        <f>60+60+60+60+60+35</f>
        <v>335</v>
      </c>
      <c r="Q6882">
        <f t="shared" si="121"/>
        <v>6</v>
      </c>
      <c r="R6882">
        <v>1</v>
      </c>
      <c r="S6882">
        <v>0</v>
      </c>
      <c r="T6882">
        <v>0</v>
      </c>
      <c r="U6882">
        <v>1</v>
      </c>
      <c r="V6882">
        <v>2</v>
      </c>
      <c r="W6882">
        <v>3</v>
      </c>
      <c r="X6882" s="21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1</v>
      </c>
      <c r="AG6882">
        <v>1</v>
      </c>
      <c r="AH6882">
        <f t="shared" si="122"/>
        <v>448</v>
      </c>
      <c r="AP6882" t="s">
        <v>1915</v>
      </c>
    </row>
    <row r="6883" spans="1:42">
      <c r="A6883" s="1">
        <v>43839</v>
      </c>
      <c r="B6883">
        <v>4</v>
      </c>
      <c r="C6883">
        <v>979</v>
      </c>
      <c r="D6883">
        <v>10415</v>
      </c>
      <c r="E6883" t="s">
        <v>37</v>
      </c>
      <c r="F6883" t="s">
        <v>520</v>
      </c>
      <c r="G6883">
        <v>2</v>
      </c>
      <c r="H6883">
        <v>21</v>
      </c>
      <c r="I6883" s="25">
        <v>1800</v>
      </c>
      <c r="K6883" t="s">
        <v>414</v>
      </c>
      <c r="N6883" t="s">
        <v>40</v>
      </c>
      <c r="O6883">
        <f>60+60+8</f>
        <v>128</v>
      </c>
      <c r="Q6883">
        <f t="shared" si="121"/>
        <v>3</v>
      </c>
      <c r="R6883">
        <v>1</v>
      </c>
      <c r="S6883">
        <v>0</v>
      </c>
      <c r="T6883">
        <v>0</v>
      </c>
      <c r="U6883">
        <v>0</v>
      </c>
      <c r="V6883">
        <v>1</v>
      </c>
      <c r="W6883">
        <v>2</v>
      </c>
      <c r="X6883" s="21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f t="shared" si="122"/>
        <v>256</v>
      </c>
      <c r="AP6883" t="s">
        <v>1915</v>
      </c>
    </row>
    <row r="6884" spans="1:42">
      <c r="A6884" s="1">
        <v>43839</v>
      </c>
      <c r="B6884">
        <v>4</v>
      </c>
      <c r="C6884">
        <v>979</v>
      </c>
      <c r="D6884">
        <v>10415</v>
      </c>
      <c r="E6884" t="s">
        <v>37</v>
      </c>
      <c r="F6884" t="s">
        <v>520</v>
      </c>
      <c r="G6884">
        <v>2</v>
      </c>
      <c r="H6884">
        <v>22</v>
      </c>
      <c r="I6884" s="25">
        <v>1900</v>
      </c>
      <c r="K6884" t="s">
        <v>414</v>
      </c>
      <c r="N6884" t="s">
        <v>40</v>
      </c>
      <c r="O6884">
        <f>60+60+43</f>
        <v>163</v>
      </c>
      <c r="Q6884">
        <f t="shared" si="121"/>
        <v>3</v>
      </c>
      <c r="R6884">
        <v>1</v>
      </c>
      <c r="S6884">
        <v>0</v>
      </c>
      <c r="T6884">
        <v>0</v>
      </c>
      <c r="U6884">
        <v>0</v>
      </c>
      <c r="V6884">
        <v>0</v>
      </c>
      <c r="W6884">
        <v>3</v>
      </c>
      <c r="X6884" s="21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f t="shared" si="122"/>
        <v>288</v>
      </c>
      <c r="AP6884" t="s">
        <v>1915</v>
      </c>
    </row>
    <row r="6885" spans="1:42">
      <c r="A6885" s="1">
        <v>43839</v>
      </c>
      <c r="B6885">
        <v>4</v>
      </c>
      <c r="C6885">
        <v>979</v>
      </c>
      <c r="D6885">
        <v>10415</v>
      </c>
      <c r="E6885" t="s">
        <v>37</v>
      </c>
      <c r="F6885" t="s">
        <v>520</v>
      </c>
      <c r="G6885">
        <v>2</v>
      </c>
      <c r="H6885">
        <v>23</v>
      </c>
      <c r="I6885" s="25">
        <v>1925</v>
      </c>
      <c r="K6885" t="s">
        <v>420</v>
      </c>
      <c r="N6885" t="s">
        <v>42</v>
      </c>
      <c r="O6885">
        <f>60+60+60+60+60+5</f>
        <v>305</v>
      </c>
      <c r="Q6885">
        <f t="shared" si="121"/>
        <v>4</v>
      </c>
      <c r="R6885">
        <v>1</v>
      </c>
      <c r="S6885">
        <v>0</v>
      </c>
      <c r="T6885">
        <v>0</v>
      </c>
      <c r="U6885">
        <v>0</v>
      </c>
      <c r="V6885">
        <v>3</v>
      </c>
      <c r="W6885">
        <v>1</v>
      </c>
      <c r="X6885" s="21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f t="shared" si="122"/>
        <v>288</v>
      </c>
      <c r="AP6885" t="s">
        <v>1915</v>
      </c>
    </row>
    <row r="6886" spans="1:42">
      <c r="A6886" s="1">
        <v>43839</v>
      </c>
      <c r="B6886">
        <v>4</v>
      </c>
      <c r="C6886">
        <v>979</v>
      </c>
      <c r="D6886">
        <v>10415</v>
      </c>
      <c r="E6886" t="s">
        <v>37</v>
      </c>
      <c r="F6886" t="s">
        <v>520</v>
      </c>
      <c r="G6886">
        <v>2</v>
      </c>
      <c r="H6886">
        <v>24</v>
      </c>
      <c r="I6886" s="25">
        <v>1968</v>
      </c>
      <c r="K6886" t="s">
        <v>420</v>
      </c>
      <c r="N6886" t="s">
        <v>42</v>
      </c>
      <c r="O6886">
        <f>60+60+60+60+57</f>
        <v>297</v>
      </c>
      <c r="Q6886">
        <f t="shared" si="121"/>
        <v>3</v>
      </c>
      <c r="R6886">
        <v>1</v>
      </c>
      <c r="S6886">
        <v>0</v>
      </c>
      <c r="T6886">
        <v>0</v>
      </c>
      <c r="U6886">
        <v>0</v>
      </c>
      <c r="V6886">
        <v>2</v>
      </c>
      <c r="W6886">
        <v>1</v>
      </c>
      <c r="X6886" s="21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f t="shared" si="122"/>
        <v>224</v>
      </c>
      <c r="AP6886" t="s">
        <v>1915</v>
      </c>
    </row>
    <row r="6887" spans="1:42">
      <c r="A6887" s="1">
        <v>43839</v>
      </c>
      <c r="B6887">
        <v>4</v>
      </c>
      <c r="C6887">
        <v>979</v>
      </c>
      <c r="D6887">
        <v>10415</v>
      </c>
      <c r="E6887" t="s">
        <v>37</v>
      </c>
      <c r="F6887" t="s">
        <v>520</v>
      </c>
      <c r="G6887">
        <v>2</v>
      </c>
      <c r="H6887">
        <v>25</v>
      </c>
      <c r="I6887" s="25">
        <v>1410</v>
      </c>
      <c r="K6887" t="s">
        <v>185</v>
      </c>
      <c r="N6887" t="s">
        <v>44</v>
      </c>
      <c r="O6887">
        <f>60+60+21</f>
        <v>141</v>
      </c>
      <c r="Q6887">
        <f t="shared" si="121"/>
        <v>2</v>
      </c>
      <c r="R6887">
        <v>1</v>
      </c>
      <c r="S6887">
        <v>0</v>
      </c>
      <c r="T6887">
        <v>0</v>
      </c>
      <c r="U6887">
        <v>0</v>
      </c>
      <c r="V6887">
        <v>0</v>
      </c>
      <c r="W6887">
        <v>2</v>
      </c>
      <c r="X6887" s="21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f t="shared" si="122"/>
        <v>192</v>
      </c>
      <c r="AP6887" t="s">
        <v>1915</v>
      </c>
    </row>
    <row r="6888" spans="1:42">
      <c r="A6888" s="1">
        <v>43839</v>
      </c>
      <c r="B6888">
        <v>4</v>
      </c>
      <c r="C6888">
        <v>979</v>
      </c>
      <c r="D6888">
        <v>10415</v>
      </c>
      <c r="E6888" t="s">
        <v>37</v>
      </c>
      <c r="F6888" t="s">
        <v>520</v>
      </c>
      <c r="G6888">
        <v>2</v>
      </c>
      <c r="H6888">
        <v>26</v>
      </c>
      <c r="I6888" s="25">
        <v>1450</v>
      </c>
      <c r="K6888" t="s">
        <v>185</v>
      </c>
      <c r="N6888" t="s">
        <v>44</v>
      </c>
      <c r="O6888">
        <f>60+41</f>
        <v>101</v>
      </c>
      <c r="Q6888">
        <f t="shared" si="121"/>
        <v>1</v>
      </c>
      <c r="R6888">
        <v>1</v>
      </c>
      <c r="S6888">
        <v>0</v>
      </c>
      <c r="T6888">
        <v>0</v>
      </c>
      <c r="U6888">
        <v>0</v>
      </c>
      <c r="V6888">
        <v>0</v>
      </c>
      <c r="W6888">
        <v>1</v>
      </c>
      <c r="X6888" s="21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f t="shared" si="122"/>
        <v>96</v>
      </c>
      <c r="AP6888" t="s">
        <v>1915</v>
      </c>
    </row>
    <row r="6889" spans="1:42">
      <c r="A6889" s="1">
        <v>43839</v>
      </c>
      <c r="B6889">
        <v>4</v>
      </c>
      <c r="C6889">
        <v>979</v>
      </c>
      <c r="D6889">
        <v>10415</v>
      </c>
      <c r="E6889" t="s">
        <v>37</v>
      </c>
      <c r="F6889" t="s">
        <v>520</v>
      </c>
      <c r="G6889">
        <v>2</v>
      </c>
      <c r="H6889">
        <v>27</v>
      </c>
      <c r="I6889" s="25">
        <v>1460</v>
      </c>
      <c r="K6889" t="s">
        <v>185</v>
      </c>
      <c r="N6889" t="s">
        <v>44</v>
      </c>
      <c r="O6889">
        <f>60+60+52</f>
        <v>172</v>
      </c>
      <c r="Q6889">
        <f t="shared" si="121"/>
        <v>1</v>
      </c>
      <c r="R6889">
        <v>1</v>
      </c>
      <c r="S6889">
        <v>0</v>
      </c>
      <c r="T6889">
        <v>0</v>
      </c>
      <c r="U6889">
        <v>0</v>
      </c>
      <c r="V6889">
        <v>0</v>
      </c>
      <c r="W6889">
        <v>1</v>
      </c>
      <c r="X6889" s="21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f t="shared" si="122"/>
        <v>96</v>
      </c>
      <c r="AP6889" t="s">
        <v>1915</v>
      </c>
    </row>
    <row r="6890" spans="1:42">
      <c r="A6890" s="1">
        <v>43839</v>
      </c>
      <c r="B6890">
        <v>4</v>
      </c>
      <c r="C6890">
        <v>979</v>
      </c>
      <c r="D6890">
        <v>10415</v>
      </c>
      <c r="E6890" t="s">
        <v>37</v>
      </c>
      <c r="F6890" t="s">
        <v>520</v>
      </c>
      <c r="G6890">
        <v>2</v>
      </c>
      <c r="H6890">
        <v>28</v>
      </c>
      <c r="I6890" s="25">
        <v>1500</v>
      </c>
      <c r="K6890" t="s">
        <v>414</v>
      </c>
      <c r="N6890" t="s">
        <v>40</v>
      </c>
      <c r="O6890">
        <f>60+10</f>
        <v>70</v>
      </c>
      <c r="Q6890">
        <f t="shared" si="121"/>
        <v>1</v>
      </c>
      <c r="R6890">
        <v>1</v>
      </c>
      <c r="S6890">
        <v>0</v>
      </c>
      <c r="T6890">
        <v>0</v>
      </c>
      <c r="U6890">
        <v>0</v>
      </c>
      <c r="V6890">
        <v>1</v>
      </c>
      <c r="W6890">
        <v>0</v>
      </c>
      <c r="X6890" s="21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f t="shared" si="122"/>
        <v>64</v>
      </c>
      <c r="AP6890" t="s">
        <v>1915</v>
      </c>
    </row>
    <row r="6891" spans="1:42">
      <c r="A6891" s="1">
        <v>43839</v>
      </c>
      <c r="B6891">
        <v>4</v>
      </c>
      <c r="C6891">
        <v>979</v>
      </c>
      <c r="D6891">
        <v>10415</v>
      </c>
      <c r="E6891" t="s">
        <v>37</v>
      </c>
      <c r="F6891" t="s">
        <v>520</v>
      </c>
      <c r="G6891">
        <v>2</v>
      </c>
      <c r="H6891">
        <v>29</v>
      </c>
      <c r="I6891" s="25">
        <v>2128</v>
      </c>
      <c r="K6891" t="s">
        <v>415</v>
      </c>
      <c r="N6891" t="s">
        <v>44</v>
      </c>
      <c r="O6891">
        <f>60+60+50</f>
        <v>170</v>
      </c>
      <c r="Q6891">
        <f t="shared" si="121"/>
        <v>2</v>
      </c>
      <c r="R6891">
        <v>1</v>
      </c>
      <c r="S6891">
        <v>0</v>
      </c>
      <c r="T6891">
        <v>0</v>
      </c>
      <c r="U6891">
        <v>0</v>
      </c>
      <c r="V6891">
        <v>0</v>
      </c>
      <c r="W6891">
        <v>2</v>
      </c>
      <c r="X6891" s="2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f t="shared" si="122"/>
        <v>192</v>
      </c>
      <c r="AL6891" t="s">
        <v>597</v>
      </c>
      <c r="AP6891" t="s">
        <v>1915</v>
      </c>
    </row>
    <row r="6892" spans="1:42">
      <c r="A6892" s="1">
        <v>43839</v>
      </c>
      <c r="B6892">
        <v>4</v>
      </c>
      <c r="C6892">
        <v>979</v>
      </c>
      <c r="D6892">
        <v>10415</v>
      </c>
      <c r="E6892" t="s">
        <v>37</v>
      </c>
      <c r="F6892" t="s">
        <v>520</v>
      </c>
      <c r="G6892">
        <v>2</v>
      </c>
      <c r="H6892">
        <v>30</v>
      </c>
      <c r="I6892" s="25">
        <v>2250</v>
      </c>
      <c r="K6892" t="s">
        <v>415</v>
      </c>
      <c r="N6892" t="s">
        <v>44</v>
      </c>
      <c r="O6892">
        <v>82</v>
      </c>
      <c r="Q6892">
        <f t="shared" si="121"/>
        <v>2</v>
      </c>
      <c r="R6892">
        <v>1</v>
      </c>
      <c r="S6892">
        <v>0</v>
      </c>
      <c r="T6892">
        <v>0</v>
      </c>
      <c r="U6892">
        <v>0</v>
      </c>
      <c r="V6892">
        <v>1</v>
      </c>
      <c r="W6892">
        <v>1</v>
      </c>
      <c r="X6892" s="21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f t="shared" si="122"/>
        <v>160</v>
      </c>
      <c r="AP6892" t="s">
        <v>1915</v>
      </c>
    </row>
    <row r="6893" spans="1:42">
      <c r="A6893" s="1">
        <v>43839</v>
      </c>
      <c r="B6893">
        <v>4</v>
      </c>
      <c r="C6893">
        <v>979</v>
      </c>
      <c r="D6893">
        <v>10415</v>
      </c>
      <c r="E6893" t="s">
        <v>37</v>
      </c>
      <c r="F6893" t="s">
        <v>520</v>
      </c>
      <c r="G6893">
        <v>2</v>
      </c>
      <c r="H6893">
        <v>31</v>
      </c>
      <c r="I6893" s="25">
        <v>2240</v>
      </c>
      <c r="K6893" t="s">
        <v>415</v>
      </c>
      <c r="N6893" t="s">
        <v>44</v>
      </c>
      <c r="O6893">
        <v>82</v>
      </c>
      <c r="Q6893">
        <f t="shared" si="121"/>
        <v>2</v>
      </c>
      <c r="R6893">
        <v>1</v>
      </c>
      <c r="S6893">
        <v>0</v>
      </c>
      <c r="T6893">
        <v>0</v>
      </c>
      <c r="U6893">
        <v>0</v>
      </c>
      <c r="V6893">
        <v>1</v>
      </c>
      <c r="W6893">
        <v>1</v>
      </c>
      <c r="X6893" s="21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f t="shared" si="122"/>
        <v>160</v>
      </c>
      <c r="AP6893" t="s">
        <v>1915</v>
      </c>
    </row>
    <row r="6894" spans="1:42">
      <c r="A6894" s="1">
        <v>43839</v>
      </c>
      <c r="B6894">
        <v>4</v>
      </c>
      <c r="C6894">
        <v>979</v>
      </c>
      <c r="D6894">
        <v>10415</v>
      </c>
      <c r="E6894" t="s">
        <v>37</v>
      </c>
      <c r="F6894" t="s">
        <v>520</v>
      </c>
      <c r="G6894">
        <v>2</v>
      </c>
      <c r="H6894">
        <v>32</v>
      </c>
      <c r="I6894" s="25">
        <v>2252</v>
      </c>
      <c r="K6894" t="s">
        <v>415</v>
      </c>
      <c r="N6894" t="s">
        <v>44</v>
      </c>
      <c r="O6894">
        <f>60+60+16</f>
        <v>136</v>
      </c>
      <c r="Q6894">
        <f t="shared" si="121"/>
        <v>1</v>
      </c>
      <c r="R6894">
        <v>1</v>
      </c>
      <c r="S6894">
        <v>0</v>
      </c>
      <c r="T6894">
        <v>0</v>
      </c>
      <c r="U6894">
        <v>0</v>
      </c>
      <c r="V6894">
        <v>0</v>
      </c>
      <c r="W6894">
        <v>1</v>
      </c>
      <c r="X6894" s="21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f t="shared" si="122"/>
        <v>96</v>
      </c>
      <c r="AL6894" t="s">
        <v>597</v>
      </c>
      <c r="AP6894" t="s">
        <v>1915</v>
      </c>
    </row>
    <row r="6895" spans="1:42">
      <c r="A6895" s="1">
        <v>43839</v>
      </c>
      <c r="B6895">
        <v>4</v>
      </c>
      <c r="C6895">
        <v>979</v>
      </c>
      <c r="D6895">
        <v>10415</v>
      </c>
      <c r="E6895" t="s">
        <v>37</v>
      </c>
      <c r="F6895" t="s">
        <v>520</v>
      </c>
      <c r="G6895">
        <v>2</v>
      </c>
      <c r="H6895">
        <v>33</v>
      </c>
      <c r="I6895" s="25">
        <v>1555</v>
      </c>
      <c r="K6895" t="s">
        <v>585</v>
      </c>
      <c r="N6895" t="s">
        <v>44</v>
      </c>
      <c r="O6895">
        <f>60+38</f>
        <v>98</v>
      </c>
      <c r="Q6895">
        <f t="shared" si="121"/>
        <v>1</v>
      </c>
      <c r="R6895">
        <v>1</v>
      </c>
      <c r="S6895">
        <v>0</v>
      </c>
      <c r="T6895">
        <v>0</v>
      </c>
      <c r="U6895">
        <v>0</v>
      </c>
      <c r="V6895">
        <v>0</v>
      </c>
      <c r="W6895">
        <v>1</v>
      </c>
      <c r="X6895" s="21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f t="shared" si="122"/>
        <v>96</v>
      </c>
      <c r="AP6895" t="s">
        <v>1915</v>
      </c>
    </row>
    <row r="6896" spans="1:42">
      <c r="A6896" s="1">
        <v>43839</v>
      </c>
      <c r="B6896">
        <v>4</v>
      </c>
      <c r="C6896">
        <v>979</v>
      </c>
      <c r="D6896">
        <v>10415</v>
      </c>
      <c r="E6896" t="s">
        <v>37</v>
      </c>
      <c r="F6896" t="s">
        <v>520</v>
      </c>
      <c r="G6896">
        <v>2</v>
      </c>
      <c r="H6896">
        <v>34</v>
      </c>
      <c r="I6896" s="25">
        <v>1543</v>
      </c>
      <c r="K6896" t="s">
        <v>585</v>
      </c>
      <c r="N6896" t="s">
        <v>44</v>
      </c>
      <c r="O6896">
        <f>60+45</f>
        <v>105</v>
      </c>
      <c r="Q6896">
        <f t="shared" si="121"/>
        <v>1</v>
      </c>
      <c r="R6896">
        <v>1</v>
      </c>
      <c r="S6896">
        <v>0</v>
      </c>
      <c r="T6896">
        <v>0</v>
      </c>
      <c r="U6896">
        <v>0</v>
      </c>
      <c r="V6896">
        <v>0</v>
      </c>
      <c r="W6896">
        <v>1</v>
      </c>
      <c r="X6896" s="21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f t="shared" si="122"/>
        <v>96</v>
      </c>
      <c r="AP6896" t="s">
        <v>1915</v>
      </c>
    </row>
    <row r="6897" spans="1:42">
      <c r="A6897" s="1">
        <v>43839</v>
      </c>
      <c r="B6897">
        <v>4</v>
      </c>
      <c r="C6897">
        <v>979</v>
      </c>
      <c r="D6897">
        <v>10415</v>
      </c>
      <c r="E6897" t="s">
        <v>37</v>
      </c>
      <c r="F6897" t="s">
        <v>520</v>
      </c>
      <c r="G6897">
        <v>2</v>
      </c>
      <c r="H6897">
        <v>35</v>
      </c>
      <c r="I6897" s="25">
        <v>1730</v>
      </c>
      <c r="K6897" t="s">
        <v>828</v>
      </c>
      <c r="N6897" t="s">
        <v>44</v>
      </c>
      <c r="O6897">
        <f>(60+60+60+44)/2</f>
        <v>112</v>
      </c>
      <c r="Q6897">
        <f t="shared" si="121"/>
        <v>1</v>
      </c>
      <c r="R6897">
        <v>1</v>
      </c>
      <c r="S6897">
        <v>0</v>
      </c>
      <c r="T6897">
        <v>0</v>
      </c>
      <c r="U6897">
        <v>0</v>
      </c>
      <c r="V6897">
        <v>0</v>
      </c>
      <c r="W6897">
        <v>1</v>
      </c>
      <c r="X6897" s="21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f t="shared" si="122"/>
        <v>96</v>
      </c>
      <c r="AP6897" t="s">
        <v>1915</v>
      </c>
    </row>
    <row r="6898" spans="1:42">
      <c r="A6898" s="1">
        <v>43839</v>
      </c>
      <c r="B6898">
        <v>4</v>
      </c>
      <c r="C6898">
        <v>979</v>
      </c>
      <c r="D6898">
        <v>10415</v>
      </c>
      <c r="E6898" t="s">
        <v>37</v>
      </c>
      <c r="F6898" t="s">
        <v>520</v>
      </c>
      <c r="G6898">
        <v>2</v>
      </c>
      <c r="H6898">
        <v>36</v>
      </c>
      <c r="I6898" s="25">
        <v>1725</v>
      </c>
      <c r="K6898" t="s">
        <v>828</v>
      </c>
      <c r="N6898" t="s">
        <v>44</v>
      </c>
      <c r="O6898">
        <v>112</v>
      </c>
      <c r="Q6898">
        <f t="shared" si="121"/>
        <v>1</v>
      </c>
      <c r="R6898">
        <v>1</v>
      </c>
      <c r="S6898">
        <v>0</v>
      </c>
      <c r="T6898">
        <v>0</v>
      </c>
      <c r="U6898">
        <v>0</v>
      </c>
      <c r="V6898">
        <v>0</v>
      </c>
      <c r="W6898">
        <v>1</v>
      </c>
      <c r="X6898" s="21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f t="shared" si="122"/>
        <v>96</v>
      </c>
      <c r="AL6898" t="s">
        <v>587</v>
      </c>
      <c r="AP6898" t="s">
        <v>1915</v>
      </c>
    </row>
    <row r="6899" spans="1:42">
      <c r="A6899" s="1">
        <v>43839</v>
      </c>
      <c r="B6899">
        <v>4</v>
      </c>
      <c r="C6899">
        <v>979</v>
      </c>
      <c r="D6899">
        <v>10415</v>
      </c>
      <c r="E6899" t="s">
        <v>37</v>
      </c>
      <c r="F6899" t="s">
        <v>520</v>
      </c>
      <c r="G6899">
        <v>2</v>
      </c>
      <c r="H6899">
        <v>37</v>
      </c>
      <c r="I6899" s="25">
        <v>1800</v>
      </c>
      <c r="K6899" t="s">
        <v>828</v>
      </c>
      <c r="N6899" t="s">
        <v>40</v>
      </c>
      <c r="O6899">
        <f>60+53</f>
        <v>113</v>
      </c>
      <c r="Q6899">
        <f t="shared" si="121"/>
        <v>3</v>
      </c>
      <c r="R6899">
        <v>1</v>
      </c>
      <c r="S6899">
        <v>0</v>
      </c>
      <c r="T6899">
        <v>0</v>
      </c>
      <c r="U6899">
        <v>1</v>
      </c>
      <c r="V6899">
        <v>2</v>
      </c>
      <c r="W6899">
        <v>0</v>
      </c>
      <c r="X6899" s="21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f t="shared" si="122"/>
        <v>160</v>
      </c>
      <c r="AP6899" t="s">
        <v>1915</v>
      </c>
    </row>
    <row r="6900" spans="1:42">
      <c r="A6900" s="1">
        <v>43839</v>
      </c>
      <c r="B6900">
        <v>4</v>
      </c>
      <c r="C6900">
        <v>979</v>
      </c>
      <c r="D6900">
        <v>10415</v>
      </c>
      <c r="E6900" t="s">
        <v>37</v>
      </c>
      <c r="F6900" t="s">
        <v>520</v>
      </c>
      <c r="G6900">
        <v>2</v>
      </c>
      <c r="H6900">
        <v>38</v>
      </c>
      <c r="I6900" s="25">
        <v>1821</v>
      </c>
      <c r="K6900" t="s">
        <v>828</v>
      </c>
      <c r="N6900" t="s">
        <v>44</v>
      </c>
      <c r="O6900">
        <f>60+60+45</f>
        <v>165</v>
      </c>
      <c r="Q6900">
        <f t="shared" si="121"/>
        <v>2</v>
      </c>
      <c r="R6900">
        <v>1</v>
      </c>
      <c r="S6900">
        <v>0</v>
      </c>
      <c r="T6900">
        <v>0</v>
      </c>
      <c r="U6900">
        <v>0</v>
      </c>
      <c r="V6900">
        <v>0</v>
      </c>
      <c r="W6900">
        <v>2</v>
      </c>
      <c r="X6900" s="21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f t="shared" si="122"/>
        <v>192</v>
      </c>
      <c r="AL6900" t="s">
        <v>587</v>
      </c>
      <c r="AP6900" t="s">
        <v>1915</v>
      </c>
    </row>
    <row r="6901" spans="1:42">
      <c r="A6901" s="1">
        <v>43839</v>
      </c>
      <c r="B6901">
        <v>4</v>
      </c>
      <c r="C6901">
        <v>979</v>
      </c>
      <c r="D6901">
        <v>10415</v>
      </c>
      <c r="E6901" t="s">
        <v>37</v>
      </c>
      <c r="F6901" t="s">
        <v>520</v>
      </c>
      <c r="G6901">
        <v>2</v>
      </c>
      <c r="H6901">
        <v>39</v>
      </c>
      <c r="I6901" s="25" t="s">
        <v>2106</v>
      </c>
      <c r="K6901" t="s">
        <v>828</v>
      </c>
      <c r="N6901" t="s">
        <v>42</v>
      </c>
      <c r="O6901">
        <f>60+60+60+60+60+60+60+28</f>
        <v>448</v>
      </c>
      <c r="Q6901">
        <f t="shared" si="121"/>
        <v>8</v>
      </c>
      <c r="R6901">
        <v>1</v>
      </c>
      <c r="S6901">
        <v>0</v>
      </c>
      <c r="T6901">
        <v>0</v>
      </c>
      <c r="U6901">
        <v>3</v>
      </c>
      <c r="V6901">
        <v>1</v>
      </c>
      <c r="W6901">
        <v>4</v>
      </c>
      <c r="X6901" s="2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f t="shared" si="122"/>
        <v>544</v>
      </c>
      <c r="AP6901" t="s">
        <v>1915</v>
      </c>
    </row>
    <row r="6902" spans="1:42">
      <c r="A6902" s="1">
        <v>43839</v>
      </c>
      <c r="B6902">
        <v>4</v>
      </c>
      <c r="C6902">
        <v>979</v>
      </c>
      <c r="D6902">
        <v>10415</v>
      </c>
      <c r="E6902" t="s">
        <v>37</v>
      </c>
      <c r="F6902" t="s">
        <v>520</v>
      </c>
      <c r="G6902">
        <v>2</v>
      </c>
      <c r="H6902">
        <v>40</v>
      </c>
      <c r="I6902" s="25">
        <v>1851</v>
      </c>
      <c r="K6902" t="s">
        <v>828</v>
      </c>
      <c r="N6902" t="s">
        <v>42</v>
      </c>
      <c r="O6902">
        <f>60+60+60+56</f>
        <v>236</v>
      </c>
      <c r="Q6902">
        <f t="shared" si="121"/>
        <v>4</v>
      </c>
      <c r="R6902">
        <v>1</v>
      </c>
      <c r="S6902">
        <v>0</v>
      </c>
      <c r="T6902">
        <v>0</v>
      </c>
      <c r="U6902">
        <v>1</v>
      </c>
      <c r="V6902">
        <v>1</v>
      </c>
      <c r="W6902">
        <v>2</v>
      </c>
      <c r="X6902" s="21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1</v>
      </c>
      <c r="AG6902">
        <v>0</v>
      </c>
      <c r="AH6902">
        <f t="shared" si="122"/>
        <v>288</v>
      </c>
      <c r="AP6902" t="s">
        <v>1915</v>
      </c>
    </row>
    <row r="6903" spans="1:42">
      <c r="A6903" s="1">
        <v>43839</v>
      </c>
      <c r="B6903">
        <v>4</v>
      </c>
      <c r="C6903">
        <v>979</v>
      </c>
      <c r="D6903">
        <v>10415</v>
      </c>
      <c r="E6903" t="s">
        <v>37</v>
      </c>
      <c r="F6903" t="s">
        <v>520</v>
      </c>
      <c r="G6903">
        <v>2</v>
      </c>
      <c r="H6903">
        <v>41</v>
      </c>
      <c r="I6903" s="25">
        <v>1896</v>
      </c>
      <c r="K6903" t="s">
        <v>828</v>
      </c>
      <c r="N6903" t="s">
        <v>44</v>
      </c>
      <c r="O6903">
        <f>60+60+60+60+29</f>
        <v>269</v>
      </c>
      <c r="Q6903">
        <f t="shared" si="121"/>
        <v>2</v>
      </c>
      <c r="R6903">
        <v>1</v>
      </c>
      <c r="S6903">
        <v>0</v>
      </c>
      <c r="T6903">
        <v>0</v>
      </c>
      <c r="U6903">
        <v>0</v>
      </c>
      <c r="V6903">
        <v>1</v>
      </c>
      <c r="W6903">
        <v>1</v>
      </c>
      <c r="X6903" s="21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f t="shared" si="122"/>
        <v>160</v>
      </c>
      <c r="AP6903" t="s">
        <v>1915</v>
      </c>
    </row>
    <row r="6904" spans="1:42">
      <c r="A6904" s="1">
        <v>43839</v>
      </c>
      <c r="B6904">
        <v>4</v>
      </c>
      <c r="C6904">
        <v>979</v>
      </c>
      <c r="D6904">
        <v>10415</v>
      </c>
      <c r="E6904" t="s">
        <v>37</v>
      </c>
      <c r="F6904" t="s">
        <v>520</v>
      </c>
      <c r="G6904">
        <v>2</v>
      </c>
      <c r="H6904">
        <v>42</v>
      </c>
      <c r="I6904" s="25">
        <v>1800</v>
      </c>
      <c r="K6904" t="s">
        <v>828</v>
      </c>
      <c r="N6904" t="s">
        <v>40</v>
      </c>
      <c r="O6904">
        <f>60+60+60+59</f>
        <v>239</v>
      </c>
      <c r="Q6904">
        <f t="shared" si="121"/>
        <v>3</v>
      </c>
      <c r="R6904">
        <v>1</v>
      </c>
      <c r="S6904">
        <v>0</v>
      </c>
      <c r="T6904">
        <v>0</v>
      </c>
      <c r="U6904">
        <v>1</v>
      </c>
      <c r="V6904">
        <v>0</v>
      </c>
      <c r="W6904">
        <v>2</v>
      </c>
      <c r="X6904" s="21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f t="shared" si="122"/>
        <v>224</v>
      </c>
      <c r="AP6904" t="s">
        <v>1915</v>
      </c>
    </row>
    <row r="6905" spans="1:42">
      <c r="A6905" s="1">
        <v>43839</v>
      </c>
      <c r="B6905">
        <v>4</v>
      </c>
      <c r="C6905">
        <v>979</v>
      </c>
      <c r="D6905">
        <v>10415</v>
      </c>
      <c r="E6905" t="s">
        <v>37</v>
      </c>
      <c r="F6905" t="s">
        <v>520</v>
      </c>
      <c r="G6905">
        <v>2</v>
      </c>
      <c r="H6905">
        <v>43</v>
      </c>
      <c r="I6905" s="25">
        <v>2200</v>
      </c>
      <c r="K6905" t="s">
        <v>414</v>
      </c>
      <c r="N6905" t="s">
        <v>40</v>
      </c>
      <c r="O6905">
        <f>60+51</f>
        <v>111</v>
      </c>
      <c r="Q6905">
        <f t="shared" si="121"/>
        <v>2</v>
      </c>
      <c r="R6905">
        <v>1</v>
      </c>
      <c r="S6905">
        <v>0</v>
      </c>
      <c r="T6905">
        <v>0</v>
      </c>
      <c r="U6905">
        <v>0</v>
      </c>
      <c r="V6905">
        <v>0</v>
      </c>
      <c r="W6905">
        <v>2</v>
      </c>
      <c r="X6905" s="21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1</v>
      </c>
      <c r="AG6905">
        <v>0</v>
      </c>
      <c r="AH6905">
        <f t="shared" si="122"/>
        <v>192</v>
      </c>
      <c r="AP6905" t="s">
        <v>1915</v>
      </c>
    </row>
    <row r="6906" spans="1:42">
      <c r="A6906" s="1">
        <v>43839</v>
      </c>
      <c r="B6906">
        <v>4</v>
      </c>
      <c r="C6906">
        <v>979</v>
      </c>
      <c r="D6906">
        <v>10415</v>
      </c>
      <c r="E6906" t="s">
        <v>37</v>
      </c>
      <c r="F6906" t="s">
        <v>520</v>
      </c>
      <c r="G6906">
        <v>2</v>
      </c>
      <c r="H6906">
        <v>44</v>
      </c>
      <c r="I6906" s="25">
        <v>2200</v>
      </c>
      <c r="K6906" t="s">
        <v>414</v>
      </c>
      <c r="N6906" t="s">
        <v>40</v>
      </c>
      <c r="O6906">
        <f>60+49</f>
        <v>109</v>
      </c>
      <c r="Q6906">
        <f t="shared" si="121"/>
        <v>2</v>
      </c>
      <c r="R6906">
        <v>1</v>
      </c>
      <c r="S6906">
        <v>0</v>
      </c>
      <c r="T6906">
        <v>0</v>
      </c>
      <c r="U6906">
        <v>0</v>
      </c>
      <c r="V6906">
        <v>0</v>
      </c>
      <c r="W6906">
        <v>2</v>
      </c>
      <c r="X6906" s="21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f t="shared" si="122"/>
        <v>192</v>
      </c>
      <c r="AP6906" t="s">
        <v>1915</v>
      </c>
    </row>
    <row r="6907" spans="1:42">
      <c r="A6907" s="1">
        <v>43839</v>
      </c>
      <c r="B6907">
        <v>4</v>
      </c>
      <c r="C6907">
        <v>979</v>
      </c>
      <c r="D6907">
        <v>10415</v>
      </c>
      <c r="E6907" t="s">
        <v>37</v>
      </c>
      <c r="F6907" t="s">
        <v>520</v>
      </c>
      <c r="G6907">
        <v>2</v>
      </c>
      <c r="H6907">
        <v>45</v>
      </c>
      <c r="I6907" s="25">
        <v>61</v>
      </c>
      <c r="K6907" t="s">
        <v>2107</v>
      </c>
      <c r="N6907" t="s">
        <v>42</v>
      </c>
      <c r="O6907">
        <f>60+60+50</f>
        <v>170</v>
      </c>
      <c r="Q6907">
        <f t="shared" si="121"/>
        <v>3</v>
      </c>
      <c r="R6907">
        <v>1</v>
      </c>
      <c r="S6907">
        <v>0</v>
      </c>
      <c r="T6907">
        <v>0</v>
      </c>
      <c r="U6907">
        <v>0</v>
      </c>
      <c r="V6907">
        <v>0</v>
      </c>
      <c r="W6907">
        <v>3</v>
      </c>
      <c r="X6907" s="21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f t="shared" si="122"/>
        <v>288</v>
      </c>
      <c r="AL6907" t="s">
        <v>2108</v>
      </c>
      <c r="AP6907" t="s">
        <v>1915</v>
      </c>
    </row>
    <row r="6908" spans="1:42">
      <c r="A6908" s="1">
        <v>43839</v>
      </c>
      <c r="B6908">
        <v>4</v>
      </c>
      <c r="C6908">
        <v>979</v>
      </c>
      <c r="D6908">
        <v>10415</v>
      </c>
      <c r="E6908" t="s">
        <v>37</v>
      </c>
      <c r="F6908" t="s">
        <v>520</v>
      </c>
      <c r="G6908">
        <v>2</v>
      </c>
      <c r="H6908">
        <v>46</v>
      </c>
      <c r="I6908" s="25">
        <v>2200</v>
      </c>
      <c r="K6908" t="s">
        <v>414</v>
      </c>
      <c r="N6908" t="s">
        <v>40</v>
      </c>
      <c r="O6908">
        <f>60+1</f>
        <v>61</v>
      </c>
      <c r="Q6908">
        <f t="shared" si="121"/>
        <v>1</v>
      </c>
      <c r="R6908">
        <v>1</v>
      </c>
      <c r="S6908">
        <v>0</v>
      </c>
      <c r="T6908">
        <v>0</v>
      </c>
      <c r="U6908">
        <v>1</v>
      </c>
      <c r="V6908">
        <v>0</v>
      </c>
      <c r="W6908">
        <v>0</v>
      </c>
      <c r="X6908" s="21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f t="shared" si="122"/>
        <v>32</v>
      </c>
      <c r="AP6908" t="s">
        <v>1915</v>
      </c>
    </row>
    <row r="6909" spans="1:42">
      <c r="A6909" s="1">
        <v>43839</v>
      </c>
      <c r="B6909">
        <v>4</v>
      </c>
      <c r="C6909">
        <v>979</v>
      </c>
      <c r="D6909">
        <v>10415</v>
      </c>
      <c r="E6909" t="s">
        <v>37</v>
      </c>
      <c r="F6909" t="s">
        <v>520</v>
      </c>
      <c r="G6909">
        <v>2</v>
      </c>
      <c r="H6909">
        <v>47</v>
      </c>
      <c r="I6909" s="25">
        <v>2200</v>
      </c>
      <c r="K6909" t="s">
        <v>414</v>
      </c>
      <c r="N6909" t="s">
        <v>40</v>
      </c>
      <c r="O6909">
        <f>60+52</f>
        <v>112</v>
      </c>
      <c r="Q6909">
        <f t="shared" si="121"/>
        <v>2</v>
      </c>
      <c r="R6909">
        <v>1</v>
      </c>
      <c r="S6909">
        <v>0</v>
      </c>
      <c r="T6909">
        <v>0</v>
      </c>
      <c r="U6909">
        <v>0</v>
      </c>
      <c r="V6909">
        <v>0</v>
      </c>
      <c r="W6909">
        <v>2</v>
      </c>
      <c r="X6909" s="21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f t="shared" si="122"/>
        <v>192</v>
      </c>
      <c r="AP6909" t="s">
        <v>1915</v>
      </c>
    </row>
    <row r="6910" spans="1:42">
      <c r="A6910" s="1">
        <v>43839</v>
      </c>
      <c r="B6910">
        <v>4</v>
      </c>
      <c r="C6910">
        <v>979</v>
      </c>
      <c r="D6910">
        <v>10415</v>
      </c>
      <c r="E6910" t="s">
        <v>37</v>
      </c>
      <c r="F6910" t="s">
        <v>520</v>
      </c>
      <c r="G6910">
        <v>2</v>
      </c>
      <c r="H6910">
        <v>48</v>
      </c>
      <c r="I6910" s="25">
        <v>1845</v>
      </c>
      <c r="K6910" t="s">
        <v>420</v>
      </c>
      <c r="N6910" t="s">
        <v>44</v>
      </c>
      <c r="O6910">
        <v>113</v>
      </c>
      <c r="Q6910">
        <f t="shared" si="121"/>
        <v>1</v>
      </c>
      <c r="R6910">
        <v>1</v>
      </c>
      <c r="S6910">
        <v>0</v>
      </c>
      <c r="T6910">
        <v>0</v>
      </c>
      <c r="U6910">
        <v>0</v>
      </c>
      <c r="V6910">
        <v>1</v>
      </c>
      <c r="W6910">
        <v>0</v>
      </c>
      <c r="X6910" s="21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f t="shared" si="122"/>
        <v>64</v>
      </c>
      <c r="AL6910" t="s">
        <v>2109</v>
      </c>
      <c r="AP6910" t="s">
        <v>1915</v>
      </c>
    </row>
    <row r="6911" spans="1:42">
      <c r="A6911" s="1">
        <v>43839</v>
      </c>
      <c r="B6911">
        <v>4</v>
      </c>
      <c r="C6911">
        <v>979</v>
      </c>
      <c r="D6911">
        <v>10415</v>
      </c>
      <c r="E6911" t="s">
        <v>37</v>
      </c>
      <c r="F6911" t="s">
        <v>520</v>
      </c>
      <c r="G6911">
        <v>2</v>
      </c>
      <c r="H6911">
        <v>49</v>
      </c>
      <c r="I6911" s="25">
        <v>1846</v>
      </c>
      <c r="K6911" t="s">
        <v>420</v>
      </c>
      <c r="N6911" t="s">
        <v>44</v>
      </c>
      <c r="O6911">
        <v>113</v>
      </c>
      <c r="Q6911">
        <f t="shared" si="121"/>
        <v>1</v>
      </c>
      <c r="R6911">
        <v>1</v>
      </c>
      <c r="S6911">
        <v>0</v>
      </c>
      <c r="T6911">
        <v>0</v>
      </c>
      <c r="U6911">
        <v>0</v>
      </c>
      <c r="V6911">
        <v>0</v>
      </c>
      <c r="W6911">
        <v>1</v>
      </c>
      <c r="X6911" s="2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f t="shared" si="122"/>
        <v>96</v>
      </c>
      <c r="AL6911" t="s">
        <v>1937</v>
      </c>
      <c r="AP6911" t="s">
        <v>1915</v>
      </c>
    </row>
    <row r="6912" spans="1:42">
      <c r="A6912" s="1">
        <v>43839</v>
      </c>
      <c r="B6912">
        <v>4</v>
      </c>
      <c r="C6912">
        <v>979</v>
      </c>
      <c r="D6912">
        <v>10415</v>
      </c>
      <c r="E6912" t="s">
        <v>37</v>
      </c>
      <c r="F6912" t="s">
        <v>520</v>
      </c>
      <c r="G6912">
        <v>2</v>
      </c>
      <c r="H6912">
        <v>50</v>
      </c>
      <c r="I6912" s="25">
        <v>1840</v>
      </c>
      <c r="K6912" t="s">
        <v>420</v>
      </c>
      <c r="N6912" t="s">
        <v>44</v>
      </c>
      <c r="O6912">
        <v>113</v>
      </c>
      <c r="Q6912">
        <f t="shared" ref="Q6912:Q6974" si="123">SUM(S6912:AE6912)</f>
        <v>1</v>
      </c>
      <c r="R6912">
        <v>1</v>
      </c>
      <c r="S6912">
        <v>0</v>
      </c>
      <c r="T6912">
        <v>0</v>
      </c>
      <c r="U6912">
        <v>0</v>
      </c>
      <c r="V6912">
        <v>0</v>
      </c>
      <c r="W6912">
        <v>1</v>
      </c>
      <c r="X6912" s="21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f t="shared" si="122"/>
        <v>96</v>
      </c>
      <c r="AP6912" t="s">
        <v>1915</v>
      </c>
    </row>
    <row r="6913" spans="1:42">
      <c r="A6913" s="1">
        <v>43839</v>
      </c>
      <c r="B6913">
        <v>4</v>
      </c>
      <c r="C6913">
        <v>979</v>
      </c>
      <c r="D6913">
        <v>10415</v>
      </c>
      <c r="E6913" t="s">
        <v>37</v>
      </c>
      <c r="F6913" t="s">
        <v>520</v>
      </c>
      <c r="G6913">
        <v>2</v>
      </c>
      <c r="H6913">
        <v>51</v>
      </c>
      <c r="I6913" s="25">
        <v>1824</v>
      </c>
      <c r="K6913" t="s">
        <v>420</v>
      </c>
      <c r="N6913" t="s">
        <v>44</v>
      </c>
      <c r="O6913">
        <f>(60+60+60+28)/2</f>
        <v>104</v>
      </c>
      <c r="Q6913">
        <f t="shared" si="123"/>
        <v>1</v>
      </c>
      <c r="R6913">
        <v>1</v>
      </c>
      <c r="S6913">
        <v>0</v>
      </c>
      <c r="T6913">
        <v>0</v>
      </c>
      <c r="U6913">
        <v>0</v>
      </c>
      <c r="V6913">
        <v>0</v>
      </c>
      <c r="W6913">
        <v>1</v>
      </c>
      <c r="X6913" s="21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1</v>
      </c>
      <c r="AG6913">
        <v>0</v>
      </c>
      <c r="AH6913">
        <f t="shared" si="122"/>
        <v>96</v>
      </c>
      <c r="AP6913" t="s">
        <v>1915</v>
      </c>
    </row>
    <row r="6914" spans="1:42">
      <c r="A6914" s="1">
        <v>43839</v>
      </c>
      <c r="B6914">
        <v>4</v>
      </c>
      <c r="C6914">
        <v>979</v>
      </c>
      <c r="D6914">
        <v>10415</v>
      </c>
      <c r="E6914" t="s">
        <v>37</v>
      </c>
      <c r="F6914" t="s">
        <v>520</v>
      </c>
      <c r="G6914">
        <v>2</v>
      </c>
      <c r="H6914">
        <v>52</v>
      </c>
      <c r="I6914" s="25">
        <v>1808</v>
      </c>
      <c r="K6914" t="s">
        <v>420</v>
      </c>
      <c r="N6914" t="s">
        <v>44</v>
      </c>
      <c r="O6914">
        <v>104</v>
      </c>
      <c r="Q6914">
        <f t="shared" si="123"/>
        <v>1</v>
      </c>
      <c r="R6914">
        <v>1</v>
      </c>
      <c r="S6914">
        <v>0</v>
      </c>
      <c r="T6914">
        <v>0</v>
      </c>
      <c r="U6914">
        <v>0</v>
      </c>
      <c r="V6914">
        <v>0</v>
      </c>
      <c r="W6914">
        <v>1</v>
      </c>
      <c r="X6914" s="21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f t="shared" ref="AH6914:AH6974" si="124">(16*S6914)+(20*T6914)+(32*U6914)+(64*V6914)+(96*W6914)</f>
        <v>96</v>
      </c>
      <c r="AP6914" t="s">
        <v>1915</v>
      </c>
    </row>
    <row r="6915" spans="1:42">
      <c r="A6915" s="1">
        <v>43839</v>
      </c>
      <c r="B6915">
        <v>4</v>
      </c>
      <c r="C6915">
        <v>979</v>
      </c>
      <c r="D6915">
        <v>10415</v>
      </c>
      <c r="E6915" t="s">
        <v>37</v>
      </c>
      <c r="F6915" t="s">
        <v>520</v>
      </c>
      <c r="G6915">
        <v>2</v>
      </c>
      <c r="H6915">
        <v>53</v>
      </c>
      <c r="I6915" s="25">
        <v>1731</v>
      </c>
      <c r="K6915" t="s">
        <v>420</v>
      </c>
      <c r="N6915" t="s">
        <v>44</v>
      </c>
      <c r="O6915">
        <f>60+60+60+33</f>
        <v>213</v>
      </c>
      <c r="Q6915">
        <f t="shared" si="123"/>
        <v>1</v>
      </c>
      <c r="R6915">
        <v>1</v>
      </c>
      <c r="S6915">
        <v>0</v>
      </c>
      <c r="T6915">
        <v>0</v>
      </c>
      <c r="U6915">
        <v>0</v>
      </c>
      <c r="V6915">
        <v>0</v>
      </c>
      <c r="W6915">
        <v>1</v>
      </c>
      <c r="X6915" s="21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f t="shared" si="124"/>
        <v>96</v>
      </c>
      <c r="AL6915" t="s">
        <v>587</v>
      </c>
      <c r="AP6915" t="s">
        <v>1915</v>
      </c>
    </row>
    <row r="6916" spans="1:42">
      <c r="A6916" s="1">
        <v>43839</v>
      </c>
      <c r="B6916">
        <v>4</v>
      </c>
      <c r="C6916">
        <v>979</v>
      </c>
      <c r="D6916">
        <v>10415</v>
      </c>
      <c r="E6916" t="s">
        <v>37</v>
      </c>
      <c r="F6916" t="s">
        <v>520</v>
      </c>
      <c r="G6916">
        <v>2</v>
      </c>
      <c r="H6916">
        <v>54</v>
      </c>
      <c r="I6916" s="25">
        <v>1400</v>
      </c>
      <c r="K6916" t="s">
        <v>56</v>
      </c>
      <c r="N6916" t="s">
        <v>40</v>
      </c>
      <c r="O6916">
        <v>59</v>
      </c>
      <c r="Q6916">
        <f t="shared" si="123"/>
        <v>1</v>
      </c>
      <c r="R6916">
        <v>1</v>
      </c>
      <c r="S6916">
        <v>0</v>
      </c>
      <c r="T6916">
        <v>0</v>
      </c>
      <c r="U6916">
        <v>0</v>
      </c>
      <c r="V6916">
        <v>0</v>
      </c>
      <c r="W6916">
        <v>1</v>
      </c>
      <c r="X6916" s="21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f t="shared" si="124"/>
        <v>96</v>
      </c>
      <c r="AP6916" t="s">
        <v>1915</v>
      </c>
    </row>
    <row r="6917" spans="1:42">
      <c r="A6917" s="1">
        <v>43839</v>
      </c>
      <c r="B6917">
        <v>4</v>
      </c>
      <c r="C6917">
        <v>979</v>
      </c>
      <c r="D6917">
        <v>10415</v>
      </c>
      <c r="E6917" t="s">
        <v>37</v>
      </c>
      <c r="F6917" t="s">
        <v>520</v>
      </c>
      <c r="G6917">
        <v>2</v>
      </c>
      <c r="H6917">
        <v>55</v>
      </c>
      <c r="I6917" s="25">
        <v>1462</v>
      </c>
      <c r="K6917" t="s">
        <v>56</v>
      </c>
      <c r="N6917" t="s">
        <v>44</v>
      </c>
      <c r="O6917">
        <f>60+38</f>
        <v>98</v>
      </c>
      <c r="Q6917">
        <f t="shared" si="123"/>
        <v>1</v>
      </c>
      <c r="R6917">
        <v>1</v>
      </c>
      <c r="S6917">
        <v>0</v>
      </c>
      <c r="T6917">
        <v>0</v>
      </c>
      <c r="U6917">
        <v>0</v>
      </c>
      <c r="V6917">
        <v>0</v>
      </c>
      <c r="W6917">
        <v>1</v>
      </c>
      <c r="X6917" s="21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f t="shared" si="124"/>
        <v>96</v>
      </c>
      <c r="AL6917" t="s">
        <v>2110</v>
      </c>
      <c r="AP6917" t="s">
        <v>1915</v>
      </c>
    </row>
    <row r="6918" spans="1:42">
      <c r="A6918" s="1">
        <v>43839</v>
      </c>
      <c r="B6918">
        <v>4</v>
      </c>
      <c r="C6918">
        <v>979</v>
      </c>
      <c r="D6918">
        <v>10415</v>
      </c>
      <c r="E6918" t="s">
        <v>37</v>
      </c>
      <c r="F6918" t="s">
        <v>520</v>
      </c>
      <c r="G6918">
        <v>2</v>
      </c>
      <c r="H6918">
        <v>56</v>
      </c>
      <c r="I6918" s="25">
        <v>1512</v>
      </c>
      <c r="K6918" t="s">
        <v>56</v>
      </c>
      <c r="N6918" t="s">
        <v>44</v>
      </c>
      <c r="O6918">
        <v>96</v>
      </c>
      <c r="Q6918">
        <f t="shared" si="123"/>
        <v>1</v>
      </c>
      <c r="R6918">
        <v>1</v>
      </c>
      <c r="S6918">
        <v>0</v>
      </c>
      <c r="T6918">
        <v>0</v>
      </c>
      <c r="U6918">
        <v>0</v>
      </c>
      <c r="V6918">
        <v>0</v>
      </c>
      <c r="W6918">
        <v>1</v>
      </c>
      <c r="X6918" s="21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f t="shared" si="124"/>
        <v>96</v>
      </c>
      <c r="AP6918" t="s">
        <v>1915</v>
      </c>
    </row>
    <row r="6919" spans="1:42">
      <c r="A6919" s="1">
        <v>43839</v>
      </c>
      <c r="B6919">
        <v>4</v>
      </c>
      <c r="C6919">
        <v>979</v>
      </c>
      <c r="D6919">
        <v>10415</v>
      </c>
      <c r="E6919" t="s">
        <v>37</v>
      </c>
      <c r="F6919" t="s">
        <v>520</v>
      </c>
      <c r="G6919">
        <v>2</v>
      </c>
      <c r="H6919">
        <v>57</v>
      </c>
      <c r="I6919" s="25">
        <v>1520</v>
      </c>
      <c r="K6919" t="s">
        <v>56</v>
      </c>
      <c r="N6919" t="s">
        <v>44</v>
      </c>
      <c r="O6919">
        <v>97</v>
      </c>
      <c r="Q6919">
        <f t="shared" si="123"/>
        <v>1</v>
      </c>
      <c r="R6919">
        <v>1</v>
      </c>
      <c r="S6919">
        <v>0</v>
      </c>
      <c r="T6919">
        <v>0</v>
      </c>
      <c r="U6919">
        <v>0</v>
      </c>
      <c r="V6919">
        <v>0</v>
      </c>
      <c r="W6919">
        <v>1</v>
      </c>
      <c r="X6919" s="21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f t="shared" si="124"/>
        <v>96</v>
      </c>
      <c r="AP6919" t="s">
        <v>1915</v>
      </c>
    </row>
    <row r="6920" spans="1:42">
      <c r="A6920" s="1">
        <v>43839</v>
      </c>
      <c r="B6920">
        <v>4</v>
      </c>
      <c r="C6920">
        <v>979</v>
      </c>
      <c r="D6920">
        <v>10415</v>
      </c>
      <c r="E6920" t="s">
        <v>37</v>
      </c>
      <c r="F6920" t="s">
        <v>520</v>
      </c>
      <c r="G6920">
        <v>2</v>
      </c>
      <c r="H6920">
        <v>58</v>
      </c>
      <c r="I6920" s="25">
        <v>1500</v>
      </c>
      <c r="K6920" t="s">
        <v>56</v>
      </c>
      <c r="N6920" t="s">
        <v>40</v>
      </c>
      <c r="O6920">
        <v>45</v>
      </c>
      <c r="Q6920">
        <f t="shared" si="123"/>
        <v>1</v>
      </c>
      <c r="R6920">
        <v>1</v>
      </c>
      <c r="S6920">
        <v>0</v>
      </c>
      <c r="T6920">
        <v>0</v>
      </c>
      <c r="U6920">
        <v>0</v>
      </c>
      <c r="V6920">
        <v>0</v>
      </c>
      <c r="W6920">
        <v>1</v>
      </c>
      <c r="X6920" s="21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f t="shared" si="124"/>
        <v>96</v>
      </c>
      <c r="AP6920" t="s">
        <v>1915</v>
      </c>
    </row>
    <row r="6921" spans="1:42">
      <c r="A6921" s="1">
        <v>43839</v>
      </c>
      <c r="B6921">
        <v>4</v>
      </c>
      <c r="C6921">
        <v>979</v>
      </c>
      <c r="D6921">
        <v>10415</v>
      </c>
      <c r="E6921" t="s">
        <v>37</v>
      </c>
      <c r="F6921" t="s">
        <v>520</v>
      </c>
      <c r="G6921">
        <v>2</v>
      </c>
      <c r="H6921">
        <v>59</v>
      </c>
      <c r="I6921" s="25">
        <v>1572</v>
      </c>
      <c r="K6921" t="s">
        <v>56</v>
      </c>
      <c r="N6921" t="s">
        <v>44</v>
      </c>
      <c r="O6921">
        <f>60+47</f>
        <v>107</v>
      </c>
      <c r="Q6921">
        <f t="shared" si="123"/>
        <v>1</v>
      </c>
      <c r="R6921">
        <v>1</v>
      </c>
      <c r="S6921">
        <v>0</v>
      </c>
      <c r="T6921">
        <v>0</v>
      </c>
      <c r="U6921">
        <v>0</v>
      </c>
      <c r="V6921">
        <v>0</v>
      </c>
      <c r="W6921">
        <v>1</v>
      </c>
      <c r="X6921" s="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f t="shared" si="124"/>
        <v>96</v>
      </c>
      <c r="AP6921" t="s">
        <v>1915</v>
      </c>
    </row>
    <row r="6922" spans="1:42">
      <c r="A6922" s="1">
        <v>43839</v>
      </c>
      <c r="B6922">
        <v>4</v>
      </c>
      <c r="C6922">
        <v>979</v>
      </c>
      <c r="D6922">
        <v>10415</v>
      </c>
      <c r="E6922" t="s">
        <v>37</v>
      </c>
      <c r="F6922" t="s">
        <v>520</v>
      </c>
      <c r="G6922">
        <v>2</v>
      </c>
      <c r="H6922">
        <v>60</v>
      </c>
      <c r="I6922" s="25">
        <v>1500</v>
      </c>
      <c r="K6922" t="s">
        <v>414</v>
      </c>
      <c r="N6922" t="s">
        <v>40</v>
      </c>
      <c r="O6922">
        <v>46</v>
      </c>
      <c r="Q6922">
        <f t="shared" si="123"/>
        <v>1</v>
      </c>
      <c r="R6922">
        <v>1</v>
      </c>
      <c r="S6922">
        <v>0</v>
      </c>
      <c r="T6922">
        <v>0</v>
      </c>
      <c r="U6922">
        <v>0</v>
      </c>
      <c r="V6922">
        <v>0</v>
      </c>
      <c r="W6922">
        <v>1</v>
      </c>
      <c r="X6922" s="21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f t="shared" si="124"/>
        <v>96</v>
      </c>
      <c r="AP6922" t="s">
        <v>1915</v>
      </c>
    </row>
    <row r="6923" spans="1:42">
      <c r="A6923" s="1">
        <v>43839</v>
      </c>
      <c r="B6923">
        <v>4</v>
      </c>
      <c r="C6923">
        <v>979</v>
      </c>
      <c r="D6923">
        <v>10415</v>
      </c>
      <c r="E6923" t="s">
        <v>37</v>
      </c>
      <c r="F6923" t="s">
        <v>520</v>
      </c>
      <c r="G6923">
        <v>2</v>
      </c>
      <c r="H6923">
        <v>61</v>
      </c>
      <c r="I6923" s="25">
        <v>1500</v>
      </c>
      <c r="K6923" t="s">
        <v>414</v>
      </c>
      <c r="N6923" t="s">
        <v>40</v>
      </c>
      <c r="O6923">
        <v>49</v>
      </c>
      <c r="Q6923">
        <f t="shared" si="123"/>
        <v>1</v>
      </c>
      <c r="R6923">
        <v>1</v>
      </c>
      <c r="S6923">
        <v>0</v>
      </c>
      <c r="T6923">
        <v>0</v>
      </c>
      <c r="U6923">
        <v>0</v>
      </c>
      <c r="V6923">
        <v>0</v>
      </c>
      <c r="W6923">
        <v>1</v>
      </c>
      <c r="X6923" s="21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f t="shared" si="124"/>
        <v>96</v>
      </c>
      <c r="AP6923" t="s">
        <v>1915</v>
      </c>
    </row>
    <row r="6924" spans="1:42">
      <c r="A6924" s="1">
        <v>43839</v>
      </c>
      <c r="B6924">
        <v>4</v>
      </c>
      <c r="C6924">
        <v>979</v>
      </c>
      <c r="D6924">
        <v>10415</v>
      </c>
      <c r="E6924" t="s">
        <v>37</v>
      </c>
      <c r="F6924" t="s">
        <v>520</v>
      </c>
      <c r="G6924">
        <v>2</v>
      </c>
      <c r="H6924">
        <v>62</v>
      </c>
      <c r="I6924" s="25">
        <v>1500</v>
      </c>
      <c r="K6924" t="s">
        <v>414</v>
      </c>
      <c r="N6924" t="s">
        <v>40</v>
      </c>
      <c r="O6924">
        <f>60+47</f>
        <v>107</v>
      </c>
      <c r="Q6924">
        <f t="shared" si="123"/>
        <v>2</v>
      </c>
      <c r="R6924">
        <v>1</v>
      </c>
      <c r="S6924">
        <v>0</v>
      </c>
      <c r="T6924">
        <v>0</v>
      </c>
      <c r="U6924">
        <v>2</v>
      </c>
      <c r="V6924">
        <v>0</v>
      </c>
      <c r="W6924">
        <v>0</v>
      </c>
      <c r="X6924" s="21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f t="shared" si="124"/>
        <v>64</v>
      </c>
      <c r="AP6924" t="s">
        <v>1915</v>
      </c>
    </row>
    <row r="6925" spans="1:42">
      <c r="A6925" s="1">
        <v>43839</v>
      </c>
      <c r="B6925">
        <v>4</v>
      </c>
      <c r="C6925">
        <v>979</v>
      </c>
      <c r="D6925">
        <v>10415</v>
      </c>
      <c r="E6925" t="s">
        <v>37</v>
      </c>
      <c r="F6925" t="s">
        <v>520</v>
      </c>
      <c r="G6925">
        <v>2</v>
      </c>
      <c r="H6925">
        <v>63</v>
      </c>
      <c r="I6925" s="25">
        <v>1625</v>
      </c>
      <c r="K6925" t="s">
        <v>414</v>
      </c>
      <c r="N6925" t="s">
        <v>42</v>
      </c>
      <c r="O6925">
        <f>60+42</f>
        <v>102</v>
      </c>
      <c r="Q6925">
        <f t="shared" si="123"/>
        <v>2</v>
      </c>
      <c r="R6925">
        <v>1</v>
      </c>
      <c r="S6925">
        <v>0</v>
      </c>
      <c r="T6925">
        <v>0</v>
      </c>
      <c r="U6925">
        <v>1</v>
      </c>
      <c r="V6925">
        <v>1</v>
      </c>
      <c r="W6925">
        <v>0</v>
      </c>
      <c r="X6925" s="21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f t="shared" si="124"/>
        <v>96</v>
      </c>
      <c r="AP6925" t="s">
        <v>1915</v>
      </c>
    </row>
    <row r="6926" spans="1:42">
      <c r="A6926" s="1">
        <v>43839</v>
      </c>
      <c r="B6926">
        <v>4</v>
      </c>
      <c r="C6926">
        <v>979</v>
      </c>
      <c r="D6926">
        <v>10415</v>
      </c>
      <c r="E6926" t="s">
        <v>37</v>
      </c>
      <c r="F6926" t="s">
        <v>520</v>
      </c>
      <c r="G6926">
        <v>2</v>
      </c>
      <c r="H6926">
        <v>64</v>
      </c>
      <c r="I6926" s="25">
        <v>1700</v>
      </c>
      <c r="K6926" t="s">
        <v>414</v>
      </c>
      <c r="N6926" t="s">
        <v>40</v>
      </c>
      <c r="O6926">
        <f>60+6</f>
        <v>66</v>
      </c>
      <c r="Q6926">
        <f t="shared" si="123"/>
        <v>2</v>
      </c>
      <c r="R6926">
        <v>1</v>
      </c>
      <c r="S6926">
        <v>0</v>
      </c>
      <c r="T6926">
        <v>0</v>
      </c>
      <c r="U6926">
        <v>2</v>
      </c>
      <c r="V6926">
        <v>0</v>
      </c>
      <c r="W6926">
        <v>0</v>
      </c>
      <c r="X6926" s="21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f t="shared" si="124"/>
        <v>64</v>
      </c>
      <c r="AP6926" t="s">
        <v>1915</v>
      </c>
    </row>
    <row r="6927" spans="1:42">
      <c r="A6927" s="1">
        <v>43839</v>
      </c>
      <c r="B6927">
        <v>4</v>
      </c>
      <c r="C6927">
        <v>979</v>
      </c>
      <c r="D6927">
        <v>10415</v>
      </c>
      <c r="E6927" t="s">
        <v>37</v>
      </c>
      <c r="F6927" t="s">
        <v>520</v>
      </c>
      <c r="G6927">
        <v>2</v>
      </c>
      <c r="H6927">
        <v>65</v>
      </c>
      <c r="I6927" s="25">
        <v>1700</v>
      </c>
      <c r="K6927" t="s">
        <v>414</v>
      </c>
      <c r="N6927" t="s">
        <v>40</v>
      </c>
      <c r="O6927">
        <f>60+5</f>
        <v>65</v>
      </c>
      <c r="Q6927">
        <f t="shared" si="123"/>
        <v>2</v>
      </c>
      <c r="R6927">
        <v>1</v>
      </c>
      <c r="S6927">
        <v>0</v>
      </c>
      <c r="T6927">
        <v>0</v>
      </c>
      <c r="U6927">
        <v>0</v>
      </c>
      <c r="V6927">
        <v>0</v>
      </c>
      <c r="W6927">
        <v>2</v>
      </c>
      <c r="X6927" s="21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f t="shared" si="124"/>
        <v>192</v>
      </c>
      <c r="AP6927" t="s">
        <v>1915</v>
      </c>
    </row>
    <row r="6928" spans="1:42">
      <c r="A6928" s="1">
        <v>43839</v>
      </c>
      <c r="B6928">
        <v>4</v>
      </c>
      <c r="C6928">
        <v>979</v>
      </c>
      <c r="D6928">
        <v>10415</v>
      </c>
      <c r="E6928" t="s">
        <v>37</v>
      </c>
      <c r="F6928" t="s">
        <v>520</v>
      </c>
      <c r="G6928">
        <v>2</v>
      </c>
      <c r="H6928">
        <v>66</v>
      </c>
      <c r="I6928" s="25">
        <v>1600</v>
      </c>
      <c r="K6928" t="s">
        <v>605</v>
      </c>
      <c r="N6928" t="s">
        <v>40</v>
      </c>
      <c r="O6928">
        <f>60+60+19</f>
        <v>139</v>
      </c>
      <c r="Q6928">
        <f t="shared" si="123"/>
        <v>2</v>
      </c>
      <c r="R6928">
        <v>1</v>
      </c>
      <c r="S6928">
        <v>0</v>
      </c>
      <c r="T6928">
        <v>0</v>
      </c>
      <c r="U6928">
        <v>0</v>
      </c>
      <c r="V6928">
        <v>0</v>
      </c>
      <c r="W6928">
        <v>2</v>
      </c>
      <c r="X6928" s="21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f t="shared" si="124"/>
        <v>192</v>
      </c>
      <c r="AP6928" t="s">
        <v>1915</v>
      </c>
    </row>
    <row r="6929" spans="1:42">
      <c r="A6929" s="1">
        <v>43839</v>
      </c>
      <c r="B6929">
        <v>4</v>
      </c>
      <c r="C6929">
        <v>979</v>
      </c>
      <c r="D6929">
        <v>10415</v>
      </c>
      <c r="E6929" t="s">
        <v>37</v>
      </c>
      <c r="F6929" t="s">
        <v>520</v>
      </c>
      <c r="G6929">
        <v>2</v>
      </c>
      <c r="H6929">
        <v>67</v>
      </c>
      <c r="I6929" s="25">
        <v>1868</v>
      </c>
      <c r="K6929" t="s">
        <v>415</v>
      </c>
      <c r="N6929" t="s">
        <v>44</v>
      </c>
      <c r="O6929">
        <f>60+57</f>
        <v>117</v>
      </c>
      <c r="Q6929">
        <f t="shared" si="123"/>
        <v>2</v>
      </c>
      <c r="R6929">
        <v>1</v>
      </c>
      <c r="S6929">
        <v>0</v>
      </c>
      <c r="T6929">
        <v>0</v>
      </c>
      <c r="U6929">
        <v>0</v>
      </c>
      <c r="V6929">
        <v>0</v>
      </c>
      <c r="W6929">
        <v>2</v>
      </c>
      <c r="X6929" s="21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f t="shared" si="124"/>
        <v>192</v>
      </c>
      <c r="AP6929" t="s">
        <v>1915</v>
      </c>
    </row>
    <row r="6930" spans="1:42">
      <c r="A6930" s="1">
        <v>43839</v>
      </c>
      <c r="B6930">
        <v>4</v>
      </c>
      <c r="C6930">
        <v>979</v>
      </c>
      <c r="D6930">
        <v>10415</v>
      </c>
      <c r="E6930" t="s">
        <v>37</v>
      </c>
      <c r="F6930" t="s">
        <v>520</v>
      </c>
      <c r="G6930">
        <v>2</v>
      </c>
      <c r="H6930">
        <v>68</v>
      </c>
      <c r="I6930" s="25">
        <v>1758</v>
      </c>
      <c r="K6930" t="s">
        <v>516</v>
      </c>
      <c r="N6930" t="s">
        <v>44</v>
      </c>
      <c r="O6930">
        <f>60+60+60+2</f>
        <v>182</v>
      </c>
      <c r="Q6930">
        <f t="shared" si="123"/>
        <v>2</v>
      </c>
      <c r="R6930">
        <v>1</v>
      </c>
      <c r="S6930">
        <v>0</v>
      </c>
      <c r="T6930">
        <v>0</v>
      </c>
      <c r="U6930">
        <v>0</v>
      </c>
      <c r="V6930">
        <v>0</v>
      </c>
      <c r="W6930">
        <v>2</v>
      </c>
      <c r="X6930" s="21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f t="shared" si="124"/>
        <v>192</v>
      </c>
      <c r="AP6930" t="s">
        <v>1915</v>
      </c>
    </row>
    <row r="6931" spans="1:42">
      <c r="A6931" s="1">
        <v>43839</v>
      </c>
      <c r="B6931">
        <v>4</v>
      </c>
      <c r="C6931">
        <v>979</v>
      </c>
      <c r="D6931">
        <v>10415</v>
      </c>
      <c r="E6931" t="s">
        <v>37</v>
      </c>
      <c r="F6931" t="s">
        <v>520</v>
      </c>
      <c r="G6931">
        <v>2</v>
      </c>
      <c r="H6931">
        <v>69</v>
      </c>
      <c r="I6931" s="25">
        <v>1745</v>
      </c>
      <c r="K6931" t="s">
        <v>516</v>
      </c>
      <c r="N6931" t="s">
        <v>44</v>
      </c>
      <c r="O6931">
        <f>(60+60+60+60+60+44)/4</f>
        <v>86</v>
      </c>
      <c r="Q6931">
        <f t="shared" si="123"/>
        <v>1</v>
      </c>
      <c r="R6931">
        <v>1</v>
      </c>
      <c r="S6931">
        <v>0</v>
      </c>
      <c r="T6931">
        <v>0</v>
      </c>
      <c r="U6931">
        <v>0</v>
      </c>
      <c r="V6931">
        <v>0</v>
      </c>
      <c r="W6931">
        <v>1</v>
      </c>
      <c r="X6931" s="2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f t="shared" si="124"/>
        <v>96</v>
      </c>
      <c r="AP6931" t="s">
        <v>1915</v>
      </c>
    </row>
    <row r="6932" spans="1:42">
      <c r="A6932" s="1">
        <v>43839</v>
      </c>
      <c r="B6932">
        <v>4</v>
      </c>
      <c r="C6932">
        <v>979</v>
      </c>
      <c r="D6932">
        <v>10415</v>
      </c>
      <c r="E6932" t="s">
        <v>37</v>
      </c>
      <c r="F6932" t="s">
        <v>520</v>
      </c>
      <c r="G6932">
        <v>2</v>
      </c>
      <c r="H6932">
        <v>70</v>
      </c>
      <c r="I6932" s="25">
        <v>1753</v>
      </c>
      <c r="K6932" t="s">
        <v>516</v>
      </c>
      <c r="N6932" t="s">
        <v>44</v>
      </c>
      <c r="O6932">
        <v>86</v>
      </c>
      <c r="Q6932">
        <f t="shared" si="123"/>
        <v>1</v>
      </c>
      <c r="R6932">
        <v>1</v>
      </c>
      <c r="S6932">
        <v>0</v>
      </c>
      <c r="T6932">
        <v>0</v>
      </c>
      <c r="U6932">
        <v>0</v>
      </c>
      <c r="V6932">
        <v>0</v>
      </c>
      <c r="W6932">
        <v>1</v>
      </c>
      <c r="X6932" s="21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f t="shared" si="124"/>
        <v>96</v>
      </c>
      <c r="AP6932" t="s">
        <v>1915</v>
      </c>
    </row>
    <row r="6933" spans="1:42">
      <c r="A6933" s="1">
        <v>43839</v>
      </c>
      <c r="B6933">
        <v>4</v>
      </c>
      <c r="C6933">
        <v>979</v>
      </c>
      <c r="D6933">
        <v>10415</v>
      </c>
      <c r="E6933" t="s">
        <v>37</v>
      </c>
      <c r="F6933" t="s">
        <v>520</v>
      </c>
      <c r="G6933">
        <v>2</v>
      </c>
      <c r="H6933">
        <v>71</v>
      </c>
      <c r="I6933" s="25">
        <v>1739</v>
      </c>
      <c r="K6933" t="s">
        <v>516</v>
      </c>
      <c r="N6933" t="s">
        <v>44</v>
      </c>
      <c r="O6933">
        <v>86</v>
      </c>
      <c r="Q6933">
        <f t="shared" si="123"/>
        <v>1</v>
      </c>
      <c r="R6933">
        <v>1</v>
      </c>
      <c r="S6933">
        <v>0</v>
      </c>
      <c r="T6933">
        <v>0</v>
      </c>
      <c r="U6933">
        <v>0</v>
      </c>
      <c r="V6933">
        <v>0</v>
      </c>
      <c r="W6933">
        <v>1</v>
      </c>
      <c r="X6933" s="21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f t="shared" si="124"/>
        <v>96</v>
      </c>
      <c r="AP6933" t="s">
        <v>1915</v>
      </c>
    </row>
    <row r="6934" spans="1:42">
      <c r="A6934" s="1">
        <v>43839</v>
      </c>
      <c r="B6934">
        <v>4</v>
      </c>
      <c r="C6934">
        <v>979</v>
      </c>
      <c r="D6934">
        <v>10415</v>
      </c>
      <c r="E6934" t="s">
        <v>37</v>
      </c>
      <c r="F6934" t="s">
        <v>520</v>
      </c>
      <c r="G6934">
        <v>2</v>
      </c>
      <c r="H6934">
        <v>72</v>
      </c>
      <c r="I6934" s="25">
        <v>1700</v>
      </c>
      <c r="K6934" t="s">
        <v>516</v>
      </c>
      <c r="N6934" t="s">
        <v>44</v>
      </c>
      <c r="O6934">
        <v>86</v>
      </c>
      <c r="Q6934">
        <f t="shared" si="123"/>
        <v>2</v>
      </c>
      <c r="R6934">
        <v>1</v>
      </c>
      <c r="S6934">
        <v>0</v>
      </c>
      <c r="T6934">
        <v>0</v>
      </c>
      <c r="U6934">
        <v>0</v>
      </c>
      <c r="V6934">
        <v>2</v>
      </c>
      <c r="W6934">
        <v>0</v>
      </c>
      <c r="X6934" s="21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f t="shared" si="124"/>
        <v>128</v>
      </c>
      <c r="AP6934" t="s">
        <v>1915</v>
      </c>
    </row>
    <row r="6935" spans="1:42">
      <c r="A6935" s="1">
        <v>43839</v>
      </c>
      <c r="B6935">
        <v>4</v>
      </c>
      <c r="C6935">
        <v>979</v>
      </c>
      <c r="D6935">
        <v>10415</v>
      </c>
      <c r="E6935" t="s">
        <v>37</v>
      </c>
      <c r="F6935" t="s">
        <v>520</v>
      </c>
      <c r="G6935">
        <v>2</v>
      </c>
      <c r="H6935">
        <v>73</v>
      </c>
      <c r="I6935" s="25">
        <v>1757</v>
      </c>
      <c r="K6935" t="s">
        <v>420</v>
      </c>
      <c r="N6935" t="s">
        <v>44</v>
      </c>
      <c r="O6935">
        <f>60+60+60+12</f>
        <v>192</v>
      </c>
      <c r="Q6935">
        <f t="shared" si="123"/>
        <v>2</v>
      </c>
      <c r="R6935">
        <v>1</v>
      </c>
      <c r="S6935">
        <v>0</v>
      </c>
      <c r="T6935">
        <v>0</v>
      </c>
      <c r="U6935">
        <v>0</v>
      </c>
      <c r="V6935">
        <v>0</v>
      </c>
      <c r="W6935">
        <v>2</v>
      </c>
      <c r="X6935" s="21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f t="shared" si="124"/>
        <v>192</v>
      </c>
      <c r="AL6935" t="s">
        <v>2111</v>
      </c>
      <c r="AP6935" t="s">
        <v>1915</v>
      </c>
    </row>
    <row r="6936" spans="1:42">
      <c r="A6936" s="1">
        <v>43839</v>
      </c>
      <c r="B6936">
        <v>4</v>
      </c>
      <c r="C6936">
        <v>979</v>
      </c>
      <c r="D6936">
        <v>10415</v>
      </c>
      <c r="E6936" t="s">
        <v>37</v>
      </c>
      <c r="F6936" t="s">
        <v>520</v>
      </c>
      <c r="G6936">
        <v>2</v>
      </c>
      <c r="H6936">
        <v>74</v>
      </c>
      <c r="I6936" s="25">
        <v>1510</v>
      </c>
      <c r="K6936" t="s">
        <v>647</v>
      </c>
      <c r="N6936" t="s">
        <v>44</v>
      </c>
      <c r="O6936">
        <v>142</v>
      </c>
      <c r="Q6936">
        <f t="shared" si="123"/>
        <v>1</v>
      </c>
      <c r="R6936">
        <v>1</v>
      </c>
      <c r="S6936">
        <v>0</v>
      </c>
      <c r="T6936">
        <v>0</v>
      </c>
      <c r="U6936">
        <v>0</v>
      </c>
      <c r="V6936">
        <v>0</v>
      </c>
      <c r="W6936">
        <v>1</v>
      </c>
      <c r="X6936" s="21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f t="shared" si="124"/>
        <v>96</v>
      </c>
      <c r="AL6936" t="s">
        <v>2112</v>
      </c>
      <c r="AP6936" t="s">
        <v>1915</v>
      </c>
    </row>
    <row r="6937" spans="1:42">
      <c r="A6937" s="1">
        <v>43839</v>
      </c>
      <c r="B6937">
        <v>4</v>
      </c>
      <c r="C6937">
        <v>979</v>
      </c>
      <c r="D6937">
        <v>10415</v>
      </c>
      <c r="E6937" t="s">
        <v>37</v>
      </c>
      <c r="F6937" t="s">
        <v>520</v>
      </c>
      <c r="G6937">
        <v>2</v>
      </c>
      <c r="H6937">
        <v>75</v>
      </c>
      <c r="I6937" s="25">
        <v>1514</v>
      </c>
      <c r="K6937" t="s">
        <v>647</v>
      </c>
      <c r="N6937" t="s">
        <v>44</v>
      </c>
      <c r="O6937">
        <v>156</v>
      </c>
      <c r="Q6937">
        <f t="shared" si="123"/>
        <v>2</v>
      </c>
      <c r="R6937">
        <v>1</v>
      </c>
      <c r="S6937">
        <v>0</v>
      </c>
      <c r="T6937">
        <v>0</v>
      </c>
      <c r="U6937">
        <v>0</v>
      </c>
      <c r="V6937">
        <v>1</v>
      </c>
      <c r="W6937">
        <v>1</v>
      </c>
      <c r="X6937" s="21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f t="shared" si="124"/>
        <v>160</v>
      </c>
      <c r="AL6937" t="s">
        <v>1957</v>
      </c>
      <c r="AP6937" t="s">
        <v>1915</v>
      </c>
    </row>
    <row r="6938" spans="1:42">
      <c r="A6938" s="1">
        <v>43839</v>
      </c>
      <c r="B6938">
        <v>4</v>
      </c>
      <c r="C6938">
        <v>979</v>
      </c>
      <c r="D6938">
        <v>10415</v>
      </c>
      <c r="E6938" t="s">
        <v>37</v>
      </c>
      <c r="F6938" t="s">
        <v>520</v>
      </c>
      <c r="G6938">
        <v>2</v>
      </c>
      <c r="H6938">
        <v>76</v>
      </c>
      <c r="I6938" s="25">
        <v>1524</v>
      </c>
      <c r="K6938" t="s">
        <v>647</v>
      </c>
      <c r="N6938" t="s">
        <v>44</v>
      </c>
      <c r="O6938">
        <v>168</v>
      </c>
      <c r="Q6938">
        <f t="shared" si="123"/>
        <v>1</v>
      </c>
      <c r="R6938">
        <v>1</v>
      </c>
      <c r="S6938">
        <v>0</v>
      </c>
      <c r="T6938">
        <v>0</v>
      </c>
      <c r="U6938">
        <v>0</v>
      </c>
      <c r="V6938">
        <v>0</v>
      </c>
      <c r="W6938">
        <v>1</v>
      </c>
      <c r="X6938" s="21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f t="shared" si="124"/>
        <v>96</v>
      </c>
      <c r="AL6938" t="s">
        <v>2111</v>
      </c>
      <c r="AP6938" t="s">
        <v>1915</v>
      </c>
    </row>
    <row r="6939" spans="1:42">
      <c r="A6939" s="1">
        <v>43839</v>
      </c>
      <c r="B6939">
        <v>4</v>
      </c>
      <c r="C6939">
        <v>979</v>
      </c>
      <c r="D6939">
        <v>10415</v>
      </c>
      <c r="E6939" t="s">
        <v>37</v>
      </c>
      <c r="F6939" t="s">
        <v>520</v>
      </c>
      <c r="G6939">
        <v>2</v>
      </c>
      <c r="H6939">
        <v>77</v>
      </c>
      <c r="I6939" s="25" t="s">
        <v>2113</v>
      </c>
      <c r="K6939" t="s">
        <v>647</v>
      </c>
      <c r="N6939" t="s">
        <v>42</v>
      </c>
      <c r="P6939">
        <f>(60*21)+40</f>
        <v>1300</v>
      </c>
      <c r="Q6939">
        <f t="shared" si="123"/>
        <v>16</v>
      </c>
      <c r="R6939">
        <v>1</v>
      </c>
      <c r="S6939">
        <v>0</v>
      </c>
      <c r="T6939">
        <v>0</v>
      </c>
      <c r="U6939">
        <v>4</v>
      </c>
      <c r="V6939">
        <v>2</v>
      </c>
      <c r="W6939">
        <v>10</v>
      </c>
      <c r="X6939" s="21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1</v>
      </c>
      <c r="AG6939">
        <v>0</v>
      </c>
      <c r="AH6939">
        <f t="shared" si="124"/>
        <v>1216</v>
      </c>
      <c r="AP6939" t="s">
        <v>1915</v>
      </c>
    </row>
    <row r="6940" spans="1:42">
      <c r="A6940" s="1">
        <v>43839</v>
      </c>
      <c r="B6940">
        <v>4</v>
      </c>
      <c r="C6940">
        <v>979</v>
      </c>
      <c r="D6940">
        <v>10415</v>
      </c>
      <c r="E6940" t="s">
        <v>37</v>
      </c>
      <c r="F6940" t="s">
        <v>520</v>
      </c>
      <c r="G6940">
        <v>2</v>
      </c>
      <c r="H6940">
        <v>78</v>
      </c>
      <c r="I6940" s="25">
        <v>1631</v>
      </c>
      <c r="K6940" t="s">
        <v>647</v>
      </c>
      <c r="N6940" t="s">
        <v>44</v>
      </c>
      <c r="O6940">
        <f>(60*4)+10</f>
        <v>250</v>
      </c>
      <c r="Q6940">
        <f t="shared" si="123"/>
        <v>2</v>
      </c>
      <c r="R6940">
        <v>1</v>
      </c>
      <c r="S6940">
        <v>0</v>
      </c>
      <c r="T6940">
        <v>0</v>
      </c>
      <c r="U6940">
        <v>0</v>
      </c>
      <c r="V6940">
        <v>0</v>
      </c>
      <c r="W6940">
        <v>2</v>
      </c>
      <c r="X6940" s="21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f t="shared" si="124"/>
        <v>192</v>
      </c>
      <c r="AP6940" t="s">
        <v>1915</v>
      </c>
    </row>
    <row r="6941" spans="1:42">
      <c r="A6941" s="1">
        <v>43839</v>
      </c>
      <c r="B6941">
        <v>4</v>
      </c>
      <c r="C6941">
        <v>979</v>
      </c>
      <c r="D6941">
        <v>10415</v>
      </c>
      <c r="E6941" t="s">
        <v>37</v>
      </c>
      <c r="F6941" t="s">
        <v>520</v>
      </c>
      <c r="G6941">
        <v>2</v>
      </c>
      <c r="H6941">
        <v>79</v>
      </c>
      <c r="I6941" s="25">
        <v>1615</v>
      </c>
      <c r="K6941" t="s">
        <v>647</v>
      </c>
      <c r="N6941" t="s">
        <v>44</v>
      </c>
      <c r="O6941">
        <v>243</v>
      </c>
      <c r="Q6941">
        <f t="shared" si="123"/>
        <v>1</v>
      </c>
      <c r="R6941">
        <v>1</v>
      </c>
      <c r="S6941">
        <v>0</v>
      </c>
      <c r="T6941">
        <v>0</v>
      </c>
      <c r="U6941">
        <v>0</v>
      </c>
      <c r="V6941">
        <v>0</v>
      </c>
      <c r="W6941">
        <v>1</v>
      </c>
      <c r="X6941" s="2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f t="shared" si="124"/>
        <v>96</v>
      </c>
      <c r="AP6941" t="s">
        <v>1915</v>
      </c>
    </row>
    <row r="6942" spans="1:42">
      <c r="A6942" s="1">
        <v>43839</v>
      </c>
      <c r="B6942">
        <v>4</v>
      </c>
      <c r="C6942">
        <v>979</v>
      </c>
      <c r="D6942">
        <v>10415</v>
      </c>
      <c r="E6942" t="s">
        <v>37</v>
      </c>
      <c r="F6942" t="s">
        <v>520</v>
      </c>
      <c r="G6942">
        <v>2</v>
      </c>
      <c r="H6942">
        <v>80</v>
      </c>
      <c r="I6942" s="25">
        <v>1750</v>
      </c>
      <c r="K6942" t="s">
        <v>516</v>
      </c>
      <c r="N6942" t="s">
        <v>44</v>
      </c>
      <c r="O6942">
        <f>(60*4)+24</f>
        <v>264</v>
      </c>
      <c r="Q6942">
        <f t="shared" si="123"/>
        <v>1</v>
      </c>
      <c r="R6942">
        <v>1</v>
      </c>
      <c r="S6942">
        <v>0</v>
      </c>
      <c r="T6942">
        <v>0</v>
      </c>
      <c r="U6942">
        <v>0</v>
      </c>
      <c r="V6942">
        <v>0</v>
      </c>
      <c r="W6942">
        <v>1</v>
      </c>
      <c r="X6942" s="21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f t="shared" si="124"/>
        <v>96</v>
      </c>
      <c r="AP6942" t="s">
        <v>1915</v>
      </c>
    </row>
    <row r="6943" spans="1:42">
      <c r="A6943" s="1">
        <v>43839</v>
      </c>
      <c r="B6943">
        <v>4</v>
      </c>
      <c r="C6943">
        <v>979</v>
      </c>
      <c r="D6943">
        <v>10415</v>
      </c>
      <c r="E6943" t="s">
        <v>37</v>
      </c>
      <c r="F6943" t="s">
        <v>520</v>
      </c>
      <c r="G6943">
        <v>2</v>
      </c>
      <c r="H6943">
        <v>81</v>
      </c>
      <c r="I6943" s="25">
        <v>1740</v>
      </c>
      <c r="K6943" t="s">
        <v>2114</v>
      </c>
      <c r="N6943" t="s">
        <v>44</v>
      </c>
      <c r="O6943">
        <v>248</v>
      </c>
      <c r="Q6943">
        <f t="shared" si="123"/>
        <v>1</v>
      </c>
      <c r="R6943">
        <v>1</v>
      </c>
      <c r="S6943">
        <v>0</v>
      </c>
      <c r="T6943">
        <v>0</v>
      </c>
      <c r="U6943">
        <v>0</v>
      </c>
      <c r="V6943">
        <v>0</v>
      </c>
      <c r="W6943">
        <v>1</v>
      </c>
      <c r="X6943" s="21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f t="shared" si="124"/>
        <v>96</v>
      </c>
      <c r="AP6943" t="s">
        <v>1915</v>
      </c>
    </row>
    <row r="6944" spans="1:42">
      <c r="A6944" s="1">
        <v>43839</v>
      </c>
      <c r="B6944">
        <v>4</v>
      </c>
      <c r="C6944">
        <v>979</v>
      </c>
      <c r="D6944">
        <v>10415</v>
      </c>
      <c r="E6944" t="s">
        <v>37</v>
      </c>
      <c r="F6944" t="s">
        <v>520</v>
      </c>
      <c r="G6944">
        <v>2</v>
      </c>
      <c r="H6944">
        <v>82</v>
      </c>
      <c r="I6944" s="25">
        <v>1720</v>
      </c>
      <c r="K6944" t="s">
        <v>516</v>
      </c>
      <c r="N6944" t="s">
        <v>44</v>
      </c>
      <c r="O6944">
        <f>((60*6)+36)/3</f>
        <v>132</v>
      </c>
      <c r="Q6944">
        <f t="shared" si="123"/>
        <v>1</v>
      </c>
      <c r="R6944">
        <v>1</v>
      </c>
      <c r="S6944">
        <v>0</v>
      </c>
      <c r="T6944">
        <v>0</v>
      </c>
      <c r="U6944">
        <v>0</v>
      </c>
      <c r="V6944">
        <v>0</v>
      </c>
      <c r="W6944">
        <v>1</v>
      </c>
      <c r="X6944" s="21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f t="shared" si="124"/>
        <v>96</v>
      </c>
      <c r="AP6944" t="s">
        <v>1915</v>
      </c>
    </row>
    <row r="6945" spans="1:42">
      <c r="A6945" s="1">
        <v>43839</v>
      </c>
      <c r="B6945">
        <v>4</v>
      </c>
      <c r="C6945">
        <v>979</v>
      </c>
      <c r="D6945">
        <v>10415</v>
      </c>
      <c r="E6945" t="s">
        <v>37</v>
      </c>
      <c r="F6945" t="s">
        <v>520</v>
      </c>
      <c r="G6945">
        <v>2</v>
      </c>
      <c r="H6945">
        <v>83</v>
      </c>
      <c r="I6945" s="25">
        <v>1732</v>
      </c>
      <c r="K6945" t="s">
        <v>516</v>
      </c>
      <c r="N6945" t="s">
        <v>44</v>
      </c>
      <c r="O6945">
        <v>114</v>
      </c>
      <c r="Q6945">
        <f t="shared" si="123"/>
        <v>1</v>
      </c>
      <c r="R6945">
        <v>1</v>
      </c>
      <c r="S6945">
        <v>0</v>
      </c>
      <c r="T6945">
        <v>0</v>
      </c>
      <c r="U6945">
        <v>0</v>
      </c>
      <c r="V6945">
        <v>0</v>
      </c>
      <c r="W6945">
        <v>1</v>
      </c>
      <c r="X6945" s="21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f t="shared" si="124"/>
        <v>96</v>
      </c>
      <c r="AP6945" t="s">
        <v>1915</v>
      </c>
    </row>
    <row r="6946" spans="1:42">
      <c r="A6946" s="1">
        <v>43839</v>
      </c>
      <c r="B6946">
        <v>4</v>
      </c>
      <c r="C6946">
        <v>979</v>
      </c>
      <c r="D6946">
        <v>10415</v>
      </c>
      <c r="E6946" t="s">
        <v>37</v>
      </c>
      <c r="F6946" t="s">
        <v>520</v>
      </c>
      <c r="G6946">
        <v>2</v>
      </c>
      <c r="H6946">
        <v>84</v>
      </c>
      <c r="I6946" s="25">
        <v>1725</v>
      </c>
      <c r="K6946" t="s">
        <v>516</v>
      </c>
      <c r="N6946" t="s">
        <v>44</v>
      </c>
      <c r="O6946">
        <v>128</v>
      </c>
      <c r="Q6946">
        <f t="shared" si="123"/>
        <v>1</v>
      </c>
      <c r="R6946">
        <v>1</v>
      </c>
      <c r="S6946">
        <v>0</v>
      </c>
      <c r="T6946">
        <v>0</v>
      </c>
      <c r="U6946">
        <v>0</v>
      </c>
      <c r="V6946">
        <v>0</v>
      </c>
      <c r="W6946">
        <v>1</v>
      </c>
      <c r="X6946" s="21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f t="shared" si="124"/>
        <v>96</v>
      </c>
      <c r="AL6946" t="s">
        <v>587</v>
      </c>
      <c r="AP6946" t="s">
        <v>1915</v>
      </c>
    </row>
    <row r="6947" spans="1:42">
      <c r="A6947" s="1">
        <v>43839</v>
      </c>
      <c r="B6947">
        <v>4</v>
      </c>
      <c r="C6947">
        <v>979</v>
      </c>
      <c r="D6947">
        <v>10415</v>
      </c>
      <c r="E6947" t="s">
        <v>37</v>
      </c>
      <c r="F6947" t="s">
        <v>520</v>
      </c>
      <c r="G6947">
        <v>2</v>
      </c>
      <c r="H6947">
        <v>85</v>
      </c>
      <c r="I6947" s="25">
        <v>1702</v>
      </c>
      <c r="K6947" t="s">
        <v>516</v>
      </c>
      <c r="N6947" t="s">
        <v>44</v>
      </c>
      <c r="O6947">
        <f>60+60+56</f>
        <v>176</v>
      </c>
      <c r="Q6947">
        <f t="shared" si="123"/>
        <v>3</v>
      </c>
      <c r="R6947">
        <v>1</v>
      </c>
      <c r="S6947">
        <v>0</v>
      </c>
      <c r="T6947">
        <v>0</v>
      </c>
      <c r="U6947">
        <v>0</v>
      </c>
      <c r="V6947">
        <v>0</v>
      </c>
      <c r="W6947">
        <v>3</v>
      </c>
      <c r="X6947" s="21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f t="shared" si="124"/>
        <v>288</v>
      </c>
      <c r="AP6947" t="s">
        <v>1915</v>
      </c>
    </row>
    <row r="6948" spans="1:42">
      <c r="A6948" s="1">
        <v>43839</v>
      </c>
      <c r="B6948">
        <v>4</v>
      </c>
      <c r="C6948">
        <v>979</v>
      </c>
      <c r="D6948">
        <v>10415</v>
      </c>
      <c r="E6948" t="s">
        <v>37</v>
      </c>
      <c r="F6948" t="s">
        <v>520</v>
      </c>
      <c r="G6948">
        <v>2</v>
      </c>
      <c r="H6948">
        <v>86</v>
      </c>
      <c r="I6948" s="25">
        <v>1700</v>
      </c>
      <c r="K6948" t="s">
        <v>414</v>
      </c>
      <c r="N6948" t="s">
        <v>40</v>
      </c>
      <c r="O6948">
        <v>54</v>
      </c>
      <c r="Q6948">
        <f t="shared" si="123"/>
        <v>1</v>
      </c>
      <c r="R6948">
        <v>1</v>
      </c>
      <c r="S6948">
        <v>0</v>
      </c>
      <c r="T6948">
        <v>0</v>
      </c>
      <c r="U6948">
        <v>1</v>
      </c>
      <c r="V6948">
        <v>0</v>
      </c>
      <c r="W6948">
        <v>0</v>
      </c>
      <c r="X6948" s="21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f t="shared" si="124"/>
        <v>32</v>
      </c>
      <c r="AP6948" t="s">
        <v>1915</v>
      </c>
    </row>
    <row r="6949" spans="1:42">
      <c r="A6949" s="1">
        <v>43839</v>
      </c>
      <c r="B6949">
        <v>4</v>
      </c>
      <c r="C6949">
        <v>979</v>
      </c>
      <c r="D6949">
        <v>10415</v>
      </c>
      <c r="E6949" t="s">
        <v>37</v>
      </c>
      <c r="F6949" t="s">
        <v>520</v>
      </c>
      <c r="G6949">
        <v>2</v>
      </c>
      <c r="H6949">
        <v>87</v>
      </c>
      <c r="I6949" s="25">
        <v>1600</v>
      </c>
      <c r="K6949" t="s">
        <v>414</v>
      </c>
      <c r="N6949" t="s">
        <v>40</v>
      </c>
      <c r="O6949">
        <v>48</v>
      </c>
      <c r="Q6949">
        <f t="shared" si="123"/>
        <v>2</v>
      </c>
      <c r="R6949">
        <v>1</v>
      </c>
      <c r="S6949">
        <v>0</v>
      </c>
      <c r="T6949">
        <v>0</v>
      </c>
      <c r="U6949">
        <v>2</v>
      </c>
      <c r="V6949">
        <v>0</v>
      </c>
      <c r="W6949">
        <v>0</v>
      </c>
      <c r="X6949" s="21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f t="shared" si="124"/>
        <v>64</v>
      </c>
      <c r="AP6949" t="s">
        <v>1915</v>
      </c>
    </row>
    <row r="6950" spans="1:42">
      <c r="A6950" s="1">
        <v>43839</v>
      </c>
      <c r="B6950">
        <v>4</v>
      </c>
      <c r="C6950">
        <v>979</v>
      </c>
      <c r="D6950">
        <v>10415</v>
      </c>
      <c r="E6950" t="s">
        <v>37</v>
      </c>
      <c r="F6950" t="s">
        <v>520</v>
      </c>
      <c r="G6950">
        <v>2</v>
      </c>
      <c r="H6950">
        <v>88</v>
      </c>
      <c r="I6950" s="25">
        <v>1600</v>
      </c>
      <c r="K6950" t="s">
        <v>414</v>
      </c>
      <c r="N6950" t="s">
        <v>40</v>
      </c>
      <c r="O6950">
        <v>34</v>
      </c>
      <c r="Q6950">
        <f t="shared" si="123"/>
        <v>1</v>
      </c>
      <c r="R6950">
        <v>1</v>
      </c>
      <c r="S6950">
        <v>0</v>
      </c>
      <c r="T6950">
        <v>0</v>
      </c>
      <c r="U6950">
        <v>1</v>
      </c>
      <c r="V6950">
        <v>0</v>
      </c>
      <c r="W6950">
        <v>0</v>
      </c>
      <c r="X6950" s="21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f t="shared" si="124"/>
        <v>32</v>
      </c>
      <c r="AP6950" t="s">
        <v>1915</v>
      </c>
    </row>
    <row r="6951" spans="1:42">
      <c r="A6951" s="1">
        <v>43839</v>
      </c>
      <c r="B6951">
        <v>4</v>
      </c>
      <c r="C6951">
        <v>979</v>
      </c>
      <c r="D6951">
        <v>10415</v>
      </c>
      <c r="E6951" t="s">
        <v>37</v>
      </c>
      <c r="F6951" t="s">
        <v>520</v>
      </c>
      <c r="G6951">
        <v>2</v>
      </c>
      <c r="H6951">
        <v>89</v>
      </c>
      <c r="I6951" s="25">
        <v>1700</v>
      </c>
      <c r="K6951" t="s">
        <v>62</v>
      </c>
      <c r="N6951" t="s">
        <v>40</v>
      </c>
      <c r="O6951">
        <v>61</v>
      </c>
      <c r="Q6951">
        <f t="shared" si="123"/>
        <v>1</v>
      </c>
      <c r="R6951">
        <v>1</v>
      </c>
      <c r="S6951">
        <v>0</v>
      </c>
      <c r="T6951">
        <v>0</v>
      </c>
      <c r="U6951">
        <v>0</v>
      </c>
      <c r="V6951">
        <v>1</v>
      </c>
      <c r="W6951">
        <v>0</v>
      </c>
      <c r="X6951" s="2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f t="shared" si="124"/>
        <v>64</v>
      </c>
      <c r="AP6951" t="s">
        <v>1915</v>
      </c>
    </row>
    <row r="6952" spans="1:42">
      <c r="A6952" s="1">
        <v>43839</v>
      </c>
      <c r="B6952">
        <v>4</v>
      </c>
      <c r="C6952">
        <v>979</v>
      </c>
      <c r="D6952">
        <v>10415</v>
      </c>
      <c r="E6952" t="s">
        <v>37</v>
      </c>
      <c r="F6952" t="s">
        <v>520</v>
      </c>
      <c r="G6952">
        <v>2</v>
      </c>
      <c r="H6952">
        <v>90</v>
      </c>
      <c r="I6952" s="25">
        <v>1750</v>
      </c>
      <c r="K6952" t="s">
        <v>62</v>
      </c>
      <c r="N6952" t="s">
        <v>44</v>
      </c>
      <c r="O6952">
        <f>((3*60)+42)/2</f>
        <v>111</v>
      </c>
      <c r="Q6952">
        <f t="shared" si="123"/>
        <v>1</v>
      </c>
      <c r="R6952">
        <v>1</v>
      </c>
      <c r="S6952">
        <v>0</v>
      </c>
      <c r="T6952">
        <v>0</v>
      </c>
      <c r="U6952">
        <v>0</v>
      </c>
      <c r="V6952">
        <v>0</v>
      </c>
      <c r="W6952">
        <v>1</v>
      </c>
      <c r="X6952" s="21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f t="shared" si="124"/>
        <v>96</v>
      </c>
      <c r="AP6952" t="s">
        <v>1915</v>
      </c>
    </row>
    <row r="6953" spans="1:42">
      <c r="A6953" s="1">
        <v>43839</v>
      </c>
      <c r="B6953">
        <v>4</v>
      </c>
      <c r="C6953">
        <v>979</v>
      </c>
      <c r="D6953">
        <v>10415</v>
      </c>
      <c r="E6953" t="s">
        <v>37</v>
      </c>
      <c r="F6953" t="s">
        <v>520</v>
      </c>
      <c r="G6953">
        <v>2</v>
      </c>
      <c r="H6953">
        <v>91</v>
      </c>
      <c r="I6953" s="25">
        <v>1730</v>
      </c>
      <c r="K6953" t="s">
        <v>62</v>
      </c>
      <c r="N6953" t="s">
        <v>44</v>
      </c>
      <c r="O6953">
        <v>118</v>
      </c>
      <c r="Q6953">
        <f t="shared" si="123"/>
        <v>1</v>
      </c>
      <c r="R6953">
        <v>1</v>
      </c>
      <c r="S6953">
        <v>0</v>
      </c>
      <c r="T6953">
        <v>0</v>
      </c>
      <c r="U6953">
        <v>0</v>
      </c>
      <c r="V6953">
        <v>0</v>
      </c>
      <c r="W6953">
        <v>1</v>
      </c>
      <c r="X6953" s="21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f t="shared" si="124"/>
        <v>96</v>
      </c>
      <c r="AP6953" t="s">
        <v>1915</v>
      </c>
    </row>
    <row r="6954" spans="1:42">
      <c r="A6954" s="1">
        <v>43839</v>
      </c>
      <c r="B6954">
        <v>4</v>
      </c>
      <c r="C6954">
        <v>979</v>
      </c>
      <c r="D6954">
        <v>10415</v>
      </c>
      <c r="E6954" t="s">
        <v>37</v>
      </c>
      <c r="F6954" t="s">
        <v>520</v>
      </c>
      <c r="G6954">
        <v>2</v>
      </c>
      <c r="H6954">
        <v>92</v>
      </c>
      <c r="I6954" s="25">
        <v>1751</v>
      </c>
      <c r="K6954" t="s">
        <v>62</v>
      </c>
      <c r="N6954" t="s">
        <v>44</v>
      </c>
      <c r="O6954">
        <f>60+60+31</f>
        <v>151</v>
      </c>
      <c r="Q6954">
        <f t="shared" si="123"/>
        <v>2</v>
      </c>
      <c r="R6954">
        <v>1</v>
      </c>
      <c r="S6954">
        <v>0</v>
      </c>
      <c r="T6954">
        <v>0</v>
      </c>
      <c r="U6954">
        <v>0</v>
      </c>
      <c r="V6954">
        <v>2</v>
      </c>
      <c r="W6954">
        <v>0</v>
      </c>
      <c r="X6954" s="21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f t="shared" si="124"/>
        <v>128</v>
      </c>
      <c r="AP6954" t="s">
        <v>1915</v>
      </c>
    </row>
    <row r="6955" spans="1:42">
      <c r="A6955" s="1">
        <v>43839</v>
      </c>
      <c r="B6955">
        <v>4</v>
      </c>
      <c r="C6955">
        <v>979</v>
      </c>
      <c r="D6955">
        <v>10415</v>
      </c>
      <c r="E6955" t="s">
        <v>37</v>
      </c>
      <c r="F6955" t="s">
        <v>520</v>
      </c>
      <c r="G6955">
        <v>2</v>
      </c>
      <c r="H6955">
        <v>93</v>
      </c>
      <c r="I6955" s="25">
        <v>1700</v>
      </c>
      <c r="K6955" t="s">
        <v>68</v>
      </c>
      <c r="N6955" t="s">
        <v>40</v>
      </c>
      <c r="O6955">
        <v>41</v>
      </c>
      <c r="Q6955">
        <f t="shared" si="123"/>
        <v>1</v>
      </c>
      <c r="R6955">
        <v>1</v>
      </c>
      <c r="S6955">
        <v>0</v>
      </c>
      <c r="T6955">
        <v>0</v>
      </c>
      <c r="U6955">
        <v>1</v>
      </c>
      <c r="V6955">
        <v>0</v>
      </c>
      <c r="W6955">
        <v>0</v>
      </c>
      <c r="X6955" s="21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f t="shared" si="124"/>
        <v>32</v>
      </c>
      <c r="AP6955" t="s">
        <v>1915</v>
      </c>
    </row>
    <row r="6956" spans="1:42">
      <c r="A6956" s="1">
        <v>43839</v>
      </c>
      <c r="B6956">
        <v>4</v>
      </c>
      <c r="C6956">
        <v>979</v>
      </c>
      <c r="D6956">
        <v>10415</v>
      </c>
      <c r="E6956" t="s">
        <v>37</v>
      </c>
      <c r="F6956" t="s">
        <v>520</v>
      </c>
      <c r="G6956">
        <v>2</v>
      </c>
      <c r="H6956">
        <v>94</v>
      </c>
      <c r="I6956" s="25">
        <v>1700</v>
      </c>
      <c r="K6956" t="s">
        <v>68</v>
      </c>
      <c r="N6956" t="s">
        <v>40</v>
      </c>
      <c r="O6956">
        <f>60+60+5</f>
        <v>125</v>
      </c>
      <c r="Q6956">
        <f t="shared" si="123"/>
        <v>2</v>
      </c>
      <c r="R6956">
        <v>1</v>
      </c>
      <c r="S6956">
        <v>0</v>
      </c>
      <c r="T6956">
        <v>0</v>
      </c>
      <c r="U6956">
        <v>0</v>
      </c>
      <c r="V6956">
        <v>0</v>
      </c>
      <c r="W6956">
        <v>2</v>
      </c>
      <c r="X6956" s="21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f t="shared" si="124"/>
        <v>192</v>
      </c>
      <c r="AP6956" t="s">
        <v>1915</v>
      </c>
    </row>
    <row r="6957" spans="1:42">
      <c r="A6957" s="1">
        <v>43839</v>
      </c>
      <c r="B6957">
        <v>4</v>
      </c>
      <c r="C6957">
        <v>979</v>
      </c>
      <c r="D6957">
        <v>10415</v>
      </c>
      <c r="E6957" t="s">
        <v>37</v>
      </c>
      <c r="F6957" t="s">
        <v>520</v>
      </c>
      <c r="G6957">
        <v>2</v>
      </c>
      <c r="H6957">
        <v>95</v>
      </c>
      <c r="I6957" s="25">
        <v>1324</v>
      </c>
      <c r="K6957" t="s">
        <v>185</v>
      </c>
      <c r="N6957" t="s">
        <v>44</v>
      </c>
      <c r="O6957">
        <f>60+60+60+3</f>
        <v>183</v>
      </c>
      <c r="Q6957">
        <f t="shared" si="123"/>
        <v>2</v>
      </c>
      <c r="R6957">
        <v>1</v>
      </c>
      <c r="S6957">
        <v>0</v>
      </c>
      <c r="T6957">
        <v>0</v>
      </c>
      <c r="U6957">
        <v>0</v>
      </c>
      <c r="V6957">
        <v>0</v>
      </c>
      <c r="W6957">
        <v>2</v>
      </c>
      <c r="X6957" s="21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f t="shared" si="124"/>
        <v>192</v>
      </c>
      <c r="AL6957" t="s">
        <v>2115</v>
      </c>
      <c r="AP6957" t="s">
        <v>1915</v>
      </c>
    </row>
    <row r="6958" spans="1:42">
      <c r="A6958" s="1">
        <v>43839</v>
      </c>
      <c r="B6958">
        <v>4</v>
      </c>
      <c r="C6958">
        <v>979</v>
      </c>
      <c r="D6958">
        <v>10415</v>
      </c>
      <c r="E6958" t="s">
        <v>37</v>
      </c>
      <c r="F6958" t="s">
        <v>520</v>
      </c>
      <c r="G6958">
        <v>2</v>
      </c>
      <c r="H6958">
        <v>96</v>
      </c>
      <c r="I6958" s="25">
        <v>1390</v>
      </c>
      <c r="K6958" t="s">
        <v>185</v>
      </c>
      <c r="N6958" t="s">
        <v>44</v>
      </c>
      <c r="O6958">
        <f>60+14</f>
        <v>74</v>
      </c>
      <c r="Q6958">
        <f t="shared" si="123"/>
        <v>1</v>
      </c>
      <c r="R6958">
        <v>1</v>
      </c>
      <c r="S6958">
        <v>0</v>
      </c>
      <c r="T6958">
        <v>0</v>
      </c>
      <c r="U6958">
        <v>0</v>
      </c>
      <c r="V6958">
        <v>0</v>
      </c>
      <c r="W6958">
        <v>1</v>
      </c>
      <c r="X6958" s="21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f t="shared" si="124"/>
        <v>96</v>
      </c>
      <c r="AP6958" t="s">
        <v>1915</v>
      </c>
    </row>
    <row r="6959" spans="1:42">
      <c r="A6959" s="1">
        <v>43839</v>
      </c>
      <c r="B6959">
        <v>4</v>
      </c>
      <c r="C6959">
        <v>979</v>
      </c>
      <c r="D6959">
        <v>10415</v>
      </c>
      <c r="E6959" t="s">
        <v>37</v>
      </c>
      <c r="F6959" t="s">
        <v>520</v>
      </c>
      <c r="G6959">
        <v>2</v>
      </c>
      <c r="H6959">
        <v>97</v>
      </c>
      <c r="I6959" s="25" t="s">
        <v>2116</v>
      </c>
      <c r="K6959" t="s">
        <v>420</v>
      </c>
      <c r="N6959" t="s">
        <v>42</v>
      </c>
      <c r="O6959">
        <f>(60*4)+59</f>
        <v>299</v>
      </c>
      <c r="Q6959">
        <f t="shared" si="123"/>
        <v>6</v>
      </c>
      <c r="R6959">
        <v>1</v>
      </c>
      <c r="S6959">
        <v>0</v>
      </c>
      <c r="T6959">
        <v>0</v>
      </c>
      <c r="U6959">
        <v>0</v>
      </c>
      <c r="V6959">
        <v>3</v>
      </c>
      <c r="W6959">
        <v>3</v>
      </c>
      <c r="X6959" s="21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f t="shared" si="124"/>
        <v>480</v>
      </c>
      <c r="AL6959" t="s">
        <v>2117</v>
      </c>
      <c r="AP6959" t="s">
        <v>1915</v>
      </c>
    </row>
    <row r="6960" spans="1:42">
      <c r="A6960" s="1">
        <v>43839</v>
      </c>
      <c r="B6960">
        <v>4</v>
      </c>
      <c r="C6960">
        <v>979</v>
      </c>
      <c r="D6960">
        <v>10415</v>
      </c>
      <c r="E6960" t="s">
        <v>37</v>
      </c>
      <c r="F6960" t="s">
        <v>520</v>
      </c>
      <c r="G6960">
        <v>2</v>
      </c>
      <c r="H6960">
        <v>98</v>
      </c>
      <c r="I6960" s="25">
        <v>2000</v>
      </c>
      <c r="K6960" t="s">
        <v>420</v>
      </c>
      <c r="N6960" t="s">
        <v>40</v>
      </c>
      <c r="O6960">
        <f>60+60+60+60+7</f>
        <v>247</v>
      </c>
      <c r="Q6960">
        <f t="shared" si="123"/>
        <v>7</v>
      </c>
      <c r="R6960">
        <v>1</v>
      </c>
      <c r="S6960">
        <v>0</v>
      </c>
      <c r="T6960">
        <v>0</v>
      </c>
      <c r="U6960">
        <v>2</v>
      </c>
      <c r="V6960">
        <v>4</v>
      </c>
      <c r="W6960">
        <v>1</v>
      </c>
      <c r="X6960" s="21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f t="shared" si="124"/>
        <v>416</v>
      </c>
      <c r="AP6960" t="s">
        <v>1915</v>
      </c>
    </row>
    <row r="6961" spans="1:42">
      <c r="A6961" s="1">
        <v>43839</v>
      </c>
      <c r="B6961">
        <v>4</v>
      </c>
      <c r="C6961">
        <v>979</v>
      </c>
      <c r="D6961">
        <v>10415</v>
      </c>
      <c r="E6961" t="s">
        <v>37</v>
      </c>
      <c r="F6961" t="s">
        <v>520</v>
      </c>
      <c r="G6961">
        <v>2</v>
      </c>
      <c r="H6961">
        <v>99</v>
      </c>
      <c r="I6961" s="25">
        <v>2100</v>
      </c>
      <c r="K6961" t="s">
        <v>420</v>
      </c>
      <c r="N6961" t="s">
        <v>40</v>
      </c>
      <c r="O6961">
        <f>60+36</f>
        <v>96</v>
      </c>
      <c r="Q6961">
        <f t="shared" si="123"/>
        <v>2</v>
      </c>
      <c r="R6961">
        <v>1</v>
      </c>
      <c r="S6961">
        <v>0</v>
      </c>
      <c r="T6961">
        <v>0</v>
      </c>
      <c r="U6961">
        <v>1</v>
      </c>
      <c r="V6961">
        <v>1</v>
      </c>
      <c r="W6961">
        <v>0</v>
      </c>
      <c r="X6961" s="2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f t="shared" si="124"/>
        <v>96</v>
      </c>
      <c r="AP6961" t="s">
        <v>1915</v>
      </c>
    </row>
    <row r="6962" spans="1:42">
      <c r="A6962" s="1">
        <v>43839</v>
      </c>
      <c r="B6962">
        <v>4</v>
      </c>
      <c r="C6962">
        <v>979</v>
      </c>
      <c r="D6962">
        <v>10415</v>
      </c>
      <c r="E6962" t="s">
        <v>37</v>
      </c>
      <c r="F6962" t="s">
        <v>520</v>
      </c>
      <c r="G6962">
        <v>2</v>
      </c>
      <c r="H6962">
        <v>100</v>
      </c>
      <c r="I6962" s="25">
        <v>2162</v>
      </c>
      <c r="K6962" t="s">
        <v>420</v>
      </c>
      <c r="N6962" t="s">
        <v>44</v>
      </c>
      <c r="O6962">
        <f>(60*4)+2</f>
        <v>242</v>
      </c>
      <c r="Q6962">
        <f t="shared" si="123"/>
        <v>6</v>
      </c>
      <c r="R6962">
        <v>1</v>
      </c>
      <c r="S6962">
        <v>0</v>
      </c>
      <c r="T6962">
        <v>0</v>
      </c>
      <c r="U6962">
        <v>3</v>
      </c>
      <c r="V6962">
        <v>0</v>
      </c>
      <c r="W6962">
        <v>3</v>
      </c>
      <c r="X6962" s="21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f t="shared" si="124"/>
        <v>384</v>
      </c>
      <c r="AP6962" t="s">
        <v>1915</v>
      </c>
    </row>
    <row r="6963" spans="1:42">
      <c r="A6963" s="1">
        <v>43839</v>
      </c>
      <c r="B6963">
        <v>4</v>
      </c>
      <c r="C6963">
        <v>979</v>
      </c>
      <c r="D6963">
        <v>10415</v>
      </c>
      <c r="E6963" t="s">
        <v>37</v>
      </c>
      <c r="F6963" t="s">
        <v>520</v>
      </c>
      <c r="G6963">
        <v>2</v>
      </c>
      <c r="H6963">
        <v>101</v>
      </c>
      <c r="I6963" s="25">
        <v>1400</v>
      </c>
      <c r="K6963" t="s">
        <v>585</v>
      </c>
      <c r="N6963" t="s">
        <v>40</v>
      </c>
      <c r="O6963">
        <f>60+15</f>
        <v>75</v>
      </c>
      <c r="Q6963">
        <f t="shared" si="123"/>
        <v>1</v>
      </c>
      <c r="R6963">
        <v>1</v>
      </c>
      <c r="S6963">
        <v>0</v>
      </c>
      <c r="T6963">
        <v>0</v>
      </c>
      <c r="U6963">
        <v>0</v>
      </c>
      <c r="V6963">
        <v>0</v>
      </c>
      <c r="W6963">
        <v>1</v>
      </c>
      <c r="X6963" s="21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f t="shared" si="124"/>
        <v>96</v>
      </c>
      <c r="AP6963" t="s">
        <v>1915</v>
      </c>
    </row>
    <row r="6964" spans="1:42">
      <c r="A6964" s="1">
        <v>43839</v>
      </c>
      <c r="B6964">
        <v>4</v>
      </c>
      <c r="C6964">
        <v>979</v>
      </c>
      <c r="D6964">
        <v>10415</v>
      </c>
      <c r="E6964" t="s">
        <v>37</v>
      </c>
      <c r="F6964" t="s">
        <v>520</v>
      </c>
      <c r="G6964">
        <v>2</v>
      </c>
      <c r="H6964">
        <v>102</v>
      </c>
      <c r="I6964" s="25">
        <v>1400</v>
      </c>
      <c r="K6964" t="s">
        <v>585</v>
      </c>
      <c r="N6964" t="s">
        <v>40</v>
      </c>
      <c r="O6964">
        <f>60+60+2</f>
        <v>122</v>
      </c>
      <c r="Q6964">
        <f t="shared" si="123"/>
        <v>5</v>
      </c>
      <c r="R6964">
        <v>1</v>
      </c>
      <c r="S6964">
        <v>0</v>
      </c>
      <c r="T6964">
        <v>0</v>
      </c>
      <c r="U6964">
        <v>1</v>
      </c>
      <c r="V6964">
        <v>4</v>
      </c>
      <c r="W6964">
        <v>0</v>
      </c>
      <c r="X6964" s="21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f t="shared" si="124"/>
        <v>288</v>
      </c>
      <c r="AP6964" t="s">
        <v>1915</v>
      </c>
    </row>
    <row r="6965" spans="1:42">
      <c r="A6965" s="1">
        <v>43839</v>
      </c>
      <c r="B6965">
        <v>4</v>
      </c>
      <c r="C6965">
        <v>979</v>
      </c>
      <c r="D6965">
        <v>10415</v>
      </c>
      <c r="E6965" t="s">
        <v>37</v>
      </c>
      <c r="F6965" t="s">
        <v>520</v>
      </c>
      <c r="G6965">
        <v>2</v>
      </c>
      <c r="H6965">
        <v>103</v>
      </c>
      <c r="I6965" s="25">
        <v>1444</v>
      </c>
      <c r="K6965" t="s">
        <v>585</v>
      </c>
      <c r="N6965" t="s">
        <v>44</v>
      </c>
      <c r="O6965">
        <v>120</v>
      </c>
      <c r="Q6965">
        <f t="shared" si="123"/>
        <v>1</v>
      </c>
      <c r="R6965">
        <v>1</v>
      </c>
      <c r="S6965">
        <v>0</v>
      </c>
      <c r="T6965">
        <v>0</v>
      </c>
      <c r="U6965">
        <v>0</v>
      </c>
      <c r="V6965">
        <v>0</v>
      </c>
      <c r="W6965">
        <v>1</v>
      </c>
      <c r="X6965" s="21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f t="shared" si="124"/>
        <v>96</v>
      </c>
      <c r="AP6965" t="s">
        <v>1915</v>
      </c>
    </row>
    <row r="6966" spans="1:42">
      <c r="A6966" s="1">
        <v>43839</v>
      </c>
      <c r="B6966">
        <v>4</v>
      </c>
      <c r="C6966">
        <v>979</v>
      </c>
      <c r="D6966">
        <v>10415</v>
      </c>
      <c r="E6966" t="s">
        <v>37</v>
      </c>
      <c r="F6966" t="s">
        <v>520</v>
      </c>
      <c r="G6966">
        <v>2</v>
      </c>
      <c r="H6966">
        <v>104</v>
      </c>
      <c r="I6966" s="25">
        <v>1400</v>
      </c>
      <c r="K6966" t="s">
        <v>585</v>
      </c>
      <c r="N6966" t="s">
        <v>1703</v>
      </c>
      <c r="O6966">
        <f>60+32</f>
        <v>92</v>
      </c>
      <c r="Q6966">
        <f t="shared" si="123"/>
        <v>3</v>
      </c>
      <c r="R6966">
        <v>1</v>
      </c>
      <c r="S6966">
        <v>0</v>
      </c>
      <c r="T6966">
        <v>0</v>
      </c>
      <c r="U6966">
        <v>2</v>
      </c>
      <c r="V6966">
        <v>1</v>
      </c>
      <c r="W6966">
        <v>0</v>
      </c>
      <c r="X6966" s="21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f t="shared" si="124"/>
        <v>128</v>
      </c>
      <c r="AL6966" t="s">
        <v>2118</v>
      </c>
      <c r="AP6966" t="s">
        <v>1915</v>
      </c>
    </row>
    <row r="6967" spans="1:42">
      <c r="A6967" s="1">
        <v>43839</v>
      </c>
      <c r="B6967">
        <v>4</v>
      </c>
      <c r="C6967">
        <v>979</v>
      </c>
      <c r="D6967">
        <v>10415</v>
      </c>
      <c r="E6967" t="s">
        <v>37</v>
      </c>
      <c r="F6967" t="s">
        <v>520</v>
      </c>
      <c r="G6967">
        <v>2</v>
      </c>
      <c r="H6967">
        <v>105</v>
      </c>
      <c r="I6967" s="25">
        <v>2065</v>
      </c>
      <c r="K6967" t="s">
        <v>420</v>
      </c>
      <c r="N6967" t="s">
        <v>42</v>
      </c>
      <c r="O6967">
        <f>(60*3)+36</f>
        <v>216</v>
      </c>
      <c r="Q6967">
        <f t="shared" si="123"/>
        <v>0</v>
      </c>
      <c r="R6967">
        <v>1</v>
      </c>
      <c r="S6967">
        <v>0</v>
      </c>
      <c r="T6967">
        <v>0</v>
      </c>
      <c r="U6967">
        <v>0</v>
      </c>
      <c r="V6967">
        <v>0</v>
      </c>
      <c r="W6967">
        <v>0</v>
      </c>
      <c r="X6967" s="21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f t="shared" si="124"/>
        <v>0</v>
      </c>
      <c r="AL6967" t="s">
        <v>2119</v>
      </c>
      <c r="AP6967" t="s">
        <v>1915</v>
      </c>
    </row>
    <row r="6968" spans="1:42">
      <c r="A6968" s="1">
        <v>43839</v>
      </c>
      <c r="B6968">
        <v>4</v>
      </c>
      <c r="C6968">
        <v>979</v>
      </c>
      <c r="D6968">
        <v>10415</v>
      </c>
      <c r="E6968" t="s">
        <v>37</v>
      </c>
      <c r="F6968" t="s">
        <v>520</v>
      </c>
      <c r="G6968">
        <v>2</v>
      </c>
      <c r="H6968">
        <v>106</v>
      </c>
      <c r="I6968" s="25" t="s">
        <v>2120</v>
      </c>
      <c r="K6968" t="s">
        <v>420</v>
      </c>
      <c r="N6968" t="s">
        <v>42</v>
      </c>
      <c r="O6968">
        <f>60+60+22</f>
        <v>142</v>
      </c>
      <c r="Q6968">
        <f t="shared" si="123"/>
        <v>4</v>
      </c>
      <c r="R6968">
        <v>1</v>
      </c>
      <c r="S6968">
        <v>0</v>
      </c>
      <c r="T6968">
        <v>0</v>
      </c>
      <c r="U6968">
        <v>0</v>
      </c>
      <c r="V6968">
        <v>2</v>
      </c>
      <c r="W6968">
        <v>2</v>
      </c>
      <c r="X6968" s="21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f t="shared" si="124"/>
        <v>320</v>
      </c>
      <c r="AP6968" t="s">
        <v>1915</v>
      </c>
    </row>
    <row r="6969" spans="1:42">
      <c r="A6969" s="1">
        <v>43839</v>
      </c>
      <c r="B6969">
        <v>4</v>
      </c>
      <c r="C6969">
        <v>979</v>
      </c>
      <c r="D6969">
        <v>10415</v>
      </c>
      <c r="E6969" t="s">
        <v>37</v>
      </c>
      <c r="F6969" t="s">
        <v>520</v>
      </c>
      <c r="G6969">
        <v>2</v>
      </c>
      <c r="H6969">
        <v>107</v>
      </c>
      <c r="I6969" s="25">
        <v>2100</v>
      </c>
      <c r="K6969" t="s">
        <v>420</v>
      </c>
      <c r="N6969" t="s">
        <v>40</v>
      </c>
      <c r="O6969">
        <f>60+23</f>
        <v>83</v>
      </c>
      <c r="Q6969">
        <f t="shared" si="123"/>
        <v>3</v>
      </c>
      <c r="R6969">
        <v>1</v>
      </c>
      <c r="S6969">
        <v>0</v>
      </c>
      <c r="T6969">
        <v>0</v>
      </c>
      <c r="U6969">
        <v>0</v>
      </c>
      <c r="V6969">
        <v>2</v>
      </c>
      <c r="W6969">
        <v>1</v>
      </c>
      <c r="X6969" s="21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f t="shared" si="124"/>
        <v>224</v>
      </c>
      <c r="AP6969" t="s">
        <v>1915</v>
      </c>
    </row>
    <row r="6970" spans="1:42">
      <c r="A6970" s="1">
        <v>43839</v>
      </c>
      <c r="B6970">
        <v>4</v>
      </c>
      <c r="C6970">
        <v>979</v>
      </c>
      <c r="D6970">
        <v>10415</v>
      </c>
      <c r="E6970" t="s">
        <v>37</v>
      </c>
      <c r="F6970" t="s">
        <v>520</v>
      </c>
      <c r="G6970">
        <v>2</v>
      </c>
      <c r="H6970">
        <v>108</v>
      </c>
      <c r="I6970" s="25">
        <v>2100</v>
      </c>
      <c r="K6970" t="s">
        <v>420</v>
      </c>
      <c r="N6970" t="s">
        <v>40</v>
      </c>
      <c r="O6970">
        <f>60+35</f>
        <v>95</v>
      </c>
      <c r="Q6970">
        <f t="shared" si="123"/>
        <v>2</v>
      </c>
      <c r="R6970">
        <v>1</v>
      </c>
      <c r="S6970">
        <v>0</v>
      </c>
      <c r="T6970">
        <v>0</v>
      </c>
      <c r="U6970">
        <v>0</v>
      </c>
      <c r="V6970">
        <v>0</v>
      </c>
      <c r="W6970">
        <v>2</v>
      </c>
      <c r="X6970" s="21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f t="shared" si="124"/>
        <v>192</v>
      </c>
      <c r="AP6970" t="s">
        <v>1915</v>
      </c>
    </row>
    <row r="6971" spans="1:42">
      <c r="A6971" s="1">
        <v>43839</v>
      </c>
      <c r="B6971">
        <v>4</v>
      </c>
      <c r="C6971">
        <v>979</v>
      </c>
      <c r="D6971">
        <v>10415</v>
      </c>
      <c r="E6971" t="s">
        <v>37</v>
      </c>
      <c r="F6971" t="s">
        <v>520</v>
      </c>
      <c r="G6971">
        <v>2</v>
      </c>
      <c r="H6971">
        <v>109</v>
      </c>
      <c r="I6971" s="25">
        <v>1324</v>
      </c>
      <c r="K6971" t="s">
        <v>605</v>
      </c>
      <c r="N6971" t="s">
        <v>44</v>
      </c>
      <c r="O6971">
        <f>60+34</f>
        <v>94</v>
      </c>
      <c r="Q6971">
        <f t="shared" si="123"/>
        <v>1</v>
      </c>
      <c r="R6971">
        <v>1</v>
      </c>
      <c r="S6971">
        <v>0</v>
      </c>
      <c r="T6971">
        <v>0</v>
      </c>
      <c r="U6971">
        <v>0</v>
      </c>
      <c r="V6971">
        <v>0</v>
      </c>
      <c r="W6971">
        <v>1</v>
      </c>
      <c r="X6971" s="2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f t="shared" si="124"/>
        <v>96</v>
      </c>
      <c r="AP6971" t="s">
        <v>1915</v>
      </c>
    </row>
    <row r="6972" spans="1:42">
      <c r="A6972" s="1">
        <v>43839</v>
      </c>
      <c r="B6972">
        <v>4</v>
      </c>
      <c r="C6972">
        <v>979</v>
      </c>
      <c r="D6972">
        <v>10415</v>
      </c>
      <c r="E6972" t="s">
        <v>37</v>
      </c>
      <c r="F6972" t="s">
        <v>520</v>
      </c>
      <c r="G6972">
        <v>2</v>
      </c>
      <c r="H6972">
        <v>110</v>
      </c>
      <c r="I6972" s="25">
        <v>79</v>
      </c>
      <c r="K6972" t="s">
        <v>2121</v>
      </c>
      <c r="N6972" t="s">
        <v>44</v>
      </c>
      <c r="O6972">
        <v>154</v>
      </c>
      <c r="Q6972">
        <f t="shared" si="123"/>
        <v>1</v>
      </c>
      <c r="R6972">
        <v>1</v>
      </c>
      <c r="S6972">
        <v>0</v>
      </c>
      <c r="T6972">
        <v>0</v>
      </c>
      <c r="U6972">
        <v>0</v>
      </c>
      <c r="V6972">
        <v>0</v>
      </c>
      <c r="W6972">
        <v>1</v>
      </c>
      <c r="X6972" s="21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f t="shared" si="124"/>
        <v>96</v>
      </c>
      <c r="AP6972" t="s">
        <v>1915</v>
      </c>
    </row>
    <row r="6973" spans="1:42">
      <c r="A6973" s="1">
        <v>43839</v>
      </c>
      <c r="B6973">
        <v>4</v>
      </c>
      <c r="C6973">
        <v>979</v>
      </c>
      <c r="D6973">
        <v>10415</v>
      </c>
      <c r="E6973" t="s">
        <v>37</v>
      </c>
      <c r="F6973" t="s">
        <v>520</v>
      </c>
      <c r="G6973">
        <v>2</v>
      </c>
      <c r="H6973">
        <v>111</v>
      </c>
      <c r="I6973" s="25">
        <v>89</v>
      </c>
      <c r="K6973" t="s">
        <v>2121</v>
      </c>
      <c r="N6973" t="s">
        <v>44</v>
      </c>
      <c r="O6973">
        <v>156</v>
      </c>
      <c r="Q6973">
        <f t="shared" si="123"/>
        <v>1</v>
      </c>
      <c r="R6973">
        <v>1</v>
      </c>
      <c r="S6973">
        <v>0</v>
      </c>
      <c r="T6973">
        <v>0</v>
      </c>
      <c r="U6973">
        <v>0</v>
      </c>
      <c r="V6973">
        <v>0</v>
      </c>
      <c r="W6973">
        <v>1</v>
      </c>
      <c r="X6973" s="21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f t="shared" si="124"/>
        <v>96</v>
      </c>
      <c r="AP6973" t="s">
        <v>1915</v>
      </c>
    </row>
    <row r="6974" spans="1:42">
      <c r="A6974" s="1">
        <v>43839</v>
      </c>
      <c r="B6974">
        <v>4</v>
      </c>
      <c r="C6974">
        <v>979</v>
      </c>
      <c r="D6974">
        <v>10415</v>
      </c>
      <c r="E6974" t="s">
        <v>37</v>
      </c>
      <c r="F6974" t="s">
        <v>520</v>
      </c>
      <c r="G6974">
        <v>2</v>
      </c>
      <c r="H6974">
        <v>112</v>
      </c>
      <c r="I6974" s="25">
        <v>1612</v>
      </c>
      <c r="K6974" t="s">
        <v>828</v>
      </c>
      <c r="N6974" t="s">
        <v>44</v>
      </c>
      <c r="O6974">
        <v>151</v>
      </c>
      <c r="Q6974">
        <f t="shared" si="123"/>
        <v>1</v>
      </c>
      <c r="R6974">
        <v>1</v>
      </c>
      <c r="S6974">
        <v>0</v>
      </c>
      <c r="T6974">
        <v>0</v>
      </c>
      <c r="U6974">
        <v>0</v>
      </c>
      <c r="V6974">
        <v>0</v>
      </c>
      <c r="W6974">
        <v>1</v>
      </c>
      <c r="X6974" s="21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f t="shared" si="124"/>
        <v>96</v>
      </c>
      <c r="AL6974" t="s">
        <v>2122</v>
      </c>
      <c r="AP6974" t="s">
        <v>1915</v>
      </c>
    </row>
    <row r="6975" spans="1:42">
      <c r="A6975" s="20">
        <v>43853</v>
      </c>
      <c r="B6975" s="21">
        <v>4</v>
      </c>
      <c r="C6975" s="21">
        <v>985</v>
      </c>
      <c r="D6975" s="21">
        <v>14358</v>
      </c>
      <c r="E6975" s="21" t="s">
        <v>2123</v>
      </c>
      <c r="F6975" s="21" t="s">
        <v>520</v>
      </c>
      <c r="G6975" s="21">
        <v>1</v>
      </c>
      <c r="H6975" s="21">
        <v>1</v>
      </c>
      <c r="I6975" s="23" t="s">
        <v>2124</v>
      </c>
      <c r="J6975" s="21"/>
      <c r="K6975" s="21" t="s">
        <v>2125</v>
      </c>
      <c r="L6975" s="21"/>
      <c r="M6975" s="21"/>
      <c r="N6975" s="21" t="s">
        <v>40</v>
      </c>
      <c r="O6975" s="21">
        <v>48</v>
      </c>
      <c r="P6975" s="21"/>
      <c r="Q6975" s="21">
        <f>SUM(S6975:AE6975)</f>
        <v>1</v>
      </c>
      <c r="R6975" s="21">
        <v>1</v>
      </c>
      <c r="S6975" s="21">
        <v>0</v>
      </c>
      <c r="T6975" s="21">
        <v>0</v>
      </c>
      <c r="U6975" s="21">
        <v>0</v>
      </c>
      <c r="V6975" s="21">
        <v>1</v>
      </c>
      <c r="W6975" s="21">
        <v>0</v>
      </c>
      <c r="X6975" s="21">
        <v>0</v>
      </c>
      <c r="Y6975" s="21">
        <v>0</v>
      </c>
      <c r="Z6975" s="21">
        <v>0</v>
      </c>
      <c r="AA6975" s="21">
        <v>0</v>
      </c>
      <c r="AB6975" s="21">
        <v>0</v>
      </c>
      <c r="AC6975" s="21">
        <v>0</v>
      </c>
      <c r="AD6975" s="21">
        <v>0</v>
      </c>
      <c r="AE6975" s="21">
        <v>0</v>
      </c>
      <c r="AF6975" s="21">
        <v>0</v>
      </c>
      <c r="AG6975" s="21">
        <v>0</v>
      </c>
      <c r="AH6975" s="21">
        <f>(S6975*16)+(T6975*20)+(U6975*32)+(V6975*64)+(W6975*96)</f>
        <v>64</v>
      </c>
      <c r="AI6975" s="21"/>
      <c r="AJ6975" s="21"/>
      <c r="AK6975" s="21"/>
      <c r="AL6975" s="21"/>
      <c r="AM6975" s="21" t="s">
        <v>2126</v>
      </c>
      <c r="AN6975" s="21">
        <v>-122.431791066667</v>
      </c>
      <c r="AO6975" s="21">
        <v>37.7891230166667</v>
      </c>
      <c r="AP6975" s="21" t="s">
        <v>1915</v>
      </c>
    </row>
    <row r="6976" spans="1:42">
      <c r="A6976" s="20">
        <v>43853</v>
      </c>
      <c r="B6976" s="21">
        <v>4</v>
      </c>
      <c r="C6976" s="21">
        <v>985</v>
      </c>
      <c r="D6976" s="21">
        <v>14358</v>
      </c>
      <c r="E6976" s="21" t="s">
        <v>2123</v>
      </c>
      <c r="F6976" s="21" t="s">
        <v>520</v>
      </c>
      <c r="G6976" s="21">
        <v>1</v>
      </c>
      <c r="H6976" s="21">
        <v>2</v>
      </c>
      <c r="I6976" s="23">
        <v>2263</v>
      </c>
      <c r="J6976" s="21"/>
      <c r="K6976" s="21" t="s">
        <v>2125</v>
      </c>
      <c r="L6976" s="21"/>
      <c r="M6976" s="21"/>
      <c r="N6976" s="21" t="s">
        <v>40</v>
      </c>
      <c r="O6976" s="21">
        <v>43</v>
      </c>
      <c r="P6976" s="21"/>
      <c r="Q6976" s="21">
        <f t="shared" ref="Q6976:Q7039" si="125">SUM(S6976:AE6976)</f>
        <v>2</v>
      </c>
      <c r="R6976" s="21">
        <v>1</v>
      </c>
      <c r="S6976" s="21">
        <v>0</v>
      </c>
      <c r="T6976" s="21">
        <v>0</v>
      </c>
      <c r="U6976" s="21">
        <v>0</v>
      </c>
      <c r="V6976" s="21">
        <v>1</v>
      </c>
      <c r="W6976" s="21">
        <v>1</v>
      </c>
      <c r="X6976" s="21">
        <v>0</v>
      </c>
      <c r="Y6976" s="21">
        <v>0</v>
      </c>
      <c r="Z6976" s="21">
        <v>0</v>
      </c>
      <c r="AA6976" s="21">
        <v>0</v>
      </c>
      <c r="AB6976" s="21">
        <v>0</v>
      </c>
      <c r="AC6976" s="21">
        <v>0</v>
      </c>
      <c r="AD6976" s="21">
        <v>0</v>
      </c>
      <c r="AE6976" s="21">
        <v>0</v>
      </c>
      <c r="AF6976" s="21">
        <v>0</v>
      </c>
      <c r="AG6976" s="21">
        <v>0</v>
      </c>
      <c r="AH6976" s="21">
        <f t="shared" ref="AH6976:AH7039" si="126">(S6976*16)+(T6976*20)+(U6976*32)+(V6976*64)+(W6976*96)</f>
        <v>160</v>
      </c>
      <c r="AI6976" s="21"/>
      <c r="AJ6976" s="21" t="s">
        <v>54</v>
      </c>
      <c r="AK6976" s="21" t="s">
        <v>52</v>
      </c>
      <c r="AL6976" s="21"/>
      <c r="AM6976" s="21" t="s">
        <v>2127</v>
      </c>
      <c r="AN6976" s="21">
        <v>-122.43157138333299</v>
      </c>
      <c r="AO6976" s="21">
        <v>37.7891907666667</v>
      </c>
      <c r="AP6976" s="21" t="s">
        <v>1915</v>
      </c>
    </row>
    <row r="6977" spans="1:42">
      <c r="A6977" s="20">
        <v>43853</v>
      </c>
      <c r="B6977" s="21">
        <v>4</v>
      </c>
      <c r="C6977" s="21">
        <v>985</v>
      </c>
      <c r="D6977" s="21">
        <v>14358</v>
      </c>
      <c r="E6977" s="21" t="s">
        <v>2123</v>
      </c>
      <c r="F6977" s="21" t="s">
        <v>520</v>
      </c>
      <c r="G6977" s="21">
        <v>1</v>
      </c>
      <c r="H6977" s="21">
        <v>3</v>
      </c>
      <c r="I6977" s="23" t="s">
        <v>2128</v>
      </c>
      <c r="J6977" s="21"/>
      <c r="K6977" s="21" t="s">
        <v>2125</v>
      </c>
      <c r="L6977" s="21"/>
      <c r="M6977" s="21"/>
      <c r="N6977" s="21" t="s">
        <v>40</v>
      </c>
      <c r="O6977" s="21">
        <v>56</v>
      </c>
      <c r="P6977" s="21"/>
      <c r="Q6977" s="21">
        <f t="shared" si="125"/>
        <v>1</v>
      </c>
      <c r="R6977" s="21">
        <v>1</v>
      </c>
      <c r="S6977" s="21">
        <v>0</v>
      </c>
      <c r="T6977" s="21">
        <v>0</v>
      </c>
      <c r="U6977" s="21">
        <v>0</v>
      </c>
      <c r="V6977" s="21">
        <v>1</v>
      </c>
      <c r="W6977" s="21">
        <v>0</v>
      </c>
      <c r="X6977" s="21">
        <v>0</v>
      </c>
      <c r="Y6977" s="21">
        <v>0</v>
      </c>
      <c r="Z6977" s="21">
        <v>0</v>
      </c>
      <c r="AA6977" s="21">
        <v>0</v>
      </c>
      <c r="AB6977" s="21">
        <v>0</v>
      </c>
      <c r="AC6977" s="21">
        <v>0</v>
      </c>
      <c r="AD6977" s="21">
        <v>0</v>
      </c>
      <c r="AE6977" s="21">
        <v>0</v>
      </c>
      <c r="AF6977" s="21">
        <v>0</v>
      </c>
      <c r="AG6977" s="21">
        <v>0</v>
      </c>
      <c r="AH6977" s="21">
        <f t="shared" si="126"/>
        <v>64</v>
      </c>
      <c r="AI6977" s="21"/>
      <c r="AJ6977" s="21" t="s">
        <v>54</v>
      </c>
      <c r="AK6977" s="21" t="s">
        <v>95</v>
      </c>
      <c r="AL6977" s="21"/>
      <c r="AM6977" s="21" t="s">
        <v>2129</v>
      </c>
      <c r="AN6977" s="21">
        <v>-122.431282416667</v>
      </c>
      <c r="AO6977" s="21">
        <v>37.789218916666599</v>
      </c>
      <c r="AP6977" s="21" t="s">
        <v>1915</v>
      </c>
    </row>
    <row r="6978" spans="1:42">
      <c r="A6978" s="20">
        <v>43853</v>
      </c>
      <c r="B6978" s="21">
        <v>4</v>
      </c>
      <c r="C6978" s="21">
        <v>985</v>
      </c>
      <c r="D6978" s="21">
        <v>14358</v>
      </c>
      <c r="E6978" s="21" t="s">
        <v>2123</v>
      </c>
      <c r="F6978" s="21" t="s">
        <v>520</v>
      </c>
      <c r="G6978" s="21">
        <v>1</v>
      </c>
      <c r="H6978" s="21">
        <v>4</v>
      </c>
      <c r="I6978" s="23" t="s">
        <v>2130</v>
      </c>
      <c r="J6978" s="21"/>
      <c r="K6978" s="21" t="s">
        <v>2125</v>
      </c>
      <c r="L6978" s="21"/>
      <c r="M6978" s="21"/>
      <c r="N6978" s="21" t="s">
        <v>44</v>
      </c>
      <c r="O6978" s="21">
        <f>60+32</f>
        <v>92</v>
      </c>
      <c r="P6978" s="21"/>
      <c r="Q6978" s="21">
        <f t="shared" si="125"/>
        <v>1</v>
      </c>
      <c r="R6978" s="21">
        <v>1</v>
      </c>
      <c r="S6978" s="21">
        <v>0</v>
      </c>
      <c r="T6978" s="21">
        <v>0</v>
      </c>
      <c r="U6978" s="21">
        <v>0</v>
      </c>
      <c r="V6978" s="21">
        <v>0</v>
      </c>
      <c r="W6978" s="21">
        <v>1</v>
      </c>
      <c r="X6978" s="21">
        <v>0</v>
      </c>
      <c r="Y6978" s="21">
        <v>0</v>
      </c>
      <c r="Z6978" s="21">
        <v>0</v>
      </c>
      <c r="AA6978" s="21">
        <v>0</v>
      </c>
      <c r="AB6978" s="21">
        <v>0</v>
      </c>
      <c r="AC6978" s="21">
        <v>0</v>
      </c>
      <c r="AD6978" s="21">
        <v>0</v>
      </c>
      <c r="AE6978" s="21">
        <v>0</v>
      </c>
      <c r="AF6978" s="21">
        <v>0</v>
      </c>
      <c r="AG6978" s="21">
        <v>0</v>
      </c>
      <c r="AH6978" s="21">
        <f t="shared" si="126"/>
        <v>96</v>
      </c>
      <c r="AI6978" s="21"/>
      <c r="AJ6978" s="21" t="s">
        <v>54</v>
      </c>
      <c r="AK6978" s="21" t="s">
        <v>95</v>
      </c>
      <c r="AL6978" s="21" t="s">
        <v>2131</v>
      </c>
      <c r="AM6978" s="21" t="s">
        <v>2132</v>
      </c>
      <c r="AN6978" s="21">
        <v>-122.43128318333299</v>
      </c>
      <c r="AO6978" s="21">
        <v>37.789159150000003</v>
      </c>
      <c r="AP6978" s="21" t="s">
        <v>1915</v>
      </c>
    </row>
    <row r="6979" spans="1:42">
      <c r="A6979" s="20">
        <v>43853</v>
      </c>
      <c r="B6979" s="21">
        <v>4</v>
      </c>
      <c r="C6979" s="21">
        <v>985</v>
      </c>
      <c r="D6979" s="21">
        <v>14358</v>
      </c>
      <c r="E6979" s="21" t="s">
        <v>2123</v>
      </c>
      <c r="F6979" s="21" t="s">
        <v>520</v>
      </c>
      <c r="G6979" s="21">
        <v>1</v>
      </c>
      <c r="H6979" s="21">
        <v>5</v>
      </c>
      <c r="I6979" s="23" t="s">
        <v>2133</v>
      </c>
      <c r="J6979" s="21"/>
      <c r="K6979" s="21" t="s">
        <v>2125</v>
      </c>
      <c r="L6979" s="21"/>
      <c r="M6979" s="21"/>
      <c r="N6979" s="21" t="s">
        <v>44</v>
      </c>
      <c r="O6979" s="21">
        <f>60+60+1</f>
        <v>121</v>
      </c>
      <c r="P6979" s="21"/>
      <c r="Q6979" s="21">
        <f t="shared" si="125"/>
        <v>1</v>
      </c>
      <c r="R6979" s="21">
        <v>1</v>
      </c>
      <c r="S6979" s="21">
        <v>0</v>
      </c>
      <c r="T6979" s="21">
        <v>0</v>
      </c>
      <c r="U6979" s="21">
        <v>0</v>
      </c>
      <c r="V6979" s="21">
        <v>0</v>
      </c>
      <c r="W6979" s="21">
        <v>1</v>
      </c>
      <c r="X6979" s="21">
        <v>0</v>
      </c>
      <c r="Y6979" s="21">
        <v>0</v>
      </c>
      <c r="Z6979" s="21">
        <v>0</v>
      </c>
      <c r="AA6979" s="21">
        <v>0</v>
      </c>
      <c r="AB6979" s="21">
        <v>0</v>
      </c>
      <c r="AC6979" s="21">
        <v>0</v>
      </c>
      <c r="AD6979" s="21">
        <v>0</v>
      </c>
      <c r="AE6979" s="21">
        <v>0</v>
      </c>
      <c r="AF6979" s="21">
        <v>0</v>
      </c>
      <c r="AG6979" s="21">
        <v>0</v>
      </c>
      <c r="AH6979" s="21">
        <f t="shared" si="126"/>
        <v>96</v>
      </c>
      <c r="AI6979" s="21"/>
      <c r="AJ6979" s="21" t="s">
        <v>54</v>
      </c>
      <c r="AK6979" s="21" t="s">
        <v>95</v>
      </c>
      <c r="AL6979" s="21" t="s">
        <v>1957</v>
      </c>
      <c r="AM6979" s="21" t="s">
        <v>2134</v>
      </c>
      <c r="AN6979" s="21">
        <v>-122.432668283333</v>
      </c>
      <c r="AO6979" s="21">
        <v>37.789185166666698</v>
      </c>
      <c r="AP6979" s="21" t="s">
        <v>1915</v>
      </c>
    </row>
    <row r="6980" spans="1:42">
      <c r="A6980" s="20">
        <v>43853</v>
      </c>
      <c r="B6980" s="21">
        <v>4</v>
      </c>
      <c r="C6980" s="21">
        <v>985</v>
      </c>
      <c r="D6980" s="21">
        <v>14358</v>
      </c>
      <c r="E6980" s="21" t="s">
        <v>2123</v>
      </c>
      <c r="F6980" s="21" t="s">
        <v>520</v>
      </c>
      <c r="G6980" s="21">
        <v>1</v>
      </c>
      <c r="H6980" s="21">
        <v>6</v>
      </c>
      <c r="I6980" s="23" t="s">
        <v>2135</v>
      </c>
      <c r="J6980" s="21"/>
      <c r="K6980" s="21" t="s">
        <v>56</v>
      </c>
      <c r="L6980" s="21"/>
      <c r="M6980" s="21"/>
      <c r="N6980" s="21" t="s">
        <v>40</v>
      </c>
      <c r="O6980" s="21">
        <f>60+8</f>
        <v>68</v>
      </c>
      <c r="P6980" s="21"/>
      <c r="Q6980" s="21">
        <f t="shared" si="125"/>
        <v>4</v>
      </c>
      <c r="R6980" s="21">
        <v>1</v>
      </c>
      <c r="S6980" s="21">
        <v>0</v>
      </c>
      <c r="T6980" s="21">
        <v>0</v>
      </c>
      <c r="U6980" s="21">
        <v>0</v>
      </c>
      <c r="V6980" s="21">
        <v>3</v>
      </c>
      <c r="W6980" s="21">
        <v>1</v>
      </c>
      <c r="X6980" s="21">
        <v>0</v>
      </c>
      <c r="Y6980" s="21">
        <v>0</v>
      </c>
      <c r="Z6980" s="21">
        <v>0</v>
      </c>
      <c r="AA6980" s="21">
        <v>0</v>
      </c>
      <c r="AB6980" s="21">
        <v>0</v>
      </c>
      <c r="AC6980" s="21">
        <v>0</v>
      </c>
      <c r="AD6980" s="21">
        <v>0</v>
      </c>
      <c r="AE6980" s="21">
        <v>0</v>
      </c>
      <c r="AF6980" s="21">
        <v>0</v>
      </c>
      <c r="AG6980" s="21">
        <v>0</v>
      </c>
      <c r="AH6980" s="21">
        <f t="shared" si="126"/>
        <v>288</v>
      </c>
      <c r="AI6980" s="21"/>
      <c r="AJ6980" s="21"/>
      <c r="AK6980" s="21"/>
      <c r="AL6980" s="21"/>
      <c r="AM6980" s="21" t="s">
        <v>2136</v>
      </c>
      <c r="AN6980" s="21">
        <v>-122.43289066666701</v>
      </c>
      <c r="AO6980" s="21">
        <v>37.789124883333301</v>
      </c>
      <c r="AP6980" s="21" t="s">
        <v>1915</v>
      </c>
    </row>
    <row r="6981" spans="1:42">
      <c r="A6981" s="20">
        <v>43853</v>
      </c>
      <c r="B6981" s="21">
        <v>4</v>
      </c>
      <c r="C6981" s="21">
        <v>985</v>
      </c>
      <c r="D6981" s="21">
        <v>14358</v>
      </c>
      <c r="E6981" s="21" t="s">
        <v>2123</v>
      </c>
      <c r="F6981" s="21" t="s">
        <v>520</v>
      </c>
      <c r="G6981" s="21">
        <v>1</v>
      </c>
      <c r="H6981" s="21">
        <v>7</v>
      </c>
      <c r="I6981" s="23" t="s">
        <v>2137</v>
      </c>
      <c r="J6981" s="21"/>
      <c r="K6981" s="21" t="s">
        <v>2125</v>
      </c>
      <c r="L6981" s="21"/>
      <c r="M6981" s="21"/>
      <c r="N6981" s="21" t="s">
        <v>40</v>
      </c>
      <c r="O6981" s="21">
        <f>60+2</f>
        <v>62</v>
      </c>
      <c r="P6981" s="21"/>
      <c r="Q6981" s="21">
        <f t="shared" si="125"/>
        <v>2</v>
      </c>
      <c r="R6981" s="21">
        <v>1</v>
      </c>
      <c r="S6981" s="21">
        <v>0</v>
      </c>
      <c r="T6981" s="21">
        <v>0</v>
      </c>
      <c r="U6981" s="21">
        <v>0</v>
      </c>
      <c r="V6981" s="21">
        <v>2</v>
      </c>
      <c r="W6981" s="21">
        <v>0</v>
      </c>
      <c r="X6981" s="21">
        <v>0</v>
      </c>
      <c r="Y6981" s="21">
        <v>0</v>
      </c>
      <c r="Z6981" s="21">
        <v>0</v>
      </c>
      <c r="AA6981" s="21">
        <v>0</v>
      </c>
      <c r="AB6981" s="21">
        <v>0</v>
      </c>
      <c r="AC6981" s="21">
        <v>0</v>
      </c>
      <c r="AD6981" s="21">
        <v>0</v>
      </c>
      <c r="AE6981" s="21">
        <v>0</v>
      </c>
      <c r="AF6981" s="21">
        <v>0</v>
      </c>
      <c r="AG6981" s="21">
        <v>0</v>
      </c>
      <c r="AH6981" s="21">
        <f t="shared" si="126"/>
        <v>128</v>
      </c>
      <c r="AI6981" s="21"/>
      <c r="AJ6981" s="21" t="s">
        <v>54</v>
      </c>
      <c r="AK6981" s="21" t="s">
        <v>52</v>
      </c>
      <c r="AL6981" s="21"/>
      <c r="AM6981" s="21" t="s">
        <v>2138</v>
      </c>
      <c r="AN6981" s="21">
        <v>-122.43301643333299</v>
      </c>
      <c r="AO6981" s="21">
        <v>37.789104999999999</v>
      </c>
      <c r="AP6981" s="21" t="s">
        <v>1915</v>
      </c>
    </row>
    <row r="6982" spans="1:42">
      <c r="A6982" s="20">
        <v>43853</v>
      </c>
      <c r="B6982" s="21">
        <v>4</v>
      </c>
      <c r="C6982" s="21">
        <v>985</v>
      </c>
      <c r="D6982" s="21">
        <v>14358</v>
      </c>
      <c r="E6982" s="21" t="s">
        <v>2123</v>
      </c>
      <c r="F6982" s="21" t="s">
        <v>520</v>
      </c>
      <c r="G6982" s="21">
        <v>1</v>
      </c>
      <c r="H6982" s="21">
        <v>8</v>
      </c>
      <c r="I6982" s="23" t="s">
        <v>2139</v>
      </c>
      <c r="J6982" s="21"/>
      <c r="K6982" s="21" t="s">
        <v>2125</v>
      </c>
      <c r="L6982" s="21"/>
      <c r="M6982" s="21"/>
      <c r="N6982" s="21" t="s">
        <v>44</v>
      </c>
      <c r="O6982" s="21">
        <f>60+60+2</f>
        <v>122</v>
      </c>
      <c r="P6982" s="21"/>
      <c r="Q6982" s="21">
        <f t="shared" si="125"/>
        <v>1</v>
      </c>
      <c r="R6982" s="21">
        <v>1</v>
      </c>
      <c r="S6982" s="21">
        <v>0</v>
      </c>
      <c r="T6982" s="21">
        <v>0</v>
      </c>
      <c r="U6982" s="21">
        <v>0</v>
      </c>
      <c r="V6982" s="21">
        <v>0</v>
      </c>
      <c r="W6982" s="21">
        <v>1</v>
      </c>
      <c r="X6982" s="21">
        <v>0</v>
      </c>
      <c r="Y6982" s="21">
        <v>0</v>
      </c>
      <c r="Z6982" s="21">
        <v>0</v>
      </c>
      <c r="AA6982" s="21">
        <v>0</v>
      </c>
      <c r="AB6982" s="21">
        <v>0</v>
      </c>
      <c r="AC6982" s="21">
        <v>0</v>
      </c>
      <c r="AD6982" s="21">
        <v>0</v>
      </c>
      <c r="AE6982" s="21">
        <v>0</v>
      </c>
      <c r="AF6982" s="21">
        <v>0</v>
      </c>
      <c r="AG6982" s="21">
        <v>0</v>
      </c>
      <c r="AH6982" s="21">
        <f t="shared" si="126"/>
        <v>96</v>
      </c>
      <c r="AI6982" s="21"/>
      <c r="AJ6982" s="21" t="s">
        <v>54</v>
      </c>
      <c r="AK6982" s="21" t="s">
        <v>52</v>
      </c>
      <c r="AL6982" s="21"/>
      <c r="AM6982" s="21" t="s">
        <v>2140</v>
      </c>
      <c r="AN6982" s="21">
        <v>-122.43317405000001</v>
      </c>
      <c r="AO6982" s="21">
        <v>37.789083983333299</v>
      </c>
      <c r="AP6982" s="21" t="s">
        <v>1915</v>
      </c>
    </row>
    <row r="6983" spans="1:42">
      <c r="A6983" s="20">
        <v>43853</v>
      </c>
      <c r="B6983" s="21">
        <v>4</v>
      </c>
      <c r="C6983" s="21">
        <v>985</v>
      </c>
      <c r="D6983" s="21">
        <v>14358</v>
      </c>
      <c r="E6983" s="21" t="s">
        <v>2123</v>
      </c>
      <c r="F6983" s="21" t="s">
        <v>520</v>
      </c>
      <c r="G6983" s="21">
        <v>1</v>
      </c>
      <c r="H6983" s="21">
        <v>9</v>
      </c>
      <c r="I6983" s="23" t="s">
        <v>2141</v>
      </c>
      <c r="J6983" s="21"/>
      <c r="K6983" s="21" t="s">
        <v>2125</v>
      </c>
      <c r="L6983" s="21"/>
      <c r="M6983" s="21"/>
      <c r="N6983" s="21" t="s">
        <v>40</v>
      </c>
      <c r="O6983" s="21">
        <v>35</v>
      </c>
      <c r="P6983" s="21"/>
      <c r="Q6983" s="21">
        <f t="shared" si="125"/>
        <v>1</v>
      </c>
      <c r="R6983" s="21">
        <v>1</v>
      </c>
      <c r="S6983" s="21">
        <v>0</v>
      </c>
      <c r="T6983" s="21">
        <v>0</v>
      </c>
      <c r="U6983" s="21">
        <v>0</v>
      </c>
      <c r="V6983" s="21">
        <v>0</v>
      </c>
      <c r="W6983" s="21">
        <v>1</v>
      </c>
      <c r="X6983" s="21">
        <v>0</v>
      </c>
      <c r="Y6983" s="21">
        <v>0</v>
      </c>
      <c r="Z6983" s="21">
        <v>0</v>
      </c>
      <c r="AA6983" s="21">
        <v>0</v>
      </c>
      <c r="AB6983" s="21">
        <v>0</v>
      </c>
      <c r="AC6983" s="21">
        <v>0</v>
      </c>
      <c r="AD6983" s="21">
        <v>0</v>
      </c>
      <c r="AE6983" s="21">
        <v>0</v>
      </c>
      <c r="AF6983" s="21">
        <v>0</v>
      </c>
      <c r="AG6983" s="21">
        <v>0</v>
      </c>
      <c r="AH6983" s="21">
        <f t="shared" si="126"/>
        <v>96</v>
      </c>
      <c r="AI6983" s="21"/>
      <c r="AJ6983" s="21" t="s">
        <v>54</v>
      </c>
      <c r="AK6983" s="21" t="s">
        <v>52</v>
      </c>
      <c r="AL6983" s="21"/>
      <c r="AM6983" s="21" t="s">
        <v>2142</v>
      </c>
      <c r="AN6983" s="21">
        <v>-122.433155066667</v>
      </c>
      <c r="AO6983" s="21">
        <v>37.789054666666701</v>
      </c>
      <c r="AP6983" s="21" t="s">
        <v>1915</v>
      </c>
    </row>
    <row r="6984" spans="1:42">
      <c r="A6984" s="20">
        <v>43853</v>
      </c>
      <c r="B6984" s="21">
        <v>4</v>
      </c>
      <c r="C6984" s="21">
        <v>985</v>
      </c>
      <c r="D6984" s="21">
        <v>14358</v>
      </c>
      <c r="E6984" s="21" t="s">
        <v>2123</v>
      </c>
      <c r="F6984" s="21" t="s">
        <v>520</v>
      </c>
      <c r="G6984" s="21">
        <v>1</v>
      </c>
      <c r="H6984" s="21">
        <v>10</v>
      </c>
      <c r="I6984" s="23" t="s">
        <v>2143</v>
      </c>
      <c r="J6984" s="21"/>
      <c r="K6984" s="21" t="s">
        <v>2125</v>
      </c>
      <c r="L6984" s="21"/>
      <c r="M6984" s="21"/>
      <c r="N6984" s="21" t="s">
        <v>44</v>
      </c>
      <c r="O6984" s="21">
        <f>60+51</f>
        <v>111</v>
      </c>
      <c r="P6984" s="21"/>
      <c r="Q6984" s="21">
        <f t="shared" si="125"/>
        <v>2</v>
      </c>
      <c r="R6984" s="21">
        <v>1</v>
      </c>
      <c r="S6984" s="21">
        <v>0</v>
      </c>
      <c r="T6984" s="21">
        <v>0</v>
      </c>
      <c r="U6984" s="21">
        <v>0</v>
      </c>
      <c r="V6984" s="21">
        <v>1</v>
      </c>
      <c r="W6984" s="21">
        <v>1</v>
      </c>
      <c r="X6984" s="21">
        <v>0</v>
      </c>
      <c r="Y6984" s="21">
        <v>0</v>
      </c>
      <c r="Z6984" s="21">
        <v>0</v>
      </c>
      <c r="AA6984" s="21">
        <v>0</v>
      </c>
      <c r="AB6984" s="21">
        <v>0</v>
      </c>
      <c r="AC6984" s="21">
        <v>0</v>
      </c>
      <c r="AD6984" s="21">
        <v>0</v>
      </c>
      <c r="AE6984" s="21">
        <v>0</v>
      </c>
      <c r="AF6984" s="21">
        <v>0</v>
      </c>
      <c r="AG6984" s="21">
        <v>0</v>
      </c>
      <c r="AH6984" s="21">
        <f t="shared" si="126"/>
        <v>160</v>
      </c>
      <c r="AI6984" s="21"/>
      <c r="AJ6984" s="21" t="s">
        <v>54</v>
      </c>
      <c r="AK6984" s="21" t="s">
        <v>52</v>
      </c>
      <c r="AL6984" s="21" t="s">
        <v>597</v>
      </c>
      <c r="AM6984" s="21" t="s">
        <v>2144</v>
      </c>
      <c r="AN6984" s="21">
        <v>-122.43331425</v>
      </c>
      <c r="AO6984" s="21">
        <v>37.789092066666697</v>
      </c>
      <c r="AP6984" s="21" t="s">
        <v>1915</v>
      </c>
    </row>
    <row r="6985" spans="1:42">
      <c r="A6985" s="20">
        <v>43853</v>
      </c>
      <c r="B6985" s="21">
        <v>4</v>
      </c>
      <c r="C6985" s="21">
        <v>985</v>
      </c>
      <c r="D6985" s="21">
        <v>14358</v>
      </c>
      <c r="E6985" s="21" t="s">
        <v>2123</v>
      </c>
      <c r="F6985" s="21" t="s">
        <v>520</v>
      </c>
      <c r="G6985" s="21">
        <v>1</v>
      </c>
      <c r="H6985" s="21">
        <v>11</v>
      </c>
      <c r="I6985" s="23" t="s">
        <v>2145</v>
      </c>
      <c r="J6985" s="21"/>
      <c r="K6985" s="21" t="s">
        <v>2125</v>
      </c>
      <c r="L6985" s="21"/>
      <c r="M6985" s="21"/>
      <c r="N6985" s="21" t="s">
        <v>44</v>
      </c>
      <c r="O6985" s="21">
        <f>60+60+60+46</f>
        <v>226</v>
      </c>
      <c r="P6985" s="21"/>
      <c r="Q6985" s="21">
        <f t="shared" si="125"/>
        <v>3</v>
      </c>
      <c r="R6985" s="21">
        <v>1</v>
      </c>
      <c r="S6985" s="21">
        <v>0</v>
      </c>
      <c r="T6985" s="21">
        <v>0</v>
      </c>
      <c r="U6985" s="21">
        <v>0</v>
      </c>
      <c r="V6985" s="21">
        <v>2</v>
      </c>
      <c r="W6985" s="21">
        <v>1</v>
      </c>
      <c r="X6985" s="21">
        <v>0</v>
      </c>
      <c r="Y6985" s="21">
        <v>0</v>
      </c>
      <c r="Z6985" s="21">
        <v>0</v>
      </c>
      <c r="AA6985" s="21">
        <v>0</v>
      </c>
      <c r="AB6985" s="21">
        <v>0</v>
      </c>
      <c r="AC6985" s="21">
        <v>0</v>
      </c>
      <c r="AD6985" s="21">
        <v>0</v>
      </c>
      <c r="AE6985" s="21">
        <v>0</v>
      </c>
      <c r="AF6985" s="21">
        <v>0</v>
      </c>
      <c r="AG6985" s="21">
        <v>0</v>
      </c>
      <c r="AH6985" s="21">
        <f t="shared" si="126"/>
        <v>224</v>
      </c>
      <c r="AI6985" s="21"/>
      <c r="AJ6985" s="21" t="s">
        <v>54</v>
      </c>
      <c r="AK6985" s="21" t="s">
        <v>52</v>
      </c>
      <c r="AL6985" s="21" t="s">
        <v>2146</v>
      </c>
      <c r="AM6985" s="21" t="s">
        <v>2147</v>
      </c>
      <c r="AN6985" s="21">
        <v>-122.43348975000001</v>
      </c>
      <c r="AO6985" s="21">
        <v>37.789068416666602</v>
      </c>
      <c r="AP6985" s="21" t="s">
        <v>1915</v>
      </c>
    </row>
    <row r="6986" spans="1:42">
      <c r="A6986" s="20">
        <v>43853</v>
      </c>
      <c r="B6986" s="21">
        <v>4</v>
      </c>
      <c r="C6986" s="21">
        <v>985</v>
      </c>
      <c r="D6986" s="21">
        <v>14358</v>
      </c>
      <c r="E6986" s="21" t="s">
        <v>2123</v>
      </c>
      <c r="F6986" s="21" t="s">
        <v>520</v>
      </c>
      <c r="G6986" s="21">
        <v>1</v>
      </c>
      <c r="H6986" s="21">
        <v>12</v>
      </c>
      <c r="I6986" s="23" t="s">
        <v>2148</v>
      </c>
      <c r="J6986" s="21"/>
      <c r="K6986" s="21" t="s">
        <v>909</v>
      </c>
      <c r="L6986" s="21"/>
      <c r="M6986" s="21"/>
      <c r="N6986" s="21" t="s">
        <v>40</v>
      </c>
      <c r="O6986" s="21">
        <v>33</v>
      </c>
      <c r="P6986" s="21"/>
      <c r="Q6986" s="21">
        <f t="shared" si="125"/>
        <v>1</v>
      </c>
      <c r="R6986" s="21">
        <v>1</v>
      </c>
      <c r="S6986" s="21">
        <v>0</v>
      </c>
      <c r="T6986" s="21">
        <v>0</v>
      </c>
      <c r="U6986" s="21">
        <v>1</v>
      </c>
      <c r="V6986" s="21">
        <v>0</v>
      </c>
      <c r="W6986" s="21">
        <v>0</v>
      </c>
      <c r="X6986" s="21">
        <v>0</v>
      </c>
      <c r="Y6986" s="21">
        <v>0</v>
      </c>
      <c r="Z6986" s="21">
        <v>0</v>
      </c>
      <c r="AA6986" s="21">
        <v>0</v>
      </c>
      <c r="AB6986" s="21">
        <v>0</v>
      </c>
      <c r="AC6986" s="21">
        <v>0</v>
      </c>
      <c r="AD6986" s="21">
        <v>0</v>
      </c>
      <c r="AE6986" s="21">
        <v>0</v>
      </c>
      <c r="AF6986" s="21">
        <v>0</v>
      </c>
      <c r="AG6986" s="21">
        <v>0</v>
      </c>
      <c r="AH6986" s="21">
        <f t="shared" si="126"/>
        <v>32</v>
      </c>
      <c r="AI6986" s="21"/>
      <c r="AJ6986" s="21" t="s">
        <v>51</v>
      </c>
      <c r="AK6986" s="21" t="s">
        <v>52</v>
      </c>
      <c r="AL6986" s="21"/>
      <c r="AM6986" s="21" t="s">
        <v>2149</v>
      </c>
      <c r="AN6986" s="21">
        <v>-122.433863033333</v>
      </c>
      <c r="AO6986" s="21">
        <v>37.790034183333297</v>
      </c>
      <c r="AP6986" s="21" t="s">
        <v>1915</v>
      </c>
    </row>
    <row r="6987" spans="1:42">
      <c r="A6987" s="20">
        <v>43853</v>
      </c>
      <c r="B6987" s="21">
        <v>4</v>
      </c>
      <c r="C6987" s="21">
        <v>985</v>
      </c>
      <c r="D6987" s="21">
        <v>14358</v>
      </c>
      <c r="E6987" s="21" t="s">
        <v>2123</v>
      </c>
      <c r="F6987" s="21" t="s">
        <v>520</v>
      </c>
      <c r="G6987" s="21">
        <v>1</v>
      </c>
      <c r="H6987" s="21">
        <v>13</v>
      </c>
      <c r="I6987" s="23" t="s">
        <v>2150</v>
      </c>
      <c r="J6987" s="21"/>
      <c r="K6987" s="21" t="s">
        <v>909</v>
      </c>
      <c r="L6987" s="21"/>
      <c r="M6987" s="21"/>
      <c r="N6987" s="21" t="s">
        <v>40</v>
      </c>
      <c r="O6987" s="21">
        <v>42</v>
      </c>
      <c r="P6987" s="21"/>
      <c r="Q6987" s="21">
        <f t="shared" si="125"/>
        <v>2</v>
      </c>
      <c r="R6987" s="21">
        <v>1</v>
      </c>
      <c r="S6987" s="21">
        <v>0</v>
      </c>
      <c r="T6987" s="21">
        <v>0</v>
      </c>
      <c r="U6987" s="21">
        <v>1</v>
      </c>
      <c r="V6987" s="21">
        <v>1</v>
      </c>
      <c r="W6987" s="21">
        <v>0</v>
      </c>
      <c r="X6987" s="21">
        <v>0</v>
      </c>
      <c r="Y6987" s="21">
        <v>0</v>
      </c>
      <c r="Z6987" s="21">
        <v>0</v>
      </c>
      <c r="AA6987" s="21">
        <v>0</v>
      </c>
      <c r="AB6987" s="21">
        <v>0</v>
      </c>
      <c r="AC6987" s="21">
        <v>0</v>
      </c>
      <c r="AD6987" s="21">
        <v>0</v>
      </c>
      <c r="AE6987" s="21">
        <v>0</v>
      </c>
      <c r="AF6987" s="21">
        <v>0</v>
      </c>
      <c r="AG6987" s="21">
        <v>0</v>
      </c>
      <c r="AH6987" s="21">
        <f t="shared" si="126"/>
        <v>96</v>
      </c>
      <c r="AI6987" s="21"/>
      <c r="AJ6987" s="21" t="s">
        <v>51</v>
      </c>
      <c r="AK6987" s="21" t="s">
        <v>95</v>
      </c>
      <c r="AL6987" s="21"/>
      <c r="AM6987" s="21" t="s">
        <v>2151</v>
      </c>
      <c r="AN6987" s="21">
        <v>-122.43400288333299</v>
      </c>
      <c r="AO6987" s="21">
        <v>37.7901356666666</v>
      </c>
      <c r="AP6987" s="21" t="s">
        <v>1915</v>
      </c>
    </row>
    <row r="6988" spans="1:42">
      <c r="A6988" s="20">
        <v>43853</v>
      </c>
      <c r="B6988" s="21">
        <v>4</v>
      </c>
      <c r="C6988" s="21">
        <v>985</v>
      </c>
      <c r="D6988" s="21">
        <v>14358</v>
      </c>
      <c r="E6988" s="21" t="s">
        <v>2123</v>
      </c>
      <c r="F6988" s="21" t="s">
        <v>520</v>
      </c>
      <c r="G6988" s="21">
        <v>1</v>
      </c>
      <c r="H6988" s="21">
        <v>14</v>
      </c>
      <c r="I6988" s="23" t="s">
        <v>2152</v>
      </c>
      <c r="J6988" s="21"/>
      <c r="K6988" s="21" t="s">
        <v>909</v>
      </c>
      <c r="L6988" s="21"/>
      <c r="M6988" s="21"/>
      <c r="N6988" s="21" t="s">
        <v>1703</v>
      </c>
      <c r="O6988" s="21">
        <f>60+29</f>
        <v>89</v>
      </c>
      <c r="P6988" s="21"/>
      <c r="Q6988" s="21">
        <f t="shared" si="125"/>
        <v>3</v>
      </c>
      <c r="R6988" s="21">
        <v>1</v>
      </c>
      <c r="S6988" s="21">
        <v>0</v>
      </c>
      <c r="T6988" s="21">
        <v>0</v>
      </c>
      <c r="U6988" s="21">
        <v>0</v>
      </c>
      <c r="V6988" s="21">
        <v>0</v>
      </c>
      <c r="W6988" s="21">
        <v>3</v>
      </c>
      <c r="X6988" s="21">
        <v>0</v>
      </c>
      <c r="Y6988" s="21">
        <v>0</v>
      </c>
      <c r="Z6988" s="21">
        <v>0</v>
      </c>
      <c r="AA6988" s="21">
        <v>0</v>
      </c>
      <c r="AB6988" s="21">
        <v>0</v>
      </c>
      <c r="AC6988" s="21">
        <v>0</v>
      </c>
      <c r="AD6988" s="21">
        <v>0</v>
      </c>
      <c r="AE6988" s="21">
        <v>0</v>
      </c>
      <c r="AF6988" s="21">
        <v>0</v>
      </c>
      <c r="AG6988" s="21">
        <v>0</v>
      </c>
      <c r="AH6988" s="21">
        <f t="shared" si="126"/>
        <v>288</v>
      </c>
      <c r="AI6988" s="21"/>
      <c r="AJ6988" s="21" t="s">
        <v>51</v>
      </c>
      <c r="AK6988" s="21" t="s">
        <v>52</v>
      </c>
      <c r="AL6988" s="21" t="s">
        <v>2153</v>
      </c>
      <c r="AM6988" s="21" t="s">
        <v>2154</v>
      </c>
      <c r="AN6988" s="21">
        <v>-122.434032983333</v>
      </c>
      <c r="AO6988" s="21">
        <v>37.790206866666601</v>
      </c>
      <c r="AP6988" s="21" t="s">
        <v>1915</v>
      </c>
    </row>
    <row r="6989" spans="1:42">
      <c r="A6989" s="20">
        <v>43853</v>
      </c>
      <c r="B6989" s="21">
        <v>4</v>
      </c>
      <c r="C6989" s="21">
        <v>985</v>
      </c>
      <c r="D6989" s="21">
        <v>14358</v>
      </c>
      <c r="E6989" s="21" t="s">
        <v>2123</v>
      </c>
      <c r="F6989" s="21" t="s">
        <v>520</v>
      </c>
      <c r="G6989" s="21">
        <v>1</v>
      </c>
      <c r="H6989" s="21">
        <v>15</v>
      </c>
      <c r="I6989" s="23" t="s">
        <v>2155</v>
      </c>
      <c r="J6989" s="21"/>
      <c r="K6989" s="21" t="s">
        <v>909</v>
      </c>
      <c r="L6989" s="21"/>
      <c r="M6989" s="21"/>
      <c r="N6989" s="21" t="s">
        <v>1703</v>
      </c>
      <c r="O6989" s="21">
        <v>60</v>
      </c>
      <c r="P6989" s="21"/>
      <c r="Q6989" s="21">
        <f t="shared" si="125"/>
        <v>2</v>
      </c>
      <c r="R6989" s="21">
        <v>1</v>
      </c>
      <c r="S6989" s="21">
        <v>0</v>
      </c>
      <c r="T6989" s="21">
        <v>0</v>
      </c>
      <c r="U6989" s="21">
        <v>2</v>
      </c>
      <c r="V6989" s="21">
        <v>0</v>
      </c>
      <c r="W6989" s="21">
        <v>0</v>
      </c>
      <c r="X6989" s="21">
        <v>0</v>
      </c>
      <c r="Y6989" s="21">
        <v>0</v>
      </c>
      <c r="Z6989" s="21">
        <v>0</v>
      </c>
      <c r="AA6989" s="21">
        <v>0</v>
      </c>
      <c r="AB6989" s="21">
        <v>0</v>
      </c>
      <c r="AC6989" s="21">
        <v>0</v>
      </c>
      <c r="AD6989" s="21">
        <v>0</v>
      </c>
      <c r="AE6989" s="21">
        <v>0</v>
      </c>
      <c r="AF6989" s="21">
        <v>0</v>
      </c>
      <c r="AG6989" s="21">
        <v>0</v>
      </c>
      <c r="AH6989" s="21">
        <f t="shared" si="126"/>
        <v>64</v>
      </c>
      <c r="AI6989" s="21"/>
      <c r="AJ6989" s="21" t="s">
        <v>51</v>
      </c>
      <c r="AK6989" s="21" t="s">
        <v>52</v>
      </c>
      <c r="AL6989" s="21" t="s">
        <v>2156</v>
      </c>
      <c r="AM6989" s="21" t="s">
        <v>2157</v>
      </c>
      <c r="AN6989" s="21">
        <v>-122.434138316667</v>
      </c>
      <c r="AO6989" s="21">
        <v>37.790457683333301</v>
      </c>
      <c r="AP6989" s="21" t="s">
        <v>1915</v>
      </c>
    </row>
    <row r="6990" spans="1:42">
      <c r="A6990" s="20">
        <v>43853</v>
      </c>
      <c r="B6990" s="21">
        <v>4</v>
      </c>
      <c r="C6990" s="21">
        <v>985</v>
      </c>
      <c r="D6990" s="21">
        <v>14358</v>
      </c>
      <c r="E6990" s="21" t="s">
        <v>2123</v>
      </c>
      <c r="F6990" s="21" t="s">
        <v>520</v>
      </c>
      <c r="G6990" s="21">
        <v>1</v>
      </c>
      <c r="H6990" s="21">
        <v>16</v>
      </c>
      <c r="I6990" s="23" t="s">
        <v>2158</v>
      </c>
      <c r="J6990" s="21"/>
      <c r="K6990" s="21" t="s">
        <v>909</v>
      </c>
      <c r="L6990" s="21"/>
      <c r="M6990" s="21"/>
      <c r="N6990" s="21" t="s">
        <v>40</v>
      </c>
      <c r="O6990" s="21">
        <v>23</v>
      </c>
      <c r="P6990" s="21"/>
      <c r="Q6990" s="21">
        <f t="shared" si="125"/>
        <v>1</v>
      </c>
      <c r="R6990" s="21">
        <v>1</v>
      </c>
      <c r="S6990" s="21">
        <v>0</v>
      </c>
      <c r="T6990" s="21">
        <v>0</v>
      </c>
      <c r="U6990" s="21">
        <v>1</v>
      </c>
      <c r="V6990" s="21">
        <v>0</v>
      </c>
      <c r="W6990" s="21">
        <v>0</v>
      </c>
      <c r="X6990" s="21">
        <v>0</v>
      </c>
      <c r="Y6990" s="21">
        <v>0</v>
      </c>
      <c r="Z6990" s="21">
        <v>0</v>
      </c>
      <c r="AA6990" s="21">
        <v>0</v>
      </c>
      <c r="AB6990" s="21">
        <v>0</v>
      </c>
      <c r="AC6990" s="21">
        <v>0</v>
      </c>
      <c r="AD6990" s="21">
        <v>0</v>
      </c>
      <c r="AE6990" s="21">
        <v>0</v>
      </c>
      <c r="AF6990" s="21">
        <v>0</v>
      </c>
      <c r="AG6990" s="21">
        <v>0</v>
      </c>
      <c r="AH6990" s="21">
        <f t="shared" si="126"/>
        <v>32</v>
      </c>
      <c r="AI6990" s="21"/>
      <c r="AJ6990" s="21"/>
      <c r="AK6990" s="21"/>
      <c r="AL6990" s="21"/>
      <c r="AM6990" s="21" t="s">
        <v>2159</v>
      </c>
      <c r="AN6990" s="21">
        <v>-122.43410963333299</v>
      </c>
      <c r="AO6990" s="21">
        <v>37.790522633333303</v>
      </c>
      <c r="AP6990" s="21" t="s">
        <v>1915</v>
      </c>
    </row>
    <row r="6991" spans="1:42">
      <c r="A6991" s="20">
        <v>43853</v>
      </c>
      <c r="B6991" s="21">
        <v>4</v>
      </c>
      <c r="C6991" s="21">
        <v>985</v>
      </c>
      <c r="D6991" s="21">
        <v>14358</v>
      </c>
      <c r="E6991" s="21" t="s">
        <v>2123</v>
      </c>
      <c r="F6991" s="21" t="s">
        <v>520</v>
      </c>
      <c r="G6991" s="21">
        <v>1</v>
      </c>
      <c r="H6991" s="21">
        <v>18</v>
      </c>
      <c r="I6991" s="23" t="s">
        <v>2160</v>
      </c>
      <c r="J6991" s="21"/>
      <c r="K6991" s="21" t="s">
        <v>516</v>
      </c>
      <c r="L6991" s="21"/>
      <c r="M6991" s="21"/>
      <c r="N6991" s="21" t="s">
        <v>40</v>
      </c>
      <c r="O6991" s="21">
        <v>41</v>
      </c>
      <c r="P6991" s="21"/>
      <c r="Q6991" s="21">
        <f t="shared" si="125"/>
        <v>1</v>
      </c>
      <c r="R6991" s="21">
        <v>1</v>
      </c>
      <c r="S6991" s="21">
        <v>0</v>
      </c>
      <c r="T6991" s="21">
        <v>0</v>
      </c>
      <c r="U6991" s="21">
        <v>1</v>
      </c>
      <c r="V6991" s="21">
        <v>0</v>
      </c>
      <c r="W6991" s="21">
        <v>0</v>
      </c>
      <c r="X6991" s="21">
        <v>0</v>
      </c>
      <c r="Y6991" s="21">
        <v>0</v>
      </c>
      <c r="Z6991" s="21">
        <v>0</v>
      </c>
      <c r="AA6991" s="21">
        <v>0</v>
      </c>
      <c r="AB6991" s="21">
        <v>0</v>
      </c>
      <c r="AC6991" s="21">
        <v>0</v>
      </c>
      <c r="AD6991" s="21">
        <v>0</v>
      </c>
      <c r="AE6991" s="21">
        <v>0</v>
      </c>
      <c r="AF6991" s="21">
        <v>0</v>
      </c>
      <c r="AG6991" s="21">
        <v>0</v>
      </c>
      <c r="AH6991" s="21">
        <f t="shared" si="126"/>
        <v>32</v>
      </c>
      <c r="AI6991" s="21"/>
      <c r="AJ6991" s="21" t="s">
        <v>51</v>
      </c>
      <c r="AK6991" s="21" t="s">
        <v>95</v>
      </c>
      <c r="AL6991" s="21"/>
      <c r="AM6991" s="21" t="s">
        <v>2161</v>
      </c>
      <c r="AN6991" s="21">
        <v>-122.434750466667</v>
      </c>
      <c r="AO6991" s="21">
        <v>37.791663700000001</v>
      </c>
      <c r="AP6991" s="21" t="s">
        <v>1915</v>
      </c>
    </row>
    <row r="6992" spans="1:42">
      <c r="A6992" s="20">
        <v>43853</v>
      </c>
      <c r="B6992" s="21">
        <v>4</v>
      </c>
      <c r="C6992" s="21">
        <v>985</v>
      </c>
      <c r="D6992" s="21">
        <v>14358</v>
      </c>
      <c r="E6992" s="21" t="s">
        <v>2123</v>
      </c>
      <c r="F6992" s="21" t="s">
        <v>520</v>
      </c>
      <c r="G6992" s="21">
        <v>1</v>
      </c>
      <c r="H6992" s="21">
        <v>19</v>
      </c>
      <c r="I6992" s="23" t="s">
        <v>2162</v>
      </c>
      <c r="J6992" s="21"/>
      <c r="K6992" s="21" t="s">
        <v>113</v>
      </c>
      <c r="L6992" s="21"/>
      <c r="M6992" s="21"/>
      <c r="N6992" s="21" t="s">
        <v>40</v>
      </c>
      <c r="O6992" s="21">
        <v>33</v>
      </c>
      <c r="P6992" s="21"/>
      <c r="Q6992" s="21">
        <f t="shared" si="125"/>
        <v>2</v>
      </c>
      <c r="R6992" s="21">
        <v>1</v>
      </c>
      <c r="S6992" s="21">
        <v>0</v>
      </c>
      <c r="T6992" s="21">
        <v>0</v>
      </c>
      <c r="U6992" s="21">
        <v>2</v>
      </c>
      <c r="V6992" s="21">
        <v>0</v>
      </c>
      <c r="W6992" s="21">
        <v>0</v>
      </c>
      <c r="X6992" s="21">
        <v>0</v>
      </c>
      <c r="Y6992" s="21">
        <v>0</v>
      </c>
      <c r="Z6992" s="21">
        <v>0</v>
      </c>
      <c r="AA6992" s="21">
        <v>0</v>
      </c>
      <c r="AB6992" s="21">
        <v>0</v>
      </c>
      <c r="AC6992" s="21">
        <v>0</v>
      </c>
      <c r="AD6992" s="21">
        <v>0</v>
      </c>
      <c r="AE6992" s="21">
        <v>0</v>
      </c>
      <c r="AF6992" s="21">
        <v>0</v>
      </c>
      <c r="AG6992" s="21">
        <v>0</v>
      </c>
      <c r="AH6992" s="21">
        <f t="shared" si="126"/>
        <v>64</v>
      </c>
      <c r="AI6992" s="21"/>
      <c r="AJ6992" s="21"/>
      <c r="AK6992" s="21"/>
      <c r="AL6992" s="21"/>
      <c r="AM6992" s="21" t="s">
        <v>2163</v>
      </c>
      <c r="AN6992" s="21">
        <v>-122.436226933333</v>
      </c>
      <c r="AO6992" s="21">
        <v>37.791750716666598</v>
      </c>
      <c r="AP6992" s="21" t="s">
        <v>1915</v>
      </c>
    </row>
    <row r="6993" spans="1:42">
      <c r="A6993" s="20">
        <v>43853</v>
      </c>
      <c r="B6993" s="21">
        <v>4</v>
      </c>
      <c r="C6993" s="21">
        <v>985</v>
      </c>
      <c r="D6993" s="21">
        <v>14358</v>
      </c>
      <c r="E6993" s="21" t="s">
        <v>2123</v>
      </c>
      <c r="F6993" s="21" t="s">
        <v>520</v>
      </c>
      <c r="G6993" s="21">
        <v>1</v>
      </c>
      <c r="H6993" s="21">
        <v>20</v>
      </c>
      <c r="I6993" s="23" t="s">
        <v>2164</v>
      </c>
      <c r="J6993" s="21"/>
      <c r="K6993" s="21" t="s">
        <v>113</v>
      </c>
      <c r="L6993" s="21"/>
      <c r="M6993" s="21"/>
      <c r="N6993" s="21" t="s">
        <v>40</v>
      </c>
      <c r="O6993" s="21">
        <v>35</v>
      </c>
      <c r="P6993" s="21"/>
      <c r="Q6993" s="21">
        <f t="shared" si="125"/>
        <v>1</v>
      </c>
      <c r="R6993" s="21">
        <v>1</v>
      </c>
      <c r="S6993" s="21">
        <v>0</v>
      </c>
      <c r="T6993" s="21">
        <v>0</v>
      </c>
      <c r="U6993" s="21">
        <v>0</v>
      </c>
      <c r="V6993" s="21">
        <v>1</v>
      </c>
      <c r="W6993" s="21">
        <v>0</v>
      </c>
      <c r="X6993" s="21">
        <v>0</v>
      </c>
      <c r="Y6993" s="21">
        <v>0</v>
      </c>
      <c r="Z6993" s="21">
        <v>0</v>
      </c>
      <c r="AA6993" s="21">
        <v>0</v>
      </c>
      <c r="AB6993" s="21">
        <v>0</v>
      </c>
      <c r="AC6993" s="21">
        <v>0</v>
      </c>
      <c r="AD6993" s="21">
        <v>0</v>
      </c>
      <c r="AE6993" s="21">
        <v>0</v>
      </c>
      <c r="AF6993" s="21">
        <v>0</v>
      </c>
      <c r="AG6993" s="21">
        <v>0</v>
      </c>
      <c r="AH6993" s="21">
        <f t="shared" si="126"/>
        <v>64</v>
      </c>
      <c r="AI6993" s="21"/>
      <c r="AJ6993" s="21"/>
      <c r="AK6993" s="21"/>
      <c r="AL6993" s="21"/>
      <c r="AM6993" s="21" t="s">
        <v>2165</v>
      </c>
      <c r="AN6993" s="21">
        <v>-122.436218083333</v>
      </c>
      <c r="AO6993" s="21">
        <v>37.791977799999998</v>
      </c>
      <c r="AP6993" s="21" t="s">
        <v>1915</v>
      </c>
    </row>
    <row r="6994" spans="1:42">
      <c r="A6994" s="20">
        <v>43853</v>
      </c>
      <c r="B6994" s="21">
        <v>4</v>
      </c>
      <c r="C6994" s="21">
        <v>985</v>
      </c>
      <c r="D6994" s="21">
        <v>14358</v>
      </c>
      <c r="E6994" s="21" t="s">
        <v>2123</v>
      </c>
      <c r="F6994" s="21" t="s">
        <v>520</v>
      </c>
      <c r="G6994" s="21">
        <v>1</v>
      </c>
      <c r="H6994" s="21">
        <v>21</v>
      </c>
      <c r="I6994" s="23" t="s">
        <v>2166</v>
      </c>
      <c r="J6994" s="21"/>
      <c r="K6994" s="21" t="s">
        <v>647</v>
      </c>
      <c r="L6994" s="21"/>
      <c r="M6994" s="21"/>
      <c r="N6994" s="21" t="s">
        <v>40</v>
      </c>
      <c r="O6994" s="21">
        <v>34</v>
      </c>
      <c r="P6994" s="21"/>
      <c r="Q6994" s="21">
        <f t="shared" si="125"/>
        <v>1</v>
      </c>
      <c r="R6994" s="21">
        <v>1</v>
      </c>
      <c r="S6994" s="21">
        <v>0</v>
      </c>
      <c r="T6994" s="21">
        <v>0</v>
      </c>
      <c r="U6994" s="21">
        <v>0</v>
      </c>
      <c r="V6994" s="21">
        <v>1</v>
      </c>
      <c r="W6994" s="21">
        <v>0</v>
      </c>
      <c r="X6994" s="21">
        <v>0</v>
      </c>
      <c r="Y6994" s="21">
        <v>0</v>
      </c>
      <c r="Z6994" s="21">
        <v>0</v>
      </c>
      <c r="AA6994" s="21">
        <v>0</v>
      </c>
      <c r="AB6994" s="21">
        <v>0</v>
      </c>
      <c r="AC6994" s="21">
        <v>0</v>
      </c>
      <c r="AD6994" s="21">
        <v>0</v>
      </c>
      <c r="AE6994" s="21">
        <v>0</v>
      </c>
      <c r="AF6994" s="21">
        <v>0</v>
      </c>
      <c r="AG6994" s="21">
        <v>0</v>
      </c>
      <c r="AH6994" s="21">
        <f t="shared" si="126"/>
        <v>64</v>
      </c>
      <c r="AI6994" s="21"/>
      <c r="AJ6994" s="21"/>
      <c r="AK6994" s="21"/>
      <c r="AL6994" s="21"/>
      <c r="AM6994" s="21" t="s">
        <v>2167</v>
      </c>
      <c r="AN6994" s="21">
        <v>-122.435784183333</v>
      </c>
      <c r="AO6994" s="21">
        <v>37.792337383333297</v>
      </c>
      <c r="AP6994" s="21" t="s">
        <v>1915</v>
      </c>
    </row>
    <row r="6995" spans="1:42">
      <c r="A6995" s="20">
        <v>43853</v>
      </c>
      <c r="B6995" s="21">
        <v>4</v>
      </c>
      <c r="C6995" s="21">
        <v>985</v>
      </c>
      <c r="D6995" s="21">
        <v>14358</v>
      </c>
      <c r="E6995" s="21" t="s">
        <v>2123</v>
      </c>
      <c r="F6995" s="21" t="s">
        <v>520</v>
      </c>
      <c r="G6995" s="21">
        <v>1</v>
      </c>
      <c r="H6995" s="21">
        <v>22</v>
      </c>
      <c r="I6995" s="23" t="s">
        <v>2168</v>
      </c>
      <c r="J6995" s="21"/>
      <c r="K6995" s="21" t="s">
        <v>647</v>
      </c>
      <c r="L6995" s="21"/>
      <c r="M6995" s="21"/>
      <c r="N6995" s="21" t="s">
        <v>40</v>
      </c>
      <c r="O6995" s="21">
        <v>39</v>
      </c>
      <c r="P6995" s="21"/>
      <c r="Q6995" s="21">
        <f t="shared" si="125"/>
        <v>2</v>
      </c>
      <c r="R6995" s="21">
        <v>1</v>
      </c>
      <c r="S6995" s="21">
        <v>0</v>
      </c>
      <c r="T6995" s="21">
        <v>0</v>
      </c>
      <c r="U6995" s="21">
        <v>2</v>
      </c>
      <c r="V6995" s="21">
        <v>0</v>
      </c>
      <c r="W6995" s="21">
        <v>0</v>
      </c>
      <c r="X6995" s="21">
        <v>0</v>
      </c>
      <c r="Y6995" s="21">
        <v>0</v>
      </c>
      <c r="Z6995" s="21">
        <v>0</v>
      </c>
      <c r="AA6995" s="21">
        <v>0</v>
      </c>
      <c r="AB6995" s="21">
        <v>0</v>
      </c>
      <c r="AC6995" s="21">
        <v>0</v>
      </c>
      <c r="AD6995" s="21">
        <v>0</v>
      </c>
      <c r="AE6995" s="21">
        <v>0</v>
      </c>
      <c r="AF6995" s="21">
        <v>0</v>
      </c>
      <c r="AG6995" s="21">
        <v>0</v>
      </c>
      <c r="AH6995" s="21">
        <f t="shared" si="126"/>
        <v>64</v>
      </c>
      <c r="AI6995" s="21"/>
      <c r="AJ6995" s="21"/>
      <c r="AK6995" s="21"/>
      <c r="AL6995" s="21"/>
      <c r="AM6995" s="21" t="s">
        <v>2169</v>
      </c>
      <c r="AN6995" s="21">
        <v>-122.4357038</v>
      </c>
      <c r="AO6995" s="21">
        <v>37.7922950833333</v>
      </c>
      <c r="AP6995" s="21" t="s">
        <v>1915</v>
      </c>
    </row>
    <row r="6996" spans="1:42">
      <c r="A6996" s="20">
        <v>43853</v>
      </c>
      <c r="B6996" s="21">
        <v>4</v>
      </c>
      <c r="C6996" s="21">
        <v>985</v>
      </c>
      <c r="D6996" s="21">
        <v>14358</v>
      </c>
      <c r="E6996" s="21" t="s">
        <v>2123</v>
      </c>
      <c r="F6996" s="21" t="s">
        <v>520</v>
      </c>
      <c r="G6996" s="21">
        <v>1</v>
      </c>
      <c r="H6996" s="21">
        <v>23</v>
      </c>
      <c r="I6996" s="23" t="s">
        <v>2170</v>
      </c>
      <c r="J6996" s="21"/>
      <c r="K6996" t="s">
        <v>605</v>
      </c>
      <c r="L6996" s="21"/>
      <c r="M6996" s="21"/>
      <c r="N6996" s="21" t="s">
        <v>40</v>
      </c>
      <c r="O6996" s="21">
        <f>60+19</f>
        <v>79</v>
      </c>
      <c r="P6996" s="21"/>
      <c r="Q6996" s="21">
        <f t="shared" si="125"/>
        <v>4</v>
      </c>
      <c r="R6996" s="21">
        <v>1</v>
      </c>
      <c r="S6996" s="21">
        <v>0</v>
      </c>
      <c r="T6996" s="21">
        <v>0</v>
      </c>
      <c r="U6996" s="21">
        <v>0</v>
      </c>
      <c r="V6996" s="21">
        <v>4</v>
      </c>
      <c r="W6996" s="21">
        <v>0</v>
      </c>
      <c r="X6996" s="21">
        <v>0</v>
      </c>
      <c r="Y6996" s="21">
        <v>0</v>
      </c>
      <c r="Z6996" s="21">
        <v>0</v>
      </c>
      <c r="AA6996" s="21">
        <v>0</v>
      </c>
      <c r="AB6996" s="21">
        <v>0</v>
      </c>
      <c r="AC6996" s="21">
        <v>0</v>
      </c>
      <c r="AD6996" s="21">
        <v>0</v>
      </c>
      <c r="AE6996" s="21">
        <v>0</v>
      </c>
      <c r="AF6996" s="21">
        <v>0</v>
      </c>
      <c r="AG6996" s="21">
        <v>0</v>
      </c>
      <c r="AH6996" s="21">
        <f t="shared" si="126"/>
        <v>256</v>
      </c>
      <c r="AI6996" s="21"/>
      <c r="AJ6996" s="21" t="s">
        <v>51</v>
      </c>
      <c r="AK6996" s="21" t="s">
        <v>52</v>
      </c>
      <c r="AL6996" s="21"/>
      <c r="AM6996" s="21" t="s">
        <v>2171</v>
      </c>
      <c r="AN6996" s="21">
        <v>-122.43599098512701</v>
      </c>
      <c r="AO6996" s="21">
        <v>37.792900608207503</v>
      </c>
      <c r="AP6996" s="21" t="s">
        <v>1915</v>
      </c>
    </row>
    <row r="6997" spans="1:42">
      <c r="A6997" s="20">
        <v>43853</v>
      </c>
      <c r="B6997" s="21">
        <v>4</v>
      </c>
      <c r="C6997" s="21">
        <v>985</v>
      </c>
      <c r="D6997" s="21">
        <v>14358</v>
      </c>
      <c r="E6997" s="21" t="s">
        <v>2123</v>
      </c>
      <c r="F6997" s="21" t="s">
        <v>520</v>
      </c>
      <c r="G6997" s="21">
        <v>1</v>
      </c>
      <c r="H6997" s="21">
        <v>24</v>
      </c>
      <c r="I6997" s="23" t="s">
        <v>2172</v>
      </c>
      <c r="J6997" s="21"/>
      <c r="K6997" s="21" t="s">
        <v>647</v>
      </c>
      <c r="L6997" s="21"/>
      <c r="M6997" s="21"/>
      <c r="N6997" s="21" t="s">
        <v>40</v>
      </c>
      <c r="O6997" s="21">
        <v>37</v>
      </c>
      <c r="P6997" s="21"/>
      <c r="Q6997" s="21">
        <f t="shared" si="125"/>
        <v>2</v>
      </c>
      <c r="R6997" s="21">
        <v>1</v>
      </c>
      <c r="S6997" s="21">
        <v>0</v>
      </c>
      <c r="T6997" s="21">
        <v>0</v>
      </c>
      <c r="U6997" s="21">
        <v>0</v>
      </c>
      <c r="V6997" s="21">
        <v>2</v>
      </c>
      <c r="W6997" s="21">
        <v>0</v>
      </c>
      <c r="X6997" s="21">
        <v>0</v>
      </c>
      <c r="Y6997" s="21">
        <v>0</v>
      </c>
      <c r="Z6997" s="21">
        <v>0</v>
      </c>
      <c r="AA6997" s="21">
        <v>0</v>
      </c>
      <c r="AB6997" s="21">
        <v>0</v>
      </c>
      <c r="AC6997" s="21">
        <v>0</v>
      </c>
      <c r="AD6997" s="21">
        <v>0</v>
      </c>
      <c r="AE6997" s="21">
        <v>0</v>
      </c>
      <c r="AF6997" s="21">
        <v>0</v>
      </c>
      <c r="AG6997" s="21">
        <v>0</v>
      </c>
      <c r="AH6997" s="21">
        <f t="shared" si="126"/>
        <v>128</v>
      </c>
      <c r="AI6997" s="21"/>
      <c r="AJ6997" s="21"/>
      <c r="AK6997" s="21"/>
      <c r="AL6997" s="21"/>
      <c r="AM6997" s="21" t="s">
        <v>2173</v>
      </c>
      <c r="AN6997" s="21">
        <v>-122.435394816667</v>
      </c>
      <c r="AO6997" s="21">
        <v>37.792305033333299</v>
      </c>
      <c r="AP6997" s="21" t="s">
        <v>1915</v>
      </c>
    </row>
    <row r="6998" spans="1:42">
      <c r="A6998" s="20">
        <v>43853</v>
      </c>
      <c r="B6998" s="21">
        <v>4</v>
      </c>
      <c r="C6998" s="21">
        <v>985</v>
      </c>
      <c r="D6998" s="21">
        <v>14358</v>
      </c>
      <c r="E6998" s="21" t="s">
        <v>2123</v>
      </c>
      <c r="F6998" s="21" t="s">
        <v>520</v>
      </c>
      <c r="G6998" s="21">
        <v>1</v>
      </c>
      <c r="H6998" s="21">
        <v>25</v>
      </c>
      <c r="I6998" s="23" t="s">
        <v>2174</v>
      </c>
      <c r="J6998" s="21"/>
      <c r="K6998" s="21" t="s">
        <v>647</v>
      </c>
      <c r="L6998" s="21"/>
      <c r="M6998" s="21"/>
      <c r="N6998" s="21" t="s">
        <v>40</v>
      </c>
      <c r="O6998" s="21">
        <f>60+46</f>
        <v>106</v>
      </c>
      <c r="P6998" s="21"/>
      <c r="Q6998" s="21">
        <f t="shared" si="125"/>
        <v>1</v>
      </c>
      <c r="R6998" s="21">
        <v>1</v>
      </c>
      <c r="S6998" s="21">
        <v>0</v>
      </c>
      <c r="T6998" s="21">
        <v>0</v>
      </c>
      <c r="U6998" s="21">
        <v>0</v>
      </c>
      <c r="V6998" s="21">
        <v>0</v>
      </c>
      <c r="W6998" s="21">
        <v>1</v>
      </c>
      <c r="X6998" s="21">
        <v>0</v>
      </c>
      <c r="Y6998" s="21">
        <v>0</v>
      </c>
      <c r="Z6998" s="21">
        <v>0</v>
      </c>
      <c r="AA6998" s="21">
        <v>0</v>
      </c>
      <c r="AB6998" s="21">
        <v>0</v>
      </c>
      <c r="AC6998" s="21">
        <v>0</v>
      </c>
      <c r="AD6998" s="21">
        <v>0</v>
      </c>
      <c r="AE6998" s="21">
        <v>0</v>
      </c>
      <c r="AF6998" s="21">
        <v>0</v>
      </c>
      <c r="AG6998" s="21">
        <v>0</v>
      </c>
      <c r="AH6998" s="21">
        <f t="shared" si="126"/>
        <v>96</v>
      </c>
      <c r="AI6998" s="21"/>
      <c r="AJ6998" s="21" t="s">
        <v>51</v>
      </c>
      <c r="AK6998" s="21" t="s">
        <v>52</v>
      </c>
      <c r="AL6998" s="21"/>
      <c r="AM6998" s="21" t="s">
        <v>2175</v>
      </c>
      <c r="AN6998" s="21">
        <v>-122.43519803333299</v>
      </c>
      <c r="AO6998" s="21">
        <v>37.792340833333299</v>
      </c>
      <c r="AP6998" s="21" t="s">
        <v>1915</v>
      </c>
    </row>
    <row r="6999" spans="1:42">
      <c r="A6999" s="20">
        <v>43853</v>
      </c>
      <c r="B6999" s="21">
        <v>4</v>
      </c>
      <c r="C6999" s="21">
        <v>985</v>
      </c>
      <c r="D6999" s="21">
        <v>14358</v>
      </c>
      <c r="E6999" s="21" t="s">
        <v>2123</v>
      </c>
      <c r="F6999" s="21" t="s">
        <v>520</v>
      </c>
      <c r="G6999" s="21">
        <v>1</v>
      </c>
      <c r="H6999" s="21">
        <v>26</v>
      </c>
      <c r="I6999" s="23" t="s">
        <v>2164</v>
      </c>
      <c r="J6999" s="21"/>
      <c r="K6999" s="21" t="s">
        <v>647</v>
      </c>
      <c r="L6999" s="21"/>
      <c r="M6999" s="21"/>
      <c r="N6999" s="21" t="s">
        <v>40</v>
      </c>
      <c r="O6999" s="21">
        <v>45</v>
      </c>
      <c r="P6999" s="21"/>
      <c r="Q6999" s="21">
        <f t="shared" si="125"/>
        <v>2</v>
      </c>
      <c r="R6999" s="21">
        <v>1</v>
      </c>
      <c r="S6999" s="21">
        <v>0</v>
      </c>
      <c r="T6999" s="21">
        <v>0</v>
      </c>
      <c r="U6999" s="21">
        <v>0</v>
      </c>
      <c r="V6999" s="21">
        <v>0</v>
      </c>
      <c r="W6999" s="21">
        <v>2</v>
      </c>
      <c r="X6999" s="21">
        <v>0</v>
      </c>
      <c r="Y6999" s="21">
        <v>0</v>
      </c>
      <c r="Z6999" s="21">
        <v>0</v>
      </c>
      <c r="AA6999" s="21">
        <v>0</v>
      </c>
      <c r="AB6999" s="21">
        <v>0</v>
      </c>
      <c r="AC6999" s="21">
        <v>0</v>
      </c>
      <c r="AD6999" s="21">
        <v>0</v>
      </c>
      <c r="AE6999" s="21">
        <v>0</v>
      </c>
      <c r="AF6999" s="21">
        <v>0</v>
      </c>
      <c r="AG6999" s="21">
        <v>0</v>
      </c>
      <c r="AH6999" s="21">
        <f t="shared" si="126"/>
        <v>192</v>
      </c>
      <c r="AI6999" s="21"/>
      <c r="AJ6999" s="21"/>
      <c r="AK6999" s="21"/>
      <c r="AL6999" s="21"/>
      <c r="AM6999" s="21" t="s">
        <v>2176</v>
      </c>
      <c r="AN6999" s="21">
        <v>-122.43472755000001</v>
      </c>
      <c r="AO6999" s="21">
        <v>37.7924804833333</v>
      </c>
      <c r="AP6999" s="21" t="s">
        <v>1915</v>
      </c>
    </row>
    <row r="7000" spans="1:42">
      <c r="A7000" s="20">
        <v>43853</v>
      </c>
      <c r="B7000" s="21">
        <v>4</v>
      </c>
      <c r="C7000" s="21">
        <v>985</v>
      </c>
      <c r="D7000" s="21">
        <v>14358</v>
      </c>
      <c r="E7000" s="21" t="s">
        <v>2123</v>
      </c>
      <c r="F7000" s="21" t="s">
        <v>520</v>
      </c>
      <c r="G7000" s="21">
        <v>1</v>
      </c>
      <c r="H7000" s="21">
        <v>27</v>
      </c>
      <c r="I7000" s="23" t="s">
        <v>2177</v>
      </c>
      <c r="J7000" s="21"/>
      <c r="K7000" s="21" t="s">
        <v>909</v>
      </c>
      <c r="L7000" s="21"/>
      <c r="M7000" s="21"/>
      <c r="N7000" s="21" t="s">
        <v>1703</v>
      </c>
      <c r="O7000" s="21">
        <v>43</v>
      </c>
      <c r="P7000" s="21"/>
      <c r="Q7000" s="21">
        <f t="shared" si="125"/>
        <v>1</v>
      </c>
      <c r="R7000" s="21">
        <v>1</v>
      </c>
      <c r="S7000" s="21">
        <v>0</v>
      </c>
      <c r="T7000" s="21">
        <v>0</v>
      </c>
      <c r="U7000" s="21">
        <v>1</v>
      </c>
      <c r="V7000" s="21">
        <v>0</v>
      </c>
      <c r="W7000" s="21">
        <v>0</v>
      </c>
      <c r="X7000" s="21">
        <v>0</v>
      </c>
      <c r="Y7000" s="21">
        <v>0</v>
      </c>
      <c r="Z7000" s="21">
        <v>0</v>
      </c>
      <c r="AA7000" s="21">
        <v>0</v>
      </c>
      <c r="AB7000" s="21">
        <v>0</v>
      </c>
      <c r="AC7000" s="21">
        <v>0</v>
      </c>
      <c r="AD7000" s="21">
        <v>0</v>
      </c>
      <c r="AE7000" s="21">
        <v>0</v>
      </c>
      <c r="AF7000" s="21">
        <v>1</v>
      </c>
      <c r="AG7000" s="21">
        <v>0</v>
      </c>
      <c r="AH7000" s="21">
        <f t="shared" si="126"/>
        <v>32</v>
      </c>
      <c r="AI7000" s="21"/>
      <c r="AJ7000" s="21"/>
      <c r="AK7000" s="21"/>
      <c r="AL7000" s="21" t="s">
        <v>2178</v>
      </c>
      <c r="AM7000" s="21" t="s">
        <v>2179</v>
      </c>
      <c r="AN7000" s="21">
        <v>-122.43433555</v>
      </c>
      <c r="AO7000" s="21">
        <v>37.790414833333301</v>
      </c>
      <c r="AP7000" s="21" t="s">
        <v>1915</v>
      </c>
    </row>
    <row r="7001" spans="1:42">
      <c r="A7001" s="20">
        <v>43853</v>
      </c>
      <c r="B7001" s="21">
        <v>4</v>
      </c>
      <c r="C7001" s="21">
        <v>985</v>
      </c>
      <c r="D7001" s="21">
        <v>14358</v>
      </c>
      <c r="E7001" s="21" t="s">
        <v>2123</v>
      </c>
      <c r="F7001" s="21" t="s">
        <v>520</v>
      </c>
      <c r="G7001" s="21">
        <v>1</v>
      </c>
      <c r="H7001" s="21">
        <v>28</v>
      </c>
      <c r="I7001" s="23" t="s">
        <v>2180</v>
      </c>
      <c r="J7001" s="21"/>
      <c r="K7001" s="21" t="s">
        <v>909</v>
      </c>
      <c r="L7001" s="21"/>
      <c r="M7001" s="21"/>
      <c r="N7001" s="21" t="s">
        <v>40</v>
      </c>
      <c r="O7001" s="21">
        <v>45</v>
      </c>
      <c r="P7001" s="21"/>
      <c r="Q7001" s="21">
        <f t="shared" si="125"/>
        <v>1</v>
      </c>
      <c r="R7001" s="21">
        <v>1</v>
      </c>
      <c r="S7001" s="21">
        <v>0</v>
      </c>
      <c r="T7001" s="21">
        <v>0</v>
      </c>
      <c r="U7001" s="21">
        <v>0</v>
      </c>
      <c r="V7001" s="21">
        <v>0</v>
      </c>
      <c r="W7001" s="21">
        <v>1</v>
      </c>
      <c r="X7001" s="21">
        <v>0</v>
      </c>
      <c r="Y7001" s="21">
        <v>0</v>
      </c>
      <c r="Z7001" s="21">
        <v>0</v>
      </c>
      <c r="AA7001" s="21">
        <v>0</v>
      </c>
      <c r="AB7001" s="21">
        <v>0</v>
      </c>
      <c r="AC7001" s="21">
        <v>0</v>
      </c>
      <c r="AD7001" s="21">
        <v>0</v>
      </c>
      <c r="AE7001" s="21">
        <v>0</v>
      </c>
      <c r="AF7001" s="21">
        <v>0</v>
      </c>
      <c r="AG7001" s="21">
        <v>0</v>
      </c>
      <c r="AH7001" s="21">
        <f t="shared" si="126"/>
        <v>96</v>
      </c>
      <c r="AI7001" s="21"/>
      <c r="AJ7001" s="21"/>
      <c r="AK7001" s="21"/>
      <c r="AL7001" s="21"/>
      <c r="AM7001" s="21" t="s">
        <v>2181</v>
      </c>
      <c r="AN7001" s="21">
        <v>-122.43421435</v>
      </c>
      <c r="AO7001" s="21">
        <v>37.790122500000003</v>
      </c>
      <c r="AP7001" s="21" t="s">
        <v>1915</v>
      </c>
    </row>
    <row r="7002" spans="1:42">
      <c r="A7002" s="20">
        <v>43853</v>
      </c>
      <c r="B7002" s="21">
        <v>4</v>
      </c>
      <c r="C7002" s="21">
        <v>985</v>
      </c>
      <c r="D7002" s="21">
        <v>14358</v>
      </c>
      <c r="E7002" s="21" t="s">
        <v>2123</v>
      </c>
      <c r="F7002" s="21" t="s">
        <v>520</v>
      </c>
      <c r="G7002" s="21">
        <v>1</v>
      </c>
      <c r="H7002" s="21">
        <v>29</v>
      </c>
      <c r="I7002" s="23" t="s">
        <v>2182</v>
      </c>
      <c r="J7002" s="21"/>
      <c r="K7002" s="21" t="s">
        <v>909</v>
      </c>
      <c r="L7002" s="21"/>
      <c r="M7002" s="21"/>
      <c r="N7002" s="21" t="s">
        <v>40</v>
      </c>
      <c r="O7002" s="21">
        <v>35</v>
      </c>
      <c r="P7002" s="21"/>
      <c r="Q7002" s="21">
        <f t="shared" si="125"/>
        <v>1</v>
      </c>
      <c r="R7002" s="21">
        <v>1</v>
      </c>
      <c r="S7002" s="21">
        <v>0</v>
      </c>
      <c r="T7002" s="21">
        <v>0</v>
      </c>
      <c r="U7002" s="21">
        <v>0</v>
      </c>
      <c r="V7002" s="21">
        <v>0</v>
      </c>
      <c r="W7002" s="21">
        <v>1</v>
      </c>
      <c r="X7002" s="21">
        <v>0</v>
      </c>
      <c r="Y7002" s="21">
        <v>0</v>
      </c>
      <c r="Z7002" s="21">
        <v>0</v>
      </c>
      <c r="AA7002" s="21">
        <v>0</v>
      </c>
      <c r="AB7002" s="21">
        <v>0</v>
      </c>
      <c r="AC7002" s="21">
        <v>0</v>
      </c>
      <c r="AD7002" s="21">
        <v>0</v>
      </c>
      <c r="AE7002" s="21">
        <v>0</v>
      </c>
      <c r="AF7002" s="21">
        <v>0</v>
      </c>
      <c r="AG7002" s="21">
        <v>0</v>
      </c>
      <c r="AH7002" s="21">
        <f t="shared" si="126"/>
        <v>96</v>
      </c>
      <c r="AI7002" s="21"/>
      <c r="AJ7002" s="21"/>
      <c r="AK7002" s="21"/>
      <c r="AL7002" s="21"/>
      <c r="AM7002" s="21" t="s">
        <v>2183</v>
      </c>
      <c r="AN7002" s="21">
        <v>-122.43408165</v>
      </c>
      <c r="AO7002" s="21">
        <v>37.789949350000001</v>
      </c>
      <c r="AP7002" s="21" t="s">
        <v>1915</v>
      </c>
    </row>
    <row r="7003" spans="1:42">
      <c r="A7003" s="20">
        <v>43853</v>
      </c>
      <c r="B7003" s="21">
        <v>4</v>
      </c>
      <c r="C7003" s="21">
        <v>985</v>
      </c>
      <c r="D7003" s="21">
        <v>14358</v>
      </c>
      <c r="E7003" s="21" t="s">
        <v>2123</v>
      </c>
      <c r="F7003" s="21" t="s">
        <v>520</v>
      </c>
      <c r="G7003" s="21">
        <v>1</v>
      </c>
      <c r="H7003" s="21">
        <v>30</v>
      </c>
      <c r="I7003" s="23" t="s">
        <v>2184</v>
      </c>
      <c r="J7003" s="21"/>
      <c r="K7003" s="21" t="s">
        <v>68</v>
      </c>
      <c r="L7003" s="21"/>
      <c r="M7003" s="21"/>
      <c r="N7003" s="21" t="s">
        <v>44</v>
      </c>
      <c r="O7003" s="21">
        <f>60+30</f>
        <v>90</v>
      </c>
      <c r="P7003" s="21"/>
      <c r="Q7003" s="21">
        <f t="shared" si="125"/>
        <v>1</v>
      </c>
      <c r="R7003" s="21">
        <v>1</v>
      </c>
      <c r="S7003" s="21">
        <v>0</v>
      </c>
      <c r="T7003" s="21">
        <v>0</v>
      </c>
      <c r="U7003" s="21">
        <v>0</v>
      </c>
      <c r="V7003" s="21">
        <v>0</v>
      </c>
      <c r="W7003" s="21">
        <v>1</v>
      </c>
      <c r="X7003" s="21">
        <v>0</v>
      </c>
      <c r="Y7003" s="21">
        <v>0</v>
      </c>
      <c r="Z7003" s="21">
        <v>0</v>
      </c>
      <c r="AA7003" s="21">
        <v>0</v>
      </c>
      <c r="AB7003" s="21">
        <v>0</v>
      </c>
      <c r="AC7003" s="21">
        <v>0</v>
      </c>
      <c r="AD7003" s="21">
        <v>0</v>
      </c>
      <c r="AE7003" s="21">
        <v>0</v>
      </c>
      <c r="AF7003" s="21">
        <v>0</v>
      </c>
      <c r="AG7003" s="21">
        <v>0</v>
      </c>
      <c r="AH7003" s="21">
        <f t="shared" si="126"/>
        <v>96</v>
      </c>
      <c r="AI7003" s="21"/>
      <c r="AJ7003" s="21"/>
      <c r="AK7003" s="21"/>
      <c r="AL7003" s="21" t="s">
        <v>2111</v>
      </c>
      <c r="AM7003" s="21" t="s">
        <v>2185</v>
      </c>
      <c r="AN7003" s="21">
        <v>-122.43528576666699</v>
      </c>
      <c r="AO7003" s="21">
        <v>37.790708549999998</v>
      </c>
      <c r="AP7003" s="21" t="s">
        <v>1915</v>
      </c>
    </row>
    <row r="7004" spans="1:42">
      <c r="A7004" s="20">
        <v>43853</v>
      </c>
      <c r="B7004" s="21">
        <v>4</v>
      </c>
      <c r="C7004" s="21">
        <v>985</v>
      </c>
      <c r="D7004" s="21">
        <v>14358</v>
      </c>
      <c r="E7004" s="21" t="s">
        <v>2123</v>
      </c>
      <c r="F7004" s="21" t="s">
        <v>520</v>
      </c>
      <c r="G7004" s="21">
        <v>1</v>
      </c>
      <c r="H7004" s="21">
        <v>31</v>
      </c>
      <c r="I7004" s="23" t="s">
        <v>2186</v>
      </c>
      <c r="J7004" s="21"/>
      <c r="K7004" s="21" t="s">
        <v>68</v>
      </c>
      <c r="L7004" s="21"/>
      <c r="M7004" s="21"/>
      <c r="N7004" s="21" t="s">
        <v>44</v>
      </c>
      <c r="O7004" s="21">
        <f>60+60+34</f>
        <v>154</v>
      </c>
      <c r="P7004" s="21"/>
      <c r="Q7004" s="21">
        <f t="shared" si="125"/>
        <v>1</v>
      </c>
      <c r="R7004" s="21">
        <v>1</v>
      </c>
      <c r="S7004" s="21">
        <v>0</v>
      </c>
      <c r="T7004" s="21">
        <v>0</v>
      </c>
      <c r="U7004" s="21">
        <v>0</v>
      </c>
      <c r="V7004" s="21">
        <v>0</v>
      </c>
      <c r="W7004" s="21">
        <v>1</v>
      </c>
      <c r="X7004" s="21">
        <v>0</v>
      </c>
      <c r="Y7004" s="21">
        <v>0</v>
      </c>
      <c r="Z7004" s="21">
        <v>0</v>
      </c>
      <c r="AA7004" s="21">
        <v>0</v>
      </c>
      <c r="AB7004" s="21">
        <v>0</v>
      </c>
      <c r="AC7004" s="21">
        <v>0</v>
      </c>
      <c r="AD7004" s="21">
        <v>0</v>
      </c>
      <c r="AE7004" s="21">
        <v>0</v>
      </c>
      <c r="AF7004" s="21">
        <v>0</v>
      </c>
      <c r="AG7004" s="21">
        <v>0</v>
      </c>
      <c r="AH7004" s="21">
        <f t="shared" si="126"/>
        <v>96</v>
      </c>
      <c r="AI7004" s="21"/>
      <c r="AJ7004" s="21" t="s">
        <v>54</v>
      </c>
      <c r="AK7004" s="21" t="s">
        <v>52</v>
      </c>
      <c r="AL7004" s="21" t="s">
        <v>2187</v>
      </c>
      <c r="AM7004" s="21" t="s">
        <v>2188</v>
      </c>
      <c r="AN7004" s="21">
        <v>-122.43493580000001</v>
      </c>
      <c r="AO7004" s="21">
        <v>37.790547133333298</v>
      </c>
      <c r="AP7004" s="21" t="s">
        <v>1915</v>
      </c>
    </row>
    <row r="7005" spans="1:42">
      <c r="A7005" s="20">
        <v>43853</v>
      </c>
      <c r="B7005" s="21">
        <v>4</v>
      </c>
      <c r="C7005" s="21">
        <v>985</v>
      </c>
      <c r="D7005" s="21">
        <v>14358</v>
      </c>
      <c r="E7005" s="21" t="s">
        <v>2123</v>
      </c>
      <c r="F7005" s="21" t="s">
        <v>520</v>
      </c>
      <c r="G7005" s="21">
        <v>1</v>
      </c>
      <c r="H7005" s="21">
        <v>32</v>
      </c>
      <c r="I7005" s="23" t="s">
        <v>2189</v>
      </c>
      <c r="J7005" s="21"/>
      <c r="K7005" s="21" t="s">
        <v>68</v>
      </c>
      <c r="L7005" s="21"/>
      <c r="M7005" s="21"/>
      <c r="N7005" s="21" t="s">
        <v>44</v>
      </c>
      <c r="O7005" s="21">
        <f>60+9</f>
        <v>69</v>
      </c>
      <c r="P7005" s="21"/>
      <c r="Q7005" s="21">
        <f t="shared" si="125"/>
        <v>1</v>
      </c>
      <c r="R7005" s="21">
        <v>1</v>
      </c>
      <c r="S7005" s="21">
        <v>0</v>
      </c>
      <c r="T7005" s="21">
        <v>0</v>
      </c>
      <c r="U7005" s="21">
        <v>0</v>
      </c>
      <c r="V7005" s="21">
        <v>0</v>
      </c>
      <c r="W7005" s="21">
        <v>1</v>
      </c>
      <c r="X7005" s="21">
        <v>0</v>
      </c>
      <c r="Y7005" s="21">
        <v>0</v>
      </c>
      <c r="Z7005" s="21">
        <v>0</v>
      </c>
      <c r="AA7005" s="21">
        <v>0</v>
      </c>
      <c r="AB7005" s="21">
        <v>0</v>
      </c>
      <c r="AC7005" s="21">
        <v>0</v>
      </c>
      <c r="AD7005" s="21">
        <v>0</v>
      </c>
      <c r="AE7005" s="21">
        <v>0</v>
      </c>
      <c r="AF7005" s="21">
        <v>0</v>
      </c>
      <c r="AG7005" s="21">
        <v>0</v>
      </c>
      <c r="AH7005" s="21">
        <f t="shared" si="126"/>
        <v>96</v>
      </c>
      <c r="AI7005" s="21"/>
      <c r="AJ7005" s="21" t="s">
        <v>51</v>
      </c>
      <c r="AK7005" s="21" t="s">
        <v>52</v>
      </c>
      <c r="AL7005" s="21" t="s">
        <v>2190</v>
      </c>
      <c r="AM7005" s="21" t="s">
        <v>2191</v>
      </c>
      <c r="AN7005" s="21">
        <v>-122.434925166667</v>
      </c>
      <c r="AO7005" s="21">
        <v>37.790605333333303</v>
      </c>
      <c r="AP7005" s="21" t="s">
        <v>1915</v>
      </c>
    </row>
    <row r="7006" spans="1:42">
      <c r="A7006" s="20">
        <v>43853</v>
      </c>
      <c r="B7006" s="21">
        <v>4</v>
      </c>
      <c r="C7006" s="21">
        <v>985</v>
      </c>
      <c r="D7006" s="21">
        <v>14358</v>
      </c>
      <c r="E7006" s="21" t="s">
        <v>2123</v>
      </c>
      <c r="F7006" s="21" t="s">
        <v>520</v>
      </c>
      <c r="G7006" s="21">
        <v>1</v>
      </c>
      <c r="H7006" s="21">
        <v>33</v>
      </c>
      <c r="I7006" s="23" t="s">
        <v>2192</v>
      </c>
      <c r="J7006" s="21"/>
      <c r="K7006" s="21" t="s">
        <v>647</v>
      </c>
      <c r="L7006" s="21"/>
      <c r="M7006" s="21"/>
      <c r="N7006" s="21" t="s">
        <v>40</v>
      </c>
      <c r="O7006" s="21">
        <f>60+18</f>
        <v>78</v>
      </c>
      <c r="P7006" s="21"/>
      <c r="Q7006" s="21">
        <f t="shared" si="125"/>
        <v>1</v>
      </c>
      <c r="R7006" s="21">
        <v>1</v>
      </c>
      <c r="S7006" s="21">
        <v>0</v>
      </c>
      <c r="T7006" s="21">
        <v>0</v>
      </c>
      <c r="U7006" s="21">
        <v>0</v>
      </c>
      <c r="V7006" s="21">
        <v>1</v>
      </c>
      <c r="W7006" s="21">
        <v>0</v>
      </c>
      <c r="X7006" s="21">
        <v>0</v>
      </c>
      <c r="Y7006" s="21">
        <v>0</v>
      </c>
      <c r="Z7006" s="21">
        <v>0</v>
      </c>
      <c r="AA7006" s="21">
        <v>0</v>
      </c>
      <c r="AB7006" s="21">
        <v>0</v>
      </c>
      <c r="AC7006" s="21">
        <v>0</v>
      </c>
      <c r="AD7006" s="21">
        <v>0</v>
      </c>
      <c r="AE7006" s="21">
        <v>0</v>
      </c>
      <c r="AF7006" s="21">
        <v>0</v>
      </c>
      <c r="AG7006" s="21">
        <v>0</v>
      </c>
      <c r="AH7006" s="21">
        <f t="shared" si="126"/>
        <v>64</v>
      </c>
      <c r="AI7006" s="21"/>
      <c r="AJ7006" s="21" t="s">
        <v>51</v>
      </c>
      <c r="AK7006" s="21" t="s">
        <v>52</v>
      </c>
      <c r="AL7006" s="21" t="s">
        <v>2193</v>
      </c>
      <c r="AM7006" s="21" t="s">
        <v>2194</v>
      </c>
      <c r="AN7006" s="21">
        <v>-122.4357352</v>
      </c>
      <c r="AO7006" s="21">
        <v>37.792530716666597</v>
      </c>
      <c r="AP7006" s="21" t="s">
        <v>1915</v>
      </c>
    </row>
    <row r="7007" spans="1:42">
      <c r="A7007" s="20">
        <v>43853</v>
      </c>
      <c r="B7007" s="21">
        <v>4</v>
      </c>
      <c r="C7007" s="21">
        <v>985</v>
      </c>
      <c r="D7007" s="21">
        <v>14358</v>
      </c>
      <c r="E7007" s="21" t="s">
        <v>2123</v>
      </c>
      <c r="F7007" s="21" t="s">
        <v>520</v>
      </c>
      <c r="G7007" s="21">
        <v>1</v>
      </c>
      <c r="H7007" s="21">
        <v>34</v>
      </c>
      <c r="I7007" s="23" t="s">
        <v>2195</v>
      </c>
      <c r="J7007" s="21"/>
      <c r="K7007" s="21" t="s">
        <v>647</v>
      </c>
      <c r="L7007" s="21"/>
      <c r="M7007" s="21"/>
      <c r="N7007" s="21" t="s">
        <v>40</v>
      </c>
      <c r="O7007" s="21">
        <f>60+45</f>
        <v>105</v>
      </c>
      <c r="P7007" s="21"/>
      <c r="Q7007" s="21">
        <f t="shared" si="125"/>
        <v>3</v>
      </c>
      <c r="R7007" s="21">
        <v>1</v>
      </c>
      <c r="S7007" s="21">
        <v>0</v>
      </c>
      <c r="T7007" s="21">
        <v>0</v>
      </c>
      <c r="U7007" s="21">
        <v>3</v>
      </c>
      <c r="V7007" s="21">
        <v>0</v>
      </c>
      <c r="W7007" s="21">
        <v>0</v>
      </c>
      <c r="X7007" s="21">
        <v>0</v>
      </c>
      <c r="Y7007" s="21">
        <v>0</v>
      </c>
      <c r="Z7007" s="21">
        <v>0</v>
      </c>
      <c r="AA7007" s="21">
        <v>0</v>
      </c>
      <c r="AB7007" s="21">
        <v>0</v>
      </c>
      <c r="AC7007" s="21">
        <v>0</v>
      </c>
      <c r="AD7007" s="21">
        <v>0</v>
      </c>
      <c r="AE7007" s="21">
        <v>0</v>
      </c>
      <c r="AF7007" s="21">
        <v>0</v>
      </c>
      <c r="AG7007" s="21">
        <v>0</v>
      </c>
      <c r="AH7007" s="21">
        <f t="shared" si="126"/>
        <v>96</v>
      </c>
      <c r="AI7007" s="21"/>
      <c r="AJ7007" s="21" t="s">
        <v>51</v>
      </c>
      <c r="AK7007" s="21" t="s">
        <v>52</v>
      </c>
      <c r="AL7007" s="21"/>
      <c r="AM7007" s="21" t="s">
        <v>2196</v>
      </c>
      <c r="AN7007" s="21">
        <v>-122.435769533333</v>
      </c>
      <c r="AO7007" s="21">
        <v>37.792373633333298</v>
      </c>
      <c r="AP7007" s="21" t="s">
        <v>1915</v>
      </c>
    </row>
    <row r="7008" spans="1:42">
      <c r="A7008" s="20">
        <v>43853</v>
      </c>
      <c r="B7008" s="21">
        <v>4</v>
      </c>
      <c r="C7008" s="21">
        <v>985</v>
      </c>
      <c r="D7008" s="21">
        <v>14358</v>
      </c>
      <c r="E7008" s="21" t="s">
        <v>2123</v>
      </c>
      <c r="F7008" s="21" t="s">
        <v>520</v>
      </c>
      <c r="G7008" s="21">
        <v>1</v>
      </c>
      <c r="H7008" s="21">
        <v>35</v>
      </c>
      <c r="I7008" s="23" t="s">
        <v>2197</v>
      </c>
      <c r="J7008" s="21"/>
      <c r="K7008" s="21" t="s">
        <v>647</v>
      </c>
      <c r="L7008" s="21"/>
      <c r="M7008" s="21"/>
      <c r="N7008" s="21" t="s">
        <v>44</v>
      </c>
      <c r="O7008" s="21">
        <f>60+60+12</f>
        <v>132</v>
      </c>
      <c r="P7008" s="21"/>
      <c r="Q7008" s="21">
        <f t="shared" si="125"/>
        <v>1</v>
      </c>
      <c r="R7008" s="21">
        <v>1</v>
      </c>
      <c r="S7008" s="21">
        <v>0</v>
      </c>
      <c r="T7008" s="21">
        <v>0</v>
      </c>
      <c r="U7008" s="21">
        <v>0</v>
      </c>
      <c r="V7008" s="21">
        <v>0</v>
      </c>
      <c r="W7008" s="21">
        <v>1</v>
      </c>
      <c r="X7008" s="21">
        <v>0</v>
      </c>
      <c r="Y7008" s="21">
        <v>0</v>
      </c>
      <c r="Z7008" s="21">
        <v>0</v>
      </c>
      <c r="AA7008" s="21">
        <v>0</v>
      </c>
      <c r="AB7008" s="21">
        <v>0</v>
      </c>
      <c r="AC7008" s="21">
        <v>0</v>
      </c>
      <c r="AD7008" s="21">
        <v>0</v>
      </c>
      <c r="AE7008" s="21">
        <v>0</v>
      </c>
      <c r="AF7008" s="21">
        <v>0</v>
      </c>
      <c r="AG7008" s="21">
        <v>0</v>
      </c>
      <c r="AH7008" s="21">
        <f t="shared" si="126"/>
        <v>96</v>
      </c>
      <c r="AI7008" s="21"/>
      <c r="AJ7008" s="21" t="s">
        <v>54</v>
      </c>
      <c r="AK7008" s="21" t="s">
        <v>52</v>
      </c>
      <c r="AL7008" s="21" t="s">
        <v>2198</v>
      </c>
      <c r="AM7008" s="21" t="s">
        <v>2199</v>
      </c>
      <c r="AN7008" s="21">
        <v>-122.435708283333</v>
      </c>
      <c r="AO7008" s="21">
        <v>37.792412800000001</v>
      </c>
      <c r="AP7008" s="21" t="s">
        <v>1915</v>
      </c>
    </row>
    <row r="7009" spans="1:42">
      <c r="A7009" s="20">
        <v>43853</v>
      </c>
      <c r="B7009" s="21">
        <v>4</v>
      </c>
      <c r="C7009" s="21">
        <v>985</v>
      </c>
      <c r="D7009" s="21">
        <v>14358</v>
      </c>
      <c r="E7009" s="21" t="s">
        <v>2123</v>
      </c>
      <c r="F7009" s="21" t="s">
        <v>520</v>
      </c>
      <c r="G7009" s="21">
        <v>1</v>
      </c>
      <c r="H7009" s="21">
        <v>36</v>
      </c>
      <c r="I7009" s="23" t="s">
        <v>2164</v>
      </c>
      <c r="J7009" s="21"/>
      <c r="K7009" s="21" t="s">
        <v>647</v>
      </c>
      <c r="L7009" s="21"/>
      <c r="M7009" s="21"/>
      <c r="N7009" s="21" t="s">
        <v>40</v>
      </c>
      <c r="O7009" s="21">
        <v>35</v>
      </c>
      <c r="P7009" s="21"/>
      <c r="Q7009" s="21">
        <f t="shared" si="125"/>
        <v>1</v>
      </c>
      <c r="R7009" s="21">
        <v>1</v>
      </c>
      <c r="S7009" s="21">
        <v>0</v>
      </c>
      <c r="T7009" s="21">
        <v>0</v>
      </c>
      <c r="U7009" s="21">
        <v>1</v>
      </c>
      <c r="V7009" s="21">
        <v>0</v>
      </c>
      <c r="W7009" s="21">
        <v>0</v>
      </c>
      <c r="X7009" s="21">
        <v>0</v>
      </c>
      <c r="Y7009" s="21">
        <v>0</v>
      </c>
      <c r="Z7009" s="21">
        <v>0</v>
      </c>
      <c r="AA7009" s="21">
        <v>0</v>
      </c>
      <c r="AB7009" s="21">
        <v>0</v>
      </c>
      <c r="AC7009" s="21">
        <v>0</v>
      </c>
      <c r="AD7009" s="21">
        <v>0</v>
      </c>
      <c r="AE7009" s="21">
        <v>0</v>
      </c>
      <c r="AF7009" s="21">
        <v>0</v>
      </c>
      <c r="AG7009" s="21">
        <v>1</v>
      </c>
      <c r="AH7009" s="21">
        <f t="shared" si="126"/>
        <v>32</v>
      </c>
      <c r="AI7009" s="21"/>
      <c r="AJ7009" s="21" t="s">
        <v>51</v>
      </c>
      <c r="AK7009" s="21" t="s">
        <v>52</v>
      </c>
      <c r="AL7009" s="21"/>
      <c r="AM7009" s="21" t="s">
        <v>2200</v>
      </c>
      <c r="AN7009" s="21">
        <v>-122.435900416667</v>
      </c>
      <c r="AO7009" s="21">
        <v>37.792393799999999</v>
      </c>
      <c r="AP7009" s="21" t="s">
        <v>1915</v>
      </c>
    </row>
    <row r="7010" spans="1:42">
      <c r="A7010" s="20">
        <v>43853</v>
      </c>
      <c r="B7010" s="21">
        <v>4</v>
      </c>
      <c r="C7010" s="21">
        <v>985</v>
      </c>
      <c r="D7010" s="21">
        <v>14358</v>
      </c>
      <c r="E7010" s="21" t="s">
        <v>2123</v>
      </c>
      <c r="F7010" s="21" t="s">
        <v>520</v>
      </c>
      <c r="G7010" s="21">
        <v>1</v>
      </c>
      <c r="H7010" s="21">
        <v>37</v>
      </c>
      <c r="I7010" s="23" t="s">
        <v>2201</v>
      </c>
      <c r="J7010" s="21"/>
      <c r="K7010" s="21" t="s">
        <v>647</v>
      </c>
      <c r="L7010" s="21"/>
      <c r="M7010" s="21"/>
      <c r="N7010" s="21" t="s">
        <v>40</v>
      </c>
      <c r="O7010" s="21">
        <v>60</v>
      </c>
      <c r="P7010" s="21"/>
      <c r="Q7010" s="21">
        <f t="shared" si="125"/>
        <v>1</v>
      </c>
      <c r="R7010" s="21">
        <v>1</v>
      </c>
      <c r="S7010" s="21">
        <v>0</v>
      </c>
      <c r="T7010" s="21">
        <v>0</v>
      </c>
      <c r="U7010" s="21">
        <v>0</v>
      </c>
      <c r="V7010" s="21">
        <v>1</v>
      </c>
      <c r="W7010" s="21">
        <v>0</v>
      </c>
      <c r="X7010" s="21">
        <v>0</v>
      </c>
      <c r="Y7010" s="21">
        <v>0</v>
      </c>
      <c r="Z7010" s="21">
        <v>0</v>
      </c>
      <c r="AA7010" s="21">
        <v>0</v>
      </c>
      <c r="AB7010" s="21">
        <v>0</v>
      </c>
      <c r="AC7010" s="21">
        <v>0</v>
      </c>
      <c r="AD7010" s="21">
        <v>0</v>
      </c>
      <c r="AE7010" s="21">
        <v>0</v>
      </c>
      <c r="AF7010" s="21">
        <v>0</v>
      </c>
      <c r="AG7010" s="21">
        <v>0</v>
      </c>
      <c r="AH7010" s="21">
        <f t="shared" si="126"/>
        <v>64</v>
      </c>
      <c r="AI7010" s="21"/>
      <c r="AJ7010" s="21" t="s">
        <v>51</v>
      </c>
      <c r="AK7010" s="21" t="s">
        <v>95</v>
      </c>
      <c r="AL7010" s="21" t="s">
        <v>2202</v>
      </c>
      <c r="AM7010" s="21" t="s">
        <v>2203</v>
      </c>
      <c r="AN7010" s="21">
        <v>-122.43681626666699</v>
      </c>
      <c r="AO7010" s="21">
        <v>37.793154283333301</v>
      </c>
      <c r="AP7010" s="21" t="s">
        <v>1915</v>
      </c>
    </row>
    <row r="7011" spans="1:42">
      <c r="A7011" s="20">
        <v>43853</v>
      </c>
      <c r="B7011" s="21">
        <v>4</v>
      </c>
      <c r="C7011" s="21">
        <v>985</v>
      </c>
      <c r="D7011" s="21">
        <v>14358</v>
      </c>
      <c r="E7011" s="21" t="s">
        <v>2123</v>
      </c>
      <c r="F7011" s="21" t="s">
        <v>520</v>
      </c>
      <c r="G7011" s="21">
        <v>1</v>
      </c>
      <c r="H7011" s="21">
        <v>38</v>
      </c>
      <c r="I7011" s="23" t="s">
        <v>2204</v>
      </c>
      <c r="J7011" s="21"/>
      <c r="K7011" s="21" t="s">
        <v>647</v>
      </c>
      <c r="L7011" s="21"/>
      <c r="M7011" s="21"/>
      <c r="N7011" s="21" t="s">
        <v>40</v>
      </c>
      <c r="O7011" s="21">
        <v>49</v>
      </c>
      <c r="P7011" s="21"/>
      <c r="Q7011" s="21">
        <f t="shared" si="125"/>
        <v>1</v>
      </c>
      <c r="R7011" s="21">
        <v>1</v>
      </c>
      <c r="S7011" s="21">
        <v>0</v>
      </c>
      <c r="T7011" s="21">
        <v>0</v>
      </c>
      <c r="U7011" s="21">
        <v>1</v>
      </c>
      <c r="V7011" s="21">
        <v>0</v>
      </c>
      <c r="W7011" s="21">
        <v>0</v>
      </c>
      <c r="X7011" s="21">
        <v>0</v>
      </c>
      <c r="Y7011" s="21">
        <v>0</v>
      </c>
      <c r="Z7011" s="21">
        <v>0</v>
      </c>
      <c r="AA7011" s="21">
        <v>0</v>
      </c>
      <c r="AB7011" s="21">
        <v>0</v>
      </c>
      <c r="AC7011" s="21">
        <v>0</v>
      </c>
      <c r="AD7011" s="21">
        <v>0</v>
      </c>
      <c r="AE7011" s="21">
        <v>0</v>
      </c>
      <c r="AF7011" s="21">
        <v>1</v>
      </c>
      <c r="AG7011" s="21">
        <v>0</v>
      </c>
      <c r="AH7011" s="21">
        <f t="shared" si="126"/>
        <v>32</v>
      </c>
      <c r="AI7011" s="21"/>
      <c r="AJ7011" s="21" t="s">
        <v>51</v>
      </c>
      <c r="AK7011" s="21" t="s">
        <v>52</v>
      </c>
      <c r="AL7011" s="21"/>
      <c r="AM7011" s="21" t="s">
        <v>2205</v>
      </c>
      <c r="AN7011" s="21">
        <v>-122.436268383333</v>
      </c>
      <c r="AO7011" s="21">
        <v>37.792569733333302</v>
      </c>
      <c r="AP7011" s="21" t="s">
        <v>1915</v>
      </c>
    </row>
    <row r="7012" spans="1:42">
      <c r="A7012" s="20">
        <v>43853</v>
      </c>
      <c r="B7012" s="21">
        <v>4</v>
      </c>
      <c r="C7012" s="21">
        <v>985</v>
      </c>
      <c r="D7012" s="21">
        <v>14358</v>
      </c>
      <c r="E7012" s="21" t="s">
        <v>2123</v>
      </c>
      <c r="F7012" s="21" t="s">
        <v>520</v>
      </c>
      <c r="G7012" s="21">
        <v>1</v>
      </c>
      <c r="H7012" s="21">
        <v>39</v>
      </c>
      <c r="I7012" s="23" t="s">
        <v>2206</v>
      </c>
      <c r="J7012" s="21"/>
      <c r="K7012" s="21" t="s">
        <v>113</v>
      </c>
      <c r="L7012" s="21"/>
      <c r="M7012" s="21"/>
      <c r="N7012" s="21" t="s">
        <v>40</v>
      </c>
      <c r="O7012" s="21">
        <v>39</v>
      </c>
      <c r="P7012" s="21"/>
      <c r="Q7012" s="21">
        <f t="shared" si="125"/>
        <v>2</v>
      </c>
      <c r="R7012" s="21">
        <v>1</v>
      </c>
      <c r="S7012" s="21">
        <v>0</v>
      </c>
      <c r="T7012" s="21">
        <v>0</v>
      </c>
      <c r="U7012" s="21">
        <v>0</v>
      </c>
      <c r="V7012" s="21">
        <v>1</v>
      </c>
      <c r="W7012" s="21">
        <v>1</v>
      </c>
      <c r="X7012" s="21">
        <v>0</v>
      </c>
      <c r="Y7012" s="21">
        <v>0</v>
      </c>
      <c r="Z7012" s="21">
        <v>0</v>
      </c>
      <c r="AA7012" s="21">
        <v>0</v>
      </c>
      <c r="AB7012" s="21">
        <v>0</v>
      </c>
      <c r="AC7012" s="21">
        <v>0</v>
      </c>
      <c r="AD7012" s="21">
        <v>0</v>
      </c>
      <c r="AE7012" s="21">
        <v>0</v>
      </c>
      <c r="AF7012" s="21">
        <v>0</v>
      </c>
      <c r="AG7012" s="21">
        <v>0</v>
      </c>
      <c r="AH7012" s="21">
        <f t="shared" si="126"/>
        <v>160</v>
      </c>
      <c r="AI7012" s="21"/>
      <c r="AJ7012" s="21" t="s">
        <v>54</v>
      </c>
      <c r="AK7012" s="21" t="s">
        <v>95</v>
      </c>
      <c r="AL7012" s="21"/>
      <c r="AM7012" s="21" t="s">
        <v>2207</v>
      </c>
      <c r="AN7012" s="21">
        <v>-122.435876333333</v>
      </c>
      <c r="AO7012" s="21">
        <v>37.7909425333333</v>
      </c>
      <c r="AP7012" s="21" t="s">
        <v>1915</v>
      </c>
    </row>
    <row r="7013" spans="1:42">
      <c r="A7013" s="20">
        <v>43853</v>
      </c>
      <c r="B7013" s="21">
        <v>4</v>
      </c>
      <c r="C7013" s="21">
        <v>985</v>
      </c>
      <c r="D7013" s="21">
        <v>14358</v>
      </c>
      <c r="E7013" s="21" t="s">
        <v>2123</v>
      </c>
      <c r="F7013" s="21" t="s">
        <v>520</v>
      </c>
      <c r="G7013" s="21">
        <v>1</v>
      </c>
      <c r="H7013" s="21">
        <v>40</v>
      </c>
      <c r="I7013" s="23" t="s">
        <v>2208</v>
      </c>
      <c r="J7013" s="21"/>
      <c r="K7013" s="21" t="s">
        <v>113</v>
      </c>
      <c r="L7013" s="21"/>
      <c r="M7013" s="21"/>
      <c r="N7013" s="21" t="s">
        <v>40</v>
      </c>
      <c r="O7013" s="21">
        <v>60</v>
      </c>
      <c r="P7013" s="21"/>
      <c r="Q7013" s="21">
        <f t="shared" si="125"/>
        <v>1</v>
      </c>
      <c r="R7013" s="21">
        <v>1</v>
      </c>
      <c r="S7013" s="21">
        <v>0</v>
      </c>
      <c r="T7013" s="21">
        <v>0</v>
      </c>
      <c r="U7013" s="21">
        <v>0</v>
      </c>
      <c r="V7013" s="21">
        <v>1</v>
      </c>
      <c r="W7013" s="21">
        <v>0</v>
      </c>
      <c r="X7013" s="21">
        <v>0</v>
      </c>
      <c r="Y7013" s="21">
        <v>0</v>
      </c>
      <c r="Z7013" s="21">
        <v>0</v>
      </c>
      <c r="AA7013" s="21">
        <v>0</v>
      </c>
      <c r="AB7013" s="21">
        <v>0</v>
      </c>
      <c r="AC7013" s="21">
        <v>0</v>
      </c>
      <c r="AD7013" s="21">
        <v>0</v>
      </c>
      <c r="AE7013" s="21">
        <v>0</v>
      </c>
      <c r="AF7013" s="21">
        <v>0</v>
      </c>
      <c r="AG7013" s="21">
        <v>0</v>
      </c>
      <c r="AH7013" s="21">
        <f t="shared" si="126"/>
        <v>64</v>
      </c>
      <c r="AI7013" s="21"/>
      <c r="AJ7013" s="21" t="s">
        <v>54</v>
      </c>
      <c r="AK7013" s="21" t="s">
        <v>52</v>
      </c>
      <c r="AL7013" s="21" t="s">
        <v>2209</v>
      </c>
      <c r="AM7013" s="21" t="s">
        <v>2210</v>
      </c>
      <c r="AN7013" s="21">
        <v>-122.435878316667</v>
      </c>
      <c r="AO7013" s="21">
        <v>37.790965683333297</v>
      </c>
      <c r="AP7013" s="21" t="s">
        <v>1915</v>
      </c>
    </row>
    <row r="7014" spans="1:42">
      <c r="A7014" s="20">
        <v>43853</v>
      </c>
      <c r="B7014" s="21">
        <v>4</v>
      </c>
      <c r="C7014" s="21">
        <v>985</v>
      </c>
      <c r="D7014" s="21">
        <v>14358</v>
      </c>
      <c r="E7014" s="21" t="s">
        <v>2123</v>
      </c>
      <c r="F7014" s="21" t="s">
        <v>520</v>
      </c>
      <c r="G7014" s="21">
        <v>1</v>
      </c>
      <c r="H7014" s="21">
        <v>41</v>
      </c>
      <c r="I7014" s="23" t="s">
        <v>2211</v>
      </c>
      <c r="J7014" s="21"/>
      <c r="K7014" s="21" t="s">
        <v>113</v>
      </c>
      <c r="L7014" s="21"/>
      <c r="M7014" s="21"/>
      <c r="N7014" s="21" t="s">
        <v>44</v>
      </c>
      <c r="O7014" s="21">
        <f>60+8</f>
        <v>68</v>
      </c>
      <c r="P7014" s="21"/>
      <c r="Q7014" s="21">
        <f t="shared" si="125"/>
        <v>1</v>
      </c>
      <c r="R7014" s="21">
        <v>1</v>
      </c>
      <c r="S7014" s="21">
        <v>0</v>
      </c>
      <c r="T7014" s="21">
        <v>0</v>
      </c>
      <c r="U7014" s="21">
        <v>0</v>
      </c>
      <c r="V7014" s="21">
        <v>0</v>
      </c>
      <c r="W7014" s="21">
        <v>1</v>
      </c>
      <c r="X7014" s="21">
        <v>0</v>
      </c>
      <c r="Y7014" s="21">
        <v>0</v>
      </c>
      <c r="Z7014" s="21">
        <v>0</v>
      </c>
      <c r="AA7014" s="21">
        <v>0</v>
      </c>
      <c r="AB7014" s="21">
        <v>0</v>
      </c>
      <c r="AC7014" s="21">
        <v>0</v>
      </c>
      <c r="AD7014" s="21">
        <v>0</v>
      </c>
      <c r="AE7014" s="21">
        <v>0</v>
      </c>
      <c r="AF7014" s="21">
        <v>0</v>
      </c>
      <c r="AG7014" s="21">
        <v>0</v>
      </c>
      <c r="AH7014" s="21">
        <f t="shared" si="126"/>
        <v>96</v>
      </c>
      <c r="AI7014" s="21"/>
      <c r="AJ7014" s="21" t="s">
        <v>54</v>
      </c>
      <c r="AK7014" s="21" t="s">
        <v>52</v>
      </c>
      <c r="AL7014" s="21" t="s">
        <v>2212</v>
      </c>
      <c r="AM7014" s="21" t="s">
        <v>2213</v>
      </c>
      <c r="AN7014" s="21">
        <v>-122.43587556666699</v>
      </c>
      <c r="AO7014" s="21">
        <v>37.7910792666666</v>
      </c>
      <c r="AP7014" s="21" t="s">
        <v>1915</v>
      </c>
    </row>
    <row r="7015" spans="1:42">
      <c r="A7015" s="20">
        <v>43853</v>
      </c>
      <c r="B7015" s="21">
        <v>4</v>
      </c>
      <c r="C7015" s="21">
        <v>985</v>
      </c>
      <c r="D7015" s="21">
        <v>14358</v>
      </c>
      <c r="E7015" s="21" t="s">
        <v>2123</v>
      </c>
      <c r="F7015" s="21" t="s">
        <v>520</v>
      </c>
      <c r="G7015" s="21">
        <v>1</v>
      </c>
      <c r="H7015" s="21">
        <v>42</v>
      </c>
      <c r="I7015" s="23" t="s">
        <v>2214</v>
      </c>
      <c r="J7015" s="21"/>
      <c r="K7015" s="21" t="s">
        <v>2215</v>
      </c>
      <c r="L7015" s="21"/>
      <c r="M7015" s="21"/>
      <c r="N7015" s="21" t="s">
        <v>44</v>
      </c>
      <c r="O7015" s="21">
        <f>60+27</f>
        <v>87</v>
      </c>
      <c r="P7015" s="21"/>
      <c r="Q7015" s="21">
        <f t="shared" si="125"/>
        <v>1</v>
      </c>
      <c r="R7015" s="21">
        <v>1</v>
      </c>
      <c r="S7015" s="21">
        <v>0</v>
      </c>
      <c r="T7015" s="21">
        <v>0</v>
      </c>
      <c r="U7015" s="21">
        <v>0</v>
      </c>
      <c r="V7015" s="21">
        <v>0</v>
      </c>
      <c r="W7015" s="21">
        <v>1</v>
      </c>
      <c r="X7015" s="21">
        <v>0</v>
      </c>
      <c r="Y7015" s="21">
        <v>0</v>
      </c>
      <c r="Z7015" s="21">
        <v>0</v>
      </c>
      <c r="AA7015" s="21">
        <v>0</v>
      </c>
      <c r="AB7015" s="21">
        <v>0</v>
      </c>
      <c r="AC7015" s="21">
        <v>0</v>
      </c>
      <c r="AD7015" s="21">
        <v>0</v>
      </c>
      <c r="AE7015" s="21">
        <v>0</v>
      </c>
      <c r="AF7015" s="21">
        <v>0</v>
      </c>
      <c r="AG7015" s="21">
        <v>0</v>
      </c>
      <c r="AH7015" s="21">
        <f t="shared" si="126"/>
        <v>96</v>
      </c>
      <c r="AI7015" s="21"/>
      <c r="AJ7015" s="21" t="s">
        <v>51</v>
      </c>
      <c r="AK7015" s="21" t="s">
        <v>95</v>
      </c>
      <c r="AL7015" s="21" t="s">
        <v>2216</v>
      </c>
      <c r="AM7015" s="21" t="s">
        <v>2217</v>
      </c>
      <c r="AN7015" s="21">
        <v>-122.43107620000001</v>
      </c>
      <c r="AO7015" s="21">
        <v>37.790906466666598</v>
      </c>
      <c r="AP7015" s="21" t="s">
        <v>1915</v>
      </c>
    </row>
    <row r="7016" spans="1:42">
      <c r="A7016" s="20">
        <v>43853</v>
      </c>
      <c r="B7016" s="21">
        <v>4</v>
      </c>
      <c r="C7016" s="21">
        <v>985</v>
      </c>
      <c r="D7016" s="21">
        <v>14358</v>
      </c>
      <c r="E7016" s="21" t="s">
        <v>2123</v>
      </c>
      <c r="F7016" s="21" t="s">
        <v>520</v>
      </c>
      <c r="G7016" s="21">
        <v>1</v>
      </c>
      <c r="H7016" s="21">
        <v>43</v>
      </c>
      <c r="I7016" s="23" t="s">
        <v>2218</v>
      </c>
      <c r="J7016" s="21"/>
      <c r="K7016" s="21" t="s">
        <v>596</v>
      </c>
      <c r="L7016" s="21"/>
      <c r="M7016" s="21"/>
      <c r="N7016" s="21" t="s">
        <v>44</v>
      </c>
      <c r="O7016" s="21">
        <f>60+59</f>
        <v>119</v>
      </c>
      <c r="P7016" s="21"/>
      <c r="Q7016" s="21">
        <f t="shared" si="125"/>
        <v>1</v>
      </c>
      <c r="R7016" s="21">
        <v>1</v>
      </c>
      <c r="S7016" s="21">
        <v>0</v>
      </c>
      <c r="T7016" s="21">
        <v>0</v>
      </c>
      <c r="U7016" s="21">
        <v>0</v>
      </c>
      <c r="V7016" s="21">
        <v>0</v>
      </c>
      <c r="W7016" s="21">
        <v>1</v>
      </c>
      <c r="X7016" s="21">
        <v>0</v>
      </c>
      <c r="Y7016" s="21">
        <v>0</v>
      </c>
      <c r="Z7016" s="21">
        <v>0</v>
      </c>
      <c r="AA7016" s="21">
        <v>0</v>
      </c>
      <c r="AB7016" s="21">
        <v>0</v>
      </c>
      <c r="AC7016" s="21">
        <v>0</v>
      </c>
      <c r="AD7016" s="21">
        <v>0</v>
      </c>
      <c r="AE7016" s="21">
        <v>0</v>
      </c>
      <c r="AF7016" s="21">
        <v>0</v>
      </c>
      <c r="AG7016" s="21">
        <v>0</v>
      </c>
      <c r="AH7016" s="21">
        <f t="shared" si="126"/>
        <v>96</v>
      </c>
      <c r="AI7016" s="21"/>
      <c r="AJ7016" s="21" t="s">
        <v>51</v>
      </c>
      <c r="AK7016" s="21" t="s">
        <v>52</v>
      </c>
      <c r="AL7016" s="21"/>
      <c r="AM7016" s="21" t="s">
        <v>2219</v>
      </c>
      <c r="AN7016" s="21">
        <v>-122.4310734</v>
      </c>
      <c r="AO7016" s="21">
        <v>37.7911036</v>
      </c>
      <c r="AP7016" s="21" t="s">
        <v>1915</v>
      </c>
    </row>
    <row r="7017" spans="1:42">
      <c r="A7017" s="20">
        <v>43853</v>
      </c>
      <c r="B7017" s="21">
        <v>4</v>
      </c>
      <c r="C7017" s="21">
        <v>985</v>
      </c>
      <c r="D7017" s="21">
        <v>14358</v>
      </c>
      <c r="E7017" s="21" t="s">
        <v>2123</v>
      </c>
      <c r="F7017" s="21" t="s">
        <v>520</v>
      </c>
      <c r="G7017" s="21">
        <v>1</v>
      </c>
      <c r="H7017" s="21">
        <v>44</v>
      </c>
      <c r="I7017" s="23" t="s">
        <v>2220</v>
      </c>
      <c r="J7017" s="21"/>
      <c r="K7017" s="21" t="s">
        <v>2125</v>
      </c>
      <c r="L7017" s="21"/>
      <c r="M7017" s="21"/>
      <c r="N7017" s="21" t="s">
        <v>40</v>
      </c>
      <c r="O7017" s="21">
        <v>46</v>
      </c>
      <c r="P7017" s="21"/>
      <c r="Q7017" s="21">
        <f t="shared" si="125"/>
        <v>1</v>
      </c>
      <c r="R7017" s="21">
        <v>1</v>
      </c>
      <c r="S7017" s="21">
        <v>0</v>
      </c>
      <c r="T7017" s="21">
        <v>0</v>
      </c>
      <c r="U7017" s="21">
        <v>0</v>
      </c>
      <c r="V7017" s="21">
        <v>1</v>
      </c>
      <c r="W7017" s="21">
        <v>0</v>
      </c>
      <c r="X7017" s="21">
        <v>0</v>
      </c>
      <c r="Y7017" s="21">
        <v>0</v>
      </c>
      <c r="Z7017" s="21">
        <v>0</v>
      </c>
      <c r="AA7017" s="21">
        <v>0</v>
      </c>
      <c r="AB7017" s="21">
        <v>0</v>
      </c>
      <c r="AC7017" s="21">
        <v>0</v>
      </c>
      <c r="AD7017" s="21">
        <v>0</v>
      </c>
      <c r="AE7017" s="21">
        <v>0</v>
      </c>
      <c r="AF7017" s="21">
        <v>0</v>
      </c>
      <c r="AG7017" s="21">
        <v>0</v>
      </c>
      <c r="AH7017" s="21">
        <f t="shared" si="126"/>
        <v>64</v>
      </c>
      <c r="AI7017" s="21"/>
      <c r="AJ7017" s="21"/>
      <c r="AK7017" s="21"/>
      <c r="AL7017" s="21"/>
      <c r="AM7017" s="21" t="s">
        <v>2221</v>
      </c>
      <c r="AN7017" s="21">
        <v>-122.431035366667</v>
      </c>
      <c r="AO7017" s="21">
        <v>37.789335633333302</v>
      </c>
      <c r="AP7017" s="21" t="s">
        <v>1915</v>
      </c>
    </row>
    <row r="7018" spans="1:42">
      <c r="A7018" s="20">
        <v>43853</v>
      </c>
      <c r="B7018" s="21">
        <v>4</v>
      </c>
      <c r="C7018" s="21">
        <v>985</v>
      </c>
      <c r="D7018" s="21">
        <v>14358</v>
      </c>
      <c r="E7018" s="21" t="s">
        <v>2123</v>
      </c>
      <c r="F7018" s="21" t="s">
        <v>520</v>
      </c>
      <c r="G7018" s="21">
        <v>1</v>
      </c>
      <c r="H7018" s="21">
        <v>45</v>
      </c>
      <c r="I7018" s="23" t="s">
        <v>2222</v>
      </c>
      <c r="J7018" s="21"/>
      <c r="K7018" s="21" t="s">
        <v>56</v>
      </c>
      <c r="L7018" s="21"/>
      <c r="M7018" s="21"/>
      <c r="N7018" s="21" t="s">
        <v>44</v>
      </c>
      <c r="O7018" s="21">
        <f>60+60+13</f>
        <v>133</v>
      </c>
      <c r="P7018" s="21"/>
      <c r="Q7018" s="21">
        <f t="shared" si="125"/>
        <v>1</v>
      </c>
      <c r="R7018" s="21">
        <v>1</v>
      </c>
      <c r="S7018" s="21">
        <v>0</v>
      </c>
      <c r="T7018" s="21">
        <v>0</v>
      </c>
      <c r="U7018" s="21">
        <v>0</v>
      </c>
      <c r="V7018" s="21">
        <v>0</v>
      </c>
      <c r="W7018" s="21">
        <v>1</v>
      </c>
      <c r="X7018" s="21">
        <v>0</v>
      </c>
      <c r="Y7018" s="21">
        <v>0</v>
      </c>
      <c r="Z7018" s="21">
        <v>0</v>
      </c>
      <c r="AA7018" s="21">
        <v>0</v>
      </c>
      <c r="AB7018" s="21">
        <v>0</v>
      </c>
      <c r="AC7018" s="21">
        <v>0</v>
      </c>
      <c r="AD7018" s="21">
        <v>0</v>
      </c>
      <c r="AE7018" s="21">
        <v>0</v>
      </c>
      <c r="AF7018" s="21">
        <v>0</v>
      </c>
      <c r="AG7018" s="21">
        <v>0</v>
      </c>
      <c r="AH7018" s="21">
        <f t="shared" si="126"/>
        <v>96</v>
      </c>
      <c r="AI7018" s="21"/>
      <c r="AJ7018" s="21"/>
      <c r="AK7018" s="21"/>
      <c r="AL7018" s="21" t="s">
        <v>2223</v>
      </c>
      <c r="AM7018" s="21" t="s">
        <v>2224</v>
      </c>
      <c r="AN7018" s="21">
        <v>-122.431048683333</v>
      </c>
      <c r="AO7018" s="21">
        <v>37.789340533333302</v>
      </c>
      <c r="AP7018" s="21" t="s">
        <v>1915</v>
      </c>
    </row>
    <row r="7019" spans="1:42">
      <c r="A7019" s="20">
        <v>43853</v>
      </c>
      <c r="B7019" s="21">
        <v>4</v>
      </c>
      <c r="C7019" s="21">
        <v>985</v>
      </c>
      <c r="D7019" s="21">
        <v>14358</v>
      </c>
      <c r="E7019" s="21" t="s">
        <v>2123</v>
      </c>
      <c r="F7019" s="21" t="s">
        <v>520</v>
      </c>
      <c r="G7019" s="21">
        <v>1</v>
      </c>
      <c r="H7019" s="21">
        <v>46</v>
      </c>
      <c r="I7019" s="23" t="s">
        <v>2214</v>
      </c>
      <c r="J7019" s="21"/>
      <c r="K7019" s="21" t="s">
        <v>2125</v>
      </c>
      <c r="L7019" s="21"/>
      <c r="M7019" s="21"/>
      <c r="N7019" s="21" t="s">
        <v>44</v>
      </c>
      <c r="O7019" s="21">
        <f>60+60+52</f>
        <v>172</v>
      </c>
      <c r="P7019" s="21"/>
      <c r="Q7019" s="21">
        <f t="shared" si="125"/>
        <v>1</v>
      </c>
      <c r="R7019" s="21">
        <v>1</v>
      </c>
      <c r="S7019" s="21">
        <v>0</v>
      </c>
      <c r="T7019" s="21">
        <v>0</v>
      </c>
      <c r="U7019" s="21">
        <v>0</v>
      </c>
      <c r="V7019" s="21">
        <v>0</v>
      </c>
      <c r="W7019" s="21">
        <v>1</v>
      </c>
      <c r="X7019" s="21">
        <v>0</v>
      </c>
      <c r="Y7019" s="21">
        <v>0</v>
      </c>
      <c r="Z7019" s="21">
        <v>0</v>
      </c>
      <c r="AA7019" s="21">
        <v>0</v>
      </c>
      <c r="AB7019" s="21">
        <v>0</v>
      </c>
      <c r="AC7019" s="21">
        <v>0</v>
      </c>
      <c r="AD7019" s="21">
        <v>0</v>
      </c>
      <c r="AE7019" s="21">
        <v>0</v>
      </c>
      <c r="AF7019" s="21">
        <v>0</v>
      </c>
      <c r="AG7019" s="21">
        <v>0</v>
      </c>
      <c r="AH7019" s="21">
        <f t="shared" si="126"/>
        <v>96</v>
      </c>
      <c r="AI7019" s="21"/>
      <c r="AJ7019" s="21" t="s">
        <v>54</v>
      </c>
      <c r="AK7019" s="21" t="s">
        <v>52</v>
      </c>
      <c r="AL7019" s="21" t="s">
        <v>2225</v>
      </c>
      <c r="AM7019" s="21" t="s">
        <v>2226</v>
      </c>
      <c r="AN7019" s="21">
        <v>-122.43120985</v>
      </c>
      <c r="AO7019" s="21">
        <v>37.789312266666698</v>
      </c>
      <c r="AP7019" s="21" t="s">
        <v>1915</v>
      </c>
    </row>
    <row r="7020" spans="1:42">
      <c r="A7020" s="20">
        <v>43853</v>
      </c>
      <c r="B7020" s="21">
        <v>4</v>
      </c>
      <c r="C7020" s="21">
        <v>985</v>
      </c>
      <c r="D7020" s="21">
        <v>14358</v>
      </c>
      <c r="E7020" s="21" t="s">
        <v>2123</v>
      </c>
      <c r="F7020" s="21" t="s">
        <v>520</v>
      </c>
      <c r="G7020" s="21">
        <v>1</v>
      </c>
      <c r="H7020" s="21">
        <v>47</v>
      </c>
      <c r="I7020" s="23" t="s">
        <v>2227</v>
      </c>
      <c r="J7020" s="21"/>
      <c r="K7020" s="21" t="s">
        <v>113</v>
      </c>
      <c r="L7020" s="21"/>
      <c r="M7020" s="21"/>
      <c r="N7020" s="21" t="s">
        <v>44</v>
      </c>
      <c r="O7020" s="21">
        <f>60+47</f>
        <v>107</v>
      </c>
      <c r="P7020" s="21"/>
      <c r="Q7020" s="21">
        <f t="shared" si="125"/>
        <v>1</v>
      </c>
      <c r="R7020" s="21">
        <v>1</v>
      </c>
      <c r="S7020" s="21">
        <v>0</v>
      </c>
      <c r="T7020" s="21">
        <v>0</v>
      </c>
      <c r="U7020" s="21">
        <v>1</v>
      </c>
      <c r="V7020" s="21">
        <v>0</v>
      </c>
      <c r="W7020" s="21">
        <v>0</v>
      </c>
      <c r="X7020" s="21">
        <v>0</v>
      </c>
      <c r="Y7020" s="21">
        <v>0</v>
      </c>
      <c r="Z7020" s="21">
        <v>0</v>
      </c>
      <c r="AA7020" s="21">
        <v>0</v>
      </c>
      <c r="AB7020" s="21">
        <v>0</v>
      </c>
      <c r="AC7020" s="21">
        <v>0</v>
      </c>
      <c r="AD7020" s="21">
        <v>0</v>
      </c>
      <c r="AE7020" s="21">
        <v>0</v>
      </c>
      <c r="AF7020" s="21">
        <v>0</v>
      </c>
      <c r="AG7020" s="21">
        <v>0</v>
      </c>
      <c r="AH7020" s="21">
        <f t="shared" si="126"/>
        <v>32</v>
      </c>
      <c r="AI7020" s="21"/>
      <c r="AJ7020" s="21" t="s">
        <v>51</v>
      </c>
      <c r="AK7020" s="21" t="s">
        <v>52</v>
      </c>
      <c r="AL7020" s="21" t="s">
        <v>2228</v>
      </c>
      <c r="AM7020" s="21" t="s">
        <v>2229</v>
      </c>
      <c r="AN7020" s="21">
        <v>-122.43631063333299</v>
      </c>
      <c r="AO7020" s="21">
        <v>37.792699816666598</v>
      </c>
      <c r="AP7020" s="21" t="s">
        <v>1915</v>
      </c>
    </row>
    <row r="7021" spans="1:42">
      <c r="A7021" s="20">
        <v>43853</v>
      </c>
      <c r="B7021" s="21">
        <v>4</v>
      </c>
      <c r="C7021" s="21">
        <v>985</v>
      </c>
      <c r="D7021" s="21">
        <v>14358</v>
      </c>
      <c r="E7021" s="21" t="s">
        <v>2123</v>
      </c>
      <c r="F7021" s="21" t="s">
        <v>520</v>
      </c>
      <c r="G7021" s="21">
        <v>1</v>
      </c>
      <c r="H7021" s="21">
        <v>48</v>
      </c>
      <c r="I7021" s="23" t="s">
        <v>2164</v>
      </c>
      <c r="J7021" s="21"/>
      <c r="K7021" s="21" t="s">
        <v>2230</v>
      </c>
      <c r="L7021" s="21"/>
      <c r="M7021" s="21"/>
      <c r="N7021" s="21" t="s">
        <v>40</v>
      </c>
      <c r="O7021" s="21">
        <f>60+34</f>
        <v>94</v>
      </c>
      <c r="P7021" s="21"/>
      <c r="Q7021" s="21">
        <f t="shared" si="125"/>
        <v>3</v>
      </c>
      <c r="R7021" s="21">
        <v>1</v>
      </c>
      <c r="S7021" s="21">
        <v>0</v>
      </c>
      <c r="T7021" s="21">
        <v>0</v>
      </c>
      <c r="U7021" s="21">
        <v>0</v>
      </c>
      <c r="V7021" s="21">
        <v>0</v>
      </c>
      <c r="W7021" s="21">
        <v>3</v>
      </c>
      <c r="X7021" s="21">
        <v>0</v>
      </c>
      <c r="Y7021" s="21">
        <v>0</v>
      </c>
      <c r="Z7021" s="21">
        <v>0</v>
      </c>
      <c r="AA7021" s="21">
        <v>0</v>
      </c>
      <c r="AB7021" s="21">
        <v>0</v>
      </c>
      <c r="AC7021" s="21">
        <v>0</v>
      </c>
      <c r="AD7021" s="21">
        <v>0</v>
      </c>
      <c r="AE7021" s="21">
        <v>0</v>
      </c>
      <c r="AF7021" s="21">
        <v>0</v>
      </c>
      <c r="AG7021" s="21">
        <v>0</v>
      </c>
      <c r="AH7021" s="21">
        <f t="shared" si="126"/>
        <v>288</v>
      </c>
      <c r="AI7021" s="21"/>
      <c r="AJ7021" s="21" t="s">
        <v>54</v>
      </c>
      <c r="AK7021" s="21" t="s">
        <v>95</v>
      </c>
      <c r="AL7021" s="21"/>
      <c r="AM7021" s="21" t="s">
        <v>2231</v>
      </c>
      <c r="AN7021" s="21">
        <v>-122.43947845</v>
      </c>
      <c r="AO7021" s="21">
        <v>37.7920202166667</v>
      </c>
      <c r="AP7021" s="21" t="s">
        <v>1915</v>
      </c>
    </row>
    <row r="7022" spans="1:42">
      <c r="A7022" s="20">
        <v>43853</v>
      </c>
      <c r="B7022" s="21">
        <v>4</v>
      </c>
      <c r="C7022" s="21">
        <v>985</v>
      </c>
      <c r="D7022" s="21">
        <v>14358</v>
      </c>
      <c r="E7022" s="21" t="s">
        <v>2123</v>
      </c>
      <c r="F7022" s="21" t="s">
        <v>520</v>
      </c>
      <c r="G7022" s="21">
        <v>1</v>
      </c>
      <c r="H7022" s="21">
        <v>49</v>
      </c>
      <c r="I7022" s="23" t="s">
        <v>2232</v>
      </c>
      <c r="J7022" s="21"/>
      <c r="K7022" s="21" t="s">
        <v>647</v>
      </c>
      <c r="L7022" s="21"/>
      <c r="M7022" s="21"/>
      <c r="N7022" s="21" t="s">
        <v>44</v>
      </c>
      <c r="O7022" s="21">
        <f>60+60</f>
        <v>120</v>
      </c>
      <c r="P7022" s="21"/>
      <c r="Q7022" s="21">
        <f t="shared" si="125"/>
        <v>1</v>
      </c>
      <c r="R7022" s="21">
        <v>1</v>
      </c>
      <c r="S7022" s="21">
        <v>0</v>
      </c>
      <c r="T7022" s="21">
        <v>0</v>
      </c>
      <c r="U7022" s="21">
        <v>0</v>
      </c>
      <c r="V7022" s="21">
        <v>0</v>
      </c>
      <c r="W7022" s="21">
        <v>1</v>
      </c>
      <c r="X7022" s="21">
        <v>0</v>
      </c>
      <c r="Y7022" s="21">
        <v>0</v>
      </c>
      <c r="Z7022" s="21">
        <v>0</v>
      </c>
      <c r="AA7022" s="21">
        <v>0</v>
      </c>
      <c r="AB7022" s="21">
        <v>0</v>
      </c>
      <c r="AC7022" s="21">
        <v>0</v>
      </c>
      <c r="AD7022" s="21">
        <v>0</v>
      </c>
      <c r="AE7022" s="21">
        <v>0</v>
      </c>
      <c r="AF7022" s="21">
        <v>0</v>
      </c>
      <c r="AG7022" s="21">
        <v>0</v>
      </c>
      <c r="AH7022" s="21">
        <f t="shared" si="126"/>
        <v>96</v>
      </c>
      <c r="AI7022" s="21"/>
      <c r="AJ7022" s="21" t="s">
        <v>51</v>
      </c>
      <c r="AK7022" s="21" t="s">
        <v>52</v>
      </c>
      <c r="AL7022" s="21" t="s">
        <v>2233</v>
      </c>
      <c r="AM7022" s="21" t="s">
        <v>2234</v>
      </c>
      <c r="AN7022" s="21">
        <v>-122.440946016667</v>
      </c>
      <c r="AO7022" s="21">
        <v>37.7917092</v>
      </c>
      <c r="AP7022" s="21" t="s">
        <v>1915</v>
      </c>
    </row>
    <row r="7023" spans="1:42">
      <c r="A7023" s="20">
        <v>43853</v>
      </c>
      <c r="B7023" s="21">
        <v>4</v>
      </c>
      <c r="C7023" s="21">
        <v>985</v>
      </c>
      <c r="D7023" s="21">
        <v>14358</v>
      </c>
      <c r="E7023" s="21" t="s">
        <v>2123</v>
      </c>
      <c r="F7023" s="21" t="s">
        <v>520</v>
      </c>
      <c r="G7023" s="21">
        <v>1</v>
      </c>
      <c r="H7023" s="21">
        <v>50</v>
      </c>
      <c r="I7023" s="23" t="s">
        <v>2235</v>
      </c>
      <c r="J7023" s="21"/>
      <c r="K7023" s="21" t="s">
        <v>647</v>
      </c>
      <c r="L7023" s="21"/>
      <c r="M7023" s="21"/>
      <c r="N7023" s="21" t="s">
        <v>40</v>
      </c>
      <c r="O7023" s="21">
        <v>46</v>
      </c>
      <c r="P7023" s="21"/>
      <c r="Q7023" s="21">
        <f t="shared" si="125"/>
        <v>1</v>
      </c>
      <c r="R7023" s="21">
        <v>1</v>
      </c>
      <c r="S7023" s="21">
        <v>0</v>
      </c>
      <c r="T7023" s="21">
        <v>0</v>
      </c>
      <c r="U7023" s="21">
        <v>0</v>
      </c>
      <c r="V7023" s="21">
        <v>0</v>
      </c>
      <c r="W7023" s="21">
        <v>1</v>
      </c>
      <c r="X7023" s="21">
        <v>0</v>
      </c>
      <c r="Y7023" s="21">
        <v>0</v>
      </c>
      <c r="Z7023" s="21">
        <v>0</v>
      </c>
      <c r="AA7023" s="21">
        <v>0</v>
      </c>
      <c r="AB7023" s="21">
        <v>0</v>
      </c>
      <c r="AC7023" s="21">
        <v>0</v>
      </c>
      <c r="AD7023" s="21">
        <v>0</v>
      </c>
      <c r="AE7023" s="21">
        <v>0</v>
      </c>
      <c r="AF7023" s="21">
        <v>0</v>
      </c>
      <c r="AG7023" s="21">
        <v>0</v>
      </c>
      <c r="AH7023" s="21">
        <f t="shared" si="126"/>
        <v>96</v>
      </c>
      <c r="AI7023" s="21"/>
      <c r="AJ7023" s="21"/>
      <c r="AK7023" s="21"/>
      <c r="AL7023" s="21"/>
      <c r="AM7023" s="21" t="s">
        <v>2236</v>
      </c>
      <c r="AN7023" s="21">
        <v>-122.443248683333</v>
      </c>
      <c r="AO7023" s="21">
        <v>37.7915989166667</v>
      </c>
      <c r="AP7023" s="21" t="s">
        <v>1915</v>
      </c>
    </row>
    <row r="7024" spans="1:42">
      <c r="A7024" s="20">
        <v>43853</v>
      </c>
      <c r="B7024" s="21">
        <v>4</v>
      </c>
      <c r="C7024" s="21">
        <v>985</v>
      </c>
      <c r="D7024" s="21">
        <v>14358</v>
      </c>
      <c r="E7024" s="21" t="s">
        <v>2123</v>
      </c>
      <c r="F7024" s="21" t="s">
        <v>520</v>
      </c>
      <c r="G7024" s="21">
        <v>1</v>
      </c>
      <c r="H7024" s="21">
        <v>51</v>
      </c>
      <c r="I7024" s="23" t="s">
        <v>2237</v>
      </c>
      <c r="J7024" s="21"/>
      <c r="K7024" s="21" t="s">
        <v>647</v>
      </c>
      <c r="L7024" s="21"/>
      <c r="M7024" s="21"/>
      <c r="N7024" s="21" t="s">
        <v>40</v>
      </c>
      <c r="O7024" s="21">
        <v>46</v>
      </c>
      <c r="P7024" s="21"/>
      <c r="Q7024" s="21">
        <f t="shared" si="125"/>
        <v>1</v>
      </c>
      <c r="R7024" s="21">
        <v>1</v>
      </c>
      <c r="S7024" s="21">
        <v>0</v>
      </c>
      <c r="T7024" s="21">
        <v>0</v>
      </c>
      <c r="U7024" s="21">
        <v>0</v>
      </c>
      <c r="V7024" s="21">
        <v>0</v>
      </c>
      <c r="W7024" s="21">
        <v>1</v>
      </c>
      <c r="X7024" s="21">
        <v>0</v>
      </c>
      <c r="Y7024" s="21">
        <v>0</v>
      </c>
      <c r="Z7024" s="21">
        <v>0</v>
      </c>
      <c r="AA7024" s="21">
        <v>0</v>
      </c>
      <c r="AB7024" s="21">
        <v>0</v>
      </c>
      <c r="AC7024" s="21">
        <v>0</v>
      </c>
      <c r="AD7024" s="21">
        <v>0</v>
      </c>
      <c r="AE7024" s="21">
        <v>0</v>
      </c>
      <c r="AF7024" s="21">
        <v>0</v>
      </c>
      <c r="AG7024" s="21">
        <v>0</v>
      </c>
      <c r="AH7024" s="21">
        <f t="shared" si="126"/>
        <v>96</v>
      </c>
      <c r="AI7024" s="21"/>
      <c r="AJ7024" s="21" t="s">
        <v>54</v>
      </c>
      <c r="AK7024" s="21" t="s">
        <v>52</v>
      </c>
      <c r="AL7024" s="21"/>
      <c r="AM7024" s="21" t="s">
        <v>2238</v>
      </c>
      <c r="AN7024" s="21">
        <v>-122.44320209999999</v>
      </c>
      <c r="AO7024" s="21">
        <v>37.791465766666697</v>
      </c>
      <c r="AP7024" s="21" t="s">
        <v>1915</v>
      </c>
    </row>
    <row r="7025" spans="1:42">
      <c r="A7025" s="20">
        <v>43853</v>
      </c>
      <c r="B7025" s="21">
        <v>4</v>
      </c>
      <c r="C7025" s="21">
        <v>985</v>
      </c>
      <c r="D7025" s="21">
        <v>14358</v>
      </c>
      <c r="E7025" s="21" t="s">
        <v>2123</v>
      </c>
      <c r="F7025" s="21" t="s">
        <v>520</v>
      </c>
      <c r="G7025" s="21">
        <v>1</v>
      </c>
      <c r="H7025" s="21">
        <v>52</v>
      </c>
      <c r="I7025" s="23" t="s">
        <v>2239</v>
      </c>
      <c r="J7025" s="21"/>
      <c r="K7025" s="21" t="s">
        <v>2240</v>
      </c>
      <c r="L7025" s="21"/>
      <c r="M7025" s="21"/>
      <c r="N7025" s="21" t="s">
        <v>40</v>
      </c>
      <c r="O7025" s="21">
        <v>25</v>
      </c>
      <c r="P7025" s="21"/>
      <c r="Q7025" s="21">
        <f t="shared" si="125"/>
        <v>1</v>
      </c>
      <c r="R7025" s="21">
        <v>1</v>
      </c>
      <c r="S7025" s="21">
        <v>0</v>
      </c>
      <c r="T7025" s="21">
        <v>0</v>
      </c>
      <c r="U7025" s="21">
        <v>0</v>
      </c>
      <c r="V7025" s="21">
        <v>0</v>
      </c>
      <c r="W7025" s="21">
        <v>1</v>
      </c>
      <c r="X7025" s="21">
        <v>0</v>
      </c>
      <c r="Y7025" s="21">
        <v>0</v>
      </c>
      <c r="Z7025" s="21">
        <v>0</v>
      </c>
      <c r="AA7025" s="21">
        <v>0</v>
      </c>
      <c r="AB7025" s="21">
        <v>0</v>
      </c>
      <c r="AC7025" s="21">
        <v>0</v>
      </c>
      <c r="AD7025" s="21">
        <v>0</v>
      </c>
      <c r="AE7025" s="21">
        <v>0</v>
      </c>
      <c r="AF7025" s="21">
        <v>0</v>
      </c>
      <c r="AG7025" s="21">
        <v>0</v>
      </c>
      <c r="AH7025" s="21">
        <f t="shared" si="126"/>
        <v>96</v>
      </c>
      <c r="AI7025" s="21"/>
      <c r="AJ7025" s="21" t="s">
        <v>51</v>
      </c>
      <c r="AK7025" s="21" t="s">
        <v>52</v>
      </c>
      <c r="AL7025" s="21"/>
      <c r="AM7025" s="21" t="s">
        <v>2241</v>
      </c>
      <c r="AN7025" s="21">
        <v>-122.44327648333299</v>
      </c>
      <c r="AO7025" s="21">
        <v>37.791416883333298</v>
      </c>
      <c r="AP7025" s="21" t="s">
        <v>1915</v>
      </c>
    </row>
    <row r="7026" spans="1:42">
      <c r="A7026" s="20">
        <v>43853</v>
      </c>
      <c r="B7026" s="21">
        <v>4</v>
      </c>
      <c r="C7026" s="21">
        <v>985</v>
      </c>
      <c r="D7026" s="21">
        <v>14358</v>
      </c>
      <c r="E7026" s="21" t="s">
        <v>2123</v>
      </c>
      <c r="F7026" s="21" t="s">
        <v>520</v>
      </c>
      <c r="G7026" s="21">
        <v>1</v>
      </c>
      <c r="H7026" s="21">
        <v>53</v>
      </c>
      <c r="I7026" s="23" t="s">
        <v>2242</v>
      </c>
      <c r="J7026" s="21"/>
      <c r="K7026" s="21" t="s">
        <v>647</v>
      </c>
      <c r="L7026" s="21"/>
      <c r="M7026" s="21"/>
      <c r="N7026" s="21" t="s">
        <v>44</v>
      </c>
      <c r="O7026" s="21">
        <v>43</v>
      </c>
      <c r="P7026" s="21"/>
      <c r="Q7026" s="21">
        <f t="shared" si="125"/>
        <v>1</v>
      </c>
      <c r="R7026" s="21">
        <v>1</v>
      </c>
      <c r="S7026" s="21">
        <v>0</v>
      </c>
      <c r="T7026" s="21">
        <v>0</v>
      </c>
      <c r="U7026" s="21">
        <v>0</v>
      </c>
      <c r="V7026" s="21">
        <v>1</v>
      </c>
      <c r="W7026" s="21">
        <v>0</v>
      </c>
      <c r="X7026" s="21">
        <v>0</v>
      </c>
      <c r="Y7026" s="21">
        <v>0</v>
      </c>
      <c r="Z7026" s="21">
        <v>0</v>
      </c>
      <c r="AA7026" s="21">
        <v>0</v>
      </c>
      <c r="AB7026" s="21">
        <v>0</v>
      </c>
      <c r="AC7026" s="21">
        <v>0</v>
      </c>
      <c r="AD7026" s="21">
        <v>0</v>
      </c>
      <c r="AE7026" s="21">
        <v>0</v>
      </c>
      <c r="AF7026" s="21">
        <v>0</v>
      </c>
      <c r="AG7026" s="21">
        <v>0</v>
      </c>
      <c r="AH7026" s="21">
        <f t="shared" si="126"/>
        <v>64</v>
      </c>
      <c r="AI7026" s="21"/>
      <c r="AJ7026" s="21" t="s">
        <v>51</v>
      </c>
      <c r="AK7026" s="21" t="s">
        <v>52</v>
      </c>
      <c r="AL7026" s="21"/>
      <c r="AM7026" s="21" t="s">
        <v>2243</v>
      </c>
      <c r="AN7026" s="21">
        <v>-122.44342191666701</v>
      </c>
      <c r="AO7026" s="21">
        <v>37.791438583333303</v>
      </c>
      <c r="AP7026" s="21" t="s">
        <v>1915</v>
      </c>
    </row>
    <row r="7027" spans="1:42">
      <c r="A7027" s="20">
        <v>43853</v>
      </c>
      <c r="B7027" s="21">
        <v>4</v>
      </c>
      <c r="C7027" s="21">
        <v>985</v>
      </c>
      <c r="D7027" s="21">
        <v>14358</v>
      </c>
      <c r="E7027" s="21" t="s">
        <v>2123</v>
      </c>
      <c r="F7027" s="21" t="s">
        <v>520</v>
      </c>
      <c r="G7027" s="21">
        <v>1</v>
      </c>
      <c r="H7027" s="21">
        <v>54</v>
      </c>
      <c r="I7027" s="23" t="s">
        <v>2244</v>
      </c>
      <c r="J7027" s="21"/>
      <c r="K7027" s="21" t="s">
        <v>647</v>
      </c>
      <c r="L7027" s="21"/>
      <c r="M7027" s="21"/>
      <c r="N7027" s="21" t="s">
        <v>40</v>
      </c>
      <c r="O7027" s="21">
        <v>30</v>
      </c>
      <c r="P7027" s="21"/>
      <c r="Q7027" s="21">
        <f t="shared" si="125"/>
        <v>1</v>
      </c>
      <c r="R7027" s="21">
        <v>1</v>
      </c>
      <c r="S7027" s="21">
        <v>0</v>
      </c>
      <c r="T7027" s="21">
        <v>0</v>
      </c>
      <c r="U7027" s="21">
        <v>0</v>
      </c>
      <c r="V7027" s="21">
        <v>1</v>
      </c>
      <c r="W7027" s="21">
        <v>0</v>
      </c>
      <c r="X7027" s="21">
        <v>0</v>
      </c>
      <c r="Y7027" s="21">
        <v>0</v>
      </c>
      <c r="Z7027" s="21">
        <v>0</v>
      </c>
      <c r="AA7027" s="21">
        <v>0</v>
      </c>
      <c r="AB7027" s="21">
        <v>0</v>
      </c>
      <c r="AC7027" s="21">
        <v>0</v>
      </c>
      <c r="AD7027" s="21">
        <v>0</v>
      </c>
      <c r="AE7027" s="21">
        <v>0</v>
      </c>
      <c r="AF7027" s="21">
        <v>0</v>
      </c>
      <c r="AG7027" s="21">
        <v>0</v>
      </c>
      <c r="AH7027" s="21">
        <f t="shared" si="126"/>
        <v>64</v>
      </c>
      <c r="AI7027" s="21"/>
      <c r="AJ7027" s="21"/>
      <c r="AK7027" s="21"/>
      <c r="AL7027" s="21"/>
      <c r="AM7027" s="21" t="s">
        <v>2245</v>
      </c>
      <c r="AN7027" s="21">
        <v>-122.4436017</v>
      </c>
      <c r="AO7027" s="21">
        <v>37.791418483333302</v>
      </c>
      <c r="AP7027" s="21" t="s">
        <v>1915</v>
      </c>
    </row>
    <row r="7028" spans="1:42">
      <c r="A7028" s="20">
        <v>43853</v>
      </c>
      <c r="B7028" s="21">
        <v>4</v>
      </c>
      <c r="C7028" s="21">
        <v>985</v>
      </c>
      <c r="D7028" s="21">
        <v>14358</v>
      </c>
      <c r="E7028" s="21" t="s">
        <v>2123</v>
      </c>
      <c r="F7028" s="21" t="s">
        <v>520</v>
      </c>
      <c r="G7028" s="21">
        <v>1</v>
      </c>
      <c r="H7028" s="21">
        <v>55</v>
      </c>
      <c r="I7028" s="23" t="s">
        <v>2246</v>
      </c>
      <c r="J7028" s="21"/>
      <c r="K7028" s="21" t="s">
        <v>647</v>
      </c>
      <c r="L7028" s="21"/>
      <c r="M7028" s="21"/>
      <c r="N7028" s="21" t="s">
        <v>40</v>
      </c>
      <c r="O7028" s="21">
        <v>49</v>
      </c>
      <c r="P7028" s="21"/>
      <c r="Q7028" s="21">
        <f t="shared" si="125"/>
        <v>2</v>
      </c>
      <c r="R7028" s="21">
        <v>1</v>
      </c>
      <c r="S7028" s="21">
        <v>0</v>
      </c>
      <c r="T7028" s="21">
        <v>0</v>
      </c>
      <c r="U7028" s="21">
        <v>2</v>
      </c>
      <c r="V7028" s="21">
        <v>0</v>
      </c>
      <c r="W7028" s="21">
        <v>0</v>
      </c>
      <c r="X7028" s="21">
        <v>0</v>
      </c>
      <c r="Y7028" s="21">
        <v>0</v>
      </c>
      <c r="Z7028" s="21">
        <v>0</v>
      </c>
      <c r="AA7028" s="21">
        <v>0</v>
      </c>
      <c r="AB7028" s="21">
        <v>0</v>
      </c>
      <c r="AC7028" s="21">
        <v>0</v>
      </c>
      <c r="AD7028" s="21">
        <v>0</v>
      </c>
      <c r="AE7028" s="21">
        <v>0</v>
      </c>
      <c r="AF7028" s="21">
        <v>0</v>
      </c>
      <c r="AG7028" s="21">
        <v>0</v>
      </c>
      <c r="AH7028" s="21">
        <f t="shared" si="126"/>
        <v>64</v>
      </c>
      <c r="AI7028" s="21"/>
      <c r="AJ7028" s="21" t="s">
        <v>51</v>
      </c>
      <c r="AK7028" s="21" t="s">
        <v>52</v>
      </c>
      <c r="AL7028" s="21"/>
      <c r="AM7028" s="21" t="s">
        <v>2247</v>
      </c>
      <c r="AN7028" s="21">
        <v>-122.443769933333</v>
      </c>
      <c r="AO7028" s="21">
        <v>37.791397983333297</v>
      </c>
      <c r="AP7028" s="21" t="s">
        <v>1915</v>
      </c>
    </row>
    <row r="7029" spans="1:42">
      <c r="A7029" s="20">
        <v>43853</v>
      </c>
      <c r="B7029" s="21">
        <v>4</v>
      </c>
      <c r="C7029" s="21">
        <v>985</v>
      </c>
      <c r="D7029" s="21">
        <v>14358</v>
      </c>
      <c r="E7029" s="21" t="s">
        <v>2123</v>
      </c>
      <c r="F7029" s="21" t="s">
        <v>520</v>
      </c>
      <c r="G7029" s="21">
        <v>1</v>
      </c>
      <c r="H7029" s="21">
        <v>56</v>
      </c>
      <c r="I7029" s="23" t="s">
        <v>2248</v>
      </c>
      <c r="J7029" s="21"/>
      <c r="K7029" s="21" t="s">
        <v>2240</v>
      </c>
      <c r="L7029" s="21"/>
      <c r="M7029" s="21"/>
      <c r="N7029" s="21" t="s">
        <v>40</v>
      </c>
      <c r="O7029" s="21">
        <v>44</v>
      </c>
      <c r="P7029" s="21"/>
      <c r="Q7029" s="21">
        <f t="shared" si="125"/>
        <v>2</v>
      </c>
      <c r="R7029" s="21">
        <v>1</v>
      </c>
      <c r="S7029" s="21">
        <v>0</v>
      </c>
      <c r="T7029" s="21">
        <v>0</v>
      </c>
      <c r="U7029" s="21">
        <v>0</v>
      </c>
      <c r="V7029" s="21">
        <v>2</v>
      </c>
      <c r="W7029" s="21">
        <v>0</v>
      </c>
      <c r="X7029" s="21">
        <v>0</v>
      </c>
      <c r="Y7029" s="21">
        <v>0</v>
      </c>
      <c r="Z7029" s="21">
        <v>0</v>
      </c>
      <c r="AA7029" s="21">
        <v>0</v>
      </c>
      <c r="AB7029" s="21">
        <v>0</v>
      </c>
      <c r="AC7029" s="21">
        <v>0</v>
      </c>
      <c r="AD7029" s="21">
        <v>0</v>
      </c>
      <c r="AE7029" s="21">
        <v>0</v>
      </c>
      <c r="AF7029" s="21">
        <v>0</v>
      </c>
      <c r="AG7029" s="21">
        <v>0</v>
      </c>
      <c r="AH7029" s="21">
        <f t="shared" si="126"/>
        <v>128</v>
      </c>
      <c r="AI7029" s="21"/>
      <c r="AJ7029" s="21" t="s">
        <v>51</v>
      </c>
      <c r="AK7029" s="21" t="s">
        <v>52</v>
      </c>
      <c r="AL7029" s="21"/>
      <c r="AM7029" s="21" t="s">
        <v>2249</v>
      </c>
      <c r="AN7029" s="21">
        <v>-122.444000116667</v>
      </c>
      <c r="AO7029" s="21">
        <v>37.791376016666597</v>
      </c>
      <c r="AP7029" s="21" t="s">
        <v>1915</v>
      </c>
    </row>
    <row r="7030" spans="1:42">
      <c r="A7030" s="20">
        <v>43853</v>
      </c>
      <c r="B7030" s="21">
        <v>4</v>
      </c>
      <c r="C7030" s="21">
        <v>985</v>
      </c>
      <c r="D7030" s="21">
        <v>14358</v>
      </c>
      <c r="E7030" s="21" t="s">
        <v>2123</v>
      </c>
      <c r="F7030" s="21" t="s">
        <v>520</v>
      </c>
      <c r="G7030" s="21">
        <v>1</v>
      </c>
      <c r="H7030" s="21">
        <v>57</v>
      </c>
      <c r="I7030" s="23" t="s">
        <v>2250</v>
      </c>
      <c r="J7030" s="21"/>
      <c r="K7030" s="21" t="s">
        <v>647</v>
      </c>
      <c r="L7030" s="21"/>
      <c r="M7030" s="21"/>
      <c r="N7030" s="21" t="s">
        <v>44</v>
      </c>
      <c r="O7030" s="21">
        <f>60+60+16</f>
        <v>136</v>
      </c>
      <c r="P7030" s="21"/>
      <c r="Q7030" s="21">
        <f t="shared" si="125"/>
        <v>2</v>
      </c>
      <c r="R7030" s="21">
        <v>1</v>
      </c>
      <c r="S7030" s="21">
        <v>0</v>
      </c>
      <c r="T7030" s="21">
        <v>0</v>
      </c>
      <c r="U7030" s="21">
        <v>0</v>
      </c>
      <c r="V7030" s="21">
        <v>0</v>
      </c>
      <c r="W7030" s="21">
        <v>2</v>
      </c>
      <c r="X7030" s="21">
        <v>0</v>
      </c>
      <c r="Y7030" s="21">
        <v>0</v>
      </c>
      <c r="Z7030" s="21">
        <v>0</v>
      </c>
      <c r="AA7030" s="21">
        <v>0</v>
      </c>
      <c r="AB7030" s="21">
        <v>0</v>
      </c>
      <c r="AC7030" s="21">
        <v>0</v>
      </c>
      <c r="AD7030" s="21">
        <v>0</v>
      </c>
      <c r="AE7030" s="21">
        <v>0</v>
      </c>
      <c r="AF7030" s="21">
        <v>0</v>
      </c>
      <c r="AG7030" s="21">
        <v>0</v>
      </c>
      <c r="AH7030" s="21">
        <f t="shared" si="126"/>
        <v>192</v>
      </c>
      <c r="AI7030" s="21"/>
      <c r="AJ7030" s="21" t="s">
        <v>54</v>
      </c>
      <c r="AK7030" s="21" t="s">
        <v>52</v>
      </c>
      <c r="AL7030" s="21" t="s">
        <v>1946</v>
      </c>
      <c r="AM7030" s="21" t="s">
        <v>2251</v>
      </c>
      <c r="AN7030" s="21">
        <v>-122.444204716667</v>
      </c>
      <c r="AO7030" s="21">
        <v>37.791370283333301</v>
      </c>
      <c r="AP7030" s="21" t="s">
        <v>1915</v>
      </c>
    </row>
    <row r="7031" spans="1:42">
      <c r="A7031" s="20">
        <v>43853</v>
      </c>
      <c r="B7031" s="21">
        <v>4</v>
      </c>
      <c r="C7031" s="21">
        <v>985</v>
      </c>
      <c r="D7031" s="21">
        <v>14358</v>
      </c>
      <c r="E7031" s="21" t="s">
        <v>2123</v>
      </c>
      <c r="F7031" s="21" t="s">
        <v>520</v>
      </c>
      <c r="G7031" s="21">
        <v>1</v>
      </c>
      <c r="H7031" s="21">
        <v>58</v>
      </c>
      <c r="I7031" s="23" t="s">
        <v>2252</v>
      </c>
      <c r="J7031" s="21"/>
      <c r="K7031" s="21" t="s">
        <v>647</v>
      </c>
      <c r="L7031" s="21"/>
      <c r="M7031" s="21"/>
      <c r="N7031" s="21" t="s">
        <v>40</v>
      </c>
      <c r="O7031" s="21">
        <v>50</v>
      </c>
      <c r="P7031" s="21"/>
      <c r="Q7031" s="21">
        <f t="shared" si="125"/>
        <v>1</v>
      </c>
      <c r="R7031" s="21">
        <v>1</v>
      </c>
      <c r="S7031" s="21">
        <v>0</v>
      </c>
      <c r="T7031" s="21">
        <v>0</v>
      </c>
      <c r="U7031" s="21">
        <v>0</v>
      </c>
      <c r="V7031" s="21">
        <v>0</v>
      </c>
      <c r="W7031" s="21">
        <v>1</v>
      </c>
      <c r="X7031" s="21">
        <v>0</v>
      </c>
      <c r="Y7031" s="21">
        <v>0</v>
      </c>
      <c r="Z7031" s="21">
        <v>0</v>
      </c>
      <c r="AA7031" s="21">
        <v>0</v>
      </c>
      <c r="AB7031" s="21">
        <v>0</v>
      </c>
      <c r="AC7031" s="21">
        <v>0</v>
      </c>
      <c r="AD7031" s="21">
        <v>0</v>
      </c>
      <c r="AE7031" s="21">
        <v>0</v>
      </c>
      <c r="AF7031" s="21">
        <v>0</v>
      </c>
      <c r="AG7031" s="21">
        <v>0</v>
      </c>
      <c r="AH7031" s="21">
        <f t="shared" si="126"/>
        <v>96</v>
      </c>
      <c r="AI7031" s="21"/>
      <c r="AJ7031" s="21" t="s">
        <v>51</v>
      </c>
      <c r="AK7031" s="21" t="s">
        <v>52</v>
      </c>
      <c r="AL7031" s="21"/>
      <c r="AM7031" s="21" t="s">
        <v>2253</v>
      </c>
      <c r="AN7031" s="21">
        <v>-122.44431591666699</v>
      </c>
      <c r="AO7031" s="21">
        <v>37.791340933333302</v>
      </c>
      <c r="AP7031" s="21" t="s">
        <v>1915</v>
      </c>
    </row>
    <row r="7032" spans="1:42">
      <c r="A7032" s="20">
        <v>43853</v>
      </c>
      <c r="B7032" s="21">
        <v>4</v>
      </c>
      <c r="C7032" s="21">
        <v>985</v>
      </c>
      <c r="D7032" s="21">
        <v>14358</v>
      </c>
      <c r="E7032" s="21" t="s">
        <v>2123</v>
      </c>
      <c r="F7032" s="21" t="s">
        <v>520</v>
      </c>
      <c r="G7032" s="21">
        <v>1</v>
      </c>
      <c r="H7032" s="21">
        <v>59</v>
      </c>
      <c r="I7032" s="23" t="s">
        <v>2254</v>
      </c>
      <c r="J7032" s="21"/>
      <c r="K7032" s="21" t="s">
        <v>329</v>
      </c>
      <c r="L7032" s="21"/>
      <c r="M7032" s="21"/>
      <c r="N7032" s="21" t="s">
        <v>44</v>
      </c>
      <c r="O7032" s="21">
        <f>60+60+51</f>
        <v>171</v>
      </c>
      <c r="P7032" s="21"/>
      <c r="Q7032" s="21">
        <f t="shared" si="125"/>
        <v>1</v>
      </c>
      <c r="R7032" s="21">
        <v>1</v>
      </c>
      <c r="S7032" s="21">
        <v>0</v>
      </c>
      <c r="T7032" s="21">
        <v>0</v>
      </c>
      <c r="U7032" s="21">
        <v>0</v>
      </c>
      <c r="V7032" s="21">
        <v>0</v>
      </c>
      <c r="W7032" s="21">
        <v>1</v>
      </c>
      <c r="X7032" s="21">
        <v>0</v>
      </c>
      <c r="Y7032" s="21">
        <v>0</v>
      </c>
      <c r="Z7032" s="21">
        <v>0</v>
      </c>
      <c r="AA7032" s="21">
        <v>0</v>
      </c>
      <c r="AB7032" s="21">
        <v>0</v>
      </c>
      <c r="AC7032" s="21">
        <v>0</v>
      </c>
      <c r="AD7032" s="21">
        <v>0</v>
      </c>
      <c r="AE7032" s="21">
        <v>0</v>
      </c>
      <c r="AF7032" s="21">
        <v>0</v>
      </c>
      <c r="AG7032" s="21">
        <v>0</v>
      </c>
      <c r="AH7032" s="21">
        <f t="shared" si="126"/>
        <v>96</v>
      </c>
      <c r="AI7032" s="21"/>
      <c r="AJ7032" s="21" t="s">
        <v>54</v>
      </c>
      <c r="AK7032" s="21" t="s">
        <v>95</v>
      </c>
      <c r="AL7032" s="21" t="s">
        <v>2255</v>
      </c>
      <c r="AM7032" s="21" t="s">
        <v>2256</v>
      </c>
      <c r="AN7032" s="21">
        <v>-122.444756086186</v>
      </c>
      <c r="AO7032" s="21">
        <v>37.791741695558798</v>
      </c>
      <c r="AP7032" s="21" t="s">
        <v>1915</v>
      </c>
    </row>
    <row r="7033" spans="1:42">
      <c r="A7033" s="20">
        <v>43853</v>
      </c>
      <c r="B7033" s="21">
        <v>4</v>
      </c>
      <c r="C7033" s="21">
        <v>985</v>
      </c>
      <c r="D7033" s="21">
        <v>14358</v>
      </c>
      <c r="E7033" s="21" t="s">
        <v>2123</v>
      </c>
      <c r="F7033" s="21" t="s">
        <v>520</v>
      </c>
      <c r="G7033" s="21">
        <v>1</v>
      </c>
      <c r="H7033" s="21">
        <v>60</v>
      </c>
      <c r="I7033" s="23" t="s">
        <v>2257</v>
      </c>
      <c r="J7033" s="21"/>
      <c r="K7033" s="21" t="s">
        <v>329</v>
      </c>
      <c r="L7033" s="21"/>
      <c r="M7033" s="21"/>
      <c r="N7033" s="21" t="s">
        <v>40</v>
      </c>
      <c r="O7033" s="21">
        <f>60+15</f>
        <v>75</v>
      </c>
      <c r="P7033" s="21"/>
      <c r="Q7033" s="21">
        <f t="shared" si="125"/>
        <v>2</v>
      </c>
      <c r="R7033" s="21">
        <v>1</v>
      </c>
      <c r="S7033" s="21">
        <v>0</v>
      </c>
      <c r="T7033" s="21">
        <v>0</v>
      </c>
      <c r="U7033" s="21">
        <v>1</v>
      </c>
      <c r="V7033" s="21">
        <v>0</v>
      </c>
      <c r="W7033" s="21">
        <v>1</v>
      </c>
      <c r="X7033" s="21">
        <v>0</v>
      </c>
      <c r="Y7033" s="21">
        <v>0</v>
      </c>
      <c r="Z7033" s="21">
        <v>0</v>
      </c>
      <c r="AA7033" s="21">
        <v>0</v>
      </c>
      <c r="AB7033" s="21">
        <v>0</v>
      </c>
      <c r="AC7033" s="21">
        <v>0</v>
      </c>
      <c r="AD7033" s="21">
        <v>0</v>
      </c>
      <c r="AE7033" s="21">
        <v>0</v>
      </c>
      <c r="AF7033" s="21">
        <v>0</v>
      </c>
      <c r="AG7033" s="21">
        <v>0</v>
      </c>
      <c r="AH7033" s="21">
        <f t="shared" si="126"/>
        <v>128</v>
      </c>
      <c r="AI7033" s="21"/>
      <c r="AJ7033" s="21" t="s">
        <v>54</v>
      </c>
      <c r="AK7033" s="21" t="s">
        <v>95</v>
      </c>
      <c r="AL7033" s="21" t="s">
        <v>2258</v>
      </c>
      <c r="AM7033" s="21" t="s">
        <v>2259</v>
      </c>
      <c r="AN7033" s="21">
        <v>-122.444515033333</v>
      </c>
      <c r="AO7033" s="21">
        <v>37.791652433333297</v>
      </c>
      <c r="AP7033" s="21" t="s">
        <v>1915</v>
      </c>
    </row>
    <row r="7034" spans="1:42">
      <c r="A7034" s="20">
        <v>43853</v>
      </c>
      <c r="B7034" s="21">
        <v>4</v>
      </c>
      <c r="C7034" s="21">
        <v>985</v>
      </c>
      <c r="D7034" s="21">
        <v>14358</v>
      </c>
      <c r="E7034" s="21" t="s">
        <v>2123</v>
      </c>
      <c r="F7034" s="21" t="s">
        <v>520</v>
      </c>
      <c r="G7034" s="21">
        <v>1</v>
      </c>
      <c r="H7034" s="21">
        <v>61</v>
      </c>
      <c r="I7034" s="23" t="s">
        <v>2260</v>
      </c>
      <c r="J7034" s="21"/>
      <c r="K7034" t="s">
        <v>605</v>
      </c>
      <c r="L7034" s="21"/>
      <c r="M7034" s="21"/>
      <c r="N7034" s="21" t="s">
        <v>44</v>
      </c>
      <c r="O7034" s="21">
        <f>60+60+15</f>
        <v>135</v>
      </c>
      <c r="P7034" s="21"/>
      <c r="Q7034" s="21">
        <f t="shared" si="125"/>
        <v>1</v>
      </c>
      <c r="R7034" s="21">
        <v>1</v>
      </c>
      <c r="S7034" s="21">
        <v>0</v>
      </c>
      <c r="T7034" s="21">
        <v>0</v>
      </c>
      <c r="U7034" s="21">
        <v>0</v>
      </c>
      <c r="V7034" s="21">
        <v>0</v>
      </c>
      <c r="W7034" s="21">
        <v>1</v>
      </c>
      <c r="X7034" s="21">
        <v>0</v>
      </c>
      <c r="Y7034" s="21">
        <v>0</v>
      </c>
      <c r="Z7034" s="21">
        <v>0</v>
      </c>
      <c r="AA7034" s="21">
        <v>0</v>
      </c>
      <c r="AB7034" s="21">
        <v>0</v>
      </c>
      <c r="AC7034" s="21">
        <v>0</v>
      </c>
      <c r="AD7034" s="21">
        <v>0</v>
      </c>
      <c r="AE7034" s="21">
        <v>0</v>
      </c>
      <c r="AF7034" s="21">
        <v>0</v>
      </c>
      <c r="AG7034" s="21">
        <v>0</v>
      </c>
      <c r="AH7034" s="21">
        <f t="shared" si="126"/>
        <v>96</v>
      </c>
      <c r="AI7034" s="21"/>
      <c r="AJ7034" s="21" t="s">
        <v>51</v>
      </c>
      <c r="AK7034" s="21" t="s">
        <v>52</v>
      </c>
      <c r="AL7034" s="21"/>
      <c r="AM7034" s="21" t="s">
        <v>2261</v>
      </c>
      <c r="AN7034" s="21">
        <v>-122.4442382</v>
      </c>
      <c r="AO7034" s="21">
        <v>37.792166933333299</v>
      </c>
      <c r="AP7034" s="21" t="s">
        <v>1915</v>
      </c>
    </row>
    <row r="7035" spans="1:42">
      <c r="A7035" s="20">
        <v>43853</v>
      </c>
      <c r="B7035" s="21">
        <v>4</v>
      </c>
      <c r="C7035" s="21">
        <v>985</v>
      </c>
      <c r="D7035" s="21">
        <v>14358</v>
      </c>
      <c r="E7035" s="21" t="s">
        <v>2123</v>
      </c>
      <c r="F7035" s="21" t="s">
        <v>520</v>
      </c>
      <c r="G7035" s="21">
        <v>1</v>
      </c>
      <c r="H7035" s="21">
        <v>62</v>
      </c>
      <c r="I7035" s="23" t="s">
        <v>2262</v>
      </c>
      <c r="J7035" s="21"/>
      <c r="K7035" t="s">
        <v>605</v>
      </c>
      <c r="L7035" s="21"/>
      <c r="M7035" s="21"/>
      <c r="N7035" s="21" t="s">
        <v>44</v>
      </c>
      <c r="O7035" s="21">
        <f>60+60+34</f>
        <v>154</v>
      </c>
      <c r="P7035" s="21"/>
      <c r="Q7035" s="21">
        <f t="shared" si="125"/>
        <v>2</v>
      </c>
      <c r="R7035" s="21">
        <v>1</v>
      </c>
      <c r="S7035" s="21">
        <v>0</v>
      </c>
      <c r="T7035" s="21">
        <v>0</v>
      </c>
      <c r="U7035" s="21">
        <v>0</v>
      </c>
      <c r="V7035" s="21">
        <v>0</v>
      </c>
      <c r="W7035" s="21">
        <v>2</v>
      </c>
      <c r="X7035" s="21">
        <v>0</v>
      </c>
      <c r="Y7035" s="21">
        <v>0</v>
      </c>
      <c r="Z7035" s="21">
        <v>0</v>
      </c>
      <c r="AA7035" s="21">
        <v>0</v>
      </c>
      <c r="AB7035" s="21">
        <v>0</v>
      </c>
      <c r="AC7035" s="21">
        <v>0</v>
      </c>
      <c r="AD7035" s="21">
        <v>0</v>
      </c>
      <c r="AE7035" s="21">
        <v>0</v>
      </c>
      <c r="AF7035" s="21">
        <v>0</v>
      </c>
      <c r="AG7035" s="21">
        <v>0</v>
      </c>
      <c r="AH7035" s="21">
        <f t="shared" si="126"/>
        <v>192</v>
      </c>
      <c r="AI7035" s="21"/>
      <c r="AJ7035" s="21" t="s">
        <v>51</v>
      </c>
      <c r="AK7035" s="21" t="s">
        <v>52</v>
      </c>
      <c r="AL7035" s="21"/>
      <c r="AM7035" s="21" t="s">
        <v>2263</v>
      </c>
      <c r="AN7035" s="21">
        <v>-122.443688116667</v>
      </c>
      <c r="AO7035" s="21">
        <v>37.792334133333298</v>
      </c>
      <c r="AP7035" s="21" t="s">
        <v>1915</v>
      </c>
    </row>
    <row r="7036" spans="1:42">
      <c r="A7036" s="20">
        <v>43853</v>
      </c>
      <c r="B7036" s="21">
        <v>4</v>
      </c>
      <c r="C7036" s="21">
        <v>985</v>
      </c>
      <c r="D7036" s="21">
        <v>14358</v>
      </c>
      <c r="E7036" s="21" t="s">
        <v>2123</v>
      </c>
      <c r="F7036" s="21" t="s">
        <v>520</v>
      </c>
      <c r="G7036" s="21">
        <v>1</v>
      </c>
      <c r="H7036" s="21">
        <v>63</v>
      </c>
      <c r="I7036" s="23" t="s">
        <v>2264</v>
      </c>
      <c r="J7036" s="21"/>
      <c r="K7036" s="21" t="s">
        <v>647</v>
      </c>
      <c r="L7036" s="21"/>
      <c r="M7036" s="21"/>
      <c r="N7036" s="21" t="s">
        <v>44</v>
      </c>
      <c r="O7036" s="21">
        <v>116</v>
      </c>
      <c r="P7036" s="21"/>
      <c r="Q7036" s="21">
        <f t="shared" si="125"/>
        <v>2</v>
      </c>
      <c r="R7036" s="21">
        <v>1</v>
      </c>
      <c r="S7036" s="21">
        <v>0</v>
      </c>
      <c r="T7036" s="21">
        <v>0</v>
      </c>
      <c r="U7036" s="21">
        <v>0</v>
      </c>
      <c r="V7036" s="21">
        <v>2</v>
      </c>
      <c r="W7036" s="21">
        <v>0</v>
      </c>
      <c r="X7036" s="21">
        <v>0</v>
      </c>
      <c r="Y7036" s="21">
        <v>0</v>
      </c>
      <c r="Z7036" s="21">
        <v>0</v>
      </c>
      <c r="AA7036" s="21">
        <v>0</v>
      </c>
      <c r="AB7036" s="21">
        <v>0</v>
      </c>
      <c r="AC7036" s="21">
        <v>0</v>
      </c>
      <c r="AD7036" s="21">
        <v>0</v>
      </c>
      <c r="AE7036" s="21">
        <v>0</v>
      </c>
      <c r="AF7036" s="21">
        <v>0</v>
      </c>
      <c r="AG7036" s="21">
        <v>0</v>
      </c>
      <c r="AH7036" s="21">
        <f t="shared" si="126"/>
        <v>128</v>
      </c>
      <c r="AI7036" s="21"/>
      <c r="AJ7036" s="21" t="s">
        <v>54</v>
      </c>
      <c r="AK7036" s="21" t="s">
        <v>52</v>
      </c>
      <c r="AL7036" s="21" t="s">
        <v>2265</v>
      </c>
      <c r="AM7036" s="21" t="s">
        <v>2266</v>
      </c>
      <c r="AN7036" s="21">
        <v>-122.4446556</v>
      </c>
      <c r="AO7036" s="21">
        <v>37.791301500000003</v>
      </c>
      <c r="AP7036" s="21" t="s">
        <v>1915</v>
      </c>
    </row>
    <row r="7037" spans="1:42">
      <c r="A7037" s="20">
        <v>43853</v>
      </c>
      <c r="B7037" s="21">
        <v>4</v>
      </c>
      <c r="C7037" s="21">
        <v>985</v>
      </c>
      <c r="D7037" s="21">
        <v>14358</v>
      </c>
      <c r="E7037" s="21" t="s">
        <v>2123</v>
      </c>
      <c r="F7037" s="21" t="s">
        <v>520</v>
      </c>
      <c r="G7037" s="21">
        <v>1</v>
      </c>
      <c r="H7037" s="21">
        <v>64</v>
      </c>
      <c r="I7037" s="23" t="s">
        <v>2267</v>
      </c>
      <c r="J7037" s="21"/>
      <c r="K7037" s="21" t="s">
        <v>647</v>
      </c>
      <c r="L7037" s="21"/>
      <c r="M7037" s="21"/>
      <c r="N7037" s="21" t="s">
        <v>44</v>
      </c>
      <c r="O7037" s="21">
        <f>60+60+60+8</f>
        <v>188</v>
      </c>
      <c r="P7037" s="21"/>
      <c r="Q7037" s="21">
        <f t="shared" si="125"/>
        <v>2</v>
      </c>
      <c r="R7037" s="21">
        <v>1</v>
      </c>
      <c r="S7037" s="21">
        <v>0</v>
      </c>
      <c r="T7037" s="21">
        <v>0</v>
      </c>
      <c r="U7037" s="21">
        <v>0</v>
      </c>
      <c r="V7037" s="21">
        <v>0</v>
      </c>
      <c r="W7037" s="21">
        <v>2</v>
      </c>
      <c r="X7037" s="21">
        <v>0</v>
      </c>
      <c r="Y7037" s="21">
        <v>0</v>
      </c>
      <c r="Z7037" s="21">
        <v>0</v>
      </c>
      <c r="AA7037" s="21">
        <v>0</v>
      </c>
      <c r="AB7037" s="21">
        <v>0</v>
      </c>
      <c r="AC7037" s="21">
        <v>0</v>
      </c>
      <c r="AD7037" s="21">
        <v>0</v>
      </c>
      <c r="AE7037" s="21">
        <v>0</v>
      </c>
      <c r="AF7037" s="21">
        <v>0</v>
      </c>
      <c r="AG7037" s="21">
        <v>0</v>
      </c>
      <c r="AH7037" s="21">
        <f t="shared" si="126"/>
        <v>192</v>
      </c>
      <c r="AI7037" s="21"/>
      <c r="AJ7037" s="21" t="s">
        <v>54</v>
      </c>
      <c r="AK7037" s="21" t="s">
        <v>52</v>
      </c>
      <c r="AL7037" s="21" t="s">
        <v>2268</v>
      </c>
      <c r="AM7037" s="21" t="s">
        <v>2269</v>
      </c>
      <c r="AN7037" s="21">
        <v>-122.445319183333</v>
      </c>
      <c r="AO7037" s="21">
        <v>37.791117166666702</v>
      </c>
      <c r="AP7037" s="21" t="s">
        <v>1915</v>
      </c>
    </row>
    <row r="7038" spans="1:42">
      <c r="A7038" s="20">
        <v>43853</v>
      </c>
      <c r="B7038" s="21">
        <v>4</v>
      </c>
      <c r="C7038" s="21">
        <v>985</v>
      </c>
      <c r="D7038" s="21">
        <v>14358</v>
      </c>
      <c r="E7038" s="21" t="s">
        <v>2123</v>
      </c>
      <c r="F7038" s="21" t="s">
        <v>520</v>
      </c>
      <c r="G7038" s="21">
        <v>1</v>
      </c>
      <c r="H7038" s="21">
        <v>65</v>
      </c>
      <c r="I7038" s="23" t="s">
        <v>2267</v>
      </c>
      <c r="J7038" s="21"/>
      <c r="K7038" s="21" t="s">
        <v>2240</v>
      </c>
      <c r="L7038" s="21"/>
      <c r="M7038" s="21"/>
      <c r="N7038" s="21" t="s">
        <v>44</v>
      </c>
      <c r="O7038" s="21">
        <v>48</v>
      </c>
      <c r="P7038" s="21"/>
      <c r="Q7038" s="21">
        <f t="shared" si="125"/>
        <v>1</v>
      </c>
      <c r="R7038" s="21">
        <v>1</v>
      </c>
      <c r="S7038" s="21">
        <v>0</v>
      </c>
      <c r="T7038" s="21">
        <v>0</v>
      </c>
      <c r="U7038" s="21">
        <v>0</v>
      </c>
      <c r="V7038" s="21">
        <v>0</v>
      </c>
      <c r="W7038" s="21">
        <v>1</v>
      </c>
      <c r="X7038" s="21">
        <v>0</v>
      </c>
      <c r="Y7038" s="21">
        <v>0</v>
      </c>
      <c r="Z7038" s="21">
        <v>0</v>
      </c>
      <c r="AA7038" s="21">
        <v>0</v>
      </c>
      <c r="AB7038" s="21">
        <v>0</v>
      </c>
      <c r="AC7038" s="21">
        <v>0</v>
      </c>
      <c r="AD7038" s="21">
        <v>0</v>
      </c>
      <c r="AE7038" s="21">
        <v>0</v>
      </c>
      <c r="AF7038" s="21">
        <v>0</v>
      </c>
      <c r="AG7038" s="21">
        <v>0</v>
      </c>
      <c r="AH7038" s="21">
        <f t="shared" si="126"/>
        <v>96</v>
      </c>
      <c r="AI7038" s="21"/>
      <c r="AJ7038" s="21"/>
      <c r="AK7038" s="21"/>
      <c r="AL7038" s="21"/>
      <c r="AM7038" s="21" t="s">
        <v>2270</v>
      </c>
      <c r="AN7038" s="21">
        <v>-122.445420183333</v>
      </c>
      <c r="AO7038" s="21">
        <v>37.791127266666599</v>
      </c>
      <c r="AP7038" s="21" t="s">
        <v>1915</v>
      </c>
    </row>
    <row r="7039" spans="1:42">
      <c r="A7039" s="20">
        <v>43853</v>
      </c>
      <c r="B7039" s="21">
        <v>4</v>
      </c>
      <c r="C7039" s="21">
        <v>985</v>
      </c>
      <c r="D7039" s="21">
        <v>14358</v>
      </c>
      <c r="E7039" s="21" t="s">
        <v>2123</v>
      </c>
      <c r="F7039" s="21" t="s">
        <v>520</v>
      </c>
      <c r="G7039" s="21">
        <v>1</v>
      </c>
      <c r="H7039" s="21">
        <v>66</v>
      </c>
      <c r="I7039" s="23" t="s">
        <v>2271</v>
      </c>
      <c r="J7039" s="21"/>
      <c r="K7039" s="21" t="s">
        <v>647</v>
      </c>
      <c r="L7039" s="21"/>
      <c r="M7039" s="21"/>
      <c r="N7039" s="21" t="s">
        <v>40</v>
      </c>
      <c r="O7039" s="21">
        <v>52</v>
      </c>
      <c r="P7039" s="21"/>
      <c r="Q7039" s="21">
        <f t="shared" si="125"/>
        <v>2</v>
      </c>
      <c r="R7039" s="21">
        <v>1</v>
      </c>
      <c r="S7039" s="21">
        <v>0</v>
      </c>
      <c r="T7039" s="21">
        <v>0</v>
      </c>
      <c r="U7039" s="21">
        <v>1</v>
      </c>
      <c r="V7039" s="21">
        <v>0</v>
      </c>
      <c r="W7039" s="21">
        <v>1</v>
      </c>
      <c r="X7039" s="21">
        <v>0</v>
      </c>
      <c r="Y7039" s="21">
        <v>0</v>
      </c>
      <c r="Z7039" s="21">
        <v>0</v>
      </c>
      <c r="AA7039" s="21">
        <v>0</v>
      </c>
      <c r="AB7039" s="21">
        <v>0</v>
      </c>
      <c r="AC7039" s="21">
        <v>0</v>
      </c>
      <c r="AD7039" s="21">
        <v>0</v>
      </c>
      <c r="AE7039" s="21">
        <v>0</v>
      </c>
      <c r="AF7039" s="21">
        <v>0</v>
      </c>
      <c r="AG7039" s="21">
        <v>0</v>
      </c>
      <c r="AH7039" s="21">
        <f t="shared" si="126"/>
        <v>128</v>
      </c>
      <c r="AI7039" s="21"/>
      <c r="AJ7039" s="21"/>
      <c r="AK7039" s="21"/>
      <c r="AL7039" s="21"/>
      <c r="AM7039" s="21" t="s">
        <v>2272</v>
      </c>
      <c r="AN7039" s="21">
        <v>-122.445578316667</v>
      </c>
      <c r="AO7039" s="21">
        <v>37.7911243333333</v>
      </c>
      <c r="AP7039" s="21" t="s">
        <v>1915</v>
      </c>
    </row>
    <row r="7040" spans="1:42">
      <c r="A7040" s="20">
        <v>43853</v>
      </c>
      <c r="B7040" s="21">
        <v>4</v>
      </c>
      <c r="C7040" s="21">
        <v>985</v>
      </c>
      <c r="D7040" s="21">
        <v>14358</v>
      </c>
      <c r="E7040" s="21" t="s">
        <v>2123</v>
      </c>
      <c r="F7040" s="21" t="s">
        <v>520</v>
      </c>
      <c r="G7040" s="21">
        <v>1</v>
      </c>
      <c r="H7040" s="21">
        <v>67</v>
      </c>
      <c r="I7040" s="23" t="s">
        <v>2273</v>
      </c>
      <c r="J7040" s="21"/>
      <c r="K7040" s="21" t="s">
        <v>647</v>
      </c>
      <c r="L7040" s="21"/>
      <c r="M7040" s="21"/>
      <c r="N7040" s="21" t="s">
        <v>44</v>
      </c>
      <c r="O7040" s="21">
        <f>60+60+38</f>
        <v>158</v>
      </c>
      <c r="P7040" s="21"/>
      <c r="Q7040" s="21">
        <f t="shared" ref="Q7040:Q7103" si="127">SUM(S7040:AE7040)</f>
        <v>2</v>
      </c>
      <c r="R7040" s="21">
        <v>1</v>
      </c>
      <c r="S7040" s="21">
        <v>0</v>
      </c>
      <c r="T7040" s="21">
        <v>0</v>
      </c>
      <c r="U7040" s="21">
        <v>0</v>
      </c>
      <c r="V7040" s="21">
        <v>2</v>
      </c>
      <c r="W7040" s="21">
        <v>0</v>
      </c>
      <c r="X7040" s="21">
        <v>0</v>
      </c>
      <c r="Y7040" s="21">
        <v>0</v>
      </c>
      <c r="Z7040" s="21">
        <v>0</v>
      </c>
      <c r="AA7040" s="21">
        <v>0</v>
      </c>
      <c r="AB7040" s="21">
        <v>0</v>
      </c>
      <c r="AC7040" s="21">
        <v>0</v>
      </c>
      <c r="AD7040" s="21">
        <v>0</v>
      </c>
      <c r="AE7040" s="21">
        <v>0</v>
      </c>
      <c r="AF7040" s="21">
        <v>0</v>
      </c>
      <c r="AG7040" s="21">
        <v>0</v>
      </c>
      <c r="AH7040" s="21">
        <f t="shared" ref="AH7040:AH7103" si="128">(S7040*16)+(T7040*20)+(U7040*32)+(V7040*64)+(W7040*96)</f>
        <v>128</v>
      </c>
      <c r="AI7040" s="21"/>
      <c r="AJ7040" s="21" t="s">
        <v>54</v>
      </c>
      <c r="AK7040" s="21" t="s">
        <v>95</v>
      </c>
      <c r="AL7040" s="21" t="s">
        <v>2274</v>
      </c>
      <c r="AM7040" s="21" t="s">
        <v>2275</v>
      </c>
      <c r="AN7040" s="21">
        <v>-122.44564553333301</v>
      </c>
      <c r="AO7040" s="21">
        <v>37.7910787333333</v>
      </c>
      <c r="AP7040" s="21" t="s">
        <v>1915</v>
      </c>
    </row>
    <row r="7041" spans="1:42">
      <c r="A7041" s="20">
        <v>43853</v>
      </c>
      <c r="B7041" s="21">
        <v>4</v>
      </c>
      <c r="C7041" s="21">
        <v>985</v>
      </c>
      <c r="D7041" s="21">
        <v>14358</v>
      </c>
      <c r="E7041" s="21" t="s">
        <v>2123</v>
      </c>
      <c r="F7041" s="21" t="s">
        <v>520</v>
      </c>
      <c r="G7041" s="21">
        <v>1</v>
      </c>
      <c r="H7041" s="21">
        <v>68</v>
      </c>
      <c r="I7041" s="23" t="s">
        <v>2276</v>
      </c>
      <c r="J7041" s="21"/>
      <c r="K7041" s="21" t="s">
        <v>647</v>
      </c>
      <c r="L7041" s="21"/>
      <c r="M7041" s="21"/>
      <c r="N7041" s="21" t="s">
        <v>44</v>
      </c>
      <c r="O7041" s="21">
        <f>60+60+41</f>
        <v>161</v>
      </c>
      <c r="P7041" s="21"/>
      <c r="Q7041" s="21">
        <f t="shared" si="127"/>
        <v>2</v>
      </c>
      <c r="R7041" s="21">
        <v>1</v>
      </c>
      <c r="S7041" s="21">
        <v>0</v>
      </c>
      <c r="T7041" s="21">
        <v>0</v>
      </c>
      <c r="U7041" s="21">
        <v>0</v>
      </c>
      <c r="V7041" s="21">
        <v>0</v>
      </c>
      <c r="W7041" s="21">
        <v>2</v>
      </c>
      <c r="X7041" s="21">
        <v>0</v>
      </c>
      <c r="Y7041" s="21">
        <v>0</v>
      </c>
      <c r="Z7041" s="21">
        <v>0</v>
      </c>
      <c r="AA7041" s="21">
        <v>0</v>
      </c>
      <c r="AB7041" s="21">
        <v>0</v>
      </c>
      <c r="AC7041" s="21">
        <v>0</v>
      </c>
      <c r="AD7041" s="21">
        <v>0</v>
      </c>
      <c r="AE7041" s="21">
        <v>0</v>
      </c>
      <c r="AF7041" s="21">
        <v>0</v>
      </c>
      <c r="AG7041" s="21">
        <v>0</v>
      </c>
      <c r="AH7041" s="21">
        <f t="shared" si="128"/>
        <v>192</v>
      </c>
      <c r="AI7041" s="21"/>
      <c r="AJ7041" s="21" t="s">
        <v>51</v>
      </c>
      <c r="AK7041" s="21" t="s">
        <v>52</v>
      </c>
      <c r="AL7041" s="21" t="s">
        <v>1946</v>
      </c>
      <c r="AM7041" s="21" t="s">
        <v>2277</v>
      </c>
      <c r="AN7041" s="21">
        <v>-122.445835316667</v>
      </c>
      <c r="AO7041" s="21">
        <v>37.791056500000003</v>
      </c>
      <c r="AP7041" s="21" t="s">
        <v>1915</v>
      </c>
    </row>
    <row r="7042" spans="1:42">
      <c r="A7042" s="20">
        <v>43853</v>
      </c>
      <c r="B7042" s="21">
        <v>4</v>
      </c>
      <c r="C7042" s="21">
        <v>985</v>
      </c>
      <c r="D7042" s="21">
        <v>14358</v>
      </c>
      <c r="E7042" s="21" t="s">
        <v>2123</v>
      </c>
      <c r="F7042" s="21" t="s">
        <v>520</v>
      </c>
      <c r="G7042" s="21">
        <v>1</v>
      </c>
      <c r="H7042" s="21">
        <v>69</v>
      </c>
      <c r="I7042" s="23" t="s">
        <v>2278</v>
      </c>
      <c r="J7042" s="21"/>
      <c r="K7042" s="21" t="s">
        <v>647</v>
      </c>
      <c r="L7042" s="21"/>
      <c r="M7042" s="21"/>
      <c r="N7042" s="21" t="s">
        <v>40</v>
      </c>
      <c r="O7042" s="21">
        <v>52</v>
      </c>
      <c r="P7042" s="21"/>
      <c r="Q7042" s="21">
        <f t="shared" si="127"/>
        <v>2</v>
      </c>
      <c r="R7042" s="21">
        <v>1</v>
      </c>
      <c r="S7042" s="21">
        <v>0</v>
      </c>
      <c r="T7042" s="21">
        <v>0</v>
      </c>
      <c r="U7042" s="21">
        <v>0</v>
      </c>
      <c r="V7042" s="21">
        <v>2</v>
      </c>
      <c r="W7042" s="21">
        <v>0</v>
      </c>
      <c r="X7042" s="21">
        <v>0</v>
      </c>
      <c r="Y7042" s="21">
        <v>0</v>
      </c>
      <c r="Z7042" s="21">
        <v>0</v>
      </c>
      <c r="AA7042" s="21">
        <v>0</v>
      </c>
      <c r="AB7042" s="21">
        <v>0</v>
      </c>
      <c r="AC7042" s="21">
        <v>0</v>
      </c>
      <c r="AD7042" s="21">
        <v>0</v>
      </c>
      <c r="AE7042" s="21">
        <v>0</v>
      </c>
      <c r="AF7042" s="21">
        <v>0</v>
      </c>
      <c r="AG7042" s="21">
        <v>0</v>
      </c>
      <c r="AH7042" s="21">
        <f t="shared" si="128"/>
        <v>128</v>
      </c>
      <c r="AI7042" s="21"/>
      <c r="AJ7042" s="21" t="s">
        <v>51</v>
      </c>
      <c r="AK7042" s="21" t="s">
        <v>52</v>
      </c>
      <c r="AL7042" s="21"/>
      <c r="AM7042" s="21" t="s">
        <v>2279</v>
      </c>
      <c r="AN7042" s="21">
        <v>-122.446525166667</v>
      </c>
      <c r="AO7042" s="21">
        <v>37.791100433333398</v>
      </c>
      <c r="AP7042" s="21" t="s">
        <v>1915</v>
      </c>
    </row>
    <row r="7043" spans="1:42">
      <c r="A7043" s="20">
        <v>43853</v>
      </c>
      <c r="B7043" s="21">
        <v>4</v>
      </c>
      <c r="C7043" s="21">
        <v>985</v>
      </c>
      <c r="D7043" s="21">
        <v>14358</v>
      </c>
      <c r="E7043" s="21" t="s">
        <v>2123</v>
      </c>
      <c r="F7043" s="21" t="s">
        <v>520</v>
      </c>
      <c r="G7043" s="21">
        <v>1</v>
      </c>
      <c r="H7043" s="21">
        <v>70</v>
      </c>
      <c r="I7043" s="23" t="s">
        <v>2280</v>
      </c>
      <c r="J7043" s="21"/>
      <c r="K7043" s="21" t="s">
        <v>647</v>
      </c>
      <c r="L7043" s="21"/>
      <c r="M7043" s="21"/>
      <c r="N7043" s="21" t="s">
        <v>40</v>
      </c>
      <c r="O7043" s="21">
        <f>60+35</f>
        <v>95</v>
      </c>
      <c r="P7043" s="21"/>
      <c r="Q7043" s="21">
        <f t="shared" si="127"/>
        <v>3</v>
      </c>
      <c r="R7043" s="21">
        <v>1</v>
      </c>
      <c r="S7043" s="21">
        <v>0</v>
      </c>
      <c r="T7043" s="21">
        <v>0</v>
      </c>
      <c r="U7043" s="21">
        <v>0</v>
      </c>
      <c r="V7043" s="21">
        <v>2</v>
      </c>
      <c r="W7043" s="21">
        <v>1</v>
      </c>
      <c r="X7043" s="21">
        <v>0</v>
      </c>
      <c r="Y7043" s="21">
        <v>0</v>
      </c>
      <c r="Z7043" s="21">
        <v>0</v>
      </c>
      <c r="AA7043" s="21">
        <v>0</v>
      </c>
      <c r="AB7043" s="21">
        <v>0</v>
      </c>
      <c r="AC7043" s="21">
        <v>0</v>
      </c>
      <c r="AD7043" s="21">
        <v>0</v>
      </c>
      <c r="AE7043" s="21">
        <v>0</v>
      </c>
      <c r="AF7043" s="21">
        <v>0</v>
      </c>
      <c r="AG7043" s="21">
        <v>0</v>
      </c>
      <c r="AH7043" s="21">
        <f t="shared" si="128"/>
        <v>224</v>
      </c>
      <c r="AI7043" s="21"/>
      <c r="AJ7043" s="21" t="s">
        <v>51</v>
      </c>
      <c r="AK7043" s="21" t="s">
        <v>52</v>
      </c>
      <c r="AL7043" s="21" t="s">
        <v>2281</v>
      </c>
      <c r="AM7043" s="21" t="s">
        <v>2282</v>
      </c>
      <c r="AN7043" s="21">
        <v>-122.44675143333301</v>
      </c>
      <c r="AO7043" s="21">
        <v>37.791022266666701</v>
      </c>
      <c r="AP7043" s="21" t="s">
        <v>1915</v>
      </c>
    </row>
    <row r="7044" spans="1:42">
      <c r="A7044" s="20">
        <v>43853</v>
      </c>
      <c r="B7044" s="21">
        <v>4</v>
      </c>
      <c r="C7044" s="21">
        <v>985</v>
      </c>
      <c r="D7044" s="21">
        <v>14358</v>
      </c>
      <c r="E7044" s="21" t="s">
        <v>2123</v>
      </c>
      <c r="F7044" s="21" t="s">
        <v>520</v>
      </c>
      <c r="G7044" s="21">
        <v>1</v>
      </c>
      <c r="H7044" s="21">
        <v>71</v>
      </c>
      <c r="I7044" s="23" t="s">
        <v>2283</v>
      </c>
      <c r="J7044" s="21"/>
      <c r="K7044" s="21" t="s">
        <v>647</v>
      </c>
      <c r="L7044" s="21"/>
      <c r="M7044" s="21"/>
      <c r="N7044" s="21" t="s">
        <v>40</v>
      </c>
      <c r="O7044" s="21">
        <v>54</v>
      </c>
      <c r="P7044" s="21"/>
      <c r="Q7044" s="21">
        <f t="shared" si="127"/>
        <v>1</v>
      </c>
      <c r="R7044" s="21">
        <v>1</v>
      </c>
      <c r="S7044" s="21">
        <v>0</v>
      </c>
      <c r="T7044" s="21">
        <v>0</v>
      </c>
      <c r="U7044" s="21">
        <v>0</v>
      </c>
      <c r="V7044" s="21">
        <v>1</v>
      </c>
      <c r="W7044" s="21">
        <v>0</v>
      </c>
      <c r="X7044" s="21">
        <v>0</v>
      </c>
      <c r="Y7044" s="21">
        <v>0</v>
      </c>
      <c r="Z7044" s="21">
        <v>0</v>
      </c>
      <c r="AA7044" s="21">
        <v>0</v>
      </c>
      <c r="AB7044" s="21">
        <v>0</v>
      </c>
      <c r="AC7044" s="21">
        <v>0</v>
      </c>
      <c r="AD7044" s="21">
        <v>0</v>
      </c>
      <c r="AE7044" s="21">
        <v>0</v>
      </c>
      <c r="AF7044" s="21">
        <v>0</v>
      </c>
      <c r="AG7044" s="21">
        <v>0</v>
      </c>
      <c r="AH7044" s="21">
        <f t="shared" si="128"/>
        <v>64</v>
      </c>
      <c r="AI7044" s="21"/>
      <c r="AJ7044" s="21" t="s">
        <v>51</v>
      </c>
      <c r="AK7044" s="21" t="s">
        <v>52</v>
      </c>
      <c r="AL7044" s="21"/>
      <c r="AM7044" s="21" t="s">
        <v>2284</v>
      </c>
      <c r="AN7044" s="21">
        <v>-122.446891616667</v>
      </c>
      <c r="AO7044" s="21">
        <v>37.7908452333333</v>
      </c>
      <c r="AP7044" s="21" t="s">
        <v>1915</v>
      </c>
    </row>
    <row r="7045" spans="1:42">
      <c r="A7045" s="20">
        <v>43853</v>
      </c>
      <c r="B7045" s="21">
        <v>4</v>
      </c>
      <c r="C7045" s="21">
        <v>985</v>
      </c>
      <c r="D7045" s="21">
        <v>14358</v>
      </c>
      <c r="E7045" s="21" t="s">
        <v>2123</v>
      </c>
      <c r="F7045" s="21" t="s">
        <v>520</v>
      </c>
      <c r="G7045" s="21">
        <v>1</v>
      </c>
      <c r="H7045" s="21">
        <v>72</v>
      </c>
      <c r="I7045" s="23" t="s">
        <v>2285</v>
      </c>
      <c r="J7045" s="21"/>
      <c r="K7045" s="21" t="s">
        <v>647</v>
      </c>
      <c r="L7045" s="21"/>
      <c r="M7045" s="21"/>
      <c r="N7045" s="21" t="s">
        <v>40</v>
      </c>
      <c r="O7045" s="21">
        <f>60+9</f>
        <v>69</v>
      </c>
      <c r="P7045" s="21"/>
      <c r="Q7045" s="21">
        <f t="shared" si="127"/>
        <v>3</v>
      </c>
      <c r="R7045" s="21">
        <v>1</v>
      </c>
      <c r="S7045" s="21">
        <v>0</v>
      </c>
      <c r="T7045" s="21">
        <v>0</v>
      </c>
      <c r="U7045" s="21">
        <v>2</v>
      </c>
      <c r="V7045" s="21">
        <v>1</v>
      </c>
      <c r="W7045" s="21">
        <v>0</v>
      </c>
      <c r="X7045" s="21">
        <v>0</v>
      </c>
      <c r="Y7045" s="21">
        <v>0</v>
      </c>
      <c r="Z7045" s="21">
        <v>0</v>
      </c>
      <c r="AA7045" s="21">
        <v>0</v>
      </c>
      <c r="AB7045" s="21">
        <v>0</v>
      </c>
      <c r="AC7045" s="21">
        <v>0</v>
      </c>
      <c r="AD7045" s="21">
        <v>0</v>
      </c>
      <c r="AE7045" s="21">
        <v>0</v>
      </c>
      <c r="AF7045" s="21">
        <v>0</v>
      </c>
      <c r="AG7045" s="21">
        <v>0</v>
      </c>
      <c r="AH7045" s="21">
        <f t="shared" si="128"/>
        <v>128</v>
      </c>
      <c r="AI7045" s="21"/>
      <c r="AJ7045" s="21" t="s">
        <v>51</v>
      </c>
      <c r="AK7045" s="21" t="s">
        <v>52</v>
      </c>
      <c r="AL7045" s="21" t="s">
        <v>2286</v>
      </c>
      <c r="AM7045" s="21" t="s">
        <v>2287</v>
      </c>
      <c r="AN7045" s="21">
        <v>-122.446908716667</v>
      </c>
      <c r="AO7045" s="21">
        <v>37.790952650000001</v>
      </c>
      <c r="AP7045" s="21" t="s">
        <v>1915</v>
      </c>
    </row>
    <row r="7046" spans="1:42">
      <c r="A7046" s="20">
        <v>43853</v>
      </c>
      <c r="B7046" s="21">
        <v>4</v>
      </c>
      <c r="C7046" s="21">
        <v>985</v>
      </c>
      <c r="D7046" s="21">
        <v>14358</v>
      </c>
      <c r="E7046" s="21" t="s">
        <v>2123</v>
      </c>
      <c r="F7046" s="21" t="s">
        <v>520</v>
      </c>
      <c r="G7046" s="21">
        <v>1</v>
      </c>
      <c r="H7046" s="21">
        <v>73</v>
      </c>
      <c r="I7046" s="23" t="s">
        <v>2288</v>
      </c>
      <c r="J7046" s="21"/>
      <c r="K7046" s="21" t="s">
        <v>647</v>
      </c>
      <c r="L7046" s="21"/>
      <c r="M7046" s="21"/>
      <c r="N7046" s="21" t="s">
        <v>44</v>
      </c>
      <c r="O7046" s="21">
        <f>60+26</f>
        <v>86</v>
      </c>
      <c r="P7046" s="21"/>
      <c r="Q7046" s="21">
        <f t="shared" si="127"/>
        <v>1</v>
      </c>
      <c r="R7046" s="21">
        <v>1</v>
      </c>
      <c r="S7046" s="21">
        <v>0</v>
      </c>
      <c r="T7046" s="21">
        <v>0</v>
      </c>
      <c r="U7046" s="21">
        <v>0</v>
      </c>
      <c r="V7046" s="21">
        <v>0</v>
      </c>
      <c r="W7046" s="21">
        <v>1</v>
      </c>
      <c r="X7046" s="21">
        <v>0</v>
      </c>
      <c r="Y7046" s="21">
        <v>0</v>
      </c>
      <c r="Z7046" s="21">
        <v>0</v>
      </c>
      <c r="AA7046" s="21">
        <v>0</v>
      </c>
      <c r="AB7046" s="21">
        <v>0</v>
      </c>
      <c r="AC7046" s="21">
        <v>0</v>
      </c>
      <c r="AD7046" s="21">
        <v>0</v>
      </c>
      <c r="AE7046" s="21">
        <v>0</v>
      </c>
      <c r="AF7046" s="21">
        <v>0</v>
      </c>
      <c r="AG7046" s="21">
        <v>0</v>
      </c>
      <c r="AH7046" s="21">
        <f t="shared" si="128"/>
        <v>96</v>
      </c>
      <c r="AI7046" s="21"/>
      <c r="AJ7046" s="21" t="s">
        <v>51</v>
      </c>
      <c r="AK7046" s="21" t="s">
        <v>95</v>
      </c>
      <c r="AL7046" s="21" t="s">
        <v>2289</v>
      </c>
      <c r="AM7046" s="21" t="s">
        <v>2290</v>
      </c>
      <c r="AN7046" s="21">
        <v>-122.44670101666701</v>
      </c>
      <c r="AO7046" s="21">
        <v>37.790926900000002</v>
      </c>
      <c r="AP7046" s="21" t="s">
        <v>1915</v>
      </c>
    </row>
    <row r="7047" spans="1:42">
      <c r="A7047" s="20">
        <v>43853</v>
      </c>
      <c r="B7047" s="21">
        <v>4</v>
      </c>
      <c r="C7047" s="21">
        <v>985</v>
      </c>
      <c r="D7047" s="21">
        <v>14358</v>
      </c>
      <c r="E7047" s="21" t="s">
        <v>2123</v>
      </c>
      <c r="F7047" s="21" t="s">
        <v>520</v>
      </c>
      <c r="G7047" s="21">
        <v>1</v>
      </c>
      <c r="H7047" s="21">
        <v>74</v>
      </c>
      <c r="I7047" s="23" t="s">
        <v>2291</v>
      </c>
      <c r="J7047" s="21"/>
      <c r="K7047" s="21" t="s">
        <v>647</v>
      </c>
      <c r="L7047" s="21"/>
      <c r="M7047" s="21"/>
      <c r="N7047" s="21" t="s">
        <v>44</v>
      </c>
      <c r="O7047" s="21">
        <f>60+23</f>
        <v>83</v>
      </c>
      <c r="P7047" s="21"/>
      <c r="Q7047" s="21">
        <f t="shared" si="127"/>
        <v>1</v>
      </c>
      <c r="R7047" s="21">
        <v>1</v>
      </c>
      <c r="S7047" s="21">
        <v>0</v>
      </c>
      <c r="T7047" s="21">
        <v>0</v>
      </c>
      <c r="U7047" s="21">
        <v>0</v>
      </c>
      <c r="V7047" s="21">
        <v>0</v>
      </c>
      <c r="W7047" s="21">
        <v>1</v>
      </c>
      <c r="X7047" s="21">
        <v>0</v>
      </c>
      <c r="Y7047" s="21">
        <v>0</v>
      </c>
      <c r="Z7047" s="21">
        <v>0</v>
      </c>
      <c r="AA7047" s="21">
        <v>0</v>
      </c>
      <c r="AB7047" s="21">
        <v>0</v>
      </c>
      <c r="AC7047" s="21">
        <v>0</v>
      </c>
      <c r="AD7047" s="21">
        <v>0</v>
      </c>
      <c r="AE7047" s="21">
        <v>0</v>
      </c>
      <c r="AF7047" s="21">
        <v>0</v>
      </c>
      <c r="AG7047" s="21">
        <v>0</v>
      </c>
      <c r="AH7047" s="21">
        <f t="shared" si="128"/>
        <v>96</v>
      </c>
      <c r="AI7047" s="21"/>
      <c r="AJ7047" s="21" t="s">
        <v>54</v>
      </c>
      <c r="AK7047" s="21" t="s">
        <v>52</v>
      </c>
      <c r="AL7047" s="21" t="s">
        <v>2292</v>
      </c>
      <c r="AM7047" s="21" t="s">
        <v>2293</v>
      </c>
      <c r="AN7047" s="21">
        <v>-122.44578706666699</v>
      </c>
      <c r="AO7047" s="21">
        <v>37.7910452666666</v>
      </c>
      <c r="AP7047" s="21" t="s">
        <v>1915</v>
      </c>
    </row>
    <row r="7048" spans="1:42">
      <c r="A7048" s="20">
        <v>43853</v>
      </c>
      <c r="B7048" s="21">
        <v>4</v>
      </c>
      <c r="C7048" s="21">
        <v>985</v>
      </c>
      <c r="D7048" s="21">
        <v>14358</v>
      </c>
      <c r="E7048" s="21" t="s">
        <v>2123</v>
      </c>
      <c r="F7048" s="21" t="s">
        <v>520</v>
      </c>
      <c r="G7048" s="21">
        <v>1</v>
      </c>
      <c r="H7048" s="21">
        <v>75</v>
      </c>
      <c r="I7048" s="23" t="s">
        <v>2294</v>
      </c>
      <c r="J7048" s="21"/>
      <c r="K7048" s="21" t="s">
        <v>647</v>
      </c>
      <c r="L7048" s="21"/>
      <c r="M7048" s="21"/>
      <c r="N7048" s="21" t="s">
        <v>44</v>
      </c>
      <c r="O7048" s="21">
        <f>60+22</f>
        <v>82</v>
      </c>
      <c r="P7048" s="21"/>
      <c r="Q7048" s="21">
        <f t="shared" si="127"/>
        <v>2</v>
      </c>
      <c r="R7048" s="21">
        <v>1</v>
      </c>
      <c r="S7048" s="21">
        <v>0</v>
      </c>
      <c r="T7048" s="21">
        <v>0</v>
      </c>
      <c r="U7048" s="21">
        <v>0</v>
      </c>
      <c r="V7048" s="21">
        <v>0</v>
      </c>
      <c r="W7048" s="21">
        <v>2</v>
      </c>
      <c r="X7048" s="21">
        <v>0</v>
      </c>
      <c r="Y7048" s="21">
        <v>0</v>
      </c>
      <c r="Z7048" s="21">
        <v>0</v>
      </c>
      <c r="AA7048" s="21">
        <v>0</v>
      </c>
      <c r="AB7048" s="21">
        <v>0</v>
      </c>
      <c r="AC7048" s="21">
        <v>0</v>
      </c>
      <c r="AD7048" s="21">
        <v>0</v>
      </c>
      <c r="AE7048" s="21">
        <v>0</v>
      </c>
      <c r="AF7048" s="21">
        <v>0</v>
      </c>
      <c r="AG7048" s="21">
        <v>0</v>
      </c>
      <c r="AH7048" s="21">
        <f t="shared" si="128"/>
        <v>192</v>
      </c>
      <c r="AI7048" s="21"/>
      <c r="AJ7048" s="21" t="s">
        <v>54</v>
      </c>
      <c r="AK7048" s="21" t="s">
        <v>52</v>
      </c>
      <c r="AL7048" s="21" t="s">
        <v>2292</v>
      </c>
      <c r="AM7048" s="21" t="s">
        <v>2295</v>
      </c>
      <c r="AN7048" s="21">
        <v>-122.445271333333</v>
      </c>
      <c r="AO7048" s="21">
        <v>37.791102516666697</v>
      </c>
      <c r="AP7048" s="21" t="s">
        <v>1915</v>
      </c>
    </row>
    <row r="7049" spans="1:42">
      <c r="A7049" s="20">
        <v>43853</v>
      </c>
      <c r="B7049" s="21">
        <v>4</v>
      </c>
      <c r="C7049" s="21">
        <v>985</v>
      </c>
      <c r="D7049" s="21">
        <v>14358</v>
      </c>
      <c r="E7049" s="21" t="s">
        <v>2123</v>
      </c>
      <c r="F7049" s="21" t="s">
        <v>520</v>
      </c>
      <c r="G7049" s="21">
        <v>1</v>
      </c>
      <c r="H7049" s="21">
        <v>76</v>
      </c>
      <c r="I7049" s="23" t="s">
        <v>2296</v>
      </c>
      <c r="J7049" s="21"/>
      <c r="K7049" s="21" t="s">
        <v>647</v>
      </c>
      <c r="L7049" s="21"/>
      <c r="M7049" s="21"/>
      <c r="N7049" s="21" t="s">
        <v>44</v>
      </c>
      <c r="O7049" s="21">
        <f>60+60+60+11</f>
        <v>191</v>
      </c>
      <c r="P7049" s="21"/>
      <c r="Q7049" s="21">
        <f t="shared" si="127"/>
        <v>2</v>
      </c>
      <c r="R7049" s="21">
        <v>1</v>
      </c>
      <c r="S7049" s="21">
        <v>0</v>
      </c>
      <c r="T7049" s="21">
        <v>0</v>
      </c>
      <c r="U7049" s="21">
        <v>0</v>
      </c>
      <c r="V7049" s="21">
        <v>0</v>
      </c>
      <c r="W7049" s="21">
        <v>2</v>
      </c>
      <c r="X7049" s="21">
        <v>0</v>
      </c>
      <c r="Y7049" s="21">
        <v>0</v>
      </c>
      <c r="Z7049" s="21">
        <v>0</v>
      </c>
      <c r="AA7049" s="21">
        <v>0</v>
      </c>
      <c r="AB7049" s="21">
        <v>0</v>
      </c>
      <c r="AC7049" s="21">
        <v>0</v>
      </c>
      <c r="AD7049" s="21">
        <v>0</v>
      </c>
      <c r="AE7049" s="21">
        <v>0</v>
      </c>
      <c r="AF7049" s="21">
        <v>0</v>
      </c>
      <c r="AG7049" s="21">
        <v>0</v>
      </c>
      <c r="AH7049" s="21">
        <f t="shared" si="128"/>
        <v>192</v>
      </c>
      <c r="AI7049" s="21"/>
      <c r="AJ7049" s="21" t="s">
        <v>51</v>
      </c>
      <c r="AK7049" s="21" t="s">
        <v>52</v>
      </c>
      <c r="AL7049" s="21" t="s">
        <v>2297</v>
      </c>
      <c r="AM7049" s="21" t="s">
        <v>2298</v>
      </c>
      <c r="AN7049" s="21">
        <v>-122.44517784999999</v>
      </c>
      <c r="AO7049" s="21">
        <v>37.791141083333301</v>
      </c>
      <c r="AP7049" s="21" t="s">
        <v>1915</v>
      </c>
    </row>
    <row r="7050" spans="1:42">
      <c r="A7050" s="20">
        <v>43853</v>
      </c>
      <c r="B7050" s="21">
        <v>4</v>
      </c>
      <c r="C7050" s="21">
        <v>985</v>
      </c>
      <c r="D7050" s="21">
        <v>14358</v>
      </c>
      <c r="E7050" s="21" t="s">
        <v>2123</v>
      </c>
      <c r="F7050" s="21" t="s">
        <v>520</v>
      </c>
      <c r="G7050" s="21">
        <v>1</v>
      </c>
      <c r="H7050" s="21">
        <v>77</v>
      </c>
      <c r="I7050" s="23" t="s">
        <v>2299</v>
      </c>
      <c r="J7050" s="21"/>
      <c r="K7050" s="21" t="s">
        <v>647</v>
      </c>
      <c r="L7050" s="21"/>
      <c r="M7050" s="21"/>
      <c r="N7050" s="21" t="s">
        <v>44</v>
      </c>
      <c r="O7050" s="21">
        <f>60+60+54</f>
        <v>174</v>
      </c>
      <c r="P7050" s="21"/>
      <c r="Q7050" s="21">
        <f t="shared" si="127"/>
        <v>1</v>
      </c>
      <c r="R7050" s="21">
        <v>1</v>
      </c>
      <c r="S7050" s="21">
        <v>0</v>
      </c>
      <c r="T7050" s="21">
        <v>0</v>
      </c>
      <c r="U7050" s="21">
        <v>0</v>
      </c>
      <c r="V7050" s="21">
        <v>0</v>
      </c>
      <c r="W7050" s="21">
        <v>1</v>
      </c>
      <c r="X7050" s="21">
        <v>0</v>
      </c>
      <c r="Y7050" s="21">
        <v>0</v>
      </c>
      <c r="Z7050" s="21">
        <v>0</v>
      </c>
      <c r="AA7050" s="21">
        <v>0</v>
      </c>
      <c r="AB7050" s="21">
        <v>0</v>
      </c>
      <c r="AC7050" s="21">
        <v>0</v>
      </c>
      <c r="AD7050" s="21">
        <v>0</v>
      </c>
      <c r="AE7050" s="21">
        <v>0</v>
      </c>
      <c r="AF7050" s="21">
        <v>0</v>
      </c>
      <c r="AG7050" s="21">
        <v>0</v>
      </c>
      <c r="AH7050" s="21">
        <f t="shared" si="128"/>
        <v>96</v>
      </c>
      <c r="AI7050" s="21"/>
      <c r="AJ7050" s="21" t="s">
        <v>54</v>
      </c>
      <c r="AK7050" s="21" t="s">
        <v>95</v>
      </c>
      <c r="AL7050" s="21" t="s">
        <v>2300</v>
      </c>
      <c r="AM7050" s="21" t="s">
        <v>2301</v>
      </c>
      <c r="AN7050" s="21">
        <v>-122.444993066667</v>
      </c>
      <c r="AO7050" s="21">
        <v>37.791191333333302</v>
      </c>
      <c r="AP7050" s="21" t="s">
        <v>1915</v>
      </c>
    </row>
    <row r="7051" spans="1:42">
      <c r="A7051" s="20">
        <v>43853</v>
      </c>
      <c r="B7051" s="21">
        <v>4</v>
      </c>
      <c r="C7051" s="21">
        <v>985</v>
      </c>
      <c r="D7051" s="21">
        <v>14358</v>
      </c>
      <c r="E7051" s="21" t="s">
        <v>2123</v>
      </c>
      <c r="F7051" s="21" t="s">
        <v>520</v>
      </c>
      <c r="G7051" s="21">
        <v>1</v>
      </c>
      <c r="H7051" s="21">
        <v>78</v>
      </c>
      <c r="I7051" s="23" t="s">
        <v>2302</v>
      </c>
      <c r="J7051" s="21"/>
      <c r="K7051" s="21" t="s">
        <v>647</v>
      </c>
      <c r="L7051" s="21"/>
      <c r="M7051" s="21"/>
      <c r="N7051" s="21" t="s">
        <v>40</v>
      </c>
      <c r="O7051" s="21">
        <f>60+3</f>
        <v>63</v>
      </c>
      <c r="P7051" s="21"/>
      <c r="Q7051" s="21">
        <f t="shared" si="127"/>
        <v>2</v>
      </c>
      <c r="R7051" s="21">
        <v>1</v>
      </c>
      <c r="S7051" s="21">
        <v>0</v>
      </c>
      <c r="T7051" s="21">
        <v>0</v>
      </c>
      <c r="U7051" s="21">
        <v>0</v>
      </c>
      <c r="V7051" s="21">
        <v>2</v>
      </c>
      <c r="W7051" s="21">
        <v>0</v>
      </c>
      <c r="X7051" s="21">
        <v>0</v>
      </c>
      <c r="Y7051" s="21">
        <v>0</v>
      </c>
      <c r="Z7051" s="21">
        <v>0</v>
      </c>
      <c r="AA7051" s="21">
        <v>0</v>
      </c>
      <c r="AB7051" s="21">
        <v>0</v>
      </c>
      <c r="AC7051" s="21">
        <v>0</v>
      </c>
      <c r="AD7051" s="21">
        <v>0</v>
      </c>
      <c r="AE7051" s="21">
        <v>0</v>
      </c>
      <c r="AF7051" s="21">
        <v>0</v>
      </c>
      <c r="AG7051" s="21">
        <v>0</v>
      </c>
      <c r="AH7051" s="21">
        <f t="shared" si="128"/>
        <v>128</v>
      </c>
      <c r="AI7051" s="21"/>
      <c r="AJ7051" s="21" t="s">
        <v>54</v>
      </c>
      <c r="AK7051" s="21" t="s">
        <v>52</v>
      </c>
      <c r="AL7051" s="21"/>
      <c r="AM7051" s="21" t="s">
        <v>2303</v>
      </c>
      <c r="AN7051" s="21">
        <v>-122.44480161666699</v>
      </c>
      <c r="AO7051" s="21">
        <v>37.7911640833333</v>
      </c>
      <c r="AP7051" s="21" t="s">
        <v>1915</v>
      </c>
    </row>
    <row r="7052" spans="1:42">
      <c r="A7052" s="20">
        <v>43853</v>
      </c>
      <c r="B7052" s="21">
        <v>4</v>
      </c>
      <c r="C7052" s="21">
        <v>985</v>
      </c>
      <c r="D7052" s="21">
        <v>14358</v>
      </c>
      <c r="E7052" s="21" t="s">
        <v>2123</v>
      </c>
      <c r="F7052" s="21" t="s">
        <v>520</v>
      </c>
      <c r="G7052" s="21">
        <v>1</v>
      </c>
      <c r="H7052" s="21">
        <v>79</v>
      </c>
      <c r="I7052" s="23" t="s">
        <v>2304</v>
      </c>
      <c r="J7052" s="21"/>
      <c r="K7052" s="21" t="s">
        <v>647</v>
      </c>
      <c r="L7052" s="21"/>
      <c r="M7052" s="21"/>
      <c r="N7052" s="21" t="s">
        <v>40</v>
      </c>
      <c r="O7052" s="21">
        <v>35</v>
      </c>
      <c r="P7052" s="21"/>
      <c r="Q7052" s="21">
        <f t="shared" si="127"/>
        <v>1</v>
      </c>
      <c r="R7052" s="21">
        <v>1</v>
      </c>
      <c r="S7052" s="21">
        <v>0</v>
      </c>
      <c r="T7052" s="21">
        <v>0</v>
      </c>
      <c r="U7052" s="21">
        <v>0</v>
      </c>
      <c r="V7052" s="21">
        <v>0</v>
      </c>
      <c r="W7052" s="21">
        <v>1</v>
      </c>
      <c r="X7052" s="21">
        <v>0</v>
      </c>
      <c r="Y7052" s="21">
        <v>0</v>
      </c>
      <c r="Z7052" s="21">
        <v>0</v>
      </c>
      <c r="AA7052" s="21">
        <v>0</v>
      </c>
      <c r="AB7052" s="21">
        <v>0</v>
      </c>
      <c r="AC7052" s="21">
        <v>0</v>
      </c>
      <c r="AD7052" s="21">
        <v>0</v>
      </c>
      <c r="AE7052" s="21">
        <v>0</v>
      </c>
      <c r="AF7052" s="21">
        <v>0</v>
      </c>
      <c r="AG7052" s="21">
        <v>0</v>
      </c>
      <c r="AH7052" s="21">
        <f t="shared" si="128"/>
        <v>96</v>
      </c>
      <c r="AI7052" s="21"/>
      <c r="AJ7052" s="21" t="s">
        <v>54</v>
      </c>
      <c r="AK7052" s="21" t="s">
        <v>52</v>
      </c>
      <c r="AL7052" s="21"/>
      <c r="AM7052" s="21" t="s">
        <v>2305</v>
      </c>
      <c r="AN7052" s="21">
        <v>-122.444658483333</v>
      </c>
      <c r="AO7052" s="21">
        <v>37.791217983333297</v>
      </c>
      <c r="AP7052" s="21" t="s">
        <v>1915</v>
      </c>
    </row>
    <row r="7053" spans="1:42">
      <c r="A7053" s="20">
        <v>43853</v>
      </c>
      <c r="B7053" s="21">
        <v>4</v>
      </c>
      <c r="C7053" s="21">
        <v>985</v>
      </c>
      <c r="D7053" s="21">
        <v>14358</v>
      </c>
      <c r="E7053" s="21" t="s">
        <v>2123</v>
      </c>
      <c r="F7053" s="21" t="s">
        <v>520</v>
      </c>
      <c r="G7053" s="21">
        <v>1</v>
      </c>
      <c r="H7053" s="21">
        <v>80</v>
      </c>
      <c r="I7053" s="23" t="s">
        <v>2306</v>
      </c>
      <c r="J7053" s="21"/>
      <c r="K7053" s="21" t="s">
        <v>647</v>
      </c>
      <c r="L7053" s="21"/>
      <c r="M7053" s="21"/>
      <c r="N7053" s="21" t="s">
        <v>44</v>
      </c>
      <c r="O7053" s="21">
        <f>60+60+1</f>
        <v>121</v>
      </c>
      <c r="P7053" s="21"/>
      <c r="Q7053" s="21">
        <f t="shared" si="127"/>
        <v>1</v>
      </c>
      <c r="R7053" s="21">
        <v>1</v>
      </c>
      <c r="S7053" s="21">
        <v>0</v>
      </c>
      <c r="T7053" s="21">
        <v>0</v>
      </c>
      <c r="U7053" s="21">
        <v>0</v>
      </c>
      <c r="V7053" s="21">
        <v>1</v>
      </c>
      <c r="W7053" s="21">
        <v>0</v>
      </c>
      <c r="X7053" s="21">
        <v>0</v>
      </c>
      <c r="Y7053" s="21">
        <v>0</v>
      </c>
      <c r="Z7053" s="21">
        <v>0</v>
      </c>
      <c r="AA7053" s="21">
        <v>0</v>
      </c>
      <c r="AB7053" s="21">
        <v>0</v>
      </c>
      <c r="AC7053" s="21">
        <v>0</v>
      </c>
      <c r="AD7053" s="21">
        <v>0</v>
      </c>
      <c r="AE7053" s="21">
        <v>0</v>
      </c>
      <c r="AF7053" s="21">
        <v>1</v>
      </c>
      <c r="AG7053" s="21">
        <v>0</v>
      </c>
      <c r="AH7053" s="21">
        <f t="shared" si="128"/>
        <v>64</v>
      </c>
      <c r="AI7053" s="21"/>
      <c r="AJ7053" s="21" t="s">
        <v>54</v>
      </c>
      <c r="AK7053" s="21" t="s">
        <v>52</v>
      </c>
      <c r="AL7053" s="21"/>
      <c r="AM7053" s="21" t="s">
        <v>2307</v>
      </c>
      <c r="AN7053" s="21">
        <v>-122.44408553333299</v>
      </c>
      <c r="AO7053" s="21">
        <v>37.791259033333297</v>
      </c>
      <c r="AP7053" s="21" t="s">
        <v>1915</v>
      </c>
    </row>
    <row r="7054" spans="1:42">
      <c r="A7054" s="20">
        <v>43853</v>
      </c>
      <c r="B7054" s="21">
        <v>4</v>
      </c>
      <c r="C7054" s="21">
        <v>985</v>
      </c>
      <c r="D7054" s="21">
        <v>14358</v>
      </c>
      <c r="E7054" s="21" t="s">
        <v>2123</v>
      </c>
      <c r="F7054" s="21" t="s">
        <v>520</v>
      </c>
      <c r="G7054" s="21">
        <v>1</v>
      </c>
      <c r="H7054" s="21">
        <v>81</v>
      </c>
      <c r="I7054" s="23" t="s">
        <v>2308</v>
      </c>
      <c r="J7054" s="21"/>
      <c r="K7054" s="21" t="s">
        <v>647</v>
      </c>
      <c r="L7054" s="21"/>
      <c r="M7054" s="21"/>
      <c r="N7054" s="21" t="s">
        <v>40</v>
      </c>
      <c r="O7054" s="21">
        <f>60+7</f>
        <v>67</v>
      </c>
      <c r="P7054" s="21"/>
      <c r="Q7054" s="21">
        <f t="shared" si="127"/>
        <v>3</v>
      </c>
      <c r="R7054" s="21">
        <v>1</v>
      </c>
      <c r="S7054" s="21">
        <v>0</v>
      </c>
      <c r="T7054" s="21">
        <v>0</v>
      </c>
      <c r="U7054" s="21">
        <v>0</v>
      </c>
      <c r="V7054" s="21">
        <v>0</v>
      </c>
      <c r="W7054" s="21">
        <v>3</v>
      </c>
      <c r="X7054" s="21">
        <v>0</v>
      </c>
      <c r="Y7054" s="21">
        <v>0</v>
      </c>
      <c r="Z7054" s="21">
        <v>0</v>
      </c>
      <c r="AA7054" s="21">
        <v>0</v>
      </c>
      <c r="AB7054" s="21">
        <v>0</v>
      </c>
      <c r="AC7054" s="21">
        <v>0</v>
      </c>
      <c r="AD7054" s="21">
        <v>0</v>
      </c>
      <c r="AE7054" s="21">
        <v>0</v>
      </c>
      <c r="AF7054" s="21">
        <v>0</v>
      </c>
      <c r="AG7054" s="21">
        <v>0</v>
      </c>
      <c r="AH7054" s="21">
        <f t="shared" si="128"/>
        <v>288</v>
      </c>
      <c r="AI7054" s="21"/>
      <c r="AJ7054" s="21" t="s">
        <v>54</v>
      </c>
      <c r="AK7054" s="21" t="s">
        <v>52</v>
      </c>
      <c r="AL7054" s="21"/>
      <c r="AM7054" s="21" t="s">
        <v>2309</v>
      </c>
      <c r="AN7054" s="21">
        <v>-122.44386206666699</v>
      </c>
      <c r="AO7054" s="21">
        <v>37.7913265166667</v>
      </c>
      <c r="AP7054" s="21" t="s">
        <v>1915</v>
      </c>
    </row>
    <row r="7055" spans="1:42">
      <c r="A7055" s="20">
        <v>43853</v>
      </c>
      <c r="B7055" s="21">
        <v>4</v>
      </c>
      <c r="C7055" s="21">
        <v>985</v>
      </c>
      <c r="D7055" s="21">
        <v>14358</v>
      </c>
      <c r="E7055" s="21" t="s">
        <v>2123</v>
      </c>
      <c r="F7055" s="21" t="s">
        <v>520</v>
      </c>
      <c r="G7055" s="21">
        <v>1</v>
      </c>
      <c r="H7055" s="21">
        <v>82</v>
      </c>
      <c r="I7055" s="23" t="s">
        <v>2310</v>
      </c>
      <c r="J7055" s="21"/>
      <c r="K7055" s="21" t="s">
        <v>647</v>
      </c>
      <c r="L7055" s="21"/>
      <c r="M7055" s="21"/>
      <c r="N7055" s="21" t="s">
        <v>40</v>
      </c>
      <c r="O7055" s="21">
        <v>39</v>
      </c>
      <c r="P7055" s="21"/>
      <c r="Q7055" s="21">
        <f t="shared" si="127"/>
        <v>2</v>
      </c>
      <c r="R7055" s="21">
        <v>1</v>
      </c>
      <c r="S7055" s="21">
        <v>0</v>
      </c>
      <c r="T7055" s="21">
        <v>0</v>
      </c>
      <c r="U7055" s="21">
        <v>0</v>
      </c>
      <c r="V7055" s="21">
        <v>2</v>
      </c>
      <c r="W7055" s="21">
        <v>0</v>
      </c>
      <c r="X7055" s="21">
        <v>0</v>
      </c>
      <c r="Y7055" s="21">
        <v>0</v>
      </c>
      <c r="Z7055" s="21">
        <v>0</v>
      </c>
      <c r="AA7055" s="21">
        <v>0</v>
      </c>
      <c r="AB7055" s="21">
        <v>0</v>
      </c>
      <c r="AC7055" s="21">
        <v>0</v>
      </c>
      <c r="AD7055" s="21">
        <v>0</v>
      </c>
      <c r="AE7055" s="21">
        <v>0</v>
      </c>
      <c r="AF7055" s="21">
        <v>0</v>
      </c>
      <c r="AG7055" s="21">
        <v>0</v>
      </c>
      <c r="AH7055" s="21">
        <f t="shared" si="128"/>
        <v>128</v>
      </c>
      <c r="AI7055" s="21"/>
      <c r="AJ7055" s="21" t="s">
        <v>51</v>
      </c>
      <c r="AK7055" s="21" t="s">
        <v>52</v>
      </c>
      <c r="AL7055" s="21"/>
      <c r="AM7055" s="21" t="s">
        <v>2311</v>
      </c>
      <c r="AN7055" s="21">
        <v>-122.443597833333</v>
      </c>
      <c r="AO7055" s="21">
        <v>37.791322333333298</v>
      </c>
      <c r="AP7055" s="21" t="s">
        <v>1915</v>
      </c>
    </row>
    <row r="7056" spans="1:42">
      <c r="A7056" s="20">
        <v>43853</v>
      </c>
      <c r="B7056" s="21">
        <v>4</v>
      </c>
      <c r="C7056" s="21">
        <v>985</v>
      </c>
      <c r="D7056" s="21">
        <v>14358</v>
      </c>
      <c r="E7056" s="21" t="s">
        <v>2123</v>
      </c>
      <c r="F7056" s="21" t="s">
        <v>520</v>
      </c>
      <c r="G7056" s="21">
        <v>1</v>
      </c>
      <c r="H7056" s="21">
        <v>83</v>
      </c>
      <c r="I7056" s="23" t="s">
        <v>2312</v>
      </c>
      <c r="J7056" s="21"/>
      <c r="K7056" s="21" t="s">
        <v>647</v>
      </c>
      <c r="L7056" s="21"/>
      <c r="M7056" s="21"/>
      <c r="N7056" s="21" t="s">
        <v>40</v>
      </c>
      <c r="O7056" s="21">
        <v>43</v>
      </c>
      <c r="P7056" s="21"/>
      <c r="Q7056" s="21">
        <f t="shared" si="127"/>
        <v>2</v>
      </c>
      <c r="R7056" s="21">
        <v>1</v>
      </c>
      <c r="S7056" s="21">
        <v>0</v>
      </c>
      <c r="T7056" s="21">
        <v>0</v>
      </c>
      <c r="U7056" s="21">
        <v>0</v>
      </c>
      <c r="V7056" s="21">
        <v>0</v>
      </c>
      <c r="W7056" s="21">
        <v>2</v>
      </c>
      <c r="X7056" s="21">
        <v>0</v>
      </c>
      <c r="Y7056" s="21">
        <v>0</v>
      </c>
      <c r="Z7056" s="21">
        <v>0</v>
      </c>
      <c r="AA7056" s="21">
        <v>0</v>
      </c>
      <c r="AB7056" s="21">
        <v>0</v>
      </c>
      <c r="AC7056" s="21">
        <v>0</v>
      </c>
      <c r="AD7056" s="21">
        <v>0</v>
      </c>
      <c r="AE7056" s="21">
        <v>0</v>
      </c>
      <c r="AF7056" s="21">
        <v>0</v>
      </c>
      <c r="AG7056" s="21">
        <v>0</v>
      </c>
      <c r="AH7056" s="21">
        <f t="shared" si="128"/>
        <v>192</v>
      </c>
      <c r="AI7056" s="21"/>
      <c r="AJ7056" s="21" t="s">
        <v>51</v>
      </c>
      <c r="AK7056" s="21" t="s">
        <v>52</v>
      </c>
      <c r="AL7056" s="21"/>
      <c r="AM7056" s="21" t="s">
        <v>2313</v>
      </c>
      <c r="AN7056" s="21">
        <v>-122.443539883333</v>
      </c>
      <c r="AO7056" s="21">
        <v>37.791322700000002</v>
      </c>
      <c r="AP7056" s="21" t="s">
        <v>1915</v>
      </c>
    </row>
    <row r="7057" spans="1:42">
      <c r="A7057" s="20">
        <v>43853</v>
      </c>
      <c r="B7057" s="21">
        <v>4</v>
      </c>
      <c r="C7057" s="21">
        <v>985</v>
      </c>
      <c r="D7057" s="21">
        <v>14358</v>
      </c>
      <c r="E7057" s="21" t="s">
        <v>2123</v>
      </c>
      <c r="F7057" s="21" t="s">
        <v>520</v>
      </c>
      <c r="G7057" s="21">
        <v>1</v>
      </c>
      <c r="H7057" s="21">
        <v>84</v>
      </c>
      <c r="I7057" s="23" t="s">
        <v>2314</v>
      </c>
      <c r="J7057" s="21"/>
      <c r="K7057" s="21" t="s">
        <v>647</v>
      </c>
      <c r="L7057" s="21"/>
      <c r="M7057" s="21"/>
      <c r="N7057" s="21" t="s">
        <v>40</v>
      </c>
      <c r="O7057" s="21">
        <v>37</v>
      </c>
      <c r="P7057" s="21"/>
      <c r="Q7057" s="21">
        <f t="shared" si="127"/>
        <v>1</v>
      </c>
      <c r="R7057" s="21">
        <v>1</v>
      </c>
      <c r="S7057" s="21">
        <v>0</v>
      </c>
      <c r="T7057" s="21">
        <v>0</v>
      </c>
      <c r="U7057" s="21">
        <v>0</v>
      </c>
      <c r="V7057" s="21">
        <v>0</v>
      </c>
      <c r="W7057" s="21">
        <v>1</v>
      </c>
      <c r="X7057" s="21">
        <v>0</v>
      </c>
      <c r="Y7057" s="21">
        <v>0</v>
      </c>
      <c r="Z7057" s="21">
        <v>0</v>
      </c>
      <c r="AA7057" s="21">
        <v>0</v>
      </c>
      <c r="AB7057" s="21">
        <v>0</v>
      </c>
      <c r="AC7057" s="21">
        <v>0</v>
      </c>
      <c r="AD7057" s="21">
        <v>0</v>
      </c>
      <c r="AE7057" s="21">
        <v>0</v>
      </c>
      <c r="AF7057" s="21">
        <v>0</v>
      </c>
      <c r="AG7057" s="21">
        <v>0</v>
      </c>
      <c r="AH7057" s="21">
        <f t="shared" si="128"/>
        <v>96</v>
      </c>
      <c r="AI7057" s="21"/>
      <c r="AJ7057" s="21" t="s">
        <v>51</v>
      </c>
      <c r="AK7057" s="21" t="s">
        <v>52</v>
      </c>
      <c r="AL7057" s="21"/>
      <c r="AM7057" s="21" t="s">
        <v>2315</v>
      </c>
      <c r="AN7057" s="21">
        <v>-122.443382133333</v>
      </c>
      <c r="AO7057" s="21">
        <v>37.791329283333297</v>
      </c>
      <c r="AP7057" s="21" t="s">
        <v>1915</v>
      </c>
    </row>
    <row r="7058" spans="1:42">
      <c r="A7058" s="20">
        <v>43853</v>
      </c>
      <c r="B7058" s="21">
        <v>4</v>
      </c>
      <c r="C7058" s="21">
        <v>985</v>
      </c>
      <c r="D7058" s="21">
        <v>14358</v>
      </c>
      <c r="E7058" s="21" t="s">
        <v>2123</v>
      </c>
      <c r="F7058" s="21" t="s">
        <v>520</v>
      </c>
      <c r="G7058" s="21">
        <v>1</v>
      </c>
      <c r="H7058" s="21">
        <v>85</v>
      </c>
      <c r="I7058" s="23" t="s">
        <v>2316</v>
      </c>
      <c r="J7058" s="21"/>
      <c r="K7058" s="21" t="s">
        <v>647</v>
      </c>
      <c r="L7058" s="21"/>
      <c r="M7058" s="21"/>
      <c r="N7058" s="21" t="s">
        <v>44</v>
      </c>
      <c r="O7058" s="21">
        <f>60+60+35</f>
        <v>155</v>
      </c>
      <c r="P7058" s="21"/>
      <c r="Q7058" s="21">
        <f t="shared" si="127"/>
        <v>2</v>
      </c>
      <c r="R7058" s="21">
        <v>1</v>
      </c>
      <c r="S7058" s="21">
        <v>0</v>
      </c>
      <c r="T7058" s="21">
        <v>0</v>
      </c>
      <c r="U7058" s="21">
        <v>0</v>
      </c>
      <c r="V7058" s="21">
        <v>0</v>
      </c>
      <c r="W7058" s="21">
        <v>2</v>
      </c>
      <c r="X7058" s="21">
        <v>0</v>
      </c>
      <c r="Y7058" s="21">
        <v>0</v>
      </c>
      <c r="Z7058" s="21">
        <v>0</v>
      </c>
      <c r="AA7058" s="21">
        <v>0</v>
      </c>
      <c r="AB7058" s="21">
        <v>0</v>
      </c>
      <c r="AC7058" s="21">
        <v>0</v>
      </c>
      <c r="AD7058" s="21">
        <v>0</v>
      </c>
      <c r="AE7058" s="21">
        <v>0</v>
      </c>
      <c r="AF7058" s="21">
        <v>0</v>
      </c>
      <c r="AG7058" s="21">
        <v>0</v>
      </c>
      <c r="AH7058" s="21">
        <f t="shared" si="128"/>
        <v>192</v>
      </c>
      <c r="AI7058" s="21"/>
      <c r="AJ7058" s="21" t="s">
        <v>54</v>
      </c>
      <c r="AK7058" s="21" t="s">
        <v>52</v>
      </c>
      <c r="AL7058" s="21" t="s">
        <v>1946</v>
      </c>
      <c r="AM7058" s="21" t="s">
        <v>2317</v>
      </c>
      <c r="AN7058" s="21">
        <v>-122.441195966667</v>
      </c>
      <c r="AO7058" s="21">
        <v>37.791355866666699</v>
      </c>
      <c r="AP7058" s="21" t="s">
        <v>1915</v>
      </c>
    </row>
    <row r="7059" spans="1:42">
      <c r="A7059" s="20">
        <v>43853</v>
      </c>
      <c r="B7059" s="21">
        <v>4</v>
      </c>
      <c r="C7059" s="21">
        <v>985</v>
      </c>
      <c r="D7059" s="21">
        <v>14358</v>
      </c>
      <c r="E7059" s="21" t="s">
        <v>2123</v>
      </c>
      <c r="F7059" s="21" t="s">
        <v>520</v>
      </c>
      <c r="G7059" s="21">
        <v>1</v>
      </c>
      <c r="H7059" s="21">
        <v>86</v>
      </c>
      <c r="I7059" s="23" t="s">
        <v>2318</v>
      </c>
      <c r="J7059" s="21"/>
      <c r="K7059" s="21" t="s">
        <v>256</v>
      </c>
      <c r="L7059" s="21"/>
      <c r="M7059" s="21"/>
      <c r="N7059" s="21" t="s">
        <v>44</v>
      </c>
      <c r="O7059" s="21">
        <f>60+49</f>
        <v>109</v>
      </c>
      <c r="P7059" s="21"/>
      <c r="Q7059" s="21">
        <f t="shared" si="127"/>
        <v>1</v>
      </c>
      <c r="R7059" s="21">
        <v>1</v>
      </c>
      <c r="S7059" s="21">
        <v>0</v>
      </c>
      <c r="T7059" s="21">
        <v>0</v>
      </c>
      <c r="U7059" s="21">
        <v>0</v>
      </c>
      <c r="V7059" s="21">
        <v>0</v>
      </c>
      <c r="W7059" s="21">
        <v>1</v>
      </c>
      <c r="X7059" s="21">
        <v>0</v>
      </c>
      <c r="Y7059" s="21">
        <v>0</v>
      </c>
      <c r="Z7059" s="21">
        <v>0</v>
      </c>
      <c r="AA7059" s="21">
        <v>0</v>
      </c>
      <c r="AB7059" s="21">
        <v>0</v>
      </c>
      <c r="AC7059" s="21">
        <v>0</v>
      </c>
      <c r="AD7059" s="21">
        <v>0</v>
      </c>
      <c r="AE7059" s="21">
        <v>0</v>
      </c>
      <c r="AF7059" s="21">
        <v>0</v>
      </c>
      <c r="AG7059" s="21">
        <v>0</v>
      </c>
      <c r="AH7059" s="21">
        <f t="shared" si="128"/>
        <v>96</v>
      </c>
      <c r="AI7059" s="21"/>
      <c r="AJ7059" s="21" t="s">
        <v>54</v>
      </c>
      <c r="AK7059" s="21" t="s">
        <v>52</v>
      </c>
      <c r="AL7059" s="21" t="s">
        <v>1946</v>
      </c>
      <c r="AM7059" s="21" t="s">
        <v>2319</v>
      </c>
      <c r="AN7059" s="21">
        <v>-122.441819851693</v>
      </c>
      <c r="AO7059" s="21">
        <v>37.791596247366897</v>
      </c>
      <c r="AP7059" s="21" t="s">
        <v>1915</v>
      </c>
    </row>
    <row r="7060" spans="1:42">
      <c r="A7060" s="20">
        <v>43853</v>
      </c>
      <c r="B7060" s="21">
        <v>4</v>
      </c>
      <c r="C7060" s="21">
        <v>985</v>
      </c>
      <c r="D7060" s="21">
        <v>14358</v>
      </c>
      <c r="E7060" s="21" t="s">
        <v>2123</v>
      </c>
      <c r="F7060" s="21" t="s">
        <v>520</v>
      </c>
      <c r="G7060" s="21">
        <v>1</v>
      </c>
      <c r="H7060" s="21">
        <v>87</v>
      </c>
      <c r="I7060" s="23" t="s">
        <v>2320</v>
      </c>
      <c r="J7060" s="21"/>
      <c r="K7060" s="21" t="s">
        <v>256</v>
      </c>
      <c r="L7060" s="21"/>
      <c r="M7060" s="21"/>
      <c r="N7060" s="21" t="s">
        <v>44</v>
      </c>
      <c r="O7060" s="21">
        <f>60+15</f>
        <v>75</v>
      </c>
      <c r="P7060" s="21"/>
      <c r="Q7060" s="21">
        <f t="shared" si="127"/>
        <v>1</v>
      </c>
      <c r="R7060" s="21">
        <v>1</v>
      </c>
      <c r="S7060" s="21">
        <v>0</v>
      </c>
      <c r="T7060" s="21">
        <v>0</v>
      </c>
      <c r="U7060" s="21">
        <v>0</v>
      </c>
      <c r="V7060" s="21">
        <v>0</v>
      </c>
      <c r="W7060" s="21">
        <v>1</v>
      </c>
      <c r="X7060" s="21">
        <v>0</v>
      </c>
      <c r="Y7060" s="21">
        <v>0</v>
      </c>
      <c r="Z7060" s="21">
        <v>0</v>
      </c>
      <c r="AA7060" s="21">
        <v>0</v>
      </c>
      <c r="AB7060" s="21">
        <v>0</v>
      </c>
      <c r="AC7060" s="21">
        <v>0</v>
      </c>
      <c r="AD7060" s="21">
        <v>0</v>
      </c>
      <c r="AE7060" s="21">
        <v>0</v>
      </c>
      <c r="AF7060" s="21">
        <v>0</v>
      </c>
      <c r="AG7060" s="21">
        <v>0</v>
      </c>
      <c r="AH7060" s="21">
        <f t="shared" si="128"/>
        <v>96</v>
      </c>
      <c r="AI7060" s="21"/>
      <c r="AJ7060" s="21" t="s">
        <v>54</v>
      </c>
      <c r="AK7060" s="21" t="s">
        <v>52</v>
      </c>
      <c r="AL7060" s="21"/>
      <c r="AM7060" s="21" t="s">
        <v>2321</v>
      </c>
      <c r="AN7060" s="21">
        <v>-122.441117916667</v>
      </c>
      <c r="AO7060" s="21">
        <v>37.790944983333297</v>
      </c>
      <c r="AP7060" s="21" t="s">
        <v>1915</v>
      </c>
    </row>
    <row r="7061" spans="1:42">
      <c r="A7061" s="20">
        <v>43853</v>
      </c>
      <c r="B7061" s="21">
        <v>4</v>
      </c>
      <c r="C7061" s="21">
        <v>985</v>
      </c>
      <c r="D7061" s="21">
        <v>14358</v>
      </c>
      <c r="E7061" s="21" t="s">
        <v>2123</v>
      </c>
      <c r="F7061" s="21" t="s">
        <v>520</v>
      </c>
      <c r="G7061" s="21">
        <v>1</v>
      </c>
      <c r="H7061" s="21">
        <v>88</v>
      </c>
      <c r="I7061" s="23" t="s">
        <v>2239</v>
      </c>
      <c r="J7061" s="21"/>
      <c r="K7061" s="21" t="s">
        <v>516</v>
      </c>
      <c r="L7061" s="21"/>
      <c r="M7061" s="21"/>
      <c r="N7061" s="21" t="s">
        <v>40</v>
      </c>
      <c r="O7061" s="21">
        <f>60+17</f>
        <v>77</v>
      </c>
      <c r="P7061" s="21"/>
      <c r="Q7061" s="21">
        <f t="shared" si="127"/>
        <v>1</v>
      </c>
      <c r="R7061" s="21">
        <v>1</v>
      </c>
      <c r="S7061" s="21">
        <v>0</v>
      </c>
      <c r="T7061" s="21">
        <v>0</v>
      </c>
      <c r="U7061" s="21">
        <v>0</v>
      </c>
      <c r="V7061" s="21">
        <v>0</v>
      </c>
      <c r="W7061" s="21">
        <v>1</v>
      </c>
      <c r="X7061" s="21">
        <v>0</v>
      </c>
      <c r="Y7061" s="21">
        <v>0</v>
      </c>
      <c r="Z7061" s="21">
        <v>0</v>
      </c>
      <c r="AA7061" s="21">
        <v>0</v>
      </c>
      <c r="AB7061" s="21">
        <v>0</v>
      </c>
      <c r="AC7061" s="21">
        <v>0</v>
      </c>
      <c r="AD7061" s="21">
        <v>0</v>
      </c>
      <c r="AE7061" s="21">
        <v>0</v>
      </c>
      <c r="AF7061" s="21">
        <v>0</v>
      </c>
      <c r="AG7061" s="21">
        <v>0</v>
      </c>
      <c r="AH7061" s="21">
        <f t="shared" si="128"/>
        <v>96</v>
      </c>
      <c r="AI7061" s="21"/>
      <c r="AJ7061" s="21" t="s">
        <v>51</v>
      </c>
      <c r="AK7061" s="21" t="s">
        <v>52</v>
      </c>
      <c r="AL7061" s="21"/>
      <c r="AM7061" s="21" t="s">
        <v>2322</v>
      </c>
      <c r="AN7061" s="21">
        <v>-122.44179491666701</v>
      </c>
      <c r="AO7061" s="21">
        <v>37.790675466666698</v>
      </c>
      <c r="AP7061" s="21" t="s">
        <v>1915</v>
      </c>
    </row>
    <row r="7062" spans="1:42">
      <c r="A7062" s="20">
        <v>43853</v>
      </c>
      <c r="B7062" s="21">
        <v>4</v>
      </c>
      <c r="C7062" s="21">
        <v>985</v>
      </c>
      <c r="D7062" s="21">
        <v>14358</v>
      </c>
      <c r="E7062" s="21" t="s">
        <v>2123</v>
      </c>
      <c r="F7062" s="21" t="s">
        <v>520</v>
      </c>
      <c r="G7062" s="21">
        <v>1</v>
      </c>
      <c r="H7062" s="21">
        <v>89</v>
      </c>
      <c r="I7062" s="23" t="s">
        <v>2323</v>
      </c>
      <c r="J7062" s="21"/>
      <c r="K7062" s="21" t="s">
        <v>1000</v>
      </c>
      <c r="L7062" s="21"/>
      <c r="M7062" s="21"/>
      <c r="N7062" s="21"/>
      <c r="O7062" s="21">
        <f>60+17</f>
        <v>77</v>
      </c>
      <c r="P7062" s="21"/>
      <c r="Q7062" s="21">
        <f t="shared" si="127"/>
        <v>1</v>
      </c>
      <c r="R7062" s="21">
        <v>1</v>
      </c>
      <c r="S7062" s="21">
        <v>0</v>
      </c>
      <c r="T7062" s="21">
        <v>0</v>
      </c>
      <c r="U7062" s="21">
        <v>1</v>
      </c>
      <c r="V7062" s="21">
        <v>0</v>
      </c>
      <c r="W7062" s="21">
        <v>0</v>
      </c>
      <c r="X7062" s="21">
        <v>0</v>
      </c>
      <c r="Y7062" s="21">
        <v>0</v>
      </c>
      <c r="Z7062" s="21">
        <v>0</v>
      </c>
      <c r="AA7062" s="21">
        <v>0</v>
      </c>
      <c r="AB7062" s="21">
        <v>0</v>
      </c>
      <c r="AC7062" s="21">
        <v>0</v>
      </c>
      <c r="AD7062" s="21">
        <v>0</v>
      </c>
      <c r="AE7062" s="21">
        <v>0</v>
      </c>
      <c r="AF7062" s="21">
        <v>0</v>
      </c>
      <c r="AG7062" s="21">
        <v>0</v>
      </c>
      <c r="AH7062" s="21">
        <f t="shared" si="128"/>
        <v>32</v>
      </c>
      <c r="AI7062" s="21"/>
      <c r="AJ7062" s="21" t="s">
        <v>51</v>
      </c>
      <c r="AK7062" s="21" t="s">
        <v>95</v>
      </c>
      <c r="AL7062" s="21"/>
      <c r="AM7062" s="21" t="s">
        <v>2324</v>
      </c>
      <c r="AN7062" s="21">
        <v>-122.443541533333</v>
      </c>
      <c r="AO7062" s="21">
        <v>37.790379033333302</v>
      </c>
      <c r="AP7062" s="21" t="s">
        <v>1915</v>
      </c>
    </row>
    <row r="7063" spans="1:42">
      <c r="A7063" s="20">
        <v>43853</v>
      </c>
      <c r="B7063" s="21">
        <v>4</v>
      </c>
      <c r="C7063" s="21">
        <v>985</v>
      </c>
      <c r="D7063" s="21">
        <v>14358</v>
      </c>
      <c r="E7063" s="21" t="s">
        <v>2123</v>
      </c>
      <c r="F7063" s="21" t="s">
        <v>520</v>
      </c>
      <c r="G7063" s="21">
        <v>1</v>
      </c>
      <c r="H7063" s="21">
        <v>90</v>
      </c>
      <c r="I7063" s="23" t="s">
        <v>2325</v>
      </c>
      <c r="J7063" s="21"/>
      <c r="K7063" s="21" t="s">
        <v>516</v>
      </c>
      <c r="L7063" s="21"/>
      <c r="M7063" s="21"/>
      <c r="N7063" s="21" t="s">
        <v>44</v>
      </c>
      <c r="O7063" s="21">
        <f>60+60+49</f>
        <v>169</v>
      </c>
      <c r="P7063" s="21"/>
      <c r="Q7063" s="21">
        <f t="shared" si="127"/>
        <v>1</v>
      </c>
      <c r="R7063" s="21">
        <v>1</v>
      </c>
      <c r="S7063" s="21">
        <v>0</v>
      </c>
      <c r="T7063" s="21">
        <v>0</v>
      </c>
      <c r="U7063" s="21">
        <v>0</v>
      </c>
      <c r="V7063" s="21">
        <v>0</v>
      </c>
      <c r="W7063" s="21">
        <v>1</v>
      </c>
      <c r="X7063" s="21">
        <v>0</v>
      </c>
      <c r="Y7063" s="21">
        <v>0</v>
      </c>
      <c r="Z7063" s="21">
        <v>0</v>
      </c>
      <c r="AA7063" s="21">
        <v>0</v>
      </c>
      <c r="AB7063" s="21">
        <v>0</v>
      </c>
      <c r="AC7063" s="21">
        <v>0</v>
      </c>
      <c r="AD7063" s="21">
        <v>0</v>
      </c>
      <c r="AE7063" s="21">
        <v>0</v>
      </c>
      <c r="AF7063" s="21">
        <v>0</v>
      </c>
      <c r="AG7063" s="21">
        <v>0</v>
      </c>
      <c r="AH7063" s="21">
        <f t="shared" si="128"/>
        <v>96</v>
      </c>
      <c r="AI7063" s="21"/>
      <c r="AJ7063" s="21" t="s">
        <v>54</v>
      </c>
      <c r="AK7063" s="21" t="s">
        <v>95</v>
      </c>
      <c r="AL7063" s="21"/>
      <c r="AM7063" s="21" t="s">
        <v>2326</v>
      </c>
      <c r="AN7063" s="21">
        <v>-122.44559676666699</v>
      </c>
      <c r="AO7063" s="21">
        <v>37.790171966666698</v>
      </c>
      <c r="AP7063" s="21" t="s">
        <v>1915</v>
      </c>
    </row>
    <row r="7064" spans="1:42">
      <c r="A7064" s="20">
        <v>43853</v>
      </c>
      <c r="B7064" s="21">
        <v>4</v>
      </c>
      <c r="C7064" s="21">
        <v>985</v>
      </c>
      <c r="D7064" s="21">
        <v>14358</v>
      </c>
      <c r="E7064" s="21" t="s">
        <v>2123</v>
      </c>
      <c r="F7064" s="21" t="s">
        <v>520</v>
      </c>
      <c r="G7064" s="21">
        <v>1</v>
      </c>
      <c r="H7064" s="21">
        <v>91</v>
      </c>
      <c r="I7064" s="23" t="s">
        <v>2327</v>
      </c>
      <c r="J7064" s="21"/>
      <c r="K7064" s="21" t="s">
        <v>516</v>
      </c>
      <c r="L7064" s="21"/>
      <c r="M7064" s="21"/>
      <c r="N7064" s="21" t="s">
        <v>44</v>
      </c>
      <c r="O7064" s="21">
        <f>60+46</f>
        <v>106</v>
      </c>
      <c r="P7064" s="21"/>
      <c r="Q7064" s="21">
        <f t="shared" si="127"/>
        <v>1</v>
      </c>
      <c r="R7064" s="21">
        <v>1</v>
      </c>
      <c r="S7064" s="21">
        <v>0</v>
      </c>
      <c r="T7064" s="21">
        <v>0</v>
      </c>
      <c r="U7064" s="21">
        <v>0</v>
      </c>
      <c r="V7064" s="21">
        <v>1</v>
      </c>
      <c r="W7064" s="21">
        <v>0</v>
      </c>
      <c r="X7064" s="21">
        <v>0</v>
      </c>
      <c r="Y7064" s="21">
        <v>0</v>
      </c>
      <c r="Z7064" s="21">
        <v>0</v>
      </c>
      <c r="AA7064" s="21">
        <v>0</v>
      </c>
      <c r="AB7064" s="21">
        <v>0</v>
      </c>
      <c r="AC7064" s="21">
        <v>0</v>
      </c>
      <c r="AD7064" s="21">
        <v>0</v>
      </c>
      <c r="AE7064" s="21">
        <v>0</v>
      </c>
      <c r="AF7064" s="21">
        <v>0</v>
      </c>
      <c r="AG7064" s="21">
        <v>0</v>
      </c>
      <c r="AH7064" s="21">
        <f t="shared" si="128"/>
        <v>64</v>
      </c>
      <c r="AI7064" s="21"/>
      <c r="AJ7064" s="21" t="s">
        <v>54</v>
      </c>
      <c r="AK7064" s="21" t="s">
        <v>52</v>
      </c>
      <c r="AL7064" s="21"/>
      <c r="AM7064" s="21" t="s">
        <v>2328</v>
      </c>
      <c r="AN7064" s="21">
        <v>-122.445601433333</v>
      </c>
      <c r="AO7064" s="21">
        <v>37.790225083333297</v>
      </c>
      <c r="AP7064" s="21" t="s">
        <v>1915</v>
      </c>
    </row>
    <row r="7065" spans="1:42">
      <c r="A7065" s="20">
        <v>43853</v>
      </c>
      <c r="B7065" s="21">
        <v>4</v>
      </c>
      <c r="C7065" s="21">
        <v>985</v>
      </c>
      <c r="D7065" s="21">
        <v>14358</v>
      </c>
      <c r="E7065" s="21" t="s">
        <v>2123</v>
      </c>
      <c r="F7065" s="21" t="s">
        <v>520</v>
      </c>
      <c r="G7065" s="21">
        <v>1</v>
      </c>
      <c r="H7065" s="21">
        <v>92</v>
      </c>
      <c r="I7065" s="23" t="s">
        <v>2329</v>
      </c>
      <c r="J7065" s="21"/>
      <c r="K7065" s="21" t="s">
        <v>516</v>
      </c>
      <c r="L7065" s="21"/>
      <c r="M7065" s="21"/>
      <c r="N7065" s="21" t="s">
        <v>40</v>
      </c>
      <c r="O7065" s="21">
        <f>60+58</f>
        <v>118</v>
      </c>
      <c r="P7065" s="21"/>
      <c r="Q7065" s="21">
        <f t="shared" si="127"/>
        <v>1</v>
      </c>
      <c r="R7065" s="21">
        <v>1</v>
      </c>
      <c r="S7065" s="21">
        <v>0</v>
      </c>
      <c r="T7065" s="21">
        <v>0</v>
      </c>
      <c r="U7065" s="21">
        <v>0</v>
      </c>
      <c r="V7065" s="21">
        <v>1</v>
      </c>
      <c r="W7065" s="21">
        <v>0</v>
      </c>
      <c r="X7065" s="21">
        <v>0</v>
      </c>
      <c r="Y7065" s="21">
        <v>0</v>
      </c>
      <c r="Z7065" s="21">
        <v>0</v>
      </c>
      <c r="AA7065" s="21">
        <v>0</v>
      </c>
      <c r="AB7065" s="21">
        <v>0</v>
      </c>
      <c r="AC7065" s="21">
        <v>0</v>
      </c>
      <c r="AD7065" s="21">
        <v>0</v>
      </c>
      <c r="AE7065" s="21">
        <v>0</v>
      </c>
      <c r="AF7065" s="21">
        <v>0</v>
      </c>
      <c r="AG7065" s="21">
        <v>0</v>
      </c>
      <c r="AH7065" s="21">
        <f t="shared" si="128"/>
        <v>64</v>
      </c>
      <c r="AI7065" s="21"/>
      <c r="AJ7065" s="21" t="s">
        <v>54</v>
      </c>
      <c r="AK7065" s="21" t="s">
        <v>52</v>
      </c>
      <c r="AL7065" s="21" t="s">
        <v>2193</v>
      </c>
      <c r="AM7065" s="21" t="s">
        <v>2330</v>
      </c>
      <c r="AN7065" s="21">
        <v>-122.445752316667</v>
      </c>
      <c r="AO7065" s="21">
        <v>37.790197116666597</v>
      </c>
      <c r="AP7065" s="21" t="s">
        <v>1915</v>
      </c>
    </row>
    <row r="7066" spans="1:42">
      <c r="A7066" s="20">
        <v>43853</v>
      </c>
      <c r="B7066" s="21">
        <v>4</v>
      </c>
      <c r="C7066" s="21">
        <v>985</v>
      </c>
      <c r="D7066" s="21">
        <v>14358</v>
      </c>
      <c r="E7066" s="21" t="s">
        <v>2123</v>
      </c>
      <c r="F7066" s="21" t="s">
        <v>520</v>
      </c>
      <c r="G7066" s="21">
        <v>1</v>
      </c>
      <c r="H7066" s="21">
        <v>93</v>
      </c>
      <c r="I7066" s="23" t="s">
        <v>2331</v>
      </c>
      <c r="J7066" s="21"/>
      <c r="K7066" s="21" t="s">
        <v>516</v>
      </c>
      <c r="L7066" s="21"/>
      <c r="M7066" s="21"/>
      <c r="N7066" s="21" t="s">
        <v>44</v>
      </c>
      <c r="O7066" s="21">
        <f>60+60+60+9</f>
        <v>189</v>
      </c>
      <c r="P7066" s="21"/>
      <c r="Q7066" s="21">
        <f t="shared" si="127"/>
        <v>2</v>
      </c>
      <c r="R7066" s="21">
        <v>1</v>
      </c>
      <c r="S7066" s="21">
        <v>0</v>
      </c>
      <c r="T7066" s="21">
        <v>0</v>
      </c>
      <c r="U7066" s="21">
        <v>0</v>
      </c>
      <c r="V7066" s="21">
        <v>0</v>
      </c>
      <c r="W7066" s="21">
        <v>2</v>
      </c>
      <c r="X7066" s="21">
        <v>0</v>
      </c>
      <c r="Y7066" s="21">
        <v>0</v>
      </c>
      <c r="Z7066" s="21">
        <v>0</v>
      </c>
      <c r="AA7066" s="21">
        <v>0</v>
      </c>
      <c r="AB7066" s="21">
        <v>0</v>
      </c>
      <c r="AC7066" s="21">
        <v>0</v>
      </c>
      <c r="AD7066" s="21">
        <v>0</v>
      </c>
      <c r="AE7066" s="21">
        <v>0</v>
      </c>
      <c r="AF7066" s="21">
        <v>0</v>
      </c>
      <c r="AG7066" s="21">
        <v>0</v>
      </c>
      <c r="AH7066" s="21">
        <f t="shared" si="128"/>
        <v>192</v>
      </c>
      <c r="AI7066" s="21"/>
      <c r="AJ7066" s="21" t="s">
        <v>51</v>
      </c>
      <c r="AK7066" s="21" t="s">
        <v>52</v>
      </c>
      <c r="AL7066" s="21"/>
      <c r="AM7066" s="21" t="s">
        <v>2332</v>
      </c>
      <c r="AN7066" s="21">
        <v>-122.446914233333</v>
      </c>
      <c r="AO7066" s="21">
        <v>37.790078033333302</v>
      </c>
      <c r="AP7066" s="21" t="s">
        <v>1915</v>
      </c>
    </row>
    <row r="7067" spans="1:42">
      <c r="A7067" s="20">
        <v>43853</v>
      </c>
      <c r="B7067" s="21">
        <v>4</v>
      </c>
      <c r="C7067" s="21">
        <v>985</v>
      </c>
      <c r="D7067" s="21">
        <v>14358</v>
      </c>
      <c r="E7067" s="21" t="s">
        <v>2123</v>
      </c>
      <c r="F7067" s="21" t="s">
        <v>520</v>
      </c>
      <c r="G7067" s="21">
        <v>1</v>
      </c>
      <c r="H7067" s="21">
        <v>94</v>
      </c>
      <c r="I7067" s="23" t="s">
        <v>2333</v>
      </c>
      <c r="J7067" s="21"/>
      <c r="K7067" s="21" t="s">
        <v>1000</v>
      </c>
      <c r="L7067" s="21"/>
      <c r="M7067" s="21"/>
      <c r="N7067" s="21" t="s">
        <v>44</v>
      </c>
      <c r="O7067" s="21">
        <f>60+60+9</f>
        <v>129</v>
      </c>
      <c r="P7067" s="21"/>
      <c r="Q7067" s="21">
        <f t="shared" si="127"/>
        <v>1</v>
      </c>
      <c r="R7067" s="21">
        <v>1</v>
      </c>
      <c r="S7067" s="21">
        <v>0</v>
      </c>
      <c r="T7067" s="21">
        <v>0</v>
      </c>
      <c r="U7067" s="21">
        <v>0</v>
      </c>
      <c r="V7067" s="21">
        <v>0</v>
      </c>
      <c r="W7067" s="21">
        <v>1</v>
      </c>
      <c r="X7067" s="21">
        <v>0</v>
      </c>
      <c r="Y7067" s="21">
        <v>0</v>
      </c>
      <c r="Z7067" s="21">
        <v>0</v>
      </c>
      <c r="AA7067" s="21">
        <v>0</v>
      </c>
      <c r="AB7067" s="21">
        <v>0</v>
      </c>
      <c r="AC7067" s="21">
        <v>0</v>
      </c>
      <c r="AD7067" s="21">
        <v>0</v>
      </c>
      <c r="AE7067" s="21">
        <v>0</v>
      </c>
      <c r="AF7067" s="21">
        <v>0</v>
      </c>
      <c r="AG7067" s="21">
        <v>0</v>
      </c>
      <c r="AH7067" s="21">
        <f t="shared" si="128"/>
        <v>96</v>
      </c>
      <c r="AI7067" s="21"/>
      <c r="AJ7067" s="21" t="s">
        <v>51</v>
      </c>
      <c r="AK7067" s="21" t="s">
        <v>52</v>
      </c>
      <c r="AL7067" s="21"/>
      <c r="AM7067" s="21" t="s">
        <v>2334</v>
      </c>
      <c r="AN7067" s="21">
        <v>-122.446500966667</v>
      </c>
      <c r="AO7067" s="21">
        <v>37.790031783333298</v>
      </c>
      <c r="AP7067" s="21" t="s">
        <v>1915</v>
      </c>
    </row>
    <row r="7068" spans="1:42">
      <c r="A7068" s="20">
        <v>43853</v>
      </c>
      <c r="B7068" s="21">
        <v>4</v>
      </c>
      <c r="C7068" s="21">
        <v>985</v>
      </c>
      <c r="D7068" s="21">
        <v>14358</v>
      </c>
      <c r="E7068" s="21" t="s">
        <v>2123</v>
      </c>
      <c r="F7068" s="21" t="s">
        <v>520</v>
      </c>
      <c r="G7068" s="21">
        <v>1</v>
      </c>
      <c r="H7068" s="21">
        <v>95</v>
      </c>
      <c r="I7068" s="23" t="s">
        <v>2335</v>
      </c>
      <c r="J7068" s="21"/>
      <c r="K7068" s="21" t="s">
        <v>516</v>
      </c>
      <c r="L7068" s="21"/>
      <c r="M7068" s="21"/>
      <c r="N7068" s="21" t="s">
        <v>44</v>
      </c>
      <c r="O7068" s="21">
        <f>60+60+20</f>
        <v>140</v>
      </c>
      <c r="P7068" s="21"/>
      <c r="Q7068" s="21">
        <f t="shared" si="127"/>
        <v>1</v>
      </c>
      <c r="R7068" s="21">
        <v>1</v>
      </c>
      <c r="S7068" s="21">
        <v>0</v>
      </c>
      <c r="T7068" s="21">
        <v>0</v>
      </c>
      <c r="U7068" s="21">
        <v>0</v>
      </c>
      <c r="V7068" s="21">
        <v>0</v>
      </c>
      <c r="W7068" s="21">
        <v>1</v>
      </c>
      <c r="X7068" s="21">
        <v>0</v>
      </c>
      <c r="Y7068" s="21">
        <v>0</v>
      </c>
      <c r="Z7068" s="21">
        <v>0</v>
      </c>
      <c r="AA7068" s="21">
        <v>0</v>
      </c>
      <c r="AB7068" s="21">
        <v>0</v>
      </c>
      <c r="AC7068" s="21">
        <v>0</v>
      </c>
      <c r="AD7068" s="21">
        <v>0</v>
      </c>
      <c r="AE7068" s="21">
        <v>0</v>
      </c>
      <c r="AF7068" s="21">
        <v>0</v>
      </c>
      <c r="AG7068" s="21">
        <v>0</v>
      </c>
      <c r="AH7068" s="21">
        <f t="shared" si="128"/>
        <v>96</v>
      </c>
      <c r="AI7068" s="21"/>
      <c r="AJ7068" s="21" t="s">
        <v>51</v>
      </c>
      <c r="AK7068" s="21" t="s">
        <v>52</v>
      </c>
      <c r="AL7068" s="21" t="s">
        <v>2336</v>
      </c>
      <c r="AM7068" s="21" t="s">
        <v>2337</v>
      </c>
      <c r="AN7068" s="21">
        <v>-122.446566283333</v>
      </c>
      <c r="AO7068" s="21">
        <v>37.790045833333402</v>
      </c>
      <c r="AP7068" s="21" t="s">
        <v>1915</v>
      </c>
    </row>
    <row r="7069" spans="1:42">
      <c r="A7069" s="20">
        <v>43853</v>
      </c>
      <c r="B7069" s="21">
        <v>4</v>
      </c>
      <c r="C7069" s="21">
        <v>985</v>
      </c>
      <c r="D7069" s="21">
        <v>14358</v>
      </c>
      <c r="E7069" s="21" t="s">
        <v>2123</v>
      </c>
      <c r="F7069" s="21" t="s">
        <v>520</v>
      </c>
      <c r="G7069" s="21">
        <v>1</v>
      </c>
      <c r="H7069" s="21">
        <v>96</v>
      </c>
      <c r="I7069" s="23" t="s">
        <v>2338</v>
      </c>
      <c r="J7069" s="21"/>
      <c r="K7069" s="21" t="s">
        <v>516</v>
      </c>
      <c r="L7069" s="21"/>
      <c r="M7069" s="21"/>
      <c r="N7069" s="21" t="s">
        <v>40</v>
      </c>
      <c r="O7069" s="21">
        <v>52</v>
      </c>
      <c r="P7069" s="21"/>
      <c r="Q7069" s="21">
        <f t="shared" si="127"/>
        <v>1</v>
      </c>
      <c r="R7069" s="21">
        <v>1</v>
      </c>
      <c r="S7069" s="21">
        <v>0</v>
      </c>
      <c r="T7069" s="21">
        <v>0</v>
      </c>
      <c r="U7069" s="21">
        <v>0</v>
      </c>
      <c r="V7069" s="21">
        <v>1</v>
      </c>
      <c r="W7069" s="21">
        <v>0</v>
      </c>
      <c r="X7069" s="21">
        <v>0</v>
      </c>
      <c r="Y7069" s="21">
        <v>0</v>
      </c>
      <c r="Z7069" s="21">
        <v>0</v>
      </c>
      <c r="AA7069" s="21">
        <v>0</v>
      </c>
      <c r="AB7069" s="21">
        <v>0</v>
      </c>
      <c r="AC7069" s="21">
        <v>0</v>
      </c>
      <c r="AD7069" s="21">
        <v>0</v>
      </c>
      <c r="AE7069" s="21">
        <v>0</v>
      </c>
      <c r="AF7069" s="21">
        <v>0</v>
      </c>
      <c r="AG7069" s="21">
        <v>0</v>
      </c>
      <c r="AH7069" s="21">
        <f t="shared" si="128"/>
        <v>64</v>
      </c>
      <c r="AI7069" s="21"/>
      <c r="AJ7069" s="21" t="s">
        <v>54</v>
      </c>
      <c r="AK7069" s="21" t="s">
        <v>52</v>
      </c>
      <c r="AL7069" s="21"/>
      <c r="AM7069" s="21" t="s">
        <v>2339</v>
      </c>
      <c r="AN7069" s="21">
        <v>-122.44473688333299</v>
      </c>
      <c r="AO7069" s="21">
        <v>37.790297816666701</v>
      </c>
      <c r="AP7069" s="21" t="s">
        <v>1915</v>
      </c>
    </row>
    <row r="7070" spans="1:42">
      <c r="A7070" s="20">
        <v>43853</v>
      </c>
      <c r="B7070" s="21">
        <v>4</v>
      </c>
      <c r="C7070" s="21">
        <v>985</v>
      </c>
      <c r="D7070" s="21">
        <v>14358</v>
      </c>
      <c r="E7070" s="21" t="s">
        <v>2123</v>
      </c>
      <c r="F7070" s="21" t="s">
        <v>520</v>
      </c>
      <c r="G7070" s="21">
        <v>1</v>
      </c>
      <c r="H7070" s="21">
        <v>97</v>
      </c>
      <c r="I7070" s="23" t="s">
        <v>2340</v>
      </c>
      <c r="J7070" s="21"/>
      <c r="K7070" s="21" t="s">
        <v>516</v>
      </c>
      <c r="L7070" s="21"/>
      <c r="M7070" s="21"/>
      <c r="N7070" s="21" t="s">
        <v>40</v>
      </c>
      <c r="O7070" s="21">
        <v>34</v>
      </c>
      <c r="P7070" s="21"/>
      <c r="Q7070" s="21">
        <f t="shared" si="127"/>
        <v>1</v>
      </c>
      <c r="R7070" s="21">
        <v>1</v>
      </c>
      <c r="S7070" s="21">
        <v>0</v>
      </c>
      <c r="T7070" s="21">
        <v>0</v>
      </c>
      <c r="U7070" s="21">
        <v>0</v>
      </c>
      <c r="V7070" s="21">
        <v>1</v>
      </c>
      <c r="W7070" s="21">
        <v>0</v>
      </c>
      <c r="X7070" s="21">
        <v>0</v>
      </c>
      <c r="Y7070" s="21">
        <v>0</v>
      </c>
      <c r="Z7070" s="21">
        <v>0</v>
      </c>
      <c r="AA7070" s="21">
        <v>0</v>
      </c>
      <c r="AB7070" s="21">
        <v>0</v>
      </c>
      <c r="AC7070" s="21">
        <v>0</v>
      </c>
      <c r="AD7070" s="21">
        <v>0</v>
      </c>
      <c r="AE7070" s="21">
        <v>0</v>
      </c>
      <c r="AF7070" s="21">
        <v>0</v>
      </c>
      <c r="AG7070" s="21">
        <v>0</v>
      </c>
      <c r="AH7070" s="21">
        <f t="shared" si="128"/>
        <v>64</v>
      </c>
      <c r="AI7070" s="21"/>
      <c r="AJ7070" s="21"/>
      <c r="AK7070" s="21"/>
      <c r="AL7070" s="21"/>
      <c r="AM7070" s="21" t="s">
        <v>2341</v>
      </c>
      <c r="AN7070" s="21">
        <v>-122.44175371666699</v>
      </c>
      <c r="AO7070" s="21">
        <v>37.790665583333301</v>
      </c>
      <c r="AP7070" s="21" t="s">
        <v>1915</v>
      </c>
    </row>
    <row r="7071" spans="1:42">
      <c r="A7071" s="20">
        <v>43853</v>
      </c>
      <c r="B7071" s="21">
        <v>4</v>
      </c>
      <c r="C7071" s="21">
        <v>985</v>
      </c>
      <c r="D7071" s="21">
        <v>14358</v>
      </c>
      <c r="E7071" s="21" t="s">
        <v>2123</v>
      </c>
      <c r="F7071" s="21" t="s">
        <v>520</v>
      </c>
      <c r="G7071" s="21">
        <v>1</v>
      </c>
      <c r="H7071" s="21">
        <v>98</v>
      </c>
      <c r="I7071" s="23" t="s">
        <v>2342</v>
      </c>
      <c r="J7071" s="21"/>
      <c r="K7071" s="21" t="s">
        <v>516</v>
      </c>
      <c r="L7071" s="21"/>
      <c r="M7071" s="21"/>
      <c r="N7071" s="21" t="s">
        <v>44</v>
      </c>
      <c r="O7071" s="21">
        <f>60+56</f>
        <v>116</v>
      </c>
      <c r="P7071" s="21"/>
      <c r="Q7071" s="21">
        <f t="shared" si="127"/>
        <v>1</v>
      </c>
      <c r="R7071" s="21">
        <v>1</v>
      </c>
      <c r="S7071" s="21">
        <v>0</v>
      </c>
      <c r="T7071" s="21">
        <v>0</v>
      </c>
      <c r="U7071" s="21">
        <v>0</v>
      </c>
      <c r="V7071" s="21">
        <v>0</v>
      </c>
      <c r="W7071" s="21">
        <v>1</v>
      </c>
      <c r="X7071" s="21">
        <v>0</v>
      </c>
      <c r="Y7071" s="21">
        <v>0</v>
      </c>
      <c r="Z7071" s="21">
        <v>0</v>
      </c>
      <c r="AA7071" s="21">
        <v>0</v>
      </c>
      <c r="AB7071" s="21">
        <v>0</v>
      </c>
      <c r="AC7071" s="21">
        <v>0</v>
      </c>
      <c r="AD7071" s="21">
        <v>0</v>
      </c>
      <c r="AE7071" s="21">
        <v>0</v>
      </c>
      <c r="AF7071" s="21">
        <v>0</v>
      </c>
      <c r="AG7071" s="21">
        <v>0</v>
      </c>
      <c r="AH7071" s="21">
        <f t="shared" si="128"/>
        <v>96</v>
      </c>
      <c r="AI7071" s="21"/>
      <c r="AJ7071" s="21" t="s">
        <v>51</v>
      </c>
      <c r="AK7071" s="21" t="s">
        <v>52</v>
      </c>
      <c r="AL7071" s="21" t="s">
        <v>2343</v>
      </c>
      <c r="AM7071" s="21" t="s">
        <v>2344</v>
      </c>
      <c r="AN7071" s="21">
        <v>-122.44132981666699</v>
      </c>
      <c r="AO7071" s="21">
        <v>37.790715966666703</v>
      </c>
      <c r="AP7071" s="21" t="s">
        <v>1915</v>
      </c>
    </row>
    <row r="7072" spans="1:42">
      <c r="A7072" s="20">
        <v>43853</v>
      </c>
      <c r="B7072" s="21">
        <v>4</v>
      </c>
      <c r="C7072" s="21">
        <v>985</v>
      </c>
      <c r="D7072" s="21">
        <v>14358</v>
      </c>
      <c r="E7072" s="21" t="s">
        <v>2123</v>
      </c>
      <c r="F7072" s="21" t="s">
        <v>520</v>
      </c>
      <c r="G7072" s="21">
        <v>1</v>
      </c>
      <c r="H7072" s="21">
        <v>99</v>
      </c>
      <c r="I7072" s="23" t="s">
        <v>2345</v>
      </c>
      <c r="J7072" s="21"/>
      <c r="K7072" s="21" t="s">
        <v>175</v>
      </c>
      <c r="L7072" s="21"/>
      <c r="M7072" s="21"/>
      <c r="N7072" s="21" t="s">
        <v>44</v>
      </c>
      <c r="O7072" s="21">
        <f>60+30</f>
        <v>90</v>
      </c>
      <c r="P7072" s="21"/>
      <c r="Q7072" s="21">
        <f t="shared" si="127"/>
        <v>1</v>
      </c>
      <c r="R7072" s="21">
        <v>1</v>
      </c>
      <c r="S7072" s="21">
        <v>0</v>
      </c>
      <c r="T7072" s="21">
        <v>0</v>
      </c>
      <c r="U7072" s="21">
        <v>0</v>
      </c>
      <c r="V7072" s="21">
        <v>1</v>
      </c>
      <c r="W7072" s="21">
        <v>0</v>
      </c>
      <c r="X7072" s="21">
        <v>0</v>
      </c>
      <c r="Y7072" s="21">
        <v>0</v>
      </c>
      <c r="Z7072" s="21">
        <v>0</v>
      </c>
      <c r="AA7072" s="21">
        <v>0</v>
      </c>
      <c r="AB7072" s="21">
        <v>0</v>
      </c>
      <c r="AC7072" s="21">
        <v>0</v>
      </c>
      <c r="AD7072" s="21">
        <v>0</v>
      </c>
      <c r="AE7072" s="21">
        <v>0</v>
      </c>
      <c r="AF7072" s="21">
        <v>0</v>
      </c>
      <c r="AG7072" s="21">
        <v>0</v>
      </c>
      <c r="AH7072" s="21">
        <f t="shared" si="128"/>
        <v>64</v>
      </c>
      <c r="AI7072" s="21"/>
      <c r="AJ7072" s="21" t="s">
        <v>54</v>
      </c>
      <c r="AK7072" s="21" t="s">
        <v>52</v>
      </c>
      <c r="AL7072" s="21" t="s">
        <v>2346</v>
      </c>
      <c r="AM7072" s="21" t="s">
        <v>2347</v>
      </c>
      <c r="AN7072" s="21">
        <v>-122.43965781666699</v>
      </c>
      <c r="AO7072" s="21">
        <v>37.792097183333297</v>
      </c>
      <c r="AP7072" s="21" t="s">
        <v>1915</v>
      </c>
    </row>
    <row r="7073" spans="1:42">
      <c r="A7073" s="20">
        <v>43853</v>
      </c>
      <c r="B7073" s="21">
        <v>4</v>
      </c>
      <c r="C7073" s="21">
        <v>985</v>
      </c>
      <c r="D7073" s="21">
        <v>14358</v>
      </c>
      <c r="E7073" s="21" t="s">
        <v>2123</v>
      </c>
      <c r="F7073" s="21" t="s">
        <v>520</v>
      </c>
      <c r="G7073" s="21">
        <v>1</v>
      </c>
      <c r="H7073" s="21">
        <v>100</v>
      </c>
      <c r="I7073" s="23" t="s">
        <v>2348</v>
      </c>
      <c r="J7073" s="21"/>
      <c r="K7073" s="21" t="s">
        <v>175</v>
      </c>
      <c r="L7073" s="21"/>
      <c r="M7073" s="21"/>
      <c r="N7073" s="21" t="s">
        <v>44</v>
      </c>
      <c r="O7073" s="21">
        <f>60+10</f>
        <v>70</v>
      </c>
      <c r="P7073" s="21"/>
      <c r="Q7073" s="21">
        <f t="shared" si="127"/>
        <v>1</v>
      </c>
      <c r="R7073" s="21">
        <v>1</v>
      </c>
      <c r="S7073" s="21">
        <v>0</v>
      </c>
      <c r="T7073" s="21">
        <v>0</v>
      </c>
      <c r="U7073" s="21">
        <v>0</v>
      </c>
      <c r="V7073" s="21">
        <v>0</v>
      </c>
      <c r="W7073" s="21">
        <v>1</v>
      </c>
      <c r="X7073" s="21">
        <v>0</v>
      </c>
      <c r="Y7073" s="21">
        <v>0</v>
      </c>
      <c r="Z7073" s="21">
        <v>0</v>
      </c>
      <c r="AA7073" s="21">
        <v>0</v>
      </c>
      <c r="AB7073" s="21">
        <v>0</v>
      </c>
      <c r="AC7073" s="21">
        <v>0</v>
      </c>
      <c r="AD7073" s="21">
        <v>0</v>
      </c>
      <c r="AE7073" s="21">
        <v>0</v>
      </c>
      <c r="AF7073" s="21">
        <v>0</v>
      </c>
      <c r="AG7073" s="21">
        <v>0</v>
      </c>
      <c r="AH7073" s="21">
        <f t="shared" si="128"/>
        <v>96</v>
      </c>
      <c r="AI7073" s="21"/>
      <c r="AJ7073" s="21" t="s">
        <v>54</v>
      </c>
      <c r="AK7073" s="21" t="s">
        <v>52</v>
      </c>
      <c r="AL7073" s="21"/>
      <c r="AM7073" s="21" t="s">
        <v>2349</v>
      </c>
      <c r="AN7073" s="21">
        <v>-122.43961736666699</v>
      </c>
      <c r="AO7073" s="21">
        <v>37.792311783333297</v>
      </c>
      <c r="AP7073" s="21" t="s">
        <v>1915</v>
      </c>
    </row>
    <row r="7074" spans="1:42">
      <c r="A7074" s="20">
        <v>43853</v>
      </c>
      <c r="B7074" s="21">
        <v>4</v>
      </c>
      <c r="C7074" s="21">
        <v>985</v>
      </c>
      <c r="D7074" s="21">
        <v>14358</v>
      </c>
      <c r="E7074" s="21" t="s">
        <v>2123</v>
      </c>
      <c r="F7074" s="21" t="s">
        <v>520</v>
      </c>
      <c r="G7074" s="21">
        <v>1</v>
      </c>
      <c r="H7074" s="21">
        <v>101</v>
      </c>
      <c r="I7074" s="23">
        <v>59</v>
      </c>
      <c r="J7074" s="21"/>
      <c r="K7074" s="21" t="s">
        <v>185</v>
      </c>
      <c r="L7074" s="21"/>
      <c r="M7074" s="21"/>
      <c r="N7074" s="21" t="s">
        <v>44</v>
      </c>
      <c r="O7074" s="21">
        <v>46</v>
      </c>
      <c r="P7074" s="21"/>
      <c r="Q7074" s="21">
        <f t="shared" si="127"/>
        <v>2</v>
      </c>
      <c r="R7074" s="21">
        <v>1</v>
      </c>
      <c r="S7074" s="21">
        <v>0</v>
      </c>
      <c r="T7074" s="21">
        <v>0</v>
      </c>
      <c r="U7074" s="21">
        <v>2</v>
      </c>
      <c r="V7074" s="21">
        <v>0</v>
      </c>
      <c r="W7074" s="21">
        <v>0</v>
      </c>
      <c r="X7074" s="21">
        <v>0</v>
      </c>
      <c r="Y7074" s="21">
        <v>0</v>
      </c>
      <c r="Z7074" s="21">
        <v>0</v>
      </c>
      <c r="AA7074" s="21">
        <v>0</v>
      </c>
      <c r="AB7074" s="21">
        <v>0</v>
      </c>
      <c r="AC7074" s="21">
        <v>0</v>
      </c>
      <c r="AD7074" s="21">
        <v>0</v>
      </c>
      <c r="AE7074" s="21">
        <v>0</v>
      </c>
      <c r="AF7074" s="21">
        <v>0</v>
      </c>
      <c r="AG7074" s="21">
        <v>0</v>
      </c>
      <c r="AH7074" s="21">
        <f t="shared" si="128"/>
        <v>64</v>
      </c>
      <c r="AI7074" s="21"/>
      <c r="AJ7074" s="21" t="s">
        <v>54</v>
      </c>
      <c r="AK7074" s="21" t="s">
        <v>52</v>
      </c>
      <c r="AL7074" s="21"/>
      <c r="AM7074" s="21" t="s">
        <v>2350</v>
      </c>
      <c r="AN7074" s="21">
        <v>-122.440857840861</v>
      </c>
      <c r="AO7074" s="21">
        <v>37.793454048871197</v>
      </c>
      <c r="AP7074" s="21" t="s">
        <v>1915</v>
      </c>
    </row>
    <row r="7075" spans="1:42">
      <c r="A7075" s="20">
        <v>43853</v>
      </c>
      <c r="B7075" s="21">
        <v>4</v>
      </c>
      <c r="C7075" s="21">
        <v>985</v>
      </c>
      <c r="D7075" s="21">
        <v>14358</v>
      </c>
      <c r="E7075" s="21" t="s">
        <v>2123</v>
      </c>
      <c r="F7075" s="21" t="s">
        <v>520</v>
      </c>
      <c r="G7075" s="21">
        <v>1</v>
      </c>
      <c r="H7075" s="21">
        <v>102</v>
      </c>
      <c r="I7075" s="23" t="s">
        <v>2164</v>
      </c>
      <c r="J7075" s="21"/>
      <c r="K7075" t="s">
        <v>192</v>
      </c>
      <c r="L7075" s="21"/>
      <c r="M7075" s="21"/>
      <c r="N7075" s="21" t="s">
        <v>40</v>
      </c>
      <c r="O7075" s="21">
        <v>32</v>
      </c>
      <c r="P7075" s="21"/>
      <c r="Q7075" s="21">
        <f t="shared" si="127"/>
        <v>1</v>
      </c>
      <c r="R7075" s="21">
        <v>1</v>
      </c>
      <c r="S7075" s="21">
        <v>0</v>
      </c>
      <c r="T7075" s="21">
        <v>0</v>
      </c>
      <c r="U7075" s="21">
        <v>0</v>
      </c>
      <c r="V7075" s="21">
        <v>0</v>
      </c>
      <c r="W7075" s="21">
        <v>1</v>
      </c>
      <c r="X7075" s="21">
        <v>0</v>
      </c>
      <c r="Y7075" s="21">
        <v>0</v>
      </c>
      <c r="Z7075" s="21">
        <v>0</v>
      </c>
      <c r="AA7075" s="21">
        <v>0</v>
      </c>
      <c r="AB7075" s="21">
        <v>0</v>
      </c>
      <c r="AC7075" s="21">
        <v>0</v>
      </c>
      <c r="AD7075" s="21">
        <v>0</v>
      </c>
      <c r="AE7075" s="21">
        <v>0</v>
      </c>
      <c r="AF7075" s="21">
        <v>0</v>
      </c>
      <c r="AG7075" s="21">
        <v>0</v>
      </c>
      <c r="AH7075" s="21">
        <f t="shared" si="128"/>
        <v>96</v>
      </c>
      <c r="AI7075" s="21"/>
      <c r="AJ7075" s="21"/>
      <c r="AK7075" s="21"/>
      <c r="AL7075" s="21"/>
      <c r="AM7075" s="21" t="s">
        <v>2351</v>
      </c>
      <c r="AN7075" s="21">
        <v>-122.4378881</v>
      </c>
      <c r="AO7075" s="21">
        <v>37.792588166666697</v>
      </c>
      <c r="AP7075" s="21" t="s">
        <v>1915</v>
      </c>
    </row>
    <row r="7076" spans="1:42">
      <c r="A7076" s="20">
        <v>43853</v>
      </c>
      <c r="B7076" s="21">
        <v>4</v>
      </c>
      <c r="C7076" s="21">
        <v>985</v>
      </c>
      <c r="D7076" s="21">
        <v>14358</v>
      </c>
      <c r="E7076" s="21" t="s">
        <v>2123</v>
      </c>
      <c r="F7076" s="21" t="s">
        <v>520</v>
      </c>
      <c r="G7076" s="21">
        <v>1</v>
      </c>
      <c r="H7076" s="21">
        <v>103</v>
      </c>
      <c r="I7076" s="23" t="s">
        <v>2352</v>
      </c>
      <c r="J7076" s="21"/>
      <c r="K7076" s="21" t="s">
        <v>175</v>
      </c>
      <c r="L7076" s="21"/>
      <c r="M7076" s="21"/>
      <c r="N7076" s="21" t="s">
        <v>44</v>
      </c>
      <c r="O7076" s="21">
        <f>60+22</f>
        <v>82</v>
      </c>
      <c r="P7076" s="21"/>
      <c r="Q7076" s="21">
        <f t="shared" si="127"/>
        <v>1</v>
      </c>
      <c r="R7076" s="21">
        <v>1</v>
      </c>
      <c r="S7076" s="21">
        <v>0</v>
      </c>
      <c r="T7076" s="21">
        <v>0</v>
      </c>
      <c r="U7076" s="21">
        <v>0</v>
      </c>
      <c r="V7076" s="21">
        <v>0</v>
      </c>
      <c r="W7076" s="21">
        <v>1</v>
      </c>
      <c r="X7076" s="21">
        <v>0</v>
      </c>
      <c r="Y7076" s="21">
        <v>0</v>
      </c>
      <c r="Z7076" s="21">
        <v>0</v>
      </c>
      <c r="AA7076" s="21">
        <v>0</v>
      </c>
      <c r="AB7076" s="21">
        <v>0</v>
      </c>
      <c r="AC7076" s="21">
        <v>0</v>
      </c>
      <c r="AD7076" s="21">
        <v>0</v>
      </c>
      <c r="AE7076" s="21">
        <v>0</v>
      </c>
      <c r="AF7076" s="21">
        <v>0</v>
      </c>
      <c r="AG7076" s="21">
        <v>0</v>
      </c>
      <c r="AH7076" s="21">
        <f t="shared" si="128"/>
        <v>96</v>
      </c>
      <c r="AI7076" s="21"/>
      <c r="AJ7076" s="21" t="s">
        <v>54</v>
      </c>
      <c r="AK7076" s="21" t="s">
        <v>52</v>
      </c>
      <c r="AL7076" s="21" t="s">
        <v>1957</v>
      </c>
      <c r="AM7076" s="21" t="s">
        <v>2353</v>
      </c>
      <c r="AN7076" s="21">
        <v>-122.43928440000001</v>
      </c>
      <c r="AO7076" s="21">
        <v>37.7914082333333</v>
      </c>
      <c r="AP7076" s="21" t="s">
        <v>1915</v>
      </c>
    </row>
    <row r="7077" spans="1:42">
      <c r="A7077" s="20">
        <v>43853</v>
      </c>
      <c r="B7077" s="21">
        <v>4</v>
      </c>
      <c r="C7077" s="21">
        <v>985</v>
      </c>
      <c r="D7077" s="21">
        <v>14358</v>
      </c>
      <c r="E7077" s="21" t="s">
        <v>2123</v>
      </c>
      <c r="F7077" s="21" t="s">
        <v>520</v>
      </c>
      <c r="G7077" s="21">
        <v>1</v>
      </c>
      <c r="H7077" s="21">
        <v>105</v>
      </c>
      <c r="I7077" s="23" t="s">
        <v>2354</v>
      </c>
      <c r="J7077" s="21"/>
      <c r="K7077" s="21" t="s">
        <v>175</v>
      </c>
      <c r="L7077" s="21"/>
      <c r="M7077" s="21"/>
      <c r="N7077" s="21" t="s">
        <v>42</v>
      </c>
      <c r="O7077" s="21">
        <v>72</v>
      </c>
      <c r="P7077" s="21"/>
      <c r="Q7077" s="21">
        <f t="shared" si="127"/>
        <v>2</v>
      </c>
      <c r="R7077" s="21">
        <v>1</v>
      </c>
      <c r="S7077" s="21">
        <v>0</v>
      </c>
      <c r="T7077" s="21">
        <v>0</v>
      </c>
      <c r="U7077" s="21">
        <v>1</v>
      </c>
      <c r="V7077" s="21">
        <v>0</v>
      </c>
      <c r="W7077" s="21">
        <v>1</v>
      </c>
      <c r="X7077" s="21">
        <v>0</v>
      </c>
      <c r="Y7077" s="21">
        <v>0</v>
      </c>
      <c r="Z7077" s="21">
        <v>0</v>
      </c>
      <c r="AA7077" s="21">
        <v>0</v>
      </c>
      <c r="AB7077" s="21">
        <v>0</v>
      </c>
      <c r="AC7077" s="21">
        <v>0</v>
      </c>
      <c r="AD7077" s="21">
        <v>0</v>
      </c>
      <c r="AE7077" s="21">
        <v>0</v>
      </c>
      <c r="AF7077" s="21">
        <v>0</v>
      </c>
      <c r="AG7077" s="21">
        <v>0</v>
      </c>
      <c r="AH7077" s="21">
        <f t="shared" si="128"/>
        <v>128</v>
      </c>
      <c r="AI7077" s="21"/>
      <c r="AJ7077" s="21" t="s">
        <v>54</v>
      </c>
      <c r="AK7077" s="21" t="s">
        <v>52</v>
      </c>
      <c r="AL7077" s="21" t="s">
        <v>2355</v>
      </c>
      <c r="AM7077" s="21" t="s">
        <v>2356</v>
      </c>
      <c r="AN7077" s="21">
        <v>-122.43939105</v>
      </c>
      <c r="AO7077" s="21">
        <v>37.791108033333302</v>
      </c>
      <c r="AP7077" s="21" t="s">
        <v>1915</v>
      </c>
    </row>
    <row r="7078" spans="1:42">
      <c r="A7078" s="20">
        <v>43853</v>
      </c>
      <c r="B7078" s="21">
        <v>4</v>
      </c>
      <c r="C7078" s="21">
        <v>985</v>
      </c>
      <c r="D7078" s="21">
        <v>14358</v>
      </c>
      <c r="E7078" s="21" t="s">
        <v>2123</v>
      </c>
      <c r="F7078" s="21" t="s">
        <v>520</v>
      </c>
      <c r="G7078" s="21">
        <v>1</v>
      </c>
      <c r="H7078" s="21">
        <v>106</v>
      </c>
      <c r="I7078" s="23" t="s">
        <v>2357</v>
      </c>
      <c r="J7078" s="21"/>
      <c r="K7078" s="21" t="s">
        <v>647</v>
      </c>
      <c r="L7078" s="21"/>
      <c r="M7078" s="21"/>
      <c r="N7078" s="21" t="s">
        <v>44</v>
      </c>
      <c r="O7078" s="21">
        <f>60+5</f>
        <v>65</v>
      </c>
      <c r="P7078" s="21"/>
      <c r="Q7078" s="21">
        <f t="shared" si="127"/>
        <v>1</v>
      </c>
      <c r="R7078" s="21">
        <v>1</v>
      </c>
      <c r="S7078" s="21">
        <v>0</v>
      </c>
      <c r="T7078" s="21">
        <v>0</v>
      </c>
      <c r="U7078" s="21">
        <v>0</v>
      </c>
      <c r="V7078" s="21">
        <v>0</v>
      </c>
      <c r="W7078" s="21">
        <v>1</v>
      </c>
      <c r="X7078" s="21">
        <v>0</v>
      </c>
      <c r="Y7078" s="21">
        <v>0</v>
      </c>
      <c r="Z7078" s="21">
        <v>0</v>
      </c>
      <c r="AA7078" s="21">
        <v>0</v>
      </c>
      <c r="AB7078" s="21">
        <v>0</v>
      </c>
      <c r="AC7078" s="21">
        <v>0</v>
      </c>
      <c r="AD7078" s="21">
        <v>0</v>
      </c>
      <c r="AE7078" s="21">
        <v>0</v>
      </c>
      <c r="AF7078" s="21">
        <v>0</v>
      </c>
      <c r="AG7078" s="21">
        <v>0</v>
      </c>
      <c r="AH7078" s="21">
        <f t="shared" si="128"/>
        <v>96</v>
      </c>
      <c r="AI7078" s="21"/>
      <c r="AJ7078" s="21" t="s">
        <v>51</v>
      </c>
      <c r="AK7078" s="21" t="s">
        <v>52</v>
      </c>
      <c r="AL7078" s="21" t="s">
        <v>2292</v>
      </c>
      <c r="AM7078" s="21" t="s">
        <v>2358</v>
      </c>
      <c r="AN7078" s="21">
        <v>-122.439914516667</v>
      </c>
      <c r="AO7078" s="21">
        <v>37.790905066666703</v>
      </c>
      <c r="AP7078" s="21" t="s">
        <v>1915</v>
      </c>
    </row>
    <row r="7079" spans="1:42">
      <c r="A7079" s="20">
        <v>43853</v>
      </c>
      <c r="B7079" s="21">
        <v>4</v>
      </c>
      <c r="C7079" s="21">
        <v>985</v>
      </c>
      <c r="D7079" s="21">
        <v>14358</v>
      </c>
      <c r="E7079" s="21" t="s">
        <v>2123</v>
      </c>
      <c r="F7079" s="21" t="s">
        <v>520</v>
      </c>
      <c r="G7079" s="21">
        <v>1</v>
      </c>
      <c r="H7079" s="21">
        <v>107</v>
      </c>
      <c r="I7079" s="23" t="s">
        <v>2359</v>
      </c>
      <c r="J7079" s="21"/>
      <c r="K7079" s="21" t="s">
        <v>647</v>
      </c>
      <c r="L7079" s="21"/>
      <c r="M7079" s="21"/>
      <c r="N7079" s="21" t="s">
        <v>44</v>
      </c>
      <c r="O7079" s="21">
        <f>60+5</f>
        <v>65</v>
      </c>
      <c r="P7079" s="21"/>
      <c r="Q7079" s="21">
        <f t="shared" si="127"/>
        <v>1</v>
      </c>
      <c r="R7079" s="21">
        <v>1</v>
      </c>
      <c r="S7079" s="21">
        <v>0</v>
      </c>
      <c r="T7079" s="21">
        <v>0</v>
      </c>
      <c r="U7079" s="21">
        <v>0</v>
      </c>
      <c r="V7079" s="21">
        <v>0</v>
      </c>
      <c r="W7079" s="21">
        <v>1</v>
      </c>
      <c r="X7079" s="21">
        <v>0</v>
      </c>
      <c r="Y7079" s="21">
        <v>0</v>
      </c>
      <c r="Z7079" s="21">
        <v>0</v>
      </c>
      <c r="AA7079" s="21">
        <v>0</v>
      </c>
      <c r="AB7079" s="21">
        <v>0</v>
      </c>
      <c r="AC7079" s="21">
        <v>0</v>
      </c>
      <c r="AD7079" s="21">
        <v>0</v>
      </c>
      <c r="AE7079" s="21">
        <v>0</v>
      </c>
      <c r="AF7079" s="21">
        <v>0</v>
      </c>
      <c r="AG7079" s="21">
        <v>0</v>
      </c>
      <c r="AH7079" s="21">
        <f t="shared" si="128"/>
        <v>96</v>
      </c>
      <c r="AI7079" s="21"/>
      <c r="AJ7079" s="21"/>
      <c r="AK7079" s="21"/>
      <c r="AL7079" s="21"/>
      <c r="AM7079" s="21" t="s">
        <v>2360</v>
      </c>
      <c r="AN7079" s="21">
        <v>-122.442122333333</v>
      </c>
      <c r="AO7079" s="21">
        <v>37.791422183333303</v>
      </c>
      <c r="AP7079" s="21" t="s">
        <v>1915</v>
      </c>
    </row>
    <row r="7080" spans="1:42">
      <c r="A7080" s="20">
        <v>43853</v>
      </c>
      <c r="B7080" s="21">
        <v>4</v>
      </c>
      <c r="C7080" s="21">
        <v>985</v>
      </c>
      <c r="D7080" s="21">
        <v>14358</v>
      </c>
      <c r="E7080" s="21" t="s">
        <v>2123</v>
      </c>
      <c r="F7080" s="21" t="s">
        <v>520</v>
      </c>
      <c r="G7080" s="21">
        <v>1</v>
      </c>
      <c r="H7080" s="21">
        <v>108</v>
      </c>
      <c r="I7080" s="23" t="s">
        <v>2361</v>
      </c>
      <c r="J7080" s="21"/>
      <c r="K7080" t="s">
        <v>585</v>
      </c>
      <c r="L7080" s="21"/>
      <c r="M7080" s="21"/>
      <c r="N7080" s="21" t="s">
        <v>40</v>
      </c>
      <c r="O7080" s="21">
        <v>30</v>
      </c>
      <c r="P7080" s="21"/>
      <c r="Q7080" s="21">
        <f t="shared" si="127"/>
        <v>1</v>
      </c>
      <c r="R7080" s="21">
        <v>1</v>
      </c>
      <c r="S7080" s="21">
        <v>0</v>
      </c>
      <c r="T7080" s="21">
        <v>0</v>
      </c>
      <c r="U7080" s="21">
        <v>0</v>
      </c>
      <c r="V7080" s="21">
        <v>0</v>
      </c>
      <c r="W7080" s="21">
        <v>1</v>
      </c>
      <c r="X7080" s="21">
        <v>0</v>
      </c>
      <c r="Y7080" s="21">
        <v>0</v>
      </c>
      <c r="Z7080" s="21">
        <v>0</v>
      </c>
      <c r="AA7080" s="21">
        <v>0</v>
      </c>
      <c r="AB7080" s="21">
        <v>0</v>
      </c>
      <c r="AC7080" s="21">
        <v>0</v>
      </c>
      <c r="AD7080" s="21">
        <v>0</v>
      </c>
      <c r="AE7080" s="21">
        <v>0</v>
      </c>
      <c r="AF7080" s="21">
        <v>0</v>
      </c>
      <c r="AG7080" s="21">
        <v>0</v>
      </c>
      <c r="AH7080" s="21">
        <f t="shared" si="128"/>
        <v>96</v>
      </c>
      <c r="AI7080" s="21"/>
      <c r="AJ7080" s="21" t="s">
        <v>54</v>
      </c>
      <c r="AK7080" s="21" t="s">
        <v>52</v>
      </c>
      <c r="AL7080" s="21"/>
      <c r="AM7080" s="21" t="s">
        <v>2362</v>
      </c>
      <c r="AN7080" s="21">
        <v>-122.4421172</v>
      </c>
      <c r="AO7080" s="21">
        <v>37.794396583333302</v>
      </c>
      <c r="AP7080" s="21" t="s">
        <v>1915</v>
      </c>
    </row>
    <row r="7081" spans="1:42">
      <c r="A7081" s="20">
        <v>43853</v>
      </c>
      <c r="B7081" s="21">
        <v>4</v>
      </c>
      <c r="C7081" s="21">
        <v>985</v>
      </c>
      <c r="D7081" s="21">
        <v>14358</v>
      </c>
      <c r="E7081" s="21" t="s">
        <v>2123</v>
      </c>
      <c r="F7081" s="21" t="s">
        <v>520</v>
      </c>
      <c r="G7081" s="21">
        <v>1</v>
      </c>
      <c r="H7081" s="21">
        <v>109</v>
      </c>
      <c r="I7081" s="23" t="s">
        <v>2363</v>
      </c>
      <c r="J7081" s="21"/>
      <c r="K7081" t="s">
        <v>585</v>
      </c>
      <c r="L7081" s="21"/>
      <c r="M7081" s="21"/>
      <c r="N7081" s="21" t="s">
        <v>40</v>
      </c>
      <c r="O7081" s="21">
        <v>46</v>
      </c>
      <c r="P7081" s="21"/>
      <c r="Q7081" s="21">
        <f t="shared" si="127"/>
        <v>2</v>
      </c>
      <c r="R7081" s="21">
        <v>1</v>
      </c>
      <c r="S7081" s="21">
        <v>0</v>
      </c>
      <c r="T7081" s="21">
        <v>0</v>
      </c>
      <c r="U7081" s="21">
        <v>1</v>
      </c>
      <c r="V7081" s="21">
        <v>0</v>
      </c>
      <c r="W7081" s="21">
        <v>1</v>
      </c>
      <c r="X7081" s="21">
        <v>0</v>
      </c>
      <c r="Y7081" s="21">
        <v>0</v>
      </c>
      <c r="Z7081" s="21">
        <v>0</v>
      </c>
      <c r="AA7081" s="21">
        <v>0</v>
      </c>
      <c r="AB7081" s="21">
        <v>0</v>
      </c>
      <c r="AC7081" s="21">
        <v>0</v>
      </c>
      <c r="AD7081" s="21">
        <v>0</v>
      </c>
      <c r="AE7081" s="21">
        <v>0</v>
      </c>
      <c r="AF7081" s="21">
        <v>0</v>
      </c>
      <c r="AG7081" s="21">
        <v>0</v>
      </c>
      <c r="AH7081" s="21">
        <f t="shared" si="128"/>
        <v>128</v>
      </c>
      <c r="AI7081" s="21"/>
      <c r="AJ7081" s="21" t="s">
        <v>54</v>
      </c>
      <c r="AK7081" s="21" t="s">
        <v>95</v>
      </c>
      <c r="AL7081" s="21"/>
      <c r="AM7081" s="21" t="s">
        <v>2364</v>
      </c>
      <c r="AN7081" s="21">
        <v>-122.442307716667</v>
      </c>
      <c r="AO7081" s="21">
        <v>37.794381733333303</v>
      </c>
      <c r="AP7081" s="21" t="s">
        <v>1915</v>
      </c>
    </row>
    <row r="7082" spans="1:42">
      <c r="A7082" s="20">
        <v>43853</v>
      </c>
      <c r="B7082" s="21">
        <v>4</v>
      </c>
      <c r="C7082" s="21">
        <v>985</v>
      </c>
      <c r="D7082" s="21">
        <v>14358</v>
      </c>
      <c r="E7082" s="21" t="s">
        <v>2123</v>
      </c>
      <c r="F7082" s="21" t="s">
        <v>520</v>
      </c>
      <c r="G7082" s="21">
        <v>1</v>
      </c>
      <c r="H7082" s="21">
        <v>110</v>
      </c>
      <c r="I7082" s="23" t="s">
        <v>2365</v>
      </c>
      <c r="J7082" s="21"/>
      <c r="K7082" t="s">
        <v>585</v>
      </c>
      <c r="L7082" s="21"/>
      <c r="M7082" s="21"/>
      <c r="N7082" s="21" t="s">
        <v>40</v>
      </c>
      <c r="O7082" s="21">
        <v>31</v>
      </c>
      <c r="P7082" s="21"/>
      <c r="Q7082" s="21">
        <f t="shared" si="127"/>
        <v>1</v>
      </c>
      <c r="R7082" s="21">
        <v>1</v>
      </c>
      <c r="S7082" s="21">
        <v>0</v>
      </c>
      <c r="T7082" s="21">
        <v>0</v>
      </c>
      <c r="U7082" s="21">
        <v>0</v>
      </c>
      <c r="V7082" s="21">
        <v>0</v>
      </c>
      <c r="W7082" s="21">
        <v>1</v>
      </c>
      <c r="X7082" s="21">
        <v>0</v>
      </c>
      <c r="Y7082" s="21">
        <v>0</v>
      </c>
      <c r="Z7082" s="21">
        <v>0</v>
      </c>
      <c r="AA7082" s="21">
        <v>0</v>
      </c>
      <c r="AB7082" s="21">
        <v>0</v>
      </c>
      <c r="AC7082" s="21">
        <v>0</v>
      </c>
      <c r="AD7082" s="21">
        <v>0</v>
      </c>
      <c r="AE7082" s="21">
        <v>0</v>
      </c>
      <c r="AF7082" s="21">
        <v>0</v>
      </c>
      <c r="AG7082" s="21">
        <v>0</v>
      </c>
      <c r="AH7082" s="21">
        <f t="shared" si="128"/>
        <v>96</v>
      </c>
      <c r="AI7082" s="21"/>
      <c r="AJ7082" s="21" t="s">
        <v>54</v>
      </c>
      <c r="AK7082" s="21" t="s">
        <v>95</v>
      </c>
      <c r="AL7082" s="21"/>
      <c r="AM7082" s="21" t="s">
        <v>2366</v>
      </c>
      <c r="AN7082" s="21">
        <v>-122.442589816667</v>
      </c>
      <c r="AO7082" s="21">
        <v>37.794357183333297</v>
      </c>
      <c r="AP7082" s="21" t="s">
        <v>1915</v>
      </c>
    </row>
    <row r="7083" spans="1:42">
      <c r="A7083" s="20">
        <v>43853</v>
      </c>
      <c r="B7083" s="21">
        <v>4</v>
      </c>
      <c r="C7083" s="21">
        <v>985</v>
      </c>
      <c r="D7083" s="21">
        <v>14358</v>
      </c>
      <c r="E7083" s="21" t="s">
        <v>2123</v>
      </c>
      <c r="F7083" s="21" t="s">
        <v>520</v>
      </c>
      <c r="G7083" s="21">
        <v>1</v>
      </c>
      <c r="H7083" s="21">
        <v>111</v>
      </c>
      <c r="I7083" s="23" t="s">
        <v>2367</v>
      </c>
      <c r="J7083" s="21"/>
      <c r="K7083" t="s">
        <v>585</v>
      </c>
      <c r="L7083" s="21"/>
      <c r="M7083" s="21"/>
      <c r="N7083" s="21" t="s">
        <v>40</v>
      </c>
      <c r="O7083" s="21">
        <v>38</v>
      </c>
      <c r="P7083" s="21"/>
      <c r="Q7083" s="21">
        <f t="shared" si="127"/>
        <v>2</v>
      </c>
      <c r="R7083" s="21">
        <v>1</v>
      </c>
      <c r="S7083" s="21">
        <v>0</v>
      </c>
      <c r="T7083" s="21">
        <v>0</v>
      </c>
      <c r="U7083" s="21">
        <v>0</v>
      </c>
      <c r="V7083" s="21">
        <v>0</v>
      </c>
      <c r="W7083" s="21">
        <v>2</v>
      </c>
      <c r="X7083" s="21">
        <v>0</v>
      </c>
      <c r="Y7083" s="21">
        <v>0</v>
      </c>
      <c r="Z7083" s="21">
        <v>0</v>
      </c>
      <c r="AA7083" s="21">
        <v>0</v>
      </c>
      <c r="AB7083" s="21">
        <v>0</v>
      </c>
      <c r="AC7083" s="21">
        <v>0</v>
      </c>
      <c r="AD7083" s="21">
        <v>0</v>
      </c>
      <c r="AE7083" s="21">
        <v>0</v>
      </c>
      <c r="AF7083" s="21">
        <v>0</v>
      </c>
      <c r="AG7083" s="21">
        <v>0</v>
      </c>
      <c r="AH7083" s="21">
        <f t="shared" si="128"/>
        <v>192</v>
      </c>
      <c r="AI7083" s="21"/>
      <c r="AJ7083" s="21"/>
      <c r="AK7083" s="21"/>
      <c r="AL7083" s="21"/>
      <c r="AM7083" s="21" t="s">
        <v>2368</v>
      </c>
      <c r="AN7083" s="21">
        <v>-122.4428097</v>
      </c>
      <c r="AO7083" s="21">
        <v>37.794328766666602</v>
      </c>
      <c r="AP7083" s="21" t="s">
        <v>1915</v>
      </c>
    </row>
    <row r="7084" spans="1:42">
      <c r="A7084" s="20">
        <v>43853</v>
      </c>
      <c r="B7084" s="21">
        <v>4</v>
      </c>
      <c r="C7084" s="21">
        <v>985</v>
      </c>
      <c r="D7084" s="21">
        <v>14358</v>
      </c>
      <c r="E7084" s="21" t="s">
        <v>2123</v>
      </c>
      <c r="F7084" s="21" t="s">
        <v>520</v>
      </c>
      <c r="G7084" s="21">
        <v>1</v>
      </c>
      <c r="H7084" s="21">
        <v>112</v>
      </c>
      <c r="I7084" s="23" t="s">
        <v>2369</v>
      </c>
      <c r="J7084" s="21"/>
      <c r="K7084" t="s">
        <v>585</v>
      </c>
      <c r="L7084" s="21"/>
      <c r="M7084" s="21"/>
      <c r="N7084" s="21" t="s">
        <v>40</v>
      </c>
      <c r="O7084" s="21">
        <v>44</v>
      </c>
      <c r="P7084" s="21"/>
      <c r="Q7084" s="21">
        <f t="shared" si="127"/>
        <v>2</v>
      </c>
      <c r="R7084" s="21">
        <v>1</v>
      </c>
      <c r="S7084" s="21">
        <v>0</v>
      </c>
      <c r="T7084" s="21">
        <v>0</v>
      </c>
      <c r="U7084" s="21">
        <v>2</v>
      </c>
      <c r="V7084" s="21">
        <v>0</v>
      </c>
      <c r="W7084" s="21">
        <v>0</v>
      </c>
      <c r="X7084" s="21">
        <v>0</v>
      </c>
      <c r="Y7084" s="21">
        <v>0</v>
      </c>
      <c r="Z7084" s="21">
        <v>0</v>
      </c>
      <c r="AA7084" s="21">
        <v>0</v>
      </c>
      <c r="AB7084" s="21">
        <v>0</v>
      </c>
      <c r="AC7084" s="21">
        <v>0</v>
      </c>
      <c r="AD7084" s="21">
        <v>0</v>
      </c>
      <c r="AE7084" s="21">
        <v>0</v>
      </c>
      <c r="AF7084" s="21">
        <v>0</v>
      </c>
      <c r="AG7084" s="21">
        <v>0</v>
      </c>
      <c r="AH7084" s="21">
        <f t="shared" si="128"/>
        <v>64</v>
      </c>
      <c r="AI7084" s="21"/>
      <c r="AJ7084" s="21" t="s">
        <v>54</v>
      </c>
      <c r="AK7084" s="21" t="s">
        <v>95</v>
      </c>
      <c r="AL7084" s="21"/>
      <c r="AM7084" s="21" t="s">
        <v>2370</v>
      </c>
      <c r="AN7084" s="21">
        <v>-122.44298569999999</v>
      </c>
      <c r="AO7084" s="21">
        <v>37.794253383333299</v>
      </c>
      <c r="AP7084" s="21" t="s">
        <v>1915</v>
      </c>
    </row>
    <row r="7085" spans="1:42">
      <c r="A7085" s="20">
        <v>43853</v>
      </c>
      <c r="B7085" s="21">
        <v>4</v>
      </c>
      <c r="C7085" s="21">
        <v>985</v>
      </c>
      <c r="D7085" s="21">
        <v>14358</v>
      </c>
      <c r="E7085" s="21" t="s">
        <v>2123</v>
      </c>
      <c r="F7085" s="21" t="s">
        <v>520</v>
      </c>
      <c r="G7085" s="21">
        <v>1</v>
      </c>
      <c r="H7085" s="21">
        <v>113</v>
      </c>
      <c r="I7085" s="23" t="s">
        <v>2371</v>
      </c>
      <c r="J7085" s="21"/>
      <c r="K7085" t="s">
        <v>585</v>
      </c>
      <c r="L7085" s="21"/>
      <c r="M7085" s="21"/>
      <c r="N7085" s="21" t="s">
        <v>40</v>
      </c>
      <c r="O7085" s="21">
        <v>32</v>
      </c>
      <c r="P7085" s="21"/>
      <c r="Q7085" s="21">
        <f t="shared" si="127"/>
        <v>1</v>
      </c>
      <c r="R7085" s="21">
        <v>1</v>
      </c>
      <c r="S7085" s="21">
        <v>0</v>
      </c>
      <c r="T7085" s="21">
        <v>0</v>
      </c>
      <c r="U7085" s="21">
        <v>1</v>
      </c>
      <c r="V7085" s="21">
        <v>0</v>
      </c>
      <c r="W7085" s="21">
        <v>0</v>
      </c>
      <c r="X7085" s="21">
        <v>0</v>
      </c>
      <c r="Y7085" s="21">
        <v>0</v>
      </c>
      <c r="Z7085" s="21">
        <v>0</v>
      </c>
      <c r="AA7085" s="21">
        <v>0</v>
      </c>
      <c r="AB7085" s="21">
        <v>0</v>
      </c>
      <c r="AC7085" s="21">
        <v>0</v>
      </c>
      <c r="AD7085" s="21">
        <v>0</v>
      </c>
      <c r="AE7085" s="21">
        <v>0</v>
      </c>
      <c r="AF7085" s="21">
        <v>0</v>
      </c>
      <c r="AG7085" s="21">
        <v>0</v>
      </c>
      <c r="AH7085" s="21">
        <f t="shared" si="128"/>
        <v>32</v>
      </c>
      <c r="AI7085" s="21"/>
      <c r="AJ7085" s="21"/>
      <c r="AK7085" s="21"/>
      <c r="AL7085" s="21"/>
      <c r="AM7085" s="21" t="s">
        <v>2372</v>
      </c>
      <c r="AN7085" s="21">
        <v>-122.44368815</v>
      </c>
      <c r="AO7085" s="21">
        <v>37.794205783333297</v>
      </c>
      <c r="AP7085" s="21" t="s">
        <v>1915</v>
      </c>
    </row>
    <row r="7086" spans="1:42">
      <c r="A7086" s="20">
        <v>43853</v>
      </c>
      <c r="B7086" s="21">
        <v>4</v>
      </c>
      <c r="C7086" s="21">
        <v>985</v>
      </c>
      <c r="D7086" s="21">
        <v>14358</v>
      </c>
      <c r="E7086" s="21" t="s">
        <v>2123</v>
      </c>
      <c r="F7086" s="21" t="s">
        <v>520</v>
      </c>
      <c r="G7086" s="21">
        <v>1</v>
      </c>
      <c r="H7086" s="21">
        <v>114</v>
      </c>
      <c r="I7086" s="23" t="s">
        <v>2373</v>
      </c>
      <c r="J7086" s="21"/>
      <c r="K7086" t="s">
        <v>585</v>
      </c>
      <c r="L7086" s="21"/>
      <c r="M7086" s="21"/>
      <c r="N7086" s="21" t="s">
        <v>40</v>
      </c>
      <c r="O7086" s="21">
        <v>30</v>
      </c>
      <c r="P7086" s="21"/>
      <c r="Q7086" s="21">
        <f t="shared" si="127"/>
        <v>1</v>
      </c>
      <c r="R7086" s="21">
        <v>1</v>
      </c>
      <c r="S7086" s="21">
        <v>0</v>
      </c>
      <c r="T7086" s="21">
        <v>0</v>
      </c>
      <c r="U7086" s="21">
        <v>0</v>
      </c>
      <c r="V7086" s="21">
        <v>1</v>
      </c>
      <c r="W7086" s="21">
        <v>0</v>
      </c>
      <c r="X7086" s="21">
        <v>0</v>
      </c>
      <c r="Y7086" s="21">
        <v>0</v>
      </c>
      <c r="Z7086" s="21">
        <v>0</v>
      </c>
      <c r="AA7086" s="21">
        <v>0</v>
      </c>
      <c r="AB7086" s="21">
        <v>0</v>
      </c>
      <c r="AC7086" s="21">
        <v>0</v>
      </c>
      <c r="AD7086" s="21">
        <v>0</v>
      </c>
      <c r="AE7086" s="21">
        <v>0</v>
      </c>
      <c r="AF7086" s="21">
        <v>0</v>
      </c>
      <c r="AG7086" s="21">
        <v>0</v>
      </c>
      <c r="AH7086" s="21">
        <f t="shared" si="128"/>
        <v>64</v>
      </c>
      <c r="AI7086" s="21"/>
      <c r="AJ7086" s="21"/>
      <c r="AK7086" s="21"/>
      <c r="AL7086" s="21"/>
      <c r="AM7086" s="21" t="s">
        <v>2374</v>
      </c>
      <c r="AN7086" s="21">
        <v>-122.4437255</v>
      </c>
      <c r="AO7086" s="21">
        <v>37.794205033333299</v>
      </c>
      <c r="AP7086" s="21" t="s">
        <v>1915</v>
      </c>
    </row>
    <row r="7087" spans="1:42">
      <c r="A7087" s="20">
        <v>43853</v>
      </c>
      <c r="B7087" s="21">
        <v>4</v>
      </c>
      <c r="C7087" s="21">
        <v>985</v>
      </c>
      <c r="D7087" s="21">
        <v>14358</v>
      </c>
      <c r="E7087" s="21" t="s">
        <v>2123</v>
      </c>
      <c r="F7087" s="21" t="s">
        <v>520</v>
      </c>
      <c r="G7087" s="21">
        <v>1</v>
      </c>
      <c r="H7087" s="21">
        <v>115</v>
      </c>
      <c r="I7087" s="23" t="s">
        <v>2375</v>
      </c>
      <c r="J7087" s="21"/>
      <c r="K7087" t="s">
        <v>585</v>
      </c>
      <c r="L7087" s="21"/>
      <c r="M7087" s="21"/>
      <c r="N7087" s="21" t="s">
        <v>40</v>
      </c>
      <c r="O7087" s="21">
        <v>38</v>
      </c>
      <c r="P7087" s="21"/>
      <c r="Q7087" s="21">
        <f t="shared" si="127"/>
        <v>2</v>
      </c>
      <c r="R7087" s="21">
        <v>1</v>
      </c>
      <c r="S7087" s="21">
        <v>0</v>
      </c>
      <c r="T7087" s="21">
        <v>0</v>
      </c>
      <c r="U7087" s="21">
        <v>0</v>
      </c>
      <c r="V7087" s="21">
        <v>2</v>
      </c>
      <c r="W7087" s="21">
        <v>0</v>
      </c>
      <c r="X7087" s="21">
        <v>0</v>
      </c>
      <c r="Y7087" s="21">
        <v>0</v>
      </c>
      <c r="Z7087" s="21">
        <v>0</v>
      </c>
      <c r="AA7087" s="21">
        <v>0</v>
      </c>
      <c r="AB7087" s="21">
        <v>0</v>
      </c>
      <c r="AC7087" s="21">
        <v>0</v>
      </c>
      <c r="AD7087" s="21">
        <v>0</v>
      </c>
      <c r="AE7087" s="21">
        <v>0</v>
      </c>
      <c r="AF7087" s="21">
        <v>0</v>
      </c>
      <c r="AG7087" s="21">
        <v>0</v>
      </c>
      <c r="AH7087" s="21">
        <f t="shared" si="128"/>
        <v>128</v>
      </c>
      <c r="AI7087" s="21"/>
      <c r="AJ7087" s="21" t="s">
        <v>51</v>
      </c>
      <c r="AK7087" s="21" t="s">
        <v>52</v>
      </c>
      <c r="AL7087" s="21"/>
      <c r="AM7087" s="21" t="s">
        <v>2376</v>
      </c>
      <c r="AN7087" s="21">
        <v>-122.444235116667</v>
      </c>
      <c r="AO7087" s="21">
        <v>37.794152916666697</v>
      </c>
      <c r="AP7087" s="21" t="s">
        <v>1915</v>
      </c>
    </row>
    <row r="7088" spans="1:42">
      <c r="A7088" s="20">
        <v>43853</v>
      </c>
      <c r="B7088" s="21">
        <v>4</v>
      </c>
      <c r="C7088" s="21">
        <v>985</v>
      </c>
      <c r="D7088" s="21">
        <v>14358</v>
      </c>
      <c r="E7088" s="21" t="s">
        <v>2123</v>
      </c>
      <c r="F7088" s="21" t="s">
        <v>520</v>
      </c>
      <c r="G7088" s="21">
        <v>1</v>
      </c>
      <c r="H7088" s="21">
        <v>116</v>
      </c>
      <c r="I7088" s="23" t="s">
        <v>2377</v>
      </c>
      <c r="J7088" s="21"/>
      <c r="K7088" t="s">
        <v>585</v>
      </c>
      <c r="L7088" s="21"/>
      <c r="M7088" s="21"/>
      <c r="N7088" s="21" t="s">
        <v>40</v>
      </c>
      <c r="O7088" s="21">
        <v>30</v>
      </c>
      <c r="P7088" s="21"/>
      <c r="Q7088" s="21">
        <f t="shared" si="127"/>
        <v>1</v>
      </c>
      <c r="R7088" s="21">
        <v>1</v>
      </c>
      <c r="S7088" s="21">
        <v>0</v>
      </c>
      <c r="T7088" s="21">
        <v>0</v>
      </c>
      <c r="U7088" s="21">
        <v>0</v>
      </c>
      <c r="V7088" s="21">
        <v>0</v>
      </c>
      <c r="W7088" s="21">
        <v>1</v>
      </c>
      <c r="X7088" s="21">
        <v>0</v>
      </c>
      <c r="Y7088" s="21">
        <v>0</v>
      </c>
      <c r="Z7088" s="21">
        <v>0</v>
      </c>
      <c r="AA7088" s="21">
        <v>0</v>
      </c>
      <c r="AB7088" s="21">
        <v>0</v>
      </c>
      <c r="AC7088" s="21">
        <v>0</v>
      </c>
      <c r="AD7088" s="21">
        <v>0</v>
      </c>
      <c r="AE7088" s="21">
        <v>0</v>
      </c>
      <c r="AF7088" s="21">
        <v>0</v>
      </c>
      <c r="AG7088" s="21">
        <v>0</v>
      </c>
      <c r="AH7088" s="21">
        <f t="shared" si="128"/>
        <v>96</v>
      </c>
      <c r="AI7088" s="21"/>
      <c r="AJ7088" s="21"/>
      <c r="AK7088" s="21"/>
      <c r="AL7088" s="21"/>
      <c r="AM7088" s="21" t="s">
        <v>2378</v>
      </c>
      <c r="AN7088" s="21">
        <v>-122.44452466666699</v>
      </c>
      <c r="AO7088" s="21">
        <v>37.794098499999997</v>
      </c>
      <c r="AP7088" s="21" t="s">
        <v>1915</v>
      </c>
    </row>
    <row r="7089" spans="1:42">
      <c r="A7089" s="20">
        <v>43853</v>
      </c>
      <c r="B7089" s="21">
        <v>4</v>
      </c>
      <c r="C7089" s="21">
        <v>985</v>
      </c>
      <c r="D7089" s="21">
        <v>14358</v>
      </c>
      <c r="E7089" s="21" t="s">
        <v>2123</v>
      </c>
      <c r="F7089" s="21" t="s">
        <v>520</v>
      </c>
      <c r="G7089" s="21">
        <v>1</v>
      </c>
      <c r="H7089" s="21">
        <v>117</v>
      </c>
      <c r="I7089" s="23" t="s">
        <v>2379</v>
      </c>
      <c r="J7089" s="21"/>
      <c r="K7089" t="s">
        <v>585</v>
      </c>
      <c r="L7089" s="21"/>
      <c r="M7089" s="21"/>
      <c r="N7089" s="21" t="s">
        <v>40</v>
      </c>
      <c r="O7089" s="21">
        <v>22</v>
      </c>
      <c r="P7089" s="21"/>
      <c r="Q7089" s="21">
        <f t="shared" si="127"/>
        <v>1</v>
      </c>
      <c r="R7089" s="21">
        <v>1</v>
      </c>
      <c r="S7089" s="21">
        <v>0</v>
      </c>
      <c r="T7089" s="21">
        <v>0</v>
      </c>
      <c r="U7089" s="21">
        <v>0</v>
      </c>
      <c r="V7089" s="21">
        <v>0</v>
      </c>
      <c r="W7089" s="21">
        <v>1</v>
      </c>
      <c r="X7089" s="21">
        <v>0</v>
      </c>
      <c r="Y7089" s="21">
        <v>0</v>
      </c>
      <c r="Z7089" s="21">
        <v>0</v>
      </c>
      <c r="AA7089" s="21">
        <v>0</v>
      </c>
      <c r="AB7089" s="21">
        <v>0</v>
      </c>
      <c r="AC7089" s="21">
        <v>0</v>
      </c>
      <c r="AD7089" s="21">
        <v>0</v>
      </c>
      <c r="AE7089" s="21">
        <v>0</v>
      </c>
      <c r="AF7089" s="21">
        <v>0</v>
      </c>
      <c r="AG7089" s="21">
        <v>0</v>
      </c>
      <c r="AH7089" s="21">
        <f t="shared" si="128"/>
        <v>96</v>
      </c>
      <c r="AI7089" s="21"/>
      <c r="AJ7089" s="21"/>
      <c r="AK7089" s="21"/>
      <c r="AL7089" s="21"/>
      <c r="AM7089" s="21" t="s">
        <v>2380</v>
      </c>
      <c r="AN7089" s="21">
        <v>-122.44460890000001</v>
      </c>
      <c r="AO7089" s="21">
        <v>37.794086566666699</v>
      </c>
      <c r="AP7089" s="21" t="s">
        <v>1915</v>
      </c>
    </row>
    <row r="7090" spans="1:42">
      <c r="A7090" s="20">
        <v>43853</v>
      </c>
      <c r="B7090" s="21">
        <v>4</v>
      </c>
      <c r="C7090" s="21">
        <v>985</v>
      </c>
      <c r="D7090" s="21">
        <v>14358</v>
      </c>
      <c r="E7090" s="21" t="s">
        <v>2123</v>
      </c>
      <c r="F7090" s="21" t="s">
        <v>520</v>
      </c>
      <c r="G7090" s="21">
        <v>1</v>
      </c>
      <c r="H7090" s="21">
        <v>118</v>
      </c>
      <c r="I7090" s="23" t="s">
        <v>2239</v>
      </c>
      <c r="J7090" s="21"/>
      <c r="K7090" t="s">
        <v>585</v>
      </c>
      <c r="L7090" s="21"/>
      <c r="M7090" s="21"/>
      <c r="N7090" s="21" t="s">
        <v>40</v>
      </c>
      <c r="O7090" s="21">
        <v>21</v>
      </c>
      <c r="P7090" s="21"/>
      <c r="Q7090" s="21">
        <f t="shared" si="127"/>
        <v>1</v>
      </c>
      <c r="R7090" s="21">
        <v>1</v>
      </c>
      <c r="S7090" s="21">
        <v>0</v>
      </c>
      <c r="T7090" s="21">
        <v>0</v>
      </c>
      <c r="U7090" s="21">
        <v>0</v>
      </c>
      <c r="V7090" s="21">
        <v>0</v>
      </c>
      <c r="W7090" s="21">
        <v>1</v>
      </c>
      <c r="X7090" s="21">
        <v>0</v>
      </c>
      <c r="Y7090" s="21">
        <v>0</v>
      </c>
      <c r="Z7090" s="21">
        <v>0</v>
      </c>
      <c r="AA7090" s="21">
        <v>0</v>
      </c>
      <c r="AB7090" s="21">
        <v>0</v>
      </c>
      <c r="AC7090" s="21">
        <v>0</v>
      </c>
      <c r="AD7090" s="21">
        <v>0</v>
      </c>
      <c r="AE7090" s="21">
        <v>0</v>
      </c>
      <c r="AF7090" s="21">
        <v>0</v>
      </c>
      <c r="AG7090" s="21">
        <v>0</v>
      </c>
      <c r="AH7090" s="21">
        <f t="shared" si="128"/>
        <v>96</v>
      </c>
      <c r="AI7090" s="21"/>
      <c r="AJ7090" s="21" t="s">
        <v>51</v>
      </c>
      <c r="AK7090" s="21" t="s">
        <v>52</v>
      </c>
      <c r="AL7090" s="21"/>
      <c r="AM7090" s="21" t="s">
        <v>2381</v>
      </c>
      <c r="AN7090" s="21">
        <v>-122.44552893333299</v>
      </c>
      <c r="AO7090" s="21">
        <v>37.793886733333302</v>
      </c>
      <c r="AP7090" s="21" t="s">
        <v>1915</v>
      </c>
    </row>
    <row r="7091" spans="1:42">
      <c r="A7091" s="20">
        <v>43853</v>
      </c>
      <c r="B7091" s="21">
        <v>4</v>
      </c>
      <c r="C7091" s="21">
        <v>985</v>
      </c>
      <c r="D7091" s="21">
        <v>14358</v>
      </c>
      <c r="E7091" s="21" t="s">
        <v>2123</v>
      </c>
      <c r="F7091" s="21" t="s">
        <v>520</v>
      </c>
      <c r="G7091" s="21">
        <v>1</v>
      </c>
      <c r="H7091" s="21">
        <v>119</v>
      </c>
      <c r="I7091" s="23" t="s">
        <v>2382</v>
      </c>
      <c r="J7091" s="21"/>
      <c r="K7091" t="s">
        <v>585</v>
      </c>
      <c r="L7091" s="21"/>
      <c r="M7091" s="21"/>
      <c r="N7091" s="21" t="s">
        <v>40</v>
      </c>
      <c r="O7091" s="21">
        <v>33</v>
      </c>
      <c r="P7091" s="21"/>
      <c r="Q7091" s="21">
        <f t="shared" si="127"/>
        <v>1</v>
      </c>
      <c r="R7091" s="21">
        <v>1</v>
      </c>
      <c r="S7091" s="21">
        <v>0</v>
      </c>
      <c r="T7091" s="21">
        <v>0</v>
      </c>
      <c r="U7091" s="21">
        <v>0</v>
      </c>
      <c r="V7091" s="21">
        <v>0</v>
      </c>
      <c r="W7091" s="21">
        <v>1</v>
      </c>
      <c r="X7091" s="21">
        <v>0</v>
      </c>
      <c r="Y7091" s="21">
        <v>0</v>
      </c>
      <c r="Z7091" s="21">
        <v>0</v>
      </c>
      <c r="AA7091" s="21">
        <v>0</v>
      </c>
      <c r="AB7091" s="21">
        <v>0</v>
      </c>
      <c r="AC7091" s="21">
        <v>0</v>
      </c>
      <c r="AD7091" s="21">
        <v>0</v>
      </c>
      <c r="AE7091" s="21">
        <v>0</v>
      </c>
      <c r="AF7091" s="21">
        <v>0</v>
      </c>
      <c r="AG7091" s="21">
        <v>0</v>
      </c>
      <c r="AH7091" s="21">
        <f t="shared" si="128"/>
        <v>96</v>
      </c>
      <c r="AI7091" s="21"/>
      <c r="AJ7091" s="21" t="s">
        <v>51</v>
      </c>
      <c r="AK7091" s="21" t="s">
        <v>52</v>
      </c>
      <c r="AL7091" s="21"/>
      <c r="AM7091" s="21" t="s">
        <v>2383</v>
      </c>
      <c r="AN7091" s="21">
        <v>-122.446011083333</v>
      </c>
      <c r="AO7091" s="21">
        <v>37.7938531666667</v>
      </c>
      <c r="AP7091" s="21" t="s">
        <v>1915</v>
      </c>
    </row>
    <row r="7092" spans="1:42">
      <c r="A7092" s="20">
        <v>43853</v>
      </c>
      <c r="B7092" s="21">
        <v>4</v>
      </c>
      <c r="C7092" s="21">
        <v>985</v>
      </c>
      <c r="D7092" s="21">
        <v>14358</v>
      </c>
      <c r="E7092" s="21" t="s">
        <v>2123</v>
      </c>
      <c r="F7092" s="21" t="s">
        <v>520</v>
      </c>
      <c r="G7092" s="21">
        <v>1</v>
      </c>
      <c r="H7092" s="21">
        <v>120</v>
      </c>
      <c r="I7092" s="23" t="s">
        <v>2384</v>
      </c>
      <c r="J7092" s="21"/>
      <c r="K7092" t="s">
        <v>585</v>
      </c>
      <c r="L7092" s="21"/>
      <c r="M7092" s="21"/>
      <c r="N7092" s="21" t="s">
        <v>40</v>
      </c>
      <c r="O7092" s="21">
        <v>49</v>
      </c>
      <c r="P7092" s="21"/>
      <c r="Q7092" s="21">
        <f t="shared" si="127"/>
        <v>2</v>
      </c>
      <c r="R7092" s="21">
        <v>1</v>
      </c>
      <c r="S7092" s="21">
        <v>0</v>
      </c>
      <c r="T7092" s="21">
        <v>0</v>
      </c>
      <c r="U7092" s="21">
        <v>0</v>
      </c>
      <c r="V7092" s="21">
        <v>2</v>
      </c>
      <c r="W7092" s="21">
        <v>0</v>
      </c>
      <c r="X7092" s="21">
        <v>0</v>
      </c>
      <c r="Y7092" s="21">
        <v>0</v>
      </c>
      <c r="Z7092" s="21">
        <v>0</v>
      </c>
      <c r="AA7092" s="21">
        <v>0</v>
      </c>
      <c r="AB7092" s="21">
        <v>0</v>
      </c>
      <c r="AC7092" s="21">
        <v>0</v>
      </c>
      <c r="AD7092" s="21">
        <v>0</v>
      </c>
      <c r="AE7092" s="21">
        <v>0</v>
      </c>
      <c r="AF7092" s="21">
        <v>0</v>
      </c>
      <c r="AG7092" s="21">
        <v>0</v>
      </c>
      <c r="AH7092" s="21">
        <f t="shared" si="128"/>
        <v>128</v>
      </c>
      <c r="AI7092" s="21"/>
      <c r="AJ7092" s="21" t="s">
        <v>51</v>
      </c>
      <c r="AK7092" s="21" t="s">
        <v>52</v>
      </c>
      <c r="AL7092" s="21"/>
      <c r="AM7092" s="21" t="s">
        <v>2385</v>
      </c>
      <c r="AN7092" s="21">
        <v>-122.4461166</v>
      </c>
      <c r="AO7092" s="21">
        <v>37.793847833333302</v>
      </c>
      <c r="AP7092" s="21" t="s">
        <v>1915</v>
      </c>
    </row>
    <row r="7093" spans="1:42">
      <c r="A7093" s="20">
        <v>43853</v>
      </c>
      <c r="B7093" s="21">
        <v>4</v>
      </c>
      <c r="C7093" s="21">
        <v>985</v>
      </c>
      <c r="D7093" s="21">
        <v>14358</v>
      </c>
      <c r="E7093" s="21" t="s">
        <v>2123</v>
      </c>
      <c r="F7093" s="21" t="s">
        <v>520</v>
      </c>
      <c r="G7093" s="21">
        <v>1</v>
      </c>
      <c r="H7093" s="21">
        <v>121</v>
      </c>
      <c r="I7093" s="23" t="s">
        <v>2239</v>
      </c>
      <c r="J7093" s="21"/>
      <c r="K7093" t="s">
        <v>585</v>
      </c>
      <c r="L7093" s="21"/>
      <c r="M7093" s="21"/>
      <c r="N7093" s="21" t="s">
        <v>40</v>
      </c>
      <c r="O7093" s="21">
        <v>24</v>
      </c>
      <c r="P7093" s="21"/>
      <c r="Q7093" s="21">
        <f t="shared" si="127"/>
        <v>1</v>
      </c>
      <c r="R7093" s="21">
        <v>1</v>
      </c>
      <c r="S7093" s="21">
        <v>0</v>
      </c>
      <c r="T7093" s="21">
        <v>0</v>
      </c>
      <c r="U7093" s="21">
        <v>0</v>
      </c>
      <c r="V7093" s="21">
        <v>0</v>
      </c>
      <c r="W7093" s="21">
        <v>1</v>
      </c>
      <c r="X7093" s="21">
        <v>0</v>
      </c>
      <c r="Y7093" s="21">
        <v>0</v>
      </c>
      <c r="Z7093" s="21">
        <v>0</v>
      </c>
      <c r="AA7093" s="21">
        <v>0</v>
      </c>
      <c r="AB7093" s="21">
        <v>0</v>
      </c>
      <c r="AC7093" s="21">
        <v>0</v>
      </c>
      <c r="AD7093" s="21">
        <v>0</v>
      </c>
      <c r="AE7093" s="21">
        <v>0</v>
      </c>
      <c r="AF7093" s="21">
        <v>0</v>
      </c>
      <c r="AG7093" s="21">
        <v>0</v>
      </c>
      <c r="AH7093" s="21">
        <f t="shared" si="128"/>
        <v>96</v>
      </c>
      <c r="AI7093" s="21"/>
      <c r="AJ7093" s="21" t="s">
        <v>51</v>
      </c>
      <c r="AK7093" s="21" t="s">
        <v>52</v>
      </c>
      <c r="AL7093" s="21"/>
      <c r="AM7093" s="21" t="s">
        <v>2386</v>
      </c>
      <c r="AN7093" s="21">
        <v>-122.446265</v>
      </c>
      <c r="AO7093" s="21">
        <v>37.7938166</v>
      </c>
      <c r="AP7093" s="21" t="s">
        <v>1915</v>
      </c>
    </row>
    <row r="7094" spans="1:42">
      <c r="A7094" s="20">
        <v>43853</v>
      </c>
      <c r="B7094" s="21">
        <v>4</v>
      </c>
      <c r="C7094" s="21">
        <v>985</v>
      </c>
      <c r="D7094" s="21">
        <v>14358</v>
      </c>
      <c r="E7094" s="21" t="s">
        <v>2123</v>
      </c>
      <c r="F7094" s="21" t="s">
        <v>520</v>
      </c>
      <c r="G7094" s="21">
        <v>1</v>
      </c>
      <c r="H7094" s="21">
        <v>122</v>
      </c>
      <c r="I7094" s="23" t="s">
        <v>2340</v>
      </c>
      <c r="J7094" s="21"/>
      <c r="K7094" t="s">
        <v>585</v>
      </c>
      <c r="L7094" s="21"/>
      <c r="M7094" s="21"/>
      <c r="N7094" s="21" t="s">
        <v>44</v>
      </c>
      <c r="O7094" s="21">
        <v>60</v>
      </c>
      <c r="P7094" s="21"/>
      <c r="Q7094" s="21">
        <f t="shared" si="127"/>
        <v>1</v>
      </c>
      <c r="R7094" s="21">
        <v>1</v>
      </c>
      <c r="S7094" s="21">
        <v>0</v>
      </c>
      <c r="T7094" s="21">
        <v>0</v>
      </c>
      <c r="U7094" s="21">
        <v>1</v>
      </c>
      <c r="V7094" s="21">
        <v>0</v>
      </c>
      <c r="W7094" s="21">
        <v>0</v>
      </c>
      <c r="X7094" s="21">
        <v>0</v>
      </c>
      <c r="Y7094" s="21">
        <v>0</v>
      </c>
      <c r="Z7094" s="21">
        <v>0</v>
      </c>
      <c r="AA7094" s="21">
        <v>0</v>
      </c>
      <c r="AB7094" s="21">
        <v>0</v>
      </c>
      <c r="AC7094" s="21">
        <v>0</v>
      </c>
      <c r="AD7094" s="21">
        <v>0</v>
      </c>
      <c r="AE7094" s="21">
        <v>0</v>
      </c>
      <c r="AF7094" s="21">
        <v>0</v>
      </c>
      <c r="AG7094" s="21">
        <v>0</v>
      </c>
      <c r="AH7094" s="21">
        <f t="shared" si="128"/>
        <v>32</v>
      </c>
      <c r="AI7094" s="21"/>
      <c r="AJ7094" s="21" t="s">
        <v>51</v>
      </c>
      <c r="AK7094" s="21" t="s">
        <v>52</v>
      </c>
      <c r="AL7094" s="21" t="s">
        <v>1957</v>
      </c>
      <c r="AM7094" s="21" t="s">
        <v>2387</v>
      </c>
      <c r="AN7094" s="21">
        <v>-122.44596446666699</v>
      </c>
      <c r="AO7094" s="21">
        <v>37.793818333333299</v>
      </c>
      <c r="AP7094" s="21" t="s">
        <v>1915</v>
      </c>
    </row>
    <row r="7095" spans="1:42">
      <c r="A7095" s="20">
        <v>43853</v>
      </c>
      <c r="B7095" s="21">
        <v>4</v>
      </c>
      <c r="C7095" s="21">
        <v>985</v>
      </c>
      <c r="D7095" s="21">
        <v>14358</v>
      </c>
      <c r="E7095" s="21" t="s">
        <v>2123</v>
      </c>
      <c r="F7095" s="21" t="s">
        <v>520</v>
      </c>
      <c r="G7095" s="21">
        <v>1</v>
      </c>
      <c r="H7095" s="21">
        <v>123</v>
      </c>
      <c r="I7095" s="23" t="s">
        <v>2342</v>
      </c>
      <c r="J7095" s="21"/>
      <c r="K7095" t="s">
        <v>585</v>
      </c>
      <c r="L7095" s="21"/>
      <c r="M7095" s="21"/>
      <c r="N7095" s="21" t="s">
        <v>40</v>
      </c>
      <c r="O7095" s="21">
        <v>27</v>
      </c>
      <c r="P7095" s="21"/>
      <c r="Q7095" s="21">
        <f t="shared" si="127"/>
        <v>1</v>
      </c>
      <c r="R7095" s="21">
        <v>1</v>
      </c>
      <c r="S7095" s="21">
        <v>0</v>
      </c>
      <c r="T7095" s="21">
        <v>0</v>
      </c>
      <c r="U7095" s="21">
        <v>1</v>
      </c>
      <c r="V7095" s="21">
        <v>0</v>
      </c>
      <c r="W7095" s="21">
        <v>0</v>
      </c>
      <c r="X7095" s="21">
        <v>0</v>
      </c>
      <c r="Y7095" s="21">
        <v>0</v>
      </c>
      <c r="Z7095" s="21">
        <v>0</v>
      </c>
      <c r="AA7095" s="21">
        <v>0</v>
      </c>
      <c r="AB7095" s="21">
        <v>0</v>
      </c>
      <c r="AC7095" s="21">
        <v>0</v>
      </c>
      <c r="AD7095" s="21">
        <v>0</v>
      </c>
      <c r="AE7095" s="21">
        <v>0</v>
      </c>
      <c r="AF7095" s="21">
        <v>0</v>
      </c>
      <c r="AG7095" s="21">
        <v>0</v>
      </c>
      <c r="AH7095" s="21">
        <f t="shared" si="128"/>
        <v>32</v>
      </c>
      <c r="AI7095" s="21"/>
      <c r="AJ7095" s="21" t="s">
        <v>51</v>
      </c>
      <c r="AK7095" s="21" t="s">
        <v>52</v>
      </c>
      <c r="AL7095" s="21"/>
      <c r="AM7095" s="21" t="s">
        <v>2388</v>
      </c>
      <c r="AN7095" s="21">
        <v>-122.44517468333299</v>
      </c>
      <c r="AO7095" s="21">
        <v>37.7939032833333</v>
      </c>
      <c r="AP7095" s="21" t="s">
        <v>1915</v>
      </c>
    </row>
    <row r="7096" spans="1:42">
      <c r="A7096" s="20">
        <v>43853</v>
      </c>
      <c r="B7096" s="21">
        <v>4</v>
      </c>
      <c r="C7096" s="21">
        <v>985</v>
      </c>
      <c r="D7096" s="21">
        <v>14358</v>
      </c>
      <c r="E7096" s="21" t="s">
        <v>2123</v>
      </c>
      <c r="F7096" s="21" t="s">
        <v>520</v>
      </c>
      <c r="G7096" s="21">
        <v>1</v>
      </c>
      <c r="H7096" s="21">
        <v>124</v>
      </c>
      <c r="I7096" s="23" t="s">
        <v>2389</v>
      </c>
      <c r="J7096" s="21"/>
      <c r="K7096" t="s">
        <v>585</v>
      </c>
      <c r="L7096" s="21"/>
      <c r="M7096" s="21"/>
      <c r="N7096" s="21" t="s">
        <v>40</v>
      </c>
      <c r="O7096" s="21">
        <v>56</v>
      </c>
      <c r="P7096" s="21"/>
      <c r="Q7096" s="21">
        <f t="shared" si="127"/>
        <v>1</v>
      </c>
      <c r="R7096" s="21">
        <v>1</v>
      </c>
      <c r="S7096" s="21">
        <v>0</v>
      </c>
      <c r="T7096" s="21">
        <v>0</v>
      </c>
      <c r="U7096" s="21">
        <v>0</v>
      </c>
      <c r="V7096" s="21">
        <v>1</v>
      </c>
      <c r="W7096" s="21">
        <v>0</v>
      </c>
      <c r="X7096" s="21">
        <v>0</v>
      </c>
      <c r="Y7096" s="21">
        <v>0</v>
      </c>
      <c r="Z7096" s="21">
        <v>0</v>
      </c>
      <c r="AA7096" s="21">
        <v>0</v>
      </c>
      <c r="AB7096" s="21">
        <v>0</v>
      </c>
      <c r="AC7096" s="21">
        <v>0</v>
      </c>
      <c r="AD7096" s="21">
        <v>0</v>
      </c>
      <c r="AE7096" s="21">
        <v>0</v>
      </c>
      <c r="AF7096" s="21">
        <v>0</v>
      </c>
      <c r="AG7096" s="21">
        <v>0</v>
      </c>
      <c r="AH7096" s="21">
        <f t="shared" si="128"/>
        <v>64</v>
      </c>
      <c r="AI7096" s="21"/>
      <c r="AJ7096" s="21"/>
      <c r="AK7096" s="21"/>
      <c r="AL7096" s="21"/>
      <c r="AM7096" s="21" t="s">
        <v>2390</v>
      </c>
      <c r="AN7096" s="21">
        <v>-122.44458591666699</v>
      </c>
      <c r="AO7096" s="21">
        <v>37.793980849999997</v>
      </c>
      <c r="AP7096" s="21" t="s">
        <v>1915</v>
      </c>
    </row>
    <row r="7097" spans="1:42">
      <c r="A7097" s="20">
        <v>43853</v>
      </c>
      <c r="B7097" s="21">
        <v>4</v>
      </c>
      <c r="C7097" s="21">
        <v>985</v>
      </c>
      <c r="D7097" s="21">
        <v>14358</v>
      </c>
      <c r="E7097" s="21" t="s">
        <v>2123</v>
      </c>
      <c r="F7097" s="21" t="s">
        <v>520</v>
      </c>
      <c r="G7097" s="21">
        <v>1</v>
      </c>
      <c r="H7097" s="21">
        <v>125</v>
      </c>
      <c r="I7097" s="23" t="s">
        <v>2391</v>
      </c>
      <c r="J7097" s="21"/>
      <c r="K7097" t="s">
        <v>585</v>
      </c>
      <c r="L7097" s="21"/>
      <c r="M7097" s="21"/>
      <c r="N7097" s="21" t="s">
        <v>40</v>
      </c>
      <c r="O7097" s="21">
        <v>35</v>
      </c>
      <c r="P7097" s="21"/>
      <c r="Q7097" s="21">
        <f t="shared" si="127"/>
        <v>1</v>
      </c>
      <c r="R7097" s="21">
        <v>1</v>
      </c>
      <c r="S7097" s="21">
        <v>0</v>
      </c>
      <c r="T7097" s="21">
        <v>0</v>
      </c>
      <c r="U7097" s="21">
        <v>0</v>
      </c>
      <c r="V7097" s="21">
        <v>0</v>
      </c>
      <c r="W7097" s="21">
        <v>1</v>
      </c>
      <c r="X7097" s="21">
        <v>0</v>
      </c>
      <c r="Y7097" s="21">
        <v>0</v>
      </c>
      <c r="Z7097" s="21">
        <v>0</v>
      </c>
      <c r="AA7097" s="21">
        <v>0</v>
      </c>
      <c r="AB7097" s="21">
        <v>0</v>
      </c>
      <c r="AC7097" s="21">
        <v>0</v>
      </c>
      <c r="AD7097" s="21">
        <v>0</v>
      </c>
      <c r="AE7097" s="21">
        <v>0</v>
      </c>
      <c r="AF7097" s="21">
        <v>0</v>
      </c>
      <c r="AG7097" s="21">
        <v>0</v>
      </c>
      <c r="AH7097" s="21">
        <f t="shared" si="128"/>
        <v>96</v>
      </c>
      <c r="AI7097" s="21"/>
      <c r="AJ7097" s="21"/>
      <c r="AK7097" s="21"/>
      <c r="AL7097" s="21"/>
      <c r="AM7097" s="21" t="s">
        <v>2392</v>
      </c>
      <c r="AN7097" s="21">
        <v>-122.44411246666699</v>
      </c>
      <c r="AO7097" s="21">
        <v>37.793982783333298</v>
      </c>
      <c r="AP7097" s="21" t="s">
        <v>1915</v>
      </c>
    </row>
    <row r="7098" spans="1:42">
      <c r="A7098" s="20">
        <v>43853</v>
      </c>
      <c r="B7098" s="21">
        <v>4</v>
      </c>
      <c r="C7098" s="21">
        <v>985</v>
      </c>
      <c r="D7098" s="21">
        <v>14358</v>
      </c>
      <c r="E7098" s="21" t="s">
        <v>2123</v>
      </c>
      <c r="F7098" s="21" t="s">
        <v>520</v>
      </c>
      <c r="G7098" s="21">
        <v>1</v>
      </c>
      <c r="H7098" s="21">
        <v>126</v>
      </c>
      <c r="I7098" s="23" t="s">
        <v>2393</v>
      </c>
      <c r="J7098" s="21"/>
      <c r="K7098" t="s">
        <v>585</v>
      </c>
      <c r="L7098" s="21"/>
      <c r="M7098" s="21"/>
      <c r="N7098" s="21" t="s">
        <v>40</v>
      </c>
      <c r="O7098" s="21">
        <f>60+19</f>
        <v>79</v>
      </c>
      <c r="P7098" s="21"/>
      <c r="Q7098" s="21">
        <f t="shared" si="127"/>
        <v>3</v>
      </c>
      <c r="R7098" s="21">
        <v>1</v>
      </c>
      <c r="S7098" s="21">
        <v>0</v>
      </c>
      <c r="T7098" s="21">
        <v>0</v>
      </c>
      <c r="U7098" s="21">
        <v>3</v>
      </c>
      <c r="V7098" s="21">
        <v>0</v>
      </c>
      <c r="W7098" s="21">
        <v>0</v>
      </c>
      <c r="X7098" s="21">
        <v>0</v>
      </c>
      <c r="Y7098" s="21">
        <v>0</v>
      </c>
      <c r="Z7098" s="21">
        <v>0</v>
      </c>
      <c r="AA7098" s="21">
        <v>0</v>
      </c>
      <c r="AB7098" s="21">
        <v>0</v>
      </c>
      <c r="AC7098" s="21">
        <v>0</v>
      </c>
      <c r="AD7098" s="21">
        <v>0</v>
      </c>
      <c r="AE7098" s="21">
        <v>0</v>
      </c>
      <c r="AF7098" s="21">
        <v>0</v>
      </c>
      <c r="AG7098" s="21">
        <v>0</v>
      </c>
      <c r="AH7098" s="21">
        <f t="shared" si="128"/>
        <v>96</v>
      </c>
      <c r="AI7098" s="21"/>
      <c r="AJ7098" s="21"/>
      <c r="AK7098" s="21"/>
      <c r="AL7098" s="21"/>
      <c r="AM7098" s="21" t="s">
        <v>2394</v>
      </c>
      <c r="AN7098" s="21">
        <v>-122.44396468333299</v>
      </c>
      <c r="AO7098" s="21">
        <v>37.793992099999997</v>
      </c>
      <c r="AP7098" s="21" t="s">
        <v>1915</v>
      </c>
    </row>
    <row r="7099" spans="1:42">
      <c r="A7099" s="20">
        <v>43853</v>
      </c>
      <c r="B7099" s="21">
        <v>4</v>
      </c>
      <c r="C7099" s="21">
        <v>985</v>
      </c>
      <c r="D7099" s="21">
        <v>14358</v>
      </c>
      <c r="E7099" s="21" t="s">
        <v>2123</v>
      </c>
      <c r="F7099" s="21" t="s">
        <v>520</v>
      </c>
      <c r="G7099" s="21">
        <v>1</v>
      </c>
      <c r="H7099" s="21">
        <v>127</v>
      </c>
      <c r="I7099" s="23" t="s">
        <v>2395</v>
      </c>
      <c r="J7099" s="21"/>
      <c r="K7099" t="s">
        <v>585</v>
      </c>
      <c r="L7099" s="21"/>
      <c r="M7099" s="21"/>
      <c r="N7099" s="21" t="s">
        <v>40</v>
      </c>
      <c r="O7099" s="21">
        <v>35</v>
      </c>
      <c r="P7099" s="21"/>
      <c r="Q7099" s="21">
        <f t="shared" si="127"/>
        <v>1</v>
      </c>
      <c r="R7099" s="21">
        <v>1</v>
      </c>
      <c r="S7099" s="21">
        <v>0</v>
      </c>
      <c r="T7099" s="21">
        <v>0</v>
      </c>
      <c r="U7099" s="21">
        <v>0</v>
      </c>
      <c r="V7099" s="21">
        <v>1</v>
      </c>
      <c r="W7099" s="21">
        <v>0</v>
      </c>
      <c r="X7099" s="21">
        <v>0</v>
      </c>
      <c r="Y7099" s="21">
        <v>0</v>
      </c>
      <c r="Z7099" s="21">
        <v>0</v>
      </c>
      <c r="AA7099" s="21">
        <v>0</v>
      </c>
      <c r="AB7099" s="21">
        <v>0</v>
      </c>
      <c r="AC7099" s="21">
        <v>0</v>
      </c>
      <c r="AD7099" s="21">
        <v>0</v>
      </c>
      <c r="AE7099" s="21">
        <v>0</v>
      </c>
      <c r="AF7099" s="21">
        <v>0</v>
      </c>
      <c r="AG7099" s="21">
        <v>0</v>
      </c>
      <c r="AH7099" s="21">
        <f t="shared" si="128"/>
        <v>64</v>
      </c>
      <c r="AI7099" s="21"/>
      <c r="AJ7099" s="21" t="s">
        <v>51</v>
      </c>
      <c r="AK7099" s="21" t="s">
        <v>52</v>
      </c>
      <c r="AL7099" s="21"/>
      <c r="AM7099" s="21" t="s">
        <v>2396</v>
      </c>
      <c r="AN7099" s="21">
        <v>-122.443746283333</v>
      </c>
      <c r="AO7099" s="21">
        <v>37.794040416666697</v>
      </c>
      <c r="AP7099" s="21" t="s">
        <v>1915</v>
      </c>
    </row>
    <row r="7100" spans="1:42">
      <c r="A7100" s="20">
        <v>43853</v>
      </c>
      <c r="B7100" s="21">
        <v>4</v>
      </c>
      <c r="C7100" s="21">
        <v>985</v>
      </c>
      <c r="D7100" s="21">
        <v>14358</v>
      </c>
      <c r="E7100" s="21" t="s">
        <v>2123</v>
      </c>
      <c r="F7100" s="21" t="s">
        <v>520</v>
      </c>
      <c r="G7100" s="21">
        <v>1</v>
      </c>
      <c r="H7100" s="21">
        <v>128</v>
      </c>
      <c r="I7100" s="23" t="s">
        <v>2397</v>
      </c>
      <c r="J7100" s="21"/>
      <c r="K7100" s="21" t="s">
        <v>185</v>
      </c>
      <c r="L7100" s="21"/>
      <c r="M7100" s="21"/>
      <c r="N7100" s="21" t="s">
        <v>44</v>
      </c>
      <c r="O7100" s="21">
        <f>60+60+60+60+37</f>
        <v>277</v>
      </c>
      <c r="P7100" s="21"/>
      <c r="Q7100" s="21">
        <f t="shared" si="127"/>
        <v>1</v>
      </c>
      <c r="R7100" s="21">
        <v>1</v>
      </c>
      <c r="S7100" s="21">
        <v>0</v>
      </c>
      <c r="T7100" s="21">
        <v>0</v>
      </c>
      <c r="U7100" s="21">
        <v>0</v>
      </c>
      <c r="V7100" s="21">
        <v>0</v>
      </c>
      <c r="W7100" s="21">
        <v>1</v>
      </c>
      <c r="X7100" s="21">
        <v>0</v>
      </c>
      <c r="Y7100" s="21">
        <v>0</v>
      </c>
      <c r="Z7100" s="21">
        <v>0</v>
      </c>
      <c r="AA7100" s="21">
        <v>0</v>
      </c>
      <c r="AB7100" s="21">
        <v>0</v>
      </c>
      <c r="AC7100" s="21">
        <v>0</v>
      </c>
      <c r="AD7100" s="21">
        <v>0</v>
      </c>
      <c r="AE7100" s="21">
        <v>0</v>
      </c>
      <c r="AF7100" s="21">
        <v>1</v>
      </c>
      <c r="AG7100" s="21">
        <v>0</v>
      </c>
      <c r="AH7100" s="21">
        <f t="shared" si="128"/>
        <v>96</v>
      </c>
      <c r="AI7100" s="21"/>
      <c r="AJ7100" s="21" t="s">
        <v>51</v>
      </c>
      <c r="AK7100" s="21" t="s">
        <v>52</v>
      </c>
      <c r="AL7100" s="21" t="s">
        <v>2398</v>
      </c>
      <c r="AM7100" s="21" t="s">
        <v>2399</v>
      </c>
      <c r="AN7100" s="21">
        <v>-122.44342745</v>
      </c>
      <c r="AO7100" s="21">
        <v>37.793864733333301</v>
      </c>
      <c r="AP7100" s="21" t="s">
        <v>1915</v>
      </c>
    </row>
    <row r="7101" spans="1:42">
      <c r="A7101" s="20">
        <v>43853</v>
      </c>
      <c r="B7101" s="21">
        <v>4</v>
      </c>
      <c r="C7101" s="21">
        <v>985</v>
      </c>
      <c r="D7101" s="21">
        <v>14358</v>
      </c>
      <c r="E7101" s="21" t="s">
        <v>2123</v>
      </c>
      <c r="F7101" s="21" t="s">
        <v>520</v>
      </c>
      <c r="G7101" s="21">
        <v>1</v>
      </c>
      <c r="H7101" s="21">
        <v>129</v>
      </c>
      <c r="I7101" s="23" t="s">
        <v>2400</v>
      </c>
      <c r="J7101" s="21"/>
      <c r="K7101" t="s">
        <v>585</v>
      </c>
      <c r="L7101" s="21"/>
      <c r="M7101" s="21"/>
      <c r="N7101" s="21" t="s">
        <v>40</v>
      </c>
      <c r="O7101" s="21">
        <v>24</v>
      </c>
      <c r="P7101" s="21"/>
      <c r="Q7101" s="21">
        <f t="shared" si="127"/>
        <v>1</v>
      </c>
      <c r="R7101" s="21">
        <v>1</v>
      </c>
      <c r="S7101" s="21">
        <v>0</v>
      </c>
      <c r="T7101" s="21">
        <v>0</v>
      </c>
      <c r="U7101" s="21">
        <v>1</v>
      </c>
      <c r="V7101" s="21">
        <v>0</v>
      </c>
      <c r="W7101" s="21">
        <v>0</v>
      </c>
      <c r="X7101" s="21">
        <v>0</v>
      </c>
      <c r="Y7101" s="21">
        <v>0</v>
      </c>
      <c r="Z7101" s="21">
        <v>0</v>
      </c>
      <c r="AA7101" s="21">
        <v>0</v>
      </c>
      <c r="AB7101" s="21">
        <v>0</v>
      </c>
      <c r="AC7101" s="21">
        <v>0</v>
      </c>
      <c r="AD7101" s="21">
        <v>0</v>
      </c>
      <c r="AE7101" s="21">
        <v>0</v>
      </c>
      <c r="AF7101" s="21">
        <v>0</v>
      </c>
      <c r="AG7101" s="21">
        <v>0</v>
      </c>
      <c r="AH7101" s="21">
        <f t="shared" si="128"/>
        <v>32</v>
      </c>
      <c r="AI7101" s="21"/>
      <c r="AJ7101" s="21"/>
      <c r="AK7101" s="21"/>
      <c r="AL7101" s="21"/>
      <c r="AM7101" s="21" t="s">
        <v>2401</v>
      </c>
      <c r="AN7101" s="21">
        <v>-122.443242633333</v>
      </c>
      <c r="AO7101" s="21">
        <v>37.7941495166666</v>
      </c>
      <c r="AP7101" s="21" t="s">
        <v>1915</v>
      </c>
    </row>
    <row r="7102" spans="1:42">
      <c r="A7102" s="20">
        <v>43853</v>
      </c>
      <c r="B7102" s="21">
        <v>4</v>
      </c>
      <c r="C7102" s="21">
        <v>985</v>
      </c>
      <c r="D7102" s="21">
        <v>14358</v>
      </c>
      <c r="E7102" s="21" t="s">
        <v>2123</v>
      </c>
      <c r="F7102" s="21" t="s">
        <v>520</v>
      </c>
      <c r="G7102" s="21">
        <v>1</v>
      </c>
      <c r="H7102" s="21">
        <v>130</v>
      </c>
      <c r="I7102" s="23" t="s">
        <v>2402</v>
      </c>
      <c r="J7102" s="21"/>
      <c r="K7102" t="s">
        <v>585</v>
      </c>
      <c r="L7102" s="21"/>
      <c r="M7102" s="21"/>
      <c r="N7102" s="21" t="s">
        <v>40</v>
      </c>
      <c r="O7102" s="21">
        <v>25</v>
      </c>
      <c r="P7102" s="21"/>
      <c r="Q7102" s="21">
        <f t="shared" si="127"/>
        <v>1</v>
      </c>
      <c r="R7102" s="21">
        <v>1</v>
      </c>
      <c r="S7102" s="21">
        <v>0</v>
      </c>
      <c r="T7102" s="21">
        <v>0</v>
      </c>
      <c r="U7102" s="21">
        <v>0</v>
      </c>
      <c r="V7102" s="21">
        <v>1</v>
      </c>
      <c r="W7102" s="21">
        <v>0</v>
      </c>
      <c r="X7102" s="21">
        <v>0</v>
      </c>
      <c r="Y7102" s="21">
        <v>0</v>
      </c>
      <c r="Z7102" s="21">
        <v>0</v>
      </c>
      <c r="AA7102" s="21">
        <v>0</v>
      </c>
      <c r="AB7102" s="21">
        <v>0</v>
      </c>
      <c r="AC7102" s="21">
        <v>0</v>
      </c>
      <c r="AD7102" s="21">
        <v>0</v>
      </c>
      <c r="AE7102" s="21">
        <v>0</v>
      </c>
      <c r="AF7102" s="21">
        <v>0</v>
      </c>
      <c r="AG7102" s="21">
        <v>0</v>
      </c>
      <c r="AH7102" s="21">
        <f t="shared" si="128"/>
        <v>64</v>
      </c>
      <c r="AI7102" s="21"/>
      <c r="AJ7102" s="21" t="s">
        <v>54</v>
      </c>
      <c r="AK7102" s="21" t="s">
        <v>52</v>
      </c>
      <c r="AL7102" s="21"/>
      <c r="AM7102" s="21" t="s">
        <v>2403</v>
      </c>
      <c r="AN7102" s="21">
        <v>-122.44302911666701</v>
      </c>
      <c r="AO7102" s="21">
        <v>37.794200466666702</v>
      </c>
      <c r="AP7102" s="21" t="s">
        <v>1915</v>
      </c>
    </row>
    <row r="7103" spans="1:42">
      <c r="A7103" s="20">
        <v>43853</v>
      </c>
      <c r="B7103" s="21">
        <v>4</v>
      </c>
      <c r="C7103" s="21">
        <v>985</v>
      </c>
      <c r="D7103" s="21">
        <v>14358</v>
      </c>
      <c r="E7103" s="21" t="s">
        <v>2123</v>
      </c>
      <c r="F7103" s="21" t="s">
        <v>520</v>
      </c>
      <c r="G7103" s="21">
        <v>1</v>
      </c>
      <c r="H7103" s="21">
        <v>131</v>
      </c>
      <c r="I7103" s="23" t="s">
        <v>2404</v>
      </c>
      <c r="J7103" s="21"/>
      <c r="K7103" t="s">
        <v>585</v>
      </c>
      <c r="L7103" s="21"/>
      <c r="M7103" s="21"/>
      <c r="N7103" s="21" t="s">
        <v>40</v>
      </c>
      <c r="O7103" s="21">
        <v>23</v>
      </c>
      <c r="P7103" s="21"/>
      <c r="Q7103" s="21">
        <f t="shared" si="127"/>
        <v>1</v>
      </c>
      <c r="R7103" s="21">
        <v>1</v>
      </c>
      <c r="S7103" s="21">
        <v>0</v>
      </c>
      <c r="T7103" s="21">
        <v>0</v>
      </c>
      <c r="U7103" s="21">
        <v>0</v>
      </c>
      <c r="V7103" s="21">
        <v>0</v>
      </c>
      <c r="W7103" s="21">
        <v>1</v>
      </c>
      <c r="X7103" s="21">
        <v>0</v>
      </c>
      <c r="Y7103" s="21">
        <v>0</v>
      </c>
      <c r="Z7103" s="21">
        <v>0</v>
      </c>
      <c r="AA7103" s="21">
        <v>0</v>
      </c>
      <c r="AB7103" s="21">
        <v>0</v>
      </c>
      <c r="AC7103" s="21">
        <v>0</v>
      </c>
      <c r="AD7103" s="21">
        <v>0</v>
      </c>
      <c r="AE7103" s="21">
        <v>0</v>
      </c>
      <c r="AF7103" s="21">
        <v>0</v>
      </c>
      <c r="AG7103" s="21">
        <v>0</v>
      </c>
      <c r="AH7103" s="21">
        <f t="shared" si="128"/>
        <v>96</v>
      </c>
      <c r="AI7103" s="21"/>
      <c r="AJ7103" s="21"/>
      <c r="AK7103" s="21"/>
      <c r="AL7103" s="21"/>
      <c r="AM7103" s="21" t="s">
        <v>2405</v>
      </c>
      <c r="AN7103" s="21">
        <v>-122.44268768333301</v>
      </c>
      <c r="AO7103" s="21">
        <v>37.7942057333333</v>
      </c>
      <c r="AP7103" s="21" t="s">
        <v>1915</v>
      </c>
    </row>
    <row r="7104" spans="1:42">
      <c r="A7104" s="20">
        <v>43853</v>
      </c>
      <c r="B7104" s="21">
        <v>4</v>
      </c>
      <c r="C7104" s="21">
        <v>985</v>
      </c>
      <c r="D7104" s="21">
        <v>14358</v>
      </c>
      <c r="E7104" s="21" t="s">
        <v>2123</v>
      </c>
      <c r="F7104" s="21" t="s">
        <v>520</v>
      </c>
      <c r="G7104" s="21">
        <v>1</v>
      </c>
      <c r="H7104" s="21">
        <v>132</v>
      </c>
      <c r="I7104" s="23" t="s">
        <v>2406</v>
      </c>
      <c r="J7104" s="21"/>
      <c r="K7104" t="s">
        <v>585</v>
      </c>
      <c r="L7104" s="21"/>
      <c r="M7104" s="21"/>
      <c r="N7104" s="21" t="s">
        <v>40</v>
      </c>
      <c r="O7104" s="21">
        <v>39</v>
      </c>
      <c r="P7104" s="21"/>
      <c r="Q7104" s="21">
        <f t="shared" ref="Q7104:Q7167" si="129">SUM(S7104:AE7104)</f>
        <v>1</v>
      </c>
      <c r="R7104" s="21">
        <v>1</v>
      </c>
      <c r="S7104" s="21">
        <v>0</v>
      </c>
      <c r="T7104" s="21">
        <v>0</v>
      </c>
      <c r="U7104" s="21">
        <v>0</v>
      </c>
      <c r="V7104" s="21">
        <v>0</v>
      </c>
      <c r="W7104" s="21">
        <v>1</v>
      </c>
      <c r="X7104" s="21">
        <v>0</v>
      </c>
      <c r="Y7104" s="21">
        <v>0</v>
      </c>
      <c r="Z7104" s="21">
        <v>0</v>
      </c>
      <c r="AA7104" s="21">
        <v>0</v>
      </c>
      <c r="AB7104" s="21">
        <v>0</v>
      </c>
      <c r="AC7104" s="21">
        <v>0</v>
      </c>
      <c r="AD7104" s="21">
        <v>0</v>
      </c>
      <c r="AE7104" s="21">
        <v>0</v>
      </c>
      <c r="AF7104" s="21">
        <v>0</v>
      </c>
      <c r="AG7104" s="21">
        <v>0</v>
      </c>
      <c r="AH7104" s="21">
        <f t="shared" ref="AH7104:AH7167" si="130">(S7104*16)+(T7104*20)+(U7104*32)+(V7104*64)+(W7104*96)</f>
        <v>96</v>
      </c>
      <c r="AI7104" s="21"/>
      <c r="AJ7104" s="21"/>
      <c r="AK7104" s="21"/>
      <c r="AL7104" s="21"/>
      <c r="AM7104" s="21" t="s">
        <v>2407</v>
      </c>
      <c r="AN7104" s="21">
        <v>-122.44238110000001</v>
      </c>
      <c r="AO7104" s="21">
        <v>37.794199749999997</v>
      </c>
      <c r="AP7104" s="21" t="s">
        <v>1915</v>
      </c>
    </row>
    <row r="7105" spans="1:42">
      <c r="A7105" s="20">
        <v>43853</v>
      </c>
      <c r="B7105" s="21">
        <v>4</v>
      </c>
      <c r="C7105" s="21">
        <v>985</v>
      </c>
      <c r="D7105" s="21">
        <v>14358</v>
      </c>
      <c r="E7105" s="21" t="s">
        <v>2123</v>
      </c>
      <c r="F7105" s="21" t="s">
        <v>520</v>
      </c>
      <c r="G7105" s="21">
        <v>1</v>
      </c>
      <c r="H7105" s="21">
        <v>133</v>
      </c>
      <c r="I7105" s="23" t="s">
        <v>2408</v>
      </c>
      <c r="J7105" s="21"/>
      <c r="K7105" t="s">
        <v>585</v>
      </c>
      <c r="L7105" s="21"/>
      <c r="M7105" s="21"/>
      <c r="N7105" s="21" t="s">
        <v>40</v>
      </c>
      <c r="O7105" s="21">
        <v>33</v>
      </c>
      <c r="P7105" s="21"/>
      <c r="Q7105" s="21">
        <f t="shared" si="129"/>
        <v>1</v>
      </c>
      <c r="R7105" s="21">
        <v>1</v>
      </c>
      <c r="S7105" s="21">
        <v>0</v>
      </c>
      <c r="T7105" s="21">
        <v>0</v>
      </c>
      <c r="U7105" s="21">
        <v>1</v>
      </c>
      <c r="V7105" s="21">
        <v>0</v>
      </c>
      <c r="W7105" s="21">
        <v>0</v>
      </c>
      <c r="X7105" s="21">
        <v>0</v>
      </c>
      <c r="Y7105" s="21">
        <v>0</v>
      </c>
      <c r="Z7105" s="21">
        <v>0</v>
      </c>
      <c r="AA7105" s="21">
        <v>0</v>
      </c>
      <c r="AB7105" s="21">
        <v>0</v>
      </c>
      <c r="AC7105" s="21">
        <v>0</v>
      </c>
      <c r="AD7105" s="21">
        <v>0</v>
      </c>
      <c r="AE7105" s="21">
        <v>0</v>
      </c>
      <c r="AF7105" s="21">
        <v>0</v>
      </c>
      <c r="AG7105" s="21">
        <v>0</v>
      </c>
      <c r="AH7105" s="21">
        <f t="shared" si="130"/>
        <v>32</v>
      </c>
      <c r="AI7105" s="21"/>
      <c r="AJ7105" s="21"/>
      <c r="AK7105" s="21"/>
      <c r="AL7105" s="21"/>
      <c r="AM7105" s="21" t="s">
        <v>2409</v>
      </c>
      <c r="AN7105" s="21">
        <v>-122.442259866667</v>
      </c>
      <c r="AO7105" s="21">
        <v>37.794235950000001</v>
      </c>
      <c r="AP7105" s="21" t="s">
        <v>1915</v>
      </c>
    </row>
    <row r="7106" spans="1:42">
      <c r="A7106" s="20">
        <v>43853</v>
      </c>
      <c r="B7106" s="21">
        <v>4</v>
      </c>
      <c r="C7106" s="21">
        <v>985</v>
      </c>
      <c r="D7106" s="21">
        <v>14358</v>
      </c>
      <c r="E7106" s="21" t="s">
        <v>2123</v>
      </c>
      <c r="F7106" s="21" t="s">
        <v>520</v>
      </c>
      <c r="G7106" s="21">
        <v>1</v>
      </c>
      <c r="H7106" s="21">
        <v>134</v>
      </c>
      <c r="I7106" s="23" t="s">
        <v>2410</v>
      </c>
      <c r="J7106" s="21"/>
      <c r="K7106" s="21" t="s">
        <v>156</v>
      </c>
      <c r="L7106" s="21"/>
      <c r="M7106" s="21"/>
      <c r="N7106" s="21" t="s">
        <v>44</v>
      </c>
      <c r="O7106" s="21">
        <v>59</v>
      </c>
      <c r="P7106" s="21"/>
      <c r="Q7106" s="21">
        <f t="shared" si="129"/>
        <v>1</v>
      </c>
      <c r="R7106" s="21">
        <v>1</v>
      </c>
      <c r="S7106" s="21">
        <v>0</v>
      </c>
      <c r="T7106" s="21">
        <v>0</v>
      </c>
      <c r="U7106" s="21">
        <v>0</v>
      </c>
      <c r="V7106" s="21">
        <v>0</v>
      </c>
      <c r="W7106" s="21">
        <v>1</v>
      </c>
      <c r="X7106" s="21">
        <v>0</v>
      </c>
      <c r="Y7106" s="21">
        <v>0</v>
      </c>
      <c r="Z7106" s="21">
        <v>0</v>
      </c>
      <c r="AA7106" s="21">
        <v>0</v>
      </c>
      <c r="AB7106" s="21">
        <v>0</v>
      </c>
      <c r="AC7106" s="21">
        <v>0</v>
      </c>
      <c r="AD7106" s="21">
        <v>0</v>
      </c>
      <c r="AE7106" s="21">
        <v>0</v>
      </c>
      <c r="AF7106" s="21">
        <v>0</v>
      </c>
      <c r="AG7106" s="21">
        <v>0</v>
      </c>
      <c r="AH7106" s="21">
        <f t="shared" si="130"/>
        <v>96</v>
      </c>
      <c r="AI7106" s="21"/>
      <c r="AJ7106" s="21"/>
      <c r="AK7106" s="21"/>
      <c r="AL7106" s="21"/>
      <c r="AM7106" s="21" t="s">
        <v>2411</v>
      </c>
      <c r="AN7106" s="21">
        <v>-122.442655783333</v>
      </c>
      <c r="AO7106" s="21">
        <v>37.7962709166667</v>
      </c>
      <c r="AP7106" s="21" t="s">
        <v>1915</v>
      </c>
    </row>
    <row r="7107" spans="1:42">
      <c r="A7107" s="20">
        <v>43853</v>
      </c>
      <c r="B7107" s="21">
        <v>4</v>
      </c>
      <c r="C7107" s="21">
        <v>985</v>
      </c>
      <c r="D7107" s="21">
        <v>14358</v>
      </c>
      <c r="E7107" s="21" t="s">
        <v>2123</v>
      </c>
      <c r="F7107" s="21" t="s">
        <v>520</v>
      </c>
      <c r="G7107" s="21">
        <v>1</v>
      </c>
      <c r="H7107" s="21">
        <v>135</v>
      </c>
      <c r="I7107" s="23" t="s">
        <v>2412</v>
      </c>
      <c r="J7107" s="21"/>
      <c r="K7107" s="21" t="s">
        <v>156</v>
      </c>
      <c r="L7107" s="21"/>
      <c r="M7107" s="21"/>
      <c r="N7107" s="21" t="s">
        <v>40</v>
      </c>
      <c r="O7107" s="21">
        <v>37</v>
      </c>
      <c r="P7107" s="21"/>
      <c r="Q7107" s="21">
        <f t="shared" si="129"/>
        <v>2</v>
      </c>
      <c r="R7107" s="21">
        <v>1</v>
      </c>
      <c r="S7107" s="21">
        <v>0</v>
      </c>
      <c r="T7107" s="21">
        <v>0</v>
      </c>
      <c r="U7107" s="21">
        <v>0</v>
      </c>
      <c r="V7107" s="21">
        <v>2</v>
      </c>
      <c r="W7107" s="21">
        <v>0</v>
      </c>
      <c r="X7107" s="21">
        <v>0</v>
      </c>
      <c r="Y7107" s="21">
        <v>0</v>
      </c>
      <c r="Z7107" s="21">
        <v>0</v>
      </c>
      <c r="AA7107" s="21">
        <v>0</v>
      </c>
      <c r="AB7107" s="21">
        <v>0</v>
      </c>
      <c r="AC7107" s="21">
        <v>0</v>
      </c>
      <c r="AD7107" s="21">
        <v>0</v>
      </c>
      <c r="AE7107" s="21">
        <v>0</v>
      </c>
      <c r="AF7107" s="21">
        <v>0</v>
      </c>
      <c r="AG7107" s="21">
        <v>0</v>
      </c>
      <c r="AH7107" s="21">
        <f t="shared" si="130"/>
        <v>128</v>
      </c>
      <c r="AI7107" s="21"/>
      <c r="AJ7107" s="21"/>
      <c r="AK7107" s="21"/>
      <c r="AL7107" s="21"/>
      <c r="AM7107" s="21" t="s">
        <v>2413</v>
      </c>
      <c r="AN7107" s="21">
        <v>-122.442716566667</v>
      </c>
      <c r="AO7107" s="21">
        <v>37.796263949999997</v>
      </c>
      <c r="AP7107" s="21" t="s">
        <v>1915</v>
      </c>
    </row>
    <row r="7108" spans="1:42">
      <c r="A7108" s="20">
        <v>43853</v>
      </c>
      <c r="B7108" s="21">
        <v>4</v>
      </c>
      <c r="C7108" s="21">
        <v>985</v>
      </c>
      <c r="D7108" s="21">
        <v>14358</v>
      </c>
      <c r="E7108" s="21" t="s">
        <v>2123</v>
      </c>
      <c r="F7108" s="21" t="s">
        <v>520</v>
      </c>
      <c r="G7108" s="21">
        <v>1</v>
      </c>
      <c r="H7108" s="21">
        <v>136</v>
      </c>
      <c r="I7108" s="23" t="s">
        <v>2414</v>
      </c>
      <c r="J7108" s="21"/>
      <c r="K7108" s="21" t="s">
        <v>156</v>
      </c>
      <c r="L7108" s="21"/>
      <c r="M7108" s="21"/>
      <c r="N7108" s="21" t="s">
        <v>40</v>
      </c>
      <c r="O7108" s="21">
        <v>43</v>
      </c>
      <c r="P7108" s="21"/>
      <c r="Q7108" s="21">
        <f t="shared" si="129"/>
        <v>2</v>
      </c>
      <c r="R7108" s="21">
        <v>1</v>
      </c>
      <c r="S7108" s="21">
        <v>0</v>
      </c>
      <c r="T7108" s="21">
        <v>0</v>
      </c>
      <c r="U7108" s="21">
        <v>0</v>
      </c>
      <c r="V7108" s="21">
        <v>0</v>
      </c>
      <c r="W7108" s="21">
        <v>2</v>
      </c>
      <c r="X7108" s="21">
        <v>0</v>
      </c>
      <c r="Y7108" s="21">
        <v>0</v>
      </c>
      <c r="Z7108" s="21">
        <v>0</v>
      </c>
      <c r="AA7108" s="21">
        <v>0</v>
      </c>
      <c r="AB7108" s="21">
        <v>0</v>
      </c>
      <c r="AC7108" s="21">
        <v>0</v>
      </c>
      <c r="AD7108" s="21">
        <v>0</v>
      </c>
      <c r="AE7108" s="21">
        <v>0</v>
      </c>
      <c r="AF7108" s="21">
        <v>0</v>
      </c>
      <c r="AG7108" s="21">
        <v>0</v>
      </c>
      <c r="AH7108" s="21">
        <f t="shared" si="130"/>
        <v>192</v>
      </c>
      <c r="AI7108" s="21"/>
      <c r="AJ7108" s="21"/>
      <c r="AK7108" s="21"/>
      <c r="AL7108" s="21"/>
      <c r="AM7108" s="21" t="s">
        <v>2415</v>
      </c>
      <c r="AN7108" s="21">
        <v>-122.443069283333</v>
      </c>
      <c r="AO7108" s="21">
        <v>37.796226083333302</v>
      </c>
      <c r="AP7108" s="21" t="s">
        <v>1915</v>
      </c>
    </row>
    <row r="7109" spans="1:42">
      <c r="A7109" s="20">
        <v>43853</v>
      </c>
      <c r="B7109" s="21">
        <v>4</v>
      </c>
      <c r="C7109" s="21">
        <v>985</v>
      </c>
      <c r="D7109" s="21">
        <v>14358</v>
      </c>
      <c r="E7109" s="21" t="s">
        <v>2123</v>
      </c>
      <c r="F7109" s="21" t="s">
        <v>520</v>
      </c>
      <c r="G7109" s="21">
        <v>1</v>
      </c>
      <c r="H7109" s="21">
        <v>137</v>
      </c>
      <c r="I7109" s="23" t="s">
        <v>2416</v>
      </c>
      <c r="J7109" s="21"/>
      <c r="K7109" s="21" t="s">
        <v>156</v>
      </c>
      <c r="L7109" s="21"/>
      <c r="M7109" s="21"/>
      <c r="N7109" s="21" t="s">
        <v>40</v>
      </c>
      <c r="O7109" s="21">
        <v>30</v>
      </c>
      <c r="P7109" s="21"/>
      <c r="Q7109" s="21">
        <f t="shared" si="129"/>
        <v>1</v>
      </c>
      <c r="R7109" s="21">
        <v>1</v>
      </c>
      <c r="S7109" s="21">
        <v>0</v>
      </c>
      <c r="T7109" s="21">
        <v>0</v>
      </c>
      <c r="U7109" s="21">
        <v>1</v>
      </c>
      <c r="V7109" s="21">
        <v>0</v>
      </c>
      <c r="W7109" s="21">
        <v>0</v>
      </c>
      <c r="X7109" s="21">
        <v>0</v>
      </c>
      <c r="Y7109" s="21">
        <v>0</v>
      </c>
      <c r="Z7109" s="21">
        <v>0</v>
      </c>
      <c r="AA7109" s="21">
        <v>0</v>
      </c>
      <c r="AB7109" s="21">
        <v>0</v>
      </c>
      <c r="AC7109" s="21">
        <v>0</v>
      </c>
      <c r="AD7109" s="21">
        <v>0</v>
      </c>
      <c r="AE7109" s="21">
        <v>0</v>
      </c>
      <c r="AF7109" s="21">
        <v>0</v>
      </c>
      <c r="AG7109" s="21">
        <v>0</v>
      </c>
      <c r="AH7109" s="21">
        <f t="shared" si="130"/>
        <v>32</v>
      </c>
      <c r="AI7109" s="21"/>
      <c r="AJ7109" s="21"/>
      <c r="AK7109" s="21"/>
      <c r="AL7109" s="21"/>
      <c r="AM7109" s="21" t="s">
        <v>2417</v>
      </c>
      <c r="AN7109" s="21">
        <v>-122.44314085000001</v>
      </c>
      <c r="AO7109" s="21">
        <v>37.796196016666599</v>
      </c>
      <c r="AP7109" s="21" t="s">
        <v>1915</v>
      </c>
    </row>
    <row r="7110" spans="1:42">
      <c r="A7110" s="20">
        <v>43853</v>
      </c>
      <c r="B7110" s="21">
        <v>4</v>
      </c>
      <c r="C7110" s="21">
        <v>985</v>
      </c>
      <c r="D7110" s="21">
        <v>14358</v>
      </c>
      <c r="E7110" s="21" t="s">
        <v>2123</v>
      </c>
      <c r="F7110" s="21" t="s">
        <v>520</v>
      </c>
      <c r="G7110" s="21">
        <v>1</v>
      </c>
      <c r="H7110" s="21">
        <v>138</v>
      </c>
      <c r="I7110" s="23" t="s">
        <v>2418</v>
      </c>
      <c r="J7110" s="21"/>
      <c r="K7110" s="21" t="s">
        <v>156</v>
      </c>
      <c r="L7110" s="21"/>
      <c r="M7110" s="21"/>
      <c r="N7110" s="21" t="s">
        <v>44</v>
      </c>
      <c r="O7110" s="21">
        <f>60+16</f>
        <v>76</v>
      </c>
      <c r="P7110" s="21"/>
      <c r="Q7110" s="21">
        <f t="shared" si="129"/>
        <v>1</v>
      </c>
      <c r="R7110" s="21">
        <v>1</v>
      </c>
      <c r="S7110" s="21">
        <v>0</v>
      </c>
      <c r="T7110" s="21">
        <v>0</v>
      </c>
      <c r="U7110" s="21">
        <v>0</v>
      </c>
      <c r="V7110" s="21">
        <v>0</v>
      </c>
      <c r="W7110" s="21">
        <v>1</v>
      </c>
      <c r="X7110" s="21">
        <v>0</v>
      </c>
      <c r="Y7110" s="21">
        <v>0</v>
      </c>
      <c r="Z7110" s="21">
        <v>0</v>
      </c>
      <c r="AA7110" s="21">
        <v>0</v>
      </c>
      <c r="AB7110" s="21">
        <v>0</v>
      </c>
      <c r="AC7110" s="21">
        <v>0</v>
      </c>
      <c r="AD7110" s="21">
        <v>0</v>
      </c>
      <c r="AE7110" s="21">
        <v>0</v>
      </c>
      <c r="AF7110" s="21">
        <v>0</v>
      </c>
      <c r="AG7110" s="21">
        <v>0</v>
      </c>
      <c r="AH7110" s="21">
        <f t="shared" si="130"/>
        <v>96</v>
      </c>
      <c r="AI7110" s="21"/>
      <c r="AJ7110" s="21" t="s">
        <v>51</v>
      </c>
      <c r="AK7110" s="21" t="s">
        <v>52</v>
      </c>
      <c r="AL7110" s="21"/>
      <c r="AM7110" s="21" t="s">
        <v>2419</v>
      </c>
      <c r="AN7110" s="21">
        <v>-122.443284066667</v>
      </c>
      <c r="AO7110" s="21">
        <v>37.796175116666703</v>
      </c>
      <c r="AP7110" s="21" t="s">
        <v>1915</v>
      </c>
    </row>
    <row r="7111" spans="1:42">
      <c r="A7111" s="20">
        <v>43853</v>
      </c>
      <c r="B7111" s="21">
        <v>4</v>
      </c>
      <c r="C7111" s="21">
        <v>985</v>
      </c>
      <c r="D7111" s="21">
        <v>14358</v>
      </c>
      <c r="E7111" s="21" t="s">
        <v>2123</v>
      </c>
      <c r="F7111" s="21" t="s">
        <v>520</v>
      </c>
      <c r="G7111" s="21">
        <v>1</v>
      </c>
      <c r="H7111" s="21">
        <v>139</v>
      </c>
      <c r="I7111" s="23" t="s">
        <v>2420</v>
      </c>
      <c r="J7111" s="21"/>
      <c r="K7111" s="21" t="s">
        <v>156</v>
      </c>
      <c r="L7111" s="21"/>
      <c r="M7111" s="21"/>
      <c r="N7111" s="21" t="s">
        <v>40</v>
      </c>
      <c r="O7111" s="21">
        <f>60+60+3</f>
        <v>123</v>
      </c>
      <c r="P7111" s="21"/>
      <c r="Q7111" s="21">
        <f t="shared" si="129"/>
        <v>4</v>
      </c>
      <c r="R7111" s="21">
        <v>1</v>
      </c>
      <c r="S7111" s="21">
        <v>0</v>
      </c>
      <c r="T7111" s="21">
        <v>0</v>
      </c>
      <c r="U7111" s="21">
        <v>1</v>
      </c>
      <c r="V7111" s="21">
        <v>3</v>
      </c>
      <c r="W7111" s="21">
        <v>0</v>
      </c>
      <c r="X7111" s="21">
        <v>0</v>
      </c>
      <c r="Y7111" s="21">
        <v>0</v>
      </c>
      <c r="Z7111" s="21">
        <v>0</v>
      </c>
      <c r="AA7111" s="21">
        <v>0</v>
      </c>
      <c r="AB7111" s="21">
        <v>0</v>
      </c>
      <c r="AC7111" s="21">
        <v>0</v>
      </c>
      <c r="AD7111" s="21">
        <v>0</v>
      </c>
      <c r="AE7111" s="21">
        <v>0</v>
      </c>
      <c r="AF7111" s="21">
        <v>0</v>
      </c>
      <c r="AG7111" s="21">
        <v>0</v>
      </c>
      <c r="AH7111" s="21">
        <f t="shared" si="130"/>
        <v>224</v>
      </c>
      <c r="AI7111" s="21"/>
      <c r="AJ7111" s="21"/>
      <c r="AK7111" s="21"/>
      <c r="AL7111" s="21"/>
      <c r="AM7111" s="21" t="s">
        <v>2421</v>
      </c>
      <c r="AN7111" s="21">
        <v>-122.44418898333301</v>
      </c>
      <c r="AO7111" s="21">
        <v>37.796005233333297</v>
      </c>
      <c r="AP7111" s="21" t="s">
        <v>1915</v>
      </c>
    </row>
    <row r="7112" spans="1:42">
      <c r="A7112" s="20">
        <v>43853</v>
      </c>
      <c r="B7112" s="21">
        <v>4</v>
      </c>
      <c r="C7112" s="21">
        <v>985</v>
      </c>
      <c r="D7112" s="21">
        <v>14358</v>
      </c>
      <c r="E7112" s="21" t="s">
        <v>2123</v>
      </c>
      <c r="F7112" s="21" t="s">
        <v>520</v>
      </c>
      <c r="G7112" s="21">
        <v>1</v>
      </c>
      <c r="H7112" s="21">
        <v>140</v>
      </c>
      <c r="I7112" s="23" t="s">
        <v>2422</v>
      </c>
      <c r="J7112" s="21"/>
      <c r="K7112" s="21" t="s">
        <v>156</v>
      </c>
      <c r="L7112" s="21"/>
      <c r="M7112" s="21"/>
      <c r="N7112" s="21" t="s">
        <v>40</v>
      </c>
      <c r="O7112" s="21">
        <f>60+19</f>
        <v>79</v>
      </c>
      <c r="P7112" s="21"/>
      <c r="Q7112" s="21">
        <f t="shared" si="129"/>
        <v>4</v>
      </c>
      <c r="R7112" s="21">
        <v>1</v>
      </c>
      <c r="S7112" s="21">
        <v>0</v>
      </c>
      <c r="T7112" s="21">
        <v>0</v>
      </c>
      <c r="U7112" s="21">
        <v>0</v>
      </c>
      <c r="V7112" s="21">
        <v>1</v>
      </c>
      <c r="W7112" s="21">
        <v>3</v>
      </c>
      <c r="X7112" s="21">
        <v>0</v>
      </c>
      <c r="Y7112" s="21">
        <v>0</v>
      </c>
      <c r="Z7112" s="21">
        <v>0</v>
      </c>
      <c r="AA7112" s="21">
        <v>0</v>
      </c>
      <c r="AB7112" s="21">
        <v>0</v>
      </c>
      <c r="AC7112" s="21">
        <v>0</v>
      </c>
      <c r="AD7112" s="21">
        <v>0</v>
      </c>
      <c r="AE7112" s="21">
        <v>0</v>
      </c>
      <c r="AF7112" s="21">
        <v>0</v>
      </c>
      <c r="AG7112" s="21">
        <v>0</v>
      </c>
      <c r="AH7112" s="21">
        <f t="shared" si="130"/>
        <v>352</v>
      </c>
      <c r="AI7112" s="21"/>
      <c r="AJ7112" s="21" t="s">
        <v>54</v>
      </c>
      <c r="AK7112" s="21" t="s">
        <v>52</v>
      </c>
      <c r="AL7112" s="21"/>
      <c r="AM7112" s="21" t="s">
        <v>2423</v>
      </c>
      <c r="AN7112" s="21">
        <v>-122.4444967</v>
      </c>
      <c r="AO7112" s="21">
        <v>37.796007799999998</v>
      </c>
      <c r="AP7112" s="21" t="s">
        <v>1915</v>
      </c>
    </row>
    <row r="7113" spans="1:42">
      <c r="A7113" s="20">
        <v>43853</v>
      </c>
      <c r="B7113" s="21">
        <v>4</v>
      </c>
      <c r="C7113" s="21">
        <v>985</v>
      </c>
      <c r="D7113" s="21">
        <v>14358</v>
      </c>
      <c r="E7113" s="21" t="s">
        <v>2123</v>
      </c>
      <c r="F7113" s="21" t="s">
        <v>520</v>
      </c>
      <c r="G7113" s="21">
        <v>1</v>
      </c>
      <c r="H7113" s="21">
        <v>141</v>
      </c>
      <c r="I7113" s="23" t="s">
        <v>2424</v>
      </c>
      <c r="J7113" s="21"/>
      <c r="K7113" s="21" t="s">
        <v>156</v>
      </c>
      <c r="L7113" s="21"/>
      <c r="M7113" s="21"/>
      <c r="N7113" s="21" t="s">
        <v>44</v>
      </c>
      <c r="O7113" s="21">
        <v>53</v>
      </c>
      <c r="P7113" s="21"/>
      <c r="Q7113" s="21">
        <f t="shared" si="129"/>
        <v>1</v>
      </c>
      <c r="R7113" s="21">
        <v>1</v>
      </c>
      <c r="S7113" s="21">
        <v>0</v>
      </c>
      <c r="T7113" s="21">
        <v>0</v>
      </c>
      <c r="U7113" s="21">
        <v>0</v>
      </c>
      <c r="V7113" s="21">
        <v>0</v>
      </c>
      <c r="W7113" s="21">
        <v>1</v>
      </c>
      <c r="X7113" s="21">
        <v>0</v>
      </c>
      <c r="Y7113" s="21">
        <v>0</v>
      </c>
      <c r="Z7113" s="21">
        <v>0</v>
      </c>
      <c r="AA7113" s="21">
        <v>0</v>
      </c>
      <c r="AB7113" s="21">
        <v>0</v>
      </c>
      <c r="AC7113" s="21">
        <v>0</v>
      </c>
      <c r="AD7113" s="21">
        <v>0</v>
      </c>
      <c r="AE7113" s="21">
        <v>0</v>
      </c>
      <c r="AF7113" s="21">
        <v>0</v>
      </c>
      <c r="AG7113" s="21">
        <v>0</v>
      </c>
      <c r="AH7113" s="21">
        <f t="shared" si="130"/>
        <v>96</v>
      </c>
      <c r="AI7113" s="21"/>
      <c r="AJ7113" s="21" t="s">
        <v>54</v>
      </c>
      <c r="AK7113" s="21" t="s">
        <v>52</v>
      </c>
      <c r="AL7113" s="21" t="s">
        <v>2425</v>
      </c>
      <c r="AM7113" s="21" t="s">
        <v>2426</v>
      </c>
      <c r="AN7113" s="21">
        <v>-122.444646916667</v>
      </c>
      <c r="AO7113" s="21">
        <v>37.795992516666701</v>
      </c>
      <c r="AP7113" s="21" t="s">
        <v>1915</v>
      </c>
    </row>
    <row r="7114" spans="1:42">
      <c r="A7114" s="20">
        <v>43853</v>
      </c>
      <c r="B7114" s="21">
        <v>4</v>
      </c>
      <c r="C7114" s="21">
        <v>985</v>
      </c>
      <c r="D7114" s="21">
        <v>14358</v>
      </c>
      <c r="E7114" s="21" t="s">
        <v>2123</v>
      </c>
      <c r="F7114" s="21" t="s">
        <v>520</v>
      </c>
      <c r="G7114" s="21">
        <v>1</v>
      </c>
      <c r="H7114" s="21">
        <v>142</v>
      </c>
      <c r="I7114" s="23" t="s">
        <v>2427</v>
      </c>
      <c r="J7114" s="21"/>
      <c r="K7114" s="21" t="s">
        <v>156</v>
      </c>
      <c r="L7114" s="21"/>
      <c r="M7114" s="21"/>
      <c r="N7114" s="21" t="s">
        <v>44</v>
      </c>
      <c r="O7114" s="21">
        <f>60+60</f>
        <v>120</v>
      </c>
      <c r="P7114" s="21"/>
      <c r="Q7114" s="21">
        <f t="shared" si="129"/>
        <v>2</v>
      </c>
      <c r="R7114" s="21">
        <v>1</v>
      </c>
      <c r="S7114" s="21">
        <v>0</v>
      </c>
      <c r="T7114" s="21">
        <v>0</v>
      </c>
      <c r="U7114" s="21">
        <v>0</v>
      </c>
      <c r="V7114" s="21">
        <v>0</v>
      </c>
      <c r="W7114" s="21">
        <v>2</v>
      </c>
      <c r="X7114" s="21">
        <v>0</v>
      </c>
      <c r="Y7114" s="21">
        <v>0</v>
      </c>
      <c r="Z7114" s="21">
        <v>0</v>
      </c>
      <c r="AA7114" s="21">
        <v>0</v>
      </c>
      <c r="AB7114" s="21">
        <v>0</v>
      </c>
      <c r="AC7114" s="21">
        <v>0</v>
      </c>
      <c r="AD7114" s="21">
        <v>0</v>
      </c>
      <c r="AE7114" s="21">
        <v>0</v>
      </c>
      <c r="AF7114" s="21">
        <v>0</v>
      </c>
      <c r="AG7114" s="21">
        <v>0</v>
      </c>
      <c r="AH7114" s="21">
        <f t="shared" si="130"/>
        <v>192</v>
      </c>
      <c r="AI7114" s="21"/>
      <c r="AJ7114" s="21" t="s">
        <v>54</v>
      </c>
      <c r="AK7114" s="21" t="s">
        <v>95</v>
      </c>
      <c r="AL7114" s="21" t="s">
        <v>2428</v>
      </c>
      <c r="AM7114" s="21" t="s">
        <v>2429</v>
      </c>
      <c r="AN7114" s="21">
        <v>-122.444796583333</v>
      </c>
      <c r="AO7114" s="21">
        <v>37.795971566666701</v>
      </c>
      <c r="AP7114" s="21" t="s">
        <v>1915</v>
      </c>
    </row>
    <row r="7115" spans="1:42">
      <c r="A7115" s="20">
        <v>43853</v>
      </c>
      <c r="B7115" s="21">
        <v>4</v>
      </c>
      <c r="C7115" s="21">
        <v>985</v>
      </c>
      <c r="D7115" s="21">
        <v>14358</v>
      </c>
      <c r="E7115" s="21" t="s">
        <v>2123</v>
      </c>
      <c r="F7115" s="21" t="s">
        <v>520</v>
      </c>
      <c r="G7115" s="21">
        <v>1</v>
      </c>
      <c r="H7115" s="21">
        <v>143</v>
      </c>
      <c r="I7115" s="23" t="s">
        <v>2430</v>
      </c>
      <c r="J7115" s="21"/>
      <c r="K7115" s="21" t="s">
        <v>156</v>
      </c>
      <c r="L7115" s="21"/>
      <c r="M7115" s="21"/>
      <c r="N7115" s="21" t="s">
        <v>44</v>
      </c>
      <c r="O7115" s="21">
        <f>60+14</f>
        <v>74</v>
      </c>
      <c r="P7115" s="21"/>
      <c r="Q7115" s="21">
        <f t="shared" si="129"/>
        <v>2</v>
      </c>
      <c r="R7115" s="21">
        <v>1</v>
      </c>
      <c r="S7115" s="21">
        <v>0</v>
      </c>
      <c r="T7115" s="21">
        <v>0</v>
      </c>
      <c r="U7115" s="21">
        <v>0</v>
      </c>
      <c r="V7115" s="21">
        <v>0</v>
      </c>
      <c r="W7115" s="21">
        <v>2</v>
      </c>
      <c r="X7115" s="21">
        <v>0</v>
      </c>
      <c r="Y7115" s="21">
        <v>0</v>
      </c>
      <c r="Z7115" s="21">
        <v>0</v>
      </c>
      <c r="AA7115" s="21">
        <v>0</v>
      </c>
      <c r="AB7115" s="21">
        <v>0</v>
      </c>
      <c r="AC7115" s="21">
        <v>0</v>
      </c>
      <c r="AD7115" s="21">
        <v>0</v>
      </c>
      <c r="AE7115" s="21">
        <v>0</v>
      </c>
      <c r="AF7115" s="21">
        <v>0</v>
      </c>
      <c r="AG7115" s="21">
        <v>0</v>
      </c>
      <c r="AH7115" s="21">
        <f t="shared" si="130"/>
        <v>192</v>
      </c>
      <c r="AI7115" s="21"/>
      <c r="AJ7115" s="21" t="s">
        <v>54</v>
      </c>
      <c r="AK7115" s="21" t="s">
        <v>52</v>
      </c>
      <c r="AL7115" s="21" t="s">
        <v>2431</v>
      </c>
      <c r="AM7115" s="21" t="s">
        <v>2432</v>
      </c>
      <c r="AN7115" s="21">
        <v>-122.445083883333</v>
      </c>
      <c r="AO7115" s="21">
        <v>37.795936349999998</v>
      </c>
      <c r="AP7115" s="21" t="s">
        <v>1915</v>
      </c>
    </row>
    <row r="7116" spans="1:42">
      <c r="A7116" s="20">
        <v>43853</v>
      </c>
      <c r="B7116" s="21">
        <v>4</v>
      </c>
      <c r="C7116" s="21">
        <v>985</v>
      </c>
      <c r="D7116" s="21">
        <v>14358</v>
      </c>
      <c r="E7116" s="21" t="s">
        <v>2123</v>
      </c>
      <c r="F7116" s="21" t="s">
        <v>520</v>
      </c>
      <c r="G7116" s="21">
        <v>1</v>
      </c>
      <c r="H7116" s="21">
        <v>144</v>
      </c>
      <c r="I7116" s="23" t="s">
        <v>2433</v>
      </c>
      <c r="J7116" s="21"/>
      <c r="K7116" s="21" t="s">
        <v>156</v>
      </c>
      <c r="L7116" s="21"/>
      <c r="M7116" s="21"/>
      <c r="N7116" s="21" t="s">
        <v>44</v>
      </c>
      <c r="O7116" s="21">
        <f>60+45</f>
        <v>105</v>
      </c>
      <c r="P7116" s="21"/>
      <c r="Q7116" s="21">
        <f t="shared" si="129"/>
        <v>1</v>
      </c>
      <c r="R7116" s="21">
        <v>1</v>
      </c>
      <c r="S7116" s="21">
        <v>0</v>
      </c>
      <c r="T7116" s="21">
        <v>0</v>
      </c>
      <c r="U7116" s="21">
        <v>0</v>
      </c>
      <c r="V7116" s="21">
        <v>0</v>
      </c>
      <c r="W7116" s="21">
        <v>1</v>
      </c>
      <c r="X7116" s="21">
        <v>0</v>
      </c>
      <c r="Y7116" s="21">
        <v>0</v>
      </c>
      <c r="Z7116" s="21">
        <v>0</v>
      </c>
      <c r="AA7116" s="21">
        <v>0</v>
      </c>
      <c r="AB7116" s="21">
        <v>0</v>
      </c>
      <c r="AC7116" s="21">
        <v>0</v>
      </c>
      <c r="AD7116" s="21">
        <v>0</v>
      </c>
      <c r="AE7116" s="21">
        <v>0</v>
      </c>
      <c r="AF7116" s="21">
        <v>0</v>
      </c>
      <c r="AG7116" s="21">
        <v>0</v>
      </c>
      <c r="AH7116" s="21">
        <f t="shared" si="130"/>
        <v>96</v>
      </c>
      <c r="AI7116" s="21"/>
      <c r="AJ7116" s="21" t="s">
        <v>54</v>
      </c>
      <c r="AK7116" s="21" t="s">
        <v>52</v>
      </c>
      <c r="AL7116" s="21" t="s">
        <v>2434</v>
      </c>
      <c r="AM7116" s="21" t="s">
        <v>2435</v>
      </c>
      <c r="AN7116" s="21">
        <v>-122.445140133333</v>
      </c>
      <c r="AO7116" s="21">
        <v>37.795919050000002</v>
      </c>
      <c r="AP7116" s="21" t="s">
        <v>1915</v>
      </c>
    </row>
    <row r="7117" spans="1:42">
      <c r="A7117" s="20">
        <v>43853</v>
      </c>
      <c r="B7117" s="21">
        <v>4</v>
      </c>
      <c r="C7117" s="21">
        <v>985</v>
      </c>
      <c r="D7117" s="21">
        <v>14358</v>
      </c>
      <c r="E7117" s="21" t="s">
        <v>2123</v>
      </c>
      <c r="F7117" s="21" t="s">
        <v>520</v>
      </c>
      <c r="G7117" s="21">
        <v>1</v>
      </c>
      <c r="H7117" s="21">
        <v>145</v>
      </c>
      <c r="I7117" s="23" t="s">
        <v>2436</v>
      </c>
      <c r="J7117" s="21"/>
      <c r="K7117" s="21" t="s">
        <v>156</v>
      </c>
      <c r="L7117" s="21"/>
      <c r="M7117" s="21"/>
      <c r="N7117" s="21" t="s">
        <v>44</v>
      </c>
      <c r="O7117" s="21">
        <f>60+45</f>
        <v>105</v>
      </c>
      <c r="P7117" s="21"/>
      <c r="Q7117" s="21">
        <f t="shared" si="129"/>
        <v>1</v>
      </c>
      <c r="R7117" s="21">
        <v>1</v>
      </c>
      <c r="S7117" s="21">
        <v>0</v>
      </c>
      <c r="T7117" s="21">
        <v>0</v>
      </c>
      <c r="U7117" s="21">
        <v>0</v>
      </c>
      <c r="V7117" s="21">
        <v>0</v>
      </c>
      <c r="W7117" s="21">
        <v>1</v>
      </c>
      <c r="X7117" s="21">
        <v>0</v>
      </c>
      <c r="Y7117" s="21">
        <v>0</v>
      </c>
      <c r="Z7117" s="21">
        <v>0</v>
      </c>
      <c r="AA7117" s="21">
        <v>0</v>
      </c>
      <c r="AB7117" s="21">
        <v>0</v>
      </c>
      <c r="AC7117" s="21">
        <v>0</v>
      </c>
      <c r="AD7117" s="21">
        <v>0</v>
      </c>
      <c r="AE7117" s="21">
        <v>0</v>
      </c>
      <c r="AF7117" s="21">
        <v>0</v>
      </c>
      <c r="AG7117" s="21">
        <v>0</v>
      </c>
      <c r="AH7117" s="21">
        <f t="shared" si="130"/>
        <v>96</v>
      </c>
      <c r="AI7117" s="21"/>
      <c r="AJ7117" s="21" t="s">
        <v>54</v>
      </c>
      <c r="AK7117" s="21" t="s">
        <v>52</v>
      </c>
      <c r="AL7117" s="21" t="s">
        <v>2437</v>
      </c>
      <c r="AM7117" s="21" t="s">
        <v>2438</v>
      </c>
      <c r="AN7117" s="21">
        <v>-122.44516976666699</v>
      </c>
      <c r="AO7117" s="21">
        <v>37.7959213166667</v>
      </c>
      <c r="AP7117" s="21" t="s">
        <v>1915</v>
      </c>
    </row>
    <row r="7118" spans="1:42">
      <c r="A7118" s="20">
        <v>43853</v>
      </c>
      <c r="B7118" s="21">
        <v>4</v>
      </c>
      <c r="C7118" s="21">
        <v>985</v>
      </c>
      <c r="D7118" s="21">
        <v>14358</v>
      </c>
      <c r="E7118" s="21" t="s">
        <v>2123</v>
      </c>
      <c r="F7118" s="21" t="s">
        <v>520</v>
      </c>
      <c r="G7118" s="21">
        <v>1</v>
      </c>
      <c r="H7118" s="21">
        <v>146</v>
      </c>
      <c r="I7118" s="23" t="s">
        <v>2439</v>
      </c>
      <c r="J7118" s="21"/>
      <c r="K7118" s="21" t="s">
        <v>329</v>
      </c>
      <c r="L7118" s="21"/>
      <c r="M7118" s="21"/>
      <c r="N7118" s="21" t="s">
        <v>44</v>
      </c>
      <c r="O7118" s="21">
        <f>60+60+27</f>
        <v>147</v>
      </c>
      <c r="P7118" s="21"/>
      <c r="Q7118" s="21">
        <f t="shared" si="129"/>
        <v>1</v>
      </c>
      <c r="R7118" s="21">
        <v>1</v>
      </c>
      <c r="S7118" s="21">
        <v>0</v>
      </c>
      <c r="T7118" s="21">
        <v>0</v>
      </c>
      <c r="U7118" s="21">
        <v>0</v>
      </c>
      <c r="V7118" s="21">
        <v>0</v>
      </c>
      <c r="W7118" s="21">
        <v>1</v>
      </c>
      <c r="X7118" s="21">
        <v>0</v>
      </c>
      <c r="Y7118" s="21">
        <v>0</v>
      </c>
      <c r="Z7118" s="21">
        <v>0</v>
      </c>
      <c r="AA7118" s="21">
        <v>0</v>
      </c>
      <c r="AB7118" s="21">
        <v>0</v>
      </c>
      <c r="AC7118" s="21">
        <v>0</v>
      </c>
      <c r="AD7118" s="21">
        <v>0</v>
      </c>
      <c r="AE7118" s="21">
        <v>0</v>
      </c>
      <c r="AF7118" s="21">
        <v>0</v>
      </c>
      <c r="AG7118" s="21">
        <v>0</v>
      </c>
      <c r="AH7118" s="21">
        <f t="shared" si="130"/>
        <v>96</v>
      </c>
      <c r="AI7118" s="21"/>
      <c r="AJ7118" s="21" t="s">
        <v>54</v>
      </c>
      <c r="AK7118" s="21" t="s">
        <v>52</v>
      </c>
      <c r="AL7118" s="21" t="s">
        <v>2440</v>
      </c>
      <c r="AM7118" s="21" t="s">
        <v>2441</v>
      </c>
      <c r="AN7118" s="21">
        <v>-122.44544183333301</v>
      </c>
      <c r="AO7118" s="21">
        <v>37.795993283333303</v>
      </c>
      <c r="AP7118" s="21" t="s">
        <v>1915</v>
      </c>
    </row>
    <row r="7119" spans="1:42">
      <c r="A7119" s="20">
        <v>43853</v>
      </c>
      <c r="B7119" s="21">
        <v>4</v>
      </c>
      <c r="C7119" s="21">
        <v>985</v>
      </c>
      <c r="D7119" s="21">
        <v>14358</v>
      </c>
      <c r="E7119" s="21" t="s">
        <v>2123</v>
      </c>
      <c r="F7119" s="21" t="s">
        <v>520</v>
      </c>
      <c r="G7119" s="21">
        <v>1</v>
      </c>
      <c r="H7119" s="21">
        <v>147</v>
      </c>
      <c r="I7119" s="23">
        <v>0</v>
      </c>
      <c r="J7119" s="21"/>
      <c r="K7119" s="21" t="s">
        <v>2442</v>
      </c>
      <c r="L7119" s="21"/>
      <c r="M7119" s="21"/>
      <c r="N7119" s="21" t="s">
        <v>40</v>
      </c>
      <c r="O7119" s="21"/>
      <c r="P7119" s="21">
        <f>6+6+6+5</f>
        <v>23</v>
      </c>
      <c r="Q7119" s="21">
        <f t="shared" si="129"/>
        <v>7</v>
      </c>
      <c r="R7119" s="21"/>
      <c r="S7119" s="21">
        <v>0</v>
      </c>
      <c r="T7119" s="21">
        <v>0</v>
      </c>
      <c r="U7119" s="21">
        <v>2</v>
      </c>
      <c r="V7119" s="21">
        <v>2</v>
      </c>
      <c r="W7119" s="21">
        <v>3</v>
      </c>
      <c r="X7119" s="21">
        <v>0</v>
      </c>
      <c r="Y7119" s="21">
        <v>0</v>
      </c>
      <c r="Z7119" s="21">
        <v>0</v>
      </c>
      <c r="AA7119" s="21">
        <v>0</v>
      </c>
      <c r="AB7119" s="21">
        <v>0</v>
      </c>
      <c r="AC7119" s="21">
        <v>0</v>
      </c>
      <c r="AD7119" s="21">
        <v>0</v>
      </c>
      <c r="AE7119" s="21">
        <v>0</v>
      </c>
      <c r="AF7119" s="21">
        <v>0</v>
      </c>
      <c r="AG7119" s="21">
        <v>0</v>
      </c>
      <c r="AH7119" s="21">
        <f t="shared" si="130"/>
        <v>480</v>
      </c>
      <c r="AI7119" s="21"/>
      <c r="AJ7119" s="21" t="s">
        <v>54</v>
      </c>
      <c r="AK7119" s="21" t="s">
        <v>52</v>
      </c>
      <c r="AL7119" s="21"/>
      <c r="AM7119" s="21" t="s">
        <v>2443</v>
      </c>
      <c r="AN7119" s="21">
        <v>-122.44523131666701</v>
      </c>
      <c r="AO7119" s="21">
        <v>37.7972838833333</v>
      </c>
      <c r="AP7119" s="21" t="s">
        <v>1915</v>
      </c>
    </row>
    <row r="7120" spans="1:42">
      <c r="A7120" s="20">
        <v>43853</v>
      </c>
      <c r="B7120" s="21">
        <v>4</v>
      </c>
      <c r="C7120" s="21">
        <v>985</v>
      </c>
      <c r="D7120" s="21">
        <v>14358</v>
      </c>
      <c r="E7120" s="21" t="s">
        <v>2123</v>
      </c>
      <c r="F7120" s="21" t="s">
        <v>520</v>
      </c>
      <c r="G7120" s="21">
        <v>1</v>
      </c>
      <c r="H7120" s="21">
        <v>148</v>
      </c>
      <c r="I7120" s="23" t="s">
        <v>2444</v>
      </c>
      <c r="J7120" s="21"/>
      <c r="K7120" s="21" t="s">
        <v>329</v>
      </c>
      <c r="L7120" s="21"/>
      <c r="M7120" s="21"/>
      <c r="N7120" s="21" t="s">
        <v>40</v>
      </c>
      <c r="O7120" s="21">
        <v>48</v>
      </c>
      <c r="P7120" s="21"/>
      <c r="Q7120" s="21">
        <f t="shared" si="129"/>
        <v>4</v>
      </c>
      <c r="R7120" s="21">
        <v>1</v>
      </c>
      <c r="S7120" s="21">
        <v>0</v>
      </c>
      <c r="T7120" s="21">
        <v>0</v>
      </c>
      <c r="U7120" s="21">
        <v>2</v>
      </c>
      <c r="V7120" s="21">
        <v>2</v>
      </c>
      <c r="W7120" s="21">
        <v>0</v>
      </c>
      <c r="X7120" s="21">
        <v>0</v>
      </c>
      <c r="Y7120" s="21">
        <v>0</v>
      </c>
      <c r="Z7120" s="21">
        <v>0</v>
      </c>
      <c r="AA7120" s="21">
        <v>0</v>
      </c>
      <c r="AB7120" s="21">
        <v>0</v>
      </c>
      <c r="AC7120" s="21">
        <v>0</v>
      </c>
      <c r="AD7120" s="21">
        <v>0</v>
      </c>
      <c r="AE7120" s="21">
        <v>0</v>
      </c>
      <c r="AF7120" s="21">
        <v>0</v>
      </c>
      <c r="AG7120" s="21">
        <v>0</v>
      </c>
      <c r="AH7120" s="21">
        <f t="shared" si="130"/>
        <v>192</v>
      </c>
      <c r="AI7120" s="21"/>
      <c r="AJ7120" s="21" t="s">
        <v>51</v>
      </c>
      <c r="AK7120" s="21" t="s">
        <v>95</v>
      </c>
      <c r="AL7120" s="21"/>
      <c r="AM7120" s="21" t="s">
        <v>2445</v>
      </c>
      <c r="AN7120" s="21">
        <v>-122.445722066667</v>
      </c>
      <c r="AO7120" s="21">
        <v>37.797492016666602</v>
      </c>
      <c r="AP7120" s="21" t="s">
        <v>1915</v>
      </c>
    </row>
    <row r="7121" spans="1:42">
      <c r="A7121" s="20">
        <v>43853</v>
      </c>
      <c r="B7121" s="21">
        <v>4</v>
      </c>
      <c r="C7121" s="21">
        <v>985</v>
      </c>
      <c r="D7121" s="21">
        <v>14358</v>
      </c>
      <c r="E7121" s="21" t="s">
        <v>2123</v>
      </c>
      <c r="F7121" s="21" t="s">
        <v>520</v>
      </c>
      <c r="G7121" s="21">
        <v>1</v>
      </c>
      <c r="H7121" s="21">
        <v>149</v>
      </c>
      <c r="I7121" s="23" t="s">
        <v>2446</v>
      </c>
      <c r="J7121" s="21"/>
      <c r="K7121" s="21" t="s">
        <v>329</v>
      </c>
      <c r="L7121" s="21"/>
      <c r="M7121" s="21"/>
      <c r="N7121" s="21" t="s">
        <v>40</v>
      </c>
      <c r="O7121" s="21">
        <v>54</v>
      </c>
      <c r="P7121" s="21"/>
      <c r="Q7121" s="21">
        <f t="shared" si="129"/>
        <v>2</v>
      </c>
      <c r="R7121" s="21">
        <v>1</v>
      </c>
      <c r="S7121" s="21">
        <v>0</v>
      </c>
      <c r="T7121" s="21">
        <v>0</v>
      </c>
      <c r="U7121" s="21">
        <v>0</v>
      </c>
      <c r="V7121" s="21">
        <v>1</v>
      </c>
      <c r="W7121" s="21">
        <v>1</v>
      </c>
      <c r="X7121" s="21">
        <v>0</v>
      </c>
      <c r="Y7121" s="21">
        <v>0</v>
      </c>
      <c r="Z7121" s="21">
        <v>0</v>
      </c>
      <c r="AA7121" s="21">
        <v>0</v>
      </c>
      <c r="AB7121" s="21">
        <v>0</v>
      </c>
      <c r="AC7121" s="21">
        <v>0</v>
      </c>
      <c r="AD7121" s="21">
        <v>0</v>
      </c>
      <c r="AE7121" s="21">
        <v>0</v>
      </c>
      <c r="AF7121" s="21">
        <v>0</v>
      </c>
      <c r="AG7121" s="21">
        <v>0</v>
      </c>
      <c r="AH7121" s="21">
        <f t="shared" si="130"/>
        <v>160</v>
      </c>
      <c r="AI7121" s="21"/>
      <c r="AJ7121" s="21" t="s">
        <v>51</v>
      </c>
      <c r="AK7121" s="21" t="s">
        <v>52</v>
      </c>
      <c r="AL7121" s="21"/>
      <c r="AM7121" s="21" t="s">
        <v>2447</v>
      </c>
      <c r="AN7121" s="21">
        <v>-122.445864516667</v>
      </c>
      <c r="AO7121" s="21">
        <v>37.798033750000002</v>
      </c>
      <c r="AP7121" s="21" t="s">
        <v>1915</v>
      </c>
    </row>
    <row r="7122" spans="1:42">
      <c r="A7122" s="20">
        <v>43853</v>
      </c>
      <c r="B7122" s="21">
        <v>4</v>
      </c>
      <c r="C7122" s="21">
        <v>985</v>
      </c>
      <c r="D7122" s="21">
        <v>14358</v>
      </c>
      <c r="E7122" s="21" t="s">
        <v>2123</v>
      </c>
      <c r="F7122" s="21" t="s">
        <v>520</v>
      </c>
      <c r="G7122" s="21">
        <v>1</v>
      </c>
      <c r="H7122" s="21">
        <v>150</v>
      </c>
      <c r="I7122" s="23" t="s">
        <v>2448</v>
      </c>
      <c r="J7122" s="21"/>
      <c r="K7122" s="21" t="s">
        <v>329</v>
      </c>
      <c r="L7122" s="21"/>
      <c r="M7122" s="21"/>
      <c r="N7122" s="21" t="s">
        <v>40</v>
      </c>
      <c r="O7122" s="21">
        <v>39</v>
      </c>
      <c r="P7122" s="21"/>
      <c r="Q7122" s="21">
        <f t="shared" si="129"/>
        <v>1</v>
      </c>
      <c r="R7122" s="21">
        <v>1</v>
      </c>
      <c r="S7122" s="21">
        <v>0</v>
      </c>
      <c r="T7122" s="21">
        <v>0</v>
      </c>
      <c r="U7122" s="21">
        <v>0</v>
      </c>
      <c r="V7122" s="21">
        <v>0</v>
      </c>
      <c r="W7122" s="21">
        <v>1</v>
      </c>
      <c r="X7122" s="21">
        <v>0</v>
      </c>
      <c r="Y7122" s="21">
        <v>0</v>
      </c>
      <c r="Z7122" s="21">
        <v>0</v>
      </c>
      <c r="AA7122" s="21">
        <v>0</v>
      </c>
      <c r="AB7122" s="21">
        <v>0</v>
      </c>
      <c r="AC7122" s="21">
        <v>0</v>
      </c>
      <c r="AD7122" s="21">
        <v>0</v>
      </c>
      <c r="AE7122" s="21">
        <v>0</v>
      </c>
      <c r="AF7122" s="21">
        <v>0</v>
      </c>
      <c r="AG7122" s="21">
        <v>0</v>
      </c>
      <c r="AH7122" s="21">
        <f t="shared" si="130"/>
        <v>96</v>
      </c>
      <c r="AI7122" s="21"/>
      <c r="AJ7122" s="21" t="s">
        <v>51</v>
      </c>
      <c r="AK7122" s="21" t="s">
        <v>52</v>
      </c>
      <c r="AL7122" s="21"/>
      <c r="AM7122" s="21" t="s">
        <v>2449</v>
      </c>
      <c r="AN7122" s="21">
        <v>-122.445817333333</v>
      </c>
      <c r="AO7122" s="21">
        <v>37.7980785833333</v>
      </c>
      <c r="AP7122" s="21" t="s">
        <v>1915</v>
      </c>
    </row>
    <row r="7123" spans="1:42">
      <c r="A7123" s="20">
        <v>43853</v>
      </c>
      <c r="B7123" s="21">
        <v>4</v>
      </c>
      <c r="C7123" s="21">
        <v>985</v>
      </c>
      <c r="D7123" s="21">
        <v>14358</v>
      </c>
      <c r="E7123" s="21" t="s">
        <v>2123</v>
      </c>
      <c r="F7123" s="21" t="s">
        <v>520</v>
      </c>
      <c r="G7123" s="21">
        <v>1</v>
      </c>
      <c r="H7123" s="21">
        <v>151</v>
      </c>
      <c r="I7123" s="23" t="s">
        <v>2450</v>
      </c>
      <c r="J7123" s="21"/>
      <c r="K7123" s="21" t="s">
        <v>329</v>
      </c>
      <c r="L7123" s="21"/>
      <c r="M7123" s="21"/>
      <c r="N7123" s="21" t="s">
        <v>40</v>
      </c>
      <c r="O7123" s="21">
        <v>51</v>
      </c>
      <c r="P7123" s="21"/>
      <c r="Q7123" s="21">
        <f t="shared" si="129"/>
        <v>2</v>
      </c>
      <c r="R7123" s="21">
        <v>1</v>
      </c>
      <c r="S7123" s="21">
        <v>0</v>
      </c>
      <c r="T7123" s="21">
        <v>0</v>
      </c>
      <c r="U7123" s="21">
        <v>0</v>
      </c>
      <c r="V7123" s="21">
        <v>2</v>
      </c>
      <c r="W7123" s="21">
        <v>0</v>
      </c>
      <c r="X7123" s="21">
        <v>0</v>
      </c>
      <c r="Y7123" s="21">
        <v>0</v>
      </c>
      <c r="Z7123" s="21">
        <v>0</v>
      </c>
      <c r="AA7123" s="21">
        <v>0</v>
      </c>
      <c r="AB7123" s="21">
        <v>0</v>
      </c>
      <c r="AC7123" s="21">
        <v>0</v>
      </c>
      <c r="AD7123" s="21">
        <v>0</v>
      </c>
      <c r="AE7123" s="21">
        <v>0</v>
      </c>
      <c r="AF7123" s="21">
        <v>0</v>
      </c>
      <c r="AG7123" s="21">
        <v>0</v>
      </c>
      <c r="AH7123" s="21">
        <f t="shared" si="130"/>
        <v>128</v>
      </c>
      <c r="AI7123" s="21"/>
      <c r="AJ7123" s="21" t="s">
        <v>51</v>
      </c>
      <c r="AK7123" s="21" t="s">
        <v>52</v>
      </c>
      <c r="AL7123" s="21"/>
      <c r="AM7123" s="21" t="s">
        <v>2451</v>
      </c>
      <c r="AN7123" s="21">
        <v>-122.445859916667</v>
      </c>
      <c r="AO7123" s="21">
        <v>37.7981838166667</v>
      </c>
      <c r="AP7123" s="21" t="s">
        <v>1915</v>
      </c>
    </row>
    <row r="7124" spans="1:42">
      <c r="A7124" s="20">
        <v>43853</v>
      </c>
      <c r="B7124" s="21">
        <v>4</v>
      </c>
      <c r="C7124" s="21">
        <v>985</v>
      </c>
      <c r="D7124" s="21">
        <v>14358</v>
      </c>
      <c r="E7124" s="21" t="s">
        <v>2123</v>
      </c>
      <c r="F7124" s="21" t="s">
        <v>520</v>
      </c>
      <c r="G7124" s="21">
        <v>1</v>
      </c>
      <c r="H7124" s="21">
        <v>152</v>
      </c>
      <c r="I7124" s="23" t="s">
        <v>2452</v>
      </c>
      <c r="J7124" s="21"/>
      <c r="K7124" s="21" t="s">
        <v>329</v>
      </c>
      <c r="L7124" s="21"/>
      <c r="M7124" s="21"/>
      <c r="N7124" s="21" t="s">
        <v>40</v>
      </c>
      <c r="O7124" s="21">
        <v>53</v>
      </c>
      <c r="P7124" s="21"/>
      <c r="Q7124" s="21">
        <f t="shared" si="129"/>
        <v>3</v>
      </c>
      <c r="R7124" s="21">
        <v>1</v>
      </c>
      <c r="S7124" s="21">
        <v>0</v>
      </c>
      <c r="T7124" s="21">
        <v>0</v>
      </c>
      <c r="U7124" s="21">
        <v>1</v>
      </c>
      <c r="V7124" s="21">
        <v>0</v>
      </c>
      <c r="W7124" s="21">
        <v>2</v>
      </c>
      <c r="X7124" s="21">
        <v>0</v>
      </c>
      <c r="Y7124" s="21">
        <v>0</v>
      </c>
      <c r="Z7124" s="21">
        <v>0</v>
      </c>
      <c r="AA7124" s="21">
        <v>0</v>
      </c>
      <c r="AB7124" s="21">
        <v>0</v>
      </c>
      <c r="AC7124" s="21">
        <v>0</v>
      </c>
      <c r="AD7124" s="21">
        <v>0</v>
      </c>
      <c r="AE7124" s="21">
        <v>0</v>
      </c>
      <c r="AF7124" s="21">
        <v>0</v>
      </c>
      <c r="AG7124" s="21">
        <v>0</v>
      </c>
      <c r="AH7124" s="21">
        <f t="shared" si="130"/>
        <v>224</v>
      </c>
      <c r="AI7124" s="21"/>
      <c r="AJ7124" s="21" t="s">
        <v>51</v>
      </c>
      <c r="AK7124" s="21" t="s">
        <v>52</v>
      </c>
      <c r="AL7124" s="21"/>
      <c r="AM7124" s="21" t="s">
        <v>2453</v>
      </c>
      <c r="AN7124" s="21">
        <v>-122.4459648</v>
      </c>
      <c r="AO7124" s="21">
        <v>37.798422483333297</v>
      </c>
      <c r="AP7124" s="21" t="s">
        <v>1915</v>
      </c>
    </row>
    <row r="7125" spans="1:42">
      <c r="A7125" s="20">
        <v>43853</v>
      </c>
      <c r="B7125" s="21">
        <v>4</v>
      </c>
      <c r="C7125" s="21">
        <v>985</v>
      </c>
      <c r="D7125" s="21">
        <v>14358</v>
      </c>
      <c r="E7125" s="21" t="s">
        <v>2123</v>
      </c>
      <c r="F7125" s="21" t="s">
        <v>520</v>
      </c>
      <c r="G7125" s="21">
        <v>1</v>
      </c>
      <c r="H7125" s="21">
        <v>153</v>
      </c>
      <c r="I7125" s="23" t="s">
        <v>2454</v>
      </c>
      <c r="J7125" s="21"/>
      <c r="K7125" s="21" t="s">
        <v>329</v>
      </c>
      <c r="L7125" s="21"/>
      <c r="M7125" s="21"/>
      <c r="N7125" s="21" t="s">
        <v>40</v>
      </c>
      <c r="O7125" s="21">
        <v>36</v>
      </c>
      <c r="P7125" s="21"/>
      <c r="Q7125" s="21">
        <f t="shared" si="129"/>
        <v>2</v>
      </c>
      <c r="R7125" s="21">
        <v>1</v>
      </c>
      <c r="S7125" s="21">
        <v>0</v>
      </c>
      <c r="T7125" s="21">
        <v>0</v>
      </c>
      <c r="U7125" s="21">
        <v>1</v>
      </c>
      <c r="V7125" s="21">
        <v>1</v>
      </c>
      <c r="W7125" s="21">
        <v>0</v>
      </c>
      <c r="X7125" s="21">
        <v>0</v>
      </c>
      <c r="Y7125" s="21">
        <v>0</v>
      </c>
      <c r="Z7125" s="21">
        <v>0</v>
      </c>
      <c r="AA7125" s="21">
        <v>0</v>
      </c>
      <c r="AB7125" s="21">
        <v>0</v>
      </c>
      <c r="AC7125" s="21">
        <v>0</v>
      </c>
      <c r="AD7125" s="21">
        <v>0</v>
      </c>
      <c r="AE7125" s="21">
        <v>0</v>
      </c>
      <c r="AF7125" s="21">
        <v>0</v>
      </c>
      <c r="AG7125" s="21">
        <v>0</v>
      </c>
      <c r="AH7125" s="21">
        <f t="shared" si="130"/>
        <v>96</v>
      </c>
      <c r="AI7125" s="21"/>
      <c r="AJ7125" s="21" t="s">
        <v>51</v>
      </c>
      <c r="AK7125" s="21" t="s">
        <v>95</v>
      </c>
      <c r="AL7125" s="21"/>
      <c r="AM7125" s="21" t="s">
        <v>2455</v>
      </c>
      <c r="AN7125" s="21">
        <v>-122.445967516667</v>
      </c>
      <c r="AO7125" s="21">
        <v>37.798817566666699</v>
      </c>
      <c r="AP7125" s="21" t="s">
        <v>1915</v>
      </c>
    </row>
    <row r="7126" spans="1:42">
      <c r="A7126" s="20">
        <v>43853</v>
      </c>
      <c r="B7126" s="21">
        <v>4</v>
      </c>
      <c r="C7126" s="21">
        <v>985</v>
      </c>
      <c r="D7126" s="21">
        <v>14358</v>
      </c>
      <c r="E7126" s="21" t="s">
        <v>2123</v>
      </c>
      <c r="F7126" s="21" t="s">
        <v>520</v>
      </c>
      <c r="G7126" s="21">
        <v>1</v>
      </c>
      <c r="H7126" s="21">
        <v>154</v>
      </c>
      <c r="I7126" s="23" t="s">
        <v>2456</v>
      </c>
      <c r="J7126" s="21"/>
      <c r="K7126" s="21" t="s">
        <v>329</v>
      </c>
      <c r="L7126" s="21"/>
      <c r="M7126" s="21"/>
      <c r="N7126" s="21" t="s">
        <v>44</v>
      </c>
      <c r="O7126" s="21">
        <f>60+19</f>
        <v>79</v>
      </c>
      <c r="P7126" s="21"/>
      <c r="Q7126" s="21">
        <f t="shared" si="129"/>
        <v>1</v>
      </c>
      <c r="R7126" s="21">
        <v>1</v>
      </c>
      <c r="S7126" s="21">
        <v>0</v>
      </c>
      <c r="T7126" s="21">
        <v>0</v>
      </c>
      <c r="U7126" s="21">
        <v>0</v>
      </c>
      <c r="V7126" s="21">
        <v>0</v>
      </c>
      <c r="W7126" s="21">
        <v>1</v>
      </c>
      <c r="X7126" s="21">
        <v>0</v>
      </c>
      <c r="Y7126" s="21">
        <v>0</v>
      </c>
      <c r="Z7126" s="21">
        <v>0</v>
      </c>
      <c r="AA7126" s="21">
        <v>0</v>
      </c>
      <c r="AB7126" s="21">
        <v>0</v>
      </c>
      <c r="AC7126" s="21">
        <v>0</v>
      </c>
      <c r="AD7126" s="21">
        <v>0</v>
      </c>
      <c r="AE7126" s="21">
        <v>0</v>
      </c>
      <c r="AF7126" s="21">
        <v>0</v>
      </c>
      <c r="AG7126" s="21">
        <v>0</v>
      </c>
      <c r="AH7126" s="21">
        <f t="shared" si="130"/>
        <v>96</v>
      </c>
      <c r="AI7126" s="21"/>
      <c r="AJ7126" s="21" t="s">
        <v>51</v>
      </c>
      <c r="AK7126" s="21" t="s">
        <v>95</v>
      </c>
      <c r="AL7126" s="21"/>
      <c r="AM7126" s="21" t="s">
        <v>2457</v>
      </c>
      <c r="AN7126" s="21">
        <v>-122.44599411666699</v>
      </c>
      <c r="AO7126" s="21">
        <v>37.798888750000003</v>
      </c>
      <c r="AP7126" s="21" t="s">
        <v>1915</v>
      </c>
    </row>
    <row r="7127" spans="1:42">
      <c r="A7127" s="20">
        <v>43853</v>
      </c>
      <c r="B7127" s="21">
        <v>4</v>
      </c>
      <c r="C7127" s="21">
        <v>985</v>
      </c>
      <c r="D7127" s="21">
        <v>14358</v>
      </c>
      <c r="E7127" s="21" t="s">
        <v>2123</v>
      </c>
      <c r="F7127" s="21" t="s">
        <v>520</v>
      </c>
      <c r="G7127" s="21">
        <v>1</v>
      </c>
      <c r="H7127" s="21">
        <v>155</v>
      </c>
      <c r="I7127" s="23" t="s">
        <v>2458</v>
      </c>
      <c r="J7127" s="21"/>
      <c r="K7127" s="21" t="s">
        <v>329</v>
      </c>
      <c r="L7127" s="21"/>
      <c r="M7127" s="21"/>
      <c r="N7127" s="21" t="s">
        <v>40</v>
      </c>
      <c r="O7127" s="21">
        <f>60+40</f>
        <v>100</v>
      </c>
      <c r="P7127" s="21"/>
      <c r="Q7127" s="21">
        <f t="shared" si="129"/>
        <v>3</v>
      </c>
      <c r="R7127" s="21">
        <v>1</v>
      </c>
      <c r="S7127" s="21">
        <v>0</v>
      </c>
      <c r="T7127" s="21">
        <v>0</v>
      </c>
      <c r="U7127" s="21">
        <v>3</v>
      </c>
      <c r="V7127" s="21">
        <v>0</v>
      </c>
      <c r="W7127" s="21">
        <v>0</v>
      </c>
      <c r="X7127" s="21">
        <v>0</v>
      </c>
      <c r="Y7127" s="21">
        <v>0</v>
      </c>
      <c r="Z7127" s="21">
        <v>0</v>
      </c>
      <c r="AA7127" s="21">
        <v>0</v>
      </c>
      <c r="AB7127" s="21">
        <v>0</v>
      </c>
      <c r="AC7127" s="21">
        <v>0</v>
      </c>
      <c r="AD7127" s="21">
        <v>0</v>
      </c>
      <c r="AE7127" s="21">
        <v>0</v>
      </c>
      <c r="AF7127" s="21">
        <v>0</v>
      </c>
      <c r="AG7127" s="21">
        <v>0</v>
      </c>
      <c r="AH7127" s="21">
        <f t="shared" si="130"/>
        <v>96</v>
      </c>
      <c r="AI7127" s="21"/>
      <c r="AJ7127" s="21"/>
      <c r="AK7127" s="21"/>
      <c r="AL7127" s="21"/>
      <c r="AM7127" s="21" t="s">
        <v>2459</v>
      </c>
      <c r="AN7127" s="21">
        <v>-122.44607241666699</v>
      </c>
      <c r="AO7127" s="21">
        <v>37.799081583333297</v>
      </c>
      <c r="AP7127" s="21" t="s">
        <v>1915</v>
      </c>
    </row>
    <row r="7128" spans="1:42">
      <c r="A7128" s="20">
        <v>43853</v>
      </c>
      <c r="B7128" s="21">
        <v>4</v>
      </c>
      <c r="C7128" s="21">
        <v>985</v>
      </c>
      <c r="D7128" s="21">
        <v>14358</v>
      </c>
      <c r="E7128" s="21" t="s">
        <v>2123</v>
      </c>
      <c r="F7128" s="21" t="s">
        <v>520</v>
      </c>
      <c r="G7128" s="21">
        <v>1</v>
      </c>
      <c r="H7128" s="21">
        <v>156</v>
      </c>
      <c r="I7128" s="23" t="s">
        <v>2460</v>
      </c>
      <c r="J7128" s="21"/>
      <c r="K7128" s="21" t="s">
        <v>415</v>
      </c>
      <c r="L7128" s="21"/>
      <c r="M7128" s="21"/>
      <c r="N7128" s="21" t="s">
        <v>40</v>
      </c>
      <c r="O7128" s="21">
        <v>57</v>
      </c>
      <c r="P7128" s="21"/>
      <c r="Q7128" s="21">
        <f t="shared" si="129"/>
        <v>1</v>
      </c>
      <c r="R7128" s="21">
        <v>1</v>
      </c>
      <c r="S7128" s="21">
        <v>0</v>
      </c>
      <c r="T7128" s="21">
        <v>0</v>
      </c>
      <c r="U7128" s="21">
        <v>0</v>
      </c>
      <c r="V7128" s="21">
        <v>0</v>
      </c>
      <c r="W7128" s="21">
        <v>1</v>
      </c>
      <c r="X7128" s="21">
        <v>0</v>
      </c>
      <c r="Y7128" s="21">
        <v>0</v>
      </c>
      <c r="Z7128" s="21">
        <v>0</v>
      </c>
      <c r="AA7128" s="21">
        <v>0</v>
      </c>
      <c r="AB7128" s="21">
        <v>0</v>
      </c>
      <c r="AC7128" s="21">
        <v>0</v>
      </c>
      <c r="AD7128" s="21">
        <v>0</v>
      </c>
      <c r="AE7128" s="21">
        <v>0</v>
      </c>
      <c r="AF7128" s="21">
        <v>0</v>
      </c>
      <c r="AG7128" s="21">
        <v>0</v>
      </c>
      <c r="AH7128" s="21">
        <f t="shared" si="130"/>
        <v>96</v>
      </c>
      <c r="AI7128" s="21"/>
      <c r="AJ7128" s="21" t="s">
        <v>51</v>
      </c>
      <c r="AK7128" s="21" t="s">
        <v>52</v>
      </c>
      <c r="AL7128" s="21" t="s">
        <v>1225</v>
      </c>
      <c r="AM7128" s="21" t="s">
        <v>2461</v>
      </c>
      <c r="AN7128" s="21">
        <v>-122.445296716667</v>
      </c>
      <c r="AO7128" s="21">
        <v>37.799025933333297</v>
      </c>
      <c r="AP7128" s="21" t="s">
        <v>1915</v>
      </c>
    </row>
    <row r="7129" spans="1:42">
      <c r="A7129" s="20">
        <v>43853</v>
      </c>
      <c r="B7129" s="21">
        <v>4</v>
      </c>
      <c r="C7129" s="21">
        <v>985</v>
      </c>
      <c r="D7129" s="21">
        <v>14358</v>
      </c>
      <c r="E7129" s="21" t="s">
        <v>2123</v>
      </c>
      <c r="F7129" s="21" t="s">
        <v>520</v>
      </c>
      <c r="G7129" s="21">
        <v>1</v>
      </c>
      <c r="H7129" s="21">
        <v>157</v>
      </c>
      <c r="I7129" s="23" t="s">
        <v>2462</v>
      </c>
      <c r="J7129" s="21"/>
      <c r="K7129" s="21" t="s">
        <v>220</v>
      </c>
      <c r="L7129" s="21"/>
      <c r="M7129" s="21"/>
      <c r="N7129" s="21" t="s">
        <v>44</v>
      </c>
      <c r="O7129" s="21">
        <f>60+8</f>
        <v>68</v>
      </c>
      <c r="P7129" s="21"/>
      <c r="Q7129" s="21">
        <f t="shared" si="129"/>
        <v>1</v>
      </c>
      <c r="R7129" s="21">
        <v>1</v>
      </c>
      <c r="S7129" s="21">
        <v>0</v>
      </c>
      <c r="T7129" s="21">
        <v>0</v>
      </c>
      <c r="U7129" s="21">
        <v>0</v>
      </c>
      <c r="V7129" s="21">
        <v>0</v>
      </c>
      <c r="W7129" s="21">
        <v>1</v>
      </c>
      <c r="X7129" s="21">
        <v>0</v>
      </c>
      <c r="Y7129" s="21">
        <v>0</v>
      </c>
      <c r="Z7129" s="21">
        <v>0</v>
      </c>
      <c r="AA7129" s="21">
        <v>0</v>
      </c>
      <c r="AB7129" s="21">
        <v>0</v>
      </c>
      <c r="AC7129" s="21">
        <v>0</v>
      </c>
      <c r="AD7129" s="21">
        <v>0</v>
      </c>
      <c r="AE7129" s="21">
        <v>0</v>
      </c>
      <c r="AF7129" s="21">
        <v>0</v>
      </c>
      <c r="AG7129" s="21">
        <v>0</v>
      </c>
      <c r="AH7129" s="21">
        <f t="shared" si="130"/>
        <v>96</v>
      </c>
      <c r="AI7129" s="21"/>
      <c r="AJ7129" s="21" t="s">
        <v>54</v>
      </c>
      <c r="AK7129" s="21" t="s">
        <v>95</v>
      </c>
      <c r="AL7129" s="21" t="s">
        <v>1957</v>
      </c>
      <c r="AM7129" s="21" t="s">
        <v>2463</v>
      </c>
      <c r="AN7129" s="21">
        <v>-122.44431153333301</v>
      </c>
      <c r="AO7129" s="21">
        <v>37.798446149999997</v>
      </c>
      <c r="AP7129" s="21" t="s">
        <v>1915</v>
      </c>
    </row>
    <row r="7130" spans="1:42">
      <c r="A7130" s="20">
        <v>43853</v>
      </c>
      <c r="B7130" s="21">
        <v>4</v>
      </c>
      <c r="C7130" s="21">
        <v>985</v>
      </c>
      <c r="D7130" s="21">
        <v>14358</v>
      </c>
      <c r="E7130" s="21" t="s">
        <v>2123</v>
      </c>
      <c r="F7130" s="21" t="s">
        <v>520</v>
      </c>
      <c r="G7130" s="21">
        <v>1</v>
      </c>
      <c r="H7130" s="21">
        <v>158</v>
      </c>
      <c r="I7130" s="23" t="s">
        <v>2464</v>
      </c>
      <c r="J7130" s="21"/>
      <c r="K7130" s="21" t="s">
        <v>148</v>
      </c>
      <c r="L7130" s="21"/>
      <c r="M7130" s="21"/>
      <c r="N7130" s="21" t="s">
        <v>44</v>
      </c>
      <c r="O7130" s="21">
        <f>60+60+60+5</f>
        <v>185</v>
      </c>
      <c r="P7130" s="21"/>
      <c r="Q7130" s="21">
        <f t="shared" si="129"/>
        <v>2</v>
      </c>
      <c r="R7130" s="21">
        <v>1</v>
      </c>
      <c r="S7130" s="21">
        <v>0</v>
      </c>
      <c r="T7130" s="21">
        <v>0</v>
      </c>
      <c r="U7130" s="21">
        <v>1</v>
      </c>
      <c r="V7130" s="21">
        <v>0</v>
      </c>
      <c r="W7130" s="21">
        <v>1</v>
      </c>
      <c r="X7130" s="21">
        <v>0</v>
      </c>
      <c r="Y7130" s="21">
        <v>0</v>
      </c>
      <c r="Z7130" s="21">
        <v>0</v>
      </c>
      <c r="AA7130" s="21">
        <v>0</v>
      </c>
      <c r="AB7130" s="21">
        <v>0</v>
      </c>
      <c r="AC7130" s="21">
        <v>0</v>
      </c>
      <c r="AD7130" s="21">
        <v>0</v>
      </c>
      <c r="AE7130" s="21">
        <v>0</v>
      </c>
      <c r="AF7130" s="21">
        <v>0</v>
      </c>
      <c r="AG7130" s="21">
        <v>0</v>
      </c>
      <c r="AH7130" s="21">
        <f t="shared" si="130"/>
        <v>128</v>
      </c>
      <c r="AI7130" s="21"/>
      <c r="AJ7130" s="21" t="s">
        <v>51</v>
      </c>
      <c r="AK7130" s="21" t="s">
        <v>52</v>
      </c>
      <c r="AL7130" s="21" t="s">
        <v>2465</v>
      </c>
      <c r="AM7130" s="21" t="s">
        <v>2466</v>
      </c>
      <c r="AN7130" s="21">
        <v>-122.44723216666701</v>
      </c>
      <c r="AO7130" s="21">
        <v>37.7979065166667</v>
      </c>
      <c r="AP7130" s="21" t="s">
        <v>1915</v>
      </c>
    </row>
    <row r="7131" spans="1:42">
      <c r="A7131" s="20">
        <v>43853</v>
      </c>
      <c r="B7131" s="21">
        <v>4</v>
      </c>
      <c r="C7131" s="21">
        <v>985</v>
      </c>
      <c r="D7131" s="21">
        <v>14358</v>
      </c>
      <c r="E7131" s="21" t="s">
        <v>2123</v>
      </c>
      <c r="F7131" s="21" t="s">
        <v>520</v>
      </c>
      <c r="G7131" s="21">
        <v>1</v>
      </c>
      <c r="H7131" s="21">
        <v>159</v>
      </c>
      <c r="I7131" s="23" t="s">
        <v>2467</v>
      </c>
      <c r="J7131" s="21"/>
      <c r="K7131" s="21" t="s">
        <v>324</v>
      </c>
      <c r="L7131" s="21"/>
      <c r="M7131" s="21"/>
      <c r="N7131" s="21" t="s">
        <v>44</v>
      </c>
      <c r="O7131" s="21">
        <f>60+16</f>
        <v>76</v>
      </c>
      <c r="P7131" s="21"/>
      <c r="Q7131" s="21">
        <f t="shared" si="129"/>
        <v>1</v>
      </c>
      <c r="R7131" s="21">
        <v>1</v>
      </c>
      <c r="S7131" s="21">
        <v>0</v>
      </c>
      <c r="T7131" s="21">
        <v>0</v>
      </c>
      <c r="U7131" s="21">
        <v>0</v>
      </c>
      <c r="V7131" s="21">
        <v>0</v>
      </c>
      <c r="W7131" s="21">
        <v>1</v>
      </c>
      <c r="X7131" s="21">
        <v>0</v>
      </c>
      <c r="Y7131" s="21">
        <v>0</v>
      </c>
      <c r="Z7131" s="21">
        <v>0</v>
      </c>
      <c r="AA7131" s="21">
        <v>0</v>
      </c>
      <c r="AB7131" s="21">
        <v>0</v>
      </c>
      <c r="AC7131" s="21">
        <v>0</v>
      </c>
      <c r="AD7131" s="21">
        <v>0</v>
      </c>
      <c r="AE7131" s="21">
        <v>0</v>
      </c>
      <c r="AF7131" s="21">
        <v>1</v>
      </c>
      <c r="AG7131" s="21">
        <v>0</v>
      </c>
      <c r="AH7131" s="21">
        <f t="shared" si="130"/>
        <v>96</v>
      </c>
      <c r="AI7131" s="21"/>
      <c r="AJ7131" s="21" t="s">
        <v>51</v>
      </c>
      <c r="AK7131" s="21" t="s">
        <v>52</v>
      </c>
      <c r="AL7131" s="21" t="s">
        <v>1957</v>
      </c>
      <c r="AM7131" s="21" t="s">
        <v>2468</v>
      </c>
      <c r="AN7131" s="21">
        <v>-122.44648271666701</v>
      </c>
      <c r="AO7131" s="21">
        <v>37.799375383333299</v>
      </c>
      <c r="AP7131" s="21" t="s">
        <v>1915</v>
      </c>
    </row>
    <row r="7132" spans="1:42">
      <c r="A7132" s="20">
        <v>43853</v>
      </c>
      <c r="B7132" s="21">
        <v>4</v>
      </c>
      <c r="C7132" s="21">
        <v>985</v>
      </c>
      <c r="D7132" s="21">
        <v>14358</v>
      </c>
      <c r="E7132" s="21" t="s">
        <v>2123</v>
      </c>
      <c r="F7132" s="21" t="s">
        <v>520</v>
      </c>
      <c r="G7132" s="21">
        <v>1</v>
      </c>
      <c r="H7132" s="21">
        <v>160</v>
      </c>
      <c r="I7132" s="23" t="s">
        <v>2469</v>
      </c>
      <c r="J7132" s="21"/>
      <c r="K7132" s="21" t="s">
        <v>329</v>
      </c>
      <c r="L7132" s="21"/>
      <c r="M7132" s="21"/>
      <c r="N7132" s="21" t="s">
        <v>40</v>
      </c>
      <c r="O7132" s="21">
        <v>30</v>
      </c>
      <c r="P7132" s="21"/>
      <c r="Q7132" s="21">
        <f t="shared" si="129"/>
        <v>1</v>
      </c>
      <c r="R7132" s="21">
        <v>1</v>
      </c>
      <c r="S7132" s="21">
        <v>0</v>
      </c>
      <c r="T7132" s="21">
        <v>0</v>
      </c>
      <c r="U7132" s="21">
        <v>0</v>
      </c>
      <c r="V7132" s="21">
        <v>1</v>
      </c>
      <c r="W7132" s="21">
        <v>0</v>
      </c>
      <c r="X7132" s="21">
        <v>0</v>
      </c>
      <c r="Y7132" s="21">
        <v>0</v>
      </c>
      <c r="Z7132" s="21">
        <v>0</v>
      </c>
      <c r="AA7132" s="21">
        <v>0</v>
      </c>
      <c r="AB7132" s="21">
        <v>0</v>
      </c>
      <c r="AC7132" s="21">
        <v>0</v>
      </c>
      <c r="AD7132" s="21">
        <v>0</v>
      </c>
      <c r="AE7132" s="21">
        <v>0</v>
      </c>
      <c r="AF7132" s="21">
        <v>0</v>
      </c>
      <c r="AG7132" s="21">
        <v>0</v>
      </c>
      <c r="AH7132" s="21">
        <f t="shared" si="130"/>
        <v>64</v>
      </c>
      <c r="AI7132" s="21"/>
      <c r="AJ7132" s="21" t="s">
        <v>51</v>
      </c>
      <c r="AK7132" s="21" t="s">
        <v>52</v>
      </c>
      <c r="AL7132" s="21"/>
      <c r="AM7132" s="21" t="s">
        <v>2470</v>
      </c>
      <c r="AN7132" s="21">
        <v>-122.446244133333</v>
      </c>
      <c r="AO7132" s="21">
        <v>37.7993229</v>
      </c>
      <c r="AP7132" s="21" t="s">
        <v>1915</v>
      </c>
    </row>
    <row r="7133" spans="1:42">
      <c r="A7133" s="20">
        <v>43853</v>
      </c>
      <c r="B7133" s="21">
        <v>4</v>
      </c>
      <c r="C7133" s="21">
        <v>985</v>
      </c>
      <c r="D7133" s="21">
        <v>14358</v>
      </c>
      <c r="E7133" s="21" t="s">
        <v>2123</v>
      </c>
      <c r="F7133" s="21" t="s">
        <v>520</v>
      </c>
      <c r="G7133" s="21">
        <v>1</v>
      </c>
      <c r="H7133" s="21">
        <v>161</v>
      </c>
      <c r="I7133" s="23" t="s">
        <v>2471</v>
      </c>
      <c r="J7133" s="21"/>
      <c r="K7133" s="21" t="s">
        <v>329</v>
      </c>
      <c r="L7133" s="21"/>
      <c r="M7133" s="21"/>
      <c r="N7133" s="21" t="s">
        <v>40</v>
      </c>
      <c r="O7133" s="21">
        <v>16</v>
      </c>
      <c r="P7133" s="21"/>
      <c r="Q7133" s="21">
        <f t="shared" si="129"/>
        <v>1</v>
      </c>
      <c r="R7133" s="21">
        <v>1</v>
      </c>
      <c r="S7133" s="21">
        <v>0</v>
      </c>
      <c r="T7133" s="21">
        <v>0</v>
      </c>
      <c r="U7133" s="21">
        <v>1</v>
      </c>
      <c r="V7133" s="21">
        <v>0</v>
      </c>
      <c r="W7133" s="21">
        <v>0</v>
      </c>
      <c r="X7133" s="21">
        <v>0</v>
      </c>
      <c r="Y7133" s="21">
        <v>0</v>
      </c>
      <c r="Z7133" s="21">
        <v>0</v>
      </c>
      <c r="AA7133" s="21">
        <v>0</v>
      </c>
      <c r="AB7133" s="21">
        <v>0</v>
      </c>
      <c r="AC7133" s="21">
        <v>0</v>
      </c>
      <c r="AD7133" s="21">
        <v>0</v>
      </c>
      <c r="AE7133" s="21">
        <v>0</v>
      </c>
      <c r="AF7133" s="21">
        <v>0</v>
      </c>
      <c r="AG7133" s="21">
        <v>0</v>
      </c>
      <c r="AH7133" s="21">
        <f t="shared" si="130"/>
        <v>32</v>
      </c>
      <c r="AI7133" s="21"/>
      <c r="AJ7133" s="21" t="s">
        <v>51</v>
      </c>
      <c r="AK7133" s="21" t="s">
        <v>95</v>
      </c>
      <c r="AL7133" s="21"/>
      <c r="AM7133" s="21" t="s">
        <v>2472</v>
      </c>
      <c r="AN7133" s="21">
        <v>-122.44625234999999</v>
      </c>
      <c r="AO7133" s="21">
        <v>37.799250166666702</v>
      </c>
      <c r="AP7133" s="21" t="s">
        <v>1915</v>
      </c>
    </row>
    <row r="7134" spans="1:42">
      <c r="A7134" s="20">
        <v>43853</v>
      </c>
      <c r="B7134" s="21">
        <v>4</v>
      </c>
      <c r="C7134" s="21">
        <v>985</v>
      </c>
      <c r="D7134" s="21">
        <v>14358</v>
      </c>
      <c r="E7134" s="21" t="s">
        <v>2123</v>
      </c>
      <c r="F7134" s="21" t="s">
        <v>520</v>
      </c>
      <c r="G7134" s="21">
        <v>1</v>
      </c>
      <c r="H7134" s="21">
        <v>162</v>
      </c>
      <c r="I7134" s="23" t="s">
        <v>2473</v>
      </c>
      <c r="J7134" s="21"/>
      <c r="K7134" s="21" t="s">
        <v>329</v>
      </c>
      <c r="L7134" s="21"/>
      <c r="M7134" s="21"/>
      <c r="N7134" s="21" t="s">
        <v>40</v>
      </c>
      <c r="O7134" s="21">
        <v>43</v>
      </c>
      <c r="P7134" s="21"/>
      <c r="Q7134" s="21">
        <f t="shared" si="129"/>
        <v>1</v>
      </c>
      <c r="R7134" s="21">
        <v>1</v>
      </c>
      <c r="S7134" s="21">
        <v>0</v>
      </c>
      <c r="T7134" s="21">
        <v>0</v>
      </c>
      <c r="U7134" s="21">
        <v>0</v>
      </c>
      <c r="V7134" s="21">
        <v>0</v>
      </c>
      <c r="W7134" s="21">
        <v>1</v>
      </c>
      <c r="X7134" s="21">
        <v>0</v>
      </c>
      <c r="Y7134" s="21">
        <v>0</v>
      </c>
      <c r="Z7134" s="21">
        <v>0</v>
      </c>
      <c r="AA7134" s="21">
        <v>0</v>
      </c>
      <c r="AB7134" s="21">
        <v>0</v>
      </c>
      <c r="AC7134" s="21">
        <v>0</v>
      </c>
      <c r="AD7134" s="21">
        <v>0</v>
      </c>
      <c r="AE7134" s="21">
        <v>0</v>
      </c>
      <c r="AF7134" s="21">
        <v>0</v>
      </c>
      <c r="AG7134" s="21">
        <v>0</v>
      </c>
      <c r="AH7134" s="21">
        <f t="shared" si="130"/>
        <v>96</v>
      </c>
      <c r="AI7134" s="21"/>
      <c r="AJ7134" s="21" t="s">
        <v>51</v>
      </c>
      <c r="AK7134" s="21" t="s">
        <v>95</v>
      </c>
      <c r="AL7134" s="21"/>
      <c r="AM7134" s="21" t="s">
        <v>2474</v>
      </c>
      <c r="AN7134" s="21">
        <v>-122.446210283333</v>
      </c>
      <c r="AO7134" s="21">
        <v>37.799203249999998</v>
      </c>
      <c r="AP7134" s="21" t="s">
        <v>1915</v>
      </c>
    </row>
    <row r="7135" spans="1:42">
      <c r="A7135" s="20">
        <v>43853</v>
      </c>
      <c r="B7135" s="21">
        <v>4</v>
      </c>
      <c r="C7135" s="21">
        <v>985</v>
      </c>
      <c r="D7135" s="21">
        <v>14358</v>
      </c>
      <c r="E7135" s="21" t="s">
        <v>2123</v>
      </c>
      <c r="F7135" s="21" t="s">
        <v>520</v>
      </c>
      <c r="G7135" s="21">
        <v>1</v>
      </c>
      <c r="H7135" s="21">
        <v>163</v>
      </c>
      <c r="I7135" s="23" t="s">
        <v>2475</v>
      </c>
      <c r="J7135" s="21"/>
      <c r="K7135" s="21" t="s">
        <v>329</v>
      </c>
      <c r="L7135" s="21"/>
      <c r="M7135" s="21"/>
      <c r="N7135" s="21" t="s">
        <v>40</v>
      </c>
      <c r="O7135" s="21">
        <v>23</v>
      </c>
      <c r="P7135" s="21"/>
      <c r="Q7135" s="21">
        <f t="shared" si="129"/>
        <v>1</v>
      </c>
      <c r="R7135" s="21">
        <v>1</v>
      </c>
      <c r="S7135" s="21">
        <v>0</v>
      </c>
      <c r="T7135" s="21">
        <v>0</v>
      </c>
      <c r="U7135" s="21">
        <v>0</v>
      </c>
      <c r="V7135" s="21">
        <v>0</v>
      </c>
      <c r="W7135" s="21">
        <v>1</v>
      </c>
      <c r="X7135" s="21">
        <v>0</v>
      </c>
      <c r="Y7135" s="21">
        <v>0</v>
      </c>
      <c r="Z7135" s="21">
        <v>0</v>
      </c>
      <c r="AA7135" s="21">
        <v>0</v>
      </c>
      <c r="AB7135" s="21">
        <v>0</v>
      </c>
      <c r="AC7135" s="21">
        <v>0</v>
      </c>
      <c r="AD7135" s="21">
        <v>0</v>
      </c>
      <c r="AE7135" s="21">
        <v>0</v>
      </c>
      <c r="AF7135" s="21">
        <v>0</v>
      </c>
      <c r="AG7135" s="21">
        <v>0</v>
      </c>
      <c r="AH7135" s="21">
        <f t="shared" si="130"/>
        <v>96</v>
      </c>
      <c r="AI7135" s="21"/>
      <c r="AJ7135" s="21" t="s">
        <v>51</v>
      </c>
      <c r="AK7135" s="21" t="s">
        <v>95</v>
      </c>
      <c r="AL7135" s="21"/>
      <c r="AM7135" s="21" t="s">
        <v>2476</v>
      </c>
      <c r="AN7135" s="21">
        <v>-122.446209833333</v>
      </c>
      <c r="AO7135" s="21">
        <v>37.799032433333302</v>
      </c>
      <c r="AP7135" s="21" t="s">
        <v>1915</v>
      </c>
    </row>
    <row r="7136" spans="1:42">
      <c r="A7136" s="20">
        <v>43853</v>
      </c>
      <c r="B7136" s="21">
        <v>4</v>
      </c>
      <c r="C7136" s="21">
        <v>985</v>
      </c>
      <c r="D7136" s="21">
        <v>14358</v>
      </c>
      <c r="E7136" s="21" t="s">
        <v>2123</v>
      </c>
      <c r="F7136" s="21" t="s">
        <v>520</v>
      </c>
      <c r="G7136" s="21">
        <v>1</v>
      </c>
      <c r="H7136" s="21">
        <v>164</v>
      </c>
      <c r="I7136" s="23" t="s">
        <v>2477</v>
      </c>
      <c r="J7136" s="21"/>
      <c r="K7136" s="21" t="s">
        <v>329</v>
      </c>
      <c r="L7136" s="21"/>
      <c r="M7136" s="21"/>
      <c r="N7136" s="21" t="s">
        <v>40</v>
      </c>
      <c r="O7136" s="21">
        <v>50</v>
      </c>
      <c r="P7136" s="21"/>
      <c r="Q7136" s="21">
        <f t="shared" si="129"/>
        <v>1</v>
      </c>
      <c r="R7136" s="21">
        <v>1</v>
      </c>
      <c r="S7136" s="21">
        <v>0</v>
      </c>
      <c r="T7136" s="21">
        <v>0</v>
      </c>
      <c r="U7136" s="21">
        <v>0</v>
      </c>
      <c r="V7136" s="21">
        <v>0</v>
      </c>
      <c r="W7136" s="21">
        <v>1</v>
      </c>
      <c r="X7136" s="21">
        <v>0</v>
      </c>
      <c r="Y7136" s="21">
        <v>0</v>
      </c>
      <c r="Z7136" s="21">
        <v>0</v>
      </c>
      <c r="AA7136" s="21">
        <v>0</v>
      </c>
      <c r="AB7136" s="21">
        <v>0</v>
      </c>
      <c r="AC7136" s="21">
        <v>0</v>
      </c>
      <c r="AD7136" s="21">
        <v>0</v>
      </c>
      <c r="AE7136" s="21">
        <v>0</v>
      </c>
      <c r="AF7136" s="21">
        <v>0</v>
      </c>
      <c r="AG7136" s="21">
        <v>0</v>
      </c>
      <c r="AH7136" s="21">
        <f t="shared" si="130"/>
        <v>96</v>
      </c>
      <c r="AI7136" s="21"/>
      <c r="AJ7136" s="21"/>
      <c r="AK7136" s="21"/>
      <c r="AL7136" s="21"/>
      <c r="AM7136" s="21" t="s">
        <v>2478</v>
      </c>
      <c r="AN7136" s="21">
        <v>-122.446166233333</v>
      </c>
      <c r="AO7136" s="21">
        <v>37.798914349999997</v>
      </c>
      <c r="AP7136" s="21" t="s">
        <v>1915</v>
      </c>
    </row>
    <row r="7137" spans="1:42">
      <c r="A7137" s="20">
        <v>43853</v>
      </c>
      <c r="B7137" s="21">
        <v>4</v>
      </c>
      <c r="C7137" s="21">
        <v>985</v>
      </c>
      <c r="D7137" s="21">
        <v>14358</v>
      </c>
      <c r="E7137" s="21" t="s">
        <v>2123</v>
      </c>
      <c r="F7137" s="21" t="s">
        <v>520</v>
      </c>
      <c r="G7137" s="21">
        <v>1</v>
      </c>
      <c r="H7137" s="21">
        <v>165</v>
      </c>
      <c r="I7137" s="23" t="s">
        <v>2479</v>
      </c>
      <c r="J7137" s="21"/>
      <c r="K7137" s="21" t="s">
        <v>329</v>
      </c>
      <c r="L7137" s="21"/>
      <c r="M7137" s="21"/>
      <c r="N7137" s="21" t="s">
        <v>40</v>
      </c>
      <c r="O7137" s="21">
        <v>56</v>
      </c>
      <c r="P7137" s="21"/>
      <c r="Q7137" s="21">
        <f t="shared" si="129"/>
        <v>1</v>
      </c>
      <c r="R7137" s="21">
        <v>1</v>
      </c>
      <c r="S7137" s="21">
        <v>0</v>
      </c>
      <c r="T7137" s="21">
        <v>0</v>
      </c>
      <c r="U7137" s="21">
        <v>0</v>
      </c>
      <c r="V7137" s="21">
        <v>0</v>
      </c>
      <c r="W7137" s="21">
        <v>1</v>
      </c>
      <c r="X7137" s="21">
        <v>0</v>
      </c>
      <c r="Y7137" s="21">
        <v>0</v>
      </c>
      <c r="Z7137" s="21">
        <v>0</v>
      </c>
      <c r="AA7137" s="21">
        <v>0</v>
      </c>
      <c r="AB7137" s="21">
        <v>0</v>
      </c>
      <c r="AC7137" s="21">
        <v>0</v>
      </c>
      <c r="AD7137" s="21">
        <v>0</v>
      </c>
      <c r="AE7137" s="21">
        <v>0</v>
      </c>
      <c r="AF7137" s="21">
        <v>0</v>
      </c>
      <c r="AG7137" s="21">
        <v>0</v>
      </c>
      <c r="AH7137" s="21">
        <f t="shared" si="130"/>
        <v>96</v>
      </c>
      <c r="AI7137" s="21"/>
      <c r="AJ7137" s="21" t="s">
        <v>51</v>
      </c>
      <c r="AK7137" s="21" t="s">
        <v>52</v>
      </c>
      <c r="AL7137" s="21"/>
      <c r="AM7137" s="21" t="s">
        <v>2480</v>
      </c>
      <c r="AN7137" s="21">
        <v>-122.445965633333</v>
      </c>
      <c r="AO7137" s="21">
        <v>37.798155850000001</v>
      </c>
      <c r="AP7137" s="21" t="s">
        <v>1915</v>
      </c>
    </row>
    <row r="7138" spans="1:42">
      <c r="A7138" s="20">
        <v>43853</v>
      </c>
      <c r="B7138" s="21">
        <v>4</v>
      </c>
      <c r="C7138" s="21">
        <v>985</v>
      </c>
      <c r="D7138" s="21">
        <v>14358</v>
      </c>
      <c r="E7138" s="21" t="s">
        <v>2123</v>
      </c>
      <c r="F7138" s="21" t="s">
        <v>520</v>
      </c>
      <c r="G7138" s="21">
        <v>1</v>
      </c>
      <c r="H7138" s="21">
        <v>166</v>
      </c>
      <c r="I7138" s="23" t="s">
        <v>2481</v>
      </c>
      <c r="J7138" s="21"/>
      <c r="K7138" s="21" t="s">
        <v>329</v>
      </c>
      <c r="L7138" s="21"/>
      <c r="M7138" s="21"/>
      <c r="N7138" s="21" t="s">
        <v>44</v>
      </c>
      <c r="O7138" s="21">
        <f>60+15</f>
        <v>75</v>
      </c>
      <c r="P7138" s="21"/>
      <c r="Q7138" s="21">
        <f t="shared" si="129"/>
        <v>1</v>
      </c>
      <c r="R7138" s="21">
        <v>1</v>
      </c>
      <c r="S7138" s="21">
        <v>0</v>
      </c>
      <c r="T7138" s="21">
        <v>0</v>
      </c>
      <c r="U7138" s="21">
        <v>0</v>
      </c>
      <c r="V7138" s="21">
        <v>0</v>
      </c>
      <c r="W7138" s="21">
        <v>1</v>
      </c>
      <c r="X7138" s="21">
        <v>0</v>
      </c>
      <c r="Y7138" s="21">
        <v>0</v>
      </c>
      <c r="Z7138" s="21">
        <v>0</v>
      </c>
      <c r="AA7138" s="21">
        <v>0</v>
      </c>
      <c r="AB7138" s="21">
        <v>0</v>
      </c>
      <c r="AC7138" s="21">
        <v>0</v>
      </c>
      <c r="AD7138" s="21">
        <v>0</v>
      </c>
      <c r="AE7138" s="21">
        <v>0</v>
      </c>
      <c r="AF7138" s="21">
        <v>0</v>
      </c>
      <c r="AG7138" s="21">
        <v>0</v>
      </c>
      <c r="AH7138" s="21">
        <f t="shared" si="130"/>
        <v>96</v>
      </c>
      <c r="AI7138" s="21"/>
      <c r="AJ7138" s="21" t="s">
        <v>51</v>
      </c>
      <c r="AK7138" s="21" t="s">
        <v>52</v>
      </c>
      <c r="AL7138" s="21" t="s">
        <v>2482</v>
      </c>
      <c r="AM7138" s="21" t="s">
        <v>2483</v>
      </c>
      <c r="AN7138" s="21">
        <v>-122.44600174999999</v>
      </c>
      <c r="AO7138" s="21">
        <v>37.798240116666598</v>
      </c>
      <c r="AP7138" s="21" t="s">
        <v>1915</v>
      </c>
    </row>
    <row r="7139" spans="1:42">
      <c r="A7139" s="20">
        <v>43853</v>
      </c>
      <c r="B7139" s="21">
        <v>4</v>
      </c>
      <c r="C7139" s="21">
        <v>985</v>
      </c>
      <c r="D7139" s="21">
        <v>14358</v>
      </c>
      <c r="E7139" s="21" t="s">
        <v>2123</v>
      </c>
      <c r="F7139" s="21" t="s">
        <v>520</v>
      </c>
      <c r="G7139" s="21">
        <v>1</v>
      </c>
      <c r="H7139" s="21">
        <v>167</v>
      </c>
      <c r="I7139" s="23" t="s">
        <v>2484</v>
      </c>
      <c r="J7139" s="21"/>
      <c r="K7139" s="21" t="s">
        <v>329</v>
      </c>
      <c r="L7139" s="21"/>
      <c r="M7139" s="21"/>
      <c r="N7139" s="21" t="s">
        <v>44</v>
      </c>
      <c r="O7139" s="21">
        <f>60+60+20</f>
        <v>140</v>
      </c>
      <c r="P7139" s="21"/>
      <c r="Q7139" s="21">
        <f t="shared" si="129"/>
        <v>1</v>
      </c>
      <c r="R7139" s="21">
        <v>1</v>
      </c>
      <c r="S7139" s="21">
        <v>0</v>
      </c>
      <c r="T7139" s="21">
        <v>0</v>
      </c>
      <c r="U7139" s="21">
        <v>0</v>
      </c>
      <c r="V7139" s="21">
        <v>0</v>
      </c>
      <c r="W7139" s="21">
        <v>1</v>
      </c>
      <c r="X7139" s="21">
        <v>0</v>
      </c>
      <c r="Y7139" s="21">
        <v>0</v>
      </c>
      <c r="Z7139" s="21">
        <v>0</v>
      </c>
      <c r="AA7139" s="21">
        <v>0</v>
      </c>
      <c r="AB7139" s="21">
        <v>0</v>
      </c>
      <c r="AC7139" s="21">
        <v>0</v>
      </c>
      <c r="AD7139" s="21">
        <v>0</v>
      </c>
      <c r="AE7139" s="21">
        <v>0</v>
      </c>
      <c r="AF7139" s="21">
        <v>0</v>
      </c>
      <c r="AG7139" s="21">
        <v>0</v>
      </c>
      <c r="AH7139" s="21">
        <f t="shared" si="130"/>
        <v>96</v>
      </c>
      <c r="AI7139" s="21"/>
      <c r="AJ7139" s="21" t="s">
        <v>51</v>
      </c>
      <c r="AK7139" s="21" t="s">
        <v>52</v>
      </c>
      <c r="AL7139" s="21" t="s">
        <v>2485</v>
      </c>
      <c r="AM7139" s="21" t="s">
        <v>2486</v>
      </c>
      <c r="AN7139" s="21">
        <v>-122.446000416667</v>
      </c>
      <c r="AO7139" s="21">
        <v>37.798148066666599</v>
      </c>
      <c r="AP7139" s="21" t="s">
        <v>1915</v>
      </c>
    </row>
    <row r="7140" spans="1:42">
      <c r="A7140" s="20">
        <v>43853</v>
      </c>
      <c r="B7140" s="21">
        <v>4</v>
      </c>
      <c r="C7140" s="21">
        <v>985</v>
      </c>
      <c r="D7140" s="21">
        <v>14358</v>
      </c>
      <c r="E7140" s="21" t="s">
        <v>2123</v>
      </c>
      <c r="F7140" s="21" t="s">
        <v>520</v>
      </c>
      <c r="G7140" s="21">
        <v>1</v>
      </c>
      <c r="H7140" s="21">
        <v>168</v>
      </c>
      <c r="I7140" s="23" t="s">
        <v>2487</v>
      </c>
      <c r="J7140" s="21"/>
      <c r="K7140" s="21" t="s">
        <v>329</v>
      </c>
      <c r="L7140" s="21"/>
      <c r="M7140" s="21"/>
      <c r="N7140" s="21" t="s">
        <v>40</v>
      </c>
      <c r="O7140" s="21">
        <v>28</v>
      </c>
      <c r="P7140" s="21"/>
      <c r="Q7140" s="21">
        <f t="shared" si="129"/>
        <v>1</v>
      </c>
      <c r="R7140" s="21">
        <v>1</v>
      </c>
      <c r="S7140" s="21">
        <v>0</v>
      </c>
      <c r="T7140" s="21">
        <v>0</v>
      </c>
      <c r="U7140" s="21">
        <v>1</v>
      </c>
      <c r="V7140" s="21">
        <v>0</v>
      </c>
      <c r="W7140" s="21">
        <v>0</v>
      </c>
      <c r="X7140" s="21">
        <v>0</v>
      </c>
      <c r="Y7140" s="21">
        <v>0</v>
      </c>
      <c r="Z7140" s="21">
        <v>0</v>
      </c>
      <c r="AA7140" s="21">
        <v>0</v>
      </c>
      <c r="AB7140" s="21">
        <v>0</v>
      </c>
      <c r="AC7140" s="21">
        <v>0</v>
      </c>
      <c r="AD7140" s="21">
        <v>0</v>
      </c>
      <c r="AE7140" s="21">
        <v>0</v>
      </c>
      <c r="AF7140" s="21">
        <v>0</v>
      </c>
      <c r="AG7140" s="21">
        <v>0</v>
      </c>
      <c r="AH7140" s="21">
        <f t="shared" si="130"/>
        <v>32</v>
      </c>
      <c r="AI7140" s="21"/>
      <c r="AJ7140" s="21" t="s">
        <v>51</v>
      </c>
      <c r="AK7140" s="21" t="s">
        <v>52</v>
      </c>
      <c r="AL7140" s="21"/>
      <c r="AM7140" s="21" t="s">
        <v>2488</v>
      </c>
      <c r="AN7140" s="21">
        <v>-122.4459846</v>
      </c>
      <c r="AO7140" s="21">
        <v>37.797959583333302</v>
      </c>
      <c r="AP7140" s="21" t="s">
        <v>1915</v>
      </c>
    </row>
    <row r="7141" spans="1:42">
      <c r="A7141" s="20">
        <v>43853</v>
      </c>
      <c r="B7141" s="21">
        <v>4</v>
      </c>
      <c r="C7141" s="21">
        <v>985</v>
      </c>
      <c r="D7141" s="21">
        <v>14358</v>
      </c>
      <c r="E7141" s="21" t="s">
        <v>2123</v>
      </c>
      <c r="F7141" s="21" t="s">
        <v>520</v>
      </c>
      <c r="G7141" s="21">
        <v>1</v>
      </c>
      <c r="H7141" s="21">
        <v>169</v>
      </c>
      <c r="I7141" s="23" t="s">
        <v>2489</v>
      </c>
      <c r="J7141" s="21"/>
      <c r="K7141" s="21" t="s">
        <v>329</v>
      </c>
      <c r="L7141" s="21"/>
      <c r="M7141" s="21"/>
      <c r="N7141" s="21" t="s">
        <v>40</v>
      </c>
      <c r="O7141" s="21">
        <v>26</v>
      </c>
      <c r="P7141" s="21"/>
      <c r="Q7141" s="21">
        <f t="shared" si="129"/>
        <v>1</v>
      </c>
      <c r="R7141" s="21">
        <v>1</v>
      </c>
      <c r="S7141" s="21">
        <v>0</v>
      </c>
      <c r="T7141" s="21">
        <v>0</v>
      </c>
      <c r="U7141" s="21">
        <v>1</v>
      </c>
      <c r="V7141" s="21">
        <v>0</v>
      </c>
      <c r="W7141" s="21">
        <v>0</v>
      </c>
      <c r="X7141" s="21">
        <v>0</v>
      </c>
      <c r="Y7141" s="21">
        <v>0</v>
      </c>
      <c r="Z7141" s="21">
        <v>0</v>
      </c>
      <c r="AA7141" s="21">
        <v>0</v>
      </c>
      <c r="AB7141" s="21">
        <v>0</v>
      </c>
      <c r="AC7141" s="21">
        <v>0</v>
      </c>
      <c r="AD7141" s="21">
        <v>0</v>
      </c>
      <c r="AE7141" s="21">
        <v>0</v>
      </c>
      <c r="AF7141" s="21">
        <v>0</v>
      </c>
      <c r="AG7141" s="21">
        <v>0</v>
      </c>
      <c r="AH7141" s="21">
        <f t="shared" si="130"/>
        <v>32</v>
      </c>
      <c r="AI7141" s="21"/>
      <c r="AJ7141" s="21" t="s">
        <v>51</v>
      </c>
      <c r="AK7141" s="21" t="s">
        <v>52</v>
      </c>
      <c r="AL7141" s="21" t="s">
        <v>2490</v>
      </c>
      <c r="AM7141" s="21" t="s">
        <v>2491</v>
      </c>
      <c r="AN7141" s="21">
        <v>-122.445964116667</v>
      </c>
      <c r="AO7141" s="21">
        <v>37.797851883333301</v>
      </c>
      <c r="AP7141" s="21" t="s">
        <v>1915</v>
      </c>
    </row>
    <row r="7142" spans="1:42">
      <c r="A7142" s="20">
        <v>43853</v>
      </c>
      <c r="B7142" s="21">
        <v>4</v>
      </c>
      <c r="C7142" s="21">
        <v>985</v>
      </c>
      <c r="D7142" s="21">
        <v>14358</v>
      </c>
      <c r="E7142" s="21" t="s">
        <v>2123</v>
      </c>
      <c r="F7142" s="21" t="s">
        <v>520</v>
      </c>
      <c r="G7142" s="21">
        <v>1</v>
      </c>
      <c r="H7142" s="21">
        <v>171</v>
      </c>
      <c r="I7142" s="23" t="s">
        <v>2492</v>
      </c>
      <c r="J7142" s="21"/>
      <c r="K7142" s="21" t="s">
        <v>329</v>
      </c>
      <c r="L7142" s="21"/>
      <c r="M7142" s="21"/>
      <c r="N7142" s="21" t="s">
        <v>40</v>
      </c>
      <c r="O7142" s="21">
        <v>44</v>
      </c>
      <c r="P7142" s="21"/>
      <c r="Q7142" s="21">
        <f t="shared" si="129"/>
        <v>1</v>
      </c>
      <c r="R7142" s="21">
        <v>1</v>
      </c>
      <c r="S7142" s="21">
        <v>0</v>
      </c>
      <c r="T7142" s="21">
        <v>0</v>
      </c>
      <c r="U7142" s="21">
        <v>0</v>
      </c>
      <c r="V7142" s="21">
        <v>0</v>
      </c>
      <c r="W7142" s="21">
        <v>1</v>
      </c>
      <c r="X7142" s="21">
        <v>0</v>
      </c>
      <c r="Y7142" s="21">
        <v>0</v>
      </c>
      <c r="Z7142" s="21">
        <v>0</v>
      </c>
      <c r="AA7142" s="21">
        <v>0</v>
      </c>
      <c r="AB7142" s="21">
        <v>0</v>
      </c>
      <c r="AC7142" s="21">
        <v>0</v>
      </c>
      <c r="AD7142" s="21">
        <v>0</v>
      </c>
      <c r="AE7142" s="21">
        <v>0</v>
      </c>
      <c r="AF7142" s="21">
        <v>0</v>
      </c>
      <c r="AG7142" s="21">
        <v>0</v>
      </c>
      <c r="AH7142" s="21">
        <f t="shared" si="130"/>
        <v>96</v>
      </c>
      <c r="AI7142" s="21"/>
      <c r="AJ7142" s="21" t="s">
        <v>51</v>
      </c>
      <c r="AK7142" s="21" t="s">
        <v>52</v>
      </c>
      <c r="AL7142" s="21"/>
      <c r="AM7142" s="21" t="s">
        <v>2493</v>
      </c>
      <c r="AN7142" s="21">
        <v>-122.44584974999999</v>
      </c>
      <c r="AO7142" s="21">
        <v>37.797268899999999</v>
      </c>
      <c r="AP7142" s="21" t="s">
        <v>1915</v>
      </c>
    </row>
    <row r="7143" spans="1:42">
      <c r="A7143" s="20">
        <v>43853</v>
      </c>
      <c r="B7143" s="21">
        <v>4</v>
      </c>
      <c r="C7143" s="21">
        <v>985</v>
      </c>
      <c r="D7143" s="21">
        <v>14358</v>
      </c>
      <c r="E7143" s="21" t="s">
        <v>2123</v>
      </c>
      <c r="F7143" s="21" t="s">
        <v>520</v>
      </c>
      <c r="G7143" s="21">
        <v>1</v>
      </c>
      <c r="H7143" s="21">
        <v>172</v>
      </c>
      <c r="I7143" s="23" t="s">
        <v>2494</v>
      </c>
      <c r="J7143" s="21"/>
      <c r="K7143" s="21" t="s">
        <v>329</v>
      </c>
      <c r="L7143" s="21"/>
      <c r="M7143" s="21"/>
      <c r="N7143" s="21" t="s">
        <v>44</v>
      </c>
      <c r="O7143" s="21">
        <f>60+8</f>
        <v>68</v>
      </c>
      <c r="P7143" s="21"/>
      <c r="Q7143" s="21">
        <f t="shared" si="129"/>
        <v>1</v>
      </c>
      <c r="R7143" s="21">
        <v>1</v>
      </c>
      <c r="S7143" s="21">
        <v>0</v>
      </c>
      <c r="T7143" s="21">
        <v>0</v>
      </c>
      <c r="U7143" s="21">
        <v>0</v>
      </c>
      <c r="V7143" s="21">
        <v>0</v>
      </c>
      <c r="W7143" s="21">
        <v>1</v>
      </c>
      <c r="X7143" s="21">
        <v>0</v>
      </c>
      <c r="Y7143" s="21">
        <v>0</v>
      </c>
      <c r="Z7143" s="21">
        <v>0</v>
      </c>
      <c r="AA7143" s="21">
        <v>0</v>
      </c>
      <c r="AB7143" s="21">
        <v>0</v>
      </c>
      <c r="AC7143" s="21">
        <v>0</v>
      </c>
      <c r="AD7143" s="21">
        <v>0</v>
      </c>
      <c r="AE7143" s="21">
        <v>0</v>
      </c>
      <c r="AF7143" s="21">
        <v>0</v>
      </c>
      <c r="AG7143" s="21">
        <v>0</v>
      </c>
      <c r="AH7143" s="21">
        <f t="shared" si="130"/>
        <v>96</v>
      </c>
      <c r="AI7143" s="21"/>
      <c r="AJ7143" s="21" t="s">
        <v>51</v>
      </c>
      <c r="AK7143" s="21" t="s">
        <v>95</v>
      </c>
      <c r="AL7143" s="21"/>
      <c r="AM7143" s="21" t="s">
        <v>2495</v>
      </c>
      <c r="AN7143" s="21">
        <v>-122.44582388333301</v>
      </c>
      <c r="AO7143" s="21">
        <v>37.797200783333302</v>
      </c>
      <c r="AP7143" s="21" t="s">
        <v>1915</v>
      </c>
    </row>
    <row r="7144" spans="1:42">
      <c r="A7144" s="20">
        <v>43853</v>
      </c>
      <c r="B7144" s="21">
        <v>4</v>
      </c>
      <c r="C7144" s="21">
        <v>985</v>
      </c>
      <c r="D7144" s="21">
        <v>14358</v>
      </c>
      <c r="E7144" s="21" t="s">
        <v>2123</v>
      </c>
      <c r="F7144" s="21" t="s">
        <v>520</v>
      </c>
      <c r="G7144" s="21">
        <v>1</v>
      </c>
      <c r="H7144" s="21">
        <v>173</v>
      </c>
      <c r="I7144" s="23" t="s">
        <v>2496</v>
      </c>
      <c r="J7144" s="21"/>
      <c r="K7144" s="21" t="s">
        <v>329</v>
      </c>
      <c r="L7144" s="21"/>
      <c r="M7144" s="21"/>
      <c r="N7144" s="21" t="s">
        <v>44</v>
      </c>
      <c r="O7144" s="21">
        <f>60+60+43</f>
        <v>163</v>
      </c>
      <c r="P7144" s="21"/>
      <c r="Q7144" s="21">
        <f t="shared" si="129"/>
        <v>2</v>
      </c>
      <c r="R7144" s="21">
        <v>1</v>
      </c>
      <c r="S7144" s="21">
        <v>0</v>
      </c>
      <c r="T7144" s="21">
        <v>0</v>
      </c>
      <c r="U7144" s="21">
        <v>0</v>
      </c>
      <c r="V7144" s="21">
        <v>0</v>
      </c>
      <c r="W7144" s="21">
        <v>2</v>
      </c>
      <c r="X7144" s="21">
        <v>0</v>
      </c>
      <c r="Y7144" s="21">
        <v>0</v>
      </c>
      <c r="Z7144" s="21">
        <v>0</v>
      </c>
      <c r="AA7144" s="21">
        <v>0</v>
      </c>
      <c r="AB7144" s="21">
        <v>0</v>
      </c>
      <c r="AC7144" s="21">
        <v>0</v>
      </c>
      <c r="AD7144" s="21">
        <v>0</v>
      </c>
      <c r="AE7144" s="21">
        <v>0</v>
      </c>
      <c r="AF7144" s="21">
        <v>1</v>
      </c>
      <c r="AG7144" s="21">
        <v>0</v>
      </c>
      <c r="AH7144" s="21">
        <f t="shared" si="130"/>
        <v>192</v>
      </c>
      <c r="AI7144" s="21"/>
      <c r="AJ7144" s="21" t="s">
        <v>51</v>
      </c>
      <c r="AK7144" s="21" t="s">
        <v>95</v>
      </c>
      <c r="AL7144" s="21"/>
      <c r="AM7144" s="21" t="s">
        <v>2497</v>
      </c>
      <c r="AN7144" s="21">
        <v>-122.44583008333299</v>
      </c>
      <c r="AO7144" s="21">
        <v>37.797126566666698</v>
      </c>
      <c r="AP7144" s="21" t="s">
        <v>1915</v>
      </c>
    </row>
    <row r="7145" spans="1:42">
      <c r="A7145" s="20">
        <v>43853</v>
      </c>
      <c r="B7145" s="21">
        <v>4</v>
      </c>
      <c r="C7145" s="21">
        <v>985</v>
      </c>
      <c r="D7145" s="21">
        <v>14358</v>
      </c>
      <c r="E7145" s="21" t="s">
        <v>2123</v>
      </c>
      <c r="F7145" s="21" t="s">
        <v>520</v>
      </c>
      <c r="G7145" s="21">
        <v>1</v>
      </c>
      <c r="H7145" s="21">
        <v>174</v>
      </c>
      <c r="I7145" s="23" t="s">
        <v>2498</v>
      </c>
      <c r="J7145" s="21"/>
      <c r="K7145" s="21" t="s">
        <v>148</v>
      </c>
      <c r="L7145" s="21"/>
      <c r="M7145" s="21"/>
      <c r="N7145" s="21" t="s">
        <v>44</v>
      </c>
      <c r="O7145" s="21">
        <f>60+56</f>
        <v>116</v>
      </c>
      <c r="P7145" s="21"/>
      <c r="Q7145" s="21">
        <f t="shared" si="129"/>
        <v>1</v>
      </c>
      <c r="R7145" s="21">
        <v>1</v>
      </c>
      <c r="S7145" s="21">
        <v>0</v>
      </c>
      <c r="T7145" s="21">
        <v>0</v>
      </c>
      <c r="U7145" s="21">
        <v>0</v>
      </c>
      <c r="V7145" s="21">
        <v>0</v>
      </c>
      <c r="W7145" s="21">
        <v>1</v>
      </c>
      <c r="X7145" s="21">
        <v>0</v>
      </c>
      <c r="Y7145" s="21">
        <v>0</v>
      </c>
      <c r="Z7145" s="21">
        <v>0</v>
      </c>
      <c r="AA7145" s="21">
        <v>0</v>
      </c>
      <c r="AB7145" s="21">
        <v>0</v>
      </c>
      <c r="AC7145" s="21">
        <v>0</v>
      </c>
      <c r="AD7145" s="21">
        <v>0</v>
      </c>
      <c r="AE7145" s="21">
        <v>0</v>
      </c>
      <c r="AF7145" s="21">
        <v>0</v>
      </c>
      <c r="AG7145" s="21">
        <v>0</v>
      </c>
      <c r="AH7145" s="21">
        <f t="shared" si="130"/>
        <v>96</v>
      </c>
      <c r="AI7145" s="21"/>
      <c r="AJ7145" s="21" t="s">
        <v>54</v>
      </c>
      <c r="AK7145" s="21" t="s">
        <v>52</v>
      </c>
      <c r="AL7145" s="21"/>
      <c r="AM7145" s="21" t="s">
        <v>2499</v>
      </c>
      <c r="AN7145" s="21">
        <v>-122.445653733333</v>
      </c>
      <c r="AO7145" s="21">
        <v>37.796516166666699</v>
      </c>
      <c r="AP7145" s="21" t="s">
        <v>1915</v>
      </c>
    </row>
    <row r="7146" spans="1:42">
      <c r="A7146" s="20">
        <v>43853</v>
      </c>
      <c r="B7146" s="21">
        <v>4</v>
      </c>
      <c r="C7146" s="21">
        <v>985</v>
      </c>
      <c r="D7146" s="21">
        <v>14358</v>
      </c>
      <c r="E7146" s="21" t="s">
        <v>2123</v>
      </c>
      <c r="F7146" s="21" t="s">
        <v>520</v>
      </c>
      <c r="G7146" s="21">
        <v>1</v>
      </c>
      <c r="H7146" s="21">
        <v>175</v>
      </c>
      <c r="I7146" s="23" t="s">
        <v>2500</v>
      </c>
      <c r="J7146" s="21"/>
      <c r="K7146" s="21" t="s">
        <v>156</v>
      </c>
      <c r="L7146" s="21"/>
      <c r="M7146" s="21"/>
      <c r="N7146" s="21" t="s">
        <v>40</v>
      </c>
      <c r="O7146" s="21">
        <v>49</v>
      </c>
      <c r="P7146" s="21"/>
      <c r="Q7146" s="21">
        <f t="shared" si="129"/>
        <v>1</v>
      </c>
      <c r="R7146" s="21">
        <v>1</v>
      </c>
      <c r="S7146" s="21">
        <v>0</v>
      </c>
      <c r="T7146" s="21">
        <v>0</v>
      </c>
      <c r="U7146" s="21">
        <v>1</v>
      </c>
      <c r="V7146" s="21">
        <v>0</v>
      </c>
      <c r="W7146" s="21">
        <v>0</v>
      </c>
      <c r="X7146" s="21">
        <v>0</v>
      </c>
      <c r="Y7146" s="21">
        <v>0</v>
      </c>
      <c r="Z7146" s="21">
        <v>0</v>
      </c>
      <c r="AA7146" s="21">
        <v>0</v>
      </c>
      <c r="AB7146" s="21">
        <v>0</v>
      </c>
      <c r="AC7146" s="21">
        <v>0</v>
      </c>
      <c r="AD7146" s="21">
        <v>0</v>
      </c>
      <c r="AE7146" s="21">
        <v>0</v>
      </c>
      <c r="AF7146" s="21">
        <v>0</v>
      </c>
      <c r="AG7146" s="21">
        <v>0</v>
      </c>
      <c r="AH7146" s="21">
        <f t="shared" si="130"/>
        <v>32</v>
      </c>
      <c r="AI7146" s="21"/>
      <c r="AJ7146" s="21" t="s">
        <v>54</v>
      </c>
      <c r="AK7146" s="21" t="s">
        <v>95</v>
      </c>
      <c r="AL7146" s="21"/>
      <c r="AM7146" s="21" t="s">
        <v>2501</v>
      </c>
      <c r="AN7146" s="21">
        <v>-122.44510288333301</v>
      </c>
      <c r="AO7146" s="21">
        <v>37.795859083333298</v>
      </c>
      <c r="AP7146" s="21" t="s">
        <v>1915</v>
      </c>
    </row>
    <row r="7147" spans="1:42">
      <c r="A7147" s="20">
        <v>43853</v>
      </c>
      <c r="B7147" s="21">
        <v>4</v>
      </c>
      <c r="C7147" s="21">
        <v>985</v>
      </c>
      <c r="D7147" s="21">
        <v>14358</v>
      </c>
      <c r="E7147" s="21" t="s">
        <v>2123</v>
      </c>
      <c r="F7147" s="21" t="s">
        <v>520</v>
      </c>
      <c r="G7147" s="21">
        <v>1</v>
      </c>
      <c r="H7147" s="21">
        <v>176</v>
      </c>
      <c r="I7147" s="23" t="s">
        <v>2502</v>
      </c>
      <c r="J7147" s="21"/>
      <c r="K7147" s="21" t="s">
        <v>156</v>
      </c>
      <c r="L7147" s="21"/>
      <c r="M7147" s="21"/>
      <c r="N7147" s="21" t="s">
        <v>44</v>
      </c>
      <c r="O7147" s="21">
        <f>60+43</f>
        <v>103</v>
      </c>
      <c r="P7147" s="21"/>
      <c r="Q7147" s="21">
        <f t="shared" si="129"/>
        <v>1</v>
      </c>
      <c r="R7147" s="21">
        <v>1</v>
      </c>
      <c r="S7147" s="21">
        <v>0</v>
      </c>
      <c r="T7147" s="21">
        <v>0</v>
      </c>
      <c r="U7147" s="21">
        <v>1</v>
      </c>
      <c r="V7147" s="21">
        <v>0</v>
      </c>
      <c r="W7147" s="21">
        <v>0</v>
      </c>
      <c r="X7147" s="21">
        <v>0</v>
      </c>
      <c r="Y7147" s="21">
        <v>0</v>
      </c>
      <c r="Z7147" s="21">
        <v>0</v>
      </c>
      <c r="AA7147" s="21">
        <v>0</v>
      </c>
      <c r="AB7147" s="21">
        <v>0</v>
      </c>
      <c r="AC7147" s="21">
        <v>0</v>
      </c>
      <c r="AD7147" s="21">
        <v>0</v>
      </c>
      <c r="AE7147" s="21">
        <v>0</v>
      </c>
      <c r="AF7147" s="21">
        <v>0</v>
      </c>
      <c r="AG7147" s="21">
        <v>0</v>
      </c>
      <c r="AH7147" s="21">
        <f t="shared" si="130"/>
        <v>32</v>
      </c>
      <c r="AI7147" s="21"/>
      <c r="AJ7147" s="21"/>
      <c r="AK7147" s="21"/>
      <c r="AL7147" s="21"/>
      <c r="AM7147" s="21" t="s">
        <v>2503</v>
      </c>
      <c r="AN7147" s="21">
        <v>-122.445156516667</v>
      </c>
      <c r="AO7147" s="21">
        <v>37.795825933333298</v>
      </c>
      <c r="AP7147" s="21" t="s">
        <v>1915</v>
      </c>
    </row>
    <row r="7148" spans="1:42">
      <c r="A7148" s="20">
        <v>43853</v>
      </c>
      <c r="B7148" s="21">
        <v>4</v>
      </c>
      <c r="C7148" s="21">
        <v>985</v>
      </c>
      <c r="D7148" s="21">
        <v>14358</v>
      </c>
      <c r="E7148" s="21" t="s">
        <v>2123</v>
      </c>
      <c r="F7148" s="21" t="s">
        <v>520</v>
      </c>
      <c r="G7148" s="21">
        <v>1</v>
      </c>
      <c r="H7148" s="21">
        <v>177</v>
      </c>
      <c r="I7148" s="23" t="s">
        <v>2504</v>
      </c>
      <c r="J7148" s="21"/>
      <c r="K7148" s="21" t="s">
        <v>156</v>
      </c>
      <c r="L7148" s="21"/>
      <c r="M7148" s="21"/>
      <c r="N7148" s="21" t="s">
        <v>40</v>
      </c>
      <c r="O7148" s="21">
        <v>42</v>
      </c>
      <c r="P7148" s="21"/>
      <c r="Q7148" s="21">
        <f t="shared" si="129"/>
        <v>1</v>
      </c>
      <c r="R7148" s="21">
        <v>1</v>
      </c>
      <c r="S7148" s="21">
        <v>0</v>
      </c>
      <c r="T7148" s="21">
        <v>0</v>
      </c>
      <c r="U7148" s="21">
        <v>0</v>
      </c>
      <c r="V7148" s="21">
        <v>0</v>
      </c>
      <c r="W7148" s="21">
        <v>1</v>
      </c>
      <c r="X7148" s="21">
        <v>0</v>
      </c>
      <c r="Y7148" s="21">
        <v>0</v>
      </c>
      <c r="Z7148" s="21">
        <v>0</v>
      </c>
      <c r="AA7148" s="21">
        <v>0</v>
      </c>
      <c r="AB7148" s="21">
        <v>0</v>
      </c>
      <c r="AC7148" s="21">
        <v>0</v>
      </c>
      <c r="AD7148" s="21">
        <v>0</v>
      </c>
      <c r="AE7148" s="21">
        <v>0</v>
      </c>
      <c r="AF7148" s="21">
        <v>0</v>
      </c>
      <c r="AG7148" s="21">
        <v>0</v>
      </c>
      <c r="AH7148" s="21">
        <f t="shared" si="130"/>
        <v>96</v>
      </c>
      <c r="AI7148" s="21"/>
      <c r="AJ7148" s="21" t="s">
        <v>54</v>
      </c>
      <c r="AK7148" s="21" t="s">
        <v>95</v>
      </c>
      <c r="AL7148" s="21"/>
      <c r="AM7148" s="21" t="s">
        <v>2505</v>
      </c>
      <c r="AN7148" s="21">
        <v>-122.445076</v>
      </c>
      <c r="AO7148" s="21">
        <v>37.795859016666697</v>
      </c>
      <c r="AP7148" s="21" t="s">
        <v>1915</v>
      </c>
    </row>
    <row r="7149" spans="1:42">
      <c r="A7149" s="20">
        <v>43853</v>
      </c>
      <c r="B7149" s="21">
        <v>4</v>
      </c>
      <c r="C7149" s="21">
        <v>985</v>
      </c>
      <c r="D7149" s="21">
        <v>14358</v>
      </c>
      <c r="E7149" s="21" t="s">
        <v>2123</v>
      </c>
      <c r="F7149" s="21" t="s">
        <v>520</v>
      </c>
      <c r="G7149" s="21">
        <v>1</v>
      </c>
      <c r="H7149" s="21">
        <v>178</v>
      </c>
      <c r="I7149" s="23" t="s">
        <v>2506</v>
      </c>
      <c r="J7149" s="21"/>
      <c r="K7149" s="21" t="s">
        <v>156</v>
      </c>
      <c r="L7149" s="21"/>
      <c r="M7149" s="21"/>
      <c r="N7149" s="21" t="s">
        <v>40</v>
      </c>
      <c r="O7149" s="21">
        <v>30</v>
      </c>
      <c r="P7149" s="21"/>
      <c r="Q7149" s="21">
        <f t="shared" si="129"/>
        <v>1</v>
      </c>
      <c r="R7149" s="21">
        <v>1</v>
      </c>
      <c r="S7149" s="21">
        <v>0</v>
      </c>
      <c r="T7149" s="21">
        <v>0</v>
      </c>
      <c r="U7149" s="21">
        <v>0</v>
      </c>
      <c r="V7149" s="21">
        <v>1</v>
      </c>
      <c r="W7149" s="21">
        <v>0</v>
      </c>
      <c r="X7149" s="21">
        <v>0</v>
      </c>
      <c r="Y7149" s="21">
        <v>0</v>
      </c>
      <c r="Z7149" s="21">
        <v>0</v>
      </c>
      <c r="AA7149" s="21">
        <v>0</v>
      </c>
      <c r="AB7149" s="21">
        <v>0</v>
      </c>
      <c r="AC7149" s="21">
        <v>0</v>
      </c>
      <c r="AD7149" s="21">
        <v>0</v>
      </c>
      <c r="AE7149" s="21">
        <v>0</v>
      </c>
      <c r="AF7149" s="21">
        <v>0</v>
      </c>
      <c r="AG7149" s="21">
        <v>0</v>
      </c>
      <c r="AH7149" s="21">
        <f t="shared" si="130"/>
        <v>64</v>
      </c>
      <c r="AI7149" s="21"/>
      <c r="AJ7149" s="21" t="s">
        <v>54</v>
      </c>
      <c r="AK7149" s="21" t="s">
        <v>95</v>
      </c>
      <c r="AL7149" s="21"/>
      <c r="AM7149" s="21" t="s">
        <v>2507</v>
      </c>
      <c r="AN7149" s="21">
        <v>-122.444917666667</v>
      </c>
      <c r="AO7149" s="21">
        <v>37.7958671833333</v>
      </c>
      <c r="AP7149" s="21" t="s">
        <v>1915</v>
      </c>
    </row>
    <row r="7150" spans="1:42">
      <c r="A7150" s="20">
        <v>43853</v>
      </c>
      <c r="B7150" s="21">
        <v>4</v>
      </c>
      <c r="C7150" s="21">
        <v>985</v>
      </c>
      <c r="D7150" s="21">
        <v>14358</v>
      </c>
      <c r="E7150" s="21" t="s">
        <v>2123</v>
      </c>
      <c r="F7150" s="21" t="s">
        <v>520</v>
      </c>
      <c r="G7150" s="21">
        <v>1</v>
      </c>
      <c r="H7150" s="21">
        <v>179</v>
      </c>
      <c r="I7150" s="23" t="s">
        <v>2508</v>
      </c>
      <c r="J7150" s="21"/>
      <c r="K7150" s="21" t="s">
        <v>156</v>
      </c>
      <c r="L7150" s="21"/>
      <c r="M7150" s="21"/>
      <c r="N7150" s="21" t="s">
        <v>40</v>
      </c>
      <c r="O7150" s="21">
        <v>33</v>
      </c>
      <c r="P7150" s="21"/>
      <c r="Q7150" s="21">
        <f t="shared" si="129"/>
        <v>1</v>
      </c>
      <c r="R7150" s="21">
        <v>1</v>
      </c>
      <c r="S7150" s="21">
        <v>0</v>
      </c>
      <c r="T7150" s="21">
        <v>0</v>
      </c>
      <c r="U7150" s="21">
        <v>1</v>
      </c>
      <c r="V7150" s="21">
        <v>0</v>
      </c>
      <c r="W7150" s="21">
        <v>0</v>
      </c>
      <c r="X7150" s="21">
        <v>0</v>
      </c>
      <c r="Y7150" s="21">
        <v>0</v>
      </c>
      <c r="Z7150" s="21">
        <v>0</v>
      </c>
      <c r="AA7150" s="21">
        <v>0</v>
      </c>
      <c r="AB7150" s="21">
        <v>0</v>
      </c>
      <c r="AC7150" s="21">
        <v>0</v>
      </c>
      <c r="AD7150" s="21">
        <v>0</v>
      </c>
      <c r="AE7150" s="21">
        <v>0</v>
      </c>
      <c r="AF7150" s="21">
        <v>0</v>
      </c>
      <c r="AG7150" s="21">
        <v>0</v>
      </c>
      <c r="AH7150" s="21">
        <f t="shared" si="130"/>
        <v>32</v>
      </c>
      <c r="AI7150" s="21"/>
      <c r="AJ7150" s="21" t="s">
        <v>54</v>
      </c>
      <c r="AK7150" s="21" t="s">
        <v>95</v>
      </c>
      <c r="AL7150" s="21"/>
      <c r="AM7150" s="21" t="s">
        <v>2509</v>
      </c>
      <c r="AN7150" s="21">
        <v>-122.44482855</v>
      </c>
      <c r="AO7150" s="21">
        <v>37.795902283333298</v>
      </c>
      <c r="AP7150" s="21" t="s">
        <v>1915</v>
      </c>
    </row>
    <row r="7151" spans="1:42">
      <c r="A7151" s="20">
        <v>43853</v>
      </c>
      <c r="B7151" s="21">
        <v>4</v>
      </c>
      <c r="C7151" s="21">
        <v>985</v>
      </c>
      <c r="D7151" s="21">
        <v>14358</v>
      </c>
      <c r="E7151" s="21" t="s">
        <v>2123</v>
      </c>
      <c r="F7151" s="21" t="s">
        <v>520</v>
      </c>
      <c r="G7151" s="21">
        <v>1</v>
      </c>
      <c r="H7151" s="21">
        <v>180</v>
      </c>
      <c r="I7151" s="23" t="s">
        <v>2510</v>
      </c>
      <c r="J7151" s="21"/>
      <c r="K7151" s="21" t="s">
        <v>156</v>
      </c>
      <c r="L7151" s="21"/>
      <c r="M7151" s="21"/>
      <c r="N7151" s="21" t="s">
        <v>40</v>
      </c>
      <c r="O7151" s="21">
        <v>45</v>
      </c>
      <c r="P7151" s="21"/>
      <c r="Q7151" s="21">
        <f t="shared" si="129"/>
        <v>4</v>
      </c>
      <c r="R7151" s="21">
        <v>1</v>
      </c>
      <c r="S7151" s="21">
        <v>0</v>
      </c>
      <c r="T7151" s="21">
        <v>0</v>
      </c>
      <c r="U7151" s="21">
        <v>1</v>
      </c>
      <c r="V7151" s="21">
        <v>3</v>
      </c>
      <c r="W7151" s="21">
        <v>0</v>
      </c>
      <c r="X7151" s="21">
        <v>0</v>
      </c>
      <c r="Y7151" s="21">
        <v>0</v>
      </c>
      <c r="Z7151" s="21">
        <v>0</v>
      </c>
      <c r="AA7151" s="21">
        <v>0</v>
      </c>
      <c r="AB7151" s="21">
        <v>0</v>
      </c>
      <c r="AC7151" s="21">
        <v>0</v>
      </c>
      <c r="AD7151" s="21">
        <v>0</v>
      </c>
      <c r="AE7151" s="21">
        <v>0</v>
      </c>
      <c r="AF7151" s="21">
        <v>0</v>
      </c>
      <c r="AG7151" s="21">
        <v>0</v>
      </c>
      <c r="AH7151" s="21">
        <f t="shared" si="130"/>
        <v>224</v>
      </c>
      <c r="AI7151" s="21"/>
      <c r="AJ7151" s="21" t="s">
        <v>54</v>
      </c>
      <c r="AK7151" s="21" t="s">
        <v>52</v>
      </c>
      <c r="AL7151" s="21" t="s">
        <v>2511</v>
      </c>
      <c r="AM7151" s="21" t="s">
        <v>2512</v>
      </c>
      <c r="AN7151" s="21">
        <v>-122.444673116667</v>
      </c>
      <c r="AO7151" s="21">
        <v>37.795874766666699</v>
      </c>
      <c r="AP7151" s="21" t="s">
        <v>1915</v>
      </c>
    </row>
    <row r="7152" spans="1:42">
      <c r="A7152" s="20">
        <v>43853</v>
      </c>
      <c r="B7152" s="21">
        <v>4</v>
      </c>
      <c r="C7152" s="21">
        <v>985</v>
      </c>
      <c r="D7152" s="21">
        <v>14358</v>
      </c>
      <c r="E7152" s="21" t="s">
        <v>2123</v>
      </c>
      <c r="F7152" s="21" t="s">
        <v>520</v>
      </c>
      <c r="G7152" s="21">
        <v>1</v>
      </c>
      <c r="H7152" s="21">
        <v>181</v>
      </c>
      <c r="I7152" s="23" t="s">
        <v>2513</v>
      </c>
      <c r="J7152" s="21"/>
      <c r="K7152" s="21" t="s">
        <v>156</v>
      </c>
      <c r="L7152" s="21"/>
      <c r="M7152" s="21"/>
      <c r="N7152" s="21" t="s">
        <v>40</v>
      </c>
      <c r="O7152" s="21">
        <v>32</v>
      </c>
      <c r="P7152" s="21"/>
      <c r="Q7152" s="21">
        <f t="shared" si="129"/>
        <v>1</v>
      </c>
      <c r="R7152" s="21">
        <v>1</v>
      </c>
      <c r="S7152" s="21">
        <v>0</v>
      </c>
      <c r="T7152" s="21">
        <v>0</v>
      </c>
      <c r="U7152" s="21">
        <v>0</v>
      </c>
      <c r="V7152" s="21">
        <v>1</v>
      </c>
      <c r="W7152" s="21">
        <v>0</v>
      </c>
      <c r="X7152" s="21">
        <v>0</v>
      </c>
      <c r="Y7152" s="21">
        <v>0</v>
      </c>
      <c r="Z7152" s="21">
        <v>0</v>
      </c>
      <c r="AA7152" s="21">
        <v>0</v>
      </c>
      <c r="AB7152" s="21">
        <v>0</v>
      </c>
      <c r="AC7152" s="21">
        <v>0</v>
      </c>
      <c r="AD7152" s="21">
        <v>0</v>
      </c>
      <c r="AE7152" s="21">
        <v>0</v>
      </c>
      <c r="AF7152" s="21">
        <v>0</v>
      </c>
      <c r="AG7152" s="21">
        <v>0</v>
      </c>
      <c r="AH7152" s="21">
        <f t="shared" si="130"/>
        <v>64</v>
      </c>
      <c r="AI7152" s="21"/>
      <c r="AJ7152" s="21" t="s">
        <v>54</v>
      </c>
      <c r="AK7152" s="21" t="s">
        <v>52</v>
      </c>
      <c r="AL7152" s="21"/>
      <c r="AM7152" s="21" t="s">
        <v>2514</v>
      </c>
      <c r="AN7152" s="21">
        <v>-122.44758592769</v>
      </c>
      <c r="AO7152" s="21">
        <v>37.7979216176387</v>
      </c>
      <c r="AP7152" s="21" t="s">
        <v>1915</v>
      </c>
    </row>
    <row r="7153" spans="1:42">
      <c r="A7153" s="20">
        <v>43853</v>
      </c>
      <c r="B7153" s="21">
        <v>4</v>
      </c>
      <c r="C7153" s="21">
        <v>985</v>
      </c>
      <c r="D7153" s="21">
        <v>14358</v>
      </c>
      <c r="E7153" s="21" t="s">
        <v>2123</v>
      </c>
      <c r="F7153" s="21" t="s">
        <v>520</v>
      </c>
      <c r="G7153" s="21">
        <v>1</v>
      </c>
      <c r="H7153" s="21">
        <v>182</v>
      </c>
      <c r="I7153" s="23" t="s">
        <v>2515</v>
      </c>
      <c r="J7153" s="21"/>
      <c r="K7153" s="21" t="s">
        <v>156</v>
      </c>
      <c r="L7153" s="21"/>
      <c r="M7153" s="21"/>
      <c r="N7153" s="21" t="s">
        <v>40</v>
      </c>
      <c r="O7153" s="21">
        <v>29</v>
      </c>
      <c r="P7153" s="21"/>
      <c r="Q7153" s="21">
        <f t="shared" si="129"/>
        <v>1</v>
      </c>
      <c r="R7153" s="21">
        <v>1</v>
      </c>
      <c r="S7153" s="21">
        <v>0</v>
      </c>
      <c r="T7153" s="21">
        <v>0</v>
      </c>
      <c r="U7153" s="21">
        <v>0</v>
      </c>
      <c r="V7153" s="21">
        <v>1</v>
      </c>
      <c r="W7153" s="21">
        <v>0</v>
      </c>
      <c r="X7153" s="21">
        <v>0</v>
      </c>
      <c r="Y7153" s="21">
        <v>0</v>
      </c>
      <c r="Z7153" s="21">
        <v>0</v>
      </c>
      <c r="AA7153" s="21">
        <v>0</v>
      </c>
      <c r="AB7153" s="21">
        <v>0</v>
      </c>
      <c r="AC7153" s="21">
        <v>0</v>
      </c>
      <c r="AD7153" s="21">
        <v>0</v>
      </c>
      <c r="AE7153" s="21">
        <v>0</v>
      </c>
      <c r="AF7153" s="21">
        <v>0</v>
      </c>
      <c r="AG7153" s="21">
        <v>0</v>
      </c>
      <c r="AH7153" s="21">
        <f t="shared" si="130"/>
        <v>64</v>
      </c>
      <c r="AI7153" s="21"/>
      <c r="AJ7153" s="21"/>
      <c r="AK7153" s="21"/>
      <c r="AL7153" s="21"/>
      <c r="AM7153" s="21" t="s">
        <v>2516</v>
      </c>
      <c r="AN7153" s="21">
        <v>-122.44432175</v>
      </c>
      <c r="AO7153" s="21">
        <v>37.795955216666698</v>
      </c>
      <c r="AP7153" s="21" t="s">
        <v>1915</v>
      </c>
    </row>
    <row r="7154" spans="1:42">
      <c r="A7154" s="20">
        <v>43853</v>
      </c>
      <c r="B7154" s="21">
        <v>4</v>
      </c>
      <c r="C7154" s="21">
        <v>985</v>
      </c>
      <c r="D7154" s="21">
        <v>14358</v>
      </c>
      <c r="E7154" s="21" t="s">
        <v>2123</v>
      </c>
      <c r="F7154" s="21" t="s">
        <v>520</v>
      </c>
      <c r="G7154" s="21">
        <v>1</v>
      </c>
      <c r="H7154" s="21">
        <v>183</v>
      </c>
      <c r="I7154" s="23" t="s">
        <v>2515</v>
      </c>
      <c r="J7154" s="21"/>
      <c r="K7154" s="21" t="s">
        <v>156</v>
      </c>
      <c r="L7154" s="21"/>
      <c r="M7154" s="21"/>
      <c r="N7154" s="21" t="s">
        <v>40</v>
      </c>
      <c r="O7154" s="21">
        <v>40</v>
      </c>
      <c r="P7154" s="21"/>
      <c r="Q7154" s="21">
        <f t="shared" si="129"/>
        <v>4</v>
      </c>
      <c r="R7154" s="21">
        <v>1</v>
      </c>
      <c r="S7154" s="21">
        <v>0</v>
      </c>
      <c r="T7154" s="21">
        <v>0</v>
      </c>
      <c r="U7154" s="21">
        <v>0</v>
      </c>
      <c r="V7154" s="21">
        <v>4</v>
      </c>
      <c r="W7154" s="21">
        <v>0</v>
      </c>
      <c r="X7154" s="21">
        <v>0</v>
      </c>
      <c r="Y7154" s="21">
        <v>0</v>
      </c>
      <c r="Z7154" s="21">
        <v>0</v>
      </c>
      <c r="AA7154" s="21">
        <v>0</v>
      </c>
      <c r="AB7154" s="21">
        <v>0</v>
      </c>
      <c r="AC7154" s="21">
        <v>0</v>
      </c>
      <c r="AD7154" s="21">
        <v>0</v>
      </c>
      <c r="AE7154" s="21">
        <v>0</v>
      </c>
      <c r="AF7154" s="21">
        <v>0</v>
      </c>
      <c r="AG7154" s="21">
        <v>0</v>
      </c>
      <c r="AH7154" s="21">
        <f t="shared" si="130"/>
        <v>256</v>
      </c>
      <c r="AI7154" s="21"/>
      <c r="AJ7154" s="21" t="s">
        <v>54</v>
      </c>
      <c r="AK7154" s="21" t="s">
        <v>52</v>
      </c>
      <c r="AL7154" s="21"/>
      <c r="AM7154" s="21" t="s">
        <v>2517</v>
      </c>
      <c r="AN7154" s="21">
        <v>-122.444220766667</v>
      </c>
      <c r="AO7154" s="21">
        <v>37.795988883333301</v>
      </c>
      <c r="AP7154" s="21" t="s">
        <v>1915</v>
      </c>
    </row>
    <row r="7155" spans="1:42">
      <c r="A7155" s="20">
        <v>43853</v>
      </c>
      <c r="B7155" s="21">
        <v>4</v>
      </c>
      <c r="C7155" s="21">
        <v>985</v>
      </c>
      <c r="D7155" s="21">
        <v>14358</v>
      </c>
      <c r="E7155" s="21" t="s">
        <v>2123</v>
      </c>
      <c r="F7155" s="21" t="s">
        <v>520</v>
      </c>
      <c r="G7155" s="21">
        <v>1</v>
      </c>
      <c r="H7155" s="21">
        <v>184</v>
      </c>
      <c r="I7155" s="23" t="s">
        <v>2518</v>
      </c>
      <c r="J7155" s="21"/>
      <c r="K7155" s="21" t="s">
        <v>156</v>
      </c>
      <c r="L7155" s="21"/>
      <c r="M7155" s="21"/>
      <c r="N7155" s="21" t="s">
        <v>44</v>
      </c>
      <c r="O7155" s="21">
        <f>60+33</f>
        <v>93</v>
      </c>
      <c r="P7155" s="21"/>
      <c r="Q7155" s="21">
        <f t="shared" si="129"/>
        <v>2</v>
      </c>
      <c r="R7155" s="21">
        <v>1</v>
      </c>
      <c r="S7155" s="21">
        <v>0</v>
      </c>
      <c r="T7155" s="21">
        <v>0</v>
      </c>
      <c r="U7155" s="21">
        <v>0</v>
      </c>
      <c r="V7155" s="21">
        <v>0</v>
      </c>
      <c r="W7155" s="21">
        <v>2</v>
      </c>
      <c r="X7155" s="21">
        <v>0</v>
      </c>
      <c r="Y7155" s="21">
        <v>0</v>
      </c>
      <c r="Z7155" s="21">
        <v>0</v>
      </c>
      <c r="AA7155" s="21">
        <v>0</v>
      </c>
      <c r="AB7155" s="21">
        <v>0</v>
      </c>
      <c r="AC7155" s="21">
        <v>0</v>
      </c>
      <c r="AD7155" s="21">
        <v>0</v>
      </c>
      <c r="AE7155" s="21">
        <v>0</v>
      </c>
      <c r="AF7155" s="21">
        <v>0</v>
      </c>
      <c r="AG7155" s="21">
        <v>0</v>
      </c>
      <c r="AH7155" s="21">
        <f t="shared" si="130"/>
        <v>192</v>
      </c>
      <c r="AI7155" s="21"/>
      <c r="AJ7155" s="21" t="s">
        <v>54</v>
      </c>
      <c r="AK7155" s="21" t="s">
        <v>52</v>
      </c>
      <c r="AL7155" s="21"/>
      <c r="AM7155" s="21" t="s">
        <v>2519</v>
      </c>
      <c r="AN7155" s="21">
        <v>-122.44411838333301</v>
      </c>
      <c r="AO7155" s="21">
        <v>37.79598755</v>
      </c>
      <c r="AP7155" s="21" t="s">
        <v>1915</v>
      </c>
    </row>
    <row r="7156" spans="1:42">
      <c r="A7156" s="20">
        <v>43853</v>
      </c>
      <c r="B7156" s="21">
        <v>4</v>
      </c>
      <c r="C7156" s="21">
        <v>985</v>
      </c>
      <c r="D7156" s="21">
        <v>14358</v>
      </c>
      <c r="E7156" s="21" t="s">
        <v>2123</v>
      </c>
      <c r="F7156" s="21" t="s">
        <v>520</v>
      </c>
      <c r="G7156" s="21">
        <v>1</v>
      </c>
      <c r="H7156" s="21">
        <v>185</v>
      </c>
      <c r="I7156" s="23" t="s">
        <v>2520</v>
      </c>
      <c r="J7156" s="21"/>
      <c r="K7156" s="21" t="s">
        <v>156</v>
      </c>
      <c r="L7156" s="21"/>
      <c r="M7156" s="21"/>
      <c r="N7156" s="21" t="s">
        <v>40</v>
      </c>
      <c r="O7156" s="21">
        <v>51</v>
      </c>
      <c r="P7156" s="21"/>
      <c r="Q7156" s="21">
        <f t="shared" si="129"/>
        <v>2</v>
      </c>
      <c r="R7156" s="21">
        <v>1</v>
      </c>
      <c r="S7156" s="21">
        <v>0</v>
      </c>
      <c r="T7156" s="21">
        <v>0</v>
      </c>
      <c r="U7156" s="21">
        <v>0</v>
      </c>
      <c r="V7156" s="21">
        <v>2</v>
      </c>
      <c r="W7156" s="21">
        <v>0</v>
      </c>
      <c r="X7156" s="21">
        <v>0</v>
      </c>
      <c r="Y7156" s="21">
        <v>0</v>
      </c>
      <c r="Z7156" s="21">
        <v>0</v>
      </c>
      <c r="AA7156" s="21">
        <v>0</v>
      </c>
      <c r="AB7156" s="21">
        <v>0</v>
      </c>
      <c r="AC7156" s="21">
        <v>0</v>
      </c>
      <c r="AD7156" s="21">
        <v>0</v>
      </c>
      <c r="AE7156" s="21">
        <v>0</v>
      </c>
      <c r="AF7156" s="21">
        <v>0</v>
      </c>
      <c r="AG7156" s="21">
        <v>0</v>
      </c>
      <c r="AH7156" s="21">
        <f t="shared" si="130"/>
        <v>128</v>
      </c>
      <c r="AI7156" s="21"/>
      <c r="AJ7156" s="21" t="s">
        <v>54</v>
      </c>
      <c r="AK7156" s="21" t="s">
        <v>52</v>
      </c>
      <c r="AL7156" s="21"/>
      <c r="AM7156" s="21" t="s">
        <v>2521</v>
      </c>
      <c r="AN7156" s="21">
        <v>-122.444075683333</v>
      </c>
      <c r="AO7156" s="21">
        <v>37.79600215</v>
      </c>
      <c r="AP7156" s="21" t="s">
        <v>1915</v>
      </c>
    </row>
    <row r="7157" spans="1:42">
      <c r="A7157" s="20">
        <v>43853</v>
      </c>
      <c r="B7157" s="21">
        <v>4</v>
      </c>
      <c r="C7157" s="21">
        <v>985</v>
      </c>
      <c r="D7157" s="21">
        <v>14358</v>
      </c>
      <c r="E7157" s="21" t="s">
        <v>2123</v>
      </c>
      <c r="F7157" s="21" t="s">
        <v>520</v>
      </c>
      <c r="G7157" s="21">
        <v>1</v>
      </c>
      <c r="H7157" s="21">
        <v>186</v>
      </c>
      <c r="I7157" s="23" t="s">
        <v>2522</v>
      </c>
      <c r="J7157" s="21"/>
      <c r="K7157" s="21" t="s">
        <v>156</v>
      </c>
      <c r="L7157" s="21"/>
      <c r="M7157" s="21"/>
      <c r="N7157" s="21" t="s">
        <v>40</v>
      </c>
      <c r="O7157" s="21">
        <f>60+18</f>
        <v>78</v>
      </c>
      <c r="P7157" s="21"/>
      <c r="Q7157" s="21">
        <f t="shared" si="129"/>
        <v>2</v>
      </c>
      <c r="R7157" s="21">
        <v>1</v>
      </c>
      <c r="S7157" s="21">
        <v>0</v>
      </c>
      <c r="T7157" s="21">
        <v>0</v>
      </c>
      <c r="U7157" s="21">
        <v>1</v>
      </c>
      <c r="V7157" s="21">
        <v>1</v>
      </c>
      <c r="W7157" s="21">
        <v>0</v>
      </c>
      <c r="X7157" s="21">
        <v>0</v>
      </c>
      <c r="Y7157" s="21">
        <v>0</v>
      </c>
      <c r="Z7157" s="21">
        <v>0</v>
      </c>
      <c r="AA7157" s="21">
        <v>0</v>
      </c>
      <c r="AB7157" s="21">
        <v>0</v>
      </c>
      <c r="AC7157" s="21">
        <v>0</v>
      </c>
      <c r="AD7157" s="21">
        <v>0</v>
      </c>
      <c r="AE7157" s="21">
        <v>0</v>
      </c>
      <c r="AF7157" s="21">
        <v>0</v>
      </c>
      <c r="AG7157" s="21">
        <v>0</v>
      </c>
      <c r="AH7157" s="21">
        <f t="shared" si="130"/>
        <v>96</v>
      </c>
      <c r="AI7157" s="21"/>
      <c r="AJ7157" s="21"/>
      <c r="AK7157" s="21"/>
      <c r="AL7157" s="21" t="s">
        <v>2523</v>
      </c>
      <c r="AM7157" s="21" t="s">
        <v>2524</v>
      </c>
      <c r="AN7157" s="21">
        <v>-122.44334576666699</v>
      </c>
      <c r="AO7157" s="21">
        <v>37.796093716666597</v>
      </c>
      <c r="AP7157" s="21" t="s">
        <v>1915</v>
      </c>
    </row>
    <row r="7158" spans="1:42">
      <c r="A7158" s="20">
        <v>43853</v>
      </c>
      <c r="B7158" s="21">
        <v>4</v>
      </c>
      <c r="C7158" s="21">
        <v>985</v>
      </c>
      <c r="D7158" s="21">
        <v>14358</v>
      </c>
      <c r="E7158" s="21" t="s">
        <v>2123</v>
      </c>
      <c r="F7158" s="21" t="s">
        <v>520</v>
      </c>
      <c r="G7158" s="21">
        <v>1</v>
      </c>
      <c r="H7158" s="21">
        <v>187</v>
      </c>
      <c r="I7158" s="23" t="s">
        <v>2525</v>
      </c>
      <c r="J7158" s="21"/>
      <c r="K7158" s="21" t="s">
        <v>156</v>
      </c>
      <c r="L7158" s="21"/>
      <c r="M7158" s="21"/>
      <c r="N7158" s="21" t="s">
        <v>40</v>
      </c>
      <c r="O7158" s="21">
        <v>33</v>
      </c>
      <c r="P7158" s="21"/>
      <c r="Q7158" s="21">
        <f t="shared" si="129"/>
        <v>1</v>
      </c>
      <c r="R7158" s="21">
        <v>1</v>
      </c>
      <c r="S7158" s="21">
        <v>0</v>
      </c>
      <c r="T7158" s="21">
        <v>0</v>
      </c>
      <c r="U7158" s="21">
        <v>0</v>
      </c>
      <c r="V7158" s="21">
        <v>0</v>
      </c>
      <c r="W7158" s="21">
        <v>1</v>
      </c>
      <c r="X7158" s="21">
        <v>0</v>
      </c>
      <c r="Y7158" s="21">
        <v>0</v>
      </c>
      <c r="Z7158" s="21">
        <v>0</v>
      </c>
      <c r="AA7158" s="21">
        <v>0</v>
      </c>
      <c r="AB7158" s="21">
        <v>0</v>
      </c>
      <c r="AC7158" s="21">
        <v>0</v>
      </c>
      <c r="AD7158" s="21">
        <v>0</v>
      </c>
      <c r="AE7158" s="21">
        <v>0</v>
      </c>
      <c r="AF7158" s="21">
        <v>0</v>
      </c>
      <c r="AG7158" s="21">
        <v>0</v>
      </c>
      <c r="AH7158" s="21">
        <f t="shared" si="130"/>
        <v>96</v>
      </c>
      <c r="AI7158" s="21"/>
      <c r="AJ7158" s="21"/>
      <c r="AK7158" s="21"/>
      <c r="AL7158" s="21"/>
      <c r="AM7158" s="21" t="s">
        <v>2526</v>
      </c>
      <c r="AN7158" s="21">
        <v>-122.443300616667</v>
      </c>
      <c r="AO7158" s="21">
        <v>37.796116033333298</v>
      </c>
      <c r="AP7158" s="21" t="s">
        <v>1915</v>
      </c>
    </row>
    <row r="7159" spans="1:42">
      <c r="A7159" s="20">
        <v>43853</v>
      </c>
      <c r="B7159" s="21">
        <v>4</v>
      </c>
      <c r="C7159" s="21">
        <v>985</v>
      </c>
      <c r="D7159" s="21">
        <v>14358</v>
      </c>
      <c r="E7159" s="21" t="s">
        <v>2123</v>
      </c>
      <c r="F7159" s="21" t="s">
        <v>520</v>
      </c>
      <c r="G7159" s="21">
        <v>1</v>
      </c>
      <c r="H7159" s="21">
        <v>188</v>
      </c>
      <c r="I7159" s="23" t="s">
        <v>2527</v>
      </c>
      <c r="J7159" s="21"/>
      <c r="K7159" s="21" t="s">
        <v>156</v>
      </c>
      <c r="L7159" s="21"/>
      <c r="M7159" s="21"/>
      <c r="N7159" s="21" t="s">
        <v>40</v>
      </c>
      <c r="O7159" s="21">
        <v>34</v>
      </c>
      <c r="P7159" s="21"/>
      <c r="Q7159" s="21">
        <f t="shared" si="129"/>
        <v>1</v>
      </c>
      <c r="R7159" s="21">
        <v>1</v>
      </c>
      <c r="S7159" s="21">
        <v>0</v>
      </c>
      <c r="T7159" s="21">
        <v>0</v>
      </c>
      <c r="U7159" s="21">
        <v>0</v>
      </c>
      <c r="V7159" s="21">
        <v>1</v>
      </c>
      <c r="W7159" s="21">
        <v>0</v>
      </c>
      <c r="X7159" s="21">
        <v>0</v>
      </c>
      <c r="Y7159" s="21">
        <v>0</v>
      </c>
      <c r="Z7159" s="21">
        <v>0</v>
      </c>
      <c r="AA7159" s="21">
        <v>0</v>
      </c>
      <c r="AB7159" s="21">
        <v>0</v>
      </c>
      <c r="AC7159" s="21">
        <v>0</v>
      </c>
      <c r="AD7159" s="21">
        <v>0</v>
      </c>
      <c r="AE7159" s="21">
        <v>0</v>
      </c>
      <c r="AF7159" s="21">
        <v>0</v>
      </c>
      <c r="AG7159" s="21">
        <v>0</v>
      </c>
      <c r="AH7159" s="21">
        <f t="shared" si="130"/>
        <v>64</v>
      </c>
      <c r="AI7159" s="21"/>
      <c r="AJ7159" s="21"/>
      <c r="AK7159" s="21"/>
      <c r="AL7159" s="21"/>
      <c r="AM7159" s="21" t="s">
        <v>2528</v>
      </c>
      <c r="AN7159" s="21">
        <v>-122.4431738</v>
      </c>
      <c r="AO7159" s="21">
        <v>37.7960958166667</v>
      </c>
      <c r="AP7159" s="21" t="s">
        <v>1915</v>
      </c>
    </row>
    <row r="7160" spans="1:42">
      <c r="A7160" s="20">
        <v>43853</v>
      </c>
      <c r="B7160" s="21">
        <v>4</v>
      </c>
      <c r="C7160" s="21">
        <v>985</v>
      </c>
      <c r="D7160" s="21">
        <v>14358</v>
      </c>
      <c r="E7160" s="21" t="s">
        <v>2123</v>
      </c>
      <c r="F7160" s="21" t="s">
        <v>520</v>
      </c>
      <c r="G7160" s="21">
        <v>1</v>
      </c>
      <c r="H7160" s="21">
        <v>189</v>
      </c>
      <c r="I7160" s="23" t="s">
        <v>2529</v>
      </c>
      <c r="J7160" s="21"/>
      <c r="K7160" s="21" t="s">
        <v>156</v>
      </c>
      <c r="L7160" s="21"/>
      <c r="M7160" s="21"/>
      <c r="N7160" s="21" t="s">
        <v>40</v>
      </c>
      <c r="O7160" s="21">
        <v>60</v>
      </c>
      <c r="P7160" s="21"/>
      <c r="Q7160" s="21">
        <f t="shared" si="129"/>
        <v>3</v>
      </c>
      <c r="R7160" s="21">
        <v>1</v>
      </c>
      <c r="S7160" s="21">
        <v>0</v>
      </c>
      <c r="T7160" s="21">
        <v>0</v>
      </c>
      <c r="U7160" s="21">
        <v>0</v>
      </c>
      <c r="V7160" s="21">
        <v>0</v>
      </c>
      <c r="W7160" s="21">
        <v>3</v>
      </c>
      <c r="X7160" s="21">
        <v>0</v>
      </c>
      <c r="Y7160" s="21">
        <v>0</v>
      </c>
      <c r="Z7160" s="21">
        <v>0</v>
      </c>
      <c r="AA7160" s="21">
        <v>0</v>
      </c>
      <c r="AB7160" s="21">
        <v>0</v>
      </c>
      <c r="AC7160" s="21">
        <v>0</v>
      </c>
      <c r="AD7160" s="21">
        <v>0</v>
      </c>
      <c r="AE7160" s="21">
        <v>0</v>
      </c>
      <c r="AF7160" s="21">
        <v>0</v>
      </c>
      <c r="AG7160" s="21">
        <v>0</v>
      </c>
      <c r="AH7160" s="21">
        <f t="shared" si="130"/>
        <v>288</v>
      </c>
      <c r="AI7160" s="21"/>
      <c r="AJ7160" s="21" t="s">
        <v>54</v>
      </c>
      <c r="AK7160" s="21" t="s">
        <v>95</v>
      </c>
      <c r="AL7160" s="21"/>
      <c r="AM7160" s="21" t="s">
        <v>2530</v>
      </c>
      <c r="AN7160" s="21">
        <v>-122.443062933333</v>
      </c>
      <c r="AO7160" s="21">
        <v>37.796103049999999</v>
      </c>
      <c r="AP7160" s="21" t="s">
        <v>1915</v>
      </c>
    </row>
    <row r="7161" spans="1:42">
      <c r="A7161" s="20">
        <v>43853</v>
      </c>
      <c r="B7161" s="21">
        <v>4</v>
      </c>
      <c r="C7161" s="21">
        <v>985</v>
      </c>
      <c r="D7161" s="21">
        <v>14358</v>
      </c>
      <c r="E7161" s="21" t="s">
        <v>2123</v>
      </c>
      <c r="F7161" s="21" t="s">
        <v>520</v>
      </c>
      <c r="G7161" s="21">
        <v>1</v>
      </c>
      <c r="H7161" s="21">
        <v>190</v>
      </c>
      <c r="I7161" s="23" t="s">
        <v>2531</v>
      </c>
      <c r="J7161" s="21"/>
      <c r="K7161" s="21" t="s">
        <v>156</v>
      </c>
      <c r="L7161" s="21"/>
      <c r="M7161" s="21"/>
      <c r="N7161" s="21" t="s">
        <v>40</v>
      </c>
      <c r="O7161" s="21">
        <v>48</v>
      </c>
      <c r="P7161" s="21"/>
      <c r="Q7161" s="21">
        <f t="shared" si="129"/>
        <v>2</v>
      </c>
      <c r="R7161" s="21">
        <v>1</v>
      </c>
      <c r="S7161" s="21">
        <v>0</v>
      </c>
      <c r="T7161" s="21">
        <v>0</v>
      </c>
      <c r="U7161" s="21">
        <v>0</v>
      </c>
      <c r="V7161" s="21">
        <v>0</v>
      </c>
      <c r="W7161" s="21">
        <v>2</v>
      </c>
      <c r="X7161" s="21">
        <v>0</v>
      </c>
      <c r="Y7161" s="21">
        <v>0</v>
      </c>
      <c r="Z7161" s="21">
        <v>0</v>
      </c>
      <c r="AA7161" s="21">
        <v>0</v>
      </c>
      <c r="AB7161" s="21">
        <v>0</v>
      </c>
      <c r="AC7161" s="21">
        <v>0</v>
      </c>
      <c r="AD7161" s="21">
        <v>0</v>
      </c>
      <c r="AE7161" s="21">
        <v>0</v>
      </c>
      <c r="AF7161" s="21">
        <v>0</v>
      </c>
      <c r="AG7161" s="21">
        <v>0</v>
      </c>
      <c r="AH7161" s="21">
        <f t="shared" si="130"/>
        <v>192</v>
      </c>
      <c r="AI7161" s="21"/>
      <c r="AJ7161" s="21"/>
      <c r="AK7161" s="21"/>
      <c r="AL7161" s="21"/>
      <c r="AM7161" s="21" t="s">
        <v>2532</v>
      </c>
      <c r="AN7161" s="21">
        <v>-122.442781516667</v>
      </c>
      <c r="AO7161" s="21">
        <v>37.796137866666598</v>
      </c>
      <c r="AP7161" s="21" t="s">
        <v>1915</v>
      </c>
    </row>
    <row r="7162" spans="1:42">
      <c r="A7162" s="20">
        <v>43845</v>
      </c>
      <c r="B7162" s="21">
        <v>3</v>
      </c>
      <c r="C7162" s="21">
        <v>985</v>
      </c>
      <c r="D7162" s="21">
        <v>14358</v>
      </c>
      <c r="E7162" s="21" t="s">
        <v>2123</v>
      </c>
      <c r="F7162" s="21" t="s">
        <v>520</v>
      </c>
      <c r="G7162" s="21">
        <v>1</v>
      </c>
      <c r="H7162" s="21">
        <v>1</v>
      </c>
      <c r="I7162" s="23" t="s">
        <v>2533</v>
      </c>
      <c r="J7162" s="21"/>
      <c r="K7162" s="21" t="s">
        <v>2125</v>
      </c>
      <c r="L7162" s="21"/>
      <c r="M7162" s="21"/>
      <c r="N7162" s="21" t="s">
        <v>42</v>
      </c>
      <c r="O7162" s="21">
        <f>60+60+60+60+24</f>
        <v>264</v>
      </c>
      <c r="P7162" s="21"/>
      <c r="Q7162" s="21">
        <f t="shared" si="129"/>
        <v>3</v>
      </c>
      <c r="R7162" s="21">
        <v>1</v>
      </c>
      <c r="S7162" s="21">
        <v>0</v>
      </c>
      <c r="T7162" s="21">
        <v>0</v>
      </c>
      <c r="U7162" s="21">
        <v>0</v>
      </c>
      <c r="V7162" s="21">
        <v>1</v>
      </c>
      <c r="W7162" s="21">
        <v>2</v>
      </c>
      <c r="X7162" s="21">
        <v>0</v>
      </c>
      <c r="Y7162" s="21">
        <v>0</v>
      </c>
      <c r="Z7162" s="21">
        <v>0</v>
      </c>
      <c r="AA7162" s="21">
        <v>0</v>
      </c>
      <c r="AB7162" s="21">
        <v>0</v>
      </c>
      <c r="AC7162" s="21">
        <v>0</v>
      </c>
      <c r="AD7162" s="21">
        <v>0</v>
      </c>
      <c r="AE7162" s="21">
        <v>0</v>
      </c>
      <c r="AF7162" s="21">
        <v>0</v>
      </c>
      <c r="AG7162" s="21">
        <v>0</v>
      </c>
      <c r="AH7162" s="21">
        <f t="shared" si="130"/>
        <v>256</v>
      </c>
      <c r="AI7162" s="21"/>
      <c r="AJ7162" s="21"/>
      <c r="AK7162" s="21"/>
      <c r="AL7162" s="21" t="s">
        <v>2534</v>
      </c>
      <c r="AM7162" s="21" t="s">
        <v>2535</v>
      </c>
      <c r="AN7162" s="21">
        <v>-122.43354265000001</v>
      </c>
      <c r="AO7162" s="21">
        <v>37.788902100000001</v>
      </c>
      <c r="AP7162" s="21" t="s">
        <v>1915</v>
      </c>
    </row>
    <row r="7163" spans="1:42">
      <c r="A7163" s="20">
        <v>43845</v>
      </c>
      <c r="B7163" s="21">
        <v>3</v>
      </c>
      <c r="C7163" s="21">
        <v>985</v>
      </c>
      <c r="D7163" s="21">
        <v>14358</v>
      </c>
      <c r="E7163" s="21" t="s">
        <v>2123</v>
      </c>
      <c r="F7163" s="21" t="s">
        <v>520</v>
      </c>
      <c r="G7163" s="21">
        <v>1</v>
      </c>
      <c r="H7163" s="21">
        <v>2</v>
      </c>
      <c r="I7163" s="23" t="s">
        <v>2536</v>
      </c>
      <c r="J7163" s="21"/>
      <c r="K7163" s="21" t="s">
        <v>2125</v>
      </c>
      <c r="L7163" s="21"/>
      <c r="M7163" s="21"/>
      <c r="N7163" s="21" t="s">
        <v>40</v>
      </c>
      <c r="O7163" s="21">
        <v>49</v>
      </c>
      <c r="P7163" s="21"/>
      <c r="Q7163" s="21">
        <f t="shared" si="129"/>
        <v>1</v>
      </c>
      <c r="R7163" s="21">
        <v>1</v>
      </c>
      <c r="S7163" s="21">
        <v>0</v>
      </c>
      <c r="T7163" s="21">
        <v>0</v>
      </c>
      <c r="U7163" s="21">
        <v>0</v>
      </c>
      <c r="V7163" s="21">
        <v>1</v>
      </c>
      <c r="W7163" s="21">
        <v>0</v>
      </c>
      <c r="X7163" s="21">
        <v>0</v>
      </c>
      <c r="Y7163" s="21">
        <v>0</v>
      </c>
      <c r="Z7163" s="21">
        <v>0</v>
      </c>
      <c r="AA7163" s="21">
        <v>0</v>
      </c>
      <c r="AB7163" s="21">
        <v>0</v>
      </c>
      <c r="AC7163" s="21">
        <v>0</v>
      </c>
      <c r="AD7163" s="21">
        <v>0</v>
      </c>
      <c r="AE7163" s="21">
        <v>0</v>
      </c>
      <c r="AF7163" s="21">
        <v>0</v>
      </c>
      <c r="AG7163" s="21">
        <v>0</v>
      </c>
      <c r="AH7163" s="21">
        <f t="shared" si="130"/>
        <v>64</v>
      </c>
      <c r="AI7163" s="21"/>
      <c r="AJ7163" s="21"/>
      <c r="AK7163" s="21"/>
      <c r="AL7163" s="21"/>
      <c r="AM7163" s="21" t="s">
        <v>2537</v>
      </c>
      <c r="AN7163" s="21">
        <v>-122.43264746666701</v>
      </c>
      <c r="AO7163" s="21">
        <v>37.7890159166666</v>
      </c>
      <c r="AP7163" s="21" t="s">
        <v>1915</v>
      </c>
    </row>
    <row r="7164" spans="1:42">
      <c r="A7164" s="20">
        <v>43845</v>
      </c>
      <c r="B7164" s="21">
        <v>3</v>
      </c>
      <c r="C7164" s="21">
        <v>985</v>
      </c>
      <c r="D7164" s="21">
        <v>14358</v>
      </c>
      <c r="E7164" s="21" t="s">
        <v>2123</v>
      </c>
      <c r="F7164" s="21" t="s">
        <v>520</v>
      </c>
      <c r="G7164" s="21">
        <v>1</v>
      </c>
      <c r="H7164" s="21">
        <v>3</v>
      </c>
      <c r="I7164" s="23" t="s">
        <v>2536</v>
      </c>
      <c r="J7164" s="21"/>
      <c r="K7164" s="21" t="s">
        <v>2125</v>
      </c>
      <c r="L7164" s="21"/>
      <c r="M7164" s="21"/>
      <c r="N7164" s="21" t="s">
        <v>40</v>
      </c>
      <c r="O7164" s="21">
        <v>59</v>
      </c>
      <c r="P7164" s="21"/>
      <c r="Q7164" s="21">
        <f t="shared" si="129"/>
        <v>2</v>
      </c>
      <c r="R7164" s="21">
        <v>1</v>
      </c>
      <c r="S7164" s="21">
        <v>0</v>
      </c>
      <c r="T7164" s="21">
        <v>0</v>
      </c>
      <c r="U7164" s="21">
        <v>2</v>
      </c>
      <c r="V7164" s="21">
        <v>0</v>
      </c>
      <c r="W7164" s="21">
        <v>0</v>
      </c>
      <c r="X7164" s="21">
        <v>0</v>
      </c>
      <c r="Y7164" s="21">
        <v>0</v>
      </c>
      <c r="Z7164" s="21">
        <v>0</v>
      </c>
      <c r="AA7164" s="21">
        <v>0</v>
      </c>
      <c r="AB7164" s="21">
        <v>0</v>
      </c>
      <c r="AC7164" s="21">
        <v>0</v>
      </c>
      <c r="AD7164" s="21">
        <v>0</v>
      </c>
      <c r="AE7164" s="21">
        <v>0</v>
      </c>
      <c r="AF7164" s="21">
        <v>0</v>
      </c>
      <c r="AG7164" s="21">
        <v>0</v>
      </c>
      <c r="AH7164" s="21">
        <f t="shared" si="130"/>
        <v>64</v>
      </c>
      <c r="AI7164" s="21"/>
      <c r="AJ7164" s="21"/>
      <c r="AK7164" s="21"/>
      <c r="AL7164" s="21"/>
      <c r="AM7164" s="21" t="s">
        <v>2538</v>
      </c>
      <c r="AN7164" s="21">
        <v>-122.432570316667</v>
      </c>
      <c r="AO7164" s="21">
        <v>37.789026766666602</v>
      </c>
      <c r="AP7164" s="21" t="s">
        <v>1915</v>
      </c>
    </row>
    <row r="7165" spans="1:42">
      <c r="A7165" s="20">
        <v>43845</v>
      </c>
      <c r="B7165" s="21">
        <v>3</v>
      </c>
      <c r="C7165" s="21">
        <v>985</v>
      </c>
      <c r="D7165" s="21">
        <v>14358</v>
      </c>
      <c r="E7165" s="21" t="s">
        <v>2123</v>
      </c>
      <c r="F7165" s="21" t="s">
        <v>520</v>
      </c>
      <c r="G7165" s="21">
        <v>1</v>
      </c>
      <c r="H7165" s="21">
        <v>4</v>
      </c>
      <c r="I7165" s="23" t="s">
        <v>2539</v>
      </c>
      <c r="J7165" s="21"/>
      <c r="K7165" s="21" t="s">
        <v>2125</v>
      </c>
      <c r="L7165" s="21"/>
      <c r="M7165" s="21"/>
      <c r="N7165" s="21" t="s">
        <v>44</v>
      </c>
      <c r="O7165" s="21">
        <f>60+60+20</f>
        <v>140</v>
      </c>
      <c r="P7165" s="21"/>
      <c r="Q7165" s="21">
        <f t="shared" si="129"/>
        <v>1</v>
      </c>
      <c r="R7165" s="21">
        <v>1</v>
      </c>
      <c r="S7165" s="21">
        <v>0</v>
      </c>
      <c r="T7165" s="21">
        <v>0</v>
      </c>
      <c r="U7165" s="21">
        <v>0</v>
      </c>
      <c r="V7165" s="21">
        <v>1</v>
      </c>
      <c r="W7165" s="21">
        <v>0</v>
      </c>
      <c r="X7165" s="21">
        <v>0</v>
      </c>
      <c r="Y7165" s="21">
        <v>0</v>
      </c>
      <c r="Z7165" s="21">
        <v>0</v>
      </c>
      <c r="AA7165" s="21">
        <v>0</v>
      </c>
      <c r="AB7165" s="21">
        <v>0</v>
      </c>
      <c r="AC7165" s="21">
        <v>0</v>
      </c>
      <c r="AD7165" s="21">
        <v>0</v>
      </c>
      <c r="AE7165" s="21">
        <v>0</v>
      </c>
      <c r="AF7165" s="21">
        <v>0</v>
      </c>
      <c r="AG7165" s="21">
        <v>0</v>
      </c>
      <c r="AH7165" s="21">
        <f t="shared" si="130"/>
        <v>64</v>
      </c>
      <c r="AI7165" s="21"/>
      <c r="AJ7165" s="21"/>
      <c r="AK7165" s="21"/>
      <c r="AL7165" s="21" t="s">
        <v>597</v>
      </c>
      <c r="AM7165" s="21" t="s">
        <v>2540</v>
      </c>
      <c r="AN7165" s="21">
        <v>-122.43176656666699</v>
      </c>
      <c r="AO7165" s="21">
        <v>37.789199383333298</v>
      </c>
      <c r="AP7165" s="21" t="s">
        <v>1915</v>
      </c>
    </row>
    <row r="7166" spans="1:42">
      <c r="A7166" s="20">
        <v>43845</v>
      </c>
      <c r="B7166" s="21">
        <v>3</v>
      </c>
      <c r="C7166" s="21">
        <v>985</v>
      </c>
      <c r="D7166" s="21">
        <v>14358</v>
      </c>
      <c r="E7166" s="21" t="s">
        <v>2123</v>
      </c>
      <c r="F7166" s="21" t="s">
        <v>520</v>
      </c>
      <c r="G7166" s="21">
        <v>1</v>
      </c>
      <c r="H7166" s="21">
        <v>5</v>
      </c>
      <c r="I7166" s="23" t="s">
        <v>2541</v>
      </c>
      <c r="J7166" s="21"/>
      <c r="K7166" s="21" t="s">
        <v>2125</v>
      </c>
      <c r="L7166" s="21"/>
      <c r="M7166" s="21"/>
      <c r="N7166" s="21" t="s">
        <v>44</v>
      </c>
      <c r="O7166" s="21">
        <v>44</v>
      </c>
      <c r="P7166" s="21"/>
      <c r="Q7166" s="21">
        <f t="shared" si="129"/>
        <v>3</v>
      </c>
      <c r="R7166" s="21">
        <v>1</v>
      </c>
      <c r="S7166" s="21">
        <v>0</v>
      </c>
      <c r="T7166" s="21">
        <v>0</v>
      </c>
      <c r="U7166" s="21">
        <v>0</v>
      </c>
      <c r="V7166" s="21">
        <v>0</v>
      </c>
      <c r="W7166" s="21">
        <v>3</v>
      </c>
      <c r="X7166" s="21">
        <v>0</v>
      </c>
      <c r="Y7166" s="21">
        <v>0</v>
      </c>
      <c r="Z7166" s="21">
        <v>0</v>
      </c>
      <c r="AA7166" s="21">
        <v>0</v>
      </c>
      <c r="AB7166" s="21">
        <v>0</v>
      </c>
      <c r="AC7166" s="21">
        <v>0</v>
      </c>
      <c r="AD7166" s="21">
        <v>0</v>
      </c>
      <c r="AE7166" s="21">
        <v>0</v>
      </c>
      <c r="AF7166" s="21">
        <v>0</v>
      </c>
      <c r="AG7166" s="21">
        <v>0</v>
      </c>
      <c r="AH7166" s="21">
        <f t="shared" si="130"/>
        <v>288</v>
      </c>
      <c r="AI7166" s="21"/>
      <c r="AJ7166" s="21"/>
      <c r="AK7166" s="21"/>
      <c r="AL7166" s="21" t="s">
        <v>2542</v>
      </c>
      <c r="AM7166" s="21" t="s">
        <v>2543</v>
      </c>
      <c r="AN7166" s="21">
        <v>-122.43083223333301</v>
      </c>
      <c r="AO7166" s="21">
        <v>37.7892153833333</v>
      </c>
      <c r="AP7166" s="21" t="s">
        <v>1915</v>
      </c>
    </row>
    <row r="7167" spans="1:42">
      <c r="A7167" s="20">
        <v>43845</v>
      </c>
      <c r="B7167" s="21">
        <v>3</v>
      </c>
      <c r="C7167" s="21">
        <v>985</v>
      </c>
      <c r="D7167" s="21">
        <v>14358</v>
      </c>
      <c r="E7167" s="21" t="s">
        <v>2123</v>
      </c>
      <c r="F7167" s="21" t="s">
        <v>520</v>
      </c>
      <c r="G7167" s="21">
        <v>1</v>
      </c>
      <c r="H7167" s="21">
        <v>6</v>
      </c>
      <c r="I7167" s="23" t="s">
        <v>2544</v>
      </c>
      <c r="J7167" s="21"/>
      <c r="K7167" s="21" t="s">
        <v>2125</v>
      </c>
      <c r="L7167" s="21"/>
      <c r="M7167" s="21"/>
      <c r="N7167" s="21" t="s">
        <v>44</v>
      </c>
      <c r="O7167" s="21">
        <f>60+55</f>
        <v>115</v>
      </c>
      <c r="P7167" s="21"/>
      <c r="Q7167" s="21">
        <f t="shared" si="129"/>
        <v>1</v>
      </c>
      <c r="R7167" s="21">
        <v>1</v>
      </c>
      <c r="S7167" s="21">
        <v>0</v>
      </c>
      <c r="T7167" s="21">
        <v>0</v>
      </c>
      <c r="U7167" s="21">
        <v>0</v>
      </c>
      <c r="V7167" s="21">
        <v>0</v>
      </c>
      <c r="W7167" s="21">
        <v>1</v>
      </c>
      <c r="X7167" s="21">
        <v>0</v>
      </c>
      <c r="Y7167" s="21">
        <v>0</v>
      </c>
      <c r="Z7167" s="21">
        <v>0</v>
      </c>
      <c r="AA7167" s="21">
        <v>0</v>
      </c>
      <c r="AB7167" s="21">
        <v>0</v>
      </c>
      <c r="AC7167" s="21">
        <v>0</v>
      </c>
      <c r="AD7167" s="21">
        <v>0</v>
      </c>
      <c r="AE7167" s="21">
        <v>0</v>
      </c>
      <c r="AF7167" s="21">
        <v>0</v>
      </c>
      <c r="AG7167" s="21">
        <v>0</v>
      </c>
      <c r="AH7167" s="21">
        <f t="shared" si="130"/>
        <v>96</v>
      </c>
      <c r="AI7167" s="21"/>
      <c r="AJ7167" s="21"/>
      <c r="AK7167" s="21"/>
      <c r="AL7167" s="21"/>
      <c r="AM7167" s="21" t="s">
        <v>2545</v>
      </c>
      <c r="AN7167" s="21">
        <v>-122.43070375000001</v>
      </c>
      <c r="AO7167" s="21">
        <v>37.789856100000002</v>
      </c>
      <c r="AP7167" s="21" t="s">
        <v>1915</v>
      </c>
    </row>
    <row r="7168" spans="1:42">
      <c r="A7168" s="20">
        <v>43845</v>
      </c>
      <c r="B7168" s="21">
        <v>3</v>
      </c>
      <c r="C7168" s="21">
        <v>985</v>
      </c>
      <c r="D7168" s="21">
        <v>14358</v>
      </c>
      <c r="E7168" s="21" t="s">
        <v>2123</v>
      </c>
      <c r="F7168" s="21" t="s">
        <v>520</v>
      </c>
      <c r="G7168" s="21">
        <v>1</v>
      </c>
      <c r="H7168" s="21">
        <v>7</v>
      </c>
      <c r="I7168" s="23" t="s">
        <v>2546</v>
      </c>
      <c r="J7168" s="21"/>
      <c r="K7168" s="21" t="s">
        <v>2215</v>
      </c>
      <c r="L7168" s="21"/>
      <c r="M7168" s="21"/>
      <c r="N7168" s="21" t="s">
        <v>42</v>
      </c>
      <c r="O7168" s="21">
        <f>60+60+60+60+60+46</f>
        <v>346</v>
      </c>
      <c r="P7168" s="21"/>
      <c r="Q7168" s="21">
        <f t="shared" ref="Q7168:Q7231" si="131">SUM(S7168:AE7168)</f>
        <v>3</v>
      </c>
      <c r="R7168" s="21">
        <v>1</v>
      </c>
      <c r="S7168" s="21">
        <v>0</v>
      </c>
      <c r="T7168" s="21">
        <v>0</v>
      </c>
      <c r="U7168" s="21">
        <v>1</v>
      </c>
      <c r="V7168" s="21">
        <v>0</v>
      </c>
      <c r="W7168" s="21">
        <v>2</v>
      </c>
      <c r="X7168" s="21">
        <v>0</v>
      </c>
      <c r="Y7168" s="21">
        <v>0</v>
      </c>
      <c r="Z7168" s="21">
        <v>0</v>
      </c>
      <c r="AA7168" s="21">
        <v>0</v>
      </c>
      <c r="AB7168" s="21">
        <v>0</v>
      </c>
      <c r="AC7168" s="21">
        <v>0</v>
      </c>
      <c r="AD7168" s="21">
        <v>0</v>
      </c>
      <c r="AE7168" s="21">
        <v>0</v>
      </c>
      <c r="AF7168" s="21">
        <v>0</v>
      </c>
      <c r="AG7168" s="21">
        <v>0</v>
      </c>
      <c r="AH7168" s="21">
        <f t="shared" ref="AH7168:AH7231" si="132">(S7168*16)+(T7168*20)+(U7168*32)+(V7168*64)+(W7168*96)</f>
        <v>224</v>
      </c>
      <c r="AI7168" s="21"/>
      <c r="AJ7168" s="21"/>
      <c r="AK7168" s="21"/>
      <c r="AL7168" s="21" t="s">
        <v>2547</v>
      </c>
      <c r="AM7168" s="21" t="s">
        <v>2548</v>
      </c>
      <c r="AN7168" s="21">
        <v>-122.430700983333</v>
      </c>
      <c r="AO7168" s="21">
        <v>37.789885566666698</v>
      </c>
      <c r="AP7168" s="21" t="s">
        <v>1915</v>
      </c>
    </row>
    <row r="7169" spans="1:42">
      <c r="A7169" s="20">
        <v>43845</v>
      </c>
      <c r="B7169" s="21">
        <v>3</v>
      </c>
      <c r="C7169" s="21">
        <v>985</v>
      </c>
      <c r="D7169" s="21">
        <v>14358</v>
      </c>
      <c r="E7169" s="21" t="s">
        <v>2123</v>
      </c>
      <c r="F7169" s="21" t="s">
        <v>520</v>
      </c>
      <c r="G7169" s="21">
        <v>1</v>
      </c>
      <c r="H7169" s="21">
        <v>8</v>
      </c>
      <c r="I7169" s="23" t="s">
        <v>2549</v>
      </c>
      <c r="J7169" s="21"/>
      <c r="K7169" s="21" t="s">
        <v>56</v>
      </c>
      <c r="L7169" s="21"/>
      <c r="M7169" s="21"/>
      <c r="N7169" s="21" t="s">
        <v>44</v>
      </c>
      <c r="O7169" s="21">
        <f>60+60+60+60+1</f>
        <v>241</v>
      </c>
      <c r="P7169" s="21"/>
      <c r="Q7169" s="21">
        <f t="shared" si="131"/>
        <v>1</v>
      </c>
      <c r="R7169" s="21">
        <v>1</v>
      </c>
      <c r="S7169" s="21">
        <v>0</v>
      </c>
      <c r="T7169" s="21">
        <v>0</v>
      </c>
      <c r="U7169" s="21">
        <v>0</v>
      </c>
      <c r="V7169" s="21">
        <v>0</v>
      </c>
      <c r="W7169" s="21">
        <v>1</v>
      </c>
      <c r="X7169" s="21">
        <v>0</v>
      </c>
      <c r="Y7169" s="21">
        <v>0</v>
      </c>
      <c r="Z7169" s="21">
        <v>0</v>
      </c>
      <c r="AA7169" s="21">
        <v>0</v>
      </c>
      <c r="AB7169" s="21">
        <v>0</v>
      </c>
      <c r="AC7169" s="21">
        <v>0</v>
      </c>
      <c r="AD7169" s="21">
        <v>0</v>
      </c>
      <c r="AE7169" s="21">
        <v>0</v>
      </c>
      <c r="AF7169" s="21">
        <v>0</v>
      </c>
      <c r="AG7169" s="21">
        <v>0</v>
      </c>
      <c r="AH7169" s="21">
        <f t="shared" si="132"/>
        <v>96</v>
      </c>
      <c r="AI7169" s="21"/>
      <c r="AJ7169" s="21"/>
      <c r="AK7169" s="21" t="s">
        <v>52</v>
      </c>
      <c r="AL7169" s="21" t="s">
        <v>2051</v>
      </c>
      <c r="AM7169" s="21" t="s">
        <v>2550</v>
      </c>
      <c r="AN7169" s="21">
        <v>-122.430861966667</v>
      </c>
      <c r="AO7169" s="21">
        <v>37.789325016666602</v>
      </c>
      <c r="AP7169" s="21" t="s">
        <v>1915</v>
      </c>
    </row>
    <row r="7170" spans="1:42">
      <c r="A7170" s="20">
        <v>43845</v>
      </c>
      <c r="B7170" s="21">
        <v>3</v>
      </c>
      <c r="C7170" s="21">
        <v>985</v>
      </c>
      <c r="D7170" s="21">
        <v>14358</v>
      </c>
      <c r="E7170" s="21" t="s">
        <v>2123</v>
      </c>
      <c r="F7170" s="21" t="s">
        <v>520</v>
      </c>
      <c r="G7170" s="21">
        <v>1</v>
      </c>
      <c r="H7170" s="21">
        <v>9</v>
      </c>
      <c r="I7170" s="23" t="s">
        <v>2551</v>
      </c>
      <c r="J7170" s="21"/>
      <c r="K7170" s="21" t="s">
        <v>599</v>
      </c>
      <c r="L7170" s="21"/>
      <c r="M7170" s="21"/>
      <c r="N7170" s="21" t="s">
        <v>40</v>
      </c>
      <c r="O7170" s="21">
        <v>43</v>
      </c>
      <c r="P7170" s="21"/>
      <c r="Q7170" s="21">
        <f t="shared" si="131"/>
        <v>1</v>
      </c>
      <c r="R7170" s="21">
        <v>1</v>
      </c>
      <c r="S7170" s="21">
        <v>0</v>
      </c>
      <c r="T7170" s="21">
        <v>0</v>
      </c>
      <c r="U7170" s="21">
        <v>0</v>
      </c>
      <c r="V7170" s="21">
        <v>1</v>
      </c>
      <c r="W7170" s="21">
        <v>0</v>
      </c>
      <c r="X7170" s="21">
        <v>0</v>
      </c>
      <c r="Y7170" s="21">
        <v>0</v>
      </c>
      <c r="Z7170" s="21">
        <v>0</v>
      </c>
      <c r="AA7170" s="21">
        <v>0</v>
      </c>
      <c r="AB7170" s="21">
        <v>0</v>
      </c>
      <c r="AC7170" s="21">
        <v>0</v>
      </c>
      <c r="AD7170" s="21">
        <v>0</v>
      </c>
      <c r="AE7170" s="21">
        <v>0</v>
      </c>
      <c r="AF7170" s="21">
        <v>0</v>
      </c>
      <c r="AG7170" s="21">
        <v>0</v>
      </c>
      <c r="AH7170" s="21">
        <f t="shared" si="132"/>
        <v>64</v>
      </c>
      <c r="AI7170" s="21"/>
      <c r="AJ7170" s="21" t="s">
        <v>51</v>
      </c>
      <c r="AK7170" s="21" t="s">
        <v>52</v>
      </c>
      <c r="AL7170" s="21"/>
      <c r="AM7170" s="21" t="s">
        <v>2552</v>
      </c>
      <c r="AN7170" s="21">
        <v>-122.432384966667</v>
      </c>
      <c r="AO7170" s="21">
        <v>37.78976445</v>
      </c>
      <c r="AP7170" s="21" t="s">
        <v>1915</v>
      </c>
    </row>
    <row r="7171" spans="1:42">
      <c r="A7171" s="20">
        <v>43845</v>
      </c>
      <c r="B7171" s="21">
        <v>3</v>
      </c>
      <c r="C7171" s="21">
        <v>985</v>
      </c>
      <c r="D7171" s="21">
        <v>14358</v>
      </c>
      <c r="E7171" s="21" t="s">
        <v>2123</v>
      </c>
      <c r="F7171" s="21" t="s">
        <v>520</v>
      </c>
      <c r="G7171" s="21">
        <v>1</v>
      </c>
      <c r="H7171" s="21">
        <v>10</v>
      </c>
      <c r="I7171" s="23" t="s">
        <v>2164</v>
      </c>
      <c r="J7171" s="21"/>
      <c r="K7171" s="21" t="s">
        <v>2215</v>
      </c>
      <c r="L7171" s="21"/>
      <c r="M7171" s="21"/>
      <c r="N7171" s="21" t="s">
        <v>40</v>
      </c>
      <c r="O7171" s="21">
        <v>36</v>
      </c>
      <c r="P7171" s="21"/>
      <c r="Q7171" s="21">
        <f t="shared" si="131"/>
        <v>1</v>
      </c>
      <c r="R7171" s="21">
        <v>1</v>
      </c>
      <c r="S7171" s="21">
        <v>0</v>
      </c>
      <c r="T7171" s="21">
        <v>0</v>
      </c>
      <c r="U7171" s="21">
        <v>0</v>
      </c>
      <c r="V7171" s="21">
        <v>1</v>
      </c>
      <c r="W7171" s="21">
        <v>0</v>
      </c>
      <c r="X7171" s="21">
        <v>0</v>
      </c>
      <c r="Y7171" s="21">
        <v>0</v>
      </c>
      <c r="Z7171" s="21">
        <v>0</v>
      </c>
      <c r="AA7171" s="21">
        <v>0</v>
      </c>
      <c r="AB7171" s="21">
        <v>0</v>
      </c>
      <c r="AC7171" s="21">
        <v>0</v>
      </c>
      <c r="AD7171" s="21">
        <v>0</v>
      </c>
      <c r="AE7171" s="21">
        <v>0</v>
      </c>
      <c r="AF7171" s="21">
        <v>0</v>
      </c>
      <c r="AG7171" s="21">
        <v>0</v>
      </c>
      <c r="AH7171" s="21">
        <f t="shared" si="132"/>
        <v>64</v>
      </c>
      <c r="AI7171" s="21"/>
      <c r="AJ7171" s="21"/>
      <c r="AK7171" s="21"/>
      <c r="AL7171" s="21"/>
      <c r="AM7171" s="21" t="s">
        <v>2553</v>
      </c>
      <c r="AN7171" s="21">
        <v>-122.43366635</v>
      </c>
      <c r="AO7171" s="21">
        <v>37.789915516666703</v>
      </c>
      <c r="AP7171" s="21" t="s">
        <v>1915</v>
      </c>
    </row>
    <row r="7172" spans="1:42">
      <c r="A7172" s="20">
        <v>43845</v>
      </c>
      <c r="B7172" s="21">
        <v>3</v>
      </c>
      <c r="C7172" s="21">
        <v>985</v>
      </c>
      <c r="D7172" s="21">
        <v>14358</v>
      </c>
      <c r="E7172" s="21" t="s">
        <v>2123</v>
      </c>
      <c r="F7172" s="21" t="s">
        <v>520</v>
      </c>
      <c r="G7172" s="21">
        <v>1</v>
      </c>
      <c r="H7172" s="21">
        <v>11</v>
      </c>
      <c r="I7172" s="23" t="s">
        <v>2148</v>
      </c>
      <c r="J7172" s="21"/>
      <c r="K7172" s="21" t="s">
        <v>2554</v>
      </c>
      <c r="L7172" s="21"/>
      <c r="M7172" s="21"/>
      <c r="N7172" s="21" t="s">
        <v>40</v>
      </c>
      <c r="O7172" s="21">
        <v>32</v>
      </c>
      <c r="P7172" s="21"/>
      <c r="Q7172" s="21">
        <f t="shared" si="131"/>
        <v>2</v>
      </c>
      <c r="R7172" s="21">
        <v>1</v>
      </c>
      <c r="S7172" s="21">
        <v>0</v>
      </c>
      <c r="T7172" s="21">
        <v>0</v>
      </c>
      <c r="U7172" s="21">
        <v>1</v>
      </c>
      <c r="V7172" s="21">
        <v>1</v>
      </c>
      <c r="W7172" s="21">
        <v>0</v>
      </c>
      <c r="X7172" s="21">
        <v>0</v>
      </c>
      <c r="Y7172" s="21">
        <v>0</v>
      </c>
      <c r="Z7172" s="21">
        <v>0</v>
      </c>
      <c r="AA7172" s="21">
        <v>0</v>
      </c>
      <c r="AB7172" s="21">
        <v>0</v>
      </c>
      <c r="AC7172" s="21">
        <v>0</v>
      </c>
      <c r="AD7172" s="21">
        <v>0</v>
      </c>
      <c r="AE7172" s="21">
        <v>0</v>
      </c>
      <c r="AF7172" s="21">
        <v>0</v>
      </c>
      <c r="AG7172" s="21">
        <v>0</v>
      </c>
      <c r="AH7172" s="21">
        <f t="shared" si="132"/>
        <v>96</v>
      </c>
      <c r="AI7172" s="21"/>
      <c r="AJ7172" s="21"/>
      <c r="AK7172" s="21"/>
      <c r="AL7172" s="21"/>
      <c r="AM7172" s="21" t="s">
        <v>2555</v>
      </c>
      <c r="AN7172" s="21">
        <v>-122.43402013333299</v>
      </c>
      <c r="AO7172" s="21">
        <v>37.790025016666597</v>
      </c>
      <c r="AP7172" s="21" t="s">
        <v>1915</v>
      </c>
    </row>
    <row r="7173" spans="1:42">
      <c r="A7173" s="20">
        <v>43845</v>
      </c>
      <c r="B7173" s="21">
        <v>3</v>
      </c>
      <c r="C7173" s="21">
        <v>985</v>
      </c>
      <c r="D7173" s="21">
        <v>14358</v>
      </c>
      <c r="E7173" s="21" t="s">
        <v>2123</v>
      </c>
      <c r="F7173" s="21" t="s">
        <v>520</v>
      </c>
      <c r="G7173" s="21">
        <v>1</v>
      </c>
      <c r="H7173" s="21">
        <v>12</v>
      </c>
      <c r="I7173" s="23" t="s">
        <v>2148</v>
      </c>
      <c r="J7173" s="21"/>
      <c r="K7173" s="21" t="s">
        <v>2554</v>
      </c>
      <c r="L7173" s="21"/>
      <c r="M7173" s="21"/>
      <c r="N7173" s="21" t="s">
        <v>40</v>
      </c>
      <c r="O7173" s="21">
        <v>26</v>
      </c>
      <c r="P7173" s="21"/>
      <c r="Q7173" s="21">
        <f t="shared" si="131"/>
        <v>1</v>
      </c>
      <c r="R7173" s="21">
        <v>1</v>
      </c>
      <c r="S7173" s="21">
        <v>0</v>
      </c>
      <c r="T7173" s="21">
        <v>0</v>
      </c>
      <c r="U7173" s="21">
        <v>0</v>
      </c>
      <c r="V7173" s="21">
        <v>0</v>
      </c>
      <c r="W7173" s="21">
        <v>1</v>
      </c>
      <c r="X7173" s="21">
        <v>0</v>
      </c>
      <c r="Y7173" s="21">
        <v>0</v>
      </c>
      <c r="Z7173" s="21">
        <v>0</v>
      </c>
      <c r="AA7173" s="21">
        <v>0</v>
      </c>
      <c r="AB7173" s="21">
        <v>0</v>
      </c>
      <c r="AC7173" s="21">
        <v>0</v>
      </c>
      <c r="AD7173" s="21">
        <v>0</v>
      </c>
      <c r="AE7173" s="21">
        <v>0</v>
      </c>
      <c r="AF7173" s="21">
        <v>0</v>
      </c>
      <c r="AG7173" s="21">
        <v>0</v>
      </c>
      <c r="AH7173" s="21">
        <f t="shared" si="132"/>
        <v>96</v>
      </c>
      <c r="AI7173" s="21"/>
      <c r="AJ7173" s="21"/>
      <c r="AK7173" s="21"/>
      <c r="AL7173" s="21"/>
      <c r="AM7173" s="21" t="s">
        <v>2556</v>
      </c>
      <c r="AN7173" s="21">
        <v>-122.43401603333299</v>
      </c>
      <c r="AO7173" s="21">
        <v>37.790179366666699</v>
      </c>
      <c r="AP7173" s="21" t="s">
        <v>1915</v>
      </c>
    </row>
    <row r="7174" spans="1:42">
      <c r="A7174" s="20">
        <v>43845</v>
      </c>
      <c r="B7174" s="21">
        <v>3</v>
      </c>
      <c r="C7174" s="21">
        <v>985</v>
      </c>
      <c r="D7174" s="21">
        <v>14358</v>
      </c>
      <c r="E7174" s="21" t="s">
        <v>2123</v>
      </c>
      <c r="F7174" s="21" t="s">
        <v>520</v>
      </c>
      <c r="G7174" s="21">
        <v>1</v>
      </c>
      <c r="H7174" s="21">
        <v>13</v>
      </c>
      <c r="I7174" s="23" t="s">
        <v>2148</v>
      </c>
      <c r="J7174" s="21"/>
      <c r="K7174" s="21" t="s">
        <v>909</v>
      </c>
      <c r="L7174" s="21"/>
      <c r="M7174" s="21"/>
      <c r="N7174" s="21" t="s">
        <v>40</v>
      </c>
      <c r="O7174" s="21">
        <v>22</v>
      </c>
      <c r="P7174" s="21"/>
      <c r="Q7174" s="21">
        <f t="shared" si="131"/>
        <v>1</v>
      </c>
      <c r="R7174" s="21">
        <v>1</v>
      </c>
      <c r="S7174" s="21">
        <v>0</v>
      </c>
      <c r="T7174" s="21">
        <v>0</v>
      </c>
      <c r="U7174" s="21">
        <v>1</v>
      </c>
      <c r="V7174" s="21">
        <v>0</v>
      </c>
      <c r="W7174" s="21">
        <v>0</v>
      </c>
      <c r="X7174" s="21">
        <v>0</v>
      </c>
      <c r="Y7174" s="21">
        <v>0</v>
      </c>
      <c r="Z7174" s="21">
        <v>0</v>
      </c>
      <c r="AA7174" s="21">
        <v>0</v>
      </c>
      <c r="AB7174" s="21">
        <v>0</v>
      </c>
      <c r="AC7174" s="21">
        <v>0</v>
      </c>
      <c r="AD7174" s="21">
        <v>0</v>
      </c>
      <c r="AE7174" s="21">
        <v>0</v>
      </c>
      <c r="AF7174" s="21">
        <v>0</v>
      </c>
      <c r="AG7174" s="21">
        <v>0</v>
      </c>
      <c r="AH7174" s="21">
        <f t="shared" si="132"/>
        <v>32</v>
      </c>
      <c r="AI7174" s="21"/>
      <c r="AJ7174" s="21"/>
      <c r="AK7174" s="21"/>
      <c r="AL7174" s="21"/>
      <c r="AM7174" s="21" t="s">
        <v>2557</v>
      </c>
      <c r="AN7174" s="21">
        <v>-122.434203683333</v>
      </c>
      <c r="AO7174" s="21">
        <v>37.7904652666667</v>
      </c>
      <c r="AP7174" s="21" t="s">
        <v>1915</v>
      </c>
    </row>
    <row r="7175" spans="1:42">
      <c r="A7175" s="20">
        <v>43845</v>
      </c>
      <c r="B7175" s="21">
        <v>3</v>
      </c>
      <c r="C7175" s="21">
        <v>985</v>
      </c>
      <c r="D7175" s="21">
        <v>14358</v>
      </c>
      <c r="E7175" s="21" t="s">
        <v>2123</v>
      </c>
      <c r="F7175" s="21" t="s">
        <v>520</v>
      </c>
      <c r="G7175" s="21">
        <v>1</v>
      </c>
      <c r="H7175" s="21">
        <v>14</v>
      </c>
      <c r="I7175" s="23" t="s">
        <v>2164</v>
      </c>
      <c r="J7175" s="21"/>
      <c r="K7175" s="21" t="s">
        <v>68</v>
      </c>
      <c r="L7175" s="21"/>
      <c r="M7175" s="21"/>
      <c r="N7175" s="21" t="s">
        <v>40</v>
      </c>
      <c r="O7175" s="21">
        <v>41</v>
      </c>
      <c r="P7175" s="21"/>
      <c r="Q7175" s="21">
        <f t="shared" si="131"/>
        <v>1</v>
      </c>
      <c r="R7175" s="21">
        <v>1</v>
      </c>
      <c r="S7175" s="21">
        <v>0</v>
      </c>
      <c r="T7175" s="21">
        <v>0</v>
      </c>
      <c r="U7175" s="21">
        <v>0</v>
      </c>
      <c r="V7175" s="21">
        <v>1</v>
      </c>
      <c r="W7175" s="21">
        <v>0</v>
      </c>
      <c r="X7175" s="21">
        <v>0</v>
      </c>
      <c r="Y7175" s="21">
        <v>0</v>
      </c>
      <c r="Z7175" s="21">
        <v>0</v>
      </c>
      <c r="AA7175" s="21">
        <v>0</v>
      </c>
      <c r="AB7175" s="21">
        <v>0</v>
      </c>
      <c r="AC7175" s="21">
        <v>0</v>
      </c>
      <c r="AD7175" s="21">
        <v>0</v>
      </c>
      <c r="AE7175" s="21">
        <v>0</v>
      </c>
      <c r="AF7175" s="21">
        <v>0</v>
      </c>
      <c r="AG7175" s="21">
        <v>0</v>
      </c>
      <c r="AH7175" s="21">
        <f t="shared" si="132"/>
        <v>64</v>
      </c>
      <c r="AI7175" s="21"/>
      <c r="AJ7175" s="21"/>
      <c r="AK7175" s="21"/>
      <c r="AL7175" s="21"/>
      <c r="AM7175" s="21" t="s">
        <v>2558</v>
      </c>
      <c r="AN7175" s="21">
        <v>-122.433770783333</v>
      </c>
      <c r="AO7175" s="21">
        <v>37.790764983333297</v>
      </c>
      <c r="AP7175" s="21" t="s">
        <v>1915</v>
      </c>
    </row>
    <row r="7176" spans="1:42">
      <c r="A7176" s="20">
        <v>43845</v>
      </c>
      <c r="B7176" s="21">
        <v>3</v>
      </c>
      <c r="C7176" s="21">
        <v>985</v>
      </c>
      <c r="D7176" s="21">
        <v>14358</v>
      </c>
      <c r="E7176" s="21" t="s">
        <v>2123</v>
      </c>
      <c r="F7176" s="21" t="s">
        <v>520</v>
      </c>
      <c r="G7176" s="21">
        <v>1</v>
      </c>
      <c r="H7176" s="21">
        <v>15</v>
      </c>
      <c r="I7176" s="23" t="s">
        <v>2160</v>
      </c>
      <c r="J7176" s="21"/>
      <c r="K7176" s="21" t="s">
        <v>516</v>
      </c>
      <c r="L7176" s="21"/>
      <c r="M7176" s="21"/>
      <c r="N7176" s="21" t="s">
        <v>40</v>
      </c>
      <c r="O7176" s="21">
        <v>43</v>
      </c>
      <c r="P7176" s="21"/>
      <c r="Q7176" s="21">
        <f t="shared" si="131"/>
        <v>1</v>
      </c>
      <c r="R7176" s="21">
        <v>1</v>
      </c>
      <c r="S7176" s="21">
        <v>0</v>
      </c>
      <c r="T7176" s="21">
        <v>0</v>
      </c>
      <c r="U7176" s="21">
        <v>1</v>
      </c>
      <c r="V7176" s="21">
        <v>0</v>
      </c>
      <c r="W7176" s="21">
        <v>0</v>
      </c>
      <c r="X7176" s="21">
        <v>0</v>
      </c>
      <c r="Y7176" s="21">
        <v>0</v>
      </c>
      <c r="Z7176" s="21">
        <v>0</v>
      </c>
      <c r="AA7176" s="21">
        <v>0</v>
      </c>
      <c r="AB7176" s="21">
        <v>0</v>
      </c>
      <c r="AC7176" s="21">
        <v>0</v>
      </c>
      <c r="AD7176" s="21">
        <v>0</v>
      </c>
      <c r="AE7176" s="21">
        <v>0</v>
      </c>
      <c r="AF7176" s="21">
        <v>0</v>
      </c>
      <c r="AG7176" s="21">
        <v>0</v>
      </c>
      <c r="AH7176" s="21">
        <f t="shared" si="132"/>
        <v>32</v>
      </c>
      <c r="AI7176" s="21"/>
      <c r="AJ7176" s="21"/>
      <c r="AK7176" s="21"/>
      <c r="AL7176" s="21"/>
      <c r="AM7176" s="21" t="s">
        <v>2559</v>
      </c>
      <c r="AN7176" s="21">
        <v>-122.434738266667</v>
      </c>
      <c r="AO7176" s="21">
        <v>37.791441866666702</v>
      </c>
      <c r="AP7176" s="21" t="s">
        <v>1915</v>
      </c>
    </row>
    <row r="7177" spans="1:42">
      <c r="A7177" s="20">
        <v>43845</v>
      </c>
      <c r="B7177" s="21">
        <v>3</v>
      </c>
      <c r="C7177" s="21">
        <v>985</v>
      </c>
      <c r="D7177" s="21">
        <v>14358</v>
      </c>
      <c r="E7177" s="21" t="s">
        <v>2123</v>
      </c>
      <c r="F7177" s="21" t="s">
        <v>520</v>
      </c>
      <c r="G7177" s="21">
        <v>1</v>
      </c>
      <c r="H7177" s="21">
        <v>16</v>
      </c>
      <c r="I7177" s="23" t="s">
        <v>2560</v>
      </c>
      <c r="J7177" s="21"/>
      <c r="K7177" s="21" t="s">
        <v>2240</v>
      </c>
      <c r="L7177" s="21"/>
      <c r="M7177" s="21"/>
      <c r="N7177" s="21" t="s">
        <v>44</v>
      </c>
      <c r="O7177" s="21">
        <f>60+14</f>
        <v>74</v>
      </c>
      <c r="P7177" s="21"/>
      <c r="Q7177" s="21">
        <f t="shared" si="131"/>
        <v>1</v>
      </c>
      <c r="R7177" s="21">
        <v>1</v>
      </c>
      <c r="S7177" s="21">
        <v>0</v>
      </c>
      <c r="T7177" s="21">
        <v>0</v>
      </c>
      <c r="U7177" s="21">
        <v>0</v>
      </c>
      <c r="V7177" s="21">
        <v>0</v>
      </c>
      <c r="W7177" s="21">
        <v>1</v>
      </c>
      <c r="X7177" s="21">
        <v>0</v>
      </c>
      <c r="Y7177" s="21">
        <v>0</v>
      </c>
      <c r="Z7177" s="21">
        <v>0</v>
      </c>
      <c r="AA7177" s="21">
        <v>0</v>
      </c>
      <c r="AB7177" s="21">
        <v>0</v>
      </c>
      <c r="AC7177" s="21">
        <v>0</v>
      </c>
      <c r="AD7177" s="21">
        <v>0</v>
      </c>
      <c r="AE7177" s="21">
        <v>0</v>
      </c>
      <c r="AF7177" s="21">
        <v>0</v>
      </c>
      <c r="AG7177" s="21">
        <v>0</v>
      </c>
      <c r="AH7177" s="21">
        <f t="shared" si="132"/>
        <v>96</v>
      </c>
      <c r="AI7177" s="21"/>
      <c r="AJ7177" s="21"/>
      <c r="AK7177" s="21"/>
      <c r="AL7177" s="21"/>
      <c r="AM7177" s="21" t="s">
        <v>2561</v>
      </c>
      <c r="AN7177" s="21">
        <v>-122.435016366667</v>
      </c>
      <c r="AO7177" s="21">
        <v>37.792435849999997</v>
      </c>
      <c r="AP7177" s="21" t="s">
        <v>1915</v>
      </c>
    </row>
    <row r="7178" spans="1:42">
      <c r="A7178" s="20">
        <v>43845</v>
      </c>
      <c r="B7178" s="21">
        <v>3</v>
      </c>
      <c r="C7178" s="21">
        <v>985</v>
      </c>
      <c r="D7178" s="21">
        <v>14358</v>
      </c>
      <c r="E7178" s="21" t="s">
        <v>2123</v>
      </c>
      <c r="F7178" s="21" t="s">
        <v>520</v>
      </c>
      <c r="G7178" s="21">
        <v>1</v>
      </c>
      <c r="H7178" s="21">
        <v>17</v>
      </c>
      <c r="I7178" s="23" t="s">
        <v>2562</v>
      </c>
      <c r="J7178" s="21"/>
      <c r="K7178" s="21" t="s">
        <v>909</v>
      </c>
      <c r="L7178" s="21"/>
      <c r="M7178" s="21"/>
      <c r="N7178" s="21" t="s">
        <v>1703</v>
      </c>
      <c r="O7178" s="21">
        <v>55</v>
      </c>
      <c r="P7178" s="21"/>
      <c r="Q7178" s="21">
        <f t="shared" si="131"/>
        <v>1</v>
      </c>
      <c r="R7178" s="21">
        <v>1</v>
      </c>
      <c r="S7178" s="21">
        <v>0</v>
      </c>
      <c r="T7178" s="21">
        <v>0</v>
      </c>
      <c r="U7178" s="21">
        <v>0</v>
      </c>
      <c r="V7178" s="21">
        <v>0</v>
      </c>
      <c r="W7178" s="21">
        <v>1</v>
      </c>
      <c r="X7178" s="21">
        <v>0</v>
      </c>
      <c r="Y7178" s="21">
        <v>0</v>
      </c>
      <c r="Z7178" s="21">
        <v>0</v>
      </c>
      <c r="AA7178" s="21">
        <v>0</v>
      </c>
      <c r="AB7178" s="21">
        <v>0</v>
      </c>
      <c r="AC7178" s="21">
        <v>0</v>
      </c>
      <c r="AD7178" s="21">
        <v>0</v>
      </c>
      <c r="AE7178" s="21">
        <v>0</v>
      </c>
      <c r="AF7178" s="21">
        <v>0</v>
      </c>
      <c r="AG7178" s="21">
        <v>0</v>
      </c>
      <c r="AH7178" s="21">
        <f t="shared" si="132"/>
        <v>96</v>
      </c>
      <c r="AI7178" s="21"/>
      <c r="AJ7178" s="21"/>
      <c r="AK7178" s="21"/>
      <c r="AL7178" s="21" t="s">
        <v>1950</v>
      </c>
      <c r="AM7178" s="21" t="s">
        <v>2563</v>
      </c>
      <c r="AN7178" s="21">
        <v>-122.434646033333</v>
      </c>
      <c r="AO7178" s="21">
        <v>37.792458483333299</v>
      </c>
      <c r="AP7178" s="21" t="s">
        <v>1915</v>
      </c>
    </row>
    <row r="7179" spans="1:42">
      <c r="A7179" s="20">
        <v>43845</v>
      </c>
      <c r="B7179" s="21">
        <v>3</v>
      </c>
      <c r="C7179" s="21">
        <v>985</v>
      </c>
      <c r="D7179" s="21">
        <v>14358</v>
      </c>
      <c r="E7179" s="21" t="s">
        <v>2123</v>
      </c>
      <c r="F7179" s="21" t="s">
        <v>520</v>
      </c>
      <c r="G7179" s="21">
        <v>1</v>
      </c>
      <c r="H7179" s="21">
        <v>18</v>
      </c>
      <c r="I7179" s="23" t="s">
        <v>2564</v>
      </c>
      <c r="J7179" s="21"/>
      <c r="K7179" s="21" t="s">
        <v>2554</v>
      </c>
      <c r="L7179" s="21"/>
      <c r="M7179" s="21"/>
      <c r="N7179" s="21" t="s">
        <v>40</v>
      </c>
      <c r="O7179" s="21">
        <f>60+60+60+11</f>
        <v>191</v>
      </c>
      <c r="P7179" s="21"/>
      <c r="Q7179" s="21">
        <f t="shared" si="131"/>
        <v>2</v>
      </c>
      <c r="R7179" s="21">
        <v>1</v>
      </c>
      <c r="S7179" s="21">
        <v>0</v>
      </c>
      <c r="T7179" s="21">
        <v>0</v>
      </c>
      <c r="U7179" s="21">
        <v>2</v>
      </c>
      <c r="V7179" s="21">
        <v>0</v>
      </c>
      <c r="W7179" s="21">
        <v>0</v>
      </c>
      <c r="X7179" s="21">
        <v>0</v>
      </c>
      <c r="Y7179" s="21">
        <v>0</v>
      </c>
      <c r="Z7179" s="21">
        <v>0</v>
      </c>
      <c r="AA7179" s="21">
        <v>0</v>
      </c>
      <c r="AB7179" s="21">
        <v>0</v>
      </c>
      <c r="AC7179" s="21">
        <v>0</v>
      </c>
      <c r="AD7179" s="21">
        <v>0</v>
      </c>
      <c r="AE7179" s="21">
        <v>0</v>
      </c>
      <c r="AF7179" s="21">
        <v>2</v>
      </c>
      <c r="AG7179" s="21">
        <v>0</v>
      </c>
      <c r="AH7179" s="21">
        <f t="shared" si="132"/>
        <v>64</v>
      </c>
      <c r="AI7179" s="21"/>
      <c r="AJ7179" s="21"/>
      <c r="AK7179" s="21"/>
      <c r="AL7179" s="21" t="s">
        <v>2565</v>
      </c>
      <c r="AM7179" s="21" t="s">
        <v>2566</v>
      </c>
      <c r="AN7179" s="21">
        <v>-122.434789866667</v>
      </c>
      <c r="AO7179" s="21">
        <v>37.790606216666703</v>
      </c>
      <c r="AP7179" s="21" t="s">
        <v>1915</v>
      </c>
    </row>
    <row r="7180" spans="1:42">
      <c r="A7180" s="20">
        <v>43845</v>
      </c>
      <c r="B7180" s="21">
        <v>3</v>
      </c>
      <c r="C7180" s="21">
        <v>985</v>
      </c>
      <c r="D7180" s="21">
        <v>14358</v>
      </c>
      <c r="E7180" s="21" t="s">
        <v>2123</v>
      </c>
      <c r="F7180" s="21" t="s">
        <v>520</v>
      </c>
      <c r="G7180" s="21">
        <v>1</v>
      </c>
      <c r="H7180" s="21">
        <v>19</v>
      </c>
      <c r="I7180" s="23" t="s">
        <v>2148</v>
      </c>
      <c r="J7180" s="21"/>
      <c r="K7180" s="21" t="s">
        <v>909</v>
      </c>
      <c r="L7180" s="21"/>
      <c r="M7180" s="21"/>
      <c r="N7180" s="21" t="s">
        <v>1703</v>
      </c>
      <c r="O7180" s="21">
        <v>58</v>
      </c>
      <c r="P7180" s="21"/>
      <c r="Q7180" s="21">
        <f t="shared" si="131"/>
        <v>2</v>
      </c>
      <c r="R7180" s="21">
        <v>1</v>
      </c>
      <c r="S7180" s="21">
        <v>0</v>
      </c>
      <c r="T7180" s="21">
        <v>0</v>
      </c>
      <c r="U7180" s="21">
        <v>2</v>
      </c>
      <c r="V7180" s="21">
        <v>0</v>
      </c>
      <c r="W7180" s="21">
        <v>0</v>
      </c>
      <c r="X7180" s="21">
        <v>0</v>
      </c>
      <c r="Y7180" s="21">
        <v>0</v>
      </c>
      <c r="Z7180" s="21">
        <v>0</v>
      </c>
      <c r="AA7180" s="21">
        <v>0</v>
      </c>
      <c r="AB7180" s="21">
        <v>0</v>
      </c>
      <c r="AC7180" s="21">
        <v>0</v>
      </c>
      <c r="AD7180" s="21">
        <v>0</v>
      </c>
      <c r="AE7180" s="21">
        <v>0</v>
      </c>
      <c r="AF7180" s="21">
        <v>0</v>
      </c>
      <c r="AG7180" s="21">
        <v>0</v>
      </c>
      <c r="AH7180" s="21">
        <f t="shared" si="132"/>
        <v>64</v>
      </c>
      <c r="AI7180" s="21"/>
      <c r="AJ7180" s="21"/>
      <c r="AK7180" s="21"/>
      <c r="AL7180" s="21" t="s">
        <v>2567</v>
      </c>
      <c r="AM7180" s="21" t="s">
        <v>2568</v>
      </c>
      <c r="AN7180" s="21">
        <v>-122.434170866667</v>
      </c>
      <c r="AO7180" s="21">
        <v>37.790345700000003</v>
      </c>
      <c r="AP7180" s="21" t="s">
        <v>1915</v>
      </c>
    </row>
    <row r="7181" spans="1:42">
      <c r="A7181" s="20">
        <v>43845</v>
      </c>
      <c r="B7181" s="21">
        <v>3</v>
      </c>
      <c r="C7181" s="21">
        <v>985</v>
      </c>
      <c r="D7181" s="21">
        <v>14358</v>
      </c>
      <c r="E7181" s="21" t="s">
        <v>2123</v>
      </c>
      <c r="F7181" s="21" t="s">
        <v>520</v>
      </c>
      <c r="G7181" s="21">
        <v>1</v>
      </c>
      <c r="H7181" s="21">
        <v>20</v>
      </c>
      <c r="I7181" s="23" t="s">
        <v>2148</v>
      </c>
      <c r="J7181" s="21"/>
      <c r="K7181" s="21" t="s">
        <v>2554</v>
      </c>
      <c r="L7181" s="21"/>
      <c r="M7181" s="21"/>
      <c r="N7181" s="21" t="s">
        <v>40</v>
      </c>
      <c r="O7181" s="21">
        <v>27</v>
      </c>
      <c r="P7181" s="21"/>
      <c r="Q7181" s="21">
        <f t="shared" si="131"/>
        <v>1</v>
      </c>
      <c r="R7181" s="21">
        <v>1</v>
      </c>
      <c r="S7181" s="21">
        <v>0</v>
      </c>
      <c r="T7181" s="21">
        <v>0</v>
      </c>
      <c r="U7181" s="21">
        <v>0</v>
      </c>
      <c r="V7181" s="21">
        <v>0</v>
      </c>
      <c r="W7181" s="21">
        <v>1</v>
      </c>
      <c r="X7181" s="21">
        <v>0</v>
      </c>
      <c r="Y7181" s="21">
        <v>0</v>
      </c>
      <c r="Z7181" s="21">
        <v>0</v>
      </c>
      <c r="AA7181" s="21">
        <v>0</v>
      </c>
      <c r="AB7181" s="21">
        <v>0</v>
      </c>
      <c r="AC7181" s="21">
        <v>0</v>
      </c>
      <c r="AD7181" s="21">
        <v>0</v>
      </c>
      <c r="AE7181" s="21">
        <v>0</v>
      </c>
      <c r="AF7181" s="21">
        <v>2</v>
      </c>
      <c r="AG7181" s="21">
        <v>0</v>
      </c>
      <c r="AH7181" s="21">
        <f t="shared" si="132"/>
        <v>96</v>
      </c>
      <c r="AI7181" s="21"/>
      <c r="AJ7181" s="21"/>
      <c r="AK7181" s="21"/>
      <c r="AL7181" s="21"/>
      <c r="AM7181" s="21" t="s">
        <v>2569</v>
      </c>
      <c r="AN7181" s="21">
        <v>-122.4341328</v>
      </c>
      <c r="AO7181" s="21">
        <v>37.790162500000001</v>
      </c>
      <c r="AP7181" s="21" t="s">
        <v>1915</v>
      </c>
    </row>
    <row r="7182" spans="1:42">
      <c r="A7182" s="20">
        <v>43845</v>
      </c>
      <c r="B7182" s="21">
        <v>3</v>
      </c>
      <c r="C7182" s="21">
        <v>985</v>
      </c>
      <c r="D7182" s="21">
        <v>14358</v>
      </c>
      <c r="E7182" s="21" t="s">
        <v>2123</v>
      </c>
      <c r="F7182" s="21" t="s">
        <v>520</v>
      </c>
      <c r="G7182" s="21">
        <v>1</v>
      </c>
      <c r="H7182" s="21">
        <v>21</v>
      </c>
      <c r="I7182" s="23" t="s">
        <v>2148</v>
      </c>
      <c r="J7182" s="21"/>
      <c r="K7182" s="21" t="s">
        <v>909</v>
      </c>
      <c r="L7182" s="21"/>
      <c r="M7182" s="21"/>
      <c r="N7182" s="21" t="s">
        <v>40</v>
      </c>
      <c r="O7182" s="21">
        <v>52</v>
      </c>
      <c r="P7182" s="21"/>
      <c r="Q7182" s="21">
        <f t="shared" si="131"/>
        <v>2</v>
      </c>
      <c r="R7182" s="21">
        <v>1</v>
      </c>
      <c r="S7182" s="21">
        <v>0</v>
      </c>
      <c r="T7182" s="21">
        <v>0</v>
      </c>
      <c r="U7182" s="21">
        <v>0</v>
      </c>
      <c r="V7182" s="21">
        <v>0</v>
      </c>
      <c r="W7182" s="21">
        <v>2</v>
      </c>
      <c r="X7182" s="21">
        <v>0</v>
      </c>
      <c r="Y7182" s="21">
        <v>0</v>
      </c>
      <c r="Z7182" s="21">
        <v>0</v>
      </c>
      <c r="AA7182" s="21">
        <v>0</v>
      </c>
      <c r="AB7182" s="21">
        <v>0</v>
      </c>
      <c r="AC7182" s="21">
        <v>0</v>
      </c>
      <c r="AD7182" s="21">
        <v>0</v>
      </c>
      <c r="AE7182" s="21">
        <v>0</v>
      </c>
      <c r="AF7182" s="21">
        <v>0</v>
      </c>
      <c r="AG7182" s="21">
        <v>0</v>
      </c>
      <c r="AH7182" s="21">
        <f t="shared" si="132"/>
        <v>192</v>
      </c>
      <c r="AI7182" s="21"/>
      <c r="AJ7182" s="21"/>
      <c r="AK7182" s="21"/>
      <c r="AL7182" s="21"/>
      <c r="AM7182" s="21" t="s">
        <v>2570</v>
      </c>
      <c r="AN7182" s="21">
        <v>-122.434066033333</v>
      </c>
      <c r="AO7182" s="21">
        <v>37.790067200000003</v>
      </c>
      <c r="AP7182" s="21" t="s">
        <v>1915</v>
      </c>
    </row>
    <row r="7183" spans="1:42">
      <c r="A7183" s="20">
        <v>43845</v>
      </c>
      <c r="B7183" s="21">
        <v>3</v>
      </c>
      <c r="C7183" s="21">
        <v>985</v>
      </c>
      <c r="D7183" s="21">
        <v>14358</v>
      </c>
      <c r="E7183" s="21" t="s">
        <v>2123</v>
      </c>
      <c r="F7183" s="21" t="s">
        <v>520</v>
      </c>
      <c r="G7183" s="21">
        <v>1</v>
      </c>
      <c r="H7183" s="21">
        <v>22</v>
      </c>
      <c r="I7183" s="23" t="s">
        <v>2160</v>
      </c>
      <c r="J7183" s="21"/>
      <c r="K7183" s="21" t="s">
        <v>113</v>
      </c>
      <c r="L7183" s="21"/>
      <c r="M7183" s="21"/>
      <c r="N7183" s="21" t="s">
        <v>40</v>
      </c>
      <c r="O7183" s="21">
        <v>27</v>
      </c>
      <c r="P7183" s="21"/>
      <c r="Q7183" s="21">
        <f t="shared" si="131"/>
        <v>1</v>
      </c>
      <c r="R7183" s="21">
        <v>1</v>
      </c>
      <c r="S7183" s="21">
        <v>0</v>
      </c>
      <c r="T7183" s="21">
        <v>0</v>
      </c>
      <c r="U7183" s="21">
        <v>0</v>
      </c>
      <c r="V7183" s="21">
        <v>1</v>
      </c>
      <c r="W7183" s="21">
        <v>0</v>
      </c>
      <c r="X7183" s="21">
        <v>0</v>
      </c>
      <c r="Y7183" s="21">
        <v>0</v>
      </c>
      <c r="Z7183" s="21">
        <v>0</v>
      </c>
      <c r="AA7183" s="21">
        <v>0</v>
      </c>
      <c r="AB7183" s="21">
        <v>0</v>
      </c>
      <c r="AC7183" s="21">
        <v>0</v>
      </c>
      <c r="AD7183" s="21">
        <v>0</v>
      </c>
      <c r="AE7183" s="21">
        <v>0</v>
      </c>
      <c r="AF7183" s="21">
        <v>0</v>
      </c>
      <c r="AG7183" s="21">
        <v>0</v>
      </c>
      <c r="AH7183" s="21">
        <f t="shared" si="132"/>
        <v>64</v>
      </c>
      <c r="AI7183" s="21"/>
      <c r="AJ7183" s="21"/>
      <c r="AK7183" s="21"/>
      <c r="AL7183" s="21"/>
      <c r="AM7183" s="21" t="s">
        <v>2571</v>
      </c>
      <c r="AN7183" s="21">
        <v>-122.436297866667</v>
      </c>
      <c r="AO7183" s="21">
        <v>37.792630833333298</v>
      </c>
      <c r="AP7183" s="21" t="s">
        <v>1915</v>
      </c>
    </row>
    <row r="7184" spans="1:42">
      <c r="A7184" s="20">
        <v>43845</v>
      </c>
      <c r="B7184" s="21">
        <v>3</v>
      </c>
      <c r="C7184" s="21">
        <v>985</v>
      </c>
      <c r="D7184" s="21">
        <v>14358</v>
      </c>
      <c r="E7184" s="21" t="s">
        <v>2123</v>
      </c>
      <c r="F7184" s="21" t="s">
        <v>520</v>
      </c>
      <c r="G7184" s="21">
        <v>1</v>
      </c>
      <c r="H7184" s="21">
        <v>23</v>
      </c>
      <c r="I7184" s="23" t="s">
        <v>2164</v>
      </c>
      <c r="J7184" s="21"/>
      <c r="K7184" s="21" t="s">
        <v>175</v>
      </c>
      <c r="L7184" s="21"/>
      <c r="M7184" s="21"/>
      <c r="N7184" s="21" t="s">
        <v>40</v>
      </c>
      <c r="O7184" s="21">
        <v>47</v>
      </c>
      <c r="P7184" s="21"/>
      <c r="Q7184" s="21">
        <f t="shared" si="131"/>
        <v>3</v>
      </c>
      <c r="R7184" s="21">
        <v>1</v>
      </c>
      <c r="S7184" s="21">
        <v>0</v>
      </c>
      <c r="T7184" s="21">
        <v>0</v>
      </c>
      <c r="U7184" s="21">
        <v>0</v>
      </c>
      <c r="V7184" s="21">
        <v>0</v>
      </c>
      <c r="W7184" s="21">
        <v>3</v>
      </c>
      <c r="X7184" s="21">
        <v>0</v>
      </c>
      <c r="Y7184" s="21">
        <v>0</v>
      </c>
      <c r="Z7184" s="21">
        <v>0</v>
      </c>
      <c r="AA7184" s="21">
        <v>0</v>
      </c>
      <c r="AB7184" s="21">
        <v>0</v>
      </c>
      <c r="AC7184" s="21">
        <v>0</v>
      </c>
      <c r="AD7184" s="21">
        <v>0</v>
      </c>
      <c r="AE7184" s="21">
        <v>0</v>
      </c>
      <c r="AF7184" s="21">
        <v>0</v>
      </c>
      <c r="AG7184" s="21">
        <v>0</v>
      </c>
      <c r="AH7184" s="21">
        <f t="shared" si="132"/>
        <v>288</v>
      </c>
      <c r="AI7184" s="21"/>
      <c r="AJ7184" s="21"/>
      <c r="AK7184" s="21"/>
      <c r="AL7184" s="21"/>
      <c r="AM7184" s="21" t="s">
        <v>2572</v>
      </c>
      <c r="AN7184" s="21">
        <v>-122.43963825</v>
      </c>
      <c r="AO7184" s="21">
        <v>37.792107999999999</v>
      </c>
      <c r="AP7184" s="21" t="s">
        <v>1915</v>
      </c>
    </row>
    <row r="7185" spans="1:42">
      <c r="A7185" s="20">
        <v>43845</v>
      </c>
      <c r="B7185" s="21">
        <v>3</v>
      </c>
      <c r="C7185" s="21">
        <v>985</v>
      </c>
      <c r="D7185" s="21">
        <v>14358</v>
      </c>
      <c r="E7185" s="21" t="s">
        <v>2123</v>
      </c>
      <c r="F7185" s="21" t="s">
        <v>520</v>
      </c>
      <c r="G7185" s="21">
        <v>1</v>
      </c>
      <c r="H7185" s="21">
        <v>24</v>
      </c>
      <c r="I7185" s="23" t="s">
        <v>2573</v>
      </c>
      <c r="J7185" s="21"/>
      <c r="K7185" s="21" t="s">
        <v>175</v>
      </c>
      <c r="L7185" s="21"/>
      <c r="M7185" s="21"/>
      <c r="N7185" s="21" t="s">
        <v>44</v>
      </c>
      <c r="O7185" s="21">
        <v>70</v>
      </c>
      <c r="P7185" s="21"/>
      <c r="Q7185" s="21">
        <f t="shared" si="131"/>
        <v>1</v>
      </c>
      <c r="R7185" s="21">
        <v>1</v>
      </c>
      <c r="S7185" s="21">
        <v>0</v>
      </c>
      <c r="T7185" s="21">
        <v>0</v>
      </c>
      <c r="U7185" s="21">
        <v>0</v>
      </c>
      <c r="V7185" s="21">
        <v>0</v>
      </c>
      <c r="W7185" s="21">
        <v>1</v>
      </c>
      <c r="X7185" s="21">
        <v>0</v>
      </c>
      <c r="Y7185" s="21">
        <v>0</v>
      </c>
      <c r="Z7185" s="21">
        <v>0</v>
      </c>
      <c r="AA7185" s="21">
        <v>0</v>
      </c>
      <c r="AB7185" s="21">
        <v>0</v>
      </c>
      <c r="AC7185" s="21">
        <v>0</v>
      </c>
      <c r="AD7185" s="21">
        <v>0</v>
      </c>
      <c r="AE7185" s="21">
        <v>0</v>
      </c>
      <c r="AF7185" s="21">
        <v>0</v>
      </c>
      <c r="AG7185" s="21">
        <v>0</v>
      </c>
      <c r="AH7185" s="21">
        <f t="shared" si="132"/>
        <v>96</v>
      </c>
      <c r="AI7185" s="21"/>
      <c r="AJ7185" s="21"/>
      <c r="AK7185" s="21"/>
      <c r="AL7185" s="21" t="s">
        <v>2574</v>
      </c>
      <c r="AM7185" s="21" t="s">
        <v>2575</v>
      </c>
      <c r="AN7185" s="21">
        <v>-122.439481816667</v>
      </c>
      <c r="AO7185" s="21">
        <v>37.791551499999997</v>
      </c>
      <c r="AP7185" s="21" t="s">
        <v>1915</v>
      </c>
    </row>
    <row r="7186" spans="1:42">
      <c r="A7186" s="20">
        <v>43845</v>
      </c>
      <c r="B7186" s="21">
        <v>3</v>
      </c>
      <c r="C7186" s="21">
        <v>985</v>
      </c>
      <c r="D7186" s="21">
        <v>14358</v>
      </c>
      <c r="E7186" s="21" t="s">
        <v>2123</v>
      </c>
      <c r="F7186" s="21" t="s">
        <v>520</v>
      </c>
      <c r="G7186" s="21">
        <v>1</v>
      </c>
      <c r="H7186" s="21">
        <v>25</v>
      </c>
      <c r="I7186" s="23" t="s">
        <v>2576</v>
      </c>
      <c r="J7186" s="21"/>
      <c r="K7186" s="21" t="s">
        <v>1000</v>
      </c>
      <c r="L7186" s="21"/>
      <c r="M7186" s="21"/>
      <c r="N7186" s="21" t="s">
        <v>40</v>
      </c>
      <c r="O7186" s="21">
        <v>45</v>
      </c>
      <c r="P7186" s="21"/>
      <c r="Q7186" s="21">
        <f t="shared" si="131"/>
        <v>2</v>
      </c>
      <c r="R7186" s="21">
        <v>1</v>
      </c>
      <c r="S7186" s="21">
        <v>0</v>
      </c>
      <c r="T7186" s="21">
        <v>0</v>
      </c>
      <c r="U7186" s="21">
        <v>2</v>
      </c>
      <c r="V7186" s="21">
        <v>0</v>
      </c>
      <c r="W7186" s="21">
        <v>0</v>
      </c>
      <c r="X7186" s="21">
        <v>0</v>
      </c>
      <c r="Y7186" s="21">
        <v>0</v>
      </c>
      <c r="Z7186" s="21">
        <v>0</v>
      </c>
      <c r="AA7186" s="21">
        <v>0</v>
      </c>
      <c r="AB7186" s="21">
        <v>0</v>
      </c>
      <c r="AC7186" s="21">
        <v>0</v>
      </c>
      <c r="AD7186" s="21">
        <v>0</v>
      </c>
      <c r="AE7186" s="21">
        <v>0</v>
      </c>
      <c r="AF7186" s="21">
        <v>0</v>
      </c>
      <c r="AG7186" s="21">
        <v>0</v>
      </c>
      <c r="AH7186" s="21">
        <f t="shared" si="132"/>
        <v>64</v>
      </c>
      <c r="AI7186" s="21"/>
      <c r="AJ7186" s="21"/>
      <c r="AK7186" s="21"/>
      <c r="AL7186" s="21"/>
      <c r="AM7186" s="21" t="s">
        <v>2577</v>
      </c>
      <c r="AN7186" s="21">
        <v>-122.44000483333301</v>
      </c>
      <c r="AO7186" s="21">
        <v>37.7909823166667</v>
      </c>
      <c r="AP7186" s="21" t="s">
        <v>1915</v>
      </c>
    </row>
    <row r="7187" spans="1:42">
      <c r="A7187" s="20">
        <v>43845</v>
      </c>
      <c r="B7187" s="21">
        <v>3</v>
      </c>
      <c r="C7187" s="21">
        <v>985</v>
      </c>
      <c r="D7187" s="21">
        <v>14358</v>
      </c>
      <c r="E7187" s="21" t="s">
        <v>2123</v>
      </c>
      <c r="F7187" s="21" t="s">
        <v>520</v>
      </c>
      <c r="G7187" s="21">
        <v>1</v>
      </c>
      <c r="H7187" s="21">
        <v>26</v>
      </c>
      <c r="I7187" s="23" t="s">
        <v>2576</v>
      </c>
      <c r="J7187" s="21"/>
      <c r="K7187" s="21" t="s">
        <v>516</v>
      </c>
      <c r="L7187" s="21"/>
      <c r="M7187" s="21"/>
      <c r="N7187" s="21" t="s">
        <v>40</v>
      </c>
      <c r="O7187" s="21">
        <v>35</v>
      </c>
      <c r="P7187" s="21"/>
      <c r="Q7187" s="21">
        <f t="shared" si="131"/>
        <v>1</v>
      </c>
      <c r="R7187" s="21">
        <v>1</v>
      </c>
      <c r="S7187" s="21">
        <v>0</v>
      </c>
      <c r="T7187" s="21">
        <v>0</v>
      </c>
      <c r="U7187" s="21">
        <v>0</v>
      </c>
      <c r="V7187" s="21">
        <v>0</v>
      </c>
      <c r="W7187" s="21">
        <v>1</v>
      </c>
      <c r="X7187" s="21">
        <v>0</v>
      </c>
      <c r="Y7187" s="21">
        <v>0</v>
      </c>
      <c r="Z7187" s="21">
        <v>0</v>
      </c>
      <c r="AA7187" s="21">
        <v>0</v>
      </c>
      <c r="AB7187" s="21">
        <v>0</v>
      </c>
      <c r="AC7187" s="21">
        <v>0</v>
      </c>
      <c r="AD7187" s="21">
        <v>0</v>
      </c>
      <c r="AE7187" s="21">
        <v>0</v>
      </c>
      <c r="AF7187" s="21">
        <v>0</v>
      </c>
      <c r="AG7187" s="21">
        <v>0</v>
      </c>
      <c r="AH7187" s="21">
        <f t="shared" si="132"/>
        <v>96</v>
      </c>
      <c r="AI7187" s="21"/>
      <c r="AJ7187" s="21"/>
      <c r="AK7187" s="21"/>
      <c r="AL7187" s="21"/>
      <c r="AM7187" s="21" t="s">
        <v>2578</v>
      </c>
      <c r="AN7187" s="21">
        <v>-122.440131533333</v>
      </c>
      <c r="AO7187" s="21">
        <v>37.790951866666603</v>
      </c>
      <c r="AP7187" s="21" t="s">
        <v>1915</v>
      </c>
    </row>
    <row r="7188" spans="1:42">
      <c r="A7188" s="20">
        <v>43845</v>
      </c>
      <c r="B7188" s="21">
        <v>3</v>
      </c>
      <c r="C7188" s="21">
        <v>985</v>
      </c>
      <c r="D7188" s="21">
        <v>14358</v>
      </c>
      <c r="E7188" s="21" t="s">
        <v>2123</v>
      </c>
      <c r="F7188" s="21" t="s">
        <v>520</v>
      </c>
      <c r="G7188" s="21">
        <v>1</v>
      </c>
      <c r="H7188" s="21">
        <v>27</v>
      </c>
      <c r="I7188" s="23" t="s">
        <v>2576</v>
      </c>
      <c r="J7188" s="21"/>
      <c r="K7188" s="21" t="s">
        <v>1000</v>
      </c>
      <c r="L7188" s="21"/>
      <c r="M7188" s="21"/>
      <c r="N7188" s="21" t="s">
        <v>44</v>
      </c>
      <c r="O7188" s="21">
        <f>60+56</f>
        <v>116</v>
      </c>
      <c r="P7188" s="21"/>
      <c r="Q7188" s="21">
        <f t="shared" si="131"/>
        <v>1</v>
      </c>
      <c r="R7188" s="21">
        <v>1</v>
      </c>
      <c r="S7188" s="21">
        <v>0</v>
      </c>
      <c r="T7188" s="21">
        <v>0</v>
      </c>
      <c r="U7188" s="21">
        <v>0</v>
      </c>
      <c r="V7188" s="21">
        <v>0</v>
      </c>
      <c r="W7188" s="21">
        <v>1</v>
      </c>
      <c r="X7188" s="21">
        <v>0</v>
      </c>
      <c r="Y7188" s="21">
        <v>0</v>
      </c>
      <c r="Z7188" s="21">
        <v>0</v>
      </c>
      <c r="AA7188" s="21">
        <v>0</v>
      </c>
      <c r="AB7188" s="21">
        <v>0</v>
      </c>
      <c r="AC7188" s="21">
        <v>0</v>
      </c>
      <c r="AD7188" s="21">
        <v>0</v>
      </c>
      <c r="AE7188" s="21">
        <v>0</v>
      </c>
      <c r="AF7188" s="21">
        <v>0</v>
      </c>
      <c r="AG7188" s="21">
        <v>0</v>
      </c>
      <c r="AH7188" s="21">
        <f t="shared" si="132"/>
        <v>96</v>
      </c>
      <c r="AI7188" s="21"/>
      <c r="AJ7188" s="21"/>
      <c r="AK7188" s="21"/>
      <c r="AL7188" s="21"/>
      <c r="AM7188" s="21" t="s">
        <v>2579</v>
      </c>
      <c r="AN7188" s="21">
        <v>-122.440398233333</v>
      </c>
      <c r="AO7188" s="21">
        <v>37.790930850000002</v>
      </c>
      <c r="AP7188" s="21" t="s">
        <v>1915</v>
      </c>
    </row>
    <row r="7189" spans="1:42">
      <c r="A7189" s="20">
        <v>43845</v>
      </c>
      <c r="B7189" s="21">
        <v>3</v>
      </c>
      <c r="C7189" s="21">
        <v>985</v>
      </c>
      <c r="D7189" s="21">
        <v>14358</v>
      </c>
      <c r="E7189" s="21" t="s">
        <v>2123</v>
      </c>
      <c r="F7189" s="21" t="s">
        <v>520</v>
      </c>
      <c r="G7189" s="21">
        <v>1</v>
      </c>
      <c r="H7189" s="21">
        <v>28</v>
      </c>
      <c r="I7189" s="23" t="s">
        <v>2580</v>
      </c>
      <c r="J7189" s="21"/>
      <c r="K7189" s="21" t="s">
        <v>2581</v>
      </c>
      <c r="L7189" s="21"/>
      <c r="M7189" s="21"/>
      <c r="N7189" s="21" t="s">
        <v>44</v>
      </c>
      <c r="O7189" s="21">
        <f>60+60+60+60+19</f>
        <v>259</v>
      </c>
      <c r="P7189" s="21"/>
      <c r="Q7189" s="21">
        <f t="shared" si="131"/>
        <v>2</v>
      </c>
      <c r="R7189" s="21">
        <v>1</v>
      </c>
      <c r="S7189" s="21">
        <v>0</v>
      </c>
      <c r="T7189" s="21">
        <v>0</v>
      </c>
      <c r="U7189" s="21">
        <v>0</v>
      </c>
      <c r="V7189" s="21">
        <v>0</v>
      </c>
      <c r="W7189" s="21">
        <v>2</v>
      </c>
      <c r="X7189" s="21">
        <v>0</v>
      </c>
      <c r="Y7189" s="21">
        <v>0</v>
      </c>
      <c r="Z7189" s="21">
        <v>0</v>
      </c>
      <c r="AA7189" s="21">
        <v>0</v>
      </c>
      <c r="AB7189" s="21">
        <v>0</v>
      </c>
      <c r="AC7189" s="21">
        <v>0</v>
      </c>
      <c r="AD7189" s="21">
        <v>0</v>
      </c>
      <c r="AE7189" s="21">
        <v>0</v>
      </c>
      <c r="AF7189" s="21">
        <v>0</v>
      </c>
      <c r="AG7189" s="21">
        <v>0</v>
      </c>
      <c r="AH7189" s="21">
        <f t="shared" si="132"/>
        <v>192</v>
      </c>
      <c r="AI7189" s="21"/>
      <c r="AJ7189" s="21"/>
      <c r="AK7189" s="21"/>
      <c r="AL7189" s="21" t="s">
        <v>2582</v>
      </c>
      <c r="AM7189" s="21" t="s">
        <v>2583</v>
      </c>
      <c r="AN7189" s="21">
        <v>-122.441063983333</v>
      </c>
      <c r="AO7189" s="21">
        <v>37.791081116666703</v>
      </c>
      <c r="AP7189" s="21" t="s">
        <v>1915</v>
      </c>
    </row>
    <row r="7190" spans="1:42">
      <c r="A7190" s="20">
        <v>43845</v>
      </c>
      <c r="B7190" s="21">
        <v>3</v>
      </c>
      <c r="C7190" s="21">
        <v>985</v>
      </c>
      <c r="D7190" s="21">
        <v>14358</v>
      </c>
      <c r="E7190" s="21" t="s">
        <v>2123</v>
      </c>
      <c r="F7190" s="21" t="s">
        <v>520</v>
      </c>
      <c r="G7190" s="21">
        <v>1</v>
      </c>
      <c r="H7190" s="21">
        <v>29</v>
      </c>
      <c r="I7190" s="23" t="s">
        <v>2164</v>
      </c>
      <c r="J7190" s="21"/>
      <c r="K7190" s="21" t="s">
        <v>256</v>
      </c>
      <c r="L7190" s="21"/>
      <c r="M7190" s="21"/>
      <c r="N7190" s="21" t="s">
        <v>40</v>
      </c>
      <c r="O7190" s="21">
        <f>60+10</f>
        <v>70</v>
      </c>
      <c r="P7190" s="21"/>
      <c r="Q7190" s="21">
        <f t="shared" si="131"/>
        <v>3</v>
      </c>
      <c r="R7190" s="21">
        <v>1</v>
      </c>
      <c r="S7190" s="21">
        <v>0</v>
      </c>
      <c r="T7190" s="21">
        <v>0</v>
      </c>
      <c r="U7190" s="21">
        <v>3</v>
      </c>
      <c r="V7190" s="21">
        <v>0</v>
      </c>
      <c r="W7190" s="21">
        <v>0</v>
      </c>
      <c r="X7190" s="21">
        <v>0</v>
      </c>
      <c r="Y7190" s="21">
        <v>0</v>
      </c>
      <c r="Z7190" s="21">
        <v>0</v>
      </c>
      <c r="AA7190" s="21">
        <v>0</v>
      </c>
      <c r="AB7190" s="21">
        <v>0</v>
      </c>
      <c r="AC7190" s="21">
        <v>0</v>
      </c>
      <c r="AD7190" s="21">
        <v>0</v>
      </c>
      <c r="AE7190" s="21">
        <v>0</v>
      </c>
      <c r="AF7190" s="21">
        <v>0</v>
      </c>
      <c r="AG7190" s="21">
        <v>0</v>
      </c>
      <c r="AH7190" s="21">
        <f t="shared" si="132"/>
        <v>96</v>
      </c>
      <c r="AI7190" s="21"/>
      <c r="AJ7190" s="21"/>
      <c r="AK7190" s="21"/>
      <c r="AL7190" s="21"/>
      <c r="AM7190" s="21" t="s">
        <v>2584</v>
      </c>
      <c r="AN7190" s="21">
        <v>-122.44106163333301</v>
      </c>
      <c r="AO7190" s="21">
        <v>37.7912419833333</v>
      </c>
      <c r="AP7190" s="21" t="s">
        <v>1915</v>
      </c>
    </row>
    <row r="7191" spans="1:42">
      <c r="A7191" s="20">
        <v>43845</v>
      </c>
      <c r="B7191" s="21">
        <v>3</v>
      </c>
      <c r="C7191" s="21">
        <v>985</v>
      </c>
      <c r="D7191" s="21">
        <v>14358</v>
      </c>
      <c r="E7191" s="21" t="s">
        <v>2123</v>
      </c>
      <c r="F7191" s="21" t="s">
        <v>520</v>
      </c>
      <c r="G7191" s="21">
        <v>1</v>
      </c>
      <c r="H7191" s="21">
        <v>30</v>
      </c>
      <c r="I7191" s="23" t="s">
        <v>2164</v>
      </c>
      <c r="J7191" s="21"/>
      <c r="K7191" s="21" t="s">
        <v>256</v>
      </c>
      <c r="L7191" s="21"/>
      <c r="M7191" s="21"/>
      <c r="N7191" s="21" t="s">
        <v>44</v>
      </c>
      <c r="O7191" s="21">
        <f>60+47</f>
        <v>107</v>
      </c>
      <c r="P7191" s="21"/>
      <c r="Q7191" s="21">
        <f t="shared" si="131"/>
        <v>1</v>
      </c>
      <c r="R7191" s="21">
        <v>1</v>
      </c>
      <c r="S7191" s="21">
        <v>0</v>
      </c>
      <c r="T7191" s="21">
        <v>0</v>
      </c>
      <c r="U7191" s="21">
        <v>0</v>
      </c>
      <c r="V7191" s="21">
        <v>0</v>
      </c>
      <c r="W7191" s="21">
        <v>1</v>
      </c>
      <c r="X7191" s="21">
        <v>0</v>
      </c>
      <c r="Y7191" s="21">
        <v>0</v>
      </c>
      <c r="Z7191" s="21">
        <v>0</v>
      </c>
      <c r="AA7191" s="21">
        <v>0</v>
      </c>
      <c r="AB7191" s="21">
        <v>0</v>
      </c>
      <c r="AC7191" s="21">
        <v>0</v>
      </c>
      <c r="AD7191" s="21">
        <v>0</v>
      </c>
      <c r="AE7191" s="21">
        <v>0</v>
      </c>
      <c r="AF7191" s="21">
        <v>0</v>
      </c>
      <c r="AG7191" s="21">
        <v>0</v>
      </c>
      <c r="AH7191" s="21">
        <f t="shared" si="132"/>
        <v>96</v>
      </c>
      <c r="AI7191" s="21"/>
      <c r="AJ7191" s="21"/>
      <c r="AK7191" s="21"/>
      <c r="AL7191" s="21"/>
      <c r="AM7191" s="21" t="s">
        <v>2585</v>
      </c>
      <c r="AN7191" s="21">
        <v>-122.441057716667</v>
      </c>
      <c r="AO7191" s="21">
        <v>37.791351550000002</v>
      </c>
      <c r="AP7191" s="21" t="s">
        <v>1915</v>
      </c>
    </row>
    <row r="7192" spans="1:42">
      <c r="A7192" s="20">
        <v>43845</v>
      </c>
      <c r="B7192" s="21">
        <v>3</v>
      </c>
      <c r="C7192" s="21">
        <v>985</v>
      </c>
      <c r="D7192" s="21">
        <v>14358</v>
      </c>
      <c r="E7192" s="21" t="s">
        <v>2123</v>
      </c>
      <c r="F7192" s="21" t="s">
        <v>520</v>
      </c>
      <c r="G7192" s="21">
        <v>1</v>
      </c>
      <c r="H7192" s="21">
        <v>31</v>
      </c>
      <c r="I7192" s="23" t="s">
        <v>2164</v>
      </c>
      <c r="J7192" s="21"/>
      <c r="K7192" s="21" t="s">
        <v>2581</v>
      </c>
      <c r="L7192" s="21"/>
      <c r="M7192" s="21"/>
      <c r="N7192" s="21" t="s">
        <v>40</v>
      </c>
      <c r="O7192" s="21">
        <v>34</v>
      </c>
      <c r="P7192" s="21"/>
      <c r="Q7192" s="21">
        <f t="shared" si="131"/>
        <v>1</v>
      </c>
      <c r="R7192" s="21">
        <v>1</v>
      </c>
      <c r="S7192" s="21">
        <v>0</v>
      </c>
      <c r="T7192" s="21">
        <v>0</v>
      </c>
      <c r="U7192" s="21">
        <v>0</v>
      </c>
      <c r="V7192" s="21">
        <v>0</v>
      </c>
      <c r="W7192" s="21">
        <v>1</v>
      </c>
      <c r="X7192" s="21">
        <v>0</v>
      </c>
      <c r="Y7192" s="21">
        <v>0</v>
      </c>
      <c r="Z7192" s="21">
        <v>0</v>
      </c>
      <c r="AA7192" s="21">
        <v>0</v>
      </c>
      <c r="AB7192" s="21">
        <v>0</v>
      </c>
      <c r="AC7192" s="21">
        <v>0</v>
      </c>
      <c r="AD7192" s="21">
        <v>0</v>
      </c>
      <c r="AE7192" s="21">
        <v>0</v>
      </c>
      <c r="AF7192" s="21">
        <v>0</v>
      </c>
      <c r="AG7192" s="21">
        <v>0</v>
      </c>
      <c r="AH7192" s="21">
        <f t="shared" si="132"/>
        <v>96</v>
      </c>
      <c r="AI7192" s="21"/>
      <c r="AJ7192" s="21"/>
      <c r="AK7192" s="21"/>
      <c r="AL7192" s="21"/>
      <c r="AM7192" s="21" t="s">
        <v>2586</v>
      </c>
      <c r="AN7192" s="21">
        <v>-122.441091816667</v>
      </c>
      <c r="AO7192" s="21">
        <v>37.791440549999997</v>
      </c>
      <c r="AP7192" s="21" t="s">
        <v>1915</v>
      </c>
    </row>
    <row r="7193" spans="1:42">
      <c r="A7193" s="20">
        <v>43845</v>
      </c>
      <c r="B7193" s="21">
        <v>3</v>
      </c>
      <c r="C7193" s="21">
        <v>985</v>
      </c>
      <c r="D7193" s="21">
        <v>14358</v>
      </c>
      <c r="E7193" s="21" t="s">
        <v>2123</v>
      </c>
      <c r="F7193" s="21" t="s">
        <v>520</v>
      </c>
      <c r="G7193" s="21">
        <v>1</v>
      </c>
      <c r="H7193" s="21">
        <v>32</v>
      </c>
      <c r="I7193" s="23" t="s">
        <v>2371</v>
      </c>
      <c r="J7193" s="21"/>
      <c r="K7193" s="21" t="s">
        <v>647</v>
      </c>
      <c r="L7193" s="21"/>
      <c r="M7193" s="21"/>
      <c r="N7193" s="21" t="s">
        <v>42</v>
      </c>
      <c r="O7193" s="21">
        <f>60+60+60+9</f>
        <v>189</v>
      </c>
      <c r="P7193" s="21"/>
      <c r="Q7193" s="21">
        <f t="shared" si="131"/>
        <v>2</v>
      </c>
      <c r="R7193" s="21">
        <v>1</v>
      </c>
      <c r="S7193" s="21">
        <v>0</v>
      </c>
      <c r="T7193" s="21">
        <v>0</v>
      </c>
      <c r="U7193" s="21">
        <v>1</v>
      </c>
      <c r="V7193" s="21">
        <v>0</v>
      </c>
      <c r="W7193" s="21">
        <v>1</v>
      </c>
      <c r="X7193" s="21">
        <v>0</v>
      </c>
      <c r="Y7193" s="21">
        <v>0</v>
      </c>
      <c r="Z7193" s="21">
        <v>0</v>
      </c>
      <c r="AA7193" s="21">
        <v>0</v>
      </c>
      <c r="AB7193" s="21">
        <v>0</v>
      </c>
      <c r="AC7193" s="21">
        <v>0</v>
      </c>
      <c r="AD7193" s="21">
        <v>0</v>
      </c>
      <c r="AE7193" s="21">
        <v>0</v>
      </c>
      <c r="AF7193" s="21">
        <v>0</v>
      </c>
      <c r="AG7193" s="21">
        <v>0</v>
      </c>
      <c r="AH7193" s="21">
        <f t="shared" si="132"/>
        <v>128</v>
      </c>
      <c r="AI7193" s="21"/>
      <c r="AJ7193" s="21"/>
      <c r="AK7193" s="21"/>
      <c r="AL7193" s="21" t="s">
        <v>2587</v>
      </c>
      <c r="AM7193" s="21" t="s">
        <v>2588</v>
      </c>
      <c r="AN7193" s="21">
        <v>-122.44156151666699</v>
      </c>
      <c r="AO7193" s="21">
        <v>37.79169555</v>
      </c>
      <c r="AP7193" s="21" t="s">
        <v>1915</v>
      </c>
    </row>
    <row r="7194" spans="1:42">
      <c r="A7194" s="20">
        <v>43845</v>
      </c>
      <c r="B7194" s="21">
        <v>3</v>
      </c>
      <c r="C7194" s="21">
        <v>985</v>
      </c>
      <c r="D7194" s="21">
        <v>14358</v>
      </c>
      <c r="E7194" s="21" t="s">
        <v>2123</v>
      </c>
      <c r="F7194" s="21" t="s">
        <v>520</v>
      </c>
      <c r="G7194" s="21">
        <v>1</v>
      </c>
      <c r="H7194" s="21">
        <v>33</v>
      </c>
      <c r="I7194" s="23" t="s">
        <v>2164</v>
      </c>
      <c r="J7194" s="21"/>
      <c r="K7194" s="21" t="s">
        <v>2581</v>
      </c>
      <c r="L7194" s="21"/>
      <c r="M7194" s="21"/>
      <c r="N7194" s="21" t="s">
        <v>40</v>
      </c>
      <c r="O7194" s="21">
        <f>60+3</f>
        <v>63</v>
      </c>
      <c r="P7194" s="21"/>
      <c r="Q7194" s="21">
        <f t="shared" si="131"/>
        <v>2</v>
      </c>
      <c r="R7194" s="21">
        <v>1</v>
      </c>
      <c r="S7194" s="21">
        <v>0</v>
      </c>
      <c r="T7194" s="21">
        <v>0</v>
      </c>
      <c r="U7194" s="21">
        <v>0</v>
      </c>
      <c r="V7194" s="21">
        <v>2</v>
      </c>
      <c r="W7194" s="21">
        <v>0</v>
      </c>
      <c r="X7194" s="21">
        <v>0</v>
      </c>
      <c r="Y7194" s="21">
        <v>0</v>
      </c>
      <c r="Z7194" s="21">
        <v>0</v>
      </c>
      <c r="AA7194" s="21">
        <v>0</v>
      </c>
      <c r="AB7194" s="21">
        <v>0</v>
      </c>
      <c r="AC7194" s="21">
        <v>0</v>
      </c>
      <c r="AD7194" s="21">
        <v>0</v>
      </c>
      <c r="AE7194" s="21">
        <v>0</v>
      </c>
      <c r="AF7194" s="21">
        <v>0</v>
      </c>
      <c r="AG7194" s="21">
        <v>0</v>
      </c>
      <c r="AH7194" s="21">
        <f t="shared" si="132"/>
        <v>128</v>
      </c>
      <c r="AI7194" s="21"/>
      <c r="AJ7194" s="21"/>
      <c r="AK7194" s="21"/>
      <c r="AL7194" s="21"/>
      <c r="AM7194" s="21" t="s">
        <v>2589</v>
      </c>
      <c r="AN7194" s="21">
        <v>-122.441778683333</v>
      </c>
      <c r="AO7194" s="21">
        <v>37.7916839833333</v>
      </c>
      <c r="AP7194" s="21" t="s">
        <v>1915</v>
      </c>
    </row>
    <row r="7195" spans="1:42">
      <c r="A7195" s="20">
        <v>43845</v>
      </c>
      <c r="B7195" s="21">
        <v>3</v>
      </c>
      <c r="C7195" s="21">
        <v>985</v>
      </c>
      <c r="D7195" s="21">
        <v>14358</v>
      </c>
      <c r="E7195" s="21" t="s">
        <v>2123</v>
      </c>
      <c r="F7195" s="21" t="s">
        <v>520</v>
      </c>
      <c r="G7195" s="21">
        <v>1</v>
      </c>
      <c r="H7195" s="21">
        <v>34</v>
      </c>
      <c r="I7195" s="23" t="s">
        <v>2590</v>
      </c>
      <c r="J7195" s="21"/>
      <c r="K7195" s="21" t="s">
        <v>2581</v>
      </c>
      <c r="L7195" s="21"/>
      <c r="M7195" s="21"/>
      <c r="N7195" s="21" t="s">
        <v>44</v>
      </c>
      <c r="O7195" s="21">
        <f>60+29</f>
        <v>89</v>
      </c>
      <c r="P7195" s="21"/>
      <c r="Q7195" s="21">
        <f t="shared" si="131"/>
        <v>2</v>
      </c>
      <c r="R7195" s="21">
        <v>1</v>
      </c>
      <c r="S7195" s="21">
        <v>0</v>
      </c>
      <c r="T7195" s="21">
        <v>0</v>
      </c>
      <c r="U7195" s="21">
        <v>0</v>
      </c>
      <c r="V7195" s="21">
        <v>1</v>
      </c>
      <c r="W7195" s="21">
        <v>1</v>
      </c>
      <c r="X7195" s="21">
        <v>0</v>
      </c>
      <c r="Y7195" s="21">
        <v>0</v>
      </c>
      <c r="Z7195" s="21">
        <v>0</v>
      </c>
      <c r="AA7195" s="21">
        <v>0</v>
      </c>
      <c r="AB7195" s="21">
        <v>0</v>
      </c>
      <c r="AC7195" s="21">
        <v>0</v>
      </c>
      <c r="AD7195" s="21">
        <v>0</v>
      </c>
      <c r="AE7195" s="21">
        <v>0</v>
      </c>
      <c r="AF7195" s="21">
        <v>0</v>
      </c>
      <c r="AG7195" s="21">
        <v>0</v>
      </c>
      <c r="AH7195" s="21">
        <f t="shared" si="132"/>
        <v>160</v>
      </c>
      <c r="AI7195" s="21"/>
      <c r="AJ7195" s="21"/>
      <c r="AK7195" s="21"/>
      <c r="AL7195" s="21" t="s">
        <v>2591</v>
      </c>
      <c r="AM7195" s="21" t="s">
        <v>2592</v>
      </c>
      <c r="AN7195" s="21">
        <v>-122.441992633333</v>
      </c>
      <c r="AO7195" s="21">
        <v>37.791661716666702</v>
      </c>
      <c r="AP7195" s="21" t="s">
        <v>1915</v>
      </c>
    </row>
    <row r="7196" spans="1:42">
      <c r="A7196" s="20">
        <v>43845</v>
      </c>
      <c r="B7196" s="21">
        <v>3</v>
      </c>
      <c r="C7196" s="21">
        <v>985</v>
      </c>
      <c r="D7196" s="21">
        <v>14358</v>
      </c>
      <c r="E7196" s="21" t="s">
        <v>2123</v>
      </c>
      <c r="F7196" s="21" t="s">
        <v>520</v>
      </c>
      <c r="G7196" s="21">
        <v>1</v>
      </c>
      <c r="H7196" s="21">
        <v>35</v>
      </c>
      <c r="I7196" s="23" t="s">
        <v>2593</v>
      </c>
      <c r="J7196" s="21"/>
      <c r="K7196" s="21" t="s">
        <v>2240</v>
      </c>
      <c r="L7196" s="21"/>
      <c r="M7196" s="21"/>
      <c r="N7196" s="21" t="s">
        <v>42</v>
      </c>
      <c r="O7196" s="21">
        <f>60+60+1</f>
        <v>121</v>
      </c>
      <c r="P7196" s="21"/>
      <c r="Q7196" s="21">
        <f t="shared" si="131"/>
        <v>2</v>
      </c>
      <c r="R7196" s="21">
        <v>1</v>
      </c>
      <c r="S7196" s="21">
        <v>0</v>
      </c>
      <c r="T7196" s="21">
        <v>0</v>
      </c>
      <c r="U7196" s="21">
        <v>0</v>
      </c>
      <c r="V7196" s="21">
        <v>1</v>
      </c>
      <c r="W7196" s="21">
        <v>1</v>
      </c>
      <c r="X7196" s="21">
        <v>0</v>
      </c>
      <c r="Y7196" s="21">
        <v>0</v>
      </c>
      <c r="Z7196" s="21">
        <v>0</v>
      </c>
      <c r="AA7196" s="21">
        <v>0</v>
      </c>
      <c r="AB7196" s="21">
        <v>0</v>
      </c>
      <c r="AC7196" s="21">
        <v>0</v>
      </c>
      <c r="AD7196" s="21">
        <v>0</v>
      </c>
      <c r="AE7196" s="21">
        <v>0</v>
      </c>
      <c r="AF7196" s="21">
        <v>0</v>
      </c>
      <c r="AG7196" s="21">
        <v>0</v>
      </c>
      <c r="AH7196" s="21">
        <f t="shared" si="132"/>
        <v>160</v>
      </c>
      <c r="AI7196" s="21"/>
      <c r="AJ7196" s="21"/>
      <c r="AK7196" s="21"/>
      <c r="AL7196" s="21" t="s">
        <v>2594</v>
      </c>
      <c r="AM7196" s="21" t="s">
        <v>2595</v>
      </c>
      <c r="AN7196" s="21">
        <v>-122.442247083333</v>
      </c>
      <c r="AO7196" s="21">
        <v>37.791620700000003</v>
      </c>
      <c r="AP7196" s="21" t="s">
        <v>1915</v>
      </c>
    </row>
    <row r="7197" spans="1:42">
      <c r="A7197" s="20">
        <v>43845</v>
      </c>
      <c r="B7197" s="21">
        <v>3</v>
      </c>
      <c r="C7197" s="21">
        <v>985</v>
      </c>
      <c r="D7197" s="21">
        <v>14358</v>
      </c>
      <c r="E7197" s="21" t="s">
        <v>2123</v>
      </c>
      <c r="F7197" s="21" t="s">
        <v>520</v>
      </c>
      <c r="G7197" s="21">
        <v>1</v>
      </c>
      <c r="H7197" s="21">
        <v>36</v>
      </c>
      <c r="I7197" s="23" t="s">
        <v>2239</v>
      </c>
      <c r="J7197" s="21"/>
      <c r="K7197" t="s">
        <v>605</v>
      </c>
      <c r="L7197" s="21"/>
      <c r="M7197" s="21"/>
      <c r="N7197" s="21" t="s">
        <v>40</v>
      </c>
      <c r="O7197" s="21">
        <f>60+60+59</f>
        <v>179</v>
      </c>
      <c r="P7197" s="21"/>
      <c r="Q7197" s="21">
        <f t="shared" si="131"/>
        <v>3</v>
      </c>
      <c r="R7197" s="21">
        <v>1</v>
      </c>
      <c r="S7197" s="21">
        <v>0</v>
      </c>
      <c r="T7197" s="21">
        <v>0</v>
      </c>
      <c r="U7197" s="21">
        <v>0</v>
      </c>
      <c r="V7197" s="21">
        <v>0</v>
      </c>
      <c r="W7197" s="21">
        <v>3</v>
      </c>
      <c r="X7197" s="21">
        <v>0</v>
      </c>
      <c r="Y7197" s="21">
        <v>0</v>
      </c>
      <c r="Z7197" s="21">
        <v>0</v>
      </c>
      <c r="AA7197" s="21">
        <v>0</v>
      </c>
      <c r="AB7197" s="21">
        <v>0</v>
      </c>
      <c r="AC7197" s="21">
        <v>0</v>
      </c>
      <c r="AD7197" s="21">
        <v>0</v>
      </c>
      <c r="AE7197" s="21">
        <v>0</v>
      </c>
      <c r="AF7197" s="21">
        <v>0</v>
      </c>
      <c r="AG7197" s="21">
        <v>0</v>
      </c>
      <c r="AH7197" s="21">
        <f t="shared" si="132"/>
        <v>288</v>
      </c>
      <c r="AI7197" s="21"/>
      <c r="AJ7197" s="21" t="s">
        <v>54</v>
      </c>
      <c r="AK7197" s="21" t="s">
        <v>52</v>
      </c>
      <c r="AL7197" s="21" t="s">
        <v>2596</v>
      </c>
      <c r="AM7197" s="21" t="s">
        <v>2597</v>
      </c>
      <c r="AN7197" s="21">
        <v>-122.44295049999999</v>
      </c>
      <c r="AO7197" s="21">
        <v>37.792056833333298</v>
      </c>
      <c r="AP7197" s="21" t="s">
        <v>1915</v>
      </c>
    </row>
    <row r="7198" spans="1:42">
      <c r="A7198" s="20">
        <v>43845</v>
      </c>
      <c r="B7198" s="21">
        <v>3</v>
      </c>
      <c r="C7198" s="21">
        <v>985</v>
      </c>
      <c r="D7198" s="21">
        <v>14358</v>
      </c>
      <c r="E7198" s="21" t="s">
        <v>2123</v>
      </c>
      <c r="F7198" s="21" t="s">
        <v>520</v>
      </c>
      <c r="G7198" s="21">
        <v>1</v>
      </c>
      <c r="H7198" s="21">
        <v>37</v>
      </c>
      <c r="I7198" s="23" t="s">
        <v>2536</v>
      </c>
      <c r="J7198" s="21"/>
      <c r="K7198" s="21" t="s">
        <v>2598</v>
      </c>
      <c r="L7198" s="21"/>
      <c r="M7198" s="21"/>
      <c r="N7198" s="21" t="s">
        <v>40</v>
      </c>
      <c r="O7198" s="21">
        <f>60+60+16</f>
        <v>136</v>
      </c>
      <c r="P7198" s="21"/>
      <c r="Q7198" s="21">
        <f t="shared" si="131"/>
        <v>2</v>
      </c>
      <c r="R7198" s="21">
        <v>1</v>
      </c>
      <c r="S7198" s="21">
        <v>0</v>
      </c>
      <c r="T7198" s="21">
        <v>0</v>
      </c>
      <c r="U7198" s="21">
        <v>2</v>
      </c>
      <c r="V7198" s="21">
        <v>0</v>
      </c>
      <c r="W7198" s="21">
        <v>0</v>
      </c>
      <c r="X7198" s="21">
        <v>0</v>
      </c>
      <c r="Y7198" s="21">
        <v>0</v>
      </c>
      <c r="Z7198" s="21">
        <v>0</v>
      </c>
      <c r="AA7198" s="21">
        <v>0</v>
      </c>
      <c r="AB7198" s="21">
        <v>0</v>
      </c>
      <c r="AC7198" s="21">
        <v>0</v>
      </c>
      <c r="AD7198" s="21">
        <v>0</v>
      </c>
      <c r="AE7198" s="21">
        <v>0</v>
      </c>
      <c r="AF7198" s="21">
        <v>0</v>
      </c>
      <c r="AG7198" s="21">
        <v>0</v>
      </c>
      <c r="AH7198" s="21">
        <f t="shared" si="132"/>
        <v>64</v>
      </c>
      <c r="AI7198" s="21"/>
      <c r="AJ7198" s="21"/>
      <c r="AK7198" s="21"/>
      <c r="AL7198" s="21" t="s">
        <v>2599</v>
      </c>
      <c r="AM7198" s="21" t="s">
        <v>2600</v>
      </c>
      <c r="AN7198" s="21">
        <v>-122.44289088333301</v>
      </c>
      <c r="AO7198" s="21">
        <v>37.791861183333303</v>
      </c>
      <c r="AP7198" s="21" t="s">
        <v>1915</v>
      </c>
    </row>
    <row r="7199" spans="1:42">
      <c r="A7199" s="20">
        <v>43845</v>
      </c>
      <c r="B7199" s="21">
        <v>3</v>
      </c>
      <c r="C7199" s="21">
        <v>985</v>
      </c>
      <c r="D7199" s="21">
        <v>14358</v>
      </c>
      <c r="E7199" s="21" t="s">
        <v>2123</v>
      </c>
      <c r="F7199" s="21" t="s">
        <v>520</v>
      </c>
      <c r="G7199" s="21">
        <v>1</v>
      </c>
      <c r="H7199" s="21">
        <v>38</v>
      </c>
      <c r="I7199" s="23" t="s">
        <v>2601</v>
      </c>
      <c r="J7199" s="21"/>
      <c r="K7199" s="21" t="s">
        <v>647</v>
      </c>
      <c r="L7199" s="21"/>
      <c r="M7199" s="21"/>
      <c r="N7199" s="21" t="s">
        <v>44</v>
      </c>
      <c r="O7199" s="21">
        <f>60+60+60+60+60+60+60+9</f>
        <v>429</v>
      </c>
      <c r="P7199" s="21"/>
      <c r="Q7199" s="21">
        <f t="shared" si="131"/>
        <v>4</v>
      </c>
      <c r="R7199" s="21">
        <v>1</v>
      </c>
      <c r="S7199" s="21">
        <v>0</v>
      </c>
      <c r="T7199" s="21">
        <v>0</v>
      </c>
      <c r="U7199" s="21">
        <v>1</v>
      </c>
      <c r="V7199" s="21">
        <v>3</v>
      </c>
      <c r="W7199" s="21">
        <v>0</v>
      </c>
      <c r="X7199" s="21">
        <v>0</v>
      </c>
      <c r="Y7199" s="21">
        <v>0</v>
      </c>
      <c r="Z7199" s="21">
        <v>0</v>
      </c>
      <c r="AA7199" s="21">
        <v>0</v>
      </c>
      <c r="AB7199" s="21">
        <v>0</v>
      </c>
      <c r="AC7199" s="21">
        <v>0</v>
      </c>
      <c r="AD7199" s="21">
        <v>0</v>
      </c>
      <c r="AE7199" s="21">
        <v>0</v>
      </c>
      <c r="AF7199" s="21">
        <v>0</v>
      </c>
      <c r="AG7199" s="21">
        <v>0</v>
      </c>
      <c r="AH7199" s="21">
        <f t="shared" si="132"/>
        <v>224</v>
      </c>
      <c r="AI7199" s="21"/>
      <c r="AJ7199" s="21" t="s">
        <v>54</v>
      </c>
      <c r="AK7199" s="21" t="s">
        <v>95</v>
      </c>
      <c r="AL7199" s="21"/>
      <c r="AM7199" s="21" t="s">
        <v>2602</v>
      </c>
      <c r="AN7199" s="21">
        <v>-122.44282515</v>
      </c>
      <c r="AO7199" s="21">
        <v>37.791719016666597</v>
      </c>
      <c r="AP7199" s="21" t="s">
        <v>1915</v>
      </c>
    </row>
    <row r="7200" spans="1:42">
      <c r="A7200" s="20">
        <v>43845</v>
      </c>
      <c r="B7200" s="21">
        <v>3</v>
      </c>
      <c r="C7200" s="21">
        <v>985</v>
      </c>
      <c r="D7200" s="21">
        <v>14358</v>
      </c>
      <c r="E7200" s="21" t="s">
        <v>2123</v>
      </c>
      <c r="F7200" s="21" t="s">
        <v>520</v>
      </c>
      <c r="G7200" s="21">
        <v>1</v>
      </c>
      <c r="H7200" s="21">
        <v>39</v>
      </c>
      <c r="I7200" s="23" t="s">
        <v>2603</v>
      </c>
      <c r="J7200" s="21"/>
      <c r="K7200" s="21" t="s">
        <v>329</v>
      </c>
      <c r="L7200" s="21"/>
      <c r="M7200" s="21"/>
      <c r="N7200" s="21" t="s">
        <v>40</v>
      </c>
      <c r="O7200" s="21">
        <f>60+36</f>
        <v>96</v>
      </c>
      <c r="P7200" s="21"/>
      <c r="Q7200" s="21">
        <f t="shared" si="131"/>
        <v>3</v>
      </c>
      <c r="R7200" s="21">
        <v>1</v>
      </c>
      <c r="S7200" s="21">
        <v>0</v>
      </c>
      <c r="T7200" s="21">
        <v>0</v>
      </c>
      <c r="U7200" s="21">
        <v>2</v>
      </c>
      <c r="V7200" s="21">
        <v>0</v>
      </c>
      <c r="W7200" s="21">
        <v>1</v>
      </c>
      <c r="X7200" s="21">
        <v>0</v>
      </c>
      <c r="Y7200" s="21">
        <v>0</v>
      </c>
      <c r="Z7200" s="21">
        <v>0</v>
      </c>
      <c r="AA7200" s="21">
        <v>0</v>
      </c>
      <c r="AB7200" s="21">
        <v>0</v>
      </c>
      <c r="AC7200" s="21">
        <v>0</v>
      </c>
      <c r="AD7200" s="21">
        <v>0</v>
      </c>
      <c r="AE7200" s="21">
        <v>0</v>
      </c>
      <c r="AF7200" s="21">
        <v>0</v>
      </c>
      <c r="AG7200" s="21">
        <v>0</v>
      </c>
      <c r="AH7200" s="21">
        <f t="shared" si="132"/>
        <v>160</v>
      </c>
      <c r="AI7200" s="21"/>
      <c r="AJ7200" s="21"/>
      <c r="AK7200" s="21"/>
      <c r="AL7200" s="21"/>
      <c r="AM7200" s="21" t="s">
        <v>2604</v>
      </c>
      <c r="AN7200" s="21">
        <v>-122.444498283333</v>
      </c>
      <c r="AO7200" s="21">
        <v>37.790885083333301</v>
      </c>
      <c r="AP7200" s="21" t="s">
        <v>1915</v>
      </c>
    </row>
    <row r="7201" spans="1:42">
      <c r="A7201" s="20">
        <v>43845</v>
      </c>
      <c r="B7201" s="21">
        <v>3</v>
      </c>
      <c r="C7201" s="21">
        <v>985</v>
      </c>
      <c r="D7201" s="21">
        <v>14358</v>
      </c>
      <c r="E7201" s="21" t="s">
        <v>2123</v>
      </c>
      <c r="F7201" s="21" t="s">
        <v>520</v>
      </c>
      <c r="G7201" s="21">
        <v>1</v>
      </c>
      <c r="H7201" s="21">
        <v>40</v>
      </c>
      <c r="I7201" s="23" t="s">
        <v>2605</v>
      </c>
      <c r="J7201" s="21"/>
      <c r="K7201" s="21" t="s">
        <v>516</v>
      </c>
      <c r="L7201" s="21"/>
      <c r="M7201" s="21"/>
      <c r="N7201" s="21" t="s">
        <v>44</v>
      </c>
      <c r="O7201" s="21">
        <f>60+31</f>
        <v>91</v>
      </c>
      <c r="P7201" s="21"/>
      <c r="Q7201" s="21">
        <f t="shared" si="131"/>
        <v>1</v>
      </c>
      <c r="R7201" s="21">
        <v>1</v>
      </c>
      <c r="S7201" s="21">
        <v>0</v>
      </c>
      <c r="T7201" s="21">
        <v>0</v>
      </c>
      <c r="U7201" s="21">
        <v>0</v>
      </c>
      <c r="V7201" s="21">
        <v>0</v>
      </c>
      <c r="W7201" s="21">
        <v>1</v>
      </c>
      <c r="X7201" s="21">
        <v>0</v>
      </c>
      <c r="Y7201" s="21">
        <v>0</v>
      </c>
      <c r="Z7201" s="21">
        <v>0</v>
      </c>
      <c r="AA7201" s="21">
        <v>0</v>
      </c>
      <c r="AB7201" s="21">
        <v>0</v>
      </c>
      <c r="AC7201" s="21">
        <v>0</v>
      </c>
      <c r="AD7201" s="21">
        <v>0</v>
      </c>
      <c r="AE7201" s="21">
        <v>0</v>
      </c>
      <c r="AF7201" s="21">
        <v>0</v>
      </c>
      <c r="AG7201" s="21">
        <v>0</v>
      </c>
      <c r="AH7201" s="21">
        <f t="shared" si="132"/>
        <v>96</v>
      </c>
      <c r="AI7201" s="21"/>
      <c r="AJ7201" s="21"/>
      <c r="AK7201" s="21"/>
      <c r="AL7201" s="21"/>
      <c r="AM7201" s="21" t="s">
        <v>2606</v>
      </c>
      <c r="AN7201" s="21">
        <v>-122.444560033333</v>
      </c>
      <c r="AO7201" s="21">
        <v>37.790325250000002</v>
      </c>
      <c r="AP7201" s="21" t="s">
        <v>1915</v>
      </c>
    </row>
    <row r="7202" spans="1:42">
      <c r="A7202" s="20">
        <v>43845</v>
      </c>
      <c r="B7202" s="21">
        <v>3</v>
      </c>
      <c r="C7202" s="21">
        <v>985</v>
      </c>
      <c r="D7202" s="21">
        <v>14358</v>
      </c>
      <c r="E7202" s="21" t="s">
        <v>2123</v>
      </c>
      <c r="F7202" s="21" t="s">
        <v>520</v>
      </c>
      <c r="G7202" s="21">
        <v>1</v>
      </c>
      <c r="H7202" s="21">
        <v>41</v>
      </c>
      <c r="I7202" s="23" t="s">
        <v>2338</v>
      </c>
      <c r="J7202" s="21"/>
      <c r="K7202" s="21" t="s">
        <v>516</v>
      </c>
      <c r="L7202" s="21"/>
      <c r="M7202" s="21"/>
      <c r="N7202" s="21" t="s">
        <v>40</v>
      </c>
      <c r="O7202" s="21">
        <f>60+13</f>
        <v>73</v>
      </c>
      <c r="P7202" s="21"/>
      <c r="Q7202" s="21">
        <f t="shared" si="131"/>
        <v>1</v>
      </c>
      <c r="R7202" s="21">
        <v>1</v>
      </c>
      <c r="S7202" s="21">
        <v>0</v>
      </c>
      <c r="T7202" s="21">
        <v>0</v>
      </c>
      <c r="U7202" s="21">
        <v>0</v>
      </c>
      <c r="V7202" s="21">
        <v>1</v>
      </c>
      <c r="W7202" s="21">
        <v>0</v>
      </c>
      <c r="X7202" s="21">
        <v>0</v>
      </c>
      <c r="Y7202" s="21">
        <v>0</v>
      </c>
      <c r="Z7202" s="21">
        <v>0</v>
      </c>
      <c r="AA7202" s="21">
        <v>0</v>
      </c>
      <c r="AB7202" s="21">
        <v>0</v>
      </c>
      <c r="AC7202" s="21">
        <v>0</v>
      </c>
      <c r="AD7202" s="21">
        <v>0</v>
      </c>
      <c r="AE7202" s="21">
        <v>0</v>
      </c>
      <c r="AF7202" s="21">
        <v>0</v>
      </c>
      <c r="AG7202" s="21">
        <v>0</v>
      </c>
      <c r="AH7202" s="21">
        <f t="shared" si="132"/>
        <v>64</v>
      </c>
      <c r="AI7202" s="21"/>
      <c r="AJ7202" s="21"/>
      <c r="AK7202" s="21"/>
      <c r="AL7202" s="21"/>
      <c r="AM7202" s="21" t="s">
        <v>2607</v>
      </c>
      <c r="AN7202" s="21">
        <v>-122.44470656666699</v>
      </c>
      <c r="AO7202" s="21">
        <v>37.790303866666598</v>
      </c>
      <c r="AP7202" s="21" t="s">
        <v>1915</v>
      </c>
    </row>
    <row r="7203" spans="1:42">
      <c r="A7203" s="20">
        <v>43845</v>
      </c>
      <c r="B7203" s="21">
        <v>3</v>
      </c>
      <c r="C7203" s="21">
        <v>985</v>
      </c>
      <c r="D7203" s="21">
        <v>14358</v>
      </c>
      <c r="E7203" s="21" t="s">
        <v>2123</v>
      </c>
      <c r="F7203" s="21" t="s">
        <v>520</v>
      </c>
      <c r="G7203" s="21">
        <v>1</v>
      </c>
      <c r="H7203" s="21">
        <v>42</v>
      </c>
      <c r="I7203" s="23" t="s">
        <v>2608</v>
      </c>
      <c r="J7203" s="21"/>
      <c r="K7203" s="21" t="s">
        <v>1000</v>
      </c>
      <c r="L7203" s="21"/>
      <c r="M7203" s="21"/>
      <c r="N7203" s="21" t="s">
        <v>40</v>
      </c>
      <c r="O7203" s="21">
        <v>58</v>
      </c>
      <c r="P7203" s="21"/>
      <c r="Q7203" s="21">
        <f t="shared" si="131"/>
        <v>3</v>
      </c>
      <c r="R7203" s="21">
        <v>1</v>
      </c>
      <c r="S7203" s="21">
        <v>0</v>
      </c>
      <c r="T7203" s="21">
        <v>0</v>
      </c>
      <c r="U7203" s="21">
        <v>0</v>
      </c>
      <c r="V7203" s="21">
        <v>3</v>
      </c>
      <c r="W7203" s="21">
        <v>0</v>
      </c>
      <c r="X7203" s="21">
        <v>0</v>
      </c>
      <c r="Y7203" s="21">
        <v>0</v>
      </c>
      <c r="Z7203" s="21">
        <v>0</v>
      </c>
      <c r="AA7203" s="21">
        <v>0</v>
      </c>
      <c r="AB7203" s="21">
        <v>0</v>
      </c>
      <c r="AC7203" s="21">
        <v>0</v>
      </c>
      <c r="AD7203" s="21">
        <v>0</v>
      </c>
      <c r="AE7203" s="21">
        <v>0</v>
      </c>
      <c r="AF7203" s="21">
        <v>0</v>
      </c>
      <c r="AG7203" s="21">
        <v>0</v>
      </c>
      <c r="AH7203" s="21">
        <f t="shared" si="132"/>
        <v>192</v>
      </c>
      <c r="AI7203" s="21"/>
      <c r="AJ7203" s="21"/>
      <c r="AK7203" s="21"/>
      <c r="AL7203" s="21"/>
      <c r="AM7203" s="21" t="s">
        <v>2609</v>
      </c>
      <c r="AN7203" s="21">
        <v>-122.444855316667</v>
      </c>
      <c r="AO7203" s="21">
        <v>37.79028855</v>
      </c>
      <c r="AP7203" s="21" t="s">
        <v>1915</v>
      </c>
    </row>
    <row r="7204" spans="1:42">
      <c r="A7204" s="20">
        <v>43845</v>
      </c>
      <c r="B7204" s="21">
        <v>3</v>
      </c>
      <c r="C7204" s="21">
        <v>985</v>
      </c>
      <c r="D7204" s="21">
        <v>14358</v>
      </c>
      <c r="E7204" s="21" t="s">
        <v>2123</v>
      </c>
      <c r="F7204" s="21" t="s">
        <v>520</v>
      </c>
      <c r="G7204" s="21">
        <v>1</v>
      </c>
      <c r="H7204" s="21">
        <v>43</v>
      </c>
      <c r="I7204" s="23" t="s">
        <v>2610</v>
      </c>
      <c r="J7204" s="21"/>
      <c r="K7204" s="21" t="s">
        <v>1000</v>
      </c>
      <c r="L7204" s="21"/>
      <c r="M7204" s="21"/>
      <c r="N7204" s="21" t="s">
        <v>44</v>
      </c>
      <c r="O7204" s="21">
        <f>60+28</f>
        <v>88</v>
      </c>
      <c r="P7204" s="21"/>
      <c r="Q7204" s="21">
        <f t="shared" si="131"/>
        <v>1</v>
      </c>
      <c r="R7204" s="21">
        <v>1</v>
      </c>
      <c r="S7204" s="21">
        <v>0</v>
      </c>
      <c r="T7204" s="21">
        <v>0</v>
      </c>
      <c r="U7204" s="21">
        <v>0</v>
      </c>
      <c r="V7204" s="21">
        <v>0</v>
      </c>
      <c r="W7204" s="21">
        <v>1</v>
      </c>
      <c r="X7204" s="21">
        <v>0</v>
      </c>
      <c r="Y7204" s="21">
        <v>0</v>
      </c>
      <c r="Z7204" s="21">
        <v>0</v>
      </c>
      <c r="AA7204" s="21">
        <v>0</v>
      </c>
      <c r="AB7204" s="21">
        <v>0</v>
      </c>
      <c r="AC7204" s="21">
        <v>0</v>
      </c>
      <c r="AD7204" s="21">
        <v>0</v>
      </c>
      <c r="AE7204" s="21">
        <v>0</v>
      </c>
      <c r="AF7204" s="21">
        <v>0</v>
      </c>
      <c r="AG7204" s="21">
        <v>0</v>
      </c>
      <c r="AH7204" s="21">
        <f t="shared" si="132"/>
        <v>96</v>
      </c>
      <c r="AI7204" s="21"/>
      <c r="AJ7204" s="21"/>
      <c r="AK7204" s="21"/>
      <c r="AL7204" s="21" t="s">
        <v>2212</v>
      </c>
      <c r="AM7204" s="21" t="s">
        <v>2611</v>
      </c>
      <c r="AN7204" s="21">
        <v>-122.4450355</v>
      </c>
      <c r="AO7204" s="21">
        <v>37.7902913666667</v>
      </c>
      <c r="AP7204" s="21" t="s">
        <v>1915</v>
      </c>
    </row>
    <row r="7205" spans="1:42">
      <c r="A7205" s="20">
        <v>43845</v>
      </c>
      <c r="B7205" s="21">
        <v>3</v>
      </c>
      <c r="C7205" s="21">
        <v>985</v>
      </c>
      <c r="D7205" s="21">
        <v>14358</v>
      </c>
      <c r="E7205" s="21" t="s">
        <v>2123</v>
      </c>
      <c r="F7205" s="21" t="s">
        <v>520</v>
      </c>
      <c r="G7205" s="21">
        <v>1</v>
      </c>
      <c r="H7205" s="21">
        <v>44</v>
      </c>
      <c r="I7205" s="23" t="s">
        <v>2612</v>
      </c>
      <c r="J7205" s="21"/>
      <c r="K7205" s="21" t="s">
        <v>516</v>
      </c>
      <c r="L7205" s="21"/>
      <c r="M7205" s="21"/>
      <c r="N7205" s="21" t="s">
        <v>44</v>
      </c>
      <c r="O7205" s="21">
        <f>60+60+60+29</f>
        <v>209</v>
      </c>
      <c r="P7205" s="21"/>
      <c r="Q7205" s="21">
        <f t="shared" si="131"/>
        <v>5</v>
      </c>
      <c r="R7205" s="21">
        <v>1</v>
      </c>
      <c r="S7205" s="21">
        <v>0</v>
      </c>
      <c r="T7205" s="21">
        <v>0</v>
      </c>
      <c r="U7205" s="21">
        <v>5</v>
      </c>
      <c r="V7205" s="21">
        <v>0</v>
      </c>
      <c r="W7205" s="21">
        <v>0</v>
      </c>
      <c r="X7205" s="21">
        <v>0</v>
      </c>
      <c r="Y7205" s="21">
        <v>0</v>
      </c>
      <c r="Z7205" s="21">
        <v>0</v>
      </c>
      <c r="AA7205" s="21">
        <v>0</v>
      </c>
      <c r="AB7205" s="21">
        <v>0</v>
      </c>
      <c r="AC7205" s="21">
        <v>0</v>
      </c>
      <c r="AD7205" s="21">
        <v>0</v>
      </c>
      <c r="AE7205" s="21">
        <v>0</v>
      </c>
      <c r="AF7205" s="21">
        <v>0</v>
      </c>
      <c r="AG7205" s="21">
        <v>0</v>
      </c>
      <c r="AH7205" s="21">
        <f t="shared" si="132"/>
        <v>160</v>
      </c>
      <c r="AI7205" s="21"/>
      <c r="AJ7205" s="21"/>
      <c r="AK7205" s="21"/>
      <c r="AL7205" s="21"/>
      <c r="AM7205" s="21" t="s">
        <v>2613</v>
      </c>
      <c r="AN7205" s="21">
        <v>-122.445645483333</v>
      </c>
      <c r="AO7205" s="21">
        <v>37.790244366666698</v>
      </c>
      <c r="AP7205" s="21" t="s">
        <v>1915</v>
      </c>
    </row>
    <row r="7206" spans="1:42">
      <c r="A7206" s="20">
        <v>43845</v>
      </c>
      <c r="B7206" s="21">
        <v>3</v>
      </c>
      <c r="C7206" s="21">
        <v>985</v>
      </c>
      <c r="D7206" s="21">
        <v>14358</v>
      </c>
      <c r="E7206" s="21" t="s">
        <v>2123</v>
      </c>
      <c r="F7206" s="21" t="s">
        <v>520</v>
      </c>
      <c r="G7206" s="21">
        <v>1</v>
      </c>
      <c r="H7206" s="21">
        <v>45</v>
      </c>
      <c r="I7206" s="23" t="s">
        <v>2614</v>
      </c>
      <c r="J7206" s="21"/>
      <c r="K7206" s="21" t="s">
        <v>1000</v>
      </c>
      <c r="L7206" s="21"/>
      <c r="M7206" s="21"/>
      <c r="N7206" s="21" t="s">
        <v>42</v>
      </c>
      <c r="O7206" s="21">
        <f>60+60+60+60+60+14</f>
        <v>314</v>
      </c>
      <c r="P7206" s="21"/>
      <c r="Q7206" s="21">
        <f t="shared" si="131"/>
        <v>3</v>
      </c>
      <c r="R7206" s="21">
        <v>1</v>
      </c>
      <c r="S7206" s="21">
        <v>0</v>
      </c>
      <c r="T7206" s="21">
        <v>0</v>
      </c>
      <c r="U7206" s="21">
        <v>0</v>
      </c>
      <c r="V7206" s="21">
        <v>2</v>
      </c>
      <c r="W7206" s="21">
        <v>1</v>
      </c>
      <c r="X7206" s="21">
        <v>0</v>
      </c>
      <c r="Y7206" s="21">
        <v>0</v>
      </c>
      <c r="Z7206" s="21">
        <v>0</v>
      </c>
      <c r="AA7206" s="21">
        <v>0</v>
      </c>
      <c r="AB7206" s="21">
        <v>0</v>
      </c>
      <c r="AC7206" s="21">
        <v>0</v>
      </c>
      <c r="AD7206" s="21">
        <v>0</v>
      </c>
      <c r="AE7206" s="21">
        <v>0</v>
      </c>
      <c r="AF7206" s="21">
        <v>0</v>
      </c>
      <c r="AG7206" s="21">
        <v>0</v>
      </c>
      <c r="AH7206" s="21">
        <f t="shared" si="132"/>
        <v>224</v>
      </c>
      <c r="AI7206" s="21"/>
      <c r="AJ7206" s="21" t="s">
        <v>54</v>
      </c>
      <c r="AK7206" s="21" t="s">
        <v>95</v>
      </c>
      <c r="AL7206" s="21" t="s">
        <v>2615</v>
      </c>
      <c r="AM7206" s="21" t="s">
        <v>2616</v>
      </c>
      <c r="AN7206" s="21">
        <v>-122.44676636666701</v>
      </c>
      <c r="AO7206" s="21">
        <v>37.790089366666599</v>
      </c>
      <c r="AP7206" s="21" t="s">
        <v>1915</v>
      </c>
    </row>
    <row r="7207" spans="1:42">
      <c r="A7207" s="20">
        <v>43845</v>
      </c>
      <c r="B7207" s="21">
        <v>3</v>
      </c>
      <c r="C7207" s="21">
        <v>985</v>
      </c>
      <c r="D7207" s="21">
        <v>14358</v>
      </c>
      <c r="E7207" s="21" t="s">
        <v>2123</v>
      </c>
      <c r="F7207" s="21" t="s">
        <v>520</v>
      </c>
      <c r="G7207" s="21">
        <v>1</v>
      </c>
      <c r="H7207" s="21">
        <v>46</v>
      </c>
      <c r="I7207" s="23" t="s">
        <v>2617</v>
      </c>
      <c r="J7207" s="21"/>
      <c r="K7207" s="21" t="s">
        <v>647</v>
      </c>
      <c r="L7207" s="21"/>
      <c r="M7207" s="21"/>
      <c r="N7207" s="21" t="s">
        <v>44</v>
      </c>
      <c r="O7207" s="21">
        <f>60+53</f>
        <v>113</v>
      </c>
      <c r="P7207" s="21"/>
      <c r="Q7207" s="21">
        <f t="shared" si="131"/>
        <v>1</v>
      </c>
      <c r="R7207" s="21">
        <v>1</v>
      </c>
      <c r="S7207" s="21">
        <v>0</v>
      </c>
      <c r="T7207" s="21">
        <v>0</v>
      </c>
      <c r="U7207" s="21">
        <v>0</v>
      </c>
      <c r="V7207" s="21">
        <v>1</v>
      </c>
      <c r="W7207" s="21">
        <v>0</v>
      </c>
      <c r="X7207" s="21">
        <v>0</v>
      </c>
      <c r="Y7207" s="21">
        <v>0</v>
      </c>
      <c r="Z7207" s="21">
        <v>0</v>
      </c>
      <c r="AA7207" s="21">
        <v>0</v>
      </c>
      <c r="AB7207" s="21">
        <v>0</v>
      </c>
      <c r="AC7207" s="21">
        <v>0</v>
      </c>
      <c r="AD7207" s="21">
        <v>0</v>
      </c>
      <c r="AE7207" s="21">
        <v>0</v>
      </c>
      <c r="AF7207" s="21">
        <v>0</v>
      </c>
      <c r="AG7207" s="21">
        <v>0</v>
      </c>
      <c r="AH7207" s="21">
        <f t="shared" si="132"/>
        <v>64</v>
      </c>
      <c r="AI7207" s="21"/>
      <c r="AJ7207" s="21"/>
      <c r="AK7207" s="21"/>
      <c r="AL7207" s="21"/>
      <c r="AM7207" s="21" t="s">
        <v>2618</v>
      </c>
      <c r="AN7207" s="21">
        <v>-122.44643903333299</v>
      </c>
      <c r="AO7207" s="21">
        <v>37.791016916666599</v>
      </c>
      <c r="AP7207" s="21" t="s">
        <v>1915</v>
      </c>
    </row>
    <row r="7208" spans="1:42">
      <c r="A7208" s="20">
        <v>43845</v>
      </c>
      <c r="B7208" s="21">
        <v>3</v>
      </c>
      <c r="C7208" s="21">
        <v>985</v>
      </c>
      <c r="D7208" s="21">
        <v>14358</v>
      </c>
      <c r="E7208" s="21" t="s">
        <v>2123</v>
      </c>
      <c r="F7208" s="21" t="s">
        <v>520</v>
      </c>
      <c r="G7208" s="21">
        <v>1</v>
      </c>
      <c r="H7208" s="21">
        <v>47</v>
      </c>
      <c r="I7208" s="23" t="s">
        <v>2294</v>
      </c>
      <c r="J7208" s="21"/>
      <c r="K7208" s="21" t="s">
        <v>2240</v>
      </c>
      <c r="L7208" s="21"/>
      <c r="M7208" s="21"/>
      <c r="N7208" s="21" t="s">
        <v>44</v>
      </c>
      <c r="O7208" s="21">
        <f>60+20</f>
        <v>80</v>
      </c>
      <c r="P7208" s="21"/>
      <c r="Q7208" s="21">
        <f t="shared" si="131"/>
        <v>2</v>
      </c>
      <c r="R7208" s="21">
        <v>1</v>
      </c>
      <c r="S7208" s="21">
        <v>0</v>
      </c>
      <c r="T7208" s="21">
        <v>0</v>
      </c>
      <c r="U7208" s="21">
        <v>0</v>
      </c>
      <c r="V7208" s="21">
        <v>0</v>
      </c>
      <c r="W7208" s="21">
        <v>2</v>
      </c>
      <c r="X7208" s="21">
        <v>0</v>
      </c>
      <c r="Y7208" s="21">
        <v>0</v>
      </c>
      <c r="Z7208" s="21">
        <v>0</v>
      </c>
      <c r="AA7208" s="21">
        <v>0</v>
      </c>
      <c r="AB7208" s="21">
        <v>0</v>
      </c>
      <c r="AC7208" s="21">
        <v>0</v>
      </c>
      <c r="AD7208" s="21">
        <v>0</v>
      </c>
      <c r="AE7208" s="21">
        <v>0</v>
      </c>
      <c r="AF7208" s="21">
        <v>0</v>
      </c>
      <c r="AG7208" s="21">
        <v>0</v>
      </c>
      <c r="AH7208" s="21">
        <f t="shared" si="132"/>
        <v>192</v>
      </c>
      <c r="AI7208" s="21"/>
      <c r="AJ7208" s="21"/>
      <c r="AK7208" s="21"/>
      <c r="AL7208" s="21"/>
      <c r="AM7208" s="21" t="s">
        <v>2619</v>
      </c>
      <c r="AN7208" s="21">
        <v>-122.445282816667</v>
      </c>
      <c r="AO7208" s="21">
        <v>37.791164516666697</v>
      </c>
      <c r="AP7208" s="21" t="s">
        <v>1915</v>
      </c>
    </row>
    <row r="7209" spans="1:42">
      <c r="A7209" s="20">
        <v>43845</v>
      </c>
      <c r="B7209" s="21">
        <v>3</v>
      </c>
      <c r="C7209" s="21">
        <v>985</v>
      </c>
      <c r="D7209" s="21">
        <v>14358</v>
      </c>
      <c r="E7209" s="21" t="s">
        <v>2123</v>
      </c>
      <c r="F7209" s="21" t="s">
        <v>520</v>
      </c>
      <c r="G7209" s="21">
        <v>1</v>
      </c>
      <c r="H7209" s="21">
        <v>48</v>
      </c>
      <c r="I7209" s="23" t="s">
        <v>2620</v>
      </c>
      <c r="J7209" s="21"/>
      <c r="K7209" s="21" t="s">
        <v>319</v>
      </c>
      <c r="L7209" s="21"/>
      <c r="M7209" s="21"/>
      <c r="N7209" s="21" t="s">
        <v>44</v>
      </c>
      <c r="O7209" s="21">
        <f>60+60+60+6</f>
        <v>186</v>
      </c>
      <c r="P7209" s="21"/>
      <c r="Q7209" s="21">
        <f t="shared" si="131"/>
        <v>2</v>
      </c>
      <c r="R7209" s="21">
        <v>1</v>
      </c>
      <c r="S7209" s="21">
        <v>0</v>
      </c>
      <c r="T7209" s="21">
        <v>0</v>
      </c>
      <c r="U7209" s="21">
        <v>0</v>
      </c>
      <c r="V7209" s="21">
        <v>0</v>
      </c>
      <c r="W7209" s="21">
        <v>2</v>
      </c>
      <c r="X7209" s="21">
        <v>0</v>
      </c>
      <c r="Y7209" s="21">
        <v>0</v>
      </c>
      <c r="Z7209" s="21">
        <v>0</v>
      </c>
      <c r="AA7209" s="21">
        <v>0</v>
      </c>
      <c r="AB7209" s="21">
        <v>0</v>
      </c>
      <c r="AC7209" s="21">
        <v>0</v>
      </c>
      <c r="AD7209" s="21">
        <v>0</v>
      </c>
      <c r="AE7209" s="21">
        <v>0</v>
      </c>
      <c r="AF7209" s="21">
        <v>0</v>
      </c>
      <c r="AG7209" s="21">
        <v>0</v>
      </c>
      <c r="AH7209" s="21">
        <f t="shared" si="132"/>
        <v>192</v>
      </c>
      <c r="AI7209" s="21"/>
      <c r="AJ7209" s="21"/>
      <c r="AK7209" s="21"/>
      <c r="AL7209" s="21" t="s">
        <v>1946</v>
      </c>
      <c r="AM7209" s="21" t="s">
        <v>2621</v>
      </c>
      <c r="AN7209" s="21">
        <v>-122.445881697071</v>
      </c>
      <c r="AO7209" s="21">
        <v>37.789658576957201</v>
      </c>
      <c r="AP7209" s="21" t="s">
        <v>1915</v>
      </c>
    </row>
    <row r="7210" spans="1:42">
      <c r="A7210" s="20">
        <v>43845</v>
      </c>
      <c r="B7210" s="21">
        <v>3</v>
      </c>
      <c r="C7210" s="21">
        <v>985</v>
      </c>
      <c r="D7210" s="21">
        <v>14358</v>
      </c>
      <c r="E7210" s="21" t="s">
        <v>2123</v>
      </c>
      <c r="F7210" s="21" t="s">
        <v>520</v>
      </c>
      <c r="G7210" s="21">
        <v>1</v>
      </c>
      <c r="H7210" s="21">
        <v>49</v>
      </c>
      <c r="I7210" s="23" t="s">
        <v>2622</v>
      </c>
      <c r="J7210" s="21"/>
      <c r="K7210" s="21" t="s">
        <v>516</v>
      </c>
      <c r="L7210" s="21"/>
      <c r="M7210" s="21"/>
      <c r="N7210" s="21" t="s">
        <v>44</v>
      </c>
      <c r="O7210" s="21">
        <f>60+60+60+32</f>
        <v>212</v>
      </c>
      <c r="P7210" s="21"/>
      <c r="Q7210" s="21">
        <f t="shared" si="131"/>
        <v>2</v>
      </c>
      <c r="R7210" s="21">
        <v>1</v>
      </c>
      <c r="S7210" s="21">
        <v>0</v>
      </c>
      <c r="T7210" s="21">
        <v>0</v>
      </c>
      <c r="U7210" s="21">
        <v>0</v>
      </c>
      <c r="V7210" s="21">
        <v>0</v>
      </c>
      <c r="W7210" s="21">
        <v>2</v>
      </c>
      <c r="X7210" s="21">
        <v>0</v>
      </c>
      <c r="Y7210" s="21">
        <v>0</v>
      </c>
      <c r="Z7210" s="21">
        <v>0</v>
      </c>
      <c r="AA7210" s="21">
        <v>0</v>
      </c>
      <c r="AB7210" s="21">
        <v>0</v>
      </c>
      <c r="AC7210" s="21">
        <v>0</v>
      </c>
      <c r="AD7210" s="21">
        <v>0</v>
      </c>
      <c r="AE7210" s="21">
        <v>0</v>
      </c>
      <c r="AF7210" s="21">
        <v>0</v>
      </c>
      <c r="AG7210" s="21">
        <v>0</v>
      </c>
      <c r="AH7210" s="21">
        <f t="shared" si="132"/>
        <v>192</v>
      </c>
      <c r="AI7210" s="21"/>
      <c r="AJ7210" s="21"/>
      <c r="AK7210" s="21"/>
      <c r="AL7210" s="21" t="s">
        <v>597</v>
      </c>
      <c r="AM7210" s="21" t="s">
        <v>2623</v>
      </c>
      <c r="AN7210" s="21">
        <v>-122.446877133333</v>
      </c>
      <c r="AO7210" s="21">
        <v>37.789992216666697</v>
      </c>
      <c r="AP7210" s="21" t="s">
        <v>1915</v>
      </c>
    </row>
    <row r="7211" spans="1:42">
      <c r="A7211" s="20">
        <v>43845</v>
      </c>
      <c r="B7211" s="21">
        <v>3</v>
      </c>
      <c r="C7211" s="21">
        <v>985</v>
      </c>
      <c r="D7211" s="21">
        <v>14358</v>
      </c>
      <c r="E7211" s="21" t="s">
        <v>2123</v>
      </c>
      <c r="F7211" s="21" t="s">
        <v>520</v>
      </c>
      <c r="G7211" s="21">
        <v>1</v>
      </c>
      <c r="H7211" s="21">
        <v>50</v>
      </c>
      <c r="I7211" s="23" t="s">
        <v>2624</v>
      </c>
      <c r="J7211" s="21"/>
      <c r="K7211" s="21" t="s">
        <v>1000</v>
      </c>
      <c r="L7211" s="21"/>
      <c r="M7211" s="21"/>
      <c r="N7211" s="21" t="s">
        <v>40</v>
      </c>
      <c r="O7211" s="21">
        <v>31</v>
      </c>
      <c r="P7211" s="21"/>
      <c r="Q7211" s="21">
        <f t="shared" si="131"/>
        <v>1</v>
      </c>
      <c r="R7211" s="21">
        <v>1</v>
      </c>
      <c r="S7211" s="21">
        <v>0</v>
      </c>
      <c r="T7211" s="21">
        <v>0</v>
      </c>
      <c r="U7211" s="21">
        <v>0</v>
      </c>
      <c r="V7211" s="21">
        <v>0</v>
      </c>
      <c r="W7211" s="21">
        <v>1</v>
      </c>
      <c r="X7211" s="21">
        <v>0</v>
      </c>
      <c r="Y7211" s="21">
        <v>0</v>
      </c>
      <c r="Z7211" s="21">
        <v>0</v>
      </c>
      <c r="AA7211" s="21">
        <v>0</v>
      </c>
      <c r="AB7211" s="21">
        <v>0</v>
      </c>
      <c r="AC7211" s="21">
        <v>0</v>
      </c>
      <c r="AD7211" s="21">
        <v>0</v>
      </c>
      <c r="AE7211" s="21">
        <v>0</v>
      </c>
      <c r="AF7211" s="21">
        <v>0</v>
      </c>
      <c r="AG7211" s="21">
        <v>0</v>
      </c>
      <c r="AH7211" s="21">
        <f t="shared" si="132"/>
        <v>96</v>
      </c>
      <c r="AI7211" s="21"/>
      <c r="AJ7211" s="21"/>
      <c r="AK7211" s="21"/>
      <c r="AL7211" s="21"/>
      <c r="AM7211" s="21" t="s">
        <v>2625</v>
      </c>
      <c r="AN7211" s="21">
        <v>-122.446345283333</v>
      </c>
      <c r="AO7211" s="21">
        <v>37.790095916666701</v>
      </c>
      <c r="AP7211" s="21" t="s">
        <v>1915</v>
      </c>
    </row>
    <row r="7212" spans="1:42">
      <c r="A7212" s="20">
        <v>43845</v>
      </c>
      <c r="B7212" s="21">
        <v>3</v>
      </c>
      <c r="C7212" s="21">
        <v>985</v>
      </c>
      <c r="D7212" s="21">
        <v>14358</v>
      </c>
      <c r="E7212" s="21" t="s">
        <v>2123</v>
      </c>
      <c r="F7212" s="21" t="s">
        <v>520</v>
      </c>
      <c r="G7212" s="21">
        <v>1</v>
      </c>
      <c r="H7212" s="21">
        <v>51</v>
      </c>
      <c r="I7212" s="23" t="s">
        <v>2624</v>
      </c>
      <c r="J7212" s="21"/>
      <c r="K7212" s="21" t="s">
        <v>516</v>
      </c>
      <c r="L7212" s="21"/>
      <c r="M7212" s="21"/>
      <c r="N7212" s="21" t="s">
        <v>40</v>
      </c>
      <c r="O7212" s="21">
        <v>59</v>
      </c>
      <c r="P7212" s="21"/>
      <c r="Q7212" s="21">
        <f t="shared" si="131"/>
        <v>2</v>
      </c>
      <c r="R7212" s="21">
        <v>1</v>
      </c>
      <c r="S7212" s="21">
        <v>0</v>
      </c>
      <c r="T7212" s="21">
        <v>0</v>
      </c>
      <c r="U7212" s="21">
        <v>0</v>
      </c>
      <c r="V7212" s="21">
        <v>1</v>
      </c>
      <c r="W7212" s="21">
        <v>1</v>
      </c>
      <c r="X7212" s="21">
        <v>0</v>
      </c>
      <c r="Y7212" s="21">
        <v>0</v>
      </c>
      <c r="Z7212" s="21">
        <v>0</v>
      </c>
      <c r="AA7212" s="21">
        <v>0</v>
      </c>
      <c r="AB7212" s="21">
        <v>0</v>
      </c>
      <c r="AC7212" s="21">
        <v>0</v>
      </c>
      <c r="AD7212" s="21">
        <v>0</v>
      </c>
      <c r="AE7212" s="21">
        <v>0</v>
      </c>
      <c r="AF7212" s="21">
        <v>0</v>
      </c>
      <c r="AG7212" s="21">
        <v>0</v>
      </c>
      <c r="AH7212" s="21">
        <f t="shared" si="132"/>
        <v>160</v>
      </c>
      <c r="AI7212" s="21"/>
      <c r="AJ7212" s="21"/>
      <c r="AK7212" s="21"/>
      <c r="AL7212" s="21"/>
      <c r="AM7212" s="21" t="s">
        <v>2626</v>
      </c>
      <c r="AN7212" s="21">
        <v>-122.445199316667</v>
      </c>
      <c r="AO7212" s="21">
        <v>37.7902292666666</v>
      </c>
      <c r="AP7212" s="21" t="s">
        <v>1915</v>
      </c>
    </row>
    <row r="7213" spans="1:42">
      <c r="A7213" s="20">
        <v>43845</v>
      </c>
      <c r="B7213" s="21">
        <v>3</v>
      </c>
      <c r="C7213" s="21">
        <v>985</v>
      </c>
      <c r="D7213" s="21">
        <v>14358</v>
      </c>
      <c r="E7213" s="21" t="s">
        <v>2123</v>
      </c>
      <c r="F7213" s="21" t="s">
        <v>520</v>
      </c>
      <c r="G7213" s="21">
        <v>1</v>
      </c>
      <c r="H7213" s="21">
        <v>52</v>
      </c>
      <c r="I7213" s="23" t="s">
        <v>2338</v>
      </c>
      <c r="J7213" s="21"/>
      <c r="K7213" s="21" t="s">
        <v>1000</v>
      </c>
      <c r="L7213" s="21"/>
      <c r="M7213" s="21"/>
      <c r="N7213" s="21" t="s">
        <v>40</v>
      </c>
      <c r="O7213" s="21">
        <f>60+10</f>
        <v>70</v>
      </c>
      <c r="P7213" s="21"/>
      <c r="Q7213" s="21">
        <f t="shared" si="131"/>
        <v>1</v>
      </c>
      <c r="R7213" s="21">
        <v>1</v>
      </c>
      <c r="S7213" s="21">
        <v>0</v>
      </c>
      <c r="T7213" s="21">
        <v>0</v>
      </c>
      <c r="U7213" s="21">
        <v>0</v>
      </c>
      <c r="V7213" s="21">
        <v>0</v>
      </c>
      <c r="W7213" s="21">
        <v>1</v>
      </c>
      <c r="X7213" s="21">
        <v>0</v>
      </c>
      <c r="Y7213" s="21">
        <v>0</v>
      </c>
      <c r="Z7213" s="21">
        <v>0</v>
      </c>
      <c r="AA7213" s="21">
        <v>0</v>
      </c>
      <c r="AB7213" s="21">
        <v>0</v>
      </c>
      <c r="AC7213" s="21">
        <v>0</v>
      </c>
      <c r="AD7213" s="21">
        <v>0</v>
      </c>
      <c r="AE7213" s="21">
        <v>0</v>
      </c>
      <c r="AF7213" s="21">
        <v>0</v>
      </c>
      <c r="AG7213" s="21">
        <v>0</v>
      </c>
      <c r="AH7213" s="21">
        <f t="shared" si="132"/>
        <v>96</v>
      </c>
      <c r="AI7213" s="21"/>
      <c r="AJ7213" s="21"/>
      <c r="AK7213" s="21"/>
      <c r="AL7213" s="21"/>
      <c r="AM7213" s="21" t="s">
        <v>2627</v>
      </c>
      <c r="AN7213" s="21">
        <v>-122.445027833333</v>
      </c>
      <c r="AO7213" s="21">
        <v>37.790270649999997</v>
      </c>
      <c r="AP7213" s="21" t="s">
        <v>1915</v>
      </c>
    </row>
    <row r="7214" spans="1:42">
      <c r="A7214" s="20">
        <v>43845</v>
      </c>
      <c r="B7214" s="21">
        <v>3</v>
      </c>
      <c r="C7214" s="21">
        <v>985</v>
      </c>
      <c r="D7214" s="21">
        <v>14358</v>
      </c>
      <c r="E7214" s="21" t="s">
        <v>2123</v>
      </c>
      <c r="F7214" s="21" t="s">
        <v>520</v>
      </c>
      <c r="G7214" s="21">
        <v>1</v>
      </c>
      <c r="H7214" s="21">
        <v>53</v>
      </c>
      <c r="I7214" s="23" t="s">
        <v>2628</v>
      </c>
      <c r="J7214" s="21"/>
      <c r="K7214" s="21" t="s">
        <v>516</v>
      </c>
      <c r="L7214" s="21"/>
      <c r="M7214" s="21"/>
      <c r="N7214" s="21" t="s">
        <v>44</v>
      </c>
      <c r="O7214" s="21">
        <f>60+60+44</f>
        <v>164</v>
      </c>
      <c r="P7214" s="21"/>
      <c r="Q7214" s="21">
        <f t="shared" si="131"/>
        <v>1</v>
      </c>
      <c r="R7214" s="21">
        <v>1</v>
      </c>
      <c r="S7214" s="21">
        <v>0</v>
      </c>
      <c r="T7214" s="21">
        <v>0</v>
      </c>
      <c r="U7214" s="21">
        <v>0</v>
      </c>
      <c r="V7214" s="21">
        <v>0</v>
      </c>
      <c r="W7214" s="21">
        <v>1</v>
      </c>
      <c r="X7214" s="21">
        <v>0</v>
      </c>
      <c r="Y7214" s="21">
        <v>0</v>
      </c>
      <c r="Z7214" s="21">
        <v>0</v>
      </c>
      <c r="AA7214" s="21">
        <v>0</v>
      </c>
      <c r="AB7214" s="21">
        <v>0</v>
      </c>
      <c r="AC7214" s="21">
        <v>0</v>
      </c>
      <c r="AD7214" s="21">
        <v>0</v>
      </c>
      <c r="AE7214" s="21">
        <v>0</v>
      </c>
      <c r="AF7214" s="21">
        <v>0</v>
      </c>
      <c r="AG7214" s="21">
        <v>0</v>
      </c>
      <c r="AH7214" s="21">
        <f t="shared" si="132"/>
        <v>96</v>
      </c>
      <c r="AI7214" s="21"/>
      <c r="AJ7214" s="21"/>
      <c r="AK7214" s="21"/>
      <c r="AL7214" s="21" t="s">
        <v>2629</v>
      </c>
      <c r="AM7214" s="21" t="s">
        <v>2630</v>
      </c>
      <c r="AN7214" s="21">
        <v>-122.444849983333</v>
      </c>
      <c r="AO7214" s="21">
        <v>37.790234383333299</v>
      </c>
      <c r="AP7214" s="21" t="s">
        <v>1915</v>
      </c>
    </row>
    <row r="7215" spans="1:42">
      <c r="A7215" s="20">
        <v>43845</v>
      </c>
      <c r="B7215" s="21">
        <v>3</v>
      </c>
      <c r="C7215" s="21">
        <v>985</v>
      </c>
      <c r="D7215" s="21">
        <v>14358</v>
      </c>
      <c r="E7215" s="21" t="s">
        <v>2123</v>
      </c>
      <c r="F7215" s="21" t="s">
        <v>520</v>
      </c>
      <c r="G7215" s="21">
        <v>1</v>
      </c>
      <c r="H7215" s="21">
        <v>54</v>
      </c>
      <c r="I7215" s="23" t="s">
        <v>2338</v>
      </c>
      <c r="J7215" s="21"/>
      <c r="K7215" s="21" t="s">
        <v>1000</v>
      </c>
      <c r="L7215" s="21"/>
      <c r="M7215" s="21"/>
      <c r="N7215" s="21" t="s">
        <v>40</v>
      </c>
      <c r="O7215" s="21">
        <v>57</v>
      </c>
      <c r="P7215" s="21"/>
      <c r="Q7215" s="21">
        <f t="shared" si="131"/>
        <v>2</v>
      </c>
      <c r="R7215" s="21">
        <v>1</v>
      </c>
      <c r="S7215" s="21">
        <v>0</v>
      </c>
      <c r="T7215" s="21">
        <v>0</v>
      </c>
      <c r="U7215" s="21">
        <v>0</v>
      </c>
      <c r="V7215" s="21">
        <v>0</v>
      </c>
      <c r="W7215" s="21">
        <v>2</v>
      </c>
      <c r="X7215" s="21">
        <v>0</v>
      </c>
      <c r="Y7215" s="21">
        <v>0</v>
      </c>
      <c r="Z7215" s="21">
        <v>0</v>
      </c>
      <c r="AA7215" s="21">
        <v>0</v>
      </c>
      <c r="AB7215" s="21">
        <v>0</v>
      </c>
      <c r="AC7215" s="21">
        <v>0</v>
      </c>
      <c r="AD7215" s="21">
        <v>0</v>
      </c>
      <c r="AE7215" s="21">
        <v>0</v>
      </c>
      <c r="AF7215" s="21">
        <v>0</v>
      </c>
      <c r="AG7215" s="21">
        <v>0</v>
      </c>
      <c r="AH7215" s="21">
        <f t="shared" si="132"/>
        <v>192</v>
      </c>
      <c r="AI7215" s="21"/>
      <c r="AJ7215" s="21"/>
      <c r="AK7215" s="21"/>
      <c r="AL7215" s="21"/>
      <c r="AM7215" s="21" t="s">
        <v>2631</v>
      </c>
      <c r="AN7215" s="21">
        <v>-122.444570833333</v>
      </c>
      <c r="AO7215" s="21">
        <v>37.790292116666699</v>
      </c>
      <c r="AP7215" s="21" t="s">
        <v>1915</v>
      </c>
    </row>
    <row r="7216" spans="1:42">
      <c r="A7216" s="20">
        <v>43845</v>
      </c>
      <c r="B7216" s="21">
        <v>3</v>
      </c>
      <c r="C7216" s="21">
        <v>985</v>
      </c>
      <c r="D7216" s="21">
        <v>14358</v>
      </c>
      <c r="E7216" s="21" t="s">
        <v>2123</v>
      </c>
      <c r="F7216" s="21" t="s">
        <v>520</v>
      </c>
      <c r="G7216" s="21">
        <v>1</v>
      </c>
      <c r="H7216" s="21">
        <v>55</v>
      </c>
      <c r="I7216" s="23" t="s">
        <v>2603</v>
      </c>
      <c r="J7216" s="21"/>
      <c r="K7216" s="21" t="s">
        <v>329</v>
      </c>
      <c r="L7216" s="21"/>
      <c r="M7216" s="21"/>
      <c r="N7216" s="21" t="s">
        <v>40</v>
      </c>
      <c r="O7216" s="21">
        <v>55</v>
      </c>
      <c r="P7216" s="21"/>
      <c r="Q7216" s="21">
        <f t="shared" si="131"/>
        <v>2</v>
      </c>
      <c r="R7216" s="21">
        <v>1</v>
      </c>
      <c r="S7216" s="21">
        <v>0</v>
      </c>
      <c r="T7216" s="21">
        <v>0</v>
      </c>
      <c r="U7216" s="21">
        <v>0</v>
      </c>
      <c r="V7216" s="21">
        <v>0</v>
      </c>
      <c r="W7216" s="21">
        <v>2</v>
      </c>
      <c r="X7216" s="21">
        <v>0</v>
      </c>
      <c r="Y7216" s="21">
        <v>0</v>
      </c>
      <c r="Z7216" s="21">
        <v>0</v>
      </c>
      <c r="AA7216" s="21">
        <v>0</v>
      </c>
      <c r="AB7216" s="21">
        <v>0</v>
      </c>
      <c r="AC7216" s="21">
        <v>0</v>
      </c>
      <c r="AD7216" s="21">
        <v>0</v>
      </c>
      <c r="AE7216" s="21">
        <v>0</v>
      </c>
      <c r="AF7216" s="21">
        <v>0</v>
      </c>
      <c r="AG7216" s="21">
        <v>0</v>
      </c>
      <c r="AH7216" s="21">
        <f t="shared" si="132"/>
        <v>192</v>
      </c>
      <c r="AI7216" s="21"/>
      <c r="AJ7216" s="21"/>
      <c r="AK7216" s="21"/>
      <c r="AL7216" s="21"/>
      <c r="AM7216" s="21" t="s">
        <v>2632</v>
      </c>
      <c r="AN7216" s="21">
        <v>-122.444335266667</v>
      </c>
      <c r="AO7216" s="21">
        <v>37.790844450000002</v>
      </c>
      <c r="AP7216" s="21" t="s">
        <v>1915</v>
      </c>
    </row>
    <row r="7217" spans="1:42">
      <c r="A7217" s="20">
        <v>43845</v>
      </c>
      <c r="B7217" s="21">
        <v>3</v>
      </c>
      <c r="C7217" s="21">
        <v>985</v>
      </c>
      <c r="D7217" s="21">
        <v>14358</v>
      </c>
      <c r="E7217" s="21" t="s">
        <v>2123</v>
      </c>
      <c r="F7217" s="21" t="s">
        <v>520</v>
      </c>
      <c r="G7217" s="21">
        <v>1</v>
      </c>
      <c r="H7217" s="21">
        <v>56</v>
      </c>
      <c r="I7217" s="23" t="s">
        <v>2603</v>
      </c>
      <c r="J7217" s="21"/>
      <c r="K7217" s="21" t="s">
        <v>329</v>
      </c>
      <c r="L7217" s="21"/>
      <c r="M7217" s="21"/>
      <c r="N7217" s="21" t="s">
        <v>40</v>
      </c>
      <c r="O7217" s="21">
        <f>60+26</f>
        <v>86</v>
      </c>
      <c r="P7217" s="21"/>
      <c r="Q7217" s="21">
        <f t="shared" si="131"/>
        <v>4</v>
      </c>
      <c r="R7217" s="21">
        <v>1</v>
      </c>
      <c r="S7217" s="21">
        <v>0</v>
      </c>
      <c r="T7217" s="21">
        <v>0</v>
      </c>
      <c r="U7217" s="21">
        <v>2</v>
      </c>
      <c r="V7217" s="21">
        <v>2</v>
      </c>
      <c r="W7217" s="21">
        <v>0</v>
      </c>
      <c r="X7217" s="21">
        <v>0</v>
      </c>
      <c r="Y7217" s="21">
        <v>0</v>
      </c>
      <c r="Z7217" s="21">
        <v>0</v>
      </c>
      <c r="AA7217" s="21">
        <v>0</v>
      </c>
      <c r="AB7217" s="21">
        <v>0</v>
      </c>
      <c r="AC7217" s="21">
        <v>0</v>
      </c>
      <c r="AD7217" s="21">
        <v>0</v>
      </c>
      <c r="AE7217" s="21">
        <v>0</v>
      </c>
      <c r="AF7217" s="21">
        <v>0</v>
      </c>
      <c r="AG7217" s="21">
        <v>0</v>
      </c>
      <c r="AH7217" s="21">
        <f t="shared" si="132"/>
        <v>192</v>
      </c>
      <c r="AI7217" s="21"/>
      <c r="AJ7217" s="21"/>
      <c r="AK7217" s="21" t="s">
        <v>52</v>
      </c>
      <c r="AL7217" s="21"/>
      <c r="AM7217" s="21" t="s">
        <v>2633</v>
      </c>
      <c r="AN7217" s="21">
        <v>-122.444339583333</v>
      </c>
      <c r="AO7217" s="21">
        <v>37.790972333333301</v>
      </c>
      <c r="AP7217" s="21" t="s">
        <v>1915</v>
      </c>
    </row>
    <row r="7218" spans="1:42">
      <c r="A7218" s="20">
        <v>43845</v>
      </c>
      <c r="B7218" s="21">
        <v>3</v>
      </c>
      <c r="C7218" s="21">
        <v>985</v>
      </c>
      <c r="D7218" s="21">
        <v>14358</v>
      </c>
      <c r="E7218" s="21" t="s">
        <v>2123</v>
      </c>
      <c r="F7218" s="21" t="s">
        <v>520</v>
      </c>
      <c r="G7218" s="21">
        <v>1</v>
      </c>
      <c r="H7218" s="21">
        <v>57</v>
      </c>
      <c r="I7218" s="23" t="s">
        <v>2634</v>
      </c>
      <c r="J7218" s="21"/>
      <c r="K7218" s="21" t="s">
        <v>647</v>
      </c>
      <c r="L7218" s="21"/>
      <c r="M7218" s="21"/>
      <c r="N7218" s="21" t="s">
        <v>44</v>
      </c>
      <c r="O7218" s="21">
        <f>60+60+60+60+60+60+13</f>
        <v>373</v>
      </c>
      <c r="P7218" s="21"/>
      <c r="Q7218" s="21">
        <f t="shared" si="131"/>
        <v>5</v>
      </c>
      <c r="R7218" s="21">
        <v>1</v>
      </c>
      <c r="S7218" s="21">
        <v>0</v>
      </c>
      <c r="T7218" s="21">
        <v>0</v>
      </c>
      <c r="U7218" s="21">
        <v>1</v>
      </c>
      <c r="V7218" s="21">
        <v>0</v>
      </c>
      <c r="W7218" s="21">
        <v>4</v>
      </c>
      <c r="X7218" s="21">
        <v>0</v>
      </c>
      <c r="Y7218" s="21">
        <v>0</v>
      </c>
      <c r="Z7218" s="21">
        <v>0</v>
      </c>
      <c r="AA7218" s="21">
        <v>0</v>
      </c>
      <c r="AB7218" s="21">
        <v>0</v>
      </c>
      <c r="AC7218" s="21">
        <v>0</v>
      </c>
      <c r="AD7218" s="21">
        <v>0</v>
      </c>
      <c r="AE7218" s="21">
        <v>0</v>
      </c>
      <c r="AF7218" s="21">
        <v>0</v>
      </c>
      <c r="AG7218" s="21">
        <v>0</v>
      </c>
      <c r="AH7218" s="21">
        <f t="shared" si="132"/>
        <v>416</v>
      </c>
      <c r="AI7218" s="21"/>
      <c r="AJ7218" s="21"/>
      <c r="AK7218" s="21"/>
      <c r="AL7218" s="21" t="s">
        <v>1957</v>
      </c>
      <c r="AM7218" s="21" t="s">
        <v>2635</v>
      </c>
      <c r="AN7218" s="21">
        <v>-122.443277051246</v>
      </c>
      <c r="AO7218" s="21">
        <v>37.791426412015902</v>
      </c>
      <c r="AP7218" s="21" t="s">
        <v>1915</v>
      </c>
    </row>
    <row r="7219" spans="1:42">
      <c r="A7219" s="20">
        <v>43845</v>
      </c>
      <c r="B7219" s="21">
        <v>3</v>
      </c>
      <c r="C7219" s="21">
        <v>985</v>
      </c>
      <c r="D7219" s="21">
        <v>14358</v>
      </c>
      <c r="E7219" s="21" t="s">
        <v>2123</v>
      </c>
      <c r="F7219" s="21" t="s">
        <v>520</v>
      </c>
      <c r="G7219" s="21">
        <v>1</v>
      </c>
      <c r="H7219" s="21">
        <v>58</v>
      </c>
      <c r="I7219" s="23" t="s">
        <v>2182</v>
      </c>
      <c r="J7219" s="21"/>
      <c r="K7219" s="21" t="s">
        <v>2598</v>
      </c>
      <c r="L7219" s="21"/>
      <c r="M7219" s="21"/>
      <c r="N7219" s="21" t="s">
        <v>44</v>
      </c>
      <c r="O7219" s="21">
        <f>60+20</f>
        <v>80</v>
      </c>
      <c r="P7219" s="21"/>
      <c r="Q7219" s="21">
        <f t="shared" si="131"/>
        <v>1</v>
      </c>
      <c r="R7219" s="21">
        <v>1</v>
      </c>
      <c r="S7219" s="21">
        <v>0</v>
      </c>
      <c r="T7219" s="21">
        <v>0</v>
      </c>
      <c r="U7219" s="21">
        <v>0</v>
      </c>
      <c r="V7219" s="21">
        <v>0</v>
      </c>
      <c r="W7219" s="21">
        <v>1</v>
      </c>
      <c r="X7219" s="21">
        <v>0</v>
      </c>
      <c r="Y7219" s="21">
        <v>0</v>
      </c>
      <c r="Z7219" s="21">
        <v>0</v>
      </c>
      <c r="AA7219" s="21">
        <v>0</v>
      </c>
      <c r="AB7219" s="21">
        <v>0</v>
      </c>
      <c r="AC7219" s="21">
        <v>0</v>
      </c>
      <c r="AD7219" s="21">
        <v>0</v>
      </c>
      <c r="AE7219" s="21">
        <v>0</v>
      </c>
      <c r="AF7219" s="21">
        <v>0</v>
      </c>
      <c r="AG7219" s="21">
        <v>0</v>
      </c>
      <c r="AH7219" s="21">
        <f t="shared" si="132"/>
        <v>96</v>
      </c>
      <c r="AI7219" s="21"/>
      <c r="AJ7219" s="21"/>
      <c r="AK7219" s="21"/>
      <c r="AL7219" s="21" t="s">
        <v>1957</v>
      </c>
      <c r="AM7219" s="21" t="s">
        <v>2636</v>
      </c>
      <c r="AN7219" s="21">
        <v>-122.4427357</v>
      </c>
      <c r="AO7219" s="21">
        <v>37.790924116666702</v>
      </c>
      <c r="AP7219" s="21" t="s">
        <v>1915</v>
      </c>
    </row>
    <row r="7220" spans="1:42">
      <c r="A7220" s="20">
        <v>43845</v>
      </c>
      <c r="B7220" s="21">
        <v>3</v>
      </c>
      <c r="C7220" s="21">
        <v>985</v>
      </c>
      <c r="D7220" s="21">
        <v>14358</v>
      </c>
      <c r="E7220" s="21" t="s">
        <v>2123</v>
      </c>
      <c r="F7220" s="21" t="s">
        <v>520</v>
      </c>
      <c r="G7220" s="21">
        <v>1</v>
      </c>
      <c r="H7220" s="21">
        <v>59</v>
      </c>
      <c r="I7220" s="23" t="s">
        <v>2637</v>
      </c>
      <c r="J7220" s="21"/>
      <c r="K7220" s="21" t="s">
        <v>647</v>
      </c>
      <c r="L7220" s="21"/>
      <c r="M7220" s="21"/>
      <c r="N7220" s="21" t="s">
        <v>44</v>
      </c>
      <c r="O7220" s="21">
        <f>60+60+29</f>
        <v>149</v>
      </c>
      <c r="P7220" s="21"/>
      <c r="Q7220" s="21">
        <f t="shared" si="131"/>
        <v>2</v>
      </c>
      <c r="R7220" s="21">
        <v>1</v>
      </c>
      <c r="S7220" s="21">
        <v>0</v>
      </c>
      <c r="T7220" s="21">
        <v>0</v>
      </c>
      <c r="U7220" s="21">
        <v>2</v>
      </c>
      <c r="V7220" s="21">
        <v>0</v>
      </c>
      <c r="W7220" s="21">
        <v>0</v>
      </c>
      <c r="X7220" s="21">
        <v>0</v>
      </c>
      <c r="Y7220" s="21">
        <v>0</v>
      </c>
      <c r="Z7220" s="21">
        <v>0</v>
      </c>
      <c r="AA7220" s="21">
        <v>0</v>
      </c>
      <c r="AB7220" s="21">
        <v>0</v>
      </c>
      <c r="AC7220" s="21">
        <v>0</v>
      </c>
      <c r="AD7220" s="21">
        <v>0</v>
      </c>
      <c r="AE7220" s="21">
        <v>0</v>
      </c>
      <c r="AF7220" s="21">
        <v>0</v>
      </c>
      <c r="AG7220" s="21">
        <v>0</v>
      </c>
      <c r="AH7220" s="21">
        <f t="shared" si="132"/>
        <v>64</v>
      </c>
      <c r="AI7220" s="21"/>
      <c r="AJ7220" s="21"/>
      <c r="AK7220" s="21"/>
      <c r="AL7220" s="21"/>
      <c r="AM7220" s="21" t="s">
        <v>2638</v>
      </c>
      <c r="AN7220" s="21">
        <v>-122.44279005</v>
      </c>
      <c r="AO7220" s="21">
        <v>37.790835833333297</v>
      </c>
      <c r="AP7220" s="21" t="s">
        <v>1915</v>
      </c>
    </row>
    <row r="7221" spans="1:42">
      <c r="A7221" s="20">
        <v>43845</v>
      </c>
      <c r="B7221" s="21">
        <v>3</v>
      </c>
      <c r="C7221" s="21">
        <v>985</v>
      </c>
      <c r="D7221" s="21">
        <v>14358</v>
      </c>
      <c r="E7221" s="21" t="s">
        <v>2123</v>
      </c>
      <c r="F7221" s="21" t="s">
        <v>520</v>
      </c>
      <c r="G7221" s="21">
        <v>1</v>
      </c>
      <c r="H7221" s="21">
        <v>61</v>
      </c>
      <c r="I7221" s="23" t="s">
        <v>2639</v>
      </c>
      <c r="J7221" s="21"/>
      <c r="K7221" s="21" t="s">
        <v>1000</v>
      </c>
      <c r="L7221" s="21"/>
      <c r="M7221" s="21"/>
      <c r="N7221" s="21" t="s">
        <v>40</v>
      </c>
      <c r="O7221" s="21">
        <v>33</v>
      </c>
      <c r="P7221" s="21"/>
      <c r="Q7221" s="21">
        <f t="shared" si="131"/>
        <v>1</v>
      </c>
      <c r="R7221" s="21">
        <v>1</v>
      </c>
      <c r="S7221" s="21">
        <v>0</v>
      </c>
      <c r="T7221" s="21">
        <v>0</v>
      </c>
      <c r="U7221" s="21">
        <v>1</v>
      </c>
      <c r="V7221" s="21">
        <v>0</v>
      </c>
      <c r="W7221" s="21">
        <v>0</v>
      </c>
      <c r="X7221" s="21">
        <v>0</v>
      </c>
      <c r="Y7221" s="21">
        <v>0</v>
      </c>
      <c r="Z7221" s="21">
        <v>0</v>
      </c>
      <c r="AA7221" s="21">
        <v>0</v>
      </c>
      <c r="AB7221" s="21">
        <v>0</v>
      </c>
      <c r="AC7221" s="21">
        <v>0</v>
      </c>
      <c r="AD7221" s="21">
        <v>0</v>
      </c>
      <c r="AE7221" s="21">
        <v>0</v>
      </c>
      <c r="AF7221" s="21">
        <v>0</v>
      </c>
      <c r="AG7221" s="21">
        <v>0</v>
      </c>
      <c r="AH7221" s="21">
        <f t="shared" si="132"/>
        <v>32</v>
      </c>
      <c r="AI7221" s="21"/>
      <c r="AJ7221" s="21"/>
      <c r="AK7221" s="21"/>
      <c r="AL7221" s="21"/>
      <c r="AM7221" s="21" t="s">
        <v>2640</v>
      </c>
      <c r="AN7221" s="21">
        <v>-122.4431775</v>
      </c>
      <c r="AO7221" s="21">
        <v>37.790550816666702</v>
      </c>
      <c r="AP7221" s="21" t="s">
        <v>1915</v>
      </c>
    </row>
    <row r="7222" spans="1:42">
      <c r="A7222" s="20">
        <v>43845</v>
      </c>
      <c r="B7222" s="21">
        <v>3</v>
      </c>
      <c r="C7222" s="21">
        <v>985</v>
      </c>
      <c r="D7222" s="21">
        <v>14358</v>
      </c>
      <c r="E7222" s="21" t="s">
        <v>2123</v>
      </c>
      <c r="F7222" s="21" t="s">
        <v>520</v>
      </c>
      <c r="G7222" s="21">
        <v>1</v>
      </c>
      <c r="H7222" s="21">
        <v>62</v>
      </c>
      <c r="I7222" s="23" t="s">
        <v>2639</v>
      </c>
      <c r="J7222" s="21"/>
      <c r="K7222" s="21" t="s">
        <v>1000</v>
      </c>
      <c r="L7222" s="21"/>
      <c r="M7222" s="21"/>
      <c r="N7222" s="21" t="s">
        <v>40</v>
      </c>
      <c r="O7222" s="21">
        <v>24</v>
      </c>
      <c r="P7222" s="21"/>
      <c r="Q7222" s="21">
        <f t="shared" si="131"/>
        <v>1</v>
      </c>
      <c r="R7222" s="21">
        <v>1</v>
      </c>
      <c r="S7222" s="21">
        <v>0</v>
      </c>
      <c r="T7222" s="21">
        <v>0</v>
      </c>
      <c r="U7222" s="21">
        <v>0</v>
      </c>
      <c r="V7222" s="21">
        <v>1</v>
      </c>
      <c r="W7222" s="21">
        <v>0</v>
      </c>
      <c r="X7222" s="21">
        <v>0</v>
      </c>
      <c r="Y7222" s="21">
        <v>0</v>
      </c>
      <c r="Z7222" s="21">
        <v>0</v>
      </c>
      <c r="AA7222" s="21">
        <v>0</v>
      </c>
      <c r="AB7222" s="21">
        <v>0</v>
      </c>
      <c r="AC7222" s="21">
        <v>0</v>
      </c>
      <c r="AD7222" s="21">
        <v>0</v>
      </c>
      <c r="AE7222" s="21">
        <v>0</v>
      </c>
      <c r="AF7222" s="21">
        <v>0</v>
      </c>
      <c r="AG7222" s="21">
        <v>0</v>
      </c>
      <c r="AH7222" s="21">
        <f t="shared" si="132"/>
        <v>64</v>
      </c>
      <c r="AI7222" s="21"/>
      <c r="AJ7222" s="21"/>
      <c r="AK7222" s="21"/>
      <c r="AL7222" s="21"/>
      <c r="AM7222" s="21" t="s">
        <v>2641</v>
      </c>
      <c r="AN7222" s="21">
        <v>-122.443316516667</v>
      </c>
      <c r="AO7222" s="21">
        <v>37.7905384833333</v>
      </c>
      <c r="AP7222" s="21" t="s">
        <v>1915</v>
      </c>
    </row>
    <row r="7223" spans="1:42">
      <c r="A7223" s="20">
        <v>43845</v>
      </c>
      <c r="B7223" s="21">
        <v>3</v>
      </c>
      <c r="C7223" s="21">
        <v>985</v>
      </c>
      <c r="D7223" s="21">
        <v>14358</v>
      </c>
      <c r="E7223" s="21" t="s">
        <v>2123</v>
      </c>
      <c r="F7223" s="21" t="s">
        <v>520</v>
      </c>
      <c r="G7223" s="21">
        <v>1</v>
      </c>
      <c r="H7223" s="21">
        <v>63</v>
      </c>
      <c r="I7223" s="23" t="s">
        <v>2642</v>
      </c>
      <c r="J7223" s="21"/>
      <c r="K7223" s="21" t="s">
        <v>1000</v>
      </c>
      <c r="L7223" s="21"/>
      <c r="M7223" s="21"/>
      <c r="N7223" s="21" t="s">
        <v>42</v>
      </c>
      <c r="O7223" s="21">
        <f>60+60+28</f>
        <v>148</v>
      </c>
      <c r="P7223" s="21"/>
      <c r="Q7223" s="21">
        <f t="shared" si="131"/>
        <v>2</v>
      </c>
      <c r="R7223" s="21">
        <v>1</v>
      </c>
      <c r="S7223" s="21">
        <v>0</v>
      </c>
      <c r="T7223" s="21">
        <v>0</v>
      </c>
      <c r="U7223" s="21">
        <v>0</v>
      </c>
      <c r="V7223" s="21">
        <v>2</v>
      </c>
      <c r="W7223" s="21">
        <v>0</v>
      </c>
      <c r="X7223" s="21">
        <v>0</v>
      </c>
      <c r="Y7223" s="21">
        <v>0</v>
      </c>
      <c r="Z7223" s="21">
        <v>0</v>
      </c>
      <c r="AA7223" s="21">
        <v>0</v>
      </c>
      <c r="AB7223" s="21">
        <v>0</v>
      </c>
      <c r="AC7223" s="21">
        <v>0</v>
      </c>
      <c r="AD7223" s="21">
        <v>0</v>
      </c>
      <c r="AE7223" s="21">
        <v>0</v>
      </c>
      <c r="AF7223" s="21">
        <v>0</v>
      </c>
      <c r="AG7223" s="21">
        <v>0</v>
      </c>
      <c r="AH7223" s="21">
        <f t="shared" si="132"/>
        <v>128</v>
      </c>
      <c r="AI7223" s="21"/>
      <c r="AJ7223" s="21"/>
      <c r="AK7223" s="21"/>
      <c r="AL7223" s="21"/>
      <c r="AM7223" s="21" t="s">
        <v>2643</v>
      </c>
      <c r="AN7223" s="21">
        <v>-122.443456333333</v>
      </c>
      <c r="AO7223" s="21">
        <v>37.79050685</v>
      </c>
      <c r="AP7223" s="21" t="s">
        <v>1915</v>
      </c>
    </row>
    <row r="7224" spans="1:42">
      <c r="A7224" s="20">
        <v>43845</v>
      </c>
      <c r="B7224" s="21">
        <v>3</v>
      </c>
      <c r="C7224" s="21">
        <v>985</v>
      </c>
      <c r="D7224" s="21">
        <v>14358</v>
      </c>
      <c r="E7224" s="21" t="s">
        <v>2123</v>
      </c>
      <c r="F7224" s="21" t="s">
        <v>520</v>
      </c>
      <c r="G7224" s="21">
        <v>1</v>
      </c>
      <c r="H7224" s="21">
        <v>64</v>
      </c>
      <c r="I7224" s="23" t="s">
        <v>2639</v>
      </c>
      <c r="J7224" s="21"/>
      <c r="K7224" s="21" t="s">
        <v>1000</v>
      </c>
      <c r="L7224" s="21"/>
      <c r="M7224" s="21"/>
      <c r="N7224" s="21" t="s">
        <v>40</v>
      </c>
      <c r="O7224" s="21">
        <v>28</v>
      </c>
      <c r="P7224" s="21"/>
      <c r="Q7224" s="21">
        <f t="shared" si="131"/>
        <v>1</v>
      </c>
      <c r="R7224" s="21">
        <v>1</v>
      </c>
      <c r="S7224" s="21">
        <v>0</v>
      </c>
      <c r="T7224" s="21">
        <v>0</v>
      </c>
      <c r="U7224" s="21">
        <v>1</v>
      </c>
      <c r="V7224" s="21">
        <v>0</v>
      </c>
      <c r="W7224" s="21">
        <v>0</v>
      </c>
      <c r="X7224" s="21">
        <v>0</v>
      </c>
      <c r="Y7224" s="21">
        <v>0</v>
      </c>
      <c r="Z7224" s="21">
        <v>0</v>
      </c>
      <c r="AA7224" s="21">
        <v>0</v>
      </c>
      <c r="AB7224" s="21">
        <v>0</v>
      </c>
      <c r="AC7224" s="21">
        <v>0</v>
      </c>
      <c r="AD7224" s="21">
        <v>0</v>
      </c>
      <c r="AE7224" s="21">
        <v>0</v>
      </c>
      <c r="AF7224" s="21">
        <v>0</v>
      </c>
      <c r="AG7224" s="21">
        <v>0</v>
      </c>
      <c r="AH7224" s="21">
        <f t="shared" si="132"/>
        <v>32</v>
      </c>
      <c r="AI7224" s="21"/>
      <c r="AJ7224" s="21"/>
      <c r="AK7224" s="21"/>
      <c r="AL7224" s="21"/>
      <c r="AM7224" s="21" t="s">
        <v>2644</v>
      </c>
      <c r="AN7224" s="21">
        <v>-122.443789016667</v>
      </c>
      <c r="AO7224" s="21">
        <v>37.790495766666702</v>
      </c>
      <c r="AP7224" s="21" t="s">
        <v>1915</v>
      </c>
    </row>
    <row r="7225" spans="1:42">
      <c r="A7225" s="20">
        <v>43845</v>
      </c>
      <c r="B7225" s="21">
        <v>3</v>
      </c>
      <c r="C7225" s="21">
        <v>985</v>
      </c>
      <c r="D7225" s="21">
        <v>14358</v>
      </c>
      <c r="E7225" s="21" t="s">
        <v>2123</v>
      </c>
      <c r="F7225" s="21" t="s">
        <v>520</v>
      </c>
      <c r="G7225" s="21">
        <v>1</v>
      </c>
      <c r="H7225" s="21">
        <v>65</v>
      </c>
      <c r="I7225" s="23"/>
      <c r="J7225" s="21"/>
      <c r="K7225" s="21" t="s">
        <v>1000</v>
      </c>
      <c r="L7225" s="21"/>
      <c r="M7225" s="21"/>
      <c r="N7225" s="21" t="s">
        <v>40</v>
      </c>
      <c r="O7225" s="21">
        <v>32</v>
      </c>
      <c r="P7225" s="21"/>
      <c r="Q7225" s="21">
        <f t="shared" si="131"/>
        <v>1</v>
      </c>
      <c r="R7225" s="21">
        <v>1</v>
      </c>
      <c r="S7225" s="21">
        <v>0</v>
      </c>
      <c r="T7225" s="21">
        <v>0</v>
      </c>
      <c r="U7225" s="21">
        <v>1</v>
      </c>
      <c r="V7225" s="21">
        <v>0</v>
      </c>
      <c r="W7225" s="21">
        <v>0</v>
      </c>
      <c r="X7225" s="21">
        <v>0</v>
      </c>
      <c r="Y7225" s="21">
        <v>0</v>
      </c>
      <c r="Z7225" s="21">
        <v>0</v>
      </c>
      <c r="AA7225" s="21">
        <v>0</v>
      </c>
      <c r="AB7225" s="21">
        <v>0</v>
      </c>
      <c r="AC7225" s="21">
        <v>0</v>
      </c>
      <c r="AD7225" s="21">
        <v>0</v>
      </c>
      <c r="AE7225" s="21">
        <v>0</v>
      </c>
      <c r="AF7225" s="21">
        <v>0</v>
      </c>
      <c r="AG7225" s="21">
        <v>0</v>
      </c>
      <c r="AH7225" s="21">
        <f t="shared" si="132"/>
        <v>32</v>
      </c>
      <c r="AI7225" s="21"/>
      <c r="AJ7225" s="21"/>
      <c r="AK7225" s="21"/>
      <c r="AL7225" s="21"/>
      <c r="AM7225" s="21" t="s">
        <v>2645</v>
      </c>
      <c r="AN7225" s="21">
        <v>-122.442386233333</v>
      </c>
      <c r="AO7225" s="21">
        <v>37.791565516666601</v>
      </c>
      <c r="AP7225" s="21" t="s">
        <v>1915</v>
      </c>
    </row>
    <row r="7226" spans="1:42">
      <c r="A7226" s="20">
        <v>43845</v>
      </c>
      <c r="B7226" s="21">
        <v>3</v>
      </c>
      <c r="C7226" s="21">
        <v>985</v>
      </c>
      <c r="D7226" s="21">
        <v>14358</v>
      </c>
      <c r="E7226" s="21" t="s">
        <v>2123</v>
      </c>
      <c r="F7226" s="21" t="s">
        <v>520</v>
      </c>
      <c r="G7226" s="21">
        <v>1</v>
      </c>
      <c r="H7226" s="21">
        <v>66</v>
      </c>
      <c r="I7226" s="23" t="s">
        <v>2646</v>
      </c>
      <c r="J7226" s="21"/>
      <c r="K7226" s="21" t="s">
        <v>2240</v>
      </c>
      <c r="L7226" s="21"/>
      <c r="M7226" s="21"/>
      <c r="N7226" s="21" t="s">
        <v>44</v>
      </c>
      <c r="O7226" s="21">
        <f>60+60+60+32</f>
        <v>212</v>
      </c>
      <c r="P7226" s="21"/>
      <c r="Q7226" s="21">
        <f t="shared" si="131"/>
        <v>3</v>
      </c>
      <c r="R7226" s="21">
        <v>1</v>
      </c>
      <c r="S7226" s="21">
        <v>0</v>
      </c>
      <c r="T7226" s="21">
        <v>0</v>
      </c>
      <c r="U7226" s="21">
        <v>0</v>
      </c>
      <c r="V7226" s="21">
        <v>0</v>
      </c>
      <c r="W7226" s="21">
        <v>3</v>
      </c>
      <c r="X7226" s="21">
        <v>0</v>
      </c>
      <c r="Y7226" s="21">
        <v>0</v>
      </c>
      <c r="Z7226" s="21">
        <v>0</v>
      </c>
      <c r="AA7226" s="21">
        <v>0</v>
      </c>
      <c r="AB7226" s="21">
        <v>0</v>
      </c>
      <c r="AC7226" s="21">
        <v>0</v>
      </c>
      <c r="AD7226" s="21">
        <v>0</v>
      </c>
      <c r="AE7226" s="21">
        <v>0</v>
      </c>
      <c r="AF7226" s="21">
        <v>0</v>
      </c>
      <c r="AG7226" s="21">
        <v>0</v>
      </c>
      <c r="AH7226" s="21">
        <f t="shared" si="132"/>
        <v>288</v>
      </c>
      <c r="AI7226" s="21"/>
      <c r="AJ7226" s="21"/>
      <c r="AK7226" s="21"/>
      <c r="AL7226" s="21"/>
      <c r="AM7226" s="21" t="s">
        <v>2647</v>
      </c>
      <c r="AN7226" s="21">
        <v>-122.44229426666701</v>
      </c>
      <c r="AO7226" s="21">
        <v>37.791574933333301</v>
      </c>
      <c r="AP7226" s="21" t="s">
        <v>1915</v>
      </c>
    </row>
    <row r="7227" spans="1:42">
      <c r="A7227" s="20">
        <v>43845</v>
      </c>
      <c r="B7227" s="21">
        <v>3</v>
      </c>
      <c r="C7227" s="21">
        <v>985</v>
      </c>
      <c r="D7227" s="21">
        <v>14358</v>
      </c>
      <c r="E7227" s="21" t="s">
        <v>2123</v>
      </c>
      <c r="F7227" s="21" t="s">
        <v>520</v>
      </c>
      <c r="G7227" s="21">
        <v>1</v>
      </c>
      <c r="H7227" s="21">
        <v>67</v>
      </c>
      <c r="I7227" s="23" t="s">
        <v>2648</v>
      </c>
      <c r="J7227" s="21"/>
      <c r="K7227" s="21" t="s">
        <v>647</v>
      </c>
      <c r="L7227" s="21"/>
      <c r="M7227" s="21"/>
      <c r="N7227" s="21" t="s">
        <v>44</v>
      </c>
      <c r="O7227" s="21">
        <f>60+60+60+60+54</f>
        <v>294</v>
      </c>
      <c r="P7227" s="21"/>
      <c r="Q7227" s="21">
        <f t="shared" si="131"/>
        <v>4</v>
      </c>
      <c r="R7227" s="21">
        <v>1</v>
      </c>
      <c r="S7227" s="21">
        <v>0</v>
      </c>
      <c r="T7227" s="21">
        <v>0</v>
      </c>
      <c r="U7227" s="21">
        <v>0</v>
      </c>
      <c r="V7227" s="21">
        <v>0</v>
      </c>
      <c r="W7227" s="21">
        <v>4</v>
      </c>
      <c r="X7227" s="21">
        <v>0</v>
      </c>
      <c r="Y7227" s="21">
        <v>0</v>
      </c>
      <c r="Z7227" s="21">
        <v>0</v>
      </c>
      <c r="AA7227" s="21">
        <v>0</v>
      </c>
      <c r="AB7227" s="21">
        <v>0</v>
      </c>
      <c r="AC7227" s="21">
        <v>0</v>
      </c>
      <c r="AD7227" s="21">
        <v>0</v>
      </c>
      <c r="AE7227" s="21">
        <v>0</v>
      </c>
      <c r="AF7227" s="21">
        <v>0</v>
      </c>
      <c r="AG7227" s="21">
        <v>0</v>
      </c>
      <c r="AH7227" s="21">
        <f t="shared" si="132"/>
        <v>384</v>
      </c>
      <c r="AI7227" s="21"/>
      <c r="AJ7227" s="21"/>
      <c r="AK7227" s="21"/>
      <c r="AL7227" s="21" t="s">
        <v>2649</v>
      </c>
      <c r="AM7227" s="21" t="s">
        <v>2650</v>
      </c>
      <c r="AN7227" s="21">
        <v>-122.442114183333</v>
      </c>
      <c r="AO7227" s="21">
        <v>37.791518833333299</v>
      </c>
      <c r="AP7227" s="21" t="s">
        <v>1915</v>
      </c>
    </row>
    <row r="7228" spans="1:42">
      <c r="A7228" s="20">
        <v>43845</v>
      </c>
      <c r="B7228" s="21">
        <v>3</v>
      </c>
      <c r="C7228" s="21">
        <v>985</v>
      </c>
      <c r="D7228" s="21">
        <v>14358</v>
      </c>
      <c r="E7228" s="21" t="s">
        <v>2123</v>
      </c>
      <c r="F7228" s="21" t="s">
        <v>520</v>
      </c>
      <c r="G7228" s="21">
        <v>1</v>
      </c>
      <c r="H7228" s="21">
        <v>68</v>
      </c>
      <c r="I7228" s="23" t="s">
        <v>2494</v>
      </c>
      <c r="J7228" s="21"/>
      <c r="K7228" s="21" t="s">
        <v>647</v>
      </c>
      <c r="L7228" s="21"/>
      <c r="M7228" s="21"/>
      <c r="N7228" s="21" t="s">
        <v>44</v>
      </c>
      <c r="O7228" s="21">
        <f>60+60+45</f>
        <v>165</v>
      </c>
      <c r="P7228" s="21"/>
      <c r="Q7228" s="21">
        <f t="shared" si="131"/>
        <v>1</v>
      </c>
      <c r="R7228" s="21">
        <v>1</v>
      </c>
      <c r="S7228" s="21">
        <v>0</v>
      </c>
      <c r="T7228" s="21">
        <v>0</v>
      </c>
      <c r="U7228" s="21">
        <v>0</v>
      </c>
      <c r="V7228" s="21">
        <v>0</v>
      </c>
      <c r="W7228" s="21">
        <v>1</v>
      </c>
      <c r="X7228" s="21">
        <v>0</v>
      </c>
      <c r="Y7228" s="21">
        <v>0</v>
      </c>
      <c r="Z7228" s="21">
        <v>0</v>
      </c>
      <c r="AA7228" s="21">
        <v>0</v>
      </c>
      <c r="AB7228" s="21">
        <v>0</v>
      </c>
      <c r="AC7228" s="21">
        <v>0</v>
      </c>
      <c r="AD7228" s="21">
        <v>0</v>
      </c>
      <c r="AE7228" s="21">
        <v>0</v>
      </c>
      <c r="AF7228" s="21">
        <v>0</v>
      </c>
      <c r="AG7228" s="21">
        <v>0</v>
      </c>
      <c r="AH7228" s="21">
        <f t="shared" si="132"/>
        <v>96</v>
      </c>
      <c r="AI7228" s="21"/>
      <c r="AJ7228" s="21"/>
      <c r="AK7228" s="21"/>
      <c r="AL7228" s="21" t="s">
        <v>2651</v>
      </c>
      <c r="AM7228" s="21" t="s">
        <v>2652</v>
      </c>
      <c r="AN7228" s="21">
        <v>-122.441963883333</v>
      </c>
      <c r="AO7228" s="21">
        <v>37.791550000000001</v>
      </c>
      <c r="AP7228" s="21" t="s">
        <v>1915</v>
      </c>
    </row>
    <row r="7229" spans="1:42">
      <c r="A7229" s="20">
        <v>43845</v>
      </c>
      <c r="B7229" s="21">
        <v>3</v>
      </c>
      <c r="C7229" s="21">
        <v>985</v>
      </c>
      <c r="D7229" s="21">
        <v>14358</v>
      </c>
      <c r="E7229" s="21" t="s">
        <v>2123</v>
      </c>
      <c r="F7229" s="21" t="s">
        <v>520</v>
      </c>
      <c r="G7229" s="21">
        <v>1</v>
      </c>
      <c r="H7229" s="21">
        <v>69</v>
      </c>
      <c r="I7229" s="23" t="s">
        <v>2576</v>
      </c>
      <c r="J7229" s="21"/>
      <c r="K7229" s="21"/>
      <c r="L7229" s="21"/>
      <c r="M7229" s="21"/>
      <c r="N7229" s="21" t="s">
        <v>40</v>
      </c>
      <c r="O7229" s="21">
        <v>57</v>
      </c>
      <c r="P7229" s="21"/>
      <c r="Q7229" s="21">
        <f t="shared" si="131"/>
        <v>1</v>
      </c>
      <c r="R7229" s="21">
        <v>1</v>
      </c>
      <c r="S7229" s="21">
        <v>0</v>
      </c>
      <c r="T7229" s="21">
        <v>0</v>
      </c>
      <c r="U7229" s="21">
        <v>0</v>
      </c>
      <c r="V7229" s="21">
        <v>1</v>
      </c>
      <c r="W7229" s="21">
        <v>0</v>
      </c>
      <c r="X7229" s="21">
        <v>0</v>
      </c>
      <c r="Y7229" s="21">
        <v>0</v>
      </c>
      <c r="Z7229" s="21">
        <v>0</v>
      </c>
      <c r="AA7229" s="21">
        <v>0</v>
      </c>
      <c r="AB7229" s="21">
        <v>0</v>
      </c>
      <c r="AC7229" s="21">
        <v>0</v>
      </c>
      <c r="AD7229" s="21">
        <v>0</v>
      </c>
      <c r="AE7229" s="21">
        <v>0</v>
      </c>
      <c r="AF7229" s="21">
        <v>0</v>
      </c>
      <c r="AG7229" s="21">
        <v>0</v>
      </c>
      <c r="AH7229" s="21">
        <f t="shared" si="132"/>
        <v>64</v>
      </c>
      <c r="AI7229" s="21"/>
      <c r="AJ7229" s="21"/>
      <c r="AK7229" s="21"/>
      <c r="AL7229" s="21"/>
      <c r="AM7229" s="21" t="s">
        <v>2653</v>
      </c>
      <c r="AN7229" s="21">
        <v>-122.441642266667</v>
      </c>
      <c r="AO7229" s="21">
        <v>37.791597833333299</v>
      </c>
      <c r="AP7229" s="21" t="s">
        <v>1915</v>
      </c>
    </row>
    <row r="7230" spans="1:42">
      <c r="A7230" s="20">
        <v>43845</v>
      </c>
      <c r="B7230" s="21">
        <v>3</v>
      </c>
      <c r="C7230" s="21">
        <v>985</v>
      </c>
      <c r="D7230" s="21">
        <v>14358</v>
      </c>
      <c r="E7230" s="21" t="s">
        <v>2123</v>
      </c>
      <c r="F7230" s="21" t="s">
        <v>520</v>
      </c>
      <c r="G7230" s="21">
        <v>1</v>
      </c>
      <c r="H7230" s="21">
        <v>70</v>
      </c>
      <c r="I7230" s="23" t="s">
        <v>2654</v>
      </c>
      <c r="J7230" s="21"/>
      <c r="K7230" s="21" t="s">
        <v>256</v>
      </c>
      <c r="L7230" s="21"/>
      <c r="M7230" s="21"/>
      <c r="N7230" s="21" t="s">
        <v>44</v>
      </c>
      <c r="O7230" s="21">
        <f>60+60+43</f>
        <v>163</v>
      </c>
      <c r="P7230" s="21"/>
      <c r="Q7230" s="21">
        <f t="shared" si="131"/>
        <v>2</v>
      </c>
      <c r="R7230" s="21">
        <v>1</v>
      </c>
      <c r="S7230" s="21">
        <v>0</v>
      </c>
      <c r="T7230" s="21">
        <v>0</v>
      </c>
      <c r="U7230" s="21">
        <v>0</v>
      </c>
      <c r="V7230" s="21">
        <v>0</v>
      </c>
      <c r="W7230" s="21">
        <v>2</v>
      </c>
      <c r="X7230" s="21">
        <v>0</v>
      </c>
      <c r="Y7230" s="21">
        <v>0</v>
      </c>
      <c r="Z7230" s="21">
        <v>0</v>
      </c>
      <c r="AA7230" s="21">
        <v>0</v>
      </c>
      <c r="AB7230" s="21">
        <v>0</v>
      </c>
      <c r="AC7230" s="21">
        <v>0</v>
      </c>
      <c r="AD7230" s="21">
        <v>0</v>
      </c>
      <c r="AE7230" s="21">
        <v>0</v>
      </c>
      <c r="AF7230" s="21">
        <v>0</v>
      </c>
      <c r="AG7230" s="21">
        <v>0</v>
      </c>
      <c r="AH7230" s="21">
        <f t="shared" si="132"/>
        <v>192</v>
      </c>
      <c r="AI7230" s="21"/>
      <c r="AJ7230" s="21"/>
      <c r="AK7230" s="21"/>
      <c r="AL7230" s="21" t="s">
        <v>2146</v>
      </c>
      <c r="AM7230" s="21" t="s">
        <v>2655</v>
      </c>
      <c r="AN7230" s="21">
        <v>-122.44114878333301</v>
      </c>
      <c r="AO7230" s="21">
        <v>37.791315066666598</v>
      </c>
      <c r="AP7230" s="21" t="s">
        <v>1915</v>
      </c>
    </row>
    <row r="7231" spans="1:42">
      <c r="A7231" s="20">
        <v>43845</v>
      </c>
      <c r="B7231" s="21">
        <v>3</v>
      </c>
      <c r="C7231" s="21">
        <v>985</v>
      </c>
      <c r="D7231" s="21">
        <v>14358</v>
      </c>
      <c r="E7231" s="21" t="s">
        <v>2123</v>
      </c>
      <c r="F7231" s="21" t="s">
        <v>520</v>
      </c>
      <c r="G7231" s="21">
        <v>1</v>
      </c>
      <c r="H7231" s="21">
        <v>71</v>
      </c>
      <c r="I7231" s="23" t="s">
        <v>2656</v>
      </c>
      <c r="J7231" s="21"/>
      <c r="K7231" s="21" t="s">
        <v>2581</v>
      </c>
      <c r="L7231" s="21"/>
      <c r="M7231" s="21"/>
      <c r="N7231" s="21" t="s">
        <v>44</v>
      </c>
      <c r="O7231" s="21">
        <f>60+60+60+17</f>
        <v>197</v>
      </c>
      <c r="P7231" s="21"/>
      <c r="Q7231" s="21">
        <f t="shared" si="131"/>
        <v>2</v>
      </c>
      <c r="R7231" s="21">
        <v>1</v>
      </c>
      <c r="S7231" s="21">
        <v>0</v>
      </c>
      <c r="T7231" s="21">
        <v>0</v>
      </c>
      <c r="U7231" s="21">
        <v>0</v>
      </c>
      <c r="V7231" s="21">
        <v>0</v>
      </c>
      <c r="W7231" s="21">
        <v>2</v>
      </c>
      <c r="X7231" s="21">
        <v>0</v>
      </c>
      <c r="Y7231" s="21">
        <v>0</v>
      </c>
      <c r="Z7231" s="21">
        <v>0</v>
      </c>
      <c r="AA7231" s="21">
        <v>0</v>
      </c>
      <c r="AB7231" s="21">
        <v>0</v>
      </c>
      <c r="AC7231" s="21">
        <v>0</v>
      </c>
      <c r="AD7231" s="21">
        <v>0</v>
      </c>
      <c r="AE7231" s="21">
        <v>0</v>
      </c>
      <c r="AF7231" s="21">
        <v>0</v>
      </c>
      <c r="AG7231" s="21">
        <v>0</v>
      </c>
      <c r="AH7231" s="21">
        <f t="shared" si="132"/>
        <v>192</v>
      </c>
      <c r="AI7231" s="21"/>
      <c r="AJ7231" s="21"/>
      <c r="AK7231" s="21"/>
      <c r="AL7231" s="21" t="s">
        <v>2657</v>
      </c>
      <c r="AM7231" s="21" t="s">
        <v>2658</v>
      </c>
      <c r="AN7231" s="21">
        <v>-122.4410815</v>
      </c>
      <c r="AO7231" s="21">
        <v>37.791109833333302</v>
      </c>
      <c r="AP7231" s="21" t="s">
        <v>1915</v>
      </c>
    </row>
    <row r="7232" spans="1:42">
      <c r="A7232" s="20">
        <v>43845</v>
      </c>
      <c r="B7232" s="21">
        <v>3</v>
      </c>
      <c r="C7232" s="21">
        <v>985</v>
      </c>
      <c r="D7232" s="21">
        <v>14358</v>
      </c>
      <c r="E7232" s="21" t="s">
        <v>2123</v>
      </c>
      <c r="F7232" s="21" t="s">
        <v>520</v>
      </c>
      <c r="G7232" s="21">
        <v>1</v>
      </c>
      <c r="H7232" s="21">
        <v>72</v>
      </c>
      <c r="I7232" s="23" t="s">
        <v>2659</v>
      </c>
      <c r="J7232" s="21"/>
      <c r="K7232" s="21" t="s">
        <v>1000</v>
      </c>
      <c r="L7232" s="21"/>
      <c r="M7232" s="21"/>
      <c r="N7232" s="21" t="s">
        <v>44</v>
      </c>
      <c r="O7232" s="21">
        <f>60+60+60+60+6</f>
        <v>246</v>
      </c>
      <c r="P7232" s="21"/>
      <c r="Q7232" s="21">
        <f t="shared" ref="Q7232:Q7295" si="133">SUM(S7232:AE7232)</f>
        <v>2</v>
      </c>
      <c r="R7232" s="21">
        <v>1</v>
      </c>
      <c r="S7232" s="21">
        <v>0</v>
      </c>
      <c r="T7232" s="21">
        <v>0</v>
      </c>
      <c r="U7232" s="21">
        <v>1</v>
      </c>
      <c r="V7232" s="21">
        <v>0</v>
      </c>
      <c r="W7232" s="21">
        <v>1</v>
      </c>
      <c r="X7232" s="21">
        <v>0</v>
      </c>
      <c r="Y7232" s="21">
        <v>0</v>
      </c>
      <c r="Z7232" s="21">
        <v>0</v>
      </c>
      <c r="AA7232" s="21">
        <v>0</v>
      </c>
      <c r="AB7232" s="21">
        <v>0</v>
      </c>
      <c r="AC7232" s="21">
        <v>0</v>
      </c>
      <c r="AD7232" s="21">
        <v>0</v>
      </c>
      <c r="AE7232" s="21">
        <v>0</v>
      </c>
      <c r="AF7232" s="21">
        <v>1</v>
      </c>
      <c r="AG7232" s="21">
        <v>0</v>
      </c>
      <c r="AH7232" s="21">
        <f t="shared" ref="AH7232:AH7295" si="134">(S7232*16)+(T7232*20)+(U7232*32)+(V7232*64)+(W7232*96)</f>
        <v>128</v>
      </c>
      <c r="AI7232" s="21"/>
      <c r="AJ7232" s="21"/>
      <c r="AK7232" s="21"/>
      <c r="AL7232" s="21" t="s">
        <v>2060</v>
      </c>
      <c r="AM7232" s="21" t="s">
        <v>2660</v>
      </c>
      <c r="AN7232" s="21">
        <v>-122.441283266667</v>
      </c>
      <c r="AO7232" s="21">
        <v>37.790836816666598</v>
      </c>
      <c r="AP7232" s="21" t="s">
        <v>1915</v>
      </c>
    </row>
    <row r="7233" spans="1:42">
      <c r="A7233" s="20">
        <v>43845</v>
      </c>
      <c r="B7233" s="21">
        <v>3</v>
      </c>
      <c r="C7233" s="21">
        <v>985</v>
      </c>
      <c r="D7233" s="21">
        <v>14358</v>
      </c>
      <c r="E7233" s="21" t="s">
        <v>2123</v>
      </c>
      <c r="F7233" s="21" t="s">
        <v>520</v>
      </c>
      <c r="G7233" s="21">
        <v>1</v>
      </c>
      <c r="H7233" s="21">
        <v>73</v>
      </c>
      <c r="I7233" s="23" t="s">
        <v>2148</v>
      </c>
      <c r="J7233" s="21"/>
      <c r="K7233" s="21"/>
      <c r="L7233" s="21"/>
      <c r="M7233" s="21"/>
      <c r="N7233" s="21" t="s">
        <v>40</v>
      </c>
      <c r="O7233" s="21">
        <v>55</v>
      </c>
      <c r="P7233" s="21"/>
      <c r="Q7233" s="21">
        <f t="shared" si="133"/>
        <v>3</v>
      </c>
      <c r="R7233" s="21">
        <v>1</v>
      </c>
      <c r="S7233" s="21">
        <v>0</v>
      </c>
      <c r="T7233" s="21">
        <v>0</v>
      </c>
      <c r="U7233" s="21">
        <v>0</v>
      </c>
      <c r="V7233" s="21">
        <v>1</v>
      </c>
      <c r="W7233" s="21">
        <v>2</v>
      </c>
      <c r="X7233" s="21">
        <v>0</v>
      </c>
      <c r="Y7233" s="21">
        <v>0</v>
      </c>
      <c r="Z7233" s="21">
        <v>0</v>
      </c>
      <c r="AA7233" s="21">
        <v>0</v>
      </c>
      <c r="AB7233" s="21">
        <v>0</v>
      </c>
      <c r="AC7233" s="21">
        <v>0</v>
      </c>
      <c r="AD7233" s="21">
        <v>0</v>
      </c>
      <c r="AE7233" s="21">
        <v>0</v>
      </c>
      <c r="AF7233" s="21">
        <v>1</v>
      </c>
      <c r="AG7233" s="21">
        <v>0</v>
      </c>
      <c r="AH7233" s="21">
        <f t="shared" si="134"/>
        <v>256</v>
      </c>
      <c r="AI7233" s="21"/>
      <c r="AJ7233" s="21"/>
      <c r="AK7233" s="21"/>
      <c r="AL7233" s="21"/>
      <c r="AM7233" s="21" t="s">
        <v>2661</v>
      </c>
      <c r="AN7233" s="21">
        <v>-122.442464816667</v>
      </c>
      <c r="AO7233" s="21">
        <v>37.790527083333302</v>
      </c>
      <c r="AP7233" s="21" t="s">
        <v>1915</v>
      </c>
    </row>
    <row r="7234" spans="1:42">
      <c r="A7234" s="20">
        <v>43845</v>
      </c>
      <c r="B7234" s="21">
        <v>3</v>
      </c>
      <c r="C7234" s="21">
        <v>985</v>
      </c>
      <c r="D7234" s="21">
        <v>14358</v>
      </c>
      <c r="E7234" s="21" t="s">
        <v>2123</v>
      </c>
      <c r="F7234" s="21" t="s">
        <v>520</v>
      </c>
      <c r="G7234" s="21">
        <v>1</v>
      </c>
      <c r="H7234" s="21">
        <v>74</v>
      </c>
      <c r="I7234" s="23" t="s">
        <v>2148</v>
      </c>
      <c r="J7234" s="21"/>
      <c r="K7234" s="21"/>
      <c r="L7234" s="21"/>
      <c r="M7234" s="21"/>
      <c r="N7234" s="21" t="s">
        <v>40</v>
      </c>
      <c r="O7234" s="21">
        <v>42</v>
      </c>
      <c r="P7234" s="21"/>
      <c r="Q7234" s="21">
        <f t="shared" si="133"/>
        <v>2</v>
      </c>
      <c r="R7234" s="21">
        <v>1</v>
      </c>
      <c r="S7234" s="21">
        <v>0</v>
      </c>
      <c r="T7234" s="21">
        <v>0</v>
      </c>
      <c r="U7234" s="21">
        <v>0</v>
      </c>
      <c r="V7234" s="21">
        <v>2</v>
      </c>
      <c r="W7234" s="21">
        <v>0</v>
      </c>
      <c r="X7234" s="21">
        <v>0</v>
      </c>
      <c r="Y7234" s="21">
        <v>0</v>
      </c>
      <c r="Z7234" s="21">
        <v>0</v>
      </c>
      <c r="AA7234" s="21">
        <v>0</v>
      </c>
      <c r="AB7234" s="21">
        <v>0</v>
      </c>
      <c r="AC7234" s="21">
        <v>0</v>
      </c>
      <c r="AD7234" s="21">
        <v>0</v>
      </c>
      <c r="AE7234" s="21">
        <v>0</v>
      </c>
      <c r="AF7234" s="21">
        <v>0</v>
      </c>
      <c r="AG7234" s="21">
        <v>0</v>
      </c>
      <c r="AH7234" s="21">
        <f t="shared" si="134"/>
        <v>128</v>
      </c>
      <c r="AI7234" s="21"/>
      <c r="AJ7234" s="21"/>
      <c r="AK7234" s="21"/>
      <c r="AL7234" s="21"/>
      <c r="AM7234" s="21" t="s">
        <v>2662</v>
      </c>
      <c r="AN7234" s="21">
        <v>-122.44265045</v>
      </c>
      <c r="AO7234" s="21">
        <v>37.790774166666601</v>
      </c>
      <c r="AP7234" s="21" t="s">
        <v>1915</v>
      </c>
    </row>
    <row r="7235" spans="1:42">
      <c r="A7235" s="20">
        <v>43845</v>
      </c>
      <c r="B7235" s="21">
        <v>3</v>
      </c>
      <c r="C7235" s="21">
        <v>985</v>
      </c>
      <c r="D7235" s="21">
        <v>14358</v>
      </c>
      <c r="E7235" s="21" t="s">
        <v>2123</v>
      </c>
      <c r="F7235" s="21" t="s">
        <v>520</v>
      </c>
      <c r="G7235" s="21">
        <v>1</v>
      </c>
      <c r="H7235" s="21">
        <v>75</v>
      </c>
      <c r="I7235" s="23" t="s">
        <v>2148</v>
      </c>
      <c r="J7235" s="21"/>
      <c r="K7235" s="21"/>
      <c r="L7235" s="21"/>
      <c r="M7235" s="21"/>
      <c r="N7235" s="21" t="s">
        <v>40</v>
      </c>
      <c r="O7235" s="21">
        <v>26</v>
      </c>
      <c r="P7235" s="21"/>
      <c r="Q7235" s="21">
        <f t="shared" si="133"/>
        <v>1</v>
      </c>
      <c r="R7235" s="21">
        <v>1</v>
      </c>
      <c r="S7235" s="21">
        <v>0</v>
      </c>
      <c r="T7235" s="21">
        <v>0</v>
      </c>
      <c r="U7235" s="21">
        <v>1</v>
      </c>
      <c r="V7235" s="21">
        <v>0</v>
      </c>
      <c r="W7235" s="21">
        <v>0</v>
      </c>
      <c r="X7235" s="21">
        <v>0</v>
      </c>
      <c r="Y7235" s="21">
        <v>0</v>
      </c>
      <c r="Z7235" s="21">
        <v>0</v>
      </c>
      <c r="AA7235" s="21">
        <v>0</v>
      </c>
      <c r="AB7235" s="21">
        <v>0</v>
      </c>
      <c r="AC7235" s="21">
        <v>0</v>
      </c>
      <c r="AD7235" s="21">
        <v>0</v>
      </c>
      <c r="AE7235" s="21">
        <v>0</v>
      </c>
      <c r="AF7235" s="21">
        <v>0</v>
      </c>
      <c r="AG7235" s="21">
        <v>0</v>
      </c>
      <c r="AH7235" s="21">
        <f t="shared" si="134"/>
        <v>32</v>
      </c>
      <c r="AI7235" s="21"/>
      <c r="AJ7235" s="21"/>
      <c r="AK7235" s="21"/>
      <c r="AL7235" s="21"/>
      <c r="AM7235" s="21" t="s">
        <v>2663</v>
      </c>
      <c r="AN7235" s="21">
        <v>-122.44262506666701</v>
      </c>
      <c r="AO7235" s="21">
        <v>37.790844866666603</v>
      </c>
      <c r="AP7235" s="21" t="s">
        <v>1915</v>
      </c>
    </row>
    <row r="7236" spans="1:42">
      <c r="A7236" s="20">
        <v>43845</v>
      </c>
      <c r="B7236" s="21">
        <v>3</v>
      </c>
      <c r="C7236" s="21">
        <v>985</v>
      </c>
      <c r="D7236" s="21">
        <v>14358</v>
      </c>
      <c r="E7236" s="21" t="s">
        <v>2123</v>
      </c>
      <c r="F7236" s="21" t="s">
        <v>520</v>
      </c>
      <c r="G7236" s="21">
        <v>1</v>
      </c>
      <c r="H7236" s="21">
        <v>76</v>
      </c>
      <c r="I7236" s="23" t="s">
        <v>2148</v>
      </c>
      <c r="J7236" s="21"/>
      <c r="K7236" s="21"/>
      <c r="L7236" s="21"/>
      <c r="M7236" s="21"/>
      <c r="N7236" s="21" t="s">
        <v>40</v>
      </c>
      <c r="O7236" s="21">
        <v>29</v>
      </c>
      <c r="P7236" s="21"/>
      <c r="Q7236" s="21">
        <f t="shared" si="133"/>
        <v>1</v>
      </c>
      <c r="R7236" s="21">
        <v>1</v>
      </c>
      <c r="S7236" s="21">
        <v>0</v>
      </c>
      <c r="T7236" s="21">
        <v>0</v>
      </c>
      <c r="U7236" s="21">
        <v>0</v>
      </c>
      <c r="V7236" s="21">
        <v>0</v>
      </c>
      <c r="W7236" s="21">
        <v>1</v>
      </c>
      <c r="X7236" s="21">
        <v>0</v>
      </c>
      <c r="Y7236" s="21">
        <v>0</v>
      </c>
      <c r="Z7236" s="21">
        <v>0</v>
      </c>
      <c r="AA7236" s="21">
        <v>0</v>
      </c>
      <c r="AB7236" s="21">
        <v>0</v>
      </c>
      <c r="AC7236" s="21">
        <v>0</v>
      </c>
      <c r="AD7236" s="21">
        <v>0</v>
      </c>
      <c r="AE7236" s="21">
        <v>0</v>
      </c>
      <c r="AF7236" s="21">
        <v>1</v>
      </c>
      <c r="AG7236" s="21">
        <v>0</v>
      </c>
      <c r="AH7236" s="21">
        <f t="shared" si="134"/>
        <v>96</v>
      </c>
      <c r="AI7236" s="21"/>
      <c r="AJ7236" s="21"/>
      <c r="AK7236" s="21"/>
      <c r="AL7236" s="21"/>
      <c r="AM7236" s="21" t="s">
        <v>2664</v>
      </c>
      <c r="AN7236" s="21">
        <v>-122.442662216667</v>
      </c>
      <c r="AO7236" s="21">
        <v>37.790895783333298</v>
      </c>
      <c r="AP7236" s="21" t="s">
        <v>1915</v>
      </c>
    </row>
    <row r="7237" spans="1:42">
      <c r="A7237" s="20">
        <v>43845</v>
      </c>
      <c r="B7237" s="21">
        <v>3</v>
      </c>
      <c r="C7237" s="21">
        <v>985</v>
      </c>
      <c r="D7237" s="21">
        <v>14358</v>
      </c>
      <c r="E7237" s="21" t="s">
        <v>2123</v>
      </c>
      <c r="F7237" s="21" t="s">
        <v>520</v>
      </c>
      <c r="G7237" s="21">
        <v>1</v>
      </c>
      <c r="H7237" s="21">
        <v>77</v>
      </c>
      <c r="I7237" s="23" t="s">
        <v>2148</v>
      </c>
      <c r="J7237" s="21"/>
      <c r="K7237" s="21"/>
      <c r="L7237" s="21"/>
      <c r="M7237" s="21"/>
      <c r="N7237" s="21" t="s">
        <v>40</v>
      </c>
      <c r="O7237" s="21">
        <v>47</v>
      </c>
      <c r="P7237" s="21"/>
      <c r="Q7237" s="21">
        <f t="shared" si="133"/>
        <v>2</v>
      </c>
      <c r="R7237" s="21">
        <v>1</v>
      </c>
      <c r="S7237" s="21">
        <v>0</v>
      </c>
      <c r="T7237" s="21">
        <v>0</v>
      </c>
      <c r="U7237" s="21">
        <v>0</v>
      </c>
      <c r="V7237" s="21">
        <v>1</v>
      </c>
      <c r="W7237" s="21">
        <v>1</v>
      </c>
      <c r="X7237" s="21">
        <v>0</v>
      </c>
      <c r="Y7237" s="21">
        <v>0</v>
      </c>
      <c r="Z7237" s="21">
        <v>0</v>
      </c>
      <c r="AA7237" s="21">
        <v>0</v>
      </c>
      <c r="AB7237" s="21">
        <v>0</v>
      </c>
      <c r="AC7237" s="21">
        <v>0</v>
      </c>
      <c r="AD7237" s="21">
        <v>0</v>
      </c>
      <c r="AE7237" s="21">
        <v>0</v>
      </c>
      <c r="AF7237" s="21">
        <v>0</v>
      </c>
      <c r="AG7237" s="21">
        <v>0</v>
      </c>
      <c r="AH7237" s="21">
        <f t="shared" si="134"/>
        <v>160</v>
      </c>
      <c r="AI7237" s="21"/>
      <c r="AJ7237" s="21"/>
      <c r="AK7237" s="21"/>
      <c r="AL7237" s="21"/>
      <c r="AM7237" s="21" t="s">
        <v>2665</v>
      </c>
      <c r="AN7237" s="21">
        <v>-122.442740816667</v>
      </c>
      <c r="AO7237" s="21">
        <v>37.790994116666702</v>
      </c>
      <c r="AP7237" s="21" t="s">
        <v>1915</v>
      </c>
    </row>
    <row r="7238" spans="1:42">
      <c r="A7238" s="20">
        <v>43845</v>
      </c>
      <c r="B7238" s="21">
        <v>3</v>
      </c>
      <c r="C7238" s="21">
        <v>985</v>
      </c>
      <c r="D7238" s="21">
        <v>14358</v>
      </c>
      <c r="E7238" s="21" t="s">
        <v>2123</v>
      </c>
      <c r="F7238" s="21" t="s">
        <v>520</v>
      </c>
      <c r="G7238" s="21">
        <v>1</v>
      </c>
      <c r="H7238" s="21">
        <v>78</v>
      </c>
      <c r="I7238" s="23" t="s">
        <v>2666</v>
      </c>
      <c r="J7238" s="21"/>
      <c r="K7238" s="21" t="s">
        <v>647</v>
      </c>
      <c r="L7238" s="21"/>
      <c r="M7238" s="21"/>
      <c r="N7238" s="21" t="s">
        <v>44</v>
      </c>
      <c r="O7238" s="21">
        <f>60+17</f>
        <v>77</v>
      </c>
      <c r="P7238" s="21"/>
      <c r="Q7238" s="21">
        <f t="shared" si="133"/>
        <v>1</v>
      </c>
      <c r="R7238" s="21">
        <v>1</v>
      </c>
      <c r="S7238" s="21">
        <v>0</v>
      </c>
      <c r="T7238" s="21">
        <v>0</v>
      </c>
      <c r="U7238" s="21">
        <v>0</v>
      </c>
      <c r="V7238" s="21">
        <v>0</v>
      </c>
      <c r="W7238" s="21">
        <v>1</v>
      </c>
      <c r="X7238" s="21">
        <v>0</v>
      </c>
      <c r="Y7238" s="21">
        <v>0</v>
      </c>
      <c r="Z7238" s="21">
        <v>0</v>
      </c>
      <c r="AA7238" s="21">
        <v>0</v>
      </c>
      <c r="AB7238" s="21">
        <v>0</v>
      </c>
      <c r="AC7238" s="21">
        <v>0</v>
      </c>
      <c r="AD7238" s="21">
        <v>0</v>
      </c>
      <c r="AE7238" s="21">
        <v>0</v>
      </c>
      <c r="AF7238" s="21">
        <v>0</v>
      </c>
      <c r="AG7238" s="21">
        <v>0</v>
      </c>
      <c r="AH7238" s="21">
        <f t="shared" si="134"/>
        <v>96</v>
      </c>
      <c r="AI7238" s="21"/>
      <c r="AJ7238" s="21"/>
      <c r="AK7238" s="21"/>
      <c r="AL7238" s="21"/>
      <c r="AM7238" s="21" t="s">
        <v>2667</v>
      </c>
      <c r="AN7238" s="21">
        <v>-122.442665816667</v>
      </c>
      <c r="AO7238" s="21">
        <v>37.791309116666703</v>
      </c>
      <c r="AP7238" s="21" t="s">
        <v>1915</v>
      </c>
    </row>
    <row r="7239" spans="1:42">
      <c r="A7239" s="20">
        <v>43845</v>
      </c>
      <c r="B7239" s="21">
        <v>3</v>
      </c>
      <c r="C7239" s="21">
        <v>985</v>
      </c>
      <c r="D7239" s="21">
        <v>14358</v>
      </c>
      <c r="E7239" s="21" t="s">
        <v>2123</v>
      </c>
      <c r="F7239" s="21" t="s">
        <v>520</v>
      </c>
      <c r="G7239" s="21">
        <v>1</v>
      </c>
      <c r="H7239" s="21">
        <v>79</v>
      </c>
      <c r="I7239" s="23" t="s">
        <v>2500</v>
      </c>
      <c r="J7239" s="21"/>
      <c r="K7239" s="21" t="s">
        <v>647</v>
      </c>
      <c r="L7239" s="21"/>
      <c r="M7239" s="21"/>
      <c r="N7239" s="21" t="s">
        <v>44</v>
      </c>
      <c r="O7239" s="21">
        <f>60+46</f>
        <v>106</v>
      </c>
      <c r="P7239" s="21"/>
      <c r="Q7239" s="21">
        <f t="shared" si="133"/>
        <v>1</v>
      </c>
      <c r="R7239" s="21">
        <v>1</v>
      </c>
      <c r="S7239" s="21">
        <v>0</v>
      </c>
      <c r="T7239" s="21">
        <v>0</v>
      </c>
      <c r="U7239" s="21">
        <v>0</v>
      </c>
      <c r="V7239" s="21">
        <v>0</v>
      </c>
      <c r="W7239" s="21">
        <v>1</v>
      </c>
      <c r="X7239" s="21">
        <v>0</v>
      </c>
      <c r="Y7239" s="21">
        <v>0</v>
      </c>
      <c r="Z7239" s="21">
        <v>0</v>
      </c>
      <c r="AA7239" s="21">
        <v>0</v>
      </c>
      <c r="AB7239" s="21">
        <v>0</v>
      </c>
      <c r="AC7239" s="21">
        <v>0</v>
      </c>
      <c r="AD7239" s="21">
        <v>0</v>
      </c>
      <c r="AE7239" s="21">
        <v>0</v>
      </c>
      <c r="AF7239" s="21">
        <v>0</v>
      </c>
      <c r="AG7239" s="21">
        <v>0</v>
      </c>
      <c r="AH7239" s="21">
        <f t="shared" si="134"/>
        <v>96</v>
      </c>
      <c r="AI7239" s="21"/>
      <c r="AJ7239" s="21"/>
      <c r="AK7239" s="21"/>
      <c r="AL7239" s="21"/>
      <c r="AM7239" s="21" t="s">
        <v>2668</v>
      </c>
      <c r="AN7239" s="21">
        <v>-122.44069861666701</v>
      </c>
      <c r="AO7239" s="21">
        <v>37.791722483333302</v>
      </c>
      <c r="AP7239" s="21" t="s">
        <v>1915</v>
      </c>
    </row>
    <row r="7240" spans="1:42">
      <c r="A7240" s="20">
        <v>43845</v>
      </c>
      <c r="B7240" s="21">
        <v>3</v>
      </c>
      <c r="C7240" s="21">
        <v>985</v>
      </c>
      <c r="D7240" s="21">
        <v>14358</v>
      </c>
      <c r="E7240" s="21" t="s">
        <v>2123</v>
      </c>
      <c r="F7240" s="21" t="s">
        <v>520</v>
      </c>
      <c r="G7240" s="21">
        <v>1</v>
      </c>
      <c r="H7240" s="21">
        <v>80</v>
      </c>
      <c r="I7240" s="23" t="s">
        <v>2515</v>
      </c>
      <c r="J7240" s="21" t="s">
        <v>2044</v>
      </c>
      <c r="K7240" s="21" t="s">
        <v>647</v>
      </c>
      <c r="L7240" s="21"/>
      <c r="M7240" s="21"/>
      <c r="N7240" s="21" t="s">
        <v>44</v>
      </c>
      <c r="O7240" s="21">
        <f>60+60+60</f>
        <v>180</v>
      </c>
      <c r="P7240" s="21"/>
      <c r="Q7240" s="21">
        <f t="shared" si="133"/>
        <v>2</v>
      </c>
      <c r="R7240" s="21">
        <v>1</v>
      </c>
      <c r="S7240" s="21">
        <v>0</v>
      </c>
      <c r="T7240" s="21">
        <v>0</v>
      </c>
      <c r="U7240" s="21">
        <v>1</v>
      </c>
      <c r="V7240" s="21">
        <v>0</v>
      </c>
      <c r="W7240" s="21">
        <v>1</v>
      </c>
      <c r="X7240" s="21">
        <v>0</v>
      </c>
      <c r="Y7240" s="21">
        <v>0</v>
      </c>
      <c r="Z7240" s="21">
        <v>0</v>
      </c>
      <c r="AA7240" s="21">
        <v>0</v>
      </c>
      <c r="AB7240" s="21">
        <v>0</v>
      </c>
      <c r="AC7240" s="21">
        <v>0</v>
      </c>
      <c r="AD7240" s="21">
        <v>0</v>
      </c>
      <c r="AE7240" s="21">
        <v>0</v>
      </c>
      <c r="AF7240" s="21">
        <v>0</v>
      </c>
      <c r="AG7240" s="21">
        <v>0</v>
      </c>
      <c r="AH7240" s="21">
        <f t="shared" si="134"/>
        <v>128</v>
      </c>
      <c r="AI7240" s="21"/>
      <c r="AJ7240" s="21"/>
      <c r="AK7240" s="21"/>
      <c r="AL7240" s="21"/>
      <c r="AM7240" s="21" t="s">
        <v>2669</v>
      </c>
      <c r="AN7240" s="21">
        <v>-122.440496466667</v>
      </c>
      <c r="AO7240" s="21">
        <v>37.791655183333297</v>
      </c>
      <c r="AP7240" s="21" t="s">
        <v>1915</v>
      </c>
    </row>
    <row r="7241" spans="1:42">
      <c r="A7241" s="20">
        <v>43845</v>
      </c>
      <c r="B7241" s="21">
        <v>3</v>
      </c>
      <c r="C7241" s="21">
        <v>985</v>
      </c>
      <c r="D7241" s="21">
        <v>14358</v>
      </c>
      <c r="E7241" s="21" t="s">
        <v>2123</v>
      </c>
      <c r="F7241" s="21" t="s">
        <v>520</v>
      </c>
      <c r="G7241" s="21">
        <v>1</v>
      </c>
      <c r="H7241" s="21">
        <v>81</v>
      </c>
      <c r="I7241" s="23" t="s">
        <v>2670</v>
      </c>
      <c r="J7241" s="21"/>
      <c r="K7241" s="21" t="s">
        <v>647</v>
      </c>
      <c r="L7241" s="21"/>
      <c r="M7241" s="21"/>
      <c r="N7241" s="21"/>
      <c r="O7241" s="21">
        <f>60+60+11</f>
        <v>131</v>
      </c>
      <c r="P7241" s="21"/>
      <c r="Q7241" s="21">
        <f t="shared" si="133"/>
        <v>2</v>
      </c>
      <c r="R7241" s="21">
        <v>1</v>
      </c>
      <c r="S7241" s="21">
        <v>0</v>
      </c>
      <c r="T7241" s="21">
        <v>0</v>
      </c>
      <c r="U7241" s="21">
        <v>0</v>
      </c>
      <c r="V7241" s="21">
        <v>2</v>
      </c>
      <c r="W7241" s="21">
        <v>0</v>
      </c>
      <c r="X7241" s="21">
        <v>0</v>
      </c>
      <c r="Y7241" s="21">
        <v>0</v>
      </c>
      <c r="Z7241" s="21">
        <v>0</v>
      </c>
      <c r="AA7241" s="21">
        <v>0</v>
      </c>
      <c r="AB7241" s="21">
        <v>0</v>
      </c>
      <c r="AC7241" s="21">
        <v>0</v>
      </c>
      <c r="AD7241" s="21">
        <v>0</v>
      </c>
      <c r="AE7241" s="21">
        <v>0</v>
      </c>
      <c r="AF7241" s="21">
        <v>0</v>
      </c>
      <c r="AG7241" s="21">
        <v>0</v>
      </c>
      <c r="AH7241" s="21">
        <f t="shared" si="134"/>
        <v>128</v>
      </c>
      <c r="AI7241" s="21"/>
      <c r="AJ7241" s="21"/>
      <c r="AK7241" s="21"/>
      <c r="AL7241" s="21" t="s">
        <v>587</v>
      </c>
      <c r="AM7241" s="21" t="s">
        <v>2671</v>
      </c>
      <c r="AN7241" s="21">
        <v>-122.440346166667</v>
      </c>
      <c r="AO7241" s="21">
        <v>37.791695416666599</v>
      </c>
      <c r="AP7241" s="21" t="s">
        <v>1915</v>
      </c>
    </row>
    <row r="7242" spans="1:42">
      <c r="A7242" s="20">
        <v>43845</v>
      </c>
      <c r="B7242" s="21">
        <v>3</v>
      </c>
      <c r="C7242" s="21">
        <v>985</v>
      </c>
      <c r="D7242" s="21">
        <v>14358</v>
      </c>
      <c r="E7242" s="21" t="s">
        <v>2123</v>
      </c>
      <c r="F7242" s="21" t="s">
        <v>520</v>
      </c>
      <c r="G7242" s="21">
        <v>1</v>
      </c>
      <c r="H7242" s="21">
        <v>82</v>
      </c>
      <c r="I7242" s="23">
        <v>2700</v>
      </c>
      <c r="J7242" s="21"/>
      <c r="K7242" s="21" t="s">
        <v>647</v>
      </c>
      <c r="L7242" s="21"/>
      <c r="M7242" s="21"/>
      <c r="N7242" s="21"/>
      <c r="O7242" s="21">
        <f>60+26</f>
        <v>86</v>
      </c>
      <c r="P7242" s="21"/>
      <c r="Q7242" s="21">
        <f t="shared" si="133"/>
        <v>2</v>
      </c>
      <c r="R7242" s="21">
        <v>1</v>
      </c>
      <c r="S7242" s="21">
        <v>0</v>
      </c>
      <c r="T7242" s="21">
        <v>0</v>
      </c>
      <c r="U7242" s="21">
        <v>0</v>
      </c>
      <c r="V7242" s="21">
        <v>0</v>
      </c>
      <c r="W7242" s="21">
        <v>2</v>
      </c>
      <c r="X7242" s="21">
        <v>0</v>
      </c>
      <c r="Y7242" s="21">
        <v>0</v>
      </c>
      <c r="Z7242" s="21">
        <v>0</v>
      </c>
      <c r="AA7242" s="21">
        <v>0</v>
      </c>
      <c r="AB7242" s="21">
        <v>0</v>
      </c>
      <c r="AC7242" s="21">
        <v>0</v>
      </c>
      <c r="AD7242" s="21">
        <v>0</v>
      </c>
      <c r="AE7242" s="21">
        <v>0</v>
      </c>
      <c r="AF7242" s="21">
        <v>0</v>
      </c>
      <c r="AG7242" s="21">
        <v>0</v>
      </c>
      <c r="AH7242" s="21">
        <f t="shared" si="134"/>
        <v>192</v>
      </c>
      <c r="AI7242" s="21"/>
      <c r="AJ7242" s="21"/>
      <c r="AK7242" s="21"/>
      <c r="AL7242" s="21" t="s">
        <v>2060</v>
      </c>
      <c r="AM7242" s="21" t="s">
        <v>2672</v>
      </c>
      <c r="AN7242" s="21">
        <v>-122.440155366667</v>
      </c>
      <c r="AO7242" s="21">
        <v>37.791739249999999</v>
      </c>
      <c r="AP7242" s="21" t="s">
        <v>1915</v>
      </c>
    </row>
    <row r="7243" spans="1:42">
      <c r="A7243" s="20">
        <v>43845</v>
      </c>
      <c r="B7243" s="21">
        <v>3</v>
      </c>
      <c r="C7243" s="21">
        <v>985</v>
      </c>
      <c r="D7243" s="21">
        <v>14358</v>
      </c>
      <c r="E7243" s="21" t="s">
        <v>2123</v>
      </c>
      <c r="F7243" s="21" t="s">
        <v>520</v>
      </c>
      <c r="G7243" s="21">
        <v>1</v>
      </c>
      <c r="H7243" s="21">
        <v>83</v>
      </c>
      <c r="I7243" s="23" t="s">
        <v>2673</v>
      </c>
      <c r="J7243" s="21"/>
      <c r="K7243" s="21" t="s">
        <v>647</v>
      </c>
      <c r="L7243" s="21"/>
      <c r="M7243" s="21"/>
      <c r="N7243" s="21" t="s">
        <v>44</v>
      </c>
      <c r="O7243" s="21">
        <v>40</v>
      </c>
      <c r="P7243" s="21"/>
      <c r="Q7243" s="21">
        <f t="shared" si="133"/>
        <v>1</v>
      </c>
      <c r="R7243" s="21">
        <v>1</v>
      </c>
      <c r="S7243" s="21">
        <v>0</v>
      </c>
      <c r="T7243" s="21">
        <v>0</v>
      </c>
      <c r="U7243" s="21">
        <v>0</v>
      </c>
      <c r="V7243" s="21">
        <v>1</v>
      </c>
      <c r="W7243" s="21">
        <v>0</v>
      </c>
      <c r="X7243" s="21">
        <v>0</v>
      </c>
      <c r="Y7243" s="21">
        <v>0</v>
      </c>
      <c r="Z7243" s="21">
        <v>0</v>
      </c>
      <c r="AA7243" s="21">
        <v>0</v>
      </c>
      <c r="AB7243" s="21">
        <v>0</v>
      </c>
      <c r="AC7243" s="21">
        <v>0</v>
      </c>
      <c r="AD7243" s="21">
        <v>0</v>
      </c>
      <c r="AE7243" s="21">
        <v>0</v>
      </c>
      <c r="AF7243" s="21">
        <v>0</v>
      </c>
      <c r="AG7243" s="21">
        <v>0</v>
      </c>
      <c r="AH7243" s="21">
        <f t="shared" si="134"/>
        <v>64</v>
      </c>
      <c r="AI7243" s="21"/>
      <c r="AJ7243" s="21"/>
      <c r="AK7243" s="21"/>
      <c r="AL7243" s="21"/>
      <c r="AM7243" s="21" t="s">
        <v>2674</v>
      </c>
      <c r="AN7243" s="21">
        <v>-122.439889216667</v>
      </c>
      <c r="AO7243" s="21">
        <v>37.791777816666702</v>
      </c>
      <c r="AP7243" s="21" t="s">
        <v>1915</v>
      </c>
    </row>
    <row r="7244" spans="1:42">
      <c r="A7244" s="20">
        <v>43845</v>
      </c>
      <c r="B7244" s="21">
        <v>3</v>
      </c>
      <c r="C7244" s="21">
        <v>985</v>
      </c>
      <c r="D7244" s="21">
        <v>14358</v>
      </c>
      <c r="E7244" s="21" t="s">
        <v>2123</v>
      </c>
      <c r="F7244" s="21" t="s">
        <v>520</v>
      </c>
      <c r="G7244" s="21">
        <v>1</v>
      </c>
      <c r="H7244" s="21">
        <v>84</v>
      </c>
      <c r="I7244" s="23" t="s">
        <v>2291</v>
      </c>
      <c r="J7244" s="21"/>
      <c r="K7244" s="21" t="s">
        <v>1000</v>
      </c>
      <c r="L7244" s="21"/>
      <c r="M7244" s="21"/>
      <c r="N7244" s="21" t="s">
        <v>40</v>
      </c>
      <c r="O7244" s="21">
        <f>60+41</f>
        <v>101</v>
      </c>
      <c r="P7244" s="21"/>
      <c r="Q7244" s="21">
        <f t="shared" si="133"/>
        <v>2</v>
      </c>
      <c r="R7244" s="21">
        <v>1</v>
      </c>
      <c r="S7244" s="21">
        <v>0</v>
      </c>
      <c r="T7244" s="21">
        <v>0</v>
      </c>
      <c r="U7244" s="21">
        <v>0</v>
      </c>
      <c r="V7244" s="21">
        <v>0</v>
      </c>
      <c r="W7244" s="21">
        <v>2</v>
      </c>
      <c r="X7244" s="21">
        <v>0</v>
      </c>
      <c r="Y7244" s="21">
        <v>0</v>
      </c>
      <c r="Z7244" s="21">
        <v>0</v>
      </c>
      <c r="AA7244" s="21">
        <v>0</v>
      </c>
      <c r="AB7244" s="21">
        <v>0</v>
      </c>
      <c r="AC7244" s="21">
        <v>0</v>
      </c>
      <c r="AD7244" s="21">
        <v>0</v>
      </c>
      <c r="AE7244" s="21">
        <v>0</v>
      </c>
      <c r="AF7244" s="21">
        <v>0</v>
      </c>
      <c r="AG7244" s="21">
        <v>0</v>
      </c>
      <c r="AH7244" s="21">
        <f t="shared" si="134"/>
        <v>192</v>
      </c>
      <c r="AI7244" s="21"/>
      <c r="AJ7244" s="21"/>
      <c r="AK7244" s="21"/>
      <c r="AL7244" s="21"/>
      <c r="AM7244" s="21" t="s">
        <v>2675</v>
      </c>
      <c r="AN7244" s="21">
        <v>-122.44402165</v>
      </c>
      <c r="AO7244" s="21">
        <v>37.790419516666603</v>
      </c>
      <c r="AP7244" s="21" t="s">
        <v>1915</v>
      </c>
    </row>
    <row r="7245" spans="1:42">
      <c r="A7245" s="20">
        <v>43845</v>
      </c>
      <c r="B7245" s="21">
        <v>3</v>
      </c>
      <c r="C7245" s="21">
        <v>985</v>
      </c>
      <c r="D7245" s="21">
        <v>14358</v>
      </c>
      <c r="E7245" s="21" t="s">
        <v>2123</v>
      </c>
      <c r="F7245" s="21" t="s">
        <v>520</v>
      </c>
      <c r="G7245" s="21">
        <v>1</v>
      </c>
      <c r="H7245" s="21">
        <v>85</v>
      </c>
      <c r="I7245" s="23">
        <v>3000</v>
      </c>
      <c r="J7245" s="21"/>
      <c r="K7245" s="21" t="s">
        <v>1000</v>
      </c>
      <c r="L7245" s="21"/>
      <c r="M7245" s="21"/>
      <c r="N7245" s="21" t="s">
        <v>40</v>
      </c>
      <c r="O7245" s="21">
        <f>60+17</f>
        <v>77</v>
      </c>
      <c r="P7245" s="21"/>
      <c r="Q7245" s="21">
        <f t="shared" si="133"/>
        <v>2</v>
      </c>
      <c r="R7245" s="21">
        <v>1</v>
      </c>
      <c r="S7245" s="21">
        <v>0</v>
      </c>
      <c r="T7245" s="21">
        <v>0</v>
      </c>
      <c r="U7245" s="21">
        <v>1</v>
      </c>
      <c r="V7245" s="21">
        <v>0</v>
      </c>
      <c r="W7245" s="21">
        <v>1</v>
      </c>
      <c r="X7245" s="21">
        <v>0</v>
      </c>
      <c r="Y7245" s="21">
        <v>0</v>
      </c>
      <c r="Z7245" s="21">
        <v>0</v>
      </c>
      <c r="AA7245" s="21">
        <v>0</v>
      </c>
      <c r="AB7245" s="21">
        <v>0</v>
      </c>
      <c r="AC7245" s="21">
        <v>0</v>
      </c>
      <c r="AD7245" s="21">
        <v>0</v>
      </c>
      <c r="AE7245" s="21">
        <v>0</v>
      </c>
      <c r="AF7245" s="21">
        <v>0</v>
      </c>
      <c r="AG7245" s="21">
        <v>0</v>
      </c>
      <c r="AH7245" s="21">
        <f t="shared" si="134"/>
        <v>128</v>
      </c>
      <c r="AI7245" s="21"/>
      <c r="AJ7245" s="21"/>
      <c r="AK7245" s="21"/>
      <c r="AL7245" s="21"/>
      <c r="AM7245" s="21" t="s">
        <v>2676</v>
      </c>
      <c r="AN7245" s="21">
        <v>-122.44380321666701</v>
      </c>
      <c r="AO7245" s="21">
        <v>37.790387266666698</v>
      </c>
      <c r="AP7245" s="21" t="s">
        <v>1915</v>
      </c>
    </row>
    <row r="7246" spans="1:42">
      <c r="A7246" s="20">
        <v>43845</v>
      </c>
      <c r="B7246" s="21">
        <v>3</v>
      </c>
      <c r="C7246" s="21">
        <v>985</v>
      </c>
      <c r="D7246" s="21">
        <v>14358</v>
      </c>
      <c r="E7246" s="21" t="s">
        <v>2123</v>
      </c>
      <c r="F7246" s="21" t="s">
        <v>520</v>
      </c>
      <c r="G7246" s="21">
        <v>1</v>
      </c>
      <c r="H7246" s="21">
        <v>86</v>
      </c>
      <c r="I7246" s="23" t="s">
        <v>2677</v>
      </c>
      <c r="J7246" s="21"/>
      <c r="K7246" s="21" t="s">
        <v>1000</v>
      </c>
      <c r="L7246" s="21"/>
      <c r="M7246" s="21"/>
      <c r="N7246" s="21" t="s">
        <v>44</v>
      </c>
      <c r="O7246" s="21">
        <f>60+60+60+57</f>
        <v>237</v>
      </c>
      <c r="P7246" s="21"/>
      <c r="Q7246" s="21">
        <f t="shared" si="133"/>
        <v>3</v>
      </c>
      <c r="R7246" s="21">
        <v>1</v>
      </c>
      <c r="S7246" s="21">
        <v>0</v>
      </c>
      <c r="T7246" s="21">
        <v>0</v>
      </c>
      <c r="U7246" s="21">
        <v>0</v>
      </c>
      <c r="V7246" s="21">
        <v>3</v>
      </c>
      <c r="W7246" s="21">
        <v>0</v>
      </c>
      <c r="X7246" s="21">
        <v>0</v>
      </c>
      <c r="Y7246" s="21">
        <v>0</v>
      </c>
      <c r="Z7246" s="21">
        <v>0</v>
      </c>
      <c r="AA7246" s="21">
        <v>0</v>
      </c>
      <c r="AB7246" s="21">
        <v>0</v>
      </c>
      <c r="AC7246" s="21">
        <v>0</v>
      </c>
      <c r="AD7246" s="21">
        <v>0</v>
      </c>
      <c r="AE7246" s="21">
        <v>0</v>
      </c>
      <c r="AF7246" s="21">
        <v>0</v>
      </c>
      <c r="AG7246" s="21">
        <v>0</v>
      </c>
      <c r="AH7246" s="21">
        <f t="shared" si="134"/>
        <v>192</v>
      </c>
      <c r="AI7246" s="21"/>
      <c r="AJ7246" s="21"/>
      <c r="AK7246" s="21"/>
      <c r="AL7246" s="21" t="s">
        <v>2678</v>
      </c>
      <c r="AM7246" s="21" t="s">
        <v>2679</v>
      </c>
      <c r="AN7246" s="21">
        <v>-122.4436717</v>
      </c>
      <c r="AO7246" s="21">
        <v>37.790414866666701</v>
      </c>
      <c r="AP7246" s="21" t="s">
        <v>1915</v>
      </c>
    </row>
    <row r="7247" spans="1:42">
      <c r="A7247" s="20">
        <v>43845</v>
      </c>
      <c r="B7247" s="21">
        <v>3</v>
      </c>
      <c r="C7247" s="21">
        <v>985</v>
      </c>
      <c r="D7247" s="21">
        <v>14358</v>
      </c>
      <c r="E7247" s="21" t="s">
        <v>2123</v>
      </c>
      <c r="F7247" s="21" t="s">
        <v>520</v>
      </c>
      <c r="G7247" s="21">
        <v>1</v>
      </c>
      <c r="H7247" s="21">
        <v>87</v>
      </c>
      <c r="I7247" s="23" t="s">
        <v>2639</v>
      </c>
      <c r="J7247" s="21"/>
      <c r="K7247" s="21" t="s">
        <v>1000</v>
      </c>
      <c r="L7247" s="21"/>
      <c r="M7247" s="21"/>
      <c r="N7247" s="21" t="s">
        <v>40</v>
      </c>
      <c r="O7247" s="21">
        <v>51</v>
      </c>
      <c r="P7247" s="21"/>
      <c r="Q7247" s="21">
        <f t="shared" si="133"/>
        <v>2</v>
      </c>
      <c r="R7247" s="21">
        <v>1</v>
      </c>
      <c r="S7247" s="21">
        <v>0</v>
      </c>
      <c r="T7247" s="21">
        <v>0</v>
      </c>
      <c r="U7247" s="21">
        <v>1</v>
      </c>
      <c r="V7247" s="21">
        <v>1</v>
      </c>
      <c r="W7247" s="21">
        <v>0</v>
      </c>
      <c r="X7247" s="21">
        <v>0</v>
      </c>
      <c r="Y7247" s="21">
        <v>0</v>
      </c>
      <c r="Z7247" s="21">
        <v>0</v>
      </c>
      <c r="AA7247" s="21">
        <v>0</v>
      </c>
      <c r="AB7247" s="21">
        <v>0</v>
      </c>
      <c r="AC7247" s="21">
        <v>0</v>
      </c>
      <c r="AD7247" s="21">
        <v>0</v>
      </c>
      <c r="AE7247" s="21">
        <v>0</v>
      </c>
      <c r="AF7247" s="21">
        <v>0</v>
      </c>
      <c r="AG7247" s="21">
        <v>0</v>
      </c>
      <c r="AH7247" s="21">
        <f t="shared" si="134"/>
        <v>96</v>
      </c>
      <c r="AI7247" s="21"/>
      <c r="AJ7247" s="21"/>
      <c r="AK7247" s="21"/>
      <c r="AL7247" s="21"/>
      <c r="AM7247" s="21" t="s">
        <v>2680</v>
      </c>
      <c r="AN7247" s="21">
        <v>-122.443267066667</v>
      </c>
      <c r="AO7247" s="21">
        <v>37.790431366666702</v>
      </c>
      <c r="AP7247" s="21" t="s">
        <v>1915</v>
      </c>
    </row>
    <row r="7248" spans="1:42">
      <c r="A7248" s="20">
        <v>43845</v>
      </c>
      <c r="B7248" s="21">
        <v>3</v>
      </c>
      <c r="C7248" s="21">
        <v>985</v>
      </c>
      <c r="D7248" s="21">
        <v>14358</v>
      </c>
      <c r="E7248" s="21" t="s">
        <v>2123</v>
      </c>
      <c r="F7248" s="21" t="s">
        <v>520</v>
      </c>
      <c r="G7248" s="21">
        <v>1</v>
      </c>
      <c r="H7248" s="21">
        <v>88</v>
      </c>
      <c r="I7248" s="23" t="s">
        <v>2148</v>
      </c>
      <c r="J7248" s="21"/>
      <c r="K7248" s="21" t="s">
        <v>1000</v>
      </c>
      <c r="L7248" s="21"/>
      <c r="M7248" s="21"/>
      <c r="N7248" s="21" t="s">
        <v>40</v>
      </c>
      <c r="O7248" s="21">
        <v>34</v>
      </c>
      <c r="P7248" s="21"/>
      <c r="Q7248" s="21">
        <f t="shared" si="133"/>
        <v>1</v>
      </c>
      <c r="R7248" s="21">
        <v>1</v>
      </c>
      <c r="S7248" s="21">
        <v>0</v>
      </c>
      <c r="T7248" s="21">
        <v>0</v>
      </c>
      <c r="U7248" s="21">
        <v>0</v>
      </c>
      <c r="V7248" s="21">
        <v>1</v>
      </c>
      <c r="W7248" s="21">
        <v>0</v>
      </c>
      <c r="X7248" s="21">
        <v>0</v>
      </c>
      <c r="Y7248" s="21">
        <v>0</v>
      </c>
      <c r="Z7248" s="21">
        <v>0</v>
      </c>
      <c r="AA7248" s="21">
        <v>0</v>
      </c>
      <c r="AB7248" s="21">
        <v>0</v>
      </c>
      <c r="AC7248" s="21">
        <v>0</v>
      </c>
      <c r="AD7248" s="21">
        <v>0</v>
      </c>
      <c r="AE7248" s="21">
        <v>0</v>
      </c>
      <c r="AF7248" s="21">
        <v>0</v>
      </c>
      <c r="AG7248" s="21">
        <v>0</v>
      </c>
      <c r="AH7248" s="21">
        <f t="shared" si="134"/>
        <v>64</v>
      </c>
      <c r="AI7248" s="21"/>
      <c r="AJ7248" s="21"/>
      <c r="AK7248" s="21"/>
      <c r="AL7248" s="21"/>
      <c r="AM7248" s="21" t="s">
        <v>2681</v>
      </c>
      <c r="AN7248" s="21">
        <v>-122.44321676666701</v>
      </c>
      <c r="AO7248" s="21">
        <v>37.790431366666702</v>
      </c>
      <c r="AP7248" s="21" t="s">
        <v>1915</v>
      </c>
    </row>
    <row r="7249" spans="1:42">
      <c r="A7249" s="20">
        <v>43845</v>
      </c>
      <c r="B7249" s="21">
        <v>3</v>
      </c>
      <c r="C7249" s="21">
        <v>985</v>
      </c>
      <c r="D7249" s="21">
        <v>14358</v>
      </c>
      <c r="E7249" s="21" t="s">
        <v>2123</v>
      </c>
      <c r="F7249" s="21" t="s">
        <v>520</v>
      </c>
      <c r="G7249" s="21">
        <v>1</v>
      </c>
      <c r="H7249" s="21">
        <v>89</v>
      </c>
      <c r="I7249" s="23" t="s">
        <v>2148</v>
      </c>
      <c r="J7249" s="21"/>
      <c r="K7249" s="21" t="s">
        <v>1000</v>
      </c>
      <c r="L7249" s="21"/>
      <c r="M7249" s="21"/>
      <c r="N7249" s="21" t="s">
        <v>40</v>
      </c>
      <c r="O7249" s="21">
        <v>32</v>
      </c>
      <c r="P7249" s="21"/>
      <c r="Q7249" s="21">
        <f t="shared" si="133"/>
        <v>1</v>
      </c>
      <c r="R7249" s="21">
        <v>1</v>
      </c>
      <c r="S7249" s="21">
        <v>0</v>
      </c>
      <c r="T7249" s="21">
        <v>0</v>
      </c>
      <c r="U7249" s="21">
        <v>0</v>
      </c>
      <c r="V7249" s="21">
        <v>0</v>
      </c>
      <c r="W7249" s="21">
        <v>1</v>
      </c>
      <c r="X7249" s="21">
        <v>0</v>
      </c>
      <c r="Y7249" s="21">
        <v>0</v>
      </c>
      <c r="Z7249" s="21">
        <v>0</v>
      </c>
      <c r="AA7249" s="21">
        <v>0</v>
      </c>
      <c r="AB7249" s="21">
        <v>0</v>
      </c>
      <c r="AC7249" s="21">
        <v>0</v>
      </c>
      <c r="AD7249" s="21">
        <v>0</v>
      </c>
      <c r="AE7249" s="21">
        <v>0</v>
      </c>
      <c r="AF7249" s="21">
        <v>0</v>
      </c>
      <c r="AG7249" s="21">
        <v>0</v>
      </c>
      <c r="AH7249" s="21">
        <f t="shared" si="134"/>
        <v>96</v>
      </c>
      <c r="AI7249" s="21"/>
      <c r="AJ7249" s="21"/>
      <c r="AK7249" s="21"/>
      <c r="AL7249" s="21"/>
      <c r="AM7249" s="21" t="s">
        <v>2682</v>
      </c>
      <c r="AN7249" s="21">
        <v>-122.442865433333</v>
      </c>
      <c r="AO7249" s="21">
        <v>37.790497733333297</v>
      </c>
      <c r="AP7249" s="21" t="s">
        <v>1915</v>
      </c>
    </row>
    <row r="7250" spans="1:42">
      <c r="A7250" s="20">
        <v>43845</v>
      </c>
      <c r="B7250" s="21">
        <v>3</v>
      </c>
      <c r="C7250" s="21">
        <v>985</v>
      </c>
      <c r="D7250" s="21">
        <v>14358</v>
      </c>
      <c r="E7250" s="21" t="s">
        <v>2123</v>
      </c>
      <c r="F7250" s="21" t="s">
        <v>520</v>
      </c>
      <c r="G7250" s="21">
        <v>1</v>
      </c>
      <c r="H7250" s="21">
        <v>90</v>
      </c>
      <c r="I7250" s="23" t="s">
        <v>2148</v>
      </c>
      <c r="J7250" s="21"/>
      <c r="K7250" s="21" t="s">
        <v>1000</v>
      </c>
      <c r="L7250" s="21"/>
      <c r="M7250" s="21"/>
      <c r="N7250" s="21" t="s">
        <v>40</v>
      </c>
      <c r="O7250" s="21">
        <v>35</v>
      </c>
      <c r="P7250" s="21"/>
      <c r="Q7250" s="21">
        <f t="shared" si="133"/>
        <v>1</v>
      </c>
      <c r="R7250" s="21">
        <v>1</v>
      </c>
      <c r="S7250" s="21">
        <v>0</v>
      </c>
      <c r="T7250" s="21">
        <v>0</v>
      </c>
      <c r="U7250" s="21">
        <v>1</v>
      </c>
      <c r="V7250" s="21">
        <v>0</v>
      </c>
      <c r="W7250" s="21">
        <v>0</v>
      </c>
      <c r="X7250" s="21">
        <v>0</v>
      </c>
      <c r="Y7250" s="21">
        <v>0</v>
      </c>
      <c r="Z7250" s="21">
        <v>0</v>
      </c>
      <c r="AA7250" s="21">
        <v>0</v>
      </c>
      <c r="AB7250" s="21">
        <v>0</v>
      </c>
      <c r="AC7250" s="21">
        <v>0</v>
      </c>
      <c r="AD7250" s="21">
        <v>0</v>
      </c>
      <c r="AE7250" s="21">
        <v>0</v>
      </c>
      <c r="AF7250" s="21">
        <v>0</v>
      </c>
      <c r="AG7250" s="21">
        <v>0</v>
      </c>
      <c r="AH7250" s="21">
        <f t="shared" si="134"/>
        <v>32</v>
      </c>
      <c r="AI7250" s="21"/>
      <c r="AJ7250" s="21"/>
      <c r="AK7250" s="21"/>
      <c r="AL7250" s="21"/>
      <c r="AM7250" s="21" t="s">
        <v>2683</v>
      </c>
      <c r="AN7250" s="21">
        <v>-122.44228194999999</v>
      </c>
      <c r="AO7250" s="21">
        <v>37.790597249999998</v>
      </c>
      <c r="AP7250" s="21" t="s">
        <v>1915</v>
      </c>
    </row>
    <row r="7251" spans="1:42">
      <c r="A7251" s="20">
        <v>43845</v>
      </c>
      <c r="B7251" s="21">
        <v>3</v>
      </c>
      <c r="C7251" s="21">
        <v>985</v>
      </c>
      <c r="D7251" s="21">
        <v>14358</v>
      </c>
      <c r="E7251" s="21" t="s">
        <v>2123</v>
      </c>
      <c r="F7251" s="21" t="s">
        <v>520</v>
      </c>
      <c r="G7251" s="21">
        <v>1</v>
      </c>
      <c r="H7251" s="21">
        <v>91</v>
      </c>
      <c r="I7251" s="23" t="s">
        <v>2239</v>
      </c>
      <c r="J7251" s="21"/>
      <c r="K7251" s="21" t="s">
        <v>1000</v>
      </c>
      <c r="L7251" s="21"/>
      <c r="M7251" s="21"/>
      <c r="N7251" s="21" t="s">
        <v>40</v>
      </c>
      <c r="O7251" s="21">
        <v>48</v>
      </c>
      <c r="P7251" s="21"/>
      <c r="Q7251" s="21">
        <f t="shared" si="133"/>
        <v>2</v>
      </c>
      <c r="R7251" s="21">
        <v>1</v>
      </c>
      <c r="S7251" s="21">
        <v>0</v>
      </c>
      <c r="T7251" s="21">
        <v>0</v>
      </c>
      <c r="U7251" s="21">
        <v>1</v>
      </c>
      <c r="V7251" s="21">
        <v>1</v>
      </c>
      <c r="W7251" s="21">
        <v>0</v>
      </c>
      <c r="X7251" s="21">
        <v>0</v>
      </c>
      <c r="Y7251" s="21">
        <v>0</v>
      </c>
      <c r="Z7251" s="21">
        <v>0</v>
      </c>
      <c r="AA7251" s="21">
        <v>0</v>
      </c>
      <c r="AB7251" s="21">
        <v>0</v>
      </c>
      <c r="AC7251" s="21">
        <v>0</v>
      </c>
      <c r="AD7251" s="21">
        <v>0</v>
      </c>
      <c r="AE7251" s="21">
        <v>0</v>
      </c>
      <c r="AF7251" s="21">
        <v>0</v>
      </c>
      <c r="AG7251" s="21">
        <v>0</v>
      </c>
      <c r="AH7251" s="21">
        <f t="shared" si="134"/>
        <v>96</v>
      </c>
      <c r="AI7251" s="21"/>
      <c r="AJ7251" s="21"/>
      <c r="AK7251" s="21"/>
      <c r="AL7251" s="21"/>
      <c r="AM7251" s="21" t="s">
        <v>2684</v>
      </c>
      <c r="AN7251" s="21">
        <v>-122.44210959999999</v>
      </c>
      <c r="AO7251" s="21">
        <v>37.790601299999999</v>
      </c>
      <c r="AP7251" s="21" t="s">
        <v>1915</v>
      </c>
    </row>
    <row r="7252" spans="1:42">
      <c r="A7252" s="20">
        <v>43845</v>
      </c>
      <c r="B7252" s="21">
        <v>3</v>
      </c>
      <c r="C7252" s="21">
        <v>985</v>
      </c>
      <c r="D7252" s="21">
        <v>14358</v>
      </c>
      <c r="E7252" s="21" t="s">
        <v>2123</v>
      </c>
      <c r="F7252" s="21" t="s">
        <v>520</v>
      </c>
      <c r="G7252" s="21">
        <v>1</v>
      </c>
      <c r="H7252" s="21">
        <v>92</v>
      </c>
      <c r="I7252" s="23" t="s">
        <v>2239</v>
      </c>
      <c r="J7252" s="21"/>
      <c r="K7252" s="21" t="s">
        <v>1000</v>
      </c>
      <c r="L7252" s="21"/>
      <c r="M7252" s="21"/>
      <c r="N7252" s="21" t="s">
        <v>40</v>
      </c>
      <c r="O7252" s="21">
        <f>60+18</f>
        <v>78</v>
      </c>
      <c r="P7252" s="21"/>
      <c r="Q7252" s="21">
        <f t="shared" si="133"/>
        <v>3</v>
      </c>
      <c r="R7252" s="21">
        <v>1</v>
      </c>
      <c r="S7252" s="21">
        <v>0</v>
      </c>
      <c r="T7252" s="21">
        <v>0</v>
      </c>
      <c r="U7252" s="21">
        <v>0</v>
      </c>
      <c r="V7252" s="21">
        <v>3</v>
      </c>
      <c r="W7252" s="21">
        <v>0</v>
      </c>
      <c r="X7252" s="21">
        <v>0</v>
      </c>
      <c r="Y7252" s="21">
        <v>0</v>
      </c>
      <c r="Z7252" s="21">
        <v>0</v>
      </c>
      <c r="AA7252" s="21">
        <v>0</v>
      </c>
      <c r="AB7252" s="21">
        <v>0</v>
      </c>
      <c r="AC7252" s="21">
        <v>0</v>
      </c>
      <c r="AD7252" s="21">
        <v>0</v>
      </c>
      <c r="AE7252" s="21">
        <v>0</v>
      </c>
      <c r="AF7252" s="21">
        <v>0</v>
      </c>
      <c r="AG7252" s="21">
        <v>0</v>
      </c>
      <c r="AH7252" s="21">
        <f t="shared" si="134"/>
        <v>192</v>
      </c>
      <c r="AI7252" s="21"/>
      <c r="AJ7252" s="21"/>
      <c r="AK7252" s="21"/>
      <c r="AL7252" s="21" t="s">
        <v>2685</v>
      </c>
      <c r="AM7252" s="21" t="s">
        <v>2686</v>
      </c>
      <c r="AN7252" s="21">
        <v>-122.441927333333</v>
      </c>
      <c r="AO7252" s="21">
        <v>37.790583816666697</v>
      </c>
      <c r="AP7252" s="21" t="s">
        <v>1915</v>
      </c>
    </row>
    <row r="7253" spans="1:42">
      <c r="A7253" s="20">
        <v>43845</v>
      </c>
      <c r="B7253" s="21">
        <v>3</v>
      </c>
      <c r="C7253" s="21">
        <v>985</v>
      </c>
      <c r="D7253" s="21">
        <v>14358</v>
      </c>
      <c r="E7253" s="21" t="s">
        <v>2123</v>
      </c>
      <c r="F7253" s="21" t="s">
        <v>520</v>
      </c>
      <c r="G7253" s="21">
        <v>1</v>
      </c>
      <c r="H7253" s="21">
        <v>93</v>
      </c>
      <c r="I7253" s="23" t="s">
        <v>2239</v>
      </c>
      <c r="J7253" s="21"/>
      <c r="K7253" s="21" t="s">
        <v>1000</v>
      </c>
      <c r="L7253" s="21"/>
      <c r="M7253" s="21"/>
      <c r="N7253" s="21" t="s">
        <v>40</v>
      </c>
      <c r="O7253" s="21">
        <v>31</v>
      </c>
      <c r="P7253" s="21"/>
      <c r="Q7253" s="21">
        <f t="shared" si="133"/>
        <v>1</v>
      </c>
      <c r="R7253" s="21">
        <v>1</v>
      </c>
      <c r="S7253" s="21">
        <v>0</v>
      </c>
      <c r="T7253" s="21">
        <v>0</v>
      </c>
      <c r="U7253" s="21">
        <v>0</v>
      </c>
      <c r="V7253" s="21">
        <v>1</v>
      </c>
      <c r="W7253" s="21">
        <v>0</v>
      </c>
      <c r="X7253" s="21">
        <v>0</v>
      </c>
      <c r="Y7253" s="21">
        <v>0</v>
      </c>
      <c r="Z7253" s="21">
        <v>0</v>
      </c>
      <c r="AA7253" s="21">
        <v>0</v>
      </c>
      <c r="AB7253" s="21">
        <v>0</v>
      </c>
      <c r="AC7253" s="21">
        <v>0</v>
      </c>
      <c r="AD7253" s="21">
        <v>0</v>
      </c>
      <c r="AE7253" s="21">
        <v>0</v>
      </c>
      <c r="AF7253" s="21">
        <v>0</v>
      </c>
      <c r="AG7253" s="21">
        <v>0</v>
      </c>
      <c r="AH7253" s="21">
        <f t="shared" si="134"/>
        <v>64</v>
      </c>
      <c r="AI7253" s="21"/>
      <c r="AJ7253" s="21"/>
      <c r="AK7253" s="21"/>
      <c r="AL7253" s="21"/>
      <c r="AM7253" s="21" t="s">
        <v>2687</v>
      </c>
      <c r="AN7253" s="21">
        <v>-122.441773933333</v>
      </c>
      <c r="AO7253" s="21">
        <v>37.790619316666699</v>
      </c>
      <c r="AP7253" s="21" t="s">
        <v>1915</v>
      </c>
    </row>
    <row r="7254" spans="1:42">
      <c r="A7254" s="20">
        <v>43845</v>
      </c>
      <c r="B7254" s="21">
        <v>3</v>
      </c>
      <c r="C7254" s="21">
        <v>985</v>
      </c>
      <c r="D7254" s="21">
        <v>14358</v>
      </c>
      <c r="E7254" s="21" t="s">
        <v>2123</v>
      </c>
      <c r="F7254" s="21" t="s">
        <v>520</v>
      </c>
      <c r="G7254" s="21">
        <v>1</v>
      </c>
      <c r="H7254" s="21">
        <v>94</v>
      </c>
      <c r="I7254" s="23" t="s">
        <v>2239</v>
      </c>
      <c r="J7254" s="21"/>
      <c r="K7254" s="21" t="s">
        <v>1000</v>
      </c>
      <c r="L7254" s="21"/>
      <c r="M7254" s="21"/>
      <c r="N7254" s="21" t="s">
        <v>40</v>
      </c>
      <c r="O7254" s="21">
        <v>46</v>
      </c>
      <c r="P7254" s="21"/>
      <c r="Q7254" s="21">
        <f t="shared" si="133"/>
        <v>2</v>
      </c>
      <c r="R7254" s="21">
        <v>1</v>
      </c>
      <c r="S7254" s="21">
        <v>0</v>
      </c>
      <c r="T7254" s="21">
        <v>0</v>
      </c>
      <c r="U7254" s="21">
        <v>1</v>
      </c>
      <c r="V7254" s="21">
        <v>0</v>
      </c>
      <c r="W7254" s="21">
        <v>1</v>
      </c>
      <c r="X7254" s="21">
        <v>0</v>
      </c>
      <c r="Y7254" s="21">
        <v>0</v>
      </c>
      <c r="Z7254" s="21">
        <v>0</v>
      </c>
      <c r="AA7254" s="21">
        <v>0</v>
      </c>
      <c r="AB7254" s="21">
        <v>0</v>
      </c>
      <c r="AC7254" s="21">
        <v>0</v>
      </c>
      <c r="AD7254" s="21">
        <v>0</v>
      </c>
      <c r="AE7254" s="21">
        <v>0</v>
      </c>
      <c r="AF7254" s="21">
        <v>0</v>
      </c>
      <c r="AG7254" s="21">
        <v>0</v>
      </c>
      <c r="AH7254" s="21">
        <f t="shared" si="134"/>
        <v>128</v>
      </c>
      <c r="AI7254" s="21"/>
      <c r="AJ7254" s="21"/>
      <c r="AK7254" s="21"/>
      <c r="AL7254" s="21"/>
      <c r="AM7254" s="21" t="s">
        <v>2688</v>
      </c>
      <c r="AN7254" s="21">
        <v>-122.44161296666699</v>
      </c>
      <c r="AO7254" s="21">
        <v>37.790597383333299</v>
      </c>
      <c r="AP7254" s="21" t="s">
        <v>1915</v>
      </c>
    </row>
    <row r="7255" spans="1:42">
      <c r="A7255" s="20">
        <v>43845</v>
      </c>
      <c r="B7255" s="21">
        <v>3</v>
      </c>
      <c r="C7255" s="21">
        <v>985</v>
      </c>
      <c r="D7255" s="21">
        <v>14358</v>
      </c>
      <c r="E7255" s="21" t="s">
        <v>2123</v>
      </c>
      <c r="F7255" s="21" t="s">
        <v>520</v>
      </c>
      <c r="G7255" s="21">
        <v>1</v>
      </c>
      <c r="H7255" s="21">
        <v>95</v>
      </c>
      <c r="I7255" s="23" t="s">
        <v>2576</v>
      </c>
      <c r="J7255" s="21"/>
      <c r="K7255" s="21" t="s">
        <v>1000</v>
      </c>
      <c r="L7255" s="21"/>
      <c r="M7255" s="21"/>
      <c r="N7255" s="21" t="s">
        <v>40</v>
      </c>
      <c r="O7255" s="21">
        <v>53</v>
      </c>
      <c r="P7255" s="21"/>
      <c r="Q7255" s="21">
        <f t="shared" si="133"/>
        <v>2</v>
      </c>
      <c r="R7255" s="21">
        <v>1</v>
      </c>
      <c r="S7255" s="21">
        <v>0</v>
      </c>
      <c r="T7255" s="21">
        <v>0</v>
      </c>
      <c r="U7255" s="21">
        <v>1</v>
      </c>
      <c r="V7255" s="21">
        <v>0</v>
      </c>
      <c r="W7255" s="21">
        <v>1</v>
      </c>
      <c r="X7255" s="21">
        <v>0</v>
      </c>
      <c r="Y7255" s="21">
        <v>0</v>
      </c>
      <c r="Z7255" s="21">
        <v>0</v>
      </c>
      <c r="AA7255" s="21">
        <v>0</v>
      </c>
      <c r="AB7255" s="21">
        <v>0</v>
      </c>
      <c r="AC7255" s="21">
        <v>0</v>
      </c>
      <c r="AD7255" s="21">
        <v>0</v>
      </c>
      <c r="AE7255" s="21">
        <v>0</v>
      </c>
      <c r="AF7255" s="21">
        <v>0</v>
      </c>
      <c r="AG7255" s="21">
        <v>0</v>
      </c>
      <c r="AH7255" s="21">
        <f t="shared" si="134"/>
        <v>128</v>
      </c>
      <c r="AI7255" s="21"/>
      <c r="AJ7255" s="21"/>
      <c r="AK7255" s="21"/>
      <c r="AL7255" s="21"/>
      <c r="AM7255" s="21" t="s">
        <v>2689</v>
      </c>
      <c r="AN7255" s="21">
        <v>-122.440271633333</v>
      </c>
      <c r="AO7255" s="21">
        <v>37.790812566666702</v>
      </c>
      <c r="AP7255" s="21" t="s">
        <v>1915</v>
      </c>
    </row>
    <row r="7256" spans="1:42">
      <c r="A7256" s="20">
        <v>43845</v>
      </c>
      <c r="B7256" s="21">
        <v>3</v>
      </c>
      <c r="C7256" s="21">
        <v>985</v>
      </c>
      <c r="D7256" s="21">
        <v>14358</v>
      </c>
      <c r="E7256" s="21" t="s">
        <v>2123</v>
      </c>
      <c r="F7256" s="21" t="s">
        <v>520</v>
      </c>
      <c r="G7256" s="21">
        <v>1</v>
      </c>
      <c r="H7256" s="21">
        <v>96</v>
      </c>
      <c r="I7256" s="23" t="s">
        <v>2576</v>
      </c>
      <c r="J7256" s="21"/>
      <c r="K7256" s="21" t="s">
        <v>1000</v>
      </c>
      <c r="L7256" s="21"/>
      <c r="M7256" s="21"/>
      <c r="N7256" s="21" t="s">
        <v>40</v>
      </c>
      <c r="O7256" s="21">
        <f>60+16</f>
        <v>76</v>
      </c>
      <c r="P7256" s="21"/>
      <c r="Q7256" s="21">
        <f t="shared" si="133"/>
        <v>2</v>
      </c>
      <c r="R7256" s="21">
        <v>1</v>
      </c>
      <c r="S7256" s="21">
        <v>0</v>
      </c>
      <c r="T7256" s="21">
        <v>0</v>
      </c>
      <c r="U7256" s="21">
        <v>0</v>
      </c>
      <c r="V7256" s="21">
        <v>2</v>
      </c>
      <c r="W7256" s="21">
        <v>0</v>
      </c>
      <c r="X7256" s="21">
        <v>0</v>
      </c>
      <c r="Y7256" s="21">
        <v>0</v>
      </c>
      <c r="Z7256" s="21">
        <v>0</v>
      </c>
      <c r="AA7256" s="21">
        <v>0</v>
      </c>
      <c r="AB7256" s="21">
        <v>0</v>
      </c>
      <c r="AC7256" s="21">
        <v>0</v>
      </c>
      <c r="AD7256" s="21">
        <v>0</v>
      </c>
      <c r="AE7256" s="21">
        <v>0</v>
      </c>
      <c r="AF7256" s="21">
        <v>0</v>
      </c>
      <c r="AG7256" s="21">
        <v>0</v>
      </c>
      <c r="AH7256" s="21">
        <f t="shared" si="134"/>
        <v>128</v>
      </c>
      <c r="AI7256" s="21"/>
      <c r="AJ7256" s="21"/>
      <c r="AK7256" s="21"/>
      <c r="AL7256" s="21"/>
      <c r="AM7256" s="21" t="s">
        <v>2690</v>
      </c>
      <c r="AN7256" s="21">
        <v>-122.440065233333</v>
      </c>
      <c r="AO7256" s="21">
        <v>37.790819366666597</v>
      </c>
      <c r="AP7256" s="21" t="s">
        <v>1915</v>
      </c>
    </row>
    <row r="7257" spans="1:42">
      <c r="A7257" s="20">
        <v>43845</v>
      </c>
      <c r="B7257" s="21">
        <v>3</v>
      </c>
      <c r="C7257" s="21">
        <v>985</v>
      </c>
      <c r="D7257" s="21">
        <v>14358</v>
      </c>
      <c r="E7257" s="21" t="s">
        <v>2123</v>
      </c>
      <c r="F7257" s="21" t="s">
        <v>520</v>
      </c>
      <c r="G7257" s="21">
        <v>1</v>
      </c>
      <c r="H7257" s="21">
        <v>97</v>
      </c>
      <c r="I7257" s="23" t="s">
        <v>2576</v>
      </c>
      <c r="J7257" s="21"/>
      <c r="K7257" s="21" t="s">
        <v>1000</v>
      </c>
      <c r="L7257" s="21"/>
      <c r="M7257" s="21"/>
      <c r="N7257" s="21" t="s">
        <v>40</v>
      </c>
      <c r="O7257" s="21">
        <v>45</v>
      </c>
      <c r="P7257" s="21"/>
      <c r="Q7257" s="21">
        <f t="shared" si="133"/>
        <v>2</v>
      </c>
      <c r="R7257" s="21">
        <v>1</v>
      </c>
      <c r="S7257" s="21">
        <v>0</v>
      </c>
      <c r="T7257" s="21">
        <v>0</v>
      </c>
      <c r="U7257" s="21">
        <v>1</v>
      </c>
      <c r="V7257" s="21">
        <v>0</v>
      </c>
      <c r="W7257" s="21">
        <v>1</v>
      </c>
      <c r="X7257" s="21">
        <v>0</v>
      </c>
      <c r="Y7257" s="21">
        <v>0</v>
      </c>
      <c r="Z7257" s="21">
        <v>0</v>
      </c>
      <c r="AA7257" s="21">
        <v>0</v>
      </c>
      <c r="AB7257" s="21">
        <v>0</v>
      </c>
      <c r="AC7257" s="21">
        <v>0</v>
      </c>
      <c r="AD7257" s="21">
        <v>0</v>
      </c>
      <c r="AE7257" s="21">
        <v>0</v>
      </c>
      <c r="AF7257" s="21">
        <v>1</v>
      </c>
      <c r="AG7257" s="21">
        <v>0</v>
      </c>
      <c r="AH7257" s="21">
        <f t="shared" si="134"/>
        <v>128</v>
      </c>
      <c r="AI7257" s="21"/>
      <c r="AJ7257" s="21"/>
      <c r="AK7257" s="21"/>
      <c r="AL7257" s="21"/>
      <c r="AM7257" s="21" t="s">
        <v>2691</v>
      </c>
      <c r="AN7257" s="21">
        <v>-122.439852683333</v>
      </c>
      <c r="AO7257" s="21">
        <v>37.790817133333299</v>
      </c>
      <c r="AP7257" s="21" t="s">
        <v>1915</v>
      </c>
    </row>
    <row r="7258" spans="1:42">
      <c r="A7258" s="20">
        <v>43845</v>
      </c>
      <c r="B7258" s="21">
        <v>3</v>
      </c>
      <c r="C7258" s="21">
        <v>985</v>
      </c>
      <c r="D7258" s="21">
        <v>14358</v>
      </c>
      <c r="E7258" s="21" t="s">
        <v>2123</v>
      </c>
      <c r="F7258" s="21" t="s">
        <v>520</v>
      </c>
      <c r="G7258" s="21">
        <v>1</v>
      </c>
      <c r="H7258" s="21">
        <v>98</v>
      </c>
      <c r="I7258" s="23" t="s">
        <v>2467</v>
      </c>
      <c r="J7258" s="21"/>
      <c r="K7258" s="21" t="s">
        <v>1000</v>
      </c>
      <c r="L7258" s="21"/>
      <c r="M7258" s="21"/>
      <c r="N7258" s="21" t="s">
        <v>40</v>
      </c>
      <c r="O7258" s="21">
        <f>60+21</f>
        <v>81</v>
      </c>
      <c r="P7258" s="21"/>
      <c r="Q7258" s="21">
        <f t="shared" si="133"/>
        <v>2</v>
      </c>
      <c r="R7258" s="21">
        <v>1</v>
      </c>
      <c r="S7258" s="21">
        <v>0</v>
      </c>
      <c r="T7258" s="21">
        <v>0</v>
      </c>
      <c r="U7258" s="21">
        <v>0</v>
      </c>
      <c r="V7258" s="21">
        <v>0</v>
      </c>
      <c r="W7258" s="21">
        <v>2</v>
      </c>
      <c r="X7258" s="21">
        <v>0</v>
      </c>
      <c r="Y7258" s="21">
        <v>0</v>
      </c>
      <c r="Z7258" s="21">
        <v>0</v>
      </c>
      <c r="AA7258" s="21">
        <v>0</v>
      </c>
      <c r="AB7258" s="21">
        <v>0</v>
      </c>
      <c r="AC7258" s="21">
        <v>0</v>
      </c>
      <c r="AD7258" s="21">
        <v>0</v>
      </c>
      <c r="AE7258" s="21">
        <v>0</v>
      </c>
      <c r="AF7258" s="21">
        <v>0</v>
      </c>
      <c r="AG7258" s="21">
        <v>0</v>
      </c>
      <c r="AH7258" s="21">
        <f t="shared" si="134"/>
        <v>192</v>
      </c>
      <c r="AI7258" s="21"/>
      <c r="AJ7258" s="21"/>
      <c r="AK7258" s="21"/>
      <c r="AL7258" s="21" t="s">
        <v>2692</v>
      </c>
      <c r="AM7258" s="21" t="s">
        <v>2693</v>
      </c>
      <c r="AN7258" s="21">
        <v>-122.440121265025</v>
      </c>
      <c r="AO7258" s="21">
        <v>37.791337778182303</v>
      </c>
      <c r="AP7258" s="21" t="s">
        <v>1915</v>
      </c>
    </row>
    <row r="7259" spans="1:42">
      <c r="A7259" s="20">
        <v>43845</v>
      </c>
      <c r="B7259" s="21">
        <v>3</v>
      </c>
      <c r="C7259" s="21">
        <v>985</v>
      </c>
      <c r="D7259" s="21">
        <v>14358</v>
      </c>
      <c r="E7259" s="21" t="s">
        <v>2123</v>
      </c>
      <c r="F7259" s="21" t="s">
        <v>520</v>
      </c>
      <c r="G7259" s="21">
        <v>1</v>
      </c>
      <c r="H7259" s="21">
        <v>99</v>
      </c>
      <c r="I7259" s="23" t="s">
        <v>2536</v>
      </c>
      <c r="J7259" s="21"/>
      <c r="K7259" s="21" t="s">
        <v>329</v>
      </c>
      <c r="L7259" s="21"/>
      <c r="M7259" s="21"/>
      <c r="N7259" s="21" t="s">
        <v>40</v>
      </c>
      <c r="O7259" s="21">
        <f>60+5</f>
        <v>65</v>
      </c>
      <c r="P7259" s="21"/>
      <c r="Q7259" s="21">
        <f t="shared" si="133"/>
        <v>1</v>
      </c>
      <c r="R7259" s="21">
        <v>1</v>
      </c>
      <c r="S7259" s="21">
        <v>0</v>
      </c>
      <c r="T7259" s="21">
        <v>0</v>
      </c>
      <c r="U7259" s="21">
        <v>1</v>
      </c>
      <c r="V7259" s="21">
        <v>0</v>
      </c>
      <c r="W7259" s="21">
        <v>0</v>
      </c>
      <c r="X7259" s="21">
        <v>0</v>
      </c>
      <c r="Y7259" s="21">
        <v>0</v>
      </c>
      <c r="Z7259" s="21">
        <v>0</v>
      </c>
      <c r="AA7259" s="21">
        <v>0</v>
      </c>
      <c r="AB7259" s="21">
        <v>0</v>
      </c>
      <c r="AC7259" s="21">
        <v>0</v>
      </c>
      <c r="AD7259" s="21">
        <v>0</v>
      </c>
      <c r="AE7259" s="21">
        <v>0</v>
      </c>
      <c r="AF7259" s="21">
        <v>0</v>
      </c>
      <c r="AG7259" s="21">
        <v>0</v>
      </c>
      <c r="AH7259" s="21">
        <f t="shared" si="134"/>
        <v>32</v>
      </c>
      <c r="AI7259" s="21"/>
      <c r="AJ7259" s="21"/>
      <c r="AK7259" s="21"/>
      <c r="AL7259" s="21"/>
      <c r="AM7259" s="21" t="s">
        <v>2694</v>
      </c>
      <c r="AN7259" s="21">
        <v>-122.44483355</v>
      </c>
      <c r="AO7259" s="21">
        <v>37.792721816666699</v>
      </c>
      <c r="AP7259" s="21" t="s">
        <v>1915</v>
      </c>
    </row>
    <row r="7260" spans="1:42">
      <c r="A7260" s="20">
        <v>43845</v>
      </c>
      <c r="B7260" s="21">
        <v>3</v>
      </c>
      <c r="C7260" s="21">
        <v>985</v>
      </c>
      <c r="D7260" s="21">
        <v>14358</v>
      </c>
      <c r="E7260" s="21" t="s">
        <v>2123</v>
      </c>
      <c r="F7260" s="21" t="s">
        <v>520</v>
      </c>
      <c r="G7260" s="21">
        <v>1</v>
      </c>
      <c r="H7260" s="21">
        <v>100</v>
      </c>
      <c r="I7260" s="23" t="s">
        <v>2160</v>
      </c>
      <c r="J7260" s="21"/>
      <c r="K7260" s="21" t="s">
        <v>329</v>
      </c>
      <c r="L7260" s="21"/>
      <c r="M7260" s="21" t="s">
        <v>95</v>
      </c>
      <c r="N7260" s="21" t="s">
        <v>40</v>
      </c>
      <c r="O7260" s="21">
        <f>60+28</f>
        <v>88</v>
      </c>
      <c r="P7260" s="21"/>
      <c r="Q7260" s="21">
        <f t="shared" si="133"/>
        <v>2</v>
      </c>
      <c r="R7260" s="21">
        <v>1</v>
      </c>
      <c r="S7260" s="21">
        <v>0</v>
      </c>
      <c r="T7260" s="21">
        <v>0</v>
      </c>
      <c r="U7260" s="21">
        <v>1</v>
      </c>
      <c r="V7260" s="21">
        <v>1</v>
      </c>
      <c r="W7260" s="21">
        <v>0</v>
      </c>
      <c r="X7260" s="21">
        <v>0</v>
      </c>
      <c r="Y7260" s="21">
        <v>0</v>
      </c>
      <c r="Z7260" s="21">
        <v>0</v>
      </c>
      <c r="AA7260" s="21">
        <v>0</v>
      </c>
      <c r="AB7260" s="21">
        <v>0</v>
      </c>
      <c r="AC7260" s="21">
        <v>0</v>
      </c>
      <c r="AD7260" s="21">
        <v>0</v>
      </c>
      <c r="AE7260" s="21">
        <v>0</v>
      </c>
      <c r="AF7260" s="21">
        <v>0</v>
      </c>
      <c r="AG7260" s="21">
        <v>0</v>
      </c>
      <c r="AH7260" s="21">
        <f t="shared" si="134"/>
        <v>96</v>
      </c>
      <c r="AI7260" s="21"/>
      <c r="AJ7260" s="21"/>
      <c r="AK7260" s="21"/>
      <c r="AL7260" s="21"/>
      <c r="AM7260" s="21" t="s">
        <v>2695</v>
      </c>
      <c r="AN7260" s="21">
        <v>-122.44519124999999</v>
      </c>
      <c r="AO7260" s="21">
        <v>37.794570333333297</v>
      </c>
      <c r="AP7260" s="21" t="s">
        <v>1915</v>
      </c>
    </row>
    <row r="7261" spans="1:42">
      <c r="A7261" s="20">
        <v>43845</v>
      </c>
      <c r="B7261" s="21">
        <v>3</v>
      </c>
      <c r="C7261" s="21">
        <v>985</v>
      </c>
      <c r="D7261" s="21">
        <v>14358</v>
      </c>
      <c r="E7261" s="21" t="s">
        <v>2123</v>
      </c>
      <c r="F7261" s="21" t="s">
        <v>520</v>
      </c>
      <c r="G7261" s="21">
        <v>1</v>
      </c>
      <c r="H7261" s="21">
        <v>101</v>
      </c>
      <c r="I7261" s="23" t="s">
        <v>2160</v>
      </c>
      <c r="J7261" s="21"/>
      <c r="K7261" s="21" t="s">
        <v>329</v>
      </c>
      <c r="L7261" s="21"/>
      <c r="M7261" s="21" t="s">
        <v>95</v>
      </c>
      <c r="N7261" s="21" t="s">
        <v>42</v>
      </c>
      <c r="O7261" s="21">
        <f>60+60+4</f>
        <v>124</v>
      </c>
      <c r="P7261" s="21"/>
      <c r="Q7261" s="21">
        <f t="shared" si="133"/>
        <v>2</v>
      </c>
      <c r="R7261" s="21">
        <v>1</v>
      </c>
      <c r="S7261" s="21">
        <v>0</v>
      </c>
      <c r="T7261" s="21">
        <v>0</v>
      </c>
      <c r="U7261" s="21">
        <v>1</v>
      </c>
      <c r="V7261" s="21">
        <v>1</v>
      </c>
      <c r="W7261" s="21">
        <v>0</v>
      </c>
      <c r="X7261" s="21">
        <v>0</v>
      </c>
      <c r="Y7261" s="21">
        <v>0</v>
      </c>
      <c r="Z7261" s="21">
        <v>0</v>
      </c>
      <c r="AA7261" s="21">
        <v>0</v>
      </c>
      <c r="AB7261" s="21">
        <v>0</v>
      </c>
      <c r="AC7261" s="21">
        <v>0</v>
      </c>
      <c r="AD7261" s="21">
        <v>0</v>
      </c>
      <c r="AE7261" s="21">
        <v>0</v>
      </c>
      <c r="AF7261" s="21">
        <v>0</v>
      </c>
      <c r="AG7261" s="21">
        <v>0</v>
      </c>
      <c r="AH7261" s="21">
        <f t="shared" si="134"/>
        <v>96</v>
      </c>
      <c r="AI7261" s="21"/>
      <c r="AJ7261" s="21"/>
      <c r="AK7261" s="21"/>
      <c r="AL7261" s="21" t="s">
        <v>2696</v>
      </c>
      <c r="AM7261" s="21" t="s">
        <v>2697</v>
      </c>
      <c r="AN7261" s="21">
        <v>-122.44525716666701</v>
      </c>
      <c r="AO7261" s="21">
        <v>37.794790916666699</v>
      </c>
      <c r="AP7261" s="21" t="s">
        <v>1915</v>
      </c>
    </row>
    <row r="7262" spans="1:42">
      <c r="A7262" s="20">
        <v>43845</v>
      </c>
      <c r="B7262" s="21">
        <v>3</v>
      </c>
      <c r="C7262" s="21">
        <v>985</v>
      </c>
      <c r="D7262" s="21">
        <v>14358</v>
      </c>
      <c r="E7262" s="21" t="s">
        <v>2123</v>
      </c>
      <c r="F7262" s="21" t="s">
        <v>520</v>
      </c>
      <c r="G7262" s="21">
        <v>1</v>
      </c>
      <c r="H7262" s="21">
        <v>102</v>
      </c>
      <c r="I7262" s="23" t="s">
        <v>2698</v>
      </c>
      <c r="J7262" s="21"/>
      <c r="K7262" s="21" t="s">
        <v>119</v>
      </c>
      <c r="L7262" s="21"/>
      <c r="M7262" s="21"/>
      <c r="N7262" s="21" t="s">
        <v>44</v>
      </c>
      <c r="O7262" s="21">
        <f>60+60+32</f>
        <v>152</v>
      </c>
      <c r="P7262" s="21"/>
      <c r="Q7262" s="21">
        <f t="shared" si="133"/>
        <v>1</v>
      </c>
      <c r="R7262" s="21">
        <v>1</v>
      </c>
      <c r="S7262" s="21">
        <v>0</v>
      </c>
      <c r="T7262" s="21">
        <v>0</v>
      </c>
      <c r="U7262" s="21">
        <v>0</v>
      </c>
      <c r="V7262" s="21">
        <v>0</v>
      </c>
      <c r="W7262" s="21">
        <v>1</v>
      </c>
      <c r="X7262" s="21">
        <v>0</v>
      </c>
      <c r="Y7262" s="21">
        <v>0</v>
      </c>
      <c r="Z7262" s="21">
        <v>0</v>
      </c>
      <c r="AA7262" s="21">
        <v>0</v>
      </c>
      <c r="AB7262" s="21">
        <v>0</v>
      </c>
      <c r="AC7262" s="21">
        <v>0</v>
      </c>
      <c r="AD7262" s="21">
        <v>0</v>
      </c>
      <c r="AE7262" s="21">
        <v>0</v>
      </c>
      <c r="AF7262" s="21">
        <v>0</v>
      </c>
      <c r="AG7262" s="21">
        <v>0</v>
      </c>
      <c r="AH7262" s="21">
        <f t="shared" si="134"/>
        <v>96</v>
      </c>
      <c r="AI7262" s="21"/>
      <c r="AJ7262" s="21"/>
      <c r="AK7262" s="21"/>
      <c r="AL7262" s="21" t="s">
        <v>587</v>
      </c>
      <c r="AM7262" s="21" t="s">
        <v>2699</v>
      </c>
      <c r="AN7262" s="21">
        <v>-122.444867866667</v>
      </c>
      <c r="AO7262" s="21">
        <v>37.794870416666598</v>
      </c>
      <c r="AP7262" s="21" t="s">
        <v>1915</v>
      </c>
    </row>
    <row r="7263" spans="1:42">
      <c r="A7263" s="20">
        <v>43845</v>
      </c>
      <c r="B7263" s="21">
        <v>3</v>
      </c>
      <c r="C7263" s="21">
        <v>985</v>
      </c>
      <c r="D7263" s="21">
        <v>14358</v>
      </c>
      <c r="E7263" s="21" t="s">
        <v>2123</v>
      </c>
      <c r="F7263" s="21" t="s">
        <v>520</v>
      </c>
      <c r="G7263" s="21">
        <v>1</v>
      </c>
      <c r="H7263" s="21">
        <v>103</v>
      </c>
      <c r="I7263" s="23" t="s">
        <v>2700</v>
      </c>
      <c r="J7263" s="21"/>
      <c r="K7263" s="21" t="s">
        <v>119</v>
      </c>
      <c r="L7263" s="21"/>
      <c r="M7263" s="21"/>
      <c r="N7263" s="21" t="s">
        <v>40</v>
      </c>
      <c r="O7263" s="21">
        <v>51</v>
      </c>
      <c r="P7263" s="21"/>
      <c r="Q7263" s="21">
        <f t="shared" si="133"/>
        <v>2</v>
      </c>
      <c r="R7263" s="21">
        <v>1</v>
      </c>
      <c r="S7263" s="21">
        <v>0</v>
      </c>
      <c r="T7263" s="21">
        <v>0</v>
      </c>
      <c r="U7263" s="21">
        <v>1</v>
      </c>
      <c r="V7263" s="21">
        <v>1</v>
      </c>
      <c r="W7263" s="21">
        <v>0</v>
      </c>
      <c r="X7263" s="21">
        <v>0</v>
      </c>
      <c r="Y7263" s="21">
        <v>0</v>
      </c>
      <c r="Z7263" s="21">
        <v>0</v>
      </c>
      <c r="AA7263" s="21">
        <v>0</v>
      </c>
      <c r="AB7263" s="21">
        <v>0</v>
      </c>
      <c r="AC7263" s="21">
        <v>0</v>
      </c>
      <c r="AD7263" s="21">
        <v>0</v>
      </c>
      <c r="AE7263" s="21">
        <v>0</v>
      </c>
      <c r="AF7263" s="21">
        <v>0</v>
      </c>
      <c r="AG7263" s="21">
        <v>0</v>
      </c>
      <c r="AH7263" s="21">
        <f t="shared" si="134"/>
        <v>96</v>
      </c>
      <c r="AI7263" s="21"/>
      <c r="AJ7263" s="21"/>
      <c r="AK7263" s="21"/>
      <c r="AL7263" s="21"/>
      <c r="AM7263" s="21" t="s">
        <v>2701</v>
      </c>
      <c r="AN7263" s="21">
        <v>-122.44461623333299</v>
      </c>
      <c r="AO7263" s="21">
        <v>37.794916183333299</v>
      </c>
      <c r="AP7263" s="21" t="s">
        <v>1915</v>
      </c>
    </row>
    <row r="7264" spans="1:42">
      <c r="A7264" s="20">
        <v>43845</v>
      </c>
      <c r="B7264" s="21">
        <v>3</v>
      </c>
      <c r="C7264" s="21">
        <v>985</v>
      </c>
      <c r="D7264" s="21">
        <v>14358</v>
      </c>
      <c r="E7264" s="21" t="s">
        <v>2123</v>
      </c>
      <c r="F7264" s="21" t="s">
        <v>520</v>
      </c>
      <c r="G7264" s="21">
        <v>1</v>
      </c>
      <c r="H7264" s="21">
        <v>104</v>
      </c>
      <c r="I7264" s="23" t="s">
        <v>2700</v>
      </c>
      <c r="J7264" s="21"/>
      <c r="K7264" s="21" t="s">
        <v>119</v>
      </c>
      <c r="L7264" s="21"/>
      <c r="M7264" s="21"/>
      <c r="N7264" s="21" t="s">
        <v>40</v>
      </c>
      <c r="O7264" s="21">
        <v>35</v>
      </c>
      <c r="P7264" s="21"/>
      <c r="Q7264" s="21">
        <f t="shared" si="133"/>
        <v>1</v>
      </c>
      <c r="R7264" s="21">
        <v>1</v>
      </c>
      <c r="S7264" s="21">
        <v>0</v>
      </c>
      <c r="T7264" s="21">
        <v>0</v>
      </c>
      <c r="U7264" s="21">
        <v>0</v>
      </c>
      <c r="V7264" s="21">
        <v>1</v>
      </c>
      <c r="W7264" s="21">
        <v>0</v>
      </c>
      <c r="X7264" s="21">
        <v>0</v>
      </c>
      <c r="Y7264" s="21">
        <v>0</v>
      </c>
      <c r="Z7264" s="21">
        <v>0</v>
      </c>
      <c r="AA7264" s="21">
        <v>0</v>
      </c>
      <c r="AB7264" s="21">
        <v>0</v>
      </c>
      <c r="AC7264" s="21">
        <v>0</v>
      </c>
      <c r="AD7264" s="21">
        <v>0</v>
      </c>
      <c r="AE7264" s="21">
        <v>0</v>
      </c>
      <c r="AF7264" s="21">
        <v>0</v>
      </c>
      <c r="AG7264" s="21">
        <v>0</v>
      </c>
      <c r="AH7264" s="21">
        <f t="shared" si="134"/>
        <v>64</v>
      </c>
      <c r="AI7264" s="21"/>
      <c r="AJ7264" s="21"/>
      <c r="AK7264" s="21"/>
      <c r="AL7264" s="21"/>
      <c r="AM7264" s="21" t="s">
        <v>2702</v>
      </c>
      <c r="AN7264" s="21">
        <v>-122.444492783333</v>
      </c>
      <c r="AO7264" s="21">
        <v>37.794909883333297</v>
      </c>
      <c r="AP7264" s="21" t="s">
        <v>1915</v>
      </c>
    </row>
    <row r="7265" spans="1:42">
      <c r="A7265" s="20">
        <v>43845</v>
      </c>
      <c r="B7265" s="21">
        <v>3</v>
      </c>
      <c r="C7265" s="21">
        <v>985</v>
      </c>
      <c r="D7265" s="21">
        <v>14358</v>
      </c>
      <c r="E7265" s="21" t="s">
        <v>2123</v>
      </c>
      <c r="F7265" s="21" t="s">
        <v>520</v>
      </c>
      <c r="G7265" s="21">
        <v>1</v>
      </c>
      <c r="H7265" s="21">
        <v>105</v>
      </c>
      <c r="I7265" s="23" t="s">
        <v>2700</v>
      </c>
      <c r="J7265" s="21"/>
      <c r="K7265" s="21" t="s">
        <v>119</v>
      </c>
      <c r="L7265" s="21"/>
      <c r="M7265" s="21"/>
      <c r="N7265" s="21" t="s">
        <v>40</v>
      </c>
      <c r="O7265" s="21">
        <v>35</v>
      </c>
      <c r="P7265" s="21"/>
      <c r="Q7265" s="21">
        <f t="shared" si="133"/>
        <v>1</v>
      </c>
      <c r="R7265" s="21">
        <v>1</v>
      </c>
      <c r="S7265" s="21">
        <v>0</v>
      </c>
      <c r="T7265" s="21">
        <v>0</v>
      </c>
      <c r="U7265" s="21">
        <v>0</v>
      </c>
      <c r="V7265" s="21">
        <v>0</v>
      </c>
      <c r="W7265" s="21">
        <v>1</v>
      </c>
      <c r="X7265" s="21">
        <v>0</v>
      </c>
      <c r="Y7265" s="21">
        <v>0</v>
      </c>
      <c r="Z7265" s="21">
        <v>0</v>
      </c>
      <c r="AA7265" s="21">
        <v>0</v>
      </c>
      <c r="AB7265" s="21">
        <v>0</v>
      </c>
      <c r="AC7265" s="21">
        <v>0</v>
      </c>
      <c r="AD7265" s="21">
        <v>0</v>
      </c>
      <c r="AE7265" s="21">
        <v>0</v>
      </c>
      <c r="AF7265" s="21">
        <v>0</v>
      </c>
      <c r="AG7265" s="21">
        <v>0</v>
      </c>
      <c r="AH7265" s="21">
        <f t="shared" si="134"/>
        <v>96</v>
      </c>
      <c r="AI7265" s="21"/>
      <c r="AJ7265" s="21"/>
      <c r="AK7265" s="21"/>
      <c r="AL7265" s="21"/>
      <c r="AM7265" s="21" t="s">
        <v>2703</v>
      </c>
      <c r="AN7265" s="21">
        <v>-122.44414311666699</v>
      </c>
      <c r="AO7265" s="21">
        <v>37.794934349999998</v>
      </c>
      <c r="AP7265" s="21" t="s">
        <v>1915</v>
      </c>
    </row>
    <row r="7266" spans="1:42">
      <c r="A7266" s="20">
        <v>43845</v>
      </c>
      <c r="B7266" s="21">
        <v>3</v>
      </c>
      <c r="C7266" s="21">
        <v>985</v>
      </c>
      <c r="D7266" s="21">
        <v>14358</v>
      </c>
      <c r="E7266" s="21" t="s">
        <v>2123</v>
      </c>
      <c r="F7266" s="21" t="s">
        <v>520</v>
      </c>
      <c r="G7266" s="21">
        <v>1</v>
      </c>
      <c r="H7266" s="21">
        <v>106</v>
      </c>
      <c r="I7266" s="23" t="s">
        <v>2700</v>
      </c>
      <c r="J7266" s="21"/>
      <c r="K7266" s="21" t="s">
        <v>119</v>
      </c>
      <c r="L7266" s="21"/>
      <c r="M7266" s="21"/>
      <c r="N7266" s="21" t="s">
        <v>40</v>
      </c>
      <c r="O7266" s="21">
        <v>32</v>
      </c>
      <c r="P7266" s="21"/>
      <c r="Q7266" s="21">
        <f t="shared" si="133"/>
        <v>1</v>
      </c>
      <c r="R7266" s="21">
        <v>1</v>
      </c>
      <c r="S7266" s="21">
        <v>0</v>
      </c>
      <c r="T7266" s="21">
        <v>0</v>
      </c>
      <c r="U7266" s="21">
        <v>0</v>
      </c>
      <c r="V7266" s="21">
        <v>0</v>
      </c>
      <c r="W7266" s="21">
        <v>1</v>
      </c>
      <c r="X7266" s="21">
        <v>0</v>
      </c>
      <c r="Y7266" s="21">
        <v>0</v>
      </c>
      <c r="Z7266" s="21">
        <v>0</v>
      </c>
      <c r="AA7266" s="21">
        <v>0</v>
      </c>
      <c r="AB7266" s="21">
        <v>0</v>
      </c>
      <c r="AC7266" s="21">
        <v>0</v>
      </c>
      <c r="AD7266" s="21">
        <v>0</v>
      </c>
      <c r="AE7266" s="21">
        <v>0</v>
      </c>
      <c r="AF7266" s="21">
        <v>0</v>
      </c>
      <c r="AG7266" s="21">
        <v>0</v>
      </c>
      <c r="AH7266" s="21">
        <f t="shared" si="134"/>
        <v>96</v>
      </c>
      <c r="AI7266" s="21"/>
      <c r="AJ7266" s="21"/>
      <c r="AK7266" s="21"/>
      <c r="AL7266" s="21"/>
      <c r="AM7266" s="21" t="s">
        <v>2704</v>
      </c>
      <c r="AN7266" s="21">
        <v>-122.44405298333299</v>
      </c>
      <c r="AO7266" s="21">
        <v>37.794966166666697</v>
      </c>
      <c r="AP7266" s="21" t="s">
        <v>1915</v>
      </c>
    </row>
    <row r="7267" spans="1:42">
      <c r="A7267" s="20">
        <v>43845</v>
      </c>
      <c r="B7267" s="21">
        <v>3</v>
      </c>
      <c r="C7267" s="21">
        <v>985</v>
      </c>
      <c r="D7267" s="21">
        <v>14358</v>
      </c>
      <c r="E7267" s="21" t="s">
        <v>2123</v>
      </c>
      <c r="F7267" s="21" t="s">
        <v>520</v>
      </c>
      <c r="G7267" s="21">
        <v>1</v>
      </c>
      <c r="H7267" s="21">
        <v>107</v>
      </c>
      <c r="I7267" s="23" t="s">
        <v>2700</v>
      </c>
      <c r="J7267" s="21"/>
      <c r="K7267" s="21" t="s">
        <v>119</v>
      </c>
      <c r="L7267" s="21"/>
      <c r="M7267" s="21"/>
      <c r="N7267" s="21" t="s">
        <v>40</v>
      </c>
      <c r="O7267" s="21">
        <v>32</v>
      </c>
      <c r="P7267" s="21"/>
      <c r="Q7267" s="21">
        <f t="shared" si="133"/>
        <v>1</v>
      </c>
      <c r="R7267" s="21">
        <v>1</v>
      </c>
      <c r="S7267" s="21">
        <v>0</v>
      </c>
      <c r="T7267" s="21">
        <v>0</v>
      </c>
      <c r="U7267" s="21">
        <v>0</v>
      </c>
      <c r="V7267" s="21">
        <v>1</v>
      </c>
      <c r="W7267" s="21">
        <v>0</v>
      </c>
      <c r="X7267" s="21">
        <v>0</v>
      </c>
      <c r="Y7267" s="21">
        <v>0</v>
      </c>
      <c r="Z7267" s="21">
        <v>0</v>
      </c>
      <c r="AA7267" s="21">
        <v>0</v>
      </c>
      <c r="AB7267" s="21">
        <v>0</v>
      </c>
      <c r="AC7267" s="21">
        <v>0</v>
      </c>
      <c r="AD7267" s="21">
        <v>0</v>
      </c>
      <c r="AE7267" s="21">
        <v>0</v>
      </c>
      <c r="AF7267" s="21">
        <v>0</v>
      </c>
      <c r="AG7267" s="21">
        <v>0</v>
      </c>
      <c r="AH7267" s="21">
        <f t="shared" si="134"/>
        <v>64</v>
      </c>
      <c r="AI7267" s="21"/>
      <c r="AJ7267" s="21"/>
      <c r="AK7267" s="21"/>
      <c r="AL7267" s="21"/>
      <c r="AM7267" s="21" t="s">
        <v>2705</v>
      </c>
      <c r="AN7267" s="21">
        <v>-122.44406043333299</v>
      </c>
      <c r="AO7267" s="21">
        <v>37.795072416666599</v>
      </c>
      <c r="AP7267" s="21" t="s">
        <v>1915</v>
      </c>
    </row>
    <row r="7268" spans="1:42">
      <c r="A7268" s="20">
        <v>43845</v>
      </c>
      <c r="B7268" s="21">
        <v>3</v>
      </c>
      <c r="C7268" s="21">
        <v>985</v>
      </c>
      <c r="D7268" s="21">
        <v>14358</v>
      </c>
      <c r="E7268" s="21" t="s">
        <v>2123</v>
      </c>
      <c r="F7268" s="21" t="s">
        <v>520</v>
      </c>
      <c r="G7268" s="21">
        <v>1</v>
      </c>
      <c r="H7268" s="21">
        <v>108</v>
      </c>
      <c r="I7268" s="23" t="s">
        <v>2700</v>
      </c>
      <c r="J7268" s="21"/>
      <c r="K7268" s="21" t="s">
        <v>119</v>
      </c>
      <c r="L7268" s="21"/>
      <c r="M7268" s="21"/>
      <c r="N7268" s="21" t="s">
        <v>40</v>
      </c>
      <c r="O7268" s="21">
        <v>43</v>
      </c>
      <c r="P7268" s="21"/>
      <c r="Q7268" s="21">
        <f t="shared" si="133"/>
        <v>1</v>
      </c>
      <c r="R7268" s="21">
        <v>1</v>
      </c>
      <c r="S7268" s="21">
        <v>0</v>
      </c>
      <c r="T7268" s="21">
        <v>0</v>
      </c>
      <c r="U7268" s="21">
        <v>0</v>
      </c>
      <c r="V7268" s="21">
        <v>0</v>
      </c>
      <c r="W7268" s="21">
        <v>1</v>
      </c>
      <c r="X7268" s="21">
        <v>0</v>
      </c>
      <c r="Y7268" s="21">
        <v>0</v>
      </c>
      <c r="Z7268" s="21">
        <v>0</v>
      </c>
      <c r="AA7268" s="21">
        <v>0</v>
      </c>
      <c r="AB7268" s="21">
        <v>0</v>
      </c>
      <c r="AC7268" s="21">
        <v>0</v>
      </c>
      <c r="AD7268" s="21">
        <v>0</v>
      </c>
      <c r="AE7268" s="21">
        <v>0</v>
      </c>
      <c r="AF7268" s="21">
        <v>1</v>
      </c>
      <c r="AG7268" s="21">
        <v>0</v>
      </c>
      <c r="AH7268" s="21">
        <f t="shared" si="134"/>
        <v>96</v>
      </c>
      <c r="AI7268" s="21"/>
      <c r="AJ7268" s="21"/>
      <c r="AK7268" s="21"/>
      <c r="AL7268" s="21"/>
      <c r="AM7268" s="21" t="s">
        <v>2706</v>
      </c>
      <c r="AN7268" s="21">
        <v>-122.44441241666701</v>
      </c>
      <c r="AO7268" s="21">
        <v>37.795134966666701</v>
      </c>
      <c r="AP7268" s="21" t="s">
        <v>1915</v>
      </c>
    </row>
    <row r="7269" spans="1:42">
      <c r="A7269" s="20">
        <v>43845</v>
      </c>
      <c r="B7269" s="21">
        <v>3</v>
      </c>
      <c r="C7269" s="21">
        <v>985</v>
      </c>
      <c r="D7269" s="21">
        <v>14358</v>
      </c>
      <c r="E7269" s="21" t="s">
        <v>2123</v>
      </c>
      <c r="F7269" s="21" t="s">
        <v>520</v>
      </c>
      <c r="G7269" s="21">
        <v>1</v>
      </c>
      <c r="H7269" s="21">
        <v>109</v>
      </c>
      <c r="I7269" s="23" t="s">
        <v>2707</v>
      </c>
      <c r="J7269" s="21"/>
      <c r="K7269" s="21" t="s">
        <v>119</v>
      </c>
      <c r="L7269" s="21"/>
      <c r="M7269" s="21"/>
      <c r="N7269" s="21" t="s">
        <v>44</v>
      </c>
      <c r="O7269" s="21">
        <f>60+60+60+60+37</f>
        <v>277</v>
      </c>
      <c r="P7269" s="21"/>
      <c r="Q7269" s="21">
        <f t="shared" si="133"/>
        <v>2</v>
      </c>
      <c r="R7269" s="21">
        <v>1</v>
      </c>
      <c r="S7269" s="21">
        <v>0</v>
      </c>
      <c r="T7269" s="21">
        <v>0</v>
      </c>
      <c r="U7269" s="21">
        <v>0</v>
      </c>
      <c r="V7269" s="21">
        <v>1</v>
      </c>
      <c r="W7269" s="21">
        <v>1</v>
      </c>
      <c r="X7269" s="21">
        <v>0</v>
      </c>
      <c r="Y7269" s="21">
        <v>0</v>
      </c>
      <c r="Z7269" s="21">
        <v>0</v>
      </c>
      <c r="AA7269" s="21">
        <v>0</v>
      </c>
      <c r="AB7269" s="21">
        <v>0</v>
      </c>
      <c r="AC7269" s="21">
        <v>0</v>
      </c>
      <c r="AD7269" s="21">
        <v>0</v>
      </c>
      <c r="AE7269" s="21">
        <v>0</v>
      </c>
      <c r="AF7269" s="21">
        <v>0</v>
      </c>
      <c r="AG7269" s="21">
        <v>0</v>
      </c>
      <c r="AH7269" s="21">
        <f t="shared" si="134"/>
        <v>160</v>
      </c>
      <c r="AI7269" s="21"/>
      <c r="AJ7269" s="21"/>
      <c r="AK7269" s="21"/>
      <c r="AL7269" s="21" t="s">
        <v>2708</v>
      </c>
      <c r="AM7269" s="21" t="s">
        <v>2709</v>
      </c>
      <c r="AN7269" s="21">
        <v>-122.44455044999999</v>
      </c>
      <c r="AO7269" s="21">
        <v>37.795049433333297</v>
      </c>
      <c r="AP7269" s="21" t="s">
        <v>1915</v>
      </c>
    </row>
    <row r="7270" spans="1:42">
      <c r="A7270" s="20">
        <v>43845</v>
      </c>
      <c r="B7270" s="21">
        <v>3</v>
      </c>
      <c r="C7270" s="21">
        <v>985</v>
      </c>
      <c r="D7270" s="21">
        <v>14358</v>
      </c>
      <c r="E7270" s="21" t="s">
        <v>2123</v>
      </c>
      <c r="F7270" s="21" t="s">
        <v>520</v>
      </c>
      <c r="G7270" s="21">
        <v>1</v>
      </c>
      <c r="H7270" s="21">
        <v>110</v>
      </c>
      <c r="I7270" s="23" t="s">
        <v>2700</v>
      </c>
      <c r="J7270" s="21"/>
      <c r="K7270" s="21" t="s">
        <v>119</v>
      </c>
      <c r="L7270" s="21"/>
      <c r="M7270" s="21"/>
      <c r="N7270" s="21" t="s">
        <v>40</v>
      </c>
      <c r="O7270" s="21">
        <f>60+60+29</f>
        <v>149</v>
      </c>
      <c r="P7270" s="21"/>
      <c r="Q7270" s="21">
        <f t="shared" si="133"/>
        <v>3</v>
      </c>
      <c r="R7270" s="21">
        <v>1</v>
      </c>
      <c r="S7270" s="21">
        <v>0</v>
      </c>
      <c r="T7270" s="21">
        <v>0</v>
      </c>
      <c r="U7270" s="21">
        <v>0</v>
      </c>
      <c r="V7270" s="21">
        <v>0</v>
      </c>
      <c r="W7270" s="21">
        <v>3</v>
      </c>
      <c r="X7270" s="21">
        <v>0</v>
      </c>
      <c r="Y7270" s="21">
        <v>0</v>
      </c>
      <c r="Z7270" s="21">
        <v>0</v>
      </c>
      <c r="AA7270" s="21">
        <v>0</v>
      </c>
      <c r="AB7270" s="21">
        <v>0</v>
      </c>
      <c r="AC7270" s="21">
        <v>0</v>
      </c>
      <c r="AD7270" s="21">
        <v>0</v>
      </c>
      <c r="AE7270" s="21">
        <v>0</v>
      </c>
      <c r="AF7270" s="21">
        <v>0</v>
      </c>
      <c r="AG7270" s="21">
        <v>0</v>
      </c>
      <c r="AH7270" s="21">
        <f t="shared" si="134"/>
        <v>288</v>
      </c>
      <c r="AI7270" s="21"/>
      <c r="AJ7270" s="21"/>
      <c r="AK7270" s="21"/>
      <c r="AL7270" s="21" t="s">
        <v>2565</v>
      </c>
      <c r="AM7270" s="21" t="s">
        <v>2710</v>
      </c>
      <c r="AN7270" s="21">
        <v>-122.44474185</v>
      </c>
      <c r="AO7270" s="21">
        <v>37.795021983333299</v>
      </c>
      <c r="AP7270" s="21" t="s">
        <v>1915</v>
      </c>
    </row>
    <row r="7271" spans="1:42">
      <c r="A7271" s="20">
        <v>43845</v>
      </c>
      <c r="B7271" s="21">
        <v>3</v>
      </c>
      <c r="C7271" s="21">
        <v>985</v>
      </c>
      <c r="D7271" s="21">
        <v>14358</v>
      </c>
      <c r="E7271" s="21" t="s">
        <v>2123</v>
      </c>
      <c r="F7271" s="21" t="s">
        <v>520</v>
      </c>
      <c r="G7271" s="21">
        <v>1</v>
      </c>
      <c r="H7271" s="21">
        <v>111</v>
      </c>
      <c r="I7271" s="23" t="s">
        <v>2711</v>
      </c>
      <c r="J7271" s="21"/>
      <c r="K7271" s="21" t="s">
        <v>329</v>
      </c>
      <c r="L7271" s="21"/>
      <c r="M7271" s="21"/>
      <c r="N7271" s="21" t="s">
        <v>40</v>
      </c>
      <c r="O7271" s="21">
        <v>49</v>
      </c>
      <c r="P7271" s="21"/>
      <c r="Q7271" s="21">
        <f t="shared" si="133"/>
        <v>1</v>
      </c>
      <c r="R7271" s="21">
        <v>1</v>
      </c>
      <c r="S7271" s="21">
        <v>0</v>
      </c>
      <c r="T7271" s="21">
        <v>0</v>
      </c>
      <c r="U7271" s="21">
        <v>0</v>
      </c>
      <c r="V7271" s="21">
        <v>0</v>
      </c>
      <c r="W7271" s="21">
        <v>1</v>
      </c>
      <c r="X7271" s="21">
        <v>0</v>
      </c>
      <c r="Y7271" s="21">
        <v>0</v>
      </c>
      <c r="Z7271" s="21">
        <v>0</v>
      </c>
      <c r="AA7271" s="21">
        <v>0</v>
      </c>
      <c r="AB7271" s="21">
        <v>0</v>
      </c>
      <c r="AC7271" s="21">
        <v>0</v>
      </c>
      <c r="AD7271" s="21">
        <v>0</v>
      </c>
      <c r="AE7271" s="21">
        <v>0</v>
      </c>
      <c r="AF7271" s="21">
        <v>0</v>
      </c>
      <c r="AG7271" s="21">
        <v>0</v>
      </c>
      <c r="AH7271" s="21">
        <f t="shared" si="134"/>
        <v>96</v>
      </c>
      <c r="AI7271" s="21"/>
      <c r="AJ7271" s="21"/>
      <c r="AK7271" s="21"/>
      <c r="AL7271" s="21"/>
      <c r="AM7271" s="21" t="s">
        <v>2712</v>
      </c>
      <c r="AN7271" s="21">
        <v>-122.445428866667</v>
      </c>
      <c r="AO7271" s="21">
        <v>37.795402433333301</v>
      </c>
      <c r="AP7271" s="21" t="s">
        <v>1915</v>
      </c>
    </row>
    <row r="7272" spans="1:42">
      <c r="A7272" s="20">
        <v>43845</v>
      </c>
      <c r="B7272" s="21">
        <v>3</v>
      </c>
      <c r="C7272" s="21">
        <v>985</v>
      </c>
      <c r="D7272" s="21">
        <v>14358</v>
      </c>
      <c r="E7272" s="21" t="s">
        <v>2123</v>
      </c>
      <c r="F7272" s="21" t="s">
        <v>520</v>
      </c>
      <c r="G7272" s="21">
        <v>1</v>
      </c>
      <c r="H7272" s="21">
        <v>112</v>
      </c>
      <c r="I7272" s="23" t="s">
        <v>2713</v>
      </c>
      <c r="J7272" s="21" t="s">
        <v>2044</v>
      </c>
      <c r="K7272" s="21" t="s">
        <v>329</v>
      </c>
      <c r="L7272" s="21"/>
      <c r="M7272" s="21"/>
      <c r="N7272" s="21" t="s">
        <v>44</v>
      </c>
      <c r="O7272" s="21">
        <f>60+27</f>
        <v>87</v>
      </c>
      <c r="P7272" s="21"/>
      <c r="Q7272" s="21">
        <f t="shared" si="133"/>
        <v>1</v>
      </c>
      <c r="R7272" s="21">
        <v>1</v>
      </c>
      <c r="S7272" s="21">
        <v>0</v>
      </c>
      <c r="T7272" s="21">
        <v>0</v>
      </c>
      <c r="U7272" s="21">
        <v>0</v>
      </c>
      <c r="V7272" s="21">
        <v>0</v>
      </c>
      <c r="W7272" s="21">
        <v>1</v>
      </c>
      <c r="X7272" s="21">
        <v>0</v>
      </c>
      <c r="Y7272" s="21">
        <v>0</v>
      </c>
      <c r="Z7272" s="21">
        <v>0</v>
      </c>
      <c r="AA7272" s="21">
        <v>0</v>
      </c>
      <c r="AB7272" s="21">
        <v>0</v>
      </c>
      <c r="AC7272" s="21">
        <v>0</v>
      </c>
      <c r="AD7272" s="21">
        <v>0</v>
      </c>
      <c r="AE7272" s="21">
        <v>0</v>
      </c>
      <c r="AF7272" s="21">
        <v>0</v>
      </c>
      <c r="AG7272" s="21">
        <v>0</v>
      </c>
      <c r="AH7272" s="21">
        <f t="shared" si="134"/>
        <v>96</v>
      </c>
      <c r="AI7272" s="21"/>
      <c r="AJ7272" s="21"/>
      <c r="AK7272" s="21" t="s">
        <v>52</v>
      </c>
      <c r="AL7272" s="21" t="s">
        <v>587</v>
      </c>
      <c r="AM7272" s="21" t="s">
        <v>2714</v>
      </c>
      <c r="AN7272" s="21">
        <v>-122.445415183333</v>
      </c>
      <c r="AO7272" s="21">
        <v>37.7956355166667</v>
      </c>
      <c r="AP7272" s="21" t="s">
        <v>1915</v>
      </c>
    </row>
    <row r="7273" spans="1:42">
      <c r="A7273" s="20">
        <v>43845</v>
      </c>
      <c r="B7273" s="21">
        <v>3</v>
      </c>
      <c r="C7273" s="21">
        <v>985</v>
      </c>
      <c r="D7273" s="21">
        <v>14358</v>
      </c>
      <c r="E7273" s="21" t="s">
        <v>2123</v>
      </c>
      <c r="F7273" s="21" t="s">
        <v>520</v>
      </c>
      <c r="G7273" s="21">
        <v>1</v>
      </c>
      <c r="H7273" s="21">
        <v>113</v>
      </c>
      <c r="I7273" s="23" t="s">
        <v>2715</v>
      </c>
      <c r="J7273" s="21"/>
      <c r="K7273" s="21" t="s">
        <v>329</v>
      </c>
      <c r="L7273" s="21"/>
      <c r="M7273" s="21"/>
      <c r="N7273" s="21" t="s">
        <v>44</v>
      </c>
      <c r="O7273" s="21">
        <f>60+8</f>
        <v>68</v>
      </c>
      <c r="P7273" s="21"/>
      <c r="Q7273" s="21">
        <f t="shared" si="133"/>
        <v>1</v>
      </c>
      <c r="R7273" s="21">
        <v>1</v>
      </c>
      <c r="S7273" s="21">
        <v>0</v>
      </c>
      <c r="T7273" s="21">
        <v>0</v>
      </c>
      <c r="U7273" s="21">
        <v>0</v>
      </c>
      <c r="V7273" s="21">
        <v>0</v>
      </c>
      <c r="W7273" s="21">
        <v>1</v>
      </c>
      <c r="X7273" s="21">
        <v>0</v>
      </c>
      <c r="Y7273" s="21">
        <v>0</v>
      </c>
      <c r="Z7273" s="21">
        <v>0</v>
      </c>
      <c r="AA7273" s="21">
        <v>0</v>
      </c>
      <c r="AB7273" s="21">
        <v>0</v>
      </c>
      <c r="AC7273" s="21">
        <v>0</v>
      </c>
      <c r="AD7273" s="21">
        <v>0</v>
      </c>
      <c r="AE7273" s="21">
        <v>0</v>
      </c>
      <c r="AF7273" s="21">
        <v>0</v>
      </c>
      <c r="AG7273" s="21">
        <v>0</v>
      </c>
      <c r="AH7273" s="21">
        <f t="shared" si="134"/>
        <v>96</v>
      </c>
      <c r="AI7273" s="21"/>
      <c r="AJ7273" s="21"/>
      <c r="AK7273" s="21"/>
      <c r="AL7273" s="21"/>
      <c r="AM7273" s="21" t="s">
        <v>2716</v>
      </c>
      <c r="AN7273" s="21">
        <v>-122.445506583333</v>
      </c>
      <c r="AO7273" s="21">
        <v>37.796260766666599</v>
      </c>
      <c r="AP7273" s="21" t="s">
        <v>1915</v>
      </c>
    </row>
    <row r="7274" spans="1:42">
      <c r="A7274" s="20">
        <v>43845</v>
      </c>
      <c r="B7274" s="21">
        <v>3</v>
      </c>
      <c r="C7274" s="21">
        <v>985</v>
      </c>
      <c r="D7274" s="21">
        <v>14358</v>
      </c>
      <c r="E7274" s="21" t="s">
        <v>2123</v>
      </c>
      <c r="F7274" s="21" t="s">
        <v>520</v>
      </c>
      <c r="G7274" s="21">
        <v>1</v>
      </c>
      <c r="H7274" s="21">
        <v>114</v>
      </c>
      <c r="I7274" s="23" t="s">
        <v>2700</v>
      </c>
      <c r="J7274" s="21"/>
      <c r="K7274" s="21" t="s">
        <v>329</v>
      </c>
      <c r="L7274" s="21"/>
      <c r="M7274" s="21"/>
      <c r="N7274" s="21" t="s">
        <v>40</v>
      </c>
      <c r="O7274" s="21">
        <f>60+15</f>
        <v>75</v>
      </c>
      <c r="P7274" s="21"/>
      <c r="Q7274" s="21">
        <f t="shared" si="133"/>
        <v>3</v>
      </c>
      <c r="R7274" s="21">
        <v>1</v>
      </c>
      <c r="S7274" s="21">
        <v>0</v>
      </c>
      <c r="T7274" s="21">
        <v>0</v>
      </c>
      <c r="U7274" s="21">
        <v>0</v>
      </c>
      <c r="V7274" s="21">
        <v>1</v>
      </c>
      <c r="W7274" s="21">
        <v>2</v>
      </c>
      <c r="X7274" s="21">
        <v>0</v>
      </c>
      <c r="Y7274" s="21">
        <v>0</v>
      </c>
      <c r="Z7274" s="21">
        <v>0</v>
      </c>
      <c r="AA7274" s="21">
        <v>0</v>
      </c>
      <c r="AB7274" s="21">
        <v>0</v>
      </c>
      <c r="AC7274" s="21">
        <v>0</v>
      </c>
      <c r="AD7274" s="21">
        <v>0</v>
      </c>
      <c r="AE7274" s="21">
        <v>0</v>
      </c>
      <c r="AF7274" s="21">
        <v>0</v>
      </c>
      <c r="AG7274" s="21">
        <v>0</v>
      </c>
      <c r="AH7274" s="21">
        <f t="shared" si="134"/>
        <v>256</v>
      </c>
      <c r="AI7274" s="21"/>
      <c r="AJ7274" s="21"/>
      <c r="AK7274" s="21"/>
      <c r="AL7274" s="21"/>
      <c r="AM7274" s="21" t="s">
        <v>2717</v>
      </c>
      <c r="AN7274" s="21">
        <v>-122.445655966667</v>
      </c>
      <c r="AO7274" s="21">
        <v>37.796399649999998</v>
      </c>
      <c r="AP7274" s="21" t="s">
        <v>1915</v>
      </c>
    </row>
    <row r="7275" spans="1:42">
      <c r="A7275" s="20">
        <v>43845</v>
      </c>
      <c r="B7275" s="21">
        <v>3</v>
      </c>
      <c r="C7275" s="21">
        <v>985</v>
      </c>
      <c r="D7275" s="21">
        <v>14358</v>
      </c>
      <c r="E7275" s="21" t="s">
        <v>2123</v>
      </c>
      <c r="F7275" s="21" t="s">
        <v>520</v>
      </c>
      <c r="G7275" s="21">
        <v>1</v>
      </c>
      <c r="H7275" s="21">
        <v>115</v>
      </c>
      <c r="I7275" s="23" t="s">
        <v>2718</v>
      </c>
      <c r="J7275" s="21"/>
      <c r="K7275" s="21" t="s">
        <v>148</v>
      </c>
      <c r="L7275" s="21"/>
      <c r="M7275" s="21"/>
      <c r="N7275" s="21" t="s">
        <v>42</v>
      </c>
      <c r="O7275" s="21">
        <f>60+60+29</f>
        <v>149</v>
      </c>
      <c r="P7275" s="21"/>
      <c r="Q7275" s="21">
        <f t="shared" si="133"/>
        <v>5</v>
      </c>
      <c r="R7275" s="21">
        <v>1</v>
      </c>
      <c r="S7275" s="21">
        <v>0</v>
      </c>
      <c r="T7275" s="21">
        <v>0</v>
      </c>
      <c r="U7275" s="21">
        <v>3</v>
      </c>
      <c r="V7275" s="21">
        <v>0</v>
      </c>
      <c r="W7275" s="21">
        <v>2</v>
      </c>
      <c r="X7275" s="21">
        <v>0</v>
      </c>
      <c r="Y7275" s="21">
        <v>0</v>
      </c>
      <c r="Z7275" s="21">
        <v>0</v>
      </c>
      <c r="AA7275" s="21">
        <v>0</v>
      </c>
      <c r="AB7275" s="21">
        <v>0</v>
      </c>
      <c r="AC7275" s="21">
        <v>0</v>
      </c>
      <c r="AD7275" s="21">
        <v>0</v>
      </c>
      <c r="AE7275" s="21">
        <v>0</v>
      </c>
      <c r="AF7275" s="21">
        <v>0</v>
      </c>
      <c r="AG7275" s="21">
        <v>0</v>
      </c>
      <c r="AH7275" s="21">
        <f t="shared" si="134"/>
        <v>288</v>
      </c>
      <c r="AI7275" s="21"/>
      <c r="AJ7275" s="21"/>
      <c r="AK7275" s="21"/>
      <c r="AL7275" s="21" t="s">
        <v>2719</v>
      </c>
      <c r="AM7275" s="21" t="s">
        <v>2720</v>
      </c>
      <c r="AN7275" s="21">
        <v>-122.44715770000001</v>
      </c>
      <c r="AO7275" s="21">
        <v>37.796979583333297</v>
      </c>
      <c r="AP7275" s="21" t="s">
        <v>1915</v>
      </c>
    </row>
    <row r="7276" spans="1:42">
      <c r="A7276" s="20">
        <v>43845</v>
      </c>
      <c r="B7276" s="21">
        <v>3</v>
      </c>
      <c r="C7276" s="21">
        <v>985</v>
      </c>
      <c r="D7276" s="21">
        <v>14358</v>
      </c>
      <c r="E7276" s="21" t="s">
        <v>2123</v>
      </c>
      <c r="F7276" s="21" t="s">
        <v>520</v>
      </c>
      <c r="G7276" s="21">
        <v>1</v>
      </c>
      <c r="H7276" s="21">
        <v>116</v>
      </c>
      <c r="I7276" s="23" t="s">
        <v>2721</v>
      </c>
      <c r="J7276" s="21"/>
      <c r="K7276" s="21" t="s">
        <v>319</v>
      </c>
      <c r="L7276" s="21"/>
      <c r="M7276" s="21"/>
      <c r="N7276" s="21" t="s">
        <v>44</v>
      </c>
      <c r="O7276" s="21">
        <f>60+15</f>
        <v>75</v>
      </c>
      <c r="P7276" s="21"/>
      <c r="Q7276" s="21">
        <f t="shared" si="133"/>
        <v>1</v>
      </c>
      <c r="R7276" s="21">
        <v>1</v>
      </c>
      <c r="S7276" s="21">
        <v>0</v>
      </c>
      <c r="T7276" s="21">
        <v>0</v>
      </c>
      <c r="U7276" s="21">
        <v>0</v>
      </c>
      <c r="V7276" s="21">
        <v>1</v>
      </c>
      <c r="W7276" s="21">
        <v>0</v>
      </c>
      <c r="X7276" s="21">
        <v>0</v>
      </c>
      <c r="Y7276" s="21">
        <v>0</v>
      </c>
      <c r="Z7276" s="21">
        <v>0</v>
      </c>
      <c r="AA7276" s="21">
        <v>0</v>
      </c>
      <c r="AB7276" s="21">
        <v>0</v>
      </c>
      <c r="AC7276" s="21">
        <v>0</v>
      </c>
      <c r="AD7276" s="21">
        <v>0</v>
      </c>
      <c r="AE7276" s="21">
        <v>0</v>
      </c>
      <c r="AF7276" s="21">
        <v>0</v>
      </c>
      <c r="AG7276" s="21">
        <v>0</v>
      </c>
      <c r="AH7276" s="21">
        <f t="shared" si="134"/>
        <v>64</v>
      </c>
      <c r="AI7276" s="21"/>
      <c r="AJ7276" s="21"/>
      <c r="AK7276" s="21"/>
      <c r="AL7276" s="21"/>
      <c r="AM7276" s="21" t="s">
        <v>2722</v>
      </c>
      <c r="AN7276" s="21">
        <v>-122.44703991666699</v>
      </c>
      <c r="AO7276" s="21">
        <v>37.7970021</v>
      </c>
      <c r="AP7276" s="21" t="s">
        <v>1915</v>
      </c>
    </row>
    <row r="7277" spans="1:42">
      <c r="A7277" s="20">
        <v>43845</v>
      </c>
      <c r="B7277" s="21">
        <v>3</v>
      </c>
      <c r="C7277" s="21">
        <v>985</v>
      </c>
      <c r="D7277" s="21">
        <v>14358</v>
      </c>
      <c r="E7277" s="21" t="s">
        <v>2123</v>
      </c>
      <c r="F7277" s="21" t="s">
        <v>520</v>
      </c>
      <c r="G7277" s="21">
        <v>1</v>
      </c>
      <c r="H7277" s="21">
        <v>117</v>
      </c>
      <c r="I7277" s="23" t="s">
        <v>2700</v>
      </c>
      <c r="J7277" s="21"/>
      <c r="K7277" s="21" t="s">
        <v>329</v>
      </c>
      <c r="L7277" s="21"/>
      <c r="M7277" s="21"/>
      <c r="N7277" s="21" t="s">
        <v>40</v>
      </c>
      <c r="O7277" s="21">
        <f>60+60+20</f>
        <v>140</v>
      </c>
      <c r="P7277" s="21"/>
      <c r="Q7277" s="21">
        <f t="shared" si="133"/>
        <v>3</v>
      </c>
      <c r="R7277" s="21">
        <v>1</v>
      </c>
      <c r="S7277" s="21">
        <v>0</v>
      </c>
      <c r="T7277" s="21">
        <v>0</v>
      </c>
      <c r="U7277" s="21">
        <v>1</v>
      </c>
      <c r="V7277" s="21">
        <v>2</v>
      </c>
      <c r="W7277" s="21">
        <v>0</v>
      </c>
      <c r="X7277" s="21">
        <v>0</v>
      </c>
      <c r="Y7277" s="21">
        <v>0</v>
      </c>
      <c r="Z7277" s="21">
        <v>0</v>
      </c>
      <c r="AA7277" s="21">
        <v>0</v>
      </c>
      <c r="AB7277" s="21">
        <v>0</v>
      </c>
      <c r="AC7277" s="21">
        <v>0</v>
      </c>
      <c r="AD7277" s="21">
        <v>0</v>
      </c>
      <c r="AE7277" s="21">
        <v>0</v>
      </c>
      <c r="AF7277" s="21">
        <v>0</v>
      </c>
      <c r="AG7277" s="21">
        <v>0</v>
      </c>
      <c r="AH7277" s="21">
        <f t="shared" si="134"/>
        <v>160</v>
      </c>
      <c r="AI7277" s="21"/>
      <c r="AJ7277" s="21"/>
      <c r="AK7277" s="21"/>
      <c r="AL7277" s="21"/>
      <c r="AM7277" s="21" t="s">
        <v>2723</v>
      </c>
      <c r="AN7277" s="21">
        <v>-122.4456447</v>
      </c>
      <c r="AO7277" s="21">
        <v>37.796485449999999</v>
      </c>
      <c r="AP7277" s="21" t="s">
        <v>1915</v>
      </c>
    </row>
    <row r="7278" spans="1:42">
      <c r="A7278" s="20">
        <v>43845</v>
      </c>
      <c r="B7278" s="21">
        <v>3</v>
      </c>
      <c r="C7278" s="21">
        <v>985</v>
      </c>
      <c r="D7278" s="21">
        <v>14358</v>
      </c>
      <c r="E7278" s="21" t="s">
        <v>2123</v>
      </c>
      <c r="F7278" s="21" t="s">
        <v>520</v>
      </c>
      <c r="G7278" s="21">
        <v>1</v>
      </c>
      <c r="H7278" s="21">
        <v>118</v>
      </c>
      <c r="I7278" s="23" t="s">
        <v>2700</v>
      </c>
      <c r="J7278" s="21"/>
      <c r="K7278" s="21" t="s">
        <v>329</v>
      </c>
      <c r="L7278" s="21"/>
      <c r="M7278" s="21"/>
      <c r="N7278" s="21" t="s">
        <v>40</v>
      </c>
      <c r="O7278" s="21">
        <f>60+6</f>
        <v>66</v>
      </c>
      <c r="P7278" s="21"/>
      <c r="Q7278" s="21">
        <f t="shared" si="133"/>
        <v>2</v>
      </c>
      <c r="R7278" s="21">
        <v>1</v>
      </c>
      <c r="S7278" s="21">
        <v>0</v>
      </c>
      <c r="T7278" s="21">
        <v>0</v>
      </c>
      <c r="U7278" s="21">
        <v>2</v>
      </c>
      <c r="V7278" s="21">
        <v>0</v>
      </c>
      <c r="W7278" s="21">
        <v>0</v>
      </c>
      <c r="X7278" s="21">
        <v>0</v>
      </c>
      <c r="Y7278" s="21">
        <v>0</v>
      </c>
      <c r="Z7278" s="21">
        <v>0</v>
      </c>
      <c r="AA7278" s="21">
        <v>0</v>
      </c>
      <c r="AB7278" s="21">
        <v>0</v>
      </c>
      <c r="AC7278" s="21">
        <v>0</v>
      </c>
      <c r="AD7278" s="21">
        <v>0</v>
      </c>
      <c r="AE7278" s="21">
        <v>0</v>
      </c>
      <c r="AF7278" s="21">
        <v>2</v>
      </c>
      <c r="AG7278" s="21">
        <v>0</v>
      </c>
      <c r="AH7278" s="21">
        <f t="shared" si="134"/>
        <v>64</v>
      </c>
      <c r="AI7278" s="21"/>
      <c r="AJ7278" s="21"/>
      <c r="AK7278" s="21"/>
      <c r="AL7278" s="21"/>
      <c r="AM7278" s="21" t="s">
        <v>2724</v>
      </c>
      <c r="AN7278" s="21">
        <v>-122.44550428333299</v>
      </c>
      <c r="AO7278" s="21">
        <v>37.796237683333302</v>
      </c>
      <c r="AP7278" s="21" t="s">
        <v>1915</v>
      </c>
    </row>
    <row r="7279" spans="1:42">
      <c r="A7279" s="20">
        <v>43845</v>
      </c>
      <c r="B7279" s="21">
        <v>3</v>
      </c>
      <c r="C7279" s="21">
        <v>985</v>
      </c>
      <c r="D7279" s="21">
        <v>14358</v>
      </c>
      <c r="E7279" s="21" t="s">
        <v>2123</v>
      </c>
      <c r="F7279" s="21" t="s">
        <v>520</v>
      </c>
      <c r="G7279" s="21">
        <v>1</v>
      </c>
      <c r="H7279" s="21">
        <v>119</v>
      </c>
      <c r="I7279" s="23" t="s">
        <v>2700</v>
      </c>
      <c r="J7279" s="21"/>
      <c r="K7279" s="21" t="s">
        <v>329</v>
      </c>
      <c r="L7279" s="21"/>
      <c r="M7279" s="21"/>
      <c r="N7279" s="21" t="s">
        <v>40</v>
      </c>
      <c r="O7279" s="21">
        <f>60+20</f>
        <v>80</v>
      </c>
      <c r="P7279" s="21"/>
      <c r="Q7279" s="21">
        <f t="shared" si="133"/>
        <v>1</v>
      </c>
      <c r="R7279" s="21">
        <v>1</v>
      </c>
      <c r="S7279" s="21">
        <v>0</v>
      </c>
      <c r="T7279" s="21">
        <v>0</v>
      </c>
      <c r="U7279" s="21">
        <v>1</v>
      </c>
      <c r="V7279" s="21">
        <v>0</v>
      </c>
      <c r="W7279" s="21">
        <v>0</v>
      </c>
      <c r="X7279" s="21">
        <v>0</v>
      </c>
      <c r="Y7279" s="21">
        <v>0</v>
      </c>
      <c r="Z7279" s="21">
        <v>0</v>
      </c>
      <c r="AA7279" s="21">
        <v>0</v>
      </c>
      <c r="AB7279" s="21">
        <v>0</v>
      </c>
      <c r="AC7279" s="21">
        <v>0</v>
      </c>
      <c r="AD7279" s="21">
        <v>0</v>
      </c>
      <c r="AE7279" s="21">
        <v>0</v>
      </c>
      <c r="AF7279" s="21">
        <v>1</v>
      </c>
      <c r="AG7279" s="21">
        <v>0</v>
      </c>
      <c r="AH7279" s="21">
        <f t="shared" si="134"/>
        <v>32</v>
      </c>
      <c r="AI7279" s="21"/>
      <c r="AJ7279" s="21"/>
      <c r="AK7279" s="21"/>
      <c r="AL7279" s="21"/>
      <c r="AM7279" s="21" t="s">
        <v>2725</v>
      </c>
      <c r="AN7279" s="21">
        <v>-122.445502116667</v>
      </c>
      <c r="AO7279" s="21">
        <v>37.795945516666698</v>
      </c>
      <c r="AP7279" s="21" t="s">
        <v>1915</v>
      </c>
    </row>
    <row r="7280" spans="1:42">
      <c r="A7280" s="20">
        <v>43845</v>
      </c>
      <c r="B7280" s="21">
        <v>3</v>
      </c>
      <c r="C7280" s="21">
        <v>985</v>
      </c>
      <c r="D7280" s="21">
        <v>14358</v>
      </c>
      <c r="E7280" s="21" t="s">
        <v>2123</v>
      </c>
      <c r="F7280" s="21" t="s">
        <v>520</v>
      </c>
      <c r="G7280" s="21">
        <v>1</v>
      </c>
      <c r="H7280" s="21">
        <v>120</v>
      </c>
      <c r="I7280" s="23" t="s">
        <v>2160</v>
      </c>
      <c r="J7280" s="21"/>
      <c r="K7280" s="21" t="s">
        <v>329</v>
      </c>
      <c r="L7280" s="21"/>
      <c r="M7280" s="21"/>
      <c r="N7280" s="21" t="s">
        <v>40</v>
      </c>
      <c r="O7280" s="21">
        <v>43</v>
      </c>
      <c r="P7280" s="21"/>
      <c r="Q7280" s="21">
        <f t="shared" si="133"/>
        <v>2</v>
      </c>
      <c r="R7280" s="21">
        <v>1</v>
      </c>
      <c r="S7280" s="21">
        <v>0</v>
      </c>
      <c r="T7280" s="21">
        <v>0</v>
      </c>
      <c r="U7280" s="21">
        <v>2</v>
      </c>
      <c r="V7280" s="21">
        <v>0</v>
      </c>
      <c r="W7280" s="21">
        <v>0</v>
      </c>
      <c r="X7280" s="21">
        <v>0</v>
      </c>
      <c r="Y7280" s="21">
        <v>0</v>
      </c>
      <c r="Z7280" s="21">
        <v>0</v>
      </c>
      <c r="AA7280" s="21">
        <v>0</v>
      </c>
      <c r="AB7280" s="21">
        <v>0</v>
      </c>
      <c r="AC7280" s="21">
        <v>0</v>
      </c>
      <c r="AD7280" s="21">
        <v>0</v>
      </c>
      <c r="AE7280" s="21">
        <v>0</v>
      </c>
      <c r="AF7280" s="21">
        <v>0</v>
      </c>
      <c r="AG7280" s="21">
        <v>0</v>
      </c>
      <c r="AH7280" s="21">
        <f t="shared" si="134"/>
        <v>64</v>
      </c>
      <c r="AI7280" s="21"/>
      <c r="AJ7280" s="21"/>
      <c r="AK7280" s="21"/>
      <c r="AL7280" s="21"/>
      <c r="AM7280" s="21" t="s">
        <v>2726</v>
      </c>
      <c r="AN7280" s="21">
        <v>-122.445364766667</v>
      </c>
      <c r="AO7280" s="21">
        <v>37.795555216666699</v>
      </c>
      <c r="AP7280" s="21" t="s">
        <v>1915</v>
      </c>
    </row>
    <row r="7281" spans="1:42">
      <c r="A7281" s="20">
        <v>43845</v>
      </c>
      <c r="B7281" s="21">
        <v>3</v>
      </c>
      <c r="C7281" s="21">
        <v>985</v>
      </c>
      <c r="D7281" s="21">
        <v>14358</v>
      </c>
      <c r="E7281" s="21" t="s">
        <v>2123</v>
      </c>
      <c r="F7281" s="21" t="s">
        <v>520</v>
      </c>
      <c r="G7281" s="21">
        <v>1</v>
      </c>
      <c r="H7281" s="21">
        <v>122</v>
      </c>
      <c r="I7281" s="23" t="s">
        <v>2711</v>
      </c>
      <c r="J7281" s="21"/>
      <c r="K7281" s="21" t="s">
        <v>119</v>
      </c>
      <c r="L7281" s="21"/>
      <c r="M7281" s="21"/>
      <c r="N7281" s="21" t="s">
        <v>40</v>
      </c>
      <c r="O7281" s="21">
        <v>25</v>
      </c>
      <c r="P7281" s="21"/>
      <c r="Q7281" s="21">
        <f t="shared" si="133"/>
        <v>1</v>
      </c>
      <c r="R7281" s="21">
        <v>1</v>
      </c>
      <c r="S7281" s="21">
        <v>0</v>
      </c>
      <c r="T7281" s="21">
        <v>0</v>
      </c>
      <c r="U7281" s="21">
        <v>0</v>
      </c>
      <c r="V7281" s="21">
        <v>1</v>
      </c>
      <c r="W7281" s="21">
        <v>0</v>
      </c>
      <c r="X7281" s="21">
        <v>0</v>
      </c>
      <c r="Y7281" s="21">
        <v>0</v>
      </c>
      <c r="Z7281" s="21">
        <v>0</v>
      </c>
      <c r="AA7281" s="21">
        <v>0</v>
      </c>
      <c r="AB7281" s="21">
        <v>0</v>
      </c>
      <c r="AC7281" s="21">
        <v>0</v>
      </c>
      <c r="AD7281" s="21">
        <v>0</v>
      </c>
      <c r="AE7281" s="21">
        <v>0</v>
      </c>
      <c r="AF7281" s="21">
        <v>0</v>
      </c>
      <c r="AG7281" s="21">
        <v>0</v>
      </c>
      <c r="AH7281" s="21">
        <f t="shared" si="134"/>
        <v>64</v>
      </c>
      <c r="AI7281" s="21"/>
      <c r="AJ7281" s="21"/>
      <c r="AK7281" s="21"/>
      <c r="AL7281" s="21"/>
      <c r="AM7281" s="21" t="s">
        <v>2727</v>
      </c>
      <c r="AN7281" s="21">
        <v>-122.44539956666701</v>
      </c>
      <c r="AO7281" s="21">
        <v>37.795437266666603</v>
      </c>
      <c r="AP7281" s="21" t="s">
        <v>1915</v>
      </c>
    </row>
    <row r="7282" spans="1:42">
      <c r="A7282" s="20">
        <v>43845</v>
      </c>
      <c r="B7282" s="21">
        <v>3</v>
      </c>
      <c r="C7282" s="21">
        <v>985</v>
      </c>
      <c r="D7282" s="21">
        <v>14358</v>
      </c>
      <c r="E7282" s="21" t="s">
        <v>2123</v>
      </c>
      <c r="F7282" s="21" t="s">
        <v>520</v>
      </c>
      <c r="G7282" s="21">
        <v>1</v>
      </c>
      <c r="H7282" s="21">
        <v>123</v>
      </c>
      <c r="I7282" s="23" t="s">
        <v>2711</v>
      </c>
      <c r="J7282" s="21"/>
      <c r="K7282" s="21" t="s">
        <v>119</v>
      </c>
      <c r="L7282" s="21"/>
      <c r="M7282" s="21"/>
      <c r="N7282" s="21" t="s">
        <v>40</v>
      </c>
      <c r="O7282" s="21">
        <f>60+4</f>
        <v>64</v>
      </c>
      <c r="P7282" s="21"/>
      <c r="Q7282" s="21">
        <f t="shared" si="133"/>
        <v>3</v>
      </c>
      <c r="R7282" s="21">
        <v>1</v>
      </c>
      <c r="S7282" s="21">
        <v>0</v>
      </c>
      <c r="T7282" s="21">
        <v>0</v>
      </c>
      <c r="U7282" s="21">
        <v>1</v>
      </c>
      <c r="V7282" s="21">
        <v>2</v>
      </c>
      <c r="W7282" s="21">
        <v>0</v>
      </c>
      <c r="X7282" s="21">
        <v>0</v>
      </c>
      <c r="Y7282" s="21">
        <v>0</v>
      </c>
      <c r="Z7282" s="21">
        <v>0</v>
      </c>
      <c r="AA7282" s="21">
        <v>0</v>
      </c>
      <c r="AB7282" s="21">
        <v>0</v>
      </c>
      <c r="AC7282" s="21">
        <v>0</v>
      </c>
      <c r="AD7282" s="21">
        <v>0</v>
      </c>
      <c r="AE7282" s="21">
        <v>0</v>
      </c>
      <c r="AF7282" s="21">
        <v>0</v>
      </c>
      <c r="AG7282" s="21">
        <v>0</v>
      </c>
      <c r="AH7282" s="21">
        <f t="shared" si="134"/>
        <v>160</v>
      </c>
      <c r="AI7282" s="21"/>
      <c r="AJ7282" s="21"/>
      <c r="AK7282" s="21"/>
      <c r="AL7282" s="21"/>
      <c r="AM7282" s="21" t="s">
        <v>2728</v>
      </c>
      <c r="AN7282" s="21">
        <v>-122.44538715</v>
      </c>
      <c r="AO7282" s="21">
        <v>37.795347366666697</v>
      </c>
      <c r="AP7282" s="21" t="s">
        <v>1915</v>
      </c>
    </row>
    <row r="7283" spans="1:42">
      <c r="A7283" s="20">
        <v>43845</v>
      </c>
      <c r="B7283" s="21">
        <v>3</v>
      </c>
      <c r="C7283" s="21">
        <v>985</v>
      </c>
      <c r="D7283" s="21">
        <v>14358</v>
      </c>
      <c r="E7283" s="21" t="s">
        <v>2123</v>
      </c>
      <c r="F7283" s="21" t="s">
        <v>520</v>
      </c>
      <c r="G7283" s="21">
        <v>1</v>
      </c>
      <c r="H7283" s="21">
        <v>124</v>
      </c>
      <c r="I7283" s="23" t="s">
        <v>2711</v>
      </c>
      <c r="J7283" s="21"/>
      <c r="K7283" s="21" t="s">
        <v>119</v>
      </c>
      <c r="L7283" s="21"/>
      <c r="M7283" s="21"/>
      <c r="N7283" s="21" t="s">
        <v>40</v>
      </c>
      <c r="O7283" s="21">
        <v>25</v>
      </c>
      <c r="P7283" s="21"/>
      <c r="Q7283" s="21">
        <f t="shared" si="133"/>
        <v>1</v>
      </c>
      <c r="R7283" s="21">
        <v>1</v>
      </c>
      <c r="S7283" s="21">
        <v>0</v>
      </c>
      <c r="T7283" s="21">
        <v>0</v>
      </c>
      <c r="U7283" s="21">
        <v>0</v>
      </c>
      <c r="V7283" s="21">
        <v>0</v>
      </c>
      <c r="W7283" s="21">
        <v>1</v>
      </c>
      <c r="X7283" s="21">
        <v>0</v>
      </c>
      <c r="Y7283" s="21">
        <v>0</v>
      </c>
      <c r="Z7283" s="21">
        <v>0</v>
      </c>
      <c r="AA7283" s="21">
        <v>0</v>
      </c>
      <c r="AB7283" s="21">
        <v>0</v>
      </c>
      <c r="AC7283" s="21">
        <v>0</v>
      </c>
      <c r="AD7283" s="21">
        <v>0</v>
      </c>
      <c r="AE7283" s="21">
        <v>0</v>
      </c>
      <c r="AF7283" s="21">
        <v>0</v>
      </c>
      <c r="AG7283" s="21">
        <v>0</v>
      </c>
      <c r="AH7283" s="21">
        <f t="shared" si="134"/>
        <v>96</v>
      </c>
      <c r="AI7283" s="21"/>
      <c r="AJ7283" s="21"/>
      <c r="AK7283" s="21"/>
      <c r="AL7283" s="21"/>
      <c r="AM7283" s="21" t="s">
        <v>2729</v>
      </c>
      <c r="AN7283" s="21">
        <v>-122.445377283333</v>
      </c>
      <c r="AO7283" s="21">
        <v>37.795172383333302</v>
      </c>
      <c r="AP7283" s="21" t="s">
        <v>1915</v>
      </c>
    </row>
    <row r="7284" spans="1:42">
      <c r="A7284" s="20">
        <v>43845</v>
      </c>
      <c r="B7284" s="21">
        <v>3</v>
      </c>
      <c r="C7284" s="21">
        <v>985</v>
      </c>
      <c r="D7284" s="21">
        <v>14358</v>
      </c>
      <c r="E7284" s="21" t="s">
        <v>2123</v>
      </c>
      <c r="F7284" s="21" t="s">
        <v>520</v>
      </c>
      <c r="G7284" s="21">
        <v>1</v>
      </c>
      <c r="H7284" s="21">
        <v>125</v>
      </c>
      <c r="I7284" s="23" t="s">
        <v>2576</v>
      </c>
      <c r="J7284" s="21"/>
      <c r="K7284" s="21" t="s">
        <v>119</v>
      </c>
      <c r="L7284" s="21"/>
      <c r="M7284" s="21"/>
      <c r="N7284" s="21" t="s">
        <v>40</v>
      </c>
      <c r="O7284" s="21">
        <v>47</v>
      </c>
      <c r="P7284" s="21"/>
      <c r="Q7284" s="21">
        <f t="shared" si="133"/>
        <v>2</v>
      </c>
      <c r="R7284" s="21">
        <v>1</v>
      </c>
      <c r="S7284" s="21">
        <v>0</v>
      </c>
      <c r="T7284" s="21">
        <v>0</v>
      </c>
      <c r="U7284" s="21">
        <v>0</v>
      </c>
      <c r="V7284" s="21">
        <v>2</v>
      </c>
      <c r="W7284" s="21">
        <v>0</v>
      </c>
      <c r="X7284" s="21">
        <v>0</v>
      </c>
      <c r="Y7284" s="21">
        <v>0</v>
      </c>
      <c r="Z7284" s="21">
        <v>0</v>
      </c>
      <c r="AA7284" s="21">
        <v>0</v>
      </c>
      <c r="AB7284" s="21">
        <v>0</v>
      </c>
      <c r="AC7284" s="21">
        <v>0</v>
      </c>
      <c r="AD7284" s="21">
        <v>0</v>
      </c>
      <c r="AE7284" s="21">
        <v>0</v>
      </c>
      <c r="AF7284" s="21">
        <v>0</v>
      </c>
      <c r="AG7284" s="21">
        <v>0</v>
      </c>
      <c r="AH7284" s="21">
        <f t="shared" si="134"/>
        <v>128</v>
      </c>
      <c r="AI7284" s="21"/>
      <c r="AJ7284" s="21"/>
      <c r="AK7284" s="21"/>
      <c r="AL7284" s="21"/>
      <c r="AM7284" s="21" t="s">
        <v>2730</v>
      </c>
      <c r="AN7284" s="21">
        <v>-122.445586366667</v>
      </c>
      <c r="AO7284" s="21">
        <v>37.7948837333333</v>
      </c>
      <c r="AP7284" s="21" t="s">
        <v>1915</v>
      </c>
    </row>
    <row r="7285" spans="1:42">
      <c r="A7285" s="20">
        <v>43845</v>
      </c>
      <c r="B7285" s="21">
        <v>3</v>
      </c>
      <c r="C7285" s="21">
        <v>985</v>
      </c>
      <c r="D7285" s="21">
        <v>14358</v>
      </c>
      <c r="E7285" s="21" t="s">
        <v>2123</v>
      </c>
      <c r="F7285" s="21" t="s">
        <v>520</v>
      </c>
      <c r="G7285" s="21">
        <v>1</v>
      </c>
      <c r="H7285" s="21">
        <v>126</v>
      </c>
      <c r="I7285" s="23" t="s">
        <v>2576</v>
      </c>
      <c r="J7285" s="21"/>
      <c r="K7285" s="21" t="s">
        <v>119</v>
      </c>
      <c r="L7285" s="21"/>
      <c r="M7285" s="21"/>
      <c r="N7285" s="21" t="s">
        <v>40</v>
      </c>
      <c r="O7285" s="21">
        <f>60+47</f>
        <v>107</v>
      </c>
      <c r="P7285" s="21"/>
      <c r="Q7285" s="21">
        <f t="shared" si="133"/>
        <v>3</v>
      </c>
      <c r="R7285" s="21">
        <v>1</v>
      </c>
      <c r="S7285" s="21">
        <v>0</v>
      </c>
      <c r="T7285" s="21">
        <v>0</v>
      </c>
      <c r="U7285" s="21">
        <v>2</v>
      </c>
      <c r="V7285" s="21">
        <v>0</v>
      </c>
      <c r="W7285" s="21">
        <v>1</v>
      </c>
      <c r="X7285" s="21">
        <v>0</v>
      </c>
      <c r="Y7285" s="21">
        <v>0</v>
      </c>
      <c r="Z7285" s="21">
        <v>0</v>
      </c>
      <c r="AA7285" s="21">
        <v>0</v>
      </c>
      <c r="AB7285" s="21">
        <v>0</v>
      </c>
      <c r="AC7285" s="21">
        <v>0</v>
      </c>
      <c r="AD7285" s="21">
        <v>0</v>
      </c>
      <c r="AE7285" s="21">
        <v>0</v>
      </c>
      <c r="AF7285" s="21">
        <v>0</v>
      </c>
      <c r="AG7285" s="21">
        <v>0</v>
      </c>
      <c r="AH7285" s="21">
        <f t="shared" si="134"/>
        <v>160</v>
      </c>
      <c r="AI7285" s="21"/>
      <c r="AJ7285" s="21"/>
      <c r="AK7285" s="21"/>
      <c r="AL7285" s="21"/>
      <c r="AM7285" s="21" t="s">
        <v>2731</v>
      </c>
      <c r="AN7285" s="21">
        <v>-122.44590246666699</v>
      </c>
      <c r="AO7285" s="21">
        <v>37.79489615</v>
      </c>
      <c r="AP7285" s="21" t="s">
        <v>1915</v>
      </c>
    </row>
    <row r="7286" spans="1:42">
      <c r="A7286" s="20">
        <v>43845</v>
      </c>
      <c r="B7286" s="21">
        <v>3</v>
      </c>
      <c r="C7286" s="21">
        <v>985</v>
      </c>
      <c r="D7286" s="21">
        <v>14358</v>
      </c>
      <c r="E7286" s="21" t="s">
        <v>2123</v>
      </c>
      <c r="F7286" s="21" t="s">
        <v>520</v>
      </c>
      <c r="G7286" s="21">
        <v>1</v>
      </c>
      <c r="H7286" s="21">
        <v>127</v>
      </c>
      <c r="I7286" s="23" t="s">
        <v>2576</v>
      </c>
      <c r="J7286" s="21"/>
      <c r="K7286" s="21" t="s">
        <v>119</v>
      </c>
      <c r="L7286" s="21"/>
      <c r="M7286" s="21"/>
      <c r="N7286" s="21" t="s">
        <v>40</v>
      </c>
      <c r="O7286" s="21">
        <v>30</v>
      </c>
      <c r="P7286" s="21"/>
      <c r="Q7286" s="21">
        <f t="shared" si="133"/>
        <v>1</v>
      </c>
      <c r="R7286" s="21">
        <v>1</v>
      </c>
      <c r="S7286" s="21">
        <v>0</v>
      </c>
      <c r="T7286" s="21">
        <v>0</v>
      </c>
      <c r="U7286" s="21">
        <v>0</v>
      </c>
      <c r="V7286" s="21">
        <v>1</v>
      </c>
      <c r="W7286" s="21">
        <v>0</v>
      </c>
      <c r="X7286" s="21">
        <v>0</v>
      </c>
      <c r="Y7286" s="21">
        <v>0</v>
      </c>
      <c r="Z7286" s="21">
        <v>0</v>
      </c>
      <c r="AA7286" s="21">
        <v>0</v>
      </c>
      <c r="AB7286" s="21">
        <v>0</v>
      </c>
      <c r="AC7286" s="21">
        <v>0</v>
      </c>
      <c r="AD7286" s="21">
        <v>0</v>
      </c>
      <c r="AE7286" s="21">
        <v>0</v>
      </c>
      <c r="AF7286" s="21">
        <v>0</v>
      </c>
      <c r="AG7286" s="21">
        <v>0</v>
      </c>
      <c r="AH7286" s="21">
        <f t="shared" si="134"/>
        <v>64</v>
      </c>
      <c r="AI7286" s="21"/>
      <c r="AJ7286" s="21"/>
      <c r="AK7286" s="21"/>
      <c r="AL7286" s="21"/>
      <c r="AM7286" s="21" t="s">
        <v>2732</v>
      </c>
      <c r="AN7286" s="21">
        <v>-122.44605231666699</v>
      </c>
      <c r="AO7286" s="21">
        <v>37.794888716666698</v>
      </c>
      <c r="AP7286" s="21" t="s">
        <v>1915</v>
      </c>
    </row>
    <row r="7287" spans="1:42">
      <c r="A7287" s="20">
        <v>43845</v>
      </c>
      <c r="B7287" s="21">
        <v>3</v>
      </c>
      <c r="C7287" s="21">
        <v>985</v>
      </c>
      <c r="D7287" s="21">
        <v>14358</v>
      </c>
      <c r="E7287" s="21" t="s">
        <v>2123</v>
      </c>
      <c r="F7287" s="21" t="s">
        <v>520</v>
      </c>
      <c r="G7287" s="21">
        <v>1</v>
      </c>
      <c r="H7287" s="21">
        <v>128</v>
      </c>
      <c r="I7287" s="23" t="s">
        <v>2576</v>
      </c>
      <c r="J7287" s="21"/>
      <c r="K7287" s="21" t="s">
        <v>119</v>
      </c>
      <c r="L7287" s="21"/>
      <c r="M7287" s="21"/>
      <c r="N7287" s="21" t="s">
        <v>40</v>
      </c>
      <c r="O7287" s="21">
        <v>31</v>
      </c>
      <c r="P7287" s="21"/>
      <c r="Q7287" s="21">
        <f t="shared" si="133"/>
        <v>1</v>
      </c>
      <c r="R7287" s="21">
        <v>1</v>
      </c>
      <c r="S7287" s="21">
        <v>0</v>
      </c>
      <c r="T7287" s="21">
        <v>0</v>
      </c>
      <c r="U7287" s="21">
        <v>0</v>
      </c>
      <c r="V7287" s="21">
        <v>1</v>
      </c>
      <c r="W7287" s="21">
        <v>0</v>
      </c>
      <c r="X7287" s="21">
        <v>0</v>
      </c>
      <c r="Y7287" s="21">
        <v>0</v>
      </c>
      <c r="Z7287" s="21">
        <v>0</v>
      </c>
      <c r="AA7287" s="21">
        <v>0</v>
      </c>
      <c r="AB7287" s="21">
        <v>0</v>
      </c>
      <c r="AC7287" s="21">
        <v>0</v>
      </c>
      <c r="AD7287" s="21">
        <v>0</v>
      </c>
      <c r="AE7287" s="21">
        <v>0</v>
      </c>
      <c r="AF7287" s="21">
        <v>0</v>
      </c>
      <c r="AG7287" s="21">
        <v>0</v>
      </c>
      <c r="AH7287" s="21">
        <f t="shared" si="134"/>
        <v>64</v>
      </c>
      <c r="AI7287" s="21"/>
      <c r="AJ7287" s="21"/>
      <c r="AK7287" s="21"/>
      <c r="AL7287" s="21"/>
      <c r="AM7287" s="21" t="s">
        <v>2733</v>
      </c>
      <c r="AN7287" s="21">
        <v>-122.446176333333</v>
      </c>
      <c r="AO7287" s="21">
        <v>37.794845416666703</v>
      </c>
      <c r="AP7287" s="21" t="s">
        <v>1915</v>
      </c>
    </row>
    <row r="7288" spans="1:42">
      <c r="A7288" s="20">
        <v>43845</v>
      </c>
      <c r="B7288" s="21">
        <v>3</v>
      </c>
      <c r="C7288" s="21">
        <v>985</v>
      </c>
      <c r="D7288" s="21">
        <v>14358</v>
      </c>
      <c r="E7288" s="21" t="s">
        <v>2123</v>
      </c>
      <c r="F7288" s="21" t="s">
        <v>520</v>
      </c>
      <c r="G7288" s="21">
        <v>1</v>
      </c>
      <c r="H7288" s="21">
        <v>129</v>
      </c>
      <c r="I7288" s="23" t="s">
        <v>2576</v>
      </c>
      <c r="J7288" s="21"/>
      <c r="K7288" s="21" t="s">
        <v>119</v>
      </c>
      <c r="L7288" s="21"/>
      <c r="M7288" s="21"/>
      <c r="N7288" s="21" t="s">
        <v>40</v>
      </c>
      <c r="O7288" s="21">
        <f>60+60+60+46</f>
        <v>226</v>
      </c>
      <c r="P7288" s="21"/>
      <c r="Q7288" s="21">
        <f t="shared" si="133"/>
        <v>1</v>
      </c>
      <c r="R7288" s="21">
        <v>1</v>
      </c>
      <c r="S7288" s="21">
        <v>0</v>
      </c>
      <c r="T7288" s="21">
        <v>0</v>
      </c>
      <c r="U7288" s="21">
        <v>0</v>
      </c>
      <c r="V7288" s="21">
        <v>1</v>
      </c>
      <c r="W7288" s="21">
        <v>0</v>
      </c>
      <c r="X7288" s="21">
        <v>0</v>
      </c>
      <c r="Y7288" s="21">
        <v>0</v>
      </c>
      <c r="Z7288" s="21">
        <v>0</v>
      </c>
      <c r="AA7288" s="21">
        <v>0</v>
      </c>
      <c r="AB7288" s="21">
        <v>0</v>
      </c>
      <c r="AC7288" s="21">
        <v>0</v>
      </c>
      <c r="AD7288" s="21">
        <v>0</v>
      </c>
      <c r="AE7288" s="21">
        <v>0</v>
      </c>
      <c r="AF7288" s="21">
        <v>0</v>
      </c>
      <c r="AG7288" s="21">
        <v>0</v>
      </c>
      <c r="AH7288" s="21">
        <f t="shared" si="134"/>
        <v>64</v>
      </c>
      <c r="AI7288" s="21"/>
      <c r="AJ7288" s="21" t="s">
        <v>51</v>
      </c>
      <c r="AK7288" s="21" t="s">
        <v>52</v>
      </c>
      <c r="AL7288" s="21" t="s">
        <v>2565</v>
      </c>
      <c r="AM7288" s="21" t="s">
        <v>2734</v>
      </c>
      <c r="AN7288" s="21">
        <v>-122.446426066667</v>
      </c>
      <c r="AO7288" s="21">
        <v>37.794833650000001</v>
      </c>
      <c r="AP7288" s="21" t="s">
        <v>1915</v>
      </c>
    </row>
    <row r="7289" spans="1:42">
      <c r="A7289" s="20">
        <v>43845</v>
      </c>
      <c r="B7289" s="21">
        <v>3</v>
      </c>
      <c r="C7289" s="21">
        <v>985</v>
      </c>
      <c r="D7289" s="21">
        <v>14358</v>
      </c>
      <c r="E7289" s="21" t="s">
        <v>2123</v>
      </c>
      <c r="F7289" s="21" t="s">
        <v>520</v>
      </c>
      <c r="G7289" s="21">
        <v>1</v>
      </c>
      <c r="H7289" s="21">
        <v>130</v>
      </c>
      <c r="I7289" s="23" t="s">
        <v>2160</v>
      </c>
      <c r="J7289" s="21"/>
      <c r="K7289" s="21" t="s">
        <v>319</v>
      </c>
      <c r="L7289" s="21"/>
      <c r="M7289" s="21" t="s">
        <v>95</v>
      </c>
      <c r="N7289" s="21"/>
      <c r="O7289" s="21">
        <f>60+60+48</f>
        <v>168</v>
      </c>
      <c r="P7289" s="21"/>
      <c r="Q7289" s="21">
        <f t="shared" si="133"/>
        <v>3</v>
      </c>
      <c r="R7289" s="21">
        <v>1</v>
      </c>
      <c r="S7289" s="21">
        <v>0</v>
      </c>
      <c r="T7289" s="21">
        <v>0</v>
      </c>
      <c r="U7289" s="21">
        <v>0</v>
      </c>
      <c r="V7289" s="21">
        <v>1</v>
      </c>
      <c r="W7289" s="21">
        <v>2</v>
      </c>
      <c r="X7289" s="21">
        <v>0</v>
      </c>
      <c r="Y7289" s="21">
        <v>0</v>
      </c>
      <c r="Z7289" s="21">
        <v>0</v>
      </c>
      <c r="AA7289" s="21">
        <v>0</v>
      </c>
      <c r="AB7289" s="21">
        <v>0</v>
      </c>
      <c r="AC7289" s="21">
        <v>0</v>
      </c>
      <c r="AD7289" s="21">
        <v>0</v>
      </c>
      <c r="AE7289" s="21">
        <v>0</v>
      </c>
      <c r="AF7289" s="21">
        <v>0</v>
      </c>
      <c r="AG7289" s="21">
        <v>0</v>
      </c>
      <c r="AH7289" s="21">
        <f t="shared" si="134"/>
        <v>256</v>
      </c>
      <c r="AI7289" s="21"/>
      <c r="AJ7289" s="21"/>
      <c r="AK7289" s="21"/>
      <c r="AL7289" s="21"/>
      <c r="AM7289" s="21" t="s">
        <v>2735</v>
      </c>
      <c r="AN7289" s="21">
        <v>-122.446633733333</v>
      </c>
      <c r="AO7289" s="21">
        <v>37.7942957333333</v>
      </c>
      <c r="AP7289" s="21" t="s">
        <v>1915</v>
      </c>
    </row>
    <row r="7290" spans="1:42">
      <c r="A7290" s="20">
        <v>43845</v>
      </c>
      <c r="B7290" s="21">
        <v>3</v>
      </c>
      <c r="C7290" s="21">
        <v>985</v>
      </c>
      <c r="D7290" s="21">
        <v>14358</v>
      </c>
      <c r="E7290" s="21" t="s">
        <v>2123</v>
      </c>
      <c r="F7290" s="21" t="s">
        <v>520</v>
      </c>
      <c r="G7290" s="21">
        <v>1</v>
      </c>
      <c r="H7290" s="21">
        <v>131</v>
      </c>
      <c r="I7290" s="23" t="s">
        <v>2711</v>
      </c>
      <c r="J7290" s="21"/>
      <c r="K7290" s="21" t="s">
        <v>319</v>
      </c>
      <c r="L7290" s="21"/>
      <c r="M7290" s="21"/>
      <c r="N7290" s="21" t="s">
        <v>40</v>
      </c>
      <c r="O7290" s="21">
        <f>60+2</f>
        <v>62</v>
      </c>
      <c r="P7290" s="21"/>
      <c r="Q7290" s="21">
        <f t="shared" si="133"/>
        <v>2</v>
      </c>
      <c r="R7290" s="21">
        <v>1</v>
      </c>
      <c r="S7290" s="21">
        <v>0</v>
      </c>
      <c r="T7290" s="21">
        <v>0</v>
      </c>
      <c r="U7290" s="21">
        <v>0</v>
      </c>
      <c r="V7290" s="21">
        <v>1</v>
      </c>
      <c r="W7290" s="21">
        <v>1</v>
      </c>
      <c r="X7290" s="21">
        <v>0</v>
      </c>
      <c r="Y7290" s="21">
        <v>0</v>
      </c>
      <c r="Z7290" s="21">
        <v>0</v>
      </c>
      <c r="AA7290" s="21">
        <v>0</v>
      </c>
      <c r="AB7290" s="21">
        <v>0</v>
      </c>
      <c r="AC7290" s="21">
        <v>0</v>
      </c>
      <c r="AD7290" s="21">
        <v>0</v>
      </c>
      <c r="AE7290" s="21">
        <v>0</v>
      </c>
      <c r="AF7290" s="21">
        <v>0</v>
      </c>
      <c r="AG7290" s="21">
        <v>0</v>
      </c>
      <c r="AH7290" s="21">
        <f t="shared" si="134"/>
        <v>160</v>
      </c>
      <c r="AI7290" s="21"/>
      <c r="AJ7290" s="21"/>
      <c r="AK7290" s="21"/>
      <c r="AL7290" s="21"/>
      <c r="AM7290" s="21" t="s">
        <v>2736</v>
      </c>
      <c r="AN7290" s="21">
        <v>-122.446774333333</v>
      </c>
      <c r="AO7290" s="21">
        <v>37.7949016833333</v>
      </c>
      <c r="AP7290" s="21" t="s">
        <v>1915</v>
      </c>
    </row>
    <row r="7291" spans="1:42">
      <c r="A7291" s="20">
        <v>43845</v>
      </c>
      <c r="B7291" s="21">
        <v>3</v>
      </c>
      <c r="C7291" s="21">
        <v>985</v>
      </c>
      <c r="D7291" s="21">
        <v>14358</v>
      </c>
      <c r="E7291" s="21" t="s">
        <v>2123</v>
      </c>
      <c r="F7291" s="21" t="s">
        <v>520</v>
      </c>
      <c r="G7291" s="21">
        <v>1</v>
      </c>
      <c r="H7291" s="21">
        <v>132</v>
      </c>
      <c r="I7291" s="23" t="s">
        <v>2711</v>
      </c>
      <c r="J7291" s="21"/>
      <c r="K7291" s="21" t="s">
        <v>319</v>
      </c>
      <c r="L7291" s="21"/>
      <c r="M7291" s="21"/>
      <c r="N7291" s="21" t="s">
        <v>40</v>
      </c>
      <c r="O7291" s="21">
        <v>56</v>
      </c>
      <c r="P7291" s="21"/>
      <c r="Q7291" s="21">
        <f t="shared" si="133"/>
        <v>2</v>
      </c>
      <c r="R7291" s="21">
        <v>1</v>
      </c>
      <c r="S7291" s="21">
        <v>0</v>
      </c>
      <c r="T7291" s="21">
        <v>0</v>
      </c>
      <c r="U7291" s="21">
        <v>0</v>
      </c>
      <c r="V7291" s="21">
        <v>0</v>
      </c>
      <c r="W7291" s="21">
        <v>2</v>
      </c>
      <c r="X7291" s="21">
        <v>0</v>
      </c>
      <c r="Y7291" s="21">
        <v>0</v>
      </c>
      <c r="Z7291" s="21">
        <v>0</v>
      </c>
      <c r="AA7291" s="21">
        <v>0</v>
      </c>
      <c r="AB7291" s="21">
        <v>0</v>
      </c>
      <c r="AC7291" s="21">
        <v>0</v>
      </c>
      <c r="AD7291" s="21">
        <v>0</v>
      </c>
      <c r="AE7291" s="21">
        <v>0</v>
      </c>
      <c r="AF7291" s="21">
        <v>0</v>
      </c>
      <c r="AG7291" s="21">
        <v>0</v>
      </c>
      <c r="AH7291" s="21">
        <f t="shared" si="134"/>
        <v>192</v>
      </c>
      <c r="AI7291" s="21"/>
      <c r="AJ7291" s="21" t="s">
        <v>51</v>
      </c>
      <c r="AK7291" s="21" t="s">
        <v>95</v>
      </c>
      <c r="AL7291" s="21"/>
      <c r="AM7291" s="21" t="s">
        <v>2737</v>
      </c>
      <c r="AN7291" s="21">
        <v>-122.446821383333</v>
      </c>
      <c r="AO7291" s="21">
        <v>37.795316683333297</v>
      </c>
      <c r="AP7291" s="21" t="s">
        <v>1915</v>
      </c>
    </row>
    <row r="7292" spans="1:42">
      <c r="A7292" s="20">
        <v>43845</v>
      </c>
      <c r="B7292" s="21">
        <v>3</v>
      </c>
      <c r="C7292" s="21">
        <v>985</v>
      </c>
      <c r="D7292" s="21">
        <v>14358</v>
      </c>
      <c r="E7292" s="21" t="s">
        <v>2123</v>
      </c>
      <c r="F7292" s="21" t="s">
        <v>520</v>
      </c>
      <c r="G7292" s="21">
        <v>1</v>
      </c>
      <c r="H7292" s="21">
        <v>133</v>
      </c>
      <c r="I7292" s="23" t="s">
        <v>2700</v>
      </c>
      <c r="J7292" s="21"/>
      <c r="K7292" s="21" t="s">
        <v>319</v>
      </c>
      <c r="L7292" s="21"/>
      <c r="M7292" s="21"/>
      <c r="N7292" s="21" t="s">
        <v>40</v>
      </c>
      <c r="O7292" s="21">
        <v>27</v>
      </c>
      <c r="P7292" s="21"/>
      <c r="Q7292" s="21">
        <f t="shared" si="133"/>
        <v>1</v>
      </c>
      <c r="R7292" s="21">
        <v>1</v>
      </c>
      <c r="S7292" s="21">
        <v>0</v>
      </c>
      <c r="T7292" s="21">
        <v>0</v>
      </c>
      <c r="U7292" s="21">
        <v>0</v>
      </c>
      <c r="V7292" s="21">
        <v>0</v>
      </c>
      <c r="W7292" s="21">
        <v>1</v>
      </c>
      <c r="X7292" s="21">
        <v>0</v>
      </c>
      <c r="Y7292" s="21">
        <v>0</v>
      </c>
      <c r="Z7292" s="21">
        <v>0</v>
      </c>
      <c r="AA7292" s="21">
        <v>0</v>
      </c>
      <c r="AB7292" s="21">
        <v>0</v>
      </c>
      <c r="AC7292" s="21">
        <v>0</v>
      </c>
      <c r="AD7292" s="21">
        <v>0</v>
      </c>
      <c r="AE7292" s="21">
        <v>0</v>
      </c>
      <c r="AF7292" s="21">
        <v>0</v>
      </c>
      <c r="AG7292" s="21">
        <v>0</v>
      </c>
      <c r="AH7292" s="21">
        <f t="shared" si="134"/>
        <v>96</v>
      </c>
      <c r="AI7292" s="21"/>
      <c r="AJ7292" s="21"/>
      <c r="AK7292" s="21"/>
      <c r="AL7292" s="21"/>
      <c r="AM7292" s="21" t="s">
        <v>2738</v>
      </c>
      <c r="AN7292" s="21">
        <v>-122.447175316667</v>
      </c>
      <c r="AO7292" s="21">
        <v>37.7960331833333</v>
      </c>
      <c r="AP7292" s="21" t="s">
        <v>1915</v>
      </c>
    </row>
    <row r="7293" spans="1:42">
      <c r="A7293" s="20">
        <v>43845</v>
      </c>
      <c r="B7293" s="21">
        <v>3</v>
      </c>
      <c r="C7293" s="21">
        <v>985</v>
      </c>
      <c r="D7293" s="21">
        <v>14358</v>
      </c>
      <c r="E7293" s="21" t="s">
        <v>2123</v>
      </c>
      <c r="F7293" s="21" t="s">
        <v>520</v>
      </c>
      <c r="G7293" s="21">
        <v>1</v>
      </c>
      <c r="H7293" s="21">
        <v>134</v>
      </c>
      <c r="I7293" s="23" t="s">
        <v>2700</v>
      </c>
      <c r="J7293" s="21"/>
      <c r="K7293" s="21" t="s">
        <v>319</v>
      </c>
      <c r="L7293" s="21"/>
      <c r="M7293" s="21"/>
      <c r="N7293" s="21"/>
      <c r="O7293" s="21">
        <v>47</v>
      </c>
      <c r="P7293" s="21"/>
      <c r="Q7293" s="21">
        <f t="shared" si="133"/>
        <v>2</v>
      </c>
      <c r="R7293" s="21">
        <v>1</v>
      </c>
      <c r="S7293" s="21">
        <v>0</v>
      </c>
      <c r="T7293" s="21">
        <v>0</v>
      </c>
      <c r="U7293" s="21">
        <v>2</v>
      </c>
      <c r="V7293" s="21">
        <v>0</v>
      </c>
      <c r="W7293" s="21">
        <v>0</v>
      </c>
      <c r="X7293" s="21">
        <v>0</v>
      </c>
      <c r="Y7293" s="21">
        <v>0</v>
      </c>
      <c r="Z7293" s="21">
        <v>0</v>
      </c>
      <c r="AA7293" s="21">
        <v>0</v>
      </c>
      <c r="AB7293" s="21">
        <v>0</v>
      </c>
      <c r="AC7293" s="21">
        <v>0</v>
      </c>
      <c r="AD7293" s="21">
        <v>0</v>
      </c>
      <c r="AE7293" s="21">
        <v>0</v>
      </c>
      <c r="AF7293" s="21">
        <v>0</v>
      </c>
      <c r="AG7293" s="21">
        <v>0</v>
      </c>
      <c r="AH7293" s="21">
        <f t="shared" si="134"/>
        <v>64</v>
      </c>
      <c r="AI7293" s="21"/>
      <c r="AJ7293" s="21"/>
      <c r="AK7293" s="21"/>
      <c r="AL7293" s="21"/>
      <c r="AM7293" s="21" t="s">
        <v>2739</v>
      </c>
      <c r="AN7293" s="21">
        <v>-122.446892983333</v>
      </c>
      <c r="AO7293" s="21">
        <v>37.796043150000003</v>
      </c>
      <c r="AP7293" s="21" t="s">
        <v>1915</v>
      </c>
    </row>
    <row r="7294" spans="1:42">
      <c r="A7294" s="20">
        <v>43845</v>
      </c>
      <c r="B7294" s="21">
        <v>3</v>
      </c>
      <c r="C7294" s="21">
        <v>985</v>
      </c>
      <c r="D7294" s="21">
        <v>14358</v>
      </c>
      <c r="E7294" s="21" t="s">
        <v>2123</v>
      </c>
      <c r="F7294" s="21" t="s">
        <v>520</v>
      </c>
      <c r="G7294" s="21">
        <v>1</v>
      </c>
      <c r="H7294" s="21">
        <v>135</v>
      </c>
      <c r="I7294" s="23" t="s">
        <v>2700</v>
      </c>
      <c r="J7294" s="21"/>
      <c r="K7294" s="21" t="s">
        <v>319</v>
      </c>
      <c r="L7294" s="21"/>
      <c r="M7294" s="21"/>
      <c r="N7294" s="21" t="s">
        <v>40</v>
      </c>
      <c r="O7294" s="21">
        <v>32</v>
      </c>
      <c r="P7294" s="21"/>
      <c r="Q7294" s="21">
        <f t="shared" si="133"/>
        <v>2</v>
      </c>
      <c r="R7294" s="21">
        <v>1</v>
      </c>
      <c r="S7294" s="21">
        <v>0</v>
      </c>
      <c r="T7294" s="21">
        <v>0</v>
      </c>
      <c r="U7294" s="21">
        <v>2</v>
      </c>
      <c r="V7294" s="21">
        <v>0</v>
      </c>
      <c r="W7294" s="21">
        <v>0</v>
      </c>
      <c r="X7294" s="21">
        <v>0</v>
      </c>
      <c r="Y7294" s="21">
        <v>0</v>
      </c>
      <c r="Z7294" s="21">
        <v>0</v>
      </c>
      <c r="AA7294" s="21">
        <v>0</v>
      </c>
      <c r="AB7294" s="21">
        <v>0</v>
      </c>
      <c r="AC7294" s="21">
        <v>0</v>
      </c>
      <c r="AD7294" s="21">
        <v>0</v>
      </c>
      <c r="AE7294" s="21">
        <v>0</v>
      </c>
      <c r="AF7294" s="21">
        <v>0</v>
      </c>
      <c r="AG7294" s="21">
        <v>0</v>
      </c>
      <c r="AH7294" s="21">
        <f t="shared" si="134"/>
        <v>64</v>
      </c>
      <c r="AI7294" s="21"/>
      <c r="AJ7294" s="21"/>
      <c r="AK7294" s="21"/>
      <c r="AL7294" s="21"/>
      <c r="AM7294" s="21" t="s">
        <v>2740</v>
      </c>
      <c r="AN7294" s="21">
        <v>-122.4469192</v>
      </c>
      <c r="AO7294" s="21">
        <v>37.7961463166667</v>
      </c>
      <c r="AP7294" s="21" t="s">
        <v>1915</v>
      </c>
    </row>
    <row r="7295" spans="1:42">
      <c r="A7295" s="20">
        <v>43845</v>
      </c>
      <c r="B7295" s="21">
        <v>3</v>
      </c>
      <c r="C7295" s="21">
        <v>985</v>
      </c>
      <c r="D7295" s="21">
        <v>14358</v>
      </c>
      <c r="E7295" s="21" t="s">
        <v>2123</v>
      </c>
      <c r="F7295" s="21" t="s">
        <v>520</v>
      </c>
      <c r="G7295" s="21">
        <v>1</v>
      </c>
      <c r="H7295" s="21">
        <v>136</v>
      </c>
      <c r="I7295" s="23" t="s">
        <v>2700</v>
      </c>
      <c r="J7295" s="21"/>
      <c r="K7295" s="21" t="s">
        <v>119</v>
      </c>
      <c r="L7295" s="21"/>
      <c r="M7295" s="21"/>
      <c r="N7295" s="21"/>
      <c r="O7295" s="21">
        <v>50</v>
      </c>
      <c r="P7295" s="21"/>
      <c r="Q7295" s="21">
        <f t="shared" si="133"/>
        <v>2</v>
      </c>
      <c r="R7295" s="21">
        <v>1</v>
      </c>
      <c r="S7295" s="21">
        <v>0</v>
      </c>
      <c r="T7295" s="21">
        <v>0</v>
      </c>
      <c r="U7295" s="21">
        <v>0</v>
      </c>
      <c r="V7295" s="21">
        <v>2</v>
      </c>
      <c r="W7295" s="21">
        <v>0</v>
      </c>
      <c r="X7295" s="21">
        <v>0</v>
      </c>
      <c r="Y7295" s="21">
        <v>0</v>
      </c>
      <c r="Z7295" s="21">
        <v>0</v>
      </c>
      <c r="AA7295" s="21">
        <v>0</v>
      </c>
      <c r="AB7295" s="21">
        <v>0</v>
      </c>
      <c r="AC7295" s="21">
        <v>0</v>
      </c>
      <c r="AD7295" s="21">
        <v>0</v>
      </c>
      <c r="AE7295" s="21">
        <v>0</v>
      </c>
      <c r="AF7295" s="21">
        <v>0</v>
      </c>
      <c r="AG7295" s="21">
        <v>0</v>
      </c>
      <c r="AH7295" s="21">
        <f t="shared" si="134"/>
        <v>128</v>
      </c>
      <c r="AI7295" s="21"/>
      <c r="AJ7295" s="21"/>
      <c r="AK7295" s="21"/>
      <c r="AL7295" s="21"/>
      <c r="AM7295" s="21" t="s">
        <v>2741</v>
      </c>
      <c r="AN7295" s="21">
        <v>-122.446920916667</v>
      </c>
      <c r="AO7295" s="21">
        <v>37.796243216666603</v>
      </c>
      <c r="AP7295" s="21" t="s">
        <v>1915</v>
      </c>
    </row>
    <row r="7296" spans="1:42">
      <c r="A7296" s="20">
        <v>43845</v>
      </c>
      <c r="B7296" s="21">
        <v>3</v>
      </c>
      <c r="C7296" s="21">
        <v>985</v>
      </c>
      <c r="D7296" s="21">
        <v>14358</v>
      </c>
      <c r="E7296" s="21" t="s">
        <v>2123</v>
      </c>
      <c r="F7296" s="21" t="s">
        <v>520</v>
      </c>
      <c r="G7296" s="21">
        <v>1</v>
      </c>
      <c r="H7296" s="21">
        <v>137</v>
      </c>
      <c r="I7296" s="23" t="s">
        <v>2239</v>
      </c>
      <c r="J7296" s="21"/>
      <c r="K7296" s="21" t="s">
        <v>319</v>
      </c>
      <c r="L7296" s="21"/>
      <c r="M7296" s="21"/>
      <c r="N7296" s="21" t="s">
        <v>40</v>
      </c>
      <c r="O7296" s="21">
        <f>60+60+25</f>
        <v>145</v>
      </c>
      <c r="P7296" s="21"/>
      <c r="Q7296" s="21">
        <f t="shared" ref="Q7296:Q7359" si="135">SUM(S7296:AE7296)</f>
        <v>3</v>
      </c>
      <c r="R7296" s="21">
        <v>1</v>
      </c>
      <c r="S7296" s="21">
        <v>0</v>
      </c>
      <c r="T7296" s="21">
        <v>0</v>
      </c>
      <c r="U7296" s="21">
        <v>0</v>
      </c>
      <c r="V7296" s="21">
        <v>1</v>
      </c>
      <c r="W7296" s="21">
        <v>2</v>
      </c>
      <c r="X7296" s="21">
        <v>0</v>
      </c>
      <c r="Y7296" s="21">
        <v>0</v>
      </c>
      <c r="Z7296" s="21">
        <v>0</v>
      </c>
      <c r="AA7296" s="21">
        <v>0</v>
      </c>
      <c r="AB7296" s="21">
        <v>0</v>
      </c>
      <c r="AC7296" s="21">
        <v>0</v>
      </c>
      <c r="AD7296" s="21">
        <v>0</v>
      </c>
      <c r="AE7296" s="21">
        <v>0</v>
      </c>
      <c r="AF7296" s="21">
        <v>0</v>
      </c>
      <c r="AG7296" s="21">
        <v>0</v>
      </c>
      <c r="AH7296" s="21">
        <f t="shared" ref="AH7296:AH7359" si="136">(S7296*16)+(T7296*20)+(U7296*32)+(V7296*64)+(W7296*96)</f>
        <v>256</v>
      </c>
      <c r="AI7296" s="21"/>
      <c r="AJ7296" s="21" t="s">
        <v>51</v>
      </c>
      <c r="AK7296" s="21" t="s">
        <v>52</v>
      </c>
      <c r="AL7296" s="21" t="s">
        <v>2742</v>
      </c>
      <c r="AM7296" s="21" t="s">
        <v>2743</v>
      </c>
      <c r="AN7296" s="21">
        <v>-122.44723026666701</v>
      </c>
      <c r="AO7296" s="21">
        <v>37.798210083333302</v>
      </c>
      <c r="AP7296" s="21" t="s">
        <v>1915</v>
      </c>
    </row>
    <row r="7297" spans="1:42">
      <c r="A7297" s="20">
        <v>43845</v>
      </c>
      <c r="B7297" s="21">
        <v>3</v>
      </c>
      <c r="C7297" s="21">
        <v>985</v>
      </c>
      <c r="D7297" s="21">
        <v>14358</v>
      </c>
      <c r="E7297" s="21" t="s">
        <v>2123</v>
      </c>
      <c r="F7297" s="21" t="s">
        <v>520</v>
      </c>
      <c r="G7297" s="21">
        <v>1</v>
      </c>
      <c r="H7297" s="21">
        <v>138</v>
      </c>
      <c r="I7297" s="23" t="s">
        <v>2700</v>
      </c>
      <c r="J7297" s="21"/>
      <c r="K7297" s="21" t="s">
        <v>210</v>
      </c>
      <c r="L7297" s="21"/>
      <c r="M7297" s="21"/>
      <c r="N7297" s="21" t="s">
        <v>44</v>
      </c>
      <c r="O7297" s="21">
        <v>28</v>
      </c>
      <c r="P7297" s="21"/>
      <c r="Q7297" s="21">
        <f t="shared" si="135"/>
        <v>1</v>
      </c>
      <c r="R7297" s="21">
        <v>1</v>
      </c>
      <c r="S7297" s="21">
        <v>0</v>
      </c>
      <c r="T7297" s="21">
        <v>0</v>
      </c>
      <c r="U7297" s="21">
        <v>0</v>
      </c>
      <c r="V7297" s="21">
        <v>0</v>
      </c>
      <c r="W7297" s="21">
        <v>1</v>
      </c>
      <c r="X7297" s="21">
        <v>0</v>
      </c>
      <c r="Y7297" s="21">
        <v>0</v>
      </c>
      <c r="Z7297" s="21">
        <v>0</v>
      </c>
      <c r="AA7297" s="21">
        <v>0</v>
      </c>
      <c r="AB7297" s="21">
        <v>0</v>
      </c>
      <c r="AC7297" s="21">
        <v>0</v>
      </c>
      <c r="AD7297" s="21">
        <v>0</v>
      </c>
      <c r="AE7297" s="21">
        <v>0</v>
      </c>
      <c r="AF7297" s="21">
        <v>0</v>
      </c>
      <c r="AG7297" s="21">
        <v>0</v>
      </c>
      <c r="AH7297" s="21">
        <f t="shared" si="136"/>
        <v>96</v>
      </c>
      <c r="AI7297" s="21"/>
      <c r="AJ7297" s="21" t="s">
        <v>51</v>
      </c>
      <c r="AK7297" s="21" t="s">
        <v>52</v>
      </c>
      <c r="AL7297" s="21"/>
      <c r="AM7297" s="21" t="s">
        <v>2744</v>
      </c>
      <c r="AN7297" s="21">
        <v>-122.44677091666701</v>
      </c>
      <c r="AO7297" s="21">
        <v>37.798528050000002</v>
      </c>
      <c r="AP7297" s="21" t="s">
        <v>1915</v>
      </c>
    </row>
    <row r="7298" spans="1:42">
      <c r="A7298" s="20">
        <v>43845</v>
      </c>
      <c r="B7298" s="21">
        <v>3</v>
      </c>
      <c r="C7298" s="21">
        <v>985</v>
      </c>
      <c r="D7298" s="21">
        <v>14358</v>
      </c>
      <c r="E7298" s="21" t="s">
        <v>2123</v>
      </c>
      <c r="F7298" s="21" t="s">
        <v>520</v>
      </c>
      <c r="G7298" s="21">
        <v>1</v>
      </c>
      <c r="H7298" s="21">
        <v>139</v>
      </c>
      <c r="I7298" s="23"/>
      <c r="J7298" s="21"/>
      <c r="K7298" s="21" t="s">
        <v>210</v>
      </c>
      <c r="L7298" s="21"/>
      <c r="M7298" s="21"/>
      <c r="N7298" s="21" t="s">
        <v>40</v>
      </c>
      <c r="O7298" s="21">
        <v>32</v>
      </c>
      <c r="P7298" s="21"/>
      <c r="Q7298" s="21">
        <f t="shared" si="135"/>
        <v>1</v>
      </c>
      <c r="R7298" s="21">
        <v>1</v>
      </c>
      <c r="S7298" s="21">
        <v>0</v>
      </c>
      <c r="T7298" s="21">
        <v>0</v>
      </c>
      <c r="U7298" s="21">
        <v>1</v>
      </c>
      <c r="V7298" s="21">
        <v>0</v>
      </c>
      <c r="W7298" s="21">
        <v>0</v>
      </c>
      <c r="X7298" s="21">
        <v>0</v>
      </c>
      <c r="Y7298" s="21">
        <v>0</v>
      </c>
      <c r="Z7298" s="21">
        <v>0</v>
      </c>
      <c r="AA7298" s="21">
        <v>0</v>
      </c>
      <c r="AB7298" s="21">
        <v>0</v>
      </c>
      <c r="AC7298" s="21">
        <v>0</v>
      </c>
      <c r="AD7298" s="21">
        <v>0</v>
      </c>
      <c r="AE7298" s="21">
        <v>0</v>
      </c>
      <c r="AF7298" s="21">
        <v>0</v>
      </c>
      <c r="AG7298" s="21">
        <v>0</v>
      </c>
      <c r="AH7298" s="21">
        <f t="shared" si="136"/>
        <v>32</v>
      </c>
      <c r="AI7298" s="21"/>
      <c r="AJ7298" s="21"/>
      <c r="AK7298" s="21"/>
      <c r="AL7298" s="21"/>
      <c r="AM7298" s="21" t="s">
        <v>2745</v>
      </c>
      <c r="AN7298" s="21">
        <v>-122.4465266</v>
      </c>
      <c r="AO7298" s="21">
        <v>37.798543950000003</v>
      </c>
      <c r="AP7298" s="21" t="s">
        <v>1915</v>
      </c>
    </row>
    <row r="7299" spans="1:42">
      <c r="A7299" s="20">
        <v>43845</v>
      </c>
      <c r="B7299" s="21">
        <v>3</v>
      </c>
      <c r="C7299" s="21">
        <v>985</v>
      </c>
      <c r="D7299" s="21">
        <v>14358</v>
      </c>
      <c r="E7299" s="21" t="s">
        <v>2123</v>
      </c>
      <c r="F7299" s="21" t="s">
        <v>520</v>
      </c>
      <c r="G7299" s="21">
        <v>1</v>
      </c>
      <c r="H7299" s="21">
        <v>140</v>
      </c>
      <c r="I7299" s="23" t="s">
        <v>2711</v>
      </c>
      <c r="J7299" s="21"/>
      <c r="K7299" s="21" t="s">
        <v>210</v>
      </c>
      <c r="L7299" s="21"/>
      <c r="M7299" s="21"/>
      <c r="N7299" s="21" t="s">
        <v>40</v>
      </c>
      <c r="O7299" s="21">
        <v>42</v>
      </c>
      <c r="P7299" s="21"/>
      <c r="Q7299" s="21">
        <f t="shared" si="135"/>
        <v>2</v>
      </c>
      <c r="R7299" s="21">
        <v>1</v>
      </c>
      <c r="S7299" s="21">
        <v>0</v>
      </c>
      <c r="T7299" s="21">
        <v>0</v>
      </c>
      <c r="U7299" s="21">
        <v>1</v>
      </c>
      <c r="V7299" s="21">
        <v>1</v>
      </c>
      <c r="W7299" s="21">
        <v>0</v>
      </c>
      <c r="X7299" s="21">
        <v>0</v>
      </c>
      <c r="Y7299" s="21">
        <v>0</v>
      </c>
      <c r="Z7299" s="21">
        <v>0</v>
      </c>
      <c r="AA7299" s="21">
        <v>0</v>
      </c>
      <c r="AB7299" s="21">
        <v>0</v>
      </c>
      <c r="AC7299" s="21">
        <v>0</v>
      </c>
      <c r="AD7299" s="21">
        <v>0</v>
      </c>
      <c r="AE7299" s="21">
        <v>0</v>
      </c>
      <c r="AF7299" s="21">
        <v>0</v>
      </c>
      <c r="AG7299" s="21">
        <v>0</v>
      </c>
      <c r="AH7299" s="21">
        <f t="shared" si="136"/>
        <v>96</v>
      </c>
      <c r="AI7299" s="21"/>
      <c r="AJ7299" s="21"/>
      <c r="AK7299" s="21"/>
      <c r="AL7299" s="21"/>
      <c r="AM7299" s="21" t="s">
        <v>2746</v>
      </c>
      <c r="AN7299" s="21">
        <v>-122.445568633333</v>
      </c>
      <c r="AO7299" s="21">
        <v>37.798572433333298</v>
      </c>
      <c r="AP7299" s="21" t="s">
        <v>1915</v>
      </c>
    </row>
    <row r="7300" spans="1:42">
      <c r="A7300" s="20">
        <v>43845</v>
      </c>
      <c r="B7300" s="21">
        <v>3</v>
      </c>
      <c r="C7300" s="21">
        <v>985</v>
      </c>
      <c r="D7300" s="21">
        <v>14358</v>
      </c>
      <c r="E7300" s="21" t="s">
        <v>2123</v>
      </c>
      <c r="F7300" s="21" t="s">
        <v>520</v>
      </c>
      <c r="G7300" s="21">
        <v>1</v>
      </c>
      <c r="H7300" s="21">
        <v>141</v>
      </c>
      <c r="I7300" s="23" t="s">
        <v>2747</v>
      </c>
      <c r="J7300" s="21"/>
      <c r="K7300" s="21" t="s">
        <v>210</v>
      </c>
      <c r="L7300" s="21"/>
      <c r="M7300" s="21"/>
      <c r="N7300" s="21" t="s">
        <v>44</v>
      </c>
      <c r="O7300" s="21">
        <f>60+60+60+4</f>
        <v>184</v>
      </c>
      <c r="P7300" s="21"/>
      <c r="Q7300" s="21">
        <f t="shared" si="135"/>
        <v>1</v>
      </c>
      <c r="R7300" s="21">
        <v>1</v>
      </c>
      <c r="S7300" s="21">
        <v>0</v>
      </c>
      <c r="T7300" s="21">
        <v>0</v>
      </c>
      <c r="U7300" s="21">
        <v>0</v>
      </c>
      <c r="V7300" s="21">
        <v>0</v>
      </c>
      <c r="W7300" s="21">
        <v>1</v>
      </c>
      <c r="X7300" s="21">
        <v>0</v>
      </c>
      <c r="Y7300" s="21">
        <v>0</v>
      </c>
      <c r="Z7300" s="21">
        <v>0</v>
      </c>
      <c r="AA7300" s="21">
        <v>0</v>
      </c>
      <c r="AB7300" s="21">
        <v>0</v>
      </c>
      <c r="AC7300" s="21">
        <v>0</v>
      </c>
      <c r="AD7300" s="21">
        <v>0</v>
      </c>
      <c r="AE7300" s="21">
        <v>0</v>
      </c>
      <c r="AF7300" s="21">
        <v>0</v>
      </c>
      <c r="AG7300" s="21">
        <v>0</v>
      </c>
      <c r="AH7300" s="21">
        <f t="shared" si="136"/>
        <v>96</v>
      </c>
      <c r="AI7300" s="21"/>
      <c r="AJ7300" s="21"/>
      <c r="AK7300" s="21"/>
      <c r="AL7300" s="21" t="s">
        <v>654</v>
      </c>
      <c r="AM7300" s="21" t="s">
        <v>2748</v>
      </c>
      <c r="AN7300" s="21">
        <v>-122.445507533333</v>
      </c>
      <c r="AO7300" s="21">
        <v>37.798621966666701</v>
      </c>
      <c r="AP7300" s="21" t="s">
        <v>1915</v>
      </c>
    </row>
    <row r="7301" spans="1:42">
      <c r="A7301" s="20">
        <v>43845</v>
      </c>
      <c r="B7301" s="21">
        <v>3</v>
      </c>
      <c r="C7301" s="21">
        <v>985</v>
      </c>
      <c r="D7301" s="21">
        <v>14358</v>
      </c>
      <c r="E7301" s="21" t="s">
        <v>2123</v>
      </c>
      <c r="F7301" s="21" t="s">
        <v>520</v>
      </c>
      <c r="G7301" s="21">
        <v>1</v>
      </c>
      <c r="H7301" s="21">
        <v>142</v>
      </c>
      <c r="I7301" s="23" t="s">
        <v>2711</v>
      </c>
      <c r="J7301" s="21"/>
      <c r="K7301" s="21" t="s">
        <v>210</v>
      </c>
      <c r="L7301" s="21"/>
      <c r="M7301" s="21"/>
      <c r="N7301" s="21" t="s">
        <v>40</v>
      </c>
      <c r="O7301" s="21">
        <f>60+1</f>
        <v>61</v>
      </c>
      <c r="P7301" s="21"/>
      <c r="Q7301" s="21">
        <f t="shared" si="135"/>
        <v>2</v>
      </c>
      <c r="R7301" s="21">
        <v>1</v>
      </c>
      <c r="S7301" s="21">
        <v>0</v>
      </c>
      <c r="T7301" s="21">
        <v>0</v>
      </c>
      <c r="U7301" s="21">
        <v>0</v>
      </c>
      <c r="V7301" s="21">
        <v>2</v>
      </c>
      <c r="W7301" s="21">
        <v>0</v>
      </c>
      <c r="X7301" s="21">
        <v>0</v>
      </c>
      <c r="Y7301" s="21">
        <v>0</v>
      </c>
      <c r="Z7301" s="21">
        <v>0</v>
      </c>
      <c r="AA7301" s="21">
        <v>0</v>
      </c>
      <c r="AB7301" s="21">
        <v>0</v>
      </c>
      <c r="AC7301" s="21">
        <v>0</v>
      </c>
      <c r="AD7301" s="21">
        <v>0</v>
      </c>
      <c r="AE7301" s="21">
        <v>0</v>
      </c>
      <c r="AF7301" s="21">
        <v>0</v>
      </c>
      <c r="AG7301" s="21">
        <v>0</v>
      </c>
      <c r="AH7301" s="21">
        <f t="shared" si="136"/>
        <v>128</v>
      </c>
      <c r="AI7301" s="21"/>
      <c r="AJ7301" s="21"/>
      <c r="AK7301" s="21"/>
      <c r="AL7301" s="21"/>
      <c r="AM7301" s="21" t="s">
        <v>2749</v>
      </c>
      <c r="AN7301" s="21">
        <v>-122.44506016666701</v>
      </c>
      <c r="AO7301" s="21">
        <v>37.798697216666604</v>
      </c>
      <c r="AP7301" s="21" t="s">
        <v>1915</v>
      </c>
    </row>
    <row r="7302" spans="1:42">
      <c r="A7302" s="20">
        <v>43845</v>
      </c>
      <c r="B7302" s="21">
        <v>3</v>
      </c>
      <c r="C7302" s="21">
        <v>985</v>
      </c>
      <c r="D7302" s="21">
        <v>14358</v>
      </c>
      <c r="E7302" s="21" t="s">
        <v>2123</v>
      </c>
      <c r="F7302" s="21" t="s">
        <v>520</v>
      </c>
      <c r="G7302" s="21">
        <v>1</v>
      </c>
      <c r="H7302" s="21">
        <v>143</v>
      </c>
      <c r="I7302" s="23" t="s">
        <v>2711</v>
      </c>
      <c r="J7302" s="21"/>
      <c r="K7302" s="21" t="s">
        <v>210</v>
      </c>
      <c r="L7302" s="21"/>
      <c r="M7302" s="21"/>
      <c r="N7302" s="21" t="s">
        <v>40</v>
      </c>
      <c r="O7302" s="21">
        <f>60+37</f>
        <v>97</v>
      </c>
      <c r="P7302" s="21"/>
      <c r="Q7302" s="21">
        <f t="shared" si="135"/>
        <v>3</v>
      </c>
      <c r="R7302" s="21">
        <v>1</v>
      </c>
      <c r="S7302" s="21">
        <v>0</v>
      </c>
      <c r="T7302" s="21">
        <v>0</v>
      </c>
      <c r="U7302" s="21">
        <v>0</v>
      </c>
      <c r="V7302" s="21">
        <v>3</v>
      </c>
      <c r="W7302" s="21">
        <v>0</v>
      </c>
      <c r="X7302" s="21">
        <v>0</v>
      </c>
      <c r="Y7302" s="21">
        <v>0</v>
      </c>
      <c r="Z7302" s="21">
        <v>0</v>
      </c>
      <c r="AA7302" s="21">
        <v>0</v>
      </c>
      <c r="AB7302" s="21">
        <v>0</v>
      </c>
      <c r="AC7302" s="21">
        <v>0</v>
      </c>
      <c r="AD7302" s="21">
        <v>0</v>
      </c>
      <c r="AE7302" s="21">
        <v>0</v>
      </c>
      <c r="AF7302" s="21">
        <v>0</v>
      </c>
      <c r="AG7302" s="21">
        <v>0</v>
      </c>
      <c r="AH7302" s="21">
        <f t="shared" si="136"/>
        <v>192</v>
      </c>
      <c r="AI7302" s="21"/>
      <c r="AJ7302" s="21"/>
      <c r="AK7302" s="21"/>
      <c r="AL7302" s="21" t="s">
        <v>2565</v>
      </c>
      <c r="AM7302" s="21" t="s">
        <v>2750</v>
      </c>
      <c r="AN7302" s="21">
        <v>-122.444967833333</v>
      </c>
      <c r="AO7302" s="21">
        <v>37.798678066666703</v>
      </c>
      <c r="AP7302" s="21" t="s">
        <v>1915</v>
      </c>
    </row>
    <row r="7303" spans="1:42">
      <c r="A7303" s="20">
        <v>43845</v>
      </c>
      <c r="B7303" s="21">
        <v>3</v>
      </c>
      <c r="C7303" s="21">
        <v>985</v>
      </c>
      <c r="D7303" s="21">
        <v>14358</v>
      </c>
      <c r="E7303" s="21" t="s">
        <v>2123</v>
      </c>
      <c r="F7303" s="21" t="s">
        <v>520</v>
      </c>
      <c r="G7303" s="21">
        <v>1</v>
      </c>
      <c r="H7303" s="21">
        <v>144</v>
      </c>
      <c r="I7303" s="23" t="s">
        <v>2467</v>
      </c>
      <c r="J7303" s="21"/>
      <c r="K7303" s="21" t="s">
        <v>210</v>
      </c>
      <c r="L7303" s="21"/>
      <c r="M7303" s="21"/>
      <c r="N7303" s="21" t="s">
        <v>42</v>
      </c>
      <c r="O7303" s="21">
        <f>60+29</f>
        <v>89</v>
      </c>
      <c r="P7303" s="21"/>
      <c r="Q7303" s="21">
        <f t="shared" si="135"/>
        <v>2</v>
      </c>
      <c r="R7303" s="21">
        <v>1</v>
      </c>
      <c r="S7303" s="21">
        <v>0</v>
      </c>
      <c r="T7303" s="21">
        <v>0</v>
      </c>
      <c r="U7303" s="21">
        <v>0</v>
      </c>
      <c r="V7303" s="21">
        <v>1</v>
      </c>
      <c r="W7303" s="21">
        <v>1</v>
      </c>
      <c r="X7303" s="21">
        <v>0</v>
      </c>
      <c r="Y7303" s="21">
        <v>0</v>
      </c>
      <c r="Z7303" s="21">
        <v>0</v>
      </c>
      <c r="AA7303" s="21">
        <v>0</v>
      </c>
      <c r="AB7303" s="21">
        <v>0</v>
      </c>
      <c r="AC7303" s="21">
        <v>0</v>
      </c>
      <c r="AD7303" s="21">
        <v>0</v>
      </c>
      <c r="AE7303" s="21">
        <v>0</v>
      </c>
      <c r="AF7303" s="21">
        <v>0</v>
      </c>
      <c r="AG7303" s="21">
        <v>0</v>
      </c>
      <c r="AH7303" s="21">
        <f t="shared" si="136"/>
        <v>160</v>
      </c>
      <c r="AI7303" s="21"/>
      <c r="AJ7303" s="21"/>
      <c r="AK7303" s="21"/>
      <c r="AL7303" s="21" t="s">
        <v>2594</v>
      </c>
      <c r="AM7303" s="21" t="s">
        <v>2751</v>
      </c>
      <c r="AN7303" s="21">
        <v>-122.444634333333</v>
      </c>
      <c r="AO7303" s="21">
        <v>37.798688783333297</v>
      </c>
      <c r="AP7303" s="21" t="s">
        <v>1915</v>
      </c>
    </row>
    <row r="7304" spans="1:42">
      <c r="A7304" s="20">
        <v>43845</v>
      </c>
      <c r="B7304" s="21">
        <v>3</v>
      </c>
      <c r="C7304" s="21">
        <v>985</v>
      </c>
      <c r="D7304" s="21">
        <v>14358</v>
      </c>
      <c r="E7304" s="21" t="s">
        <v>2123</v>
      </c>
      <c r="F7304" s="21" t="s">
        <v>520</v>
      </c>
      <c r="G7304" s="21">
        <v>1</v>
      </c>
      <c r="H7304" s="21">
        <v>145</v>
      </c>
      <c r="I7304" s="23" t="s">
        <v>2160</v>
      </c>
      <c r="J7304" s="21"/>
      <c r="K7304" s="21" t="s">
        <v>210</v>
      </c>
      <c r="L7304" s="21"/>
      <c r="M7304" s="21"/>
      <c r="N7304" s="21" t="s">
        <v>40</v>
      </c>
      <c r="O7304" s="21">
        <f>60+26</f>
        <v>86</v>
      </c>
      <c r="P7304" s="21"/>
      <c r="Q7304" s="21">
        <f t="shared" si="135"/>
        <v>3</v>
      </c>
      <c r="R7304" s="21">
        <v>1</v>
      </c>
      <c r="S7304" s="21">
        <v>0</v>
      </c>
      <c r="T7304" s="21">
        <v>0</v>
      </c>
      <c r="U7304" s="21">
        <v>0</v>
      </c>
      <c r="V7304" s="21">
        <v>3</v>
      </c>
      <c r="W7304" s="21">
        <v>0</v>
      </c>
      <c r="X7304" s="21">
        <v>0</v>
      </c>
      <c r="Y7304" s="21">
        <v>0</v>
      </c>
      <c r="Z7304" s="21">
        <v>0</v>
      </c>
      <c r="AA7304" s="21">
        <v>0</v>
      </c>
      <c r="AB7304" s="21">
        <v>0</v>
      </c>
      <c r="AC7304" s="21">
        <v>0</v>
      </c>
      <c r="AD7304" s="21">
        <v>0</v>
      </c>
      <c r="AE7304" s="21">
        <v>0</v>
      </c>
      <c r="AF7304" s="21">
        <v>0</v>
      </c>
      <c r="AG7304" s="21">
        <v>0</v>
      </c>
      <c r="AH7304" s="21">
        <f t="shared" si="136"/>
        <v>192</v>
      </c>
      <c r="AI7304" s="21"/>
      <c r="AJ7304" s="21" t="s">
        <v>51</v>
      </c>
      <c r="AK7304" s="21" t="s">
        <v>52</v>
      </c>
      <c r="AL7304" s="21"/>
      <c r="AM7304" s="21" t="s">
        <v>2752</v>
      </c>
      <c r="AN7304" s="21">
        <v>-122.443693066667</v>
      </c>
      <c r="AO7304" s="21">
        <v>37.7988154833333</v>
      </c>
      <c r="AP7304" s="21" t="s">
        <v>1915</v>
      </c>
    </row>
    <row r="7305" spans="1:42">
      <c r="A7305" s="20">
        <v>43845</v>
      </c>
      <c r="B7305" s="21">
        <v>3</v>
      </c>
      <c r="C7305" s="21">
        <v>985</v>
      </c>
      <c r="D7305" s="21">
        <v>14358</v>
      </c>
      <c r="E7305" s="21" t="s">
        <v>2123</v>
      </c>
      <c r="F7305" s="21" t="s">
        <v>520</v>
      </c>
      <c r="G7305" s="21">
        <v>1</v>
      </c>
      <c r="H7305" s="21">
        <v>146</v>
      </c>
      <c r="I7305" s="23" t="s">
        <v>2160</v>
      </c>
      <c r="J7305" s="21"/>
      <c r="K7305" s="21" t="s">
        <v>210</v>
      </c>
      <c r="L7305" s="21"/>
      <c r="M7305" s="21"/>
      <c r="N7305" s="21" t="s">
        <v>40</v>
      </c>
      <c r="O7305" s="21">
        <v>30</v>
      </c>
      <c r="P7305" s="21"/>
      <c r="Q7305" s="21">
        <f t="shared" si="135"/>
        <v>1</v>
      </c>
      <c r="R7305" s="21">
        <v>1</v>
      </c>
      <c r="S7305" s="21">
        <v>0</v>
      </c>
      <c r="T7305" s="21">
        <v>0</v>
      </c>
      <c r="U7305" s="21">
        <v>0</v>
      </c>
      <c r="V7305" s="21">
        <v>1</v>
      </c>
      <c r="W7305" s="21">
        <v>0</v>
      </c>
      <c r="X7305" s="21">
        <v>0</v>
      </c>
      <c r="Y7305" s="21">
        <v>0</v>
      </c>
      <c r="Z7305" s="21">
        <v>0</v>
      </c>
      <c r="AA7305" s="21">
        <v>0</v>
      </c>
      <c r="AB7305" s="21">
        <v>0</v>
      </c>
      <c r="AC7305" s="21">
        <v>0</v>
      </c>
      <c r="AD7305" s="21">
        <v>0</v>
      </c>
      <c r="AE7305" s="21">
        <v>0</v>
      </c>
      <c r="AF7305" s="21">
        <v>0</v>
      </c>
      <c r="AG7305" s="21">
        <v>0</v>
      </c>
      <c r="AH7305" s="21">
        <f t="shared" si="136"/>
        <v>64</v>
      </c>
      <c r="AI7305" s="21"/>
      <c r="AJ7305" s="21"/>
      <c r="AK7305" s="21"/>
      <c r="AL7305" s="21"/>
      <c r="AM7305" s="21" t="s">
        <v>2753</v>
      </c>
      <c r="AN7305" s="21">
        <v>-122.44345435</v>
      </c>
      <c r="AO7305" s="21">
        <v>37.798848216666599</v>
      </c>
      <c r="AP7305" s="21" t="s">
        <v>1915</v>
      </c>
    </row>
    <row r="7306" spans="1:42">
      <c r="A7306" s="20">
        <v>43845</v>
      </c>
      <c r="B7306" s="21">
        <v>3</v>
      </c>
      <c r="C7306" s="21">
        <v>985</v>
      </c>
      <c r="D7306" s="21">
        <v>14358</v>
      </c>
      <c r="E7306" s="21" t="s">
        <v>2123</v>
      </c>
      <c r="F7306" s="21" t="s">
        <v>520</v>
      </c>
      <c r="G7306" s="21">
        <v>1</v>
      </c>
      <c r="H7306" s="21">
        <v>147</v>
      </c>
      <c r="I7306" s="23" t="s">
        <v>2754</v>
      </c>
      <c r="J7306" s="21"/>
      <c r="K7306" s="21" t="s">
        <v>220</v>
      </c>
      <c r="L7306" s="21"/>
      <c r="M7306" s="21"/>
      <c r="N7306" s="21" t="s">
        <v>44</v>
      </c>
      <c r="O7306" s="21">
        <f>60+19</f>
        <v>79</v>
      </c>
      <c r="P7306" s="21"/>
      <c r="Q7306" s="21">
        <f t="shared" si="135"/>
        <v>1</v>
      </c>
      <c r="R7306" s="21">
        <v>1</v>
      </c>
      <c r="S7306" s="21">
        <v>0</v>
      </c>
      <c r="T7306" s="21">
        <v>0</v>
      </c>
      <c r="U7306" s="21">
        <v>0</v>
      </c>
      <c r="V7306" s="21">
        <v>0</v>
      </c>
      <c r="W7306" s="21">
        <v>1</v>
      </c>
      <c r="X7306" s="21">
        <v>0</v>
      </c>
      <c r="Y7306" s="21">
        <v>0</v>
      </c>
      <c r="Z7306" s="21">
        <v>0</v>
      </c>
      <c r="AA7306" s="21">
        <v>0</v>
      </c>
      <c r="AB7306" s="21">
        <v>0</v>
      </c>
      <c r="AC7306" s="21">
        <v>0</v>
      </c>
      <c r="AD7306" s="21">
        <v>0</v>
      </c>
      <c r="AE7306" s="21">
        <v>0</v>
      </c>
      <c r="AF7306" s="21">
        <v>0</v>
      </c>
      <c r="AG7306" s="21">
        <v>0</v>
      </c>
      <c r="AH7306" s="21">
        <f t="shared" si="136"/>
        <v>96</v>
      </c>
      <c r="AI7306" s="21"/>
      <c r="AJ7306" s="21"/>
      <c r="AK7306" s="21"/>
      <c r="AL7306" s="21" t="s">
        <v>587</v>
      </c>
      <c r="AM7306" s="21" t="s">
        <v>2755</v>
      </c>
      <c r="AN7306" s="21">
        <v>-122.443182133333</v>
      </c>
      <c r="AO7306" s="21">
        <v>37.798039833333299</v>
      </c>
      <c r="AP7306" s="21" t="s">
        <v>1915</v>
      </c>
    </row>
    <row r="7307" spans="1:42">
      <c r="A7307" s="20">
        <v>43845</v>
      </c>
      <c r="B7307" s="21">
        <v>3</v>
      </c>
      <c r="C7307" s="21">
        <v>985</v>
      </c>
      <c r="D7307" s="21">
        <v>14358</v>
      </c>
      <c r="E7307" s="21" t="s">
        <v>2123</v>
      </c>
      <c r="F7307" s="21" t="s">
        <v>520</v>
      </c>
      <c r="G7307" s="21">
        <v>1</v>
      </c>
      <c r="H7307" s="21">
        <v>148</v>
      </c>
      <c r="I7307" s="23" t="s">
        <v>2756</v>
      </c>
      <c r="J7307" s="21"/>
      <c r="K7307" s="21" t="s">
        <v>210</v>
      </c>
      <c r="L7307" s="21"/>
      <c r="M7307" s="21"/>
      <c r="N7307" s="21" t="s">
        <v>44</v>
      </c>
      <c r="O7307" s="21">
        <v>120</v>
      </c>
      <c r="P7307" s="21"/>
      <c r="Q7307" s="21">
        <f t="shared" si="135"/>
        <v>2</v>
      </c>
      <c r="R7307" s="21">
        <v>1</v>
      </c>
      <c r="S7307" s="21">
        <v>0</v>
      </c>
      <c r="T7307" s="21">
        <v>0</v>
      </c>
      <c r="U7307" s="21">
        <v>1</v>
      </c>
      <c r="V7307" s="21">
        <v>0</v>
      </c>
      <c r="W7307" s="21">
        <v>1</v>
      </c>
      <c r="X7307" s="21">
        <v>0</v>
      </c>
      <c r="Y7307" s="21">
        <v>0</v>
      </c>
      <c r="Z7307" s="21">
        <v>0</v>
      </c>
      <c r="AA7307" s="21">
        <v>0</v>
      </c>
      <c r="AB7307" s="21">
        <v>0</v>
      </c>
      <c r="AC7307" s="21">
        <v>0</v>
      </c>
      <c r="AD7307" s="21">
        <v>0</v>
      </c>
      <c r="AE7307" s="21">
        <v>0</v>
      </c>
      <c r="AF7307" s="21">
        <v>0</v>
      </c>
      <c r="AG7307" s="21">
        <v>0</v>
      </c>
      <c r="AH7307" s="21">
        <f t="shared" si="136"/>
        <v>128</v>
      </c>
      <c r="AI7307" s="21"/>
      <c r="AJ7307" s="21"/>
      <c r="AK7307" s="21"/>
      <c r="AL7307" s="21"/>
      <c r="AM7307" s="21" t="s">
        <v>2757</v>
      </c>
      <c r="AN7307" s="21">
        <v>-122.44557443333299</v>
      </c>
      <c r="AO7307" s="21">
        <v>37.798712649999999</v>
      </c>
      <c r="AP7307" s="21" t="s">
        <v>1915</v>
      </c>
    </row>
    <row r="7308" spans="1:42">
      <c r="A7308" s="20">
        <v>43845</v>
      </c>
      <c r="B7308" s="21">
        <v>3</v>
      </c>
      <c r="C7308" s="21">
        <v>985</v>
      </c>
      <c r="D7308" s="21">
        <v>14358</v>
      </c>
      <c r="E7308" s="21" t="s">
        <v>2123</v>
      </c>
      <c r="F7308" s="21" t="s">
        <v>520</v>
      </c>
      <c r="G7308" s="21">
        <v>1</v>
      </c>
      <c r="H7308" s="21">
        <v>150</v>
      </c>
      <c r="I7308" s="23" t="s">
        <v>2758</v>
      </c>
      <c r="J7308" s="21"/>
      <c r="K7308" s="21" t="s">
        <v>2759</v>
      </c>
      <c r="L7308" s="21"/>
      <c r="M7308" s="21"/>
      <c r="N7308" s="21" t="s">
        <v>44</v>
      </c>
      <c r="O7308" s="21">
        <f>60+60+60+24</f>
        <v>204</v>
      </c>
      <c r="P7308" s="21"/>
      <c r="Q7308" s="21">
        <f t="shared" si="135"/>
        <v>1</v>
      </c>
      <c r="R7308" s="21">
        <v>1</v>
      </c>
      <c r="S7308" s="21">
        <v>0</v>
      </c>
      <c r="T7308" s="21">
        <v>0</v>
      </c>
      <c r="U7308" s="21">
        <v>0</v>
      </c>
      <c r="V7308" s="21">
        <v>0</v>
      </c>
      <c r="W7308" s="21">
        <v>1</v>
      </c>
      <c r="X7308" s="21">
        <v>0</v>
      </c>
      <c r="Y7308" s="21">
        <v>0</v>
      </c>
      <c r="Z7308" s="21">
        <v>0</v>
      </c>
      <c r="AA7308" s="21">
        <v>0</v>
      </c>
      <c r="AB7308" s="21">
        <v>0</v>
      </c>
      <c r="AC7308" s="21">
        <v>0</v>
      </c>
      <c r="AD7308" s="21">
        <v>0</v>
      </c>
      <c r="AE7308" s="21">
        <v>0</v>
      </c>
      <c r="AF7308" s="21">
        <v>2</v>
      </c>
      <c r="AG7308" s="21">
        <v>0</v>
      </c>
      <c r="AH7308" s="21">
        <f t="shared" si="136"/>
        <v>96</v>
      </c>
      <c r="AI7308" s="21"/>
      <c r="AJ7308" s="21" t="s">
        <v>51</v>
      </c>
      <c r="AK7308" s="21" t="s">
        <v>52</v>
      </c>
      <c r="AL7308" s="21"/>
      <c r="AM7308" s="21" t="s">
        <v>2760</v>
      </c>
      <c r="AN7308" s="21">
        <v>-122.447392733333</v>
      </c>
      <c r="AO7308" s="21">
        <v>37.799299666666698</v>
      </c>
      <c r="AP7308" s="21" t="s">
        <v>1915</v>
      </c>
    </row>
    <row r="7309" spans="1:42">
      <c r="A7309" s="20">
        <v>43845</v>
      </c>
      <c r="B7309" s="21">
        <v>3</v>
      </c>
      <c r="C7309" s="21">
        <v>985</v>
      </c>
      <c r="D7309" s="21">
        <v>14358</v>
      </c>
      <c r="E7309" s="21" t="s">
        <v>2123</v>
      </c>
      <c r="F7309" s="21" t="s">
        <v>520</v>
      </c>
      <c r="G7309" s="21">
        <v>1</v>
      </c>
      <c r="H7309" s="21">
        <v>151</v>
      </c>
      <c r="I7309" s="23" t="s">
        <v>2711</v>
      </c>
      <c r="J7309" s="21"/>
      <c r="K7309" s="21" t="s">
        <v>2759</v>
      </c>
      <c r="L7309" s="21"/>
      <c r="M7309" s="21"/>
      <c r="N7309" s="21" t="s">
        <v>40</v>
      </c>
      <c r="O7309" s="21">
        <f>60+1</f>
        <v>61</v>
      </c>
      <c r="P7309" s="21"/>
      <c r="Q7309" s="21">
        <f t="shared" si="135"/>
        <v>3</v>
      </c>
      <c r="R7309" s="21">
        <v>1</v>
      </c>
      <c r="S7309" s="21">
        <v>0</v>
      </c>
      <c r="T7309" s="21">
        <v>0</v>
      </c>
      <c r="U7309" s="21">
        <v>1</v>
      </c>
      <c r="V7309" s="21">
        <v>2</v>
      </c>
      <c r="W7309" s="21">
        <v>0</v>
      </c>
      <c r="X7309" s="21">
        <v>0</v>
      </c>
      <c r="Y7309" s="21">
        <v>0</v>
      </c>
      <c r="Z7309" s="21">
        <v>0</v>
      </c>
      <c r="AA7309" s="21">
        <v>0</v>
      </c>
      <c r="AB7309" s="21">
        <v>0</v>
      </c>
      <c r="AC7309" s="21">
        <v>0</v>
      </c>
      <c r="AD7309" s="21">
        <v>0</v>
      </c>
      <c r="AE7309" s="21">
        <v>0</v>
      </c>
      <c r="AF7309" s="21">
        <v>0</v>
      </c>
      <c r="AG7309" s="21">
        <v>0</v>
      </c>
      <c r="AH7309" s="21">
        <f t="shared" si="136"/>
        <v>160</v>
      </c>
      <c r="AI7309" s="21"/>
      <c r="AJ7309" s="21"/>
      <c r="AK7309" s="21"/>
      <c r="AL7309" s="21"/>
      <c r="AM7309" s="21" t="s">
        <v>2761</v>
      </c>
      <c r="AN7309" s="21">
        <v>-122.44691798333299</v>
      </c>
      <c r="AO7309" s="21">
        <v>37.799467616666703</v>
      </c>
      <c r="AP7309" s="21" t="s">
        <v>1915</v>
      </c>
    </row>
    <row r="7310" spans="1:42">
      <c r="A7310" s="20">
        <v>43845</v>
      </c>
      <c r="B7310" s="21">
        <v>3</v>
      </c>
      <c r="C7310" s="21">
        <v>985</v>
      </c>
      <c r="D7310" s="21">
        <v>14358</v>
      </c>
      <c r="E7310" s="21" t="s">
        <v>2123</v>
      </c>
      <c r="F7310" s="21" t="s">
        <v>520</v>
      </c>
      <c r="G7310" s="21">
        <v>1</v>
      </c>
      <c r="H7310" s="21">
        <v>152</v>
      </c>
      <c r="I7310" s="23" t="s">
        <v>2762</v>
      </c>
      <c r="J7310" s="21"/>
      <c r="K7310" s="21" t="s">
        <v>2759</v>
      </c>
      <c r="L7310" s="21"/>
      <c r="M7310" s="21" t="s">
        <v>95</v>
      </c>
      <c r="N7310" s="21" t="s">
        <v>40</v>
      </c>
      <c r="O7310" s="21">
        <f>60+60+38</f>
        <v>158</v>
      </c>
      <c r="P7310" s="21"/>
      <c r="Q7310" s="21">
        <f t="shared" si="135"/>
        <v>1</v>
      </c>
      <c r="R7310" s="21">
        <v>1</v>
      </c>
      <c r="S7310" s="21">
        <v>0</v>
      </c>
      <c r="T7310" s="21">
        <v>0</v>
      </c>
      <c r="U7310" s="21">
        <v>0</v>
      </c>
      <c r="V7310" s="21">
        <v>1</v>
      </c>
      <c r="W7310" s="21">
        <v>0</v>
      </c>
      <c r="X7310" s="21">
        <v>0</v>
      </c>
      <c r="Y7310" s="21">
        <v>0</v>
      </c>
      <c r="Z7310" s="21">
        <v>0</v>
      </c>
      <c r="AA7310" s="21">
        <v>0</v>
      </c>
      <c r="AB7310" s="21">
        <v>0</v>
      </c>
      <c r="AC7310" s="21">
        <v>0</v>
      </c>
      <c r="AD7310" s="21">
        <v>0</v>
      </c>
      <c r="AE7310" s="21">
        <v>0</v>
      </c>
      <c r="AF7310" s="21">
        <v>0</v>
      </c>
      <c r="AG7310" s="21">
        <v>0</v>
      </c>
      <c r="AH7310" s="21">
        <f t="shared" si="136"/>
        <v>64</v>
      </c>
      <c r="AI7310" s="21"/>
      <c r="AJ7310" s="21"/>
      <c r="AK7310" s="21"/>
      <c r="AL7310" s="21" t="s">
        <v>2763</v>
      </c>
      <c r="AM7310" s="21" t="s">
        <v>2764</v>
      </c>
      <c r="AN7310" s="21">
        <v>-122.4466879</v>
      </c>
      <c r="AO7310" s="21">
        <v>37.7994825166666</v>
      </c>
      <c r="AP7310" s="21" t="s">
        <v>1915</v>
      </c>
    </row>
    <row r="7311" spans="1:42">
      <c r="A7311" s="20">
        <v>43845</v>
      </c>
      <c r="B7311" s="21">
        <v>3</v>
      </c>
      <c r="C7311" s="21">
        <v>985</v>
      </c>
      <c r="D7311" s="21">
        <v>14358</v>
      </c>
      <c r="E7311" s="21" t="s">
        <v>2123</v>
      </c>
      <c r="F7311" s="21" t="s">
        <v>520</v>
      </c>
      <c r="G7311" s="21">
        <v>1</v>
      </c>
      <c r="H7311" s="21">
        <v>153</v>
      </c>
      <c r="I7311" s="23" t="s">
        <v>2765</v>
      </c>
      <c r="J7311" s="21"/>
      <c r="K7311" s="21" t="s">
        <v>2759</v>
      </c>
      <c r="L7311" s="21"/>
      <c r="M7311" s="21"/>
      <c r="N7311" s="21" t="s">
        <v>40</v>
      </c>
      <c r="O7311" s="21">
        <v>54</v>
      </c>
      <c r="P7311" s="21"/>
      <c r="Q7311" s="21">
        <f t="shared" si="135"/>
        <v>2</v>
      </c>
      <c r="R7311" s="21">
        <v>1</v>
      </c>
      <c r="S7311" s="21">
        <v>0</v>
      </c>
      <c r="T7311" s="21">
        <v>0</v>
      </c>
      <c r="U7311" s="21">
        <v>0</v>
      </c>
      <c r="V7311" s="21">
        <v>2</v>
      </c>
      <c r="W7311" s="21">
        <v>0</v>
      </c>
      <c r="X7311" s="21">
        <v>0</v>
      </c>
      <c r="Y7311" s="21">
        <v>0</v>
      </c>
      <c r="Z7311" s="21">
        <v>0</v>
      </c>
      <c r="AA7311" s="21">
        <v>0</v>
      </c>
      <c r="AB7311" s="21">
        <v>0</v>
      </c>
      <c r="AC7311" s="21">
        <v>0</v>
      </c>
      <c r="AD7311" s="21">
        <v>0</v>
      </c>
      <c r="AE7311" s="21">
        <v>0</v>
      </c>
      <c r="AF7311" s="21">
        <v>0</v>
      </c>
      <c r="AG7311" s="21">
        <v>0</v>
      </c>
      <c r="AH7311" s="21">
        <f t="shared" si="136"/>
        <v>128</v>
      </c>
      <c r="AI7311" s="21"/>
      <c r="AJ7311" s="21" t="s">
        <v>51</v>
      </c>
      <c r="AK7311" s="21" t="s">
        <v>52</v>
      </c>
      <c r="AL7311" s="21"/>
      <c r="AM7311" s="21" t="s">
        <v>2766</v>
      </c>
      <c r="AN7311" s="21">
        <v>-122.447401233333</v>
      </c>
      <c r="AO7311" s="21">
        <v>37.799982450000002</v>
      </c>
      <c r="AP7311" s="21" t="s">
        <v>1915</v>
      </c>
    </row>
    <row r="7312" spans="1:42">
      <c r="A7312" s="20">
        <v>43845</v>
      </c>
      <c r="B7312" s="21">
        <v>3</v>
      </c>
      <c r="C7312" s="21">
        <v>985</v>
      </c>
      <c r="D7312" s="21">
        <v>14358</v>
      </c>
      <c r="E7312" s="21" t="s">
        <v>2123</v>
      </c>
      <c r="F7312" s="21" t="s">
        <v>520</v>
      </c>
      <c r="G7312" s="21">
        <v>1</v>
      </c>
      <c r="H7312" s="21">
        <v>154</v>
      </c>
      <c r="I7312" s="23" t="s">
        <v>2767</v>
      </c>
      <c r="J7312" s="21"/>
      <c r="K7312" s="21" t="s">
        <v>2759</v>
      </c>
      <c r="L7312" s="21"/>
      <c r="M7312" s="21"/>
      <c r="N7312" s="21" t="s">
        <v>40</v>
      </c>
      <c r="O7312" s="21">
        <v>26</v>
      </c>
      <c r="P7312" s="21"/>
      <c r="Q7312" s="21">
        <f t="shared" si="135"/>
        <v>1</v>
      </c>
      <c r="R7312" s="21">
        <v>1</v>
      </c>
      <c r="S7312" s="21">
        <v>0</v>
      </c>
      <c r="T7312" s="21">
        <v>0</v>
      </c>
      <c r="U7312" s="21">
        <v>0</v>
      </c>
      <c r="V7312" s="21">
        <v>1</v>
      </c>
      <c r="W7312" s="21">
        <v>0</v>
      </c>
      <c r="X7312" s="21">
        <v>0</v>
      </c>
      <c r="Y7312" s="21">
        <v>0</v>
      </c>
      <c r="Z7312" s="21">
        <v>0</v>
      </c>
      <c r="AA7312" s="21">
        <v>0</v>
      </c>
      <c r="AB7312" s="21">
        <v>0</v>
      </c>
      <c r="AC7312" s="21">
        <v>0</v>
      </c>
      <c r="AD7312" s="21">
        <v>0</v>
      </c>
      <c r="AE7312" s="21">
        <v>0</v>
      </c>
      <c r="AF7312" s="21">
        <v>0</v>
      </c>
      <c r="AG7312" s="21">
        <v>0</v>
      </c>
      <c r="AH7312" s="21">
        <f t="shared" si="136"/>
        <v>64</v>
      </c>
      <c r="AI7312" s="21"/>
      <c r="AJ7312" s="21"/>
      <c r="AK7312" s="21"/>
      <c r="AL7312" s="21"/>
      <c r="AM7312" s="21" t="s">
        <v>2768</v>
      </c>
      <c r="AN7312" s="21">
        <v>-122.447564633333</v>
      </c>
      <c r="AO7312" s="21">
        <v>37.8002647333333</v>
      </c>
      <c r="AP7312" s="21" t="s">
        <v>1915</v>
      </c>
    </row>
    <row r="7313" spans="1:42">
      <c r="A7313" s="20">
        <v>43845</v>
      </c>
      <c r="B7313" s="21">
        <v>3</v>
      </c>
      <c r="C7313" s="21">
        <v>985</v>
      </c>
      <c r="D7313" s="21">
        <v>14358</v>
      </c>
      <c r="E7313" s="21" t="s">
        <v>2123</v>
      </c>
      <c r="F7313" s="21" t="s">
        <v>520</v>
      </c>
      <c r="G7313" s="21">
        <v>1</v>
      </c>
      <c r="H7313" s="21">
        <v>155</v>
      </c>
      <c r="I7313" s="23" t="s">
        <v>2769</v>
      </c>
      <c r="J7313" s="21"/>
      <c r="K7313" s="21" t="s">
        <v>2759</v>
      </c>
      <c r="L7313" s="21"/>
      <c r="M7313" s="21"/>
      <c r="N7313" s="21" t="s">
        <v>40</v>
      </c>
      <c r="O7313" s="21">
        <v>56</v>
      </c>
      <c r="P7313" s="21"/>
      <c r="Q7313" s="21">
        <f t="shared" si="135"/>
        <v>3</v>
      </c>
      <c r="R7313" s="21">
        <v>1</v>
      </c>
      <c r="S7313" s="21">
        <v>0</v>
      </c>
      <c r="T7313" s="21">
        <v>0</v>
      </c>
      <c r="U7313" s="21">
        <v>0</v>
      </c>
      <c r="V7313" s="21">
        <v>3</v>
      </c>
      <c r="W7313" s="21">
        <v>0</v>
      </c>
      <c r="X7313" s="21">
        <v>0</v>
      </c>
      <c r="Y7313" s="21">
        <v>0</v>
      </c>
      <c r="Z7313" s="21">
        <v>0</v>
      </c>
      <c r="AA7313" s="21">
        <v>0</v>
      </c>
      <c r="AB7313" s="21">
        <v>0</v>
      </c>
      <c r="AC7313" s="21">
        <v>0</v>
      </c>
      <c r="AD7313" s="21">
        <v>0</v>
      </c>
      <c r="AE7313" s="21">
        <v>0</v>
      </c>
      <c r="AF7313" s="21">
        <v>0</v>
      </c>
      <c r="AG7313" s="21">
        <v>0</v>
      </c>
      <c r="AH7313" s="21">
        <f t="shared" si="136"/>
        <v>192</v>
      </c>
      <c r="AI7313" s="21"/>
      <c r="AJ7313" s="21"/>
      <c r="AK7313" s="21"/>
      <c r="AL7313" s="21"/>
      <c r="AM7313" s="21" t="s">
        <v>2770</v>
      </c>
      <c r="AN7313" s="21">
        <v>-122.44707271666699</v>
      </c>
      <c r="AO7313" s="21">
        <v>37.800156316666602</v>
      </c>
      <c r="AP7313" s="21" t="s">
        <v>1915</v>
      </c>
    </row>
    <row r="7314" spans="1:42">
      <c r="A7314" s="20">
        <v>43845</v>
      </c>
      <c r="B7314" s="21">
        <v>3</v>
      </c>
      <c r="C7314" s="21">
        <v>985</v>
      </c>
      <c r="D7314" s="21">
        <v>14358</v>
      </c>
      <c r="E7314" s="21" t="s">
        <v>2123</v>
      </c>
      <c r="F7314" s="21" t="s">
        <v>520</v>
      </c>
      <c r="G7314" s="21">
        <v>1</v>
      </c>
      <c r="H7314" s="21">
        <v>156</v>
      </c>
      <c r="I7314" s="23" t="s">
        <v>2771</v>
      </c>
      <c r="J7314" s="21"/>
      <c r="K7314" s="21" t="s">
        <v>2759</v>
      </c>
      <c r="L7314" s="21"/>
      <c r="M7314" s="21"/>
      <c r="N7314" s="21" t="s">
        <v>40</v>
      </c>
      <c r="O7314" s="21">
        <v>29</v>
      </c>
      <c r="P7314" s="21"/>
      <c r="Q7314" s="21">
        <f t="shared" si="135"/>
        <v>1</v>
      </c>
      <c r="R7314" s="21">
        <v>1</v>
      </c>
      <c r="S7314" s="21">
        <v>0</v>
      </c>
      <c r="T7314" s="21">
        <v>0</v>
      </c>
      <c r="U7314" s="21">
        <v>0</v>
      </c>
      <c r="V7314" s="21">
        <v>1</v>
      </c>
      <c r="W7314" s="21">
        <v>0</v>
      </c>
      <c r="X7314" s="21">
        <v>0</v>
      </c>
      <c r="Y7314" s="21">
        <v>0</v>
      </c>
      <c r="Z7314" s="21">
        <v>0</v>
      </c>
      <c r="AA7314" s="21">
        <v>0</v>
      </c>
      <c r="AB7314" s="21">
        <v>0</v>
      </c>
      <c r="AC7314" s="21">
        <v>0</v>
      </c>
      <c r="AD7314" s="21">
        <v>0</v>
      </c>
      <c r="AE7314" s="21">
        <v>0</v>
      </c>
      <c r="AF7314" s="21">
        <v>0</v>
      </c>
      <c r="AG7314" s="21">
        <v>0</v>
      </c>
      <c r="AH7314" s="21">
        <f t="shared" si="136"/>
        <v>64</v>
      </c>
      <c r="AI7314" s="21"/>
      <c r="AJ7314" s="21"/>
      <c r="AK7314" s="21"/>
      <c r="AL7314" s="21"/>
      <c r="AM7314" s="21" t="s">
        <v>2772</v>
      </c>
      <c r="AN7314" s="21">
        <v>-122.44668745</v>
      </c>
      <c r="AO7314" s="21">
        <v>37.80005585</v>
      </c>
      <c r="AP7314" s="21" t="s">
        <v>1915</v>
      </c>
    </row>
    <row r="7315" spans="1:42">
      <c r="A7315" s="20">
        <v>43845</v>
      </c>
      <c r="B7315" s="21">
        <v>3</v>
      </c>
      <c r="C7315" s="21">
        <v>985</v>
      </c>
      <c r="D7315" s="21">
        <v>14358</v>
      </c>
      <c r="E7315" s="21" t="s">
        <v>2123</v>
      </c>
      <c r="F7315" s="21" t="s">
        <v>520</v>
      </c>
      <c r="G7315" s="21">
        <v>1</v>
      </c>
      <c r="H7315" s="21">
        <v>157</v>
      </c>
      <c r="I7315" s="23" t="s">
        <v>2711</v>
      </c>
      <c r="J7315" s="21"/>
      <c r="K7315" s="21" t="s">
        <v>2759</v>
      </c>
      <c r="L7315" s="21"/>
      <c r="M7315" s="21"/>
      <c r="N7315" s="21" t="s">
        <v>40</v>
      </c>
      <c r="O7315" s="21">
        <v>54</v>
      </c>
      <c r="P7315" s="21"/>
      <c r="Q7315" s="21">
        <f t="shared" si="135"/>
        <v>2</v>
      </c>
      <c r="R7315" s="21">
        <v>1</v>
      </c>
      <c r="S7315" s="21">
        <v>0</v>
      </c>
      <c r="T7315" s="21">
        <v>0</v>
      </c>
      <c r="U7315" s="21">
        <v>1</v>
      </c>
      <c r="V7315" s="21">
        <v>1</v>
      </c>
      <c r="W7315" s="21">
        <v>0</v>
      </c>
      <c r="X7315" s="21">
        <v>0</v>
      </c>
      <c r="Y7315" s="21">
        <v>0</v>
      </c>
      <c r="Z7315" s="21">
        <v>0</v>
      </c>
      <c r="AA7315" s="21">
        <v>0</v>
      </c>
      <c r="AB7315" s="21">
        <v>0</v>
      </c>
      <c r="AC7315" s="21">
        <v>0</v>
      </c>
      <c r="AD7315" s="21">
        <v>0</v>
      </c>
      <c r="AE7315" s="21">
        <v>0</v>
      </c>
      <c r="AF7315" s="21">
        <v>0</v>
      </c>
      <c r="AG7315" s="21">
        <v>0</v>
      </c>
      <c r="AH7315" s="21">
        <f t="shared" si="136"/>
        <v>96</v>
      </c>
      <c r="AI7315" s="21"/>
      <c r="AJ7315" s="21" t="s">
        <v>51</v>
      </c>
      <c r="AK7315" s="21" t="s">
        <v>52</v>
      </c>
      <c r="AL7315" s="21"/>
      <c r="AM7315" s="21" t="s">
        <v>2773</v>
      </c>
      <c r="AN7315" s="21">
        <v>-122.44673778333301</v>
      </c>
      <c r="AO7315" s="21">
        <v>37.799571299999997</v>
      </c>
      <c r="AP7315" s="21" t="s">
        <v>1915</v>
      </c>
    </row>
    <row r="7316" spans="1:42">
      <c r="A7316" s="20">
        <v>43845</v>
      </c>
      <c r="B7316" s="21">
        <v>3</v>
      </c>
      <c r="C7316" s="21">
        <v>985</v>
      </c>
      <c r="D7316" s="21">
        <v>14358</v>
      </c>
      <c r="E7316" s="21" t="s">
        <v>2123</v>
      </c>
      <c r="F7316" s="21" t="s">
        <v>520</v>
      </c>
      <c r="G7316" s="21">
        <v>1</v>
      </c>
      <c r="H7316" s="21">
        <v>158</v>
      </c>
      <c r="I7316" s="23" t="s">
        <v>2711</v>
      </c>
      <c r="J7316" s="21"/>
      <c r="K7316" s="21" t="s">
        <v>2759</v>
      </c>
      <c r="L7316" s="21"/>
      <c r="M7316" s="21"/>
      <c r="N7316" s="21" t="s">
        <v>40</v>
      </c>
      <c r="O7316" s="21">
        <v>28</v>
      </c>
      <c r="P7316" s="21"/>
      <c r="Q7316" s="21">
        <f t="shared" si="135"/>
        <v>1</v>
      </c>
      <c r="R7316" s="21">
        <v>1</v>
      </c>
      <c r="S7316" s="21">
        <v>0</v>
      </c>
      <c r="T7316" s="21">
        <v>0</v>
      </c>
      <c r="U7316" s="21">
        <v>1</v>
      </c>
      <c r="V7316" s="21">
        <v>0</v>
      </c>
      <c r="W7316" s="21">
        <v>0</v>
      </c>
      <c r="X7316" s="21">
        <v>0</v>
      </c>
      <c r="Y7316" s="21">
        <v>0</v>
      </c>
      <c r="Z7316" s="21">
        <v>0</v>
      </c>
      <c r="AA7316" s="21">
        <v>0</v>
      </c>
      <c r="AB7316" s="21">
        <v>0</v>
      </c>
      <c r="AC7316" s="21">
        <v>0</v>
      </c>
      <c r="AD7316" s="21">
        <v>0</v>
      </c>
      <c r="AE7316" s="21">
        <v>0</v>
      </c>
      <c r="AF7316" s="21">
        <v>0</v>
      </c>
      <c r="AG7316" s="21">
        <v>0</v>
      </c>
      <c r="AH7316" s="21">
        <f t="shared" si="136"/>
        <v>32</v>
      </c>
      <c r="AI7316" s="21"/>
      <c r="AJ7316" s="21"/>
      <c r="AK7316" s="21"/>
      <c r="AL7316" s="21"/>
      <c r="AM7316" s="21" t="s">
        <v>2774</v>
      </c>
      <c r="AN7316" s="21">
        <v>-122.44679721666699</v>
      </c>
      <c r="AO7316" s="21">
        <v>37.799560583333303</v>
      </c>
      <c r="AP7316" s="21" t="s">
        <v>1915</v>
      </c>
    </row>
    <row r="7317" spans="1:42">
      <c r="A7317" s="20">
        <v>43845</v>
      </c>
      <c r="B7317" s="21">
        <v>3</v>
      </c>
      <c r="C7317" s="21">
        <v>985</v>
      </c>
      <c r="D7317" s="21">
        <v>14358</v>
      </c>
      <c r="E7317" s="21" t="s">
        <v>2123</v>
      </c>
      <c r="F7317" s="21" t="s">
        <v>520</v>
      </c>
      <c r="G7317" s="21">
        <v>1</v>
      </c>
      <c r="H7317" s="21">
        <v>159</v>
      </c>
      <c r="I7317" s="23" t="s">
        <v>2711</v>
      </c>
      <c r="J7317" s="21"/>
      <c r="K7317" s="21" t="s">
        <v>2759</v>
      </c>
      <c r="L7317" s="21"/>
      <c r="M7317" s="21"/>
      <c r="N7317" s="21" t="s">
        <v>40</v>
      </c>
      <c r="O7317" s="21">
        <f>60+44</f>
        <v>104</v>
      </c>
      <c r="P7317" s="21"/>
      <c r="Q7317" s="21">
        <f t="shared" si="135"/>
        <v>3</v>
      </c>
      <c r="R7317" s="21">
        <v>1</v>
      </c>
      <c r="S7317" s="21">
        <v>0</v>
      </c>
      <c r="T7317" s="21">
        <v>0</v>
      </c>
      <c r="U7317" s="21">
        <v>1</v>
      </c>
      <c r="V7317" s="21">
        <v>2</v>
      </c>
      <c r="W7317" s="21">
        <v>0</v>
      </c>
      <c r="X7317" s="21">
        <v>0</v>
      </c>
      <c r="Y7317" s="21">
        <v>0</v>
      </c>
      <c r="Z7317" s="21">
        <v>0</v>
      </c>
      <c r="AA7317" s="21">
        <v>0</v>
      </c>
      <c r="AB7317" s="21">
        <v>0</v>
      </c>
      <c r="AC7317" s="21">
        <v>0</v>
      </c>
      <c r="AD7317" s="21">
        <v>0</v>
      </c>
      <c r="AE7317" s="21">
        <v>0</v>
      </c>
      <c r="AF7317" s="21">
        <v>0</v>
      </c>
      <c r="AG7317" s="21">
        <v>0</v>
      </c>
      <c r="AH7317" s="21">
        <f t="shared" si="136"/>
        <v>160</v>
      </c>
      <c r="AI7317" s="21"/>
      <c r="AJ7317" s="21"/>
      <c r="AK7317" s="21"/>
      <c r="AL7317" s="21" t="s">
        <v>2565</v>
      </c>
      <c r="AM7317" s="21" t="s">
        <v>2775</v>
      </c>
      <c r="AN7317" s="21">
        <v>-122.44695881666701</v>
      </c>
      <c r="AO7317" s="21">
        <v>37.799549566666599</v>
      </c>
      <c r="AP7317" s="21" t="s">
        <v>1915</v>
      </c>
    </row>
    <row r="7318" spans="1:42">
      <c r="A7318" s="20">
        <v>43845</v>
      </c>
      <c r="B7318" s="21">
        <v>3</v>
      </c>
      <c r="C7318" s="21">
        <v>985</v>
      </c>
      <c r="D7318" s="21">
        <v>14358</v>
      </c>
      <c r="E7318" s="21" t="s">
        <v>2123</v>
      </c>
      <c r="F7318" s="21" t="s">
        <v>520</v>
      </c>
      <c r="G7318" s="21">
        <v>1</v>
      </c>
      <c r="H7318" s="21">
        <v>161</v>
      </c>
      <c r="I7318" s="23" t="s">
        <v>2776</v>
      </c>
      <c r="J7318" s="21"/>
      <c r="K7318" s="21" t="s">
        <v>213</v>
      </c>
      <c r="L7318" s="21"/>
      <c r="M7318" s="21"/>
      <c r="N7318" s="21" t="s">
        <v>44</v>
      </c>
      <c r="O7318" s="21">
        <f>60+60+12</f>
        <v>132</v>
      </c>
      <c r="P7318" s="21"/>
      <c r="Q7318" s="21">
        <f t="shared" si="135"/>
        <v>1</v>
      </c>
      <c r="R7318" s="21">
        <v>1</v>
      </c>
      <c r="S7318" s="21">
        <v>0</v>
      </c>
      <c r="T7318" s="21">
        <v>0</v>
      </c>
      <c r="U7318" s="21">
        <v>0</v>
      </c>
      <c r="V7318" s="21">
        <v>0</v>
      </c>
      <c r="W7318" s="21">
        <v>1</v>
      </c>
      <c r="X7318" s="21">
        <v>0</v>
      </c>
      <c r="Y7318" s="21">
        <v>0</v>
      </c>
      <c r="Z7318" s="21">
        <v>0</v>
      </c>
      <c r="AA7318" s="21">
        <v>0</v>
      </c>
      <c r="AB7318" s="21">
        <v>0</v>
      </c>
      <c r="AC7318" s="21">
        <v>0</v>
      </c>
      <c r="AD7318" s="21">
        <v>0</v>
      </c>
      <c r="AE7318" s="21">
        <v>0</v>
      </c>
      <c r="AF7318" s="21">
        <v>0</v>
      </c>
      <c r="AG7318" s="21">
        <v>0</v>
      </c>
      <c r="AH7318" s="21">
        <f t="shared" si="136"/>
        <v>96</v>
      </c>
      <c r="AI7318" s="21"/>
      <c r="AJ7318" s="21" t="s">
        <v>51</v>
      </c>
      <c r="AK7318" s="21" t="s">
        <v>52</v>
      </c>
      <c r="AL7318" s="21" t="s">
        <v>2146</v>
      </c>
      <c r="AM7318" s="21" t="s">
        <v>2777</v>
      </c>
      <c r="AN7318" s="21">
        <v>-122.443791866667</v>
      </c>
      <c r="AO7318" s="21">
        <v>37.797940283333297</v>
      </c>
      <c r="AP7318" s="21" t="s">
        <v>1915</v>
      </c>
    </row>
    <row r="7319" spans="1:42">
      <c r="A7319" s="20">
        <v>43845</v>
      </c>
      <c r="B7319" s="21">
        <v>3</v>
      </c>
      <c r="C7319" s="21">
        <v>985</v>
      </c>
      <c r="D7319" s="21">
        <v>14358</v>
      </c>
      <c r="E7319" s="21" t="s">
        <v>2123</v>
      </c>
      <c r="F7319" s="21" t="s">
        <v>520</v>
      </c>
      <c r="G7319" s="21">
        <v>1</v>
      </c>
      <c r="H7319" s="21">
        <v>162</v>
      </c>
      <c r="I7319" s="23">
        <v>2633</v>
      </c>
      <c r="J7319" s="21"/>
      <c r="K7319" s="21" t="s">
        <v>213</v>
      </c>
      <c r="L7319" s="21"/>
      <c r="M7319" s="21"/>
      <c r="N7319" s="21" t="s">
        <v>44</v>
      </c>
      <c r="O7319" s="21">
        <f>60+4</f>
        <v>64</v>
      </c>
      <c r="P7319" s="21"/>
      <c r="Q7319" s="21">
        <f t="shared" si="135"/>
        <v>1</v>
      </c>
      <c r="R7319" s="21">
        <v>1</v>
      </c>
      <c r="S7319" s="21">
        <v>0</v>
      </c>
      <c r="T7319" s="21">
        <v>0</v>
      </c>
      <c r="U7319" s="21">
        <v>0</v>
      </c>
      <c r="V7319" s="21">
        <v>0</v>
      </c>
      <c r="W7319" s="21">
        <v>1</v>
      </c>
      <c r="X7319" s="21">
        <v>0</v>
      </c>
      <c r="Y7319" s="21">
        <v>0</v>
      </c>
      <c r="Z7319" s="21">
        <v>0</v>
      </c>
      <c r="AA7319" s="21">
        <v>0</v>
      </c>
      <c r="AB7319" s="21">
        <v>0</v>
      </c>
      <c r="AC7319" s="21">
        <v>0</v>
      </c>
      <c r="AD7319" s="21">
        <v>0</v>
      </c>
      <c r="AE7319" s="21">
        <v>0</v>
      </c>
      <c r="AF7319" s="21">
        <v>0</v>
      </c>
      <c r="AG7319" s="21">
        <v>0</v>
      </c>
      <c r="AH7319" s="21">
        <f t="shared" si="136"/>
        <v>96</v>
      </c>
      <c r="AI7319" s="21"/>
      <c r="AJ7319" s="21"/>
      <c r="AK7319" s="21"/>
      <c r="AL7319" s="21"/>
      <c r="AM7319" s="21" t="s">
        <v>2778</v>
      </c>
      <c r="AN7319" s="21">
        <v>-122.443056133333</v>
      </c>
      <c r="AO7319" s="21">
        <v>37.798080966666703</v>
      </c>
      <c r="AP7319" s="21" t="s">
        <v>1915</v>
      </c>
    </row>
    <row r="7320" spans="1:42">
      <c r="A7320" s="20">
        <v>43845</v>
      </c>
      <c r="B7320" s="21">
        <v>3</v>
      </c>
      <c r="C7320" s="21">
        <v>985</v>
      </c>
      <c r="D7320" s="21">
        <v>14358</v>
      </c>
      <c r="E7320" s="21" t="s">
        <v>2123</v>
      </c>
      <c r="F7320" s="21" t="s">
        <v>520</v>
      </c>
      <c r="G7320" s="21">
        <v>1</v>
      </c>
      <c r="H7320" s="21">
        <v>163</v>
      </c>
      <c r="I7320" s="23" t="s">
        <v>2467</v>
      </c>
      <c r="J7320" s="21"/>
      <c r="K7320" s="21" t="s">
        <v>213</v>
      </c>
      <c r="L7320" s="21"/>
      <c r="M7320" s="21"/>
      <c r="N7320" s="21" t="s">
        <v>44</v>
      </c>
      <c r="O7320" s="21">
        <f>60+43</f>
        <v>103</v>
      </c>
      <c r="P7320" s="21"/>
      <c r="Q7320" s="21">
        <f t="shared" si="135"/>
        <v>1</v>
      </c>
      <c r="R7320" s="21">
        <v>1</v>
      </c>
      <c r="S7320" s="21">
        <v>0</v>
      </c>
      <c r="T7320" s="21">
        <v>0</v>
      </c>
      <c r="U7320" s="21">
        <v>0</v>
      </c>
      <c r="V7320" s="21">
        <v>1</v>
      </c>
      <c r="W7320" s="21">
        <v>0</v>
      </c>
      <c r="X7320" s="21">
        <v>0</v>
      </c>
      <c r="Y7320" s="21">
        <v>0</v>
      </c>
      <c r="Z7320" s="21">
        <v>0</v>
      </c>
      <c r="AA7320" s="21">
        <v>0</v>
      </c>
      <c r="AB7320" s="21">
        <v>0</v>
      </c>
      <c r="AC7320" s="21">
        <v>0</v>
      </c>
      <c r="AD7320" s="21">
        <v>0</v>
      </c>
      <c r="AE7320" s="21">
        <v>0</v>
      </c>
      <c r="AF7320" s="21">
        <v>0</v>
      </c>
      <c r="AG7320" s="21">
        <v>0</v>
      </c>
      <c r="AH7320" s="21">
        <f t="shared" si="136"/>
        <v>64</v>
      </c>
      <c r="AI7320" s="21"/>
      <c r="AJ7320" s="21"/>
      <c r="AK7320" s="21"/>
      <c r="AL7320" s="21" t="s">
        <v>2779</v>
      </c>
      <c r="AM7320" s="21" t="s">
        <v>2780</v>
      </c>
      <c r="AN7320" s="21">
        <v>-122.44278591666701</v>
      </c>
      <c r="AO7320" s="21">
        <v>37.79810415</v>
      </c>
      <c r="AP7320" s="21" t="s">
        <v>1915</v>
      </c>
    </row>
    <row r="7321" spans="1:42">
      <c r="A7321" s="20">
        <v>43845</v>
      </c>
      <c r="B7321" s="21">
        <v>3</v>
      </c>
      <c r="C7321" s="21">
        <v>985</v>
      </c>
      <c r="D7321" s="21">
        <v>14358</v>
      </c>
      <c r="E7321" s="21" t="s">
        <v>2123</v>
      </c>
      <c r="F7321" s="21" t="s">
        <v>520</v>
      </c>
      <c r="G7321" s="21">
        <v>1</v>
      </c>
      <c r="H7321" s="21">
        <v>164</v>
      </c>
      <c r="I7321" s="23" t="s">
        <v>2576</v>
      </c>
      <c r="J7321" s="21"/>
      <c r="K7321" s="21" t="s">
        <v>119</v>
      </c>
      <c r="L7321" s="21"/>
      <c r="M7321" s="21"/>
      <c r="N7321" s="21" t="s">
        <v>40</v>
      </c>
      <c r="O7321" s="21">
        <f>60+36</f>
        <v>96</v>
      </c>
      <c r="P7321" s="21"/>
      <c r="Q7321" s="21">
        <f t="shared" si="135"/>
        <v>3</v>
      </c>
      <c r="R7321" s="21">
        <v>1</v>
      </c>
      <c r="S7321" s="21">
        <v>0</v>
      </c>
      <c r="T7321" s="21">
        <v>0</v>
      </c>
      <c r="U7321" s="21">
        <v>0</v>
      </c>
      <c r="V7321" s="21">
        <v>3</v>
      </c>
      <c r="W7321" s="21">
        <v>0</v>
      </c>
      <c r="X7321" s="21">
        <v>0</v>
      </c>
      <c r="Y7321" s="21">
        <v>0</v>
      </c>
      <c r="Z7321" s="21">
        <v>0</v>
      </c>
      <c r="AA7321" s="21">
        <v>0</v>
      </c>
      <c r="AB7321" s="21">
        <v>0</v>
      </c>
      <c r="AC7321" s="21">
        <v>0</v>
      </c>
      <c r="AD7321" s="21">
        <v>0</v>
      </c>
      <c r="AE7321" s="21">
        <v>0</v>
      </c>
      <c r="AF7321" s="21">
        <v>0</v>
      </c>
      <c r="AG7321" s="21">
        <v>0</v>
      </c>
      <c r="AH7321" s="21">
        <f t="shared" si="136"/>
        <v>192</v>
      </c>
      <c r="AI7321" s="21"/>
      <c r="AJ7321" s="21"/>
      <c r="AK7321" s="21"/>
      <c r="AL7321" s="21"/>
      <c r="AM7321" s="21" t="s">
        <v>2781</v>
      </c>
      <c r="AN7321" s="21">
        <v>-122.44602591290899</v>
      </c>
      <c r="AO7321" s="21">
        <v>37.794706993360599</v>
      </c>
      <c r="AP7321" s="21" t="s">
        <v>1915</v>
      </c>
    </row>
    <row r="7322" spans="1:42">
      <c r="A7322" s="20">
        <v>43845</v>
      </c>
      <c r="B7322" s="21">
        <v>3</v>
      </c>
      <c r="C7322" s="21">
        <v>985</v>
      </c>
      <c r="D7322" s="21">
        <v>14358</v>
      </c>
      <c r="E7322" s="21" t="s">
        <v>2123</v>
      </c>
      <c r="F7322" s="21" t="s">
        <v>520</v>
      </c>
      <c r="G7322" s="21">
        <v>1</v>
      </c>
      <c r="H7322" s="21">
        <v>165</v>
      </c>
      <c r="I7322" s="23" t="s">
        <v>2576</v>
      </c>
      <c r="J7322" s="21"/>
      <c r="K7322" s="21" t="s">
        <v>119</v>
      </c>
      <c r="L7322" s="21"/>
      <c r="M7322" s="21"/>
      <c r="N7322" s="21" t="s">
        <v>40</v>
      </c>
      <c r="O7322" s="21">
        <v>31</v>
      </c>
      <c r="P7322" s="21"/>
      <c r="Q7322" s="21">
        <f t="shared" si="135"/>
        <v>1</v>
      </c>
      <c r="R7322" s="21">
        <v>1</v>
      </c>
      <c r="S7322" s="21">
        <v>0</v>
      </c>
      <c r="T7322" s="21">
        <v>0</v>
      </c>
      <c r="U7322" s="21">
        <v>0</v>
      </c>
      <c r="V7322" s="21">
        <v>1</v>
      </c>
      <c r="W7322" s="21">
        <v>0</v>
      </c>
      <c r="X7322" s="21">
        <v>0</v>
      </c>
      <c r="Y7322" s="21">
        <v>0</v>
      </c>
      <c r="Z7322" s="21">
        <v>0</v>
      </c>
      <c r="AA7322" s="21">
        <v>0</v>
      </c>
      <c r="AB7322" s="21">
        <v>0</v>
      </c>
      <c r="AC7322" s="21">
        <v>0</v>
      </c>
      <c r="AD7322" s="21">
        <v>0</v>
      </c>
      <c r="AE7322" s="21">
        <v>0</v>
      </c>
      <c r="AF7322" s="21">
        <v>0</v>
      </c>
      <c r="AG7322" s="21">
        <v>0</v>
      </c>
      <c r="AH7322" s="21">
        <f t="shared" si="136"/>
        <v>64</v>
      </c>
      <c r="AI7322" s="21"/>
      <c r="AJ7322" s="21"/>
      <c r="AK7322" s="21"/>
      <c r="AL7322" s="21"/>
      <c r="AM7322" s="21" t="s">
        <v>2782</v>
      </c>
      <c r="AN7322" s="21">
        <v>-122.4462805</v>
      </c>
      <c r="AO7322" s="21">
        <v>37.794773833333302</v>
      </c>
      <c r="AP7322" s="21" t="s">
        <v>1915</v>
      </c>
    </row>
    <row r="7323" spans="1:42">
      <c r="A7323" s="20">
        <v>43845</v>
      </c>
      <c r="B7323" s="21">
        <v>3</v>
      </c>
      <c r="C7323" s="21">
        <v>985</v>
      </c>
      <c r="D7323" s="21">
        <v>14358</v>
      </c>
      <c r="E7323" s="21" t="s">
        <v>2123</v>
      </c>
      <c r="F7323" s="21" t="s">
        <v>520</v>
      </c>
      <c r="G7323" s="21">
        <v>1</v>
      </c>
      <c r="H7323" s="21">
        <v>166</v>
      </c>
      <c r="I7323" s="23" t="s">
        <v>2576</v>
      </c>
      <c r="J7323" s="21"/>
      <c r="K7323" s="21" t="s">
        <v>119</v>
      </c>
      <c r="L7323" s="21"/>
      <c r="M7323" s="21"/>
      <c r="N7323" s="21" t="s">
        <v>40</v>
      </c>
      <c r="O7323" s="21">
        <v>30</v>
      </c>
      <c r="P7323" s="21"/>
      <c r="Q7323" s="21">
        <f t="shared" si="135"/>
        <v>1</v>
      </c>
      <c r="R7323" s="21">
        <v>1</v>
      </c>
      <c r="S7323" s="21">
        <v>0</v>
      </c>
      <c r="T7323" s="21">
        <v>0</v>
      </c>
      <c r="U7323" s="21">
        <v>0</v>
      </c>
      <c r="V7323" s="21">
        <v>0</v>
      </c>
      <c r="W7323" s="21">
        <v>1</v>
      </c>
      <c r="X7323" s="21">
        <v>0</v>
      </c>
      <c r="Y7323" s="21">
        <v>0</v>
      </c>
      <c r="Z7323" s="21">
        <v>0</v>
      </c>
      <c r="AA7323" s="21">
        <v>0</v>
      </c>
      <c r="AB7323" s="21">
        <v>0</v>
      </c>
      <c r="AC7323" s="21">
        <v>0</v>
      </c>
      <c r="AD7323" s="21">
        <v>0</v>
      </c>
      <c r="AE7323" s="21">
        <v>0</v>
      </c>
      <c r="AF7323" s="21">
        <v>0</v>
      </c>
      <c r="AG7323" s="21">
        <v>0</v>
      </c>
      <c r="AH7323" s="21">
        <f t="shared" si="136"/>
        <v>96</v>
      </c>
      <c r="AI7323" s="21"/>
      <c r="AJ7323" s="21"/>
      <c r="AK7323" s="21"/>
      <c r="AL7323" s="21"/>
      <c r="AM7323" s="21" t="s">
        <v>2783</v>
      </c>
      <c r="AN7323" s="21">
        <v>-122.44616535</v>
      </c>
      <c r="AO7323" s="21">
        <v>37.794755283333302</v>
      </c>
      <c r="AP7323" s="21" t="s">
        <v>1915</v>
      </c>
    </row>
    <row r="7324" spans="1:42">
      <c r="A7324" s="20">
        <v>43845</v>
      </c>
      <c r="B7324" s="21">
        <v>3</v>
      </c>
      <c r="C7324" s="21">
        <v>985</v>
      </c>
      <c r="D7324" s="21">
        <v>14358</v>
      </c>
      <c r="E7324" s="21" t="s">
        <v>2123</v>
      </c>
      <c r="F7324" s="21" t="s">
        <v>520</v>
      </c>
      <c r="G7324" s="21">
        <v>1</v>
      </c>
      <c r="H7324" s="21">
        <v>167</v>
      </c>
      <c r="I7324" s="23" t="s">
        <v>2576</v>
      </c>
      <c r="J7324" s="21"/>
      <c r="K7324" s="21" t="s">
        <v>119</v>
      </c>
      <c r="L7324" s="21"/>
      <c r="M7324" s="21"/>
      <c r="N7324" s="21" t="s">
        <v>40</v>
      </c>
      <c r="O7324" s="21">
        <v>43</v>
      </c>
      <c r="P7324" s="21"/>
      <c r="Q7324" s="21">
        <f t="shared" si="135"/>
        <v>2</v>
      </c>
      <c r="R7324" s="21">
        <v>1</v>
      </c>
      <c r="S7324" s="21">
        <v>0</v>
      </c>
      <c r="T7324" s="21">
        <v>0</v>
      </c>
      <c r="U7324" s="21">
        <v>0</v>
      </c>
      <c r="V7324" s="21">
        <v>2</v>
      </c>
      <c r="W7324" s="21">
        <v>0</v>
      </c>
      <c r="X7324" s="21">
        <v>0</v>
      </c>
      <c r="Y7324" s="21">
        <v>0</v>
      </c>
      <c r="Z7324" s="21">
        <v>0</v>
      </c>
      <c r="AA7324" s="21">
        <v>0</v>
      </c>
      <c r="AB7324" s="21">
        <v>0</v>
      </c>
      <c r="AC7324" s="21">
        <v>0</v>
      </c>
      <c r="AD7324" s="21">
        <v>0</v>
      </c>
      <c r="AE7324" s="21">
        <v>0</v>
      </c>
      <c r="AF7324" s="21">
        <v>0</v>
      </c>
      <c r="AG7324" s="21">
        <v>0</v>
      </c>
      <c r="AH7324" s="21">
        <f t="shared" si="136"/>
        <v>128</v>
      </c>
      <c r="AI7324" s="21"/>
      <c r="AJ7324" s="21" t="s">
        <v>51</v>
      </c>
      <c r="AK7324" s="21" t="s">
        <v>52</v>
      </c>
      <c r="AL7324" s="21"/>
      <c r="AM7324" s="21" t="s">
        <v>2784</v>
      </c>
      <c r="AN7324" s="21">
        <v>-122.445832466667</v>
      </c>
      <c r="AO7324" s="21">
        <v>37.794805783333302</v>
      </c>
      <c r="AP7324" s="21" t="s">
        <v>1915</v>
      </c>
    </row>
    <row r="7325" spans="1:42">
      <c r="A7325" s="20">
        <v>43845</v>
      </c>
      <c r="B7325" s="21">
        <v>3</v>
      </c>
      <c r="C7325" s="21">
        <v>985</v>
      </c>
      <c r="D7325" s="21">
        <v>14358</v>
      </c>
      <c r="E7325" s="21" t="s">
        <v>2123</v>
      </c>
      <c r="F7325" s="21" t="s">
        <v>520</v>
      </c>
      <c r="G7325" s="21">
        <v>1</v>
      </c>
      <c r="H7325" s="21">
        <v>168</v>
      </c>
      <c r="I7325" s="23" t="s">
        <v>2576</v>
      </c>
      <c r="J7325" s="21"/>
      <c r="K7325" s="21" t="s">
        <v>119</v>
      </c>
      <c r="L7325" s="21"/>
      <c r="M7325" s="21"/>
      <c r="N7325" s="21" t="s">
        <v>40</v>
      </c>
      <c r="O7325" s="21">
        <v>50</v>
      </c>
      <c r="P7325" s="21"/>
      <c r="Q7325" s="21">
        <f t="shared" si="135"/>
        <v>1</v>
      </c>
      <c r="R7325" s="21">
        <v>1</v>
      </c>
      <c r="S7325" s="21">
        <v>0</v>
      </c>
      <c r="T7325" s="21">
        <v>0</v>
      </c>
      <c r="U7325" s="21">
        <v>0</v>
      </c>
      <c r="V7325" s="21">
        <v>1</v>
      </c>
      <c r="W7325" s="21">
        <v>0</v>
      </c>
      <c r="X7325" s="21">
        <v>0</v>
      </c>
      <c r="Y7325" s="21">
        <v>0</v>
      </c>
      <c r="Z7325" s="21">
        <v>0</v>
      </c>
      <c r="AA7325" s="21">
        <v>0</v>
      </c>
      <c r="AB7325" s="21">
        <v>0</v>
      </c>
      <c r="AC7325" s="21">
        <v>0</v>
      </c>
      <c r="AD7325" s="21">
        <v>0</v>
      </c>
      <c r="AE7325" s="21">
        <v>0</v>
      </c>
      <c r="AF7325" s="21">
        <v>0</v>
      </c>
      <c r="AG7325" s="21">
        <v>0</v>
      </c>
      <c r="AH7325" s="21">
        <f t="shared" si="136"/>
        <v>64</v>
      </c>
      <c r="AI7325" s="21"/>
      <c r="AJ7325" s="21"/>
      <c r="AK7325" s="21"/>
      <c r="AL7325" s="21"/>
      <c r="AM7325" s="21" t="s">
        <v>2785</v>
      </c>
      <c r="AN7325" s="21">
        <v>-122.445544266667</v>
      </c>
      <c r="AO7325" s="21">
        <v>37.794835149999997</v>
      </c>
      <c r="AP7325" s="21" t="s">
        <v>1915</v>
      </c>
    </row>
    <row r="7326" spans="1:42">
      <c r="A7326" s="20">
        <v>43845</v>
      </c>
      <c r="B7326" s="21">
        <v>3</v>
      </c>
      <c r="C7326" s="21">
        <v>985</v>
      </c>
      <c r="D7326" s="21">
        <v>14358</v>
      </c>
      <c r="E7326" s="21" t="s">
        <v>2123</v>
      </c>
      <c r="F7326" s="21" t="s">
        <v>520</v>
      </c>
      <c r="G7326" s="21">
        <v>1</v>
      </c>
      <c r="H7326" s="21">
        <v>169</v>
      </c>
      <c r="I7326" s="23" t="s">
        <v>2673</v>
      </c>
      <c r="J7326" s="21"/>
      <c r="K7326" s="21" t="s">
        <v>119</v>
      </c>
      <c r="L7326" s="21"/>
      <c r="M7326" s="21"/>
      <c r="N7326" s="21" t="s">
        <v>40</v>
      </c>
      <c r="O7326" s="21">
        <f>60+46</f>
        <v>106</v>
      </c>
      <c r="P7326" s="21"/>
      <c r="Q7326" s="21">
        <f t="shared" si="135"/>
        <v>2</v>
      </c>
      <c r="R7326" s="21">
        <v>1</v>
      </c>
      <c r="S7326" s="21">
        <v>0</v>
      </c>
      <c r="T7326" s="21">
        <v>0</v>
      </c>
      <c r="U7326" s="21">
        <v>0</v>
      </c>
      <c r="V7326" s="21">
        <v>0</v>
      </c>
      <c r="W7326" s="21">
        <v>2</v>
      </c>
      <c r="X7326" s="21">
        <v>0</v>
      </c>
      <c r="Y7326" s="21">
        <v>0</v>
      </c>
      <c r="Z7326" s="21">
        <v>0</v>
      </c>
      <c r="AA7326" s="21">
        <v>0</v>
      </c>
      <c r="AB7326" s="21">
        <v>0</v>
      </c>
      <c r="AC7326" s="21">
        <v>0</v>
      </c>
      <c r="AD7326" s="21">
        <v>0</v>
      </c>
      <c r="AE7326" s="21">
        <v>0</v>
      </c>
      <c r="AF7326" s="21">
        <v>0</v>
      </c>
      <c r="AG7326" s="21">
        <v>0</v>
      </c>
      <c r="AH7326" s="21">
        <f t="shared" si="136"/>
        <v>192</v>
      </c>
      <c r="AI7326" s="21"/>
      <c r="AJ7326" s="21"/>
      <c r="AK7326" s="21"/>
      <c r="AL7326" s="21"/>
      <c r="AM7326" s="21" t="s">
        <v>2786</v>
      </c>
      <c r="AN7326" s="21">
        <v>-122.443771609705</v>
      </c>
      <c r="AO7326" s="21">
        <v>37.794751864776302</v>
      </c>
      <c r="AP7326" s="21" t="s">
        <v>1915</v>
      </c>
    </row>
    <row r="7327" spans="1:42">
      <c r="A7327" s="20">
        <v>43858</v>
      </c>
      <c r="B7327" s="21">
        <v>2</v>
      </c>
      <c r="C7327" s="21">
        <v>225</v>
      </c>
      <c r="D7327" s="21">
        <v>14444</v>
      </c>
      <c r="E7327" t="s">
        <v>112</v>
      </c>
      <c r="F7327" s="21" t="s">
        <v>104</v>
      </c>
      <c r="G7327" s="21">
        <v>2</v>
      </c>
      <c r="H7327" s="21">
        <v>1</v>
      </c>
      <c r="I7327" s="23" t="s">
        <v>2787</v>
      </c>
      <c r="J7327" s="21"/>
      <c r="K7327" s="21" t="s">
        <v>595</v>
      </c>
      <c r="L7327" s="21"/>
      <c r="M7327" s="21"/>
      <c r="N7327" s="21" t="s">
        <v>44</v>
      </c>
      <c r="O7327" s="21">
        <v>40</v>
      </c>
      <c r="P7327" s="21"/>
      <c r="Q7327" s="21">
        <f t="shared" si="135"/>
        <v>1</v>
      </c>
      <c r="R7327" s="21">
        <v>1</v>
      </c>
      <c r="S7327" s="21">
        <v>0</v>
      </c>
      <c r="T7327" s="21">
        <v>0</v>
      </c>
      <c r="U7327" s="21">
        <v>0</v>
      </c>
      <c r="V7327" s="21">
        <v>0</v>
      </c>
      <c r="W7327" s="21">
        <v>1</v>
      </c>
      <c r="X7327" s="21">
        <v>0</v>
      </c>
      <c r="Y7327" s="21">
        <v>0</v>
      </c>
      <c r="Z7327" s="21">
        <v>0</v>
      </c>
      <c r="AA7327" s="21">
        <v>0</v>
      </c>
      <c r="AB7327" s="21">
        <v>0</v>
      </c>
      <c r="AC7327" s="21">
        <v>0</v>
      </c>
      <c r="AD7327" s="21">
        <v>0</v>
      </c>
      <c r="AE7327" s="21">
        <v>0</v>
      </c>
      <c r="AF7327" s="21">
        <v>0</v>
      </c>
      <c r="AG7327" s="21">
        <v>0</v>
      </c>
      <c r="AH7327" s="21">
        <f t="shared" si="136"/>
        <v>96</v>
      </c>
      <c r="AI7327" s="21"/>
      <c r="AJ7327" s="21" t="s">
        <v>54</v>
      </c>
      <c r="AK7327" s="21" t="s">
        <v>52</v>
      </c>
      <c r="AL7327" s="21" t="s">
        <v>2788</v>
      </c>
      <c r="AM7327" s="21" t="s">
        <v>2789</v>
      </c>
      <c r="AN7327" s="21">
        <v>-122.426850566667</v>
      </c>
      <c r="AO7327" s="21">
        <v>37.788157233333301</v>
      </c>
      <c r="AP7327" s="21" t="s">
        <v>1915</v>
      </c>
    </row>
    <row r="7328" spans="1:42">
      <c r="A7328" s="20">
        <v>43858</v>
      </c>
      <c r="B7328" s="21">
        <v>2</v>
      </c>
      <c r="C7328" s="21">
        <v>225</v>
      </c>
      <c r="D7328" s="21">
        <v>14444</v>
      </c>
      <c r="E7328" t="s">
        <v>112</v>
      </c>
      <c r="F7328" s="21" t="s">
        <v>104</v>
      </c>
      <c r="G7328" s="21">
        <v>2</v>
      </c>
      <c r="H7328" s="21">
        <v>2</v>
      </c>
      <c r="I7328" s="23" t="s">
        <v>2787</v>
      </c>
      <c r="J7328" s="21"/>
      <c r="K7328" s="21" t="s">
        <v>595</v>
      </c>
      <c r="L7328" s="21"/>
      <c r="M7328" s="21"/>
      <c r="N7328" s="21" t="s">
        <v>40</v>
      </c>
      <c r="O7328" s="21">
        <v>60</v>
      </c>
      <c r="P7328" s="21"/>
      <c r="Q7328" s="21">
        <f t="shared" si="135"/>
        <v>4</v>
      </c>
      <c r="R7328" s="21">
        <v>1</v>
      </c>
      <c r="S7328" s="21">
        <v>0</v>
      </c>
      <c r="T7328" s="21">
        <v>0</v>
      </c>
      <c r="U7328" s="21">
        <v>0</v>
      </c>
      <c r="V7328" s="21">
        <v>3</v>
      </c>
      <c r="W7328" s="21">
        <v>1</v>
      </c>
      <c r="X7328" s="21">
        <v>0</v>
      </c>
      <c r="Y7328" s="21">
        <v>0</v>
      </c>
      <c r="Z7328" s="21">
        <v>0</v>
      </c>
      <c r="AA7328" s="21">
        <v>0</v>
      </c>
      <c r="AB7328" s="21">
        <v>0</v>
      </c>
      <c r="AC7328" s="21">
        <v>0</v>
      </c>
      <c r="AD7328" s="21">
        <v>0</v>
      </c>
      <c r="AE7328" s="21">
        <v>0</v>
      </c>
      <c r="AF7328" s="21">
        <v>0</v>
      </c>
      <c r="AG7328" s="21">
        <v>0</v>
      </c>
      <c r="AH7328" s="21">
        <f t="shared" si="136"/>
        <v>288</v>
      </c>
      <c r="AI7328" s="21"/>
      <c r="AJ7328" s="21" t="s">
        <v>51</v>
      </c>
      <c r="AK7328" s="21" t="s">
        <v>52</v>
      </c>
      <c r="AL7328" s="21"/>
      <c r="AM7328" s="21" t="s">
        <v>2790</v>
      </c>
      <c r="AN7328" s="21">
        <v>-122.428092466667</v>
      </c>
      <c r="AO7328" s="21">
        <v>37.788712716666701</v>
      </c>
      <c r="AP7328" s="21" t="s">
        <v>1915</v>
      </c>
    </row>
    <row r="7329" spans="1:42">
      <c r="A7329" s="20">
        <v>43858</v>
      </c>
      <c r="B7329" s="21">
        <v>2</v>
      </c>
      <c r="C7329" s="21">
        <v>225</v>
      </c>
      <c r="D7329" s="21">
        <v>14444</v>
      </c>
      <c r="E7329" t="s">
        <v>112</v>
      </c>
      <c r="F7329" s="21" t="s">
        <v>104</v>
      </c>
      <c r="G7329" s="21">
        <v>2</v>
      </c>
      <c r="H7329" s="21">
        <v>3</v>
      </c>
      <c r="I7329" s="23" t="s">
        <v>2791</v>
      </c>
      <c r="J7329" s="21"/>
      <c r="K7329" s="21" t="s">
        <v>69</v>
      </c>
      <c r="L7329" s="21"/>
      <c r="M7329" s="21"/>
      <c r="N7329" s="21" t="s">
        <v>40</v>
      </c>
      <c r="O7329" s="21">
        <f>60+7</f>
        <v>67</v>
      </c>
      <c r="P7329" s="21"/>
      <c r="Q7329" s="21">
        <f t="shared" si="135"/>
        <v>4</v>
      </c>
      <c r="R7329" s="21">
        <v>1</v>
      </c>
      <c r="S7329" s="21">
        <v>0</v>
      </c>
      <c r="T7329" s="21">
        <v>0</v>
      </c>
      <c r="U7329" s="21">
        <v>4</v>
      </c>
      <c r="V7329" s="21">
        <v>0</v>
      </c>
      <c r="W7329" s="21">
        <v>0</v>
      </c>
      <c r="X7329" s="21">
        <v>0</v>
      </c>
      <c r="Y7329" s="21">
        <v>0</v>
      </c>
      <c r="Z7329" s="21">
        <v>0</v>
      </c>
      <c r="AA7329" s="21">
        <v>0</v>
      </c>
      <c r="AB7329" s="21">
        <v>0</v>
      </c>
      <c r="AC7329" s="21">
        <v>0</v>
      </c>
      <c r="AD7329" s="21">
        <v>0</v>
      </c>
      <c r="AE7329" s="21">
        <v>0</v>
      </c>
      <c r="AF7329" s="21">
        <v>0</v>
      </c>
      <c r="AG7329" s="21">
        <v>0</v>
      </c>
      <c r="AH7329" s="21">
        <f t="shared" si="136"/>
        <v>128</v>
      </c>
      <c r="AI7329" s="21"/>
      <c r="AJ7329" s="21" t="s">
        <v>51</v>
      </c>
      <c r="AK7329" s="21" t="s">
        <v>52</v>
      </c>
      <c r="AL7329" s="21"/>
      <c r="AM7329" s="21" t="s">
        <v>2792</v>
      </c>
      <c r="AN7329" s="21">
        <v>-122.42839713333299</v>
      </c>
      <c r="AO7329" s="21">
        <v>37.788662133333297</v>
      </c>
      <c r="AP7329" s="21" t="s">
        <v>1915</v>
      </c>
    </row>
    <row r="7330" spans="1:42">
      <c r="A7330" s="20">
        <v>43858</v>
      </c>
      <c r="B7330" s="21">
        <v>2</v>
      </c>
      <c r="C7330" s="21">
        <v>225</v>
      </c>
      <c r="D7330" s="21">
        <v>14444</v>
      </c>
      <c r="E7330" t="s">
        <v>112</v>
      </c>
      <c r="F7330" s="21" t="s">
        <v>104</v>
      </c>
      <c r="G7330" s="21">
        <v>2</v>
      </c>
      <c r="H7330" s="21">
        <v>4</v>
      </c>
      <c r="I7330" s="23" t="s">
        <v>2791</v>
      </c>
      <c r="J7330" s="21"/>
      <c r="K7330" s="21" t="s">
        <v>69</v>
      </c>
      <c r="L7330" s="21"/>
      <c r="M7330" s="21"/>
      <c r="N7330" s="21" t="s">
        <v>40</v>
      </c>
      <c r="O7330" s="21">
        <f>60+59</f>
        <v>119</v>
      </c>
      <c r="P7330" s="21"/>
      <c r="Q7330" s="21">
        <f t="shared" si="135"/>
        <v>4</v>
      </c>
      <c r="R7330" s="21">
        <v>1</v>
      </c>
      <c r="S7330" s="21">
        <v>0</v>
      </c>
      <c r="T7330" s="21">
        <v>0</v>
      </c>
      <c r="U7330" s="21">
        <v>4</v>
      </c>
      <c r="V7330" s="21">
        <v>0</v>
      </c>
      <c r="W7330" s="21">
        <v>0</v>
      </c>
      <c r="X7330" s="21">
        <v>0</v>
      </c>
      <c r="Y7330" s="21">
        <v>0</v>
      </c>
      <c r="Z7330" s="21">
        <v>0</v>
      </c>
      <c r="AA7330" s="21">
        <v>0</v>
      </c>
      <c r="AB7330" s="21">
        <v>0</v>
      </c>
      <c r="AC7330" s="21">
        <v>0</v>
      </c>
      <c r="AD7330" s="21">
        <v>0</v>
      </c>
      <c r="AE7330" s="21">
        <v>0</v>
      </c>
      <c r="AF7330" s="21">
        <v>0</v>
      </c>
      <c r="AG7330" s="21">
        <v>2</v>
      </c>
      <c r="AH7330" s="21">
        <f t="shared" si="136"/>
        <v>128</v>
      </c>
      <c r="AI7330" s="21"/>
      <c r="AJ7330" s="21" t="s">
        <v>51</v>
      </c>
      <c r="AK7330" s="21" t="s">
        <v>52</v>
      </c>
      <c r="AL7330" s="21"/>
      <c r="AM7330" s="21" t="s">
        <v>2793</v>
      </c>
      <c r="AN7330" s="21">
        <v>-122.428629816667</v>
      </c>
      <c r="AO7330" s="21">
        <v>37.788634683333299</v>
      </c>
      <c r="AP7330" s="21" t="s">
        <v>1915</v>
      </c>
    </row>
    <row r="7331" spans="1:42">
      <c r="A7331" s="20">
        <v>43858</v>
      </c>
      <c r="B7331" s="21">
        <v>2</v>
      </c>
      <c r="C7331" s="21">
        <v>225</v>
      </c>
      <c r="D7331" s="21">
        <v>14444</v>
      </c>
      <c r="E7331" t="s">
        <v>112</v>
      </c>
      <c r="F7331" s="21" t="s">
        <v>104</v>
      </c>
      <c r="G7331" s="21">
        <v>2</v>
      </c>
      <c r="H7331" s="21">
        <v>5</v>
      </c>
      <c r="I7331" s="23" t="s">
        <v>2551</v>
      </c>
      <c r="J7331" s="21"/>
      <c r="K7331" s="21" t="s">
        <v>56</v>
      </c>
      <c r="L7331" s="21"/>
      <c r="M7331" s="21"/>
      <c r="N7331" s="21" t="s">
        <v>40</v>
      </c>
      <c r="O7331" s="21">
        <v>42</v>
      </c>
      <c r="P7331" s="21"/>
      <c r="Q7331" s="21">
        <f t="shared" si="135"/>
        <v>2</v>
      </c>
      <c r="R7331" s="21">
        <v>1</v>
      </c>
      <c r="S7331" s="21">
        <v>0</v>
      </c>
      <c r="T7331" s="21">
        <v>0</v>
      </c>
      <c r="U7331" s="21">
        <v>0</v>
      </c>
      <c r="V7331" s="21">
        <v>1</v>
      </c>
      <c r="W7331" s="21">
        <v>1</v>
      </c>
      <c r="X7331" s="21">
        <v>0</v>
      </c>
      <c r="Y7331" s="21">
        <v>0</v>
      </c>
      <c r="Z7331" s="21">
        <v>0</v>
      </c>
      <c r="AA7331" s="21">
        <v>0</v>
      </c>
      <c r="AB7331" s="21">
        <v>0</v>
      </c>
      <c r="AC7331" s="21">
        <v>0</v>
      </c>
      <c r="AD7331" s="21">
        <v>0</v>
      </c>
      <c r="AE7331" s="21">
        <v>0</v>
      </c>
      <c r="AF7331" s="21">
        <v>0</v>
      </c>
      <c r="AG7331" s="21">
        <v>0</v>
      </c>
      <c r="AH7331" s="21">
        <f t="shared" si="136"/>
        <v>160</v>
      </c>
      <c r="AI7331" s="21"/>
      <c r="AJ7331" s="21"/>
      <c r="AK7331" s="21"/>
      <c r="AL7331" s="21"/>
      <c r="AM7331" s="21" t="s">
        <v>2794</v>
      </c>
      <c r="AN7331" s="21">
        <v>-122.4277924</v>
      </c>
      <c r="AO7331" s="21">
        <v>37.789522266666701</v>
      </c>
      <c r="AP7331" s="21" t="s">
        <v>1915</v>
      </c>
    </row>
    <row r="7332" spans="1:42">
      <c r="A7332" s="20">
        <v>43858</v>
      </c>
      <c r="B7332" s="21">
        <v>2</v>
      </c>
      <c r="C7332" s="21">
        <v>225</v>
      </c>
      <c r="D7332" s="21">
        <v>14444</v>
      </c>
      <c r="E7332" t="s">
        <v>112</v>
      </c>
      <c r="F7332" s="21" t="s">
        <v>104</v>
      </c>
      <c r="G7332" s="21">
        <v>2</v>
      </c>
      <c r="H7332" s="21">
        <v>6</v>
      </c>
      <c r="I7332" s="23" t="s">
        <v>2795</v>
      </c>
      <c r="J7332" s="21"/>
      <c r="K7332" s="21" t="s">
        <v>2125</v>
      </c>
      <c r="L7332" s="21"/>
      <c r="M7332" s="21"/>
      <c r="N7332" s="21" t="s">
        <v>44</v>
      </c>
      <c r="O7332" s="21">
        <v>55</v>
      </c>
      <c r="P7332" s="21"/>
      <c r="Q7332" s="21">
        <f t="shared" si="135"/>
        <v>1</v>
      </c>
      <c r="R7332" s="21">
        <v>1</v>
      </c>
      <c r="S7332" s="21">
        <v>0</v>
      </c>
      <c r="T7332" s="21">
        <v>0</v>
      </c>
      <c r="U7332" s="21">
        <v>0</v>
      </c>
      <c r="V7332" s="21">
        <v>0</v>
      </c>
      <c r="W7332" s="21">
        <v>1</v>
      </c>
      <c r="X7332" s="21">
        <v>0</v>
      </c>
      <c r="Y7332" s="21">
        <v>0</v>
      </c>
      <c r="Z7332" s="21">
        <v>0</v>
      </c>
      <c r="AA7332" s="21">
        <v>0</v>
      </c>
      <c r="AB7332" s="21">
        <v>0</v>
      </c>
      <c r="AC7332" s="21">
        <v>0</v>
      </c>
      <c r="AD7332" s="21">
        <v>0</v>
      </c>
      <c r="AE7332" s="21">
        <v>0</v>
      </c>
      <c r="AF7332" s="21">
        <v>0</v>
      </c>
      <c r="AG7332" s="21">
        <v>0</v>
      </c>
      <c r="AH7332" s="21">
        <f t="shared" si="136"/>
        <v>96</v>
      </c>
      <c r="AI7332" s="21"/>
      <c r="AJ7332" s="21" t="s">
        <v>51</v>
      </c>
      <c r="AK7332" s="21" t="s">
        <v>52</v>
      </c>
      <c r="AL7332" s="21" t="s">
        <v>2796</v>
      </c>
      <c r="AM7332" s="21" t="s">
        <v>2797</v>
      </c>
      <c r="AN7332" s="21">
        <v>-122.427869883333</v>
      </c>
      <c r="AO7332" s="21">
        <v>37.789634300000003</v>
      </c>
      <c r="AP7332" s="21" t="s">
        <v>1915</v>
      </c>
    </row>
    <row r="7333" spans="1:42">
      <c r="A7333" s="20">
        <v>43858</v>
      </c>
      <c r="B7333" s="21">
        <v>2</v>
      </c>
      <c r="C7333" s="21">
        <v>225</v>
      </c>
      <c r="D7333" s="21">
        <v>14444</v>
      </c>
      <c r="E7333" t="s">
        <v>112</v>
      </c>
      <c r="F7333" s="21" t="s">
        <v>104</v>
      </c>
      <c r="G7333" s="21">
        <v>2</v>
      </c>
      <c r="H7333" s="21">
        <v>7</v>
      </c>
      <c r="I7333" s="23" t="s">
        <v>2798</v>
      </c>
      <c r="J7333" s="21"/>
      <c r="K7333" s="21" t="s">
        <v>595</v>
      </c>
      <c r="L7333" s="21"/>
      <c r="M7333" s="21"/>
      <c r="N7333" s="21" t="s">
        <v>44</v>
      </c>
      <c r="O7333" s="21">
        <f>60+60+60+60+60+17</f>
        <v>317</v>
      </c>
      <c r="P7333" s="21"/>
      <c r="Q7333" s="21">
        <f t="shared" si="135"/>
        <v>6</v>
      </c>
      <c r="R7333" s="21">
        <v>1</v>
      </c>
      <c r="S7333" s="21">
        <v>0</v>
      </c>
      <c r="T7333" s="21">
        <v>0</v>
      </c>
      <c r="U7333" s="21">
        <v>0</v>
      </c>
      <c r="V7333" s="21">
        <v>4</v>
      </c>
      <c r="W7333" s="21">
        <v>2</v>
      </c>
      <c r="X7333" s="21">
        <v>0</v>
      </c>
      <c r="Y7333" s="21">
        <v>0</v>
      </c>
      <c r="Z7333" s="21">
        <v>0</v>
      </c>
      <c r="AA7333" s="21">
        <v>0</v>
      </c>
      <c r="AB7333" s="21">
        <v>0</v>
      </c>
      <c r="AC7333" s="21">
        <v>0</v>
      </c>
      <c r="AD7333" s="21">
        <v>0</v>
      </c>
      <c r="AE7333" s="21">
        <v>0</v>
      </c>
      <c r="AF7333" s="21">
        <v>0</v>
      </c>
      <c r="AG7333" s="21">
        <v>0</v>
      </c>
      <c r="AH7333" s="21">
        <f t="shared" si="136"/>
        <v>448</v>
      </c>
      <c r="AI7333" s="21"/>
      <c r="AJ7333" s="21" t="s">
        <v>51</v>
      </c>
      <c r="AK7333" s="21" t="s">
        <v>95</v>
      </c>
      <c r="AL7333" s="21" t="s">
        <v>2799</v>
      </c>
      <c r="AM7333" s="21" t="s">
        <v>2800</v>
      </c>
      <c r="AN7333" s="21">
        <v>-122.427686016667</v>
      </c>
      <c r="AO7333" s="21">
        <v>37.788585933333302</v>
      </c>
      <c r="AP7333" s="21" t="s">
        <v>1915</v>
      </c>
    </row>
    <row r="7334" spans="1:42">
      <c r="A7334" s="20">
        <v>43858</v>
      </c>
      <c r="B7334" s="21">
        <v>2</v>
      </c>
      <c r="C7334" s="21">
        <v>225</v>
      </c>
      <c r="D7334" s="21">
        <v>14444</v>
      </c>
      <c r="E7334" t="s">
        <v>112</v>
      </c>
      <c r="F7334" s="21" t="s">
        <v>104</v>
      </c>
      <c r="G7334" s="21">
        <v>2</v>
      </c>
      <c r="H7334" s="21">
        <v>8</v>
      </c>
      <c r="I7334" s="23" t="s">
        <v>2801</v>
      </c>
      <c r="J7334" s="21"/>
      <c r="K7334" s="21" t="s">
        <v>69</v>
      </c>
      <c r="L7334" s="21"/>
      <c r="M7334" s="21"/>
      <c r="N7334" s="21" t="s">
        <v>40</v>
      </c>
      <c r="O7334" s="21">
        <v>33</v>
      </c>
      <c r="P7334" s="21"/>
      <c r="Q7334" s="21">
        <f t="shared" si="135"/>
        <v>2</v>
      </c>
      <c r="R7334" s="21">
        <v>1</v>
      </c>
      <c r="S7334" s="21">
        <v>0</v>
      </c>
      <c r="T7334" s="21">
        <v>0</v>
      </c>
      <c r="U7334" s="21">
        <v>2</v>
      </c>
      <c r="V7334" s="21">
        <v>0</v>
      </c>
      <c r="W7334" s="21">
        <v>0</v>
      </c>
      <c r="X7334" s="21">
        <v>0</v>
      </c>
      <c r="Y7334" s="21">
        <v>0</v>
      </c>
      <c r="Z7334" s="21">
        <v>0</v>
      </c>
      <c r="AA7334" s="21">
        <v>0</v>
      </c>
      <c r="AB7334" s="21">
        <v>0</v>
      </c>
      <c r="AC7334" s="21">
        <v>0</v>
      </c>
      <c r="AD7334" s="21">
        <v>0</v>
      </c>
      <c r="AE7334" s="21">
        <v>0</v>
      </c>
      <c r="AF7334" s="21">
        <v>0</v>
      </c>
      <c r="AG7334" s="21">
        <v>0</v>
      </c>
      <c r="AH7334" s="21">
        <f t="shared" si="136"/>
        <v>64</v>
      </c>
      <c r="AI7334" s="21"/>
      <c r="AJ7334" s="21" t="s">
        <v>51</v>
      </c>
      <c r="AK7334" s="21" t="s">
        <v>52</v>
      </c>
      <c r="AL7334" s="21"/>
      <c r="AM7334" s="21" t="s">
        <v>2802</v>
      </c>
      <c r="AN7334" s="21">
        <v>-122.428071783333</v>
      </c>
      <c r="AO7334" s="21">
        <v>37.788643366666697</v>
      </c>
      <c r="AP7334" s="21" t="s">
        <v>1915</v>
      </c>
    </row>
    <row r="7335" spans="1:42">
      <c r="A7335" s="20">
        <v>43858</v>
      </c>
      <c r="B7335" s="21">
        <v>2</v>
      </c>
      <c r="C7335" s="21">
        <v>225</v>
      </c>
      <c r="D7335" s="21">
        <v>14444</v>
      </c>
      <c r="E7335" t="s">
        <v>112</v>
      </c>
      <c r="F7335" s="21" t="s">
        <v>104</v>
      </c>
      <c r="G7335" s="21">
        <v>2</v>
      </c>
      <c r="H7335" s="21">
        <v>9</v>
      </c>
      <c r="I7335" s="23" t="s">
        <v>2803</v>
      </c>
      <c r="J7335" s="21"/>
      <c r="K7335" s="21" t="s">
        <v>69</v>
      </c>
      <c r="L7335" s="21"/>
      <c r="M7335" s="21"/>
      <c r="N7335" s="21" t="s">
        <v>40</v>
      </c>
      <c r="O7335" s="21">
        <v>30</v>
      </c>
      <c r="P7335" s="21"/>
      <c r="Q7335" s="21">
        <f t="shared" si="135"/>
        <v>1</v>
      </c>
      <c r="R7335" s="21">
        <v>1</v>
      </c>
      <c r="S7335" s="21">
        <v>0</v>
      </c>
      <c r="T7335" s="21">
        <v>0</v>
      </c>
      <c r="U7335" s="21">
        <v>1</v>
      </c>
      <c r="V7335" s="21">
        <v>0</v>
      </c>
      <c r="W7335" s="21">
        <v>0</v>
      </c>
      <c r="X7335" s="21">
        <v>0</v>
      </c>
      <c r="Y7335" s="21">
        <v>0</v>
      </c>
      <c r="Z7335" s="21">
        <v>0</v>
      </c>
      <c r="AA7335" s="21">
        <v>0</v>
      </c>
      <c r="AB7335" s="21">
        <v>0</v>
      </c>
      <c r="AC7335" s="21">
        <v>0</v>
      </c>
      <c r="AD7335" s="21">
        <v>0</v>
      </c>
      <c r="AE7335" s="21">
        <v>0</v>
      </c>
      <c r="AF7335" s="21">
        <v>0</v>
      </c>
      <c r="AG7335" s="21">
        <v>0</v>
      </c>
      <c r="AH7335" s="21">
        <f t="shared" si="136"/>
        <v>32</v>
      </c>
      <c r="AI7335" s="21"/>
      <c r="AJ7335" s="21"/>
      <c r="AK7335" s="21"/>
      <c r="AL7335" s="21"/>
      <c r="AM7335" s="21" t="s">
        <v>2804</v>
      </c>
      <c r="AN7335" s="21">
        <v>-122.42794936666699</v>
      </c>
      <c r="AO7335" s="21">
        <v>37.788699433333299</v>
      </c>
      <c r="AP7335" s="21" t="s">
        <v>1915</v>
      </c>
    </row>
    <row r="7336" spans="1:42">
      <c r="A7336" s="20">
        <v>43858</v>
      </c>
      <c r="B7336" s="21">
        <v>2</v>
      </c>
      <c r="C7336" s="21">
        <v>225</v>
      </c>
      <c r="D7336" s="21">
        <v>14444</v>
      </c>
      <c r="E7336" t="s">
        <v>112</v>
      </c>
      <c r="F7336" s="21" t="s">
        <v>104</v>
      </c>
      <c r="G7336" s="21">
        <v>2</v>
      </c>
      <c r="H7336" s="21">
        <v>10</v>
      </c>
      <c r="I7336" s="23" t="s">
        <v>2803</v>
      </c>
      <c r="J7336" s="21"/>
      <c r="K7336" s="21" t="s">
        <v>69</v>
      </c>
      <c r="L7336" s="21"/>
      <c r="M7336" s="21"/>
      <c r="N7336" s="21" t="s">
        <v>40</v>
      </c>
      <c r="O7336" s="21">
        <v>38</v>
      </c>
      <c r="P7336" s="21"/>
      <c r="Q7336" s="21">
        <f t="shared" si="135"/>
        <v>1</v>
      </c>
      <c r="R7336" s="21">
        <v>1</v>
      </c>
      <c r="S7336" s="21">
        <v>0</v>
      </c>
      <c r="T7336" s="21">
        <v>0</v>
      </c>
      <c r="U7336" s="21">
        <v>1</v>
      </c>
      <c r="V7336" s="21">
        <v>0</v>
      </c>
      <c r="W7336" s="21">
        <v>0</v>
      </c>
      <c r="X7336" s="21">
        <v>0</v>
      </c>
      <c r="Y7336" s="21">
        <v>0</v>
      </c>
      <c r="Z7336" s="21">
        <v>0</v>
      </c>
      <c r="AA7336" s="21">
        <v>0</v>
      </c>
      <c r="AB7336" s="21">
        <v>0</v>
      </c>
      <c r="AC7336" s="21">
        <v>0</v>
      </c>
      <c r="AD7336" s="21">
        <v>0</v>
      </c>
      <c r="AE7336" s="21">
        <v>0</v>
      </c>
      <c r="AF7336" s="21">
        <v>0</v>
      </c>
      <c r="AG7336" s="21">
        <v>0</v>
      </c>
      <c r="AH7336" s="21">
        <f t="shared" si="136"/>
        <v>32</v>
      </c>
      <c r="AI7336" s="21"/>
      <c r="AJ7336" s="21"/>
      <c r="AK7336" s="21"/>
      <c r="AL7336" s="21"/>
      <c r="AM7336" s="21" t="s">
        <v>2805</v>
      </c>
      <c r="AN7336" s="21">
        <v>-122.42794936666699</v>
      </c>
      <c r="AO7336" s="21">
        <v>37.788699433333299</v>
      </c>
      <c r="AP7336" s="21" t="s">
        <v>1915</v>
      </c>
    </row>
    <row r="7337" spans="1:42">
      <c r="A7337" s="20">
        <v>43858</v>
      </c>
      <c r="B7337" s="21">
        <v>2</v>
      </c>
      <c r="C7337" s="21">
        <v>225</v>
      </c>
      <c r="D7337" s="21">
        <v>14444</v>
      </c>
      <c r="E7337" t="s">
        <v>112</v>
      </c>
      <c r="F7337" s="21" t="s">
        <v>104</v>
      </c>
      <c r="G7337" s="21">
        <v>2</v>
      </c>
      <c r="H7337" s="21">
        <v>11</v>
      </c>
      <c r="I7337" s="23" t="s">
        <v>2806</v>
      </c>
      <c r="J7337" s="21"/>
      <c r="K7337" s="21" t="s">
        <v>69</v>
      </c>
      <c r="L7337" s="21"/>
      <c r="M7337" s="21"/>
      <c r="N7337" s="21" t="s">
        <v>40</v>
      </c>
      <c r="O7337" s="21">
        <f>60+51</f>
        <v>111</v>
      </c>
      <c r="P7337" s="21"/>
      <c r="Q7337" s="21">
        <f t="shared" si="135"/>
        <v>5</v>
      </c>
      <c r="R7337" s="21">
        <v>1</v>
      </c>
      <c r="S7337" s="21">
        <v>0</v>
      </c>
      <c r="T7337" s="21">
        <v>0</v>
      </c>
      <c r="U7337" s="21">
        <v>3</v>
      </c>
      <c r="V7337" s="21">
        <v>1</v>
      </c>
      <c r="W7337" s="21">
        <v>1</v>
      </c>
      <c r="X7337" s="21">
        <v>0</v>
      </c>
      <c r="Y7337" s="21">
        <v>0</v>
      </c>
      <c r="Z7337" s="21">
        <v>0</v>
      </c>
      <c r="AA7337" s="21">
        <v>0</v>
      </c>
      <c r="AB7337" s="21">
        <v>0</v>
      </c>
      <c r="AC7337" s="21">
        <v>0</v>
      </c>
      <c r="AD7337" s="21">
        <v>0</v>
      </c>
      <c r="AE7337" s="21">
        <v>0</v>
      </c>
      <c r="AF7337" s="21">
        <v>0</v>
      </c>
      <c r="AG7337" s="21">
        <v>0</v>
      </c>
      <c r="AH7337" s="21">
        <f t="shared" si="136"/>
        <v>256</v>
      </c>
      <c r="AI7337" s="21"/>
      <c r="AJ7337" s="21" t="s">
        <v>51</v>
      </c>
      <c r="AK7337" s="21" t="s">
        <v>52</v>
      </c>
      <c r="AL7337" s="21"/>
      <c r="AM7337" s="21" t="s">
        <v>2807</v>
      </c>
      <c r="AN7337" s="21">
        <v>-122.42818750000001</v>
      </c>
      <c r="AO7337" s="21">
        <v>37.788606066666702</v>
      </c>
      <c r="AP7337" s="21" t="s">
        <v>1915</v>
      </c>
    </row>
    <row r="7338" spans="1:42">
      <c r="A7338" s="20">
        <v>43858</v>
      </c>
      <c r="B7338" s="21">
        <v>2</v>
      </c>
      <c r="C7338" s="21">
        <v>225</v>
      </c>
      <c r="D7338" s="21">
        <v>14444</v>
      </c>
      <c r="E7338" t="s">
        <v>112</v>
      </c>
      <c r="F7338" s="21" t="s">
        <v>104</v>
      </c>
      <c r="G7338" s="21">
        <v>2</v>
      </c>
      <c r="H7338" s="21">
        <v>12</v>
      </c>
      <c r="I7338" s="23" t="s">
        <v>2808</v>
      </c>
      <c r="J7338" s="21"/>
      <c r="K7338" s="21" t="s">
        <v>69</v>
      </c>
      <c r="L7338" s="21"/>
      <c r="M7338" s="21"/>
      <c r="N7338" s="21" t="s">
        <v>40</v>
      </c>
      <c r="O7338" s="21">
        <v>46</v>
      </c>
      <c r="P7338" s="21"/>
      <c r="Q7338" s="21">
        <f t="shared" si="135"/>
        <v>2</v>
      </c>
      <c r="R7338" s="21">
        <v>1</v>
      </c>
      <c r="S7338" s="21">
        <v>0</v>
      </c>
      <c r="T7338" s="21">
        <v>0</v>
      </c>
      <c r="U7338" s="21">
        <v>0</v>
      </c>
      <c r="V7338" s="21">
        <v>2</v>
      </c>
      <c r="W7338" s="21">
        <v>0</v>
      </c>
      <c r="X7338" s="21">
        <v>0</v>
      </c>
      <c r="Y7338" s="21">
        <v>0</v>
      </c>
      <c r="Z7338" s="21">
        <v>0</v>
      </c>
      <c r="AA7338" s="21">
        <v>0</v>
      </c>
      <c r="AB7338" s="21">
        <v>0</v>
      </c>
      <c r="AC7338" s="21">
        <v>0</v>
      </c>
      <c r="AD7338" s="21">
        <v>0</v>
      </c>
      <c r="AE7338" s="21">
        <v>0</v>
      </c>
      <c r="AF7338" s="21">
        <v>0</v>
      </c>
      <c r="AG7338" s="21">
        <v>0</v>
      </c>
      <c r="AH7338" s="21">
        <f t="shared" si="136"/>
        <v>128</v>
      </c>
      <c r="AI7338" s="21"/>
      <c r="AJ7338" s="21" t="s">
        <v>51</v>
      </c>
      <c r="AK7338" s="21"/>
      <c r="AL7338" s="21"/>
      <c r="AM7338" s="21" t="s">
        <v>2809</v>
      </c>
      <c r="AN7338" s="21">
        <v>-122.42944951666701</v>
      </c>
      <c r="AO7338" s="21">
        <v>37.788618649999997</v>
      </c>
      <c r="AP7338" s="21" t="s">
        <v>1915</v>
      </c>
    </row>
    <row r="7339" spans="1:42">
      <c r="A7339" s="20">
        <v>43858</v>
      </c>
      <c r="B7339" s="21">
        <v>2</v>
      </c>
      <c r="C7339" s="21">
        <v>225</v>
      </c>
      <c r="D7339" s="21">
        <v>14444</v>
      </c>
      <c r="E7339" t="s">
        <v>112</v>
      </c>
      <c r="F7339" s="21" t="s">
        <v>104</v>
      </c>
      <c r="G7339" s="21">
        <v>2</v>
      </c>
      <c r="H7339" s="21">
        <v>13</v>
      </c>
      <c r="I7339" s="23" t="s">
        <v>2810</v>
      </c>
      <c r="J7339" s="21"/>
      <c r="K7339" s="21" t="s">
        <v>69</v>
      </c>
      <c r="L7339" s="21"/>
      <c r="M7339" s="21"/>
      <c r="N7339" s="21" t="s">
        <v>44</v>
      </c>
      <c r="O7339" s="21">
        <f>60+3</f>
        <v>63</v>
      </c>
      <c r="P7339" s="21"/>
      <c r="Q7339" s="21">
        <f t="shared" si="135"/>
        <v>2</v>
      </c>
      <c r="R7339" s="21">
        <v>1</v>
      </c>
      <c r="S7339" s="21">
        <v>0</v>
      </c>
      <c r="T7339" s="21">
        <v>0</v>
      </c>
      <c r="U7339" s="21">
        <v>2</v>
      </c>
      <c r="V7339" s="21">
        <v>0</v>
      </c>
      <c r="W7339" s="21">
        <v>0</v>
      </c>
      <c r="X7339" s="21">
        <v>0</v>
      </c>
      <c r="Y7339" s="21">
        <v>0</v>
      </c>
      <c r="Z7339" s="21">
        <v>0</v>
      </c>
      <c r="AA7339" s="21">
        <v>0</v>
      </c>
      <c r="AB7339" s="21">
        <v>0</v>
      </c>
      <c r="AC7339" s="21">
        <v>0</v>
      </c>
      <c r="AD7339" s="21">
        <v>0</v>
      </c>
      <c r="AE7339" s="21">
        <v>0</v>
      </c>
      <c r="AF7339" s="21">
        <v>0</v>
      </c>
      <c r="AG7339" s="21">
        <v>0</v>
      </c>
      <c r="AH7339" s="21">
        <f t="shared" si="136"/>
        <v>64</v>
      </c>
      <c r="AI7339" s="21"/>
      <c r="AJ7339" s="21" t="s">
        <v>51</v>
      </c>
      <c r="AK7339" s="21" t="s">
        <v>52</v>
      </c>
      <c r="AL7339" s="21" t="s">
        <v>2811</v>
      </c>
      <c r="AM7339" s="21" t="s">
        <v>2812</v>
      </c>
      <c r="AN7339" s="21">
        <v>-122.42938169999999</v>
      </c>
      <c r="AO7339" s="21">
        <v>37.7886295666667</v>
      </c>
      <c r="AP7339" s="21" t="s">
        <v>1915</v>
      </c>
    </row>
    <row r="7340" spans="1:42">
      <c r="A7340" s="20">
        <v>43858</v>
      </c>
      <c r="B7340" s="21">
        <v>2</v>
      </c>
      <c r="C7340" s="21">
        <v>225</v>
      </c>
      <c r="D7340" s="21">
        <v>14444</v>
      </c>
      <c r="E7340" t="s">
        <v>112</v>
      </c>
      <c r="F7340" s="21" t="s">
        <v>104</v>
      </c>
      <c r="G7340" s="21">
        <v>2</v>
      </c>
      <c r="H7340" s="21">
        <v>14</v>
      </c>
      <c r="I7340" s="23" t="s">
        <v>2813</v>
      </c>
      <c r="J7340" s="21"/>
      <c r="K7340" s="21" t="s">
        <v>69</v>
      </c>
      <c r="L7340" s="21"/>
      <c r="M7340" s="21"/>
      <c r="N7340" s="21" t="s">
        <v>40</v>
      </c>
      <c r="O7340" s="21">
        <v>55</v>
      </c>
      <c r="P7340" s="21"/>
      <c r="Q7340" s="21">
        <f t="shared" si="135"/>
        <v>2</v>
      </c>
      <c r="R7340" s="21">
        <v>1</v>
      </c>
      <c r="S7340" s="21">
        <v>1</v>
      </c>
      <c r="T7340" s="21">
        <v>0</v>
      </c>
      <c r="U7340" s="21">
        <v>1</v>
      </c>
      <c r="V7340" s="21">
        <v>0</v>
      </c>
      <c r="W7340" s="21">
        <v>0</v>
      </c>
      <c r="X7340" s="21">
        <v>0</v>
      </c>
      <c r="Y7340" s="21">
        <v>0</v>
      </c>
      <c r="Z7340" s="21">
        <v>0</v>
      </c>
      <c r="AA7340" s="21">
        <v>0</v>
      </c>
      <c r="AB7340" s="21">
        <v>0</v>
      </c>
      <c r="AC7340" s="21">
        <v>0</v>
      </c>
      <c r="AD7340" s="21">
        <v>0</v>
      </c>
      <c r="AE7340" s="21">
        <v>0</v>
      </c>
      <c r="AF7340" s="21">
        <v>0</v>
      </c>
      <c r="AG7340" s="21">
        <v>0</v>
      </c>
      <c r="AH7340" s="21">
        <f t="shared" si="136"/>
        <v>48</v>
      </c>
      <c r="AI7340" s="21"/>
      <c r="AJ7340" s="21" t="s">
        <v>51</v>
      </c>
      <c r="AK7340" s="21" t="s">
        <v>52</v>
      </c>
      <c r="AL7340" s="21"/>
      <c r="AM7340" s="21" t="s">
        <v>2814</v>
      </c>
      <c r="AN7340" s="21">
        <v>-122.42979185</v>
      </c>
      <c r="AO7340" s="21">
        <v>37.788555733333297</v>
      </c>
      <c r="AP7340" s="21" t="s">
        <v>1915</v>
      </c>
    </row>
    <row r="7341" spans="1:42">
      <c r="A7341" s="20">
        <v>43858</v>
      </c>
      <c r="B7341" s="21">
        <v>2</v>
      </c>
      <c r="C7341" s="21">
        <v>225</v>
      </c>
      <c r="D7341" s="21">
        <v>14444</v>
      </c>
      <c r="E7341" t="s">
        <v>112</v>
      </c>
      <c r="F7341" s="21" t="s">
        <v>104</v>
      </c>
      <c r="G7341" s="21">
        <v>2</v>
      </c>
      <c r="H7341" s="21">
        <v>15</v>
      </c>
      <c r="I7341" s="23" t="s">
        <v>2815</v>
      </c>
      <c r="J7341" s="21"/>
      <c r="K7341" s="21" t="s">
        <v>69</v>
      </c>
      <c r="L7341" s="21"/>
      <c r="M7341" s="21"/>
      <c r="N7341" s="21" t="s">
        <v>40</v>
      </c>
      <c r="O7341" s="21">
        <f>60+46</f>
        <v>106</v>
      </c>
      <c r="P7341" s="21"/>
      <c r="Q7341" s="21">
        <f t="shared" si="135"/>
        <v>4</v>
      </c>
      <c r="R7341" s="21">
        <v>1</v>
      </c>
      <c r="S7341" s="21">
        <v>0</v>
      </c>
      <c r="T7341" s="21">
        <v>0</v>
      </c>
      <c r="U7341" s="21">
        <v>0</v>
      </c>
      <c r="V7341" s="21">
        <v>3</v>
      </c>
      <c r="W7341" s="21">
        <v>1</v>
      </c>
      <c r="X7341" s="21">
        <v>0</v>
      </c>
      <c r="Y7341" s="21">
        <v>0</v>
      </c>
      <c r="Z7341" s="21">
        <v>0</v>
      </c>
      <c r="AA7341" s="21">
        <v>0</v>
      </c>
      <c r="AB7341" s="21">
        <v>0</v>
      </c>
      <c r="AC7341" s="21">
        <v>0</v>
      </c>
      <c r="AD7341" s="21">
        <v>0</v>
      </c>
      <c r="AE7341" s="21">
        <v>0</v>
      </c>
      <c r="AF7341" s="21">
        <v>0</v>
      </c>
      <c r="AG7341" s="21">
        <v>0</v>
      </c>
      <c r="AH7341" s="21">
        <f t="shared" si="136"/>
        <v>288</v>
      </c>
      <c r="AI7341" s="21"/>
      <c r="AJ7341" s="21" t="s">
        <v>51</v>
      </c>
      <c r="AK7341" s="21" t="s">
        <v>52</v>
      </c>
      <c r="AL7341" s="21"/>
      <c r="AM7341" s="21" t="s">
        <v>2816</v>
      </c>
      <c r="AN7341" s="21">
        <v>-122.43008875</v>
      </c>
      <c r="AO7341" s="21">
        <v>37.788505133333302</v>
      </c>
      <c r="AP7341" s="21" t="s">
        <v>1915</v>
      </c>
    </row>
    <row r="7342" spans="1:42">
      <c r="A7342" s="20">
        <v>43858</v>
      </c>
      <c r="B7342" s="21">
        <v>2</v>
      </c>
      <c r="C7342" s="21">
        <v>225</v>
      </c>
      <c r="D7342" s="21">
        <v>14444</v>
      </c>
      <c r="E7342" t="s">
        <v>112</v>
      </c>
      <c r="F7342" s="21" t="s">
        <v>104</v>
      </c>
      <c r="G7342" s="21">
        <v>2</v>
      </c>
      <c r="H7342" s="21">
        <v>16</v>
      </c>
      <c r="I7342" s="23" t="s">
        <v>2817</v>
      </c>
      <c r="J7342" s="21"/>
      <c r="K7342" s="21" t="s">
        <v>596</v>
      </c>
      <c r="L7342" s="21"/>
      <c r="M7342" s="21"/>
      <c r="N7342" s="21" t="s">
        <v>40</v>
      </c>
      <c r="O7342" s="21">
        <v>43</v>
      </c>
      <c r="P7342" s="21"/>
      <c r="Q7342" s="21">
        <f t="shared" si="135"/>
        <v>2</v>
      </c>
      <c r="R7342" s="21">
        <v>1</v>
      </c>
      <c r="S7342" s="21">
        <v>0</v>
      </c>
      <c r="T7342" s="21">
        <v>0</v>
      </c>
      <c r="U7342" s="21">
        <v>2</v>
      </c>
      <c r="V7342" s="21">
        <v>0</v>
      </c>
      <c r="W7342" s="21">
        <v>0</v>
      </c>
      <c r="X7342" s="21">
        <v>0</v>
      </c>
      <c r="Y7342" s="21">
        <v>0</v>
      </c>
      <c r="Z7342" s="21">
        <v>0</v>
      </c>
      <c r="AA7342" s="21">
        <v>0</v>
      </c>
      <c r="AB7342" s="21">
        <v>0</v>
      </c>
      <c r="AC7342" s="21">
        <v>0</v>
      </c>
      <c r="AD7342" s="21">
        <v>0</v>
      </c>
      <c r="AE7342" s="21">
        <v>0</v>
      </c>
      <c r="AF7342" s="21">
        <v>0</v>
      </c>
      <c r="AG7342" s="21">
        <v>0</v>
      </c>
      <c r="AH7342" s="21">
        <f t="shared" si="136"/>
        <v>64</v>
      </c>
      <c r="AI7342" s="21"/>
      <c r="AJ7342" s="21" t="s">
        <v>54</v>
      </c>
      <c r="AK7342" s="21" t="s">
        <v>52</v>
      </c>
      <c r="AL7342" s="21"/>
      <c r="AM7342" s="21" t="s">
        <v>2818</v>
      </c>
      <c r="AN7342" s="21">
        <v>-122.43044448333301</v>
      </c>
      <c r="AO7342" s="21">
        <v>37.788838766666601</v>
      </c>
      <c r="AP7342" s="21" t="s">
        <v>1915</v>
      </c>
    </row>
    <row r="7343" spans="1:42">
      <c r="A7343" s="20">
        <v>43858</v>
      </c>
      <c r="B7343" s="21">
        <v>2</v>
      </c>
      <c r="C7343" s="21">
        <v>225</v>
      </c>
      <c r="D7343" s="21">
        <v>14444</v>
      </c>
      <c r="E7343" t="s">
        <v>112</v>
      </c>
      <c r="F7343" s="21" t="s">
        <v>104</v>
      </c>
      <c r="G7343" s="21">
        <v>2</v>
      </c>
      <c r="H7343" s="21">
        <v>17</v>
      </c>
      <c r="I7343" s="23" t="s">
        <v>2810</v>
      </c>
      <c r="J7343" s="21"/>
      <c r="K7343" s="21" t="s">
        <v>596</v>
      </c>
      <c r="L7343" s="21"/>
      <c r="M7343" s="21"/>
      <c r="N7343" s="21" t="s">
        <v>40</v>
      </c>
      <c r="O7343" s="21">
        <v>32</v>
      </c>
      <c r="P7343" s="21"/>
      <c r="Q7343" s="21">
        <f t="shared" si="135"/>
        <v>2</v>
      </c>
      <c r="R7343" s="21">
        <v>1</v>
      </c>
      <c r="S7343" s="21">
        <v>0</v>
      </c>
      <c r="T7343" s="21">
        <v>0</v>
      </c>
      <c r="U7343" s="21">
        <v>0</v>
      </c>
      <c r="V7343" s="21">
        <v>2</v>
      </c>
      <c r="W7343" s="21">
        <v>0</v>
      </c>
      <c r="X7343" s="21">
        <v>0</v>
      </c>
      <c r="Y7343" s="21">
        <v>0</v>
      </c>
      <c r="Z7343" s="21">
        <v>0</v>
      </c>
      <c r="AA7343" s="21">
        <v>0</v>
      </c>
      <c r="AB7343" s="21">
        <v>0</v>
      </c>
      <c r="AC7343" s="21">
        <v>0</v>
      </c>
      <c r="AD7343" s="21">
        <v>0</v>
      </c>
      <c r="AE7343" s="21">
        <v>0</v>
      </c>
      <c r="AF7343" s="21">
        <v>0</v>
      </c>
      <c r="AG7343" s="21">
        <v>0</v>
      </c>
      <c r="AH7343" s="21">
        <f t="shared" si="136"/>
        <v>128</v>
      </c>
      <c r="AI7343" s="21"/>
      <c r="AJ7343" s="21"/>
      <c r="AK7343" s="21"/>
      <c r="AL7343" s="21"/>
      <c r="AM7343" s="21" t="s">
        <v>2819</v>
      </c>
      <c r="AN7343" s="21">
        <v>-122.430483383333</v>
      </c>
      <c r="AO7343" s="21">
        <v>37.788847933333301</v>
      </c>
      <c r="AP7343" s="21" t="s">
        <v>1915</v>
      </c>
    </row>
    <row r="7344" spans="1:42">
      <c r="A7344" s="20">
        <v>43858</v>
      </c>
      <c r="B7344" s="21">
        <v>2</v>
      </c>
      <c r="C7344" s="21">
        <v>225</v>
      </c>
      <c r="D7344" s="21">
        <v>14444</v>
      </c>
      <c r="E7344" t="s">
        <v>112</v>
      </c>
      <c r="F7344" s="21" t="s">
        <v>104</v>
      </c>
      <c r="G7344" s="21">
        <v>2</v>
      </c>
      <c r="H7344" s="21">
        <v>18</v>
      </c>
      <c r="I7344" s="23" t="s">
        <v>2603</v>
      </c>
      <c r="J7344" s="21"/>
      <c r="K7344" s="21" t="s">
        <v>56</v>
      </c>
      <c r="L7344" s="21"/>
      <c r="M7344" s="21"/>
      <c r="N7344" s="21" t="s">
        <v>40</v>
      </c>
      <c r="O7344" s="21">
        <v>31</v>
      </c>
      <c r="P7344" s="21"/>
      <c r="Q7344" s="21">
        <f t="shared" si="135"/>
        <v>1</v>
      </c>
      <c r="R7344" s="21">
        <v>1</v>
      </c>
      <c r="S7344" s="21">
        <v>0</v>
      </c>
      <c r="T7344" s="21">
        <v>0</v>
      </c>
      <c r="U7344" s="21">
        <v>1</v>
      </c>
      <c r="V7344" s="21">
        <v>0</v>
      </c>
      <c r="W7344" s="21">
        <v>0</v>
      </c>
      <c r="X7344" s="21">
        <v>0</v>
      </c>
      <c r="Y7344" s="21">
        <v>0</v>
      </c>
      <c r="Z7344" s="21">
        <v>0</v>
      </c>
      <c r="AA7344" s="21">
        <v>0</v>
      </c>
      <c r="AB7344" s="21">
        <v>0</v>
      </c>
      <c r="AC7344" s="21">
        <v>0</v>
      </c>
      <c r="AD7344" s="21">
        <v>0</v>
      </c>
      <c r="AE7344" s="21">
        <v>0</v>
      </c>
      <c r="AF7344" s="21">
        <v>0</v>
      </c>
      <c r="AG7344" s="21">
        <v>0</v>
      </c>
      <c r="AH7344" s="21">
        <f t="shared" si="136"/>
        <v>32</v>
      </c>
      <c r="AI7344" s="21"/>
      <c r="AJ7344" s="21" t="s">
        <v>54</v>
      </c>
      <c r="AK7344" s="21" t="s">
        <v>52</v>
      </c>
      <c r="AL7344" s="21"/>
      <c r="AM7344" s="21" t="s">
        <v>2820</v>
      </c>
      <c r="AN7344" s="21">
        <v>-122.430502866667</v>
      </c>
      <c r="AO7344" s="21">
        <v>37.7891446</v>
      </c>
      <c r="AP7344" s="21" t="s">
        <v>1915</v>
      </c>
    </row>
    <row r="7345" spans="1:42">
      <c r="A7345" s="20">
        <v>43858</v>
      </c>
      <c r="B7345" s="21">
        <v>2</v>
      </c>
      <c r="C7345" s="21">
        <v>225</v>
      </c>
      <c r="D7345" s="21">
        <v>14444</v>
      </c>
      <c r="E7345" t="s">
        <v>112</v>
      </c>
      <c r="F7345" s="21" t="s">
        <v>104</v>
      </c>
      <c r="G7345" s="21">
        <v>2</v>
      </c>
      <c r="H7345" s="21">
        <v>19</v>
      </c>
      <c r="I7345" s="23" t="s">
        <v>2164</v>
      </c>
      <c r="J7345" s="21"/>
      <c r="K7345" s="21" t="s">
        <v>62</v>
      </c>
      <c r="L7345" s="21"/>
      <c r="M7345" s="21"/>
      <c r="N7345" s="21" t="s">
        <v>40</v>
      </c>
      <c r="O7345" s="21">
        <v>42</v>
      </c>
      <c r="P7345" s="21"/>
      <c r="Q7345" s="21">
        <f t="shared" si="135"/>
        <v>1</v>
      </c>
      <c r="R7345" s="21">
        <v>1</v>
      </c>
      <c r="S7345" s="21">
        <v>1</v>
      </c>
      <c r="T7345" s="21">
        <v>0</v>
      </c>
      <c r="U7345" s="21">
        <v>0</v>
      </c>
      <c r="V7345" s="21">
        <v>0</v>
      </c>
      <c r="W7345" s="21">
        <v>0</v>
      </c>
      <c r="X7345" s="21">
        <v>0</v>
      </c>
      <c r="Y7345" s="21">
        <v>0</v>
      </c>
      <c r="Z7345" s="21">
        <v>0</v>
      </c>
      <c r="AA7345" s="21">
        <v>0</v>
      </c>
      <c r="AB7345" s="21">
        <v>0</v>
      </c>
      <c r="AC7345" s="21">
        <v>0</v>
      </c>
      <c r="AD7345" s="21">
        <v>0</v>
      </c>
      <c r="AE7345" s="21">
        <v>0</v>
      </c>
      <c r="AF7345" s="21">
        <v>0</v>
      </c>
      <c r="AG7345" s="21">
        <v>0</v>
      </c>
      <c r="AH7345" s="21">
        <f t="shared" si="136"/>
        <v>16</v>
      </c>
      <c r="AI7345" s="21"/>
      <c r="AJ7345" s="21" t="s">
        <v>54</v>
      </c>
      <c r="AK7345" s="21" t="s">
        <v>52</v>
      </c>
      <c r="AL7345" s="21"/>
      <c r="AM7345" s="21" t="s">
        <v>2821</v>
      </c>
      <c r="AN7345" s="21">
        <v>-122.433824516667</v>
      </c>
      <c r="AO7345" s="21">
        <v>37.789896433333297</v>
      </c>
      <c r="AP7345" s="21" t="s">
        <v>1915</v>
      </c>
    </row>
    <row r="7346" spans="1:42">
      <c r="A7346" s="20">
        <v>43858</v>
      </c>
      <c r="B7346" s="21">
        <v>2</v>
      </c>
      <c r="C7346" s="21">
        <v>225</v>
      </c>
      <c r="D7346" s="21">
        <v>14444</v>
      </c>
      <c r="E7346" t="s">
        <v>112</v>
      </c>
      <c r="F7346" s="21" t="s">
        <v>104</v>
      </c>
      <c r="G7346" s="21">
        <v>2</v>
      </c>
      <c r="H7346" s="21">
        <v>20</v>
      </c>
      <c r="I7346" s="23" t="s">
        <v>2822</v>
      </c>
      <c r="J7346" s="21"/>
      <c r="K7346" s="21" t="s">
        <v>68</v>
      </c>
      <c r="L7346" s="21"/>
      <c r="M7346" s="21"/>
      <c r="N7346" s="21" t="s">
        <v>44</v>
      </c>
      <c r="O7346" s="21">
        <f>60+22</f>
        <v>82</v>
      </c>
      <c r="P7346" s="21"/>
      <c r="Q7346" s="21">
        <f t="shared" si="135"/>
        <v>2</v>
      </c>
      <c r="R7346" s="21">
        <v>1</v>
      </c>
      <c r="S7346" s="21">
        <v>0</v>
      </c>
      <c r="T7346" s="21">
        <v>0</v>
      </c>
      <c r="U7346" s="21">
        <v>0</v>
      </c>
      <c r="V7346" s="21">
        <v>2</v>
      </c>
      <c r="W7346" s="21">
        <v>0</v>
      </c>
      <c r="X7346" s="21">
        <v>0</v>
      </c>
      <c r="Y7346" s="21">
        <v>0</v>
      </c>
      <c r="Z7346" s="21">
        <v>0</v>
      </c>
      <c r="AA7346" s="21">
        <v>0</v>
      </c>
      <c r="AB7346" s="21">
        <v>0</v>
      </c>
      <c r="AC7346" s="21">
        <v>0</v>
      </c>
      <c r="AD7346" s="21">
        <v>0</v>
      </c>
      <c r="AE7346" s="21">
        <v>0</v>
      </c>
      <c r="AF7346" s="21">
        <v>0</v>
      </c>
      <c r="AG7346" s="21">
        <v>0</v>
      </c>
      <c r="AH7346" s="21">
        <f t="shared" si="136"/>
        <v>128</v>
      </c>
      <c r="AI7346" s="21"/>
      <c r="AJ7346" s="21" t="s">
        <v>54</v>
      </c>
      <c r="AK7346" s="21" t="s">
        <v>95</v>
      </c>
      <c r="AL7346" s="21"/>
      <c r="AM7346" s="21" t="s">
        <v>2823</v>
      </c>
      <c r="AN7346" s="21">
        <v>-122.43378005</v>
      </c>
      <c r="AO7346" s="21">
        <v>37.790735533333297</v>
      </c>
      <c r="AP7346" s="21" t="s">
        <v>1915</v>
      </c>
    </row>
    <row r="7347" spans="1:42">
      <c r="A7347" s="20">
        <v>43858</v>
      </c>
      <c r="B7347" s="21">
        <v>2</v>
      </c>
      <c r="C7347" s="21">
        <v>225</v>
      </c>
      <c r="D7347" s="21">
        <v>14444</v>
      </c>
      <c r="E7347" t="s">
        <v>112</v>
      </c>
      <c r="F7347" s="21" t="s">
        <v>104</v>
      </c>
      <c r="G7347" s="21">
        <v>2</v>
      </c>
      <c r="H7347" s="21">
        <v>21</v>
      </c>
      <c r="I7347" s="23" t="s">
        <v>2164</v>
      </c>
      <c r="J7347" s="21"/>
      <c r="K7347" s="21" t="s">
        <v>68</v>
      </c>
      <c r="L7347" s="21"/>
      <c r="M7347" s="21"/>
      <c r="N7347" s="21" t="s">
        <v>40</v>
      </c>
      <c r="O7347" s="21">
        <f>60+37</f>
        <v>97</v>
      </c>
      <c r="P7347" s="21"/>
      <c r="Q7347" s="21">
        <f t="shared" si="135"/>
        <v>3</v>
      </c>
      <c r="R7347" s="21">
        <v>1</v>
      </c>
      <c r="S7347" s="21">
        <v>0</v>
      </c>
      <c r="T7347" s="21">
        <v>0</v>
      </c>
      <c r="U7347" s="21">
        <v>1</v>
      </c>
      <c r="V7347" s="21">
        <v>2</v>
      </c>
      <c r="W7347" s="21">
        <v>0</v>
      </c>
      <c r="X7347" s="21">
        <v>0</v>
      </c>
      <c r="Y7347" s="21">
        <v>0</v>
      </c>
      <c r="Z7347" s="21">
        <v>0</v>
      </c>
      <c r="AA7347" s="21">
        <v>0</v>
      </c>
      <c r="AB7347" s="21">
        <v>0</v>
      </c>
      <c r="AC7347" s="21">
        <v>0</v>
      </c>
      <c r="AD7347" s="21">
        <v>0</v>
      </c>
      <c r="AE7347" s="21">
        <v>0</v>
      </c>
      <c r="AF7347" s="21">
        <v>0</v>
      </c>
      <c r="AG7347" s="21">
        <v>0</v>
      </c>
      <c r="AH7347" s="21">
        <f t="shared" si="136"/>
        <v>160</v>
      </c>
      <c r="AI7347" s="21"/>
      <c r="AJ7347" s="21" t="s">
        <v>54</v>
      </c>
      <c r="AK7347" s="21" t="s">
        <v>52</v>
      </c>
      <c r="AL7347" s="21"/>
      <c r="AM7347" s="21" t="s">
        <v>2824</v>
      </c>
      <c r="AN7347" s="21">
        <v>-122.433777416667</v>
      </c>
      <c r="AO7347" s="21">
        <v>37.790746366666703</v>
      </c>
      <c r="AP7347" s="21" t="s">
        <v>1915</v>
      </c>
    </row>
    <row r="7348" spans="1:42">
      <c r="A7348" s="20">
        <v>43858</v>
      </c>
      <c r="B7348" s="21">
        <v>2</v>
      </c>
      <c r="C7348" s="21">
        <v>225</v>
      </c>
      <c r="D7348" s="21">
        <v>14444</v>
      </c>
      <c r="E7348" t="s">
        <v>112</v>
      </c>
      <c r="F7348" s="21" t="s">
        <v>104</v>
      </c>
      <c r="G7348" s="21">
        <v>2</v>
      </c>
      <c r="H7348" s="21">
        <v>22</v>
      </c>
      <c r="I7348" s="23" t="s">
        <v>2164</v>
      </c>
      <c r="J7348" s="21"/>
      <c r="K7348" s="21" t="s">
        <v>68</v>
      </c>
      <c r="L7348" s="21"/>
      <c r="M7348" s="21"/>
      <c r="N7348" s="21" t="s">
        <v>44</v>
      </c>
      <c r="O7348" s="21">
        <f>60+60+52</f>
        <v>172</v>
      </c>
      <c r="P7348" s="21"/>
      <c r="Q7348" s="21">
        <f t="shared" si="135"/>
        <v>2</v>
      </c>
      <c r="R7348" s="21">
        <v>1</v>
      </c>
      <c r="S7348" s="21">
        <v>0</v>
      </c>
      <c r="T7348" s="21">
        <v>0</v>
      </c>
      <c r="U7348" s="21">
        <v>1</v>
      </c>
      <c r="V7348" s="21">
        <v>0</v>
      </c>
      <c r="W7348" s="21">
        <v>1</v>
      </c>
      <c r="X7348" s="21">
        <v>0</v>
      </c>
      <c r="Y7348" s="21">
        <v>0</v>
      </c>
      <c r="Z7348" s="21">
        <v>0</v>
      </c>
      <c r="AA7348" s="21">
        <v>0</v>
      </c>
      <c r="AB7348" s="21">
        <v>0</v>
      </c>
      <c r="AC7348" s="21">
        <v>0</v>
      </c>
      <c r="AD7348" s="21">
        <v>0</v>
      </c>
      <c r="AE7348" s="21">
        <v>0</v>
      </c>
      <c r="AF7348" s="21">
        <v>0</v>
      </c>
      <c r="AG7348" s="21">
        <v>0</v>
      </c>
      <c r="AH7348" s="21">
        <f t="shared" si="136"/>
        <v>128</v>
      </c>
      <c r="AI7348" s="21"/>
      <c r="AJ7348" s="21" t="s">
        <v>54</v>
      </c>
      <c r="AK7348" s="21" t="s">
        <v>52</v>
      </c>
      <c r="AL7348" s="21" t="s">
        <v>2825</v>
      </c>
      <c r="AM7348" s="21" t="s">
        <v>2826</v>
      </c>
      <c r="AN7348" s="21">
        <v>-122.433701583333</v>
      </c>
      <c r="AO7348" s="21">
        <v>37.790831883333297</v>
      </c>
      <c r="AP7348" s="21" t="s">
        <v>1915</v>
      </c>
    </row>
    <row r="7349" spans="1:42">
      <c r="A7349" s="20">
        <v>43858</v>
      </c>
      <c r="B7349" s="21">
        <v>2</v>
      </c>
      <c r="C7349" s="21">
        <v>225</v>
      </c>
      <c r="D7349" s="21">
        <v>14444</v>
      </c>
      <c r="E7349" t="s">
        <v>112</v>
      </c>
      <c r="F7349" s="21" t="s">
        <v>104</v>
      </c>
      <c r="G7349" s="21">
        <v>2</v>
      </c>
      <c r="H7349" s="21">
        <v>23</v>
      </c>
      <c r="I7349" s="23" t="s">
        <v>2164</v>
      </c>
      <c r="J7349" s="21"/>
      <c r="K7349" s="21" t="s">
        <v>68</v>
      </c>
      <c r="L7349" s="21"/>
      <c r="M7349" s="21"/>
      <c r="N7349" s="21" t="s">
        <v>40</v>
      </c>
      <c r="O7349" s="21">
        <v>32</v>
      </c>
      <c r="P7349" s="21"/>
      <c r="Q7349" s="21">
        <f t="shared" si="135"/>
        <v>1</v>
      </c>
      <c r="R7349" s="21">
        <v>1</v>
      </c>
      <c r="S7349" s="21">
        <v>0</v>
      </c>
      <c r="T7349" s="21">
        <v>0</v>
      </c>
      <c r="U7349" s="21">
        <v>0</v>
      </c>
      <c r="V7349" s="21">
        <v>1</v>
      </c>
      <c r="W7349" s="21">
        <v>0</v>
      </c>
      <c r="X7349" s="21">
        <v>0</v>
      </c>
      <c r="Y7349" s="21">
        <v>0</v>
      </c>
      <c r="Z7349" s="21">
        <v>0</v>
      </c>
      <c r="AA7349" s="21">
        <v>0</v>
      </c>
      <c r="AB7349" s="21">
        <v>0</v>
      </c>
      <c r="AC7349" s="21">
        <v>0</v>
      </c>
      <c r="AD7349" s="21">
        <v>0</v>
      </c>
      <c r="AE7349" s="21">
        <v>0</v>
      </c>
      <c r="AF7349" s="21">
        <v>0</v>
      </c>
      <c r="AG7349" s="21">
        <v>0</v>
      </c>
      <c r="AH7349" s="21">
        <f t="shared" si="136"/>
        <v>64</v>
      </c>
      <c r="AI7349" s="21"/>
      <c r="AJ7349" s="21" t="s">
        <v>54</v>
      </c>
      <c r="AK7349" s="21" t="s">
        <v>52</v>
      </c>
      <c r="AL7349" s="21"/>
      <c r="AM7349" s="21" t="s">
        <v>2827</v>
      </c>
      <c r="AN7349" s="21">
        <v>-122.433125066667</v>
      </c>
      <c r="AO7349" s="21">
        <v>37.790905866666698</v>
      </c>
      <c r="AP7349" s="21" t="s">
        <v>1915</v>
      </c>
    </row>
    <row r="7350" spans="1:42">
      <c r="A7350" s="20">
        <v>43858</v>
      </c>
      <c r="B7350" s="21">
        <v>2</v>
      </c>
      <c r="C7350" s="21">
        <v>225</v>
      </c>
      <c r="D7350" s="21">
        <v>14444</v>
      </c>
      <c r="E7350" t="s">
        <v>112</v>
      </c>
      <c r="F7350" s="21" t="s">
        <v>104</v>
      </c>
      <c r="G7350" s="21">
        <v>2</v>
      </c>
      <c r="H7350" s="21">
        <v>24</v>
      </c>
      <c r="I7350" s="23" t="s">
        <v>2828</v>
      </c>
      <c r="J7350" s="21"/>
      <c r="K7350" s="21" t="s">
        <v>2829</v>
      </c>
      <c r="L7350" s="21"/>
      <c r="M7350" s="21"/>
      <c r="N7350" s="21" t="s">
        <v>40</v>
      </c>
      <c r="O7350" s="21">
        <v>39</v>
      </c>
      <c r="P7350" s="21"/>
      <c r="Q7350" s="21">
        <f t="shared" si="135"/>
        <v>2</v>
      </c>
      <c r="R7350" s="21">
        <v>1</v>
      </c>
      <c r="S7350" s="21">
        <v>1</v>
      </c>
      <c r="T7350" s="21">
        <v>0</v>
      </c>
      <c r="U7350" s="21">
        <v>1</v>
      </c>
      <c r="V7350" s="21">
        <v>0</v>
      </c>
      <c r="W7350" s="21">
        <v>0</v>
      </c>
      <c r="X7350" s="21">
        <v>0</v>
      </c>
      <c r="Y7350" s="21">
        <v>0</v>
      </c>
      <c r="Z7350" s="21">
        <v>0</v>
      </c>
      <c r="AA7350" s="21">
        <v>0</v>
      </c>
      <c r="AB7350" s="21">
        <v>0</v>
      </c>
      <c r="AC7350" s="21">
        <v>0</v>
      </c>
      <c r="AD7350" s="21">
        <v>0</v>
      </c>
      <c r="AE7350" s="21">
        <v>0</v>
      </c>
      <c r="AF7350" s="21">
        <v>0</v>
      </c>
      <c r="AG7350" s="21">
        <v>0</v>
      </c>
      <c r="AH7350" s="21">
        <f t="shared" si="136"/>
        <v>48</v>
      </c>
      <c r="AI7350" s="21"/>
      <c r="AJ7350" s="21"/>
      <c r="AK7350" s="21"/>
      <c r="AL7350" s="21"/>
      <c r="AM7350" s="21" t="s">
        <v>2830</v>
      </c>
      <c r="AN7350" s="21">
        <v>-122.432481533333</v>
      </c>
      <c r="AO7350" s="21">
        <v>37.788224433333298</v>
      </c>
      <c r="AP7350" s="21" t="s">
        <v>1915</v>
      </c>
    </row>
    <row r="7351" spans="1:42">
      <c r="A7351" s="20">
        <v>43858</v>
      </c>
      <c r="B7351" s="21">
        <v>2</v>
      </c>
      <c r="C7351" s="21">
        <v>225</v>
      </c>
      <c r="D7351" s="21">
        <v>14444</v>
      </c>
      <c r="E7351" t="s">
        <v>112</v>
      </c>
      <c r="F7351" s="21" t="s">
        <v>104</v>
      </c>
      <c r="G7351" s="21">
        <v>2</v>
      </c>
      <c r="H7351" s="21">
        <v>25</v>
      </c>
      <c r="I7351" s="23" t="s">
        <v>2831</v>
      </c>
      <c r="J7351" s="21"/>
      <c r="K7351" s="21" t="s">
        <v>69</v>
      </c>
      <c r="L7351" s="21"/>
      <c r="M7351" s="21"/>
      <c r="N7351" s="21" t="s">
        <v>40</v>
      </c>
      <c r="O7351" s="21">
        <v>36</v>
      </c>
      <c r="P7351" s="21"/>
      <c r="Q7351" s="21">
        <f t="shared" si="135"/>
        <v>1</v>
      </c>
      <c r="R7351" s="21">
        <v>1</v>
      </c>
      <c r="S7351" s="21">
        <v>0</v>
      </c>
      <c r="T7351" s="21">
        <v>0</v>
      </c>
      <c r="U7351" s="21">
        <v>0</v>
      </c>
      <c r="V7351" s="21">
        <v>1</v>
      </c>
      <c r="W7351" s="21">
        <v>0</v>
      </c>
      <c r="X7351" s="21">
        <v>0</v>
      </c>
      <c r="Y7351" s="21">
        <v>0</v>
      </c>
      <c r="Z7351" s="21">
        <v>0</v>
      </c>
      <c r="AA7351" s="21">
        <v>0</v>
      </c>
      <c r="AB7351" s="21">
        <v>0</v>
      </c>
      <c r="AC7351" s="21">
        <v>0</v>
      </c>
      <c r="AD7351" s="21">
        <v>0</v>
      </c>
      <c r="AE7351" s="21">
        <v>0</v>
      </c>
      <c r="AF7351" s="21">
        <v>0</v>
      </c>
      <c r="AG7351" s="21">
        <v>0</v>
      </c>
      <c r="AH7351" s="21">
        <f t="shared" si="136"/>
        <v>64</v>
      </c>
      <c r="AI7351" s="21"/>
      <c r="AJ7351" s="21"/>
      <c r="AK7351" s="21"/>
      <c r="AL7351" s="21"/>
      <c r="AM7351" s="21" t="s">
        <v>2832</v>
      </c>
      <c r="AN7351" s="21">
        <v>-122.43245551666701</v>
      </c>
      <c r="AO7351" s="21">
        <v>37.788221166666702</v>
      </c>
      <c r="AP7351" s="21" t="s">
        <v>1915</v>
      </c>
    </row>
    <row r="7352" spans="1:42">
      <c r="A7352" s="20">
        <v>43858</v>
      </c>
      <c r="B7352" s="21">
        <v>2</v>
      </c>
      <c r="C7352" s="21">
        <v>225</v>
      </c>
      <c r="D7352" s="21">
        <v>14444</v>
      </c>
      <c r="E7352" t="s">
        <v>112</v>
      </c>
      <c r="F7352" s="21" t="s">
        <v>104</v>
      </c>
      <c r="G7352" s="21">
        <v>2</v>
      </c>
      <c r="H7352" s="21">
        <v>26</v>
      </c>
      <c r="I7352" s="23" t="s">
        <v>2833</v>
      </c>
      <c r="J7352" s="21"/>
      <c r="K7352" s="21" t="s">
        <v>69</v>
      </c>
      <c r="L7352" s="21"/>
      <c r="M7352" s="21"/>
      <c r="N7352" s="21" t="s">
        <v>40</v>
      </c>
      <c r="O7352" s="21">
        <f>60+6</f>
        <v>66</v>
      </c>
      <c r="P7352" s="21"/>
      <c r="Q7352" s="21">
        <f t="shared" si="135"/>
        <v>2</v>
      </c>
      <c r="R7352" s="21">
        <v>1</v>
      </c>
      <c r="S7352" s="21">
        <v>0</v>
      </c>
      <c r="T7352" s="21">
        <v>0</v>
      </c>
      <c r="U7352" s="21">
        <v>1</v>
      </c>
      <c r="V7352" s="21">
        <v>1</v>
      </c>
      <c r="W7352" s="21">
        <v>0</v>
      </c>
      <c r="X7352" s="21">
        <v>0</v>
      </c>
      <c r="Y7352" s="21">
        <v>0</v>
      </c>
      <c r="Z7352" s="21">
        <v>0</v>
      </c>
      <c r="AA7352" s="21">
        <v>0</v>
      </c>
      <c r="AB7352" s="21">
        <v>0</v>
      </c>
      <c r="AC7352" s="21">
        <v>0</v>
      </c>
      <c r="AD7352" s="21">
        <v>0</v>
      </c>
      <c r="AE7352" s="21">
        <v>0</v>
      </c>
      <c r="AF7352" s="21">
        <v>0</v>
      </c>
      <c r="AG7352" s="21">
        <v>0</v>
      </c>
      <c r="AH7352" s="21">
        <f t="shared" si="136"/>
        <v>96</v>
      </c>
      <c r="AI7352" s="21"/>
      <c r="AJ7352" s="21"/>
      <c r="AK7352" s="21"/>
      <c r="AL7352" s="21"/>
      <c r="AM7352" s="21" t="s">
        <v>2834</v>
      </c>
      <c r="AN7352" s="21">
        <v>-122.432716183333</v>
      </c>
      <c r="AO7352" s="21">
        <v>37.788175433333301</v>
      </c>
      <c r="AP7352" s="21" t="s">
        <v>1915</v>
      </c>
    </row>
    <row r="7353" spans="1:42">
      <c r="A7353" s="20">
        <v>43858</v>
      </c>
      <c r="B7353" s="21">
        <v>2</v>
      </c>
      <c r="C7353" s="21">
        <v>225</v>
      </c>
      <c r="D7353" s="21">
        <v>14444</v>
      </c>
      <c r="E7353" t="s">
        <v>112</v>
      </c>
      <c r="F7353" s="21" t="s">
        <v>104</v>
      </c>
      <c r="G7353" s="21">
        <v>2</v>
      </c>
      <c r="H7353" s="21">
        <v>27</v>
      </c>
      <c r="I7353" s="23" t="s">
        <v>2218</v>
      </c>
      <c r="J7353" s="21"/>
      <c r="K7353" s="21" t="s">
        <v>69</v>
      </c>
      <c r="L7353" s="21"/>
      <c r="M7353" s="21"/>
      <c r="N7353" s="21" t="s">
        <v>40</v>
      </c>
      <c r="O7353" s="21">
        <v>26</v>
      </c>
      <c r="P7353" s="21"/>
      <c r="Q7353" s="21">
        <f t="shared" si="135"/>
        <v>1</v>
      </c>
      <c r="R7353" s="21">
        <v>1</v>
      </c>
      <c r="S7353" s="21">
        <v>0</v>
      </c>
      <c r="T7353" s="21">
        <v>0</v>
      </c>
      <c r="U7353" s="21">
        <v>1</v>
      </c>
      <c r="V7353" s="21">
        <v>0</v>
      </c>
      <c r="W7353" s="21">
        <v>0</v>
      </c>
      <c r="X7353" s="21">
        <v>0</v>
      </c>
      <c r="Y7353" s="21">
        <v>0</v>
      </c>
      <c r="Z7353" s="21">
        <v>0</v>
      </c>
      <c r="AA7353" s="21">
        <v>0</v>
      </c>
      <c r="AB7353" s="21">
        <v>0</v>
      </c>
      <c r="AC7353" s="21">
        <v>0</v>
      </c>
      <c r="AD7353" s="21">
        <v>0</v>
      </c>
      <c r="AE7353" s="21">
        <v>0</v>
      </c>
      <c r="AF7353" s="21">
        <v>0</v>
      </c>
      <c r="AG7353" s="21">
        <v>0</v>
      </c>
      <c r="AH7353" s="21">
        <f t="shared" si="136"/>
        <v>32</v>
      </c>
      <c r="AI7353" s="21"/>
      <c r="AJ7353" s="21" t="s">
        <v>54</v>
      </c>
      <c r="AK7353" s="21" t="s">
        <v>52</v>
      </c>
      <c r="AL7353" s="21"/>
      <c r="AM7353" s="21" t="s">
        <v>2835</v>
      </c>
      <c r="AN7353" s="21">
        <v>-122.4329166</v>
      </c>
      <c r="AO7353" s="21">
        <v>37.788146033333298</v>
      </c>
      <c r="AP7353" s="21" t="s">
        <v>1915</v>
      </c>
    </row>
    <row r="7354" spans="1:42">
      <c r="A7354" s="20">
        <v>43858</v>
      </c>
      <c r="B7354" s="21">
        <v>2</v>
      </c>
      <c r="C7354" s="21">
        <v>225</v>
      </c>
      <c r="D7354" s="21">
        <v>14444</v>
      </c>
      <c r="E7354" t="s">
        <v>112</v>
      </c>
      <c r="F7354" s="21" t="s">
        <v>104</v>
      </c>
      <c r="G7354" s="21">
        <v>2</v>
      </c>
      <c r="H7354" s="21">
        <v>28</v>
      </c>
      <c r="I7354" s="23" t="s">
        <v>2836</v>
      </c>
      <c r="J7354" s="21"/>
      <c r="K7354" s="21" t="s">
        <v>69</v>
      </c>
      <c r="L7354" s="21"/>
      <c r="M7354" s="21"/>
      <c r="N7354" s="21" t="s">
        <v>40</v>
      </c>
      <c r="O7354" s="21">
        <v>54</v>
      </c>
      <c r="P7354" s="21"/>
      <c r="Q7354" s="21">
        <f t="shared" si="135"/>
        <v>3</v>
      </c>
      <c r="R7354" s="21">
        <v>1</v>
      </c>
      <c r="S7354" s="21">
        <v>1</v>
      </c>
      <c r="T7354" s="21">
        <v>0</v>
      </c>
      <c r="U7354" s="21">
        <v>0</v>
      </c>
      <c r="V7354" s="21">
        <v>1</v>
      </c>
      <c r="W7354" s="21">
        <v>1</v>
      </c>
      <c r="X7354" s="21">
        <v>0</v>
      </c>
      <c r="Y7354" s="21">
        <v>0</v>
      </c>
      <c r="Z7354" s="21">
        <v>0</v>
      </c>
      <c r="AA7354" s="21">
        <v>0</v>
      </c>
      <c r="AB7354" s="21">
        <v>0</v>
      </c>
      <c r="AC7354" s="21">
        <v>0</v>
      </c>
      <c r="AD7354" s="21">
        <v>0</v>
      </c>
      <c r="AE7354" s="21">
        <v>0</v>
      </c>
      <c r="AF7354" s="21">
        <v>0</v>
      </c>
      <c r="AG7354" s="21">
        <v>0</v>
      </c>
      <c r="AH7354" s="21">
        <f t="shared" si="136"/>
        <v>176</v>
      </c>
      <c r="AI7354" s="21"/>
      <c r="AJ7354" s="21" t="s">
        <v>54</v>
      </c>
      <c r="AK7354" s="21" t="s">
        <v>52</v>
      </c>
      <c r="AL7354" s="21"/>
      <c r="AM7354" s="21" t="s">
        <v>2837</v>
      </c>
      <c r="AN7354" s="21">
        <v>-122.433288683333</v>
      </c>
      <c r="AO7354" s="21">
        <v>37.788082233333299</v>
      </c>
      <c r="AP7354" s="21" t="s">
        <v>1915</v>
      </c>
    </row>
    <row r="7355" spans="1:42">
      <c r="A7355" s="20">
        <v>43858</v>
      </c>
      <c r="B7355" s="21">
        <v>2</v>
      </c>
      <c r="C7355" s="21">
        <v>225</v>
      </c>
      <c r="D7355" s="21">
        <v>14444</v>
      </c>
      <c r="E7355" t="s">
        <v>112</v>
      </c>
      <c r="F7355" s="21" t="s">
        <v>104</v>
      </c>
      <c r="G7355" s="21">
        <v>2</v>
      </c>
      <c r="H7355" s="21">
        <v>29</v>
      </c>
      <c r="I7355" s="23" t="s">
        <v>2838</v>
      </c>
      <c r="J7355" s="21"/>
      <c r="K7355" s="21" t="s">
        <v>62</v>
      </c>
      <c r="L7355" s="21"/>
      <c r="M7355" s="21"/>
      <c r="N7355" s="21" t="s">
        <v>40</v>
      </c>
      <c r="O7355" s="21">
        <v>30</v>
      </c>
      <c r="P7355" s="21"/>
      <c r="Q7355" s="21">
        <f t="shared" si="135"/>
        <v>2</v>
      </c>
      <c r="R7355" s="21">
        <v>1</v>
      </c>
      <c r="S7355" s="21">
        <v>0</v>
      </c>
      <c r="T7355" s="21">
        <v>0</v>
      </c>
      <c r="U7355" s="21">
        <v>2</v>
      </c>
      <c r="V7355" s="21">
        <v>0</v>
      </c>
      <c r="W7355" s="21">
        <v>0</v>
      </c>
      <c r="X7355" s="21">
        <v>0</v>
      </c>
      <c r="Y7355" s="21">
        <v>0</v>
      </c>
      <c r="Z7355" s="21">
        <v>0</v>
      </c>
      <c r="AA7355" s="21">
        <v>0</v>
      </c>
      <c r="AB7355" s="21">
        <v>0</v>
      </c>
      <c r="AC7355" s="21">
        <v>0</v>
      </c>
      <c r="AD7355" s="21">
        <v>0</v>
      </c>
      <c r="AE7355" s="21">
        <v>0</v>
      </c>
      <c r="AF7355" s="21">
        <v>0</v>
      </c>
      <c r="AG7355" s="21">
        <v>0</v>
      </c>
      <c r="AH7355" s="21">
        <f t="shared" si="136"/>
        <v>64</v>
      </c>
      <c r="AI7355" s="21"/>
      <c r="AJ7355" s="21" t="s">
        <v>54</v>
      </c>
      <c r="AK7355" s="21" t="s">
        <v>52</v>
      </c>
      <c r="AL7355" s="21"/>
      <c r="AM7355" s="21" t="s">
        <v>2839</v>
      </c>
      <c r="AN7355" s="21">
        <v>-122.432802516667</v>
      </c>
      <c r="AO7355" s="21">
        <v>37.790033649999998</v>
      </c>
      <c r="AP7355" s="21" t="s">
        <v>1915</v>
      </c>
    </row>
    <row r="7356" spans="1:42">
      <c r="A7356" s="20">
        <v>43858</v>
      </c>
      <c r="B7356" s="21">
        <v>2</v>
      </c>
      <c r="C7356" s="21">
        <v>225</v>
      </c>
      <c r="D7356" s="21">
        <v>14444</v>
      </c>
      <c r="E7356" t="s">
        <v>112</v>
      </c>
      <c r="F7356" s="21" t="s">
        <v>104</v>
      </c>
      <c r="G7356" s="21">
        <v>2</v>
      </c>
      <c r="H7356" s="21">
        <v>30</v>
      </c>
      <c r="I7356" s="23" t="s">
        <v>2840</v>
      </c>
      <c r="J7356" s="21"/>
      <c r="K7356" s="21" t="s">
        <v>62</v>
      </c>
      <c r="L7356" s="21"/>
      <c r="M7356" s="21"/>
      <c r="N7356" s="21" t="s">
        <v>40</v>
      </c>
      <c r="O7356" s="21">
        <v>47</v>
      </c>
      <c r="P7356" s="21"/>
      <c r="Q7356" s="21">
        <f t="shared" si="135"/>
        <v>1</v>
      </c>
      <c r="R7356" s="21">
        <v>1</v>
      </c>
      <c r="S7356" s="21">
        <v>0</v>
      </c>
      <c r="T7356" s="21">
        <v>0</v>
      </c>
      <c r="U7356" s="21">
        <v>0</v>
      </c>
      <c r="V7356" s="21">
        <v>1</v>
      </c>
      <c r="W7356" s="21">
        <v>0</v>
      </c>
      <c r="X7356" s="21">
        <v>0</v>
      </c>
      <c r="Y7356" s="21">
        <v>0</v>
      </c>
      <c r="Z7356" s="21">
        <v>0</v>
      </c>
      <c r="AA7356" s="21">
        <v>0</v>
      </c>
      <c r="AB7356" s="21">
        <v>0</v>
      </c>
      <c r="AC7356" s="21">
        <v>0</v>
      </c>
      <c r="AD7356" s="21">
        <v>0</v>
      </c>
      <c r="AE7356" s="21">
        <v>0</v>
      </c>
      <c r="AF7356" s="21">
        <v>0</v>
      </c>
      <c r="AG7356" s="21">
        <v>0</v>
      </c>
      <c r="AH7356" s="21">
        <f t="shared" si="136"/>
        <v>64</v>
      </c>
      <c r="AI7356" s="21"/>
      <c r="AJ7356" s="21" t="s">
        <v>54</v>
      </c>
      <c r="AK7356" s="21" t="s">
        <v>95</v>
      </c>
      <c r="AL7356" s="21" t="s">
        <v>2193</v>
      </c>
      <c r="AM7356" s="21" t="s">
        <v>2841</v>
      </c>
      <c r="AN7356" s="21">
        <v>-122.433027833333</v>
      </c>
      <c r="AO7356" s="21">
        <v>37.790009533333297</v>
      </c>
      <c r="AP7356" s="21" t="s">
        <v>1915</v>
      </c>
    </row>
    <row r="7357" spans="1:42">
      <c r="A7357" s="20">
        <v>43858</v>
      </c>
      <c r="B7357" s="21">
        <v>2</v>
      </c>
      <c r="C7357" s="21">
        <v>225</v>
      </c>
      <c r="D7357" s="21">
        <v>14444</v>
      </c>
      <c r="E7357" t="s">
        <v>112</v>
      </c>
      <c r="F7357" s="21" t="s">
        <v>104</v>
      </c>
      <c r="G7357" s="21">
        <v>2</v>
      </c>
      <c r="H7357" s="21">
        <v>31</v>
      </c>
      <c r="I7357" s="23" t="s">
        <v>2842</v>
      </c>
      <c r="J7357" s="21"/>
      <c r="K7357" s="21" t="s">
        <v>599</v>
      </c>
      <c r="L7357" s="21"/>
      <c r="M7357" s="21"/>
      <c r="N7357" s="21" t="s">
        <v>44</v>
      </c>
      <c r="O7357" s="21">
        <f>60+17</f>
        <v>77</v>
      </c>
      <c r="P7357" s="21"/>
      <c r="Q7357" s="21">
        <f t="shared" si="135"/>
        <v>1</v>
      </c>
      <c r="R7357" s="21">
        <v>1</v>
      </c>
      <c r="S7357" s="21">
        <v>0</v>
      </c>
      <c r="T7357" s="21">
        <v>0</v>
      </c>
      <c r="U7357" s="21">
        <v>0</v>
      </c>
      <c r="V7357" s="21">
        <v>0</v>
      </c>
      <c r="W7357" s="21">
        <v>1</v>
      </c>
      <c r="X7357" s="21">
        <v>0</v>
      </c>
      <c r="Y7357" s="21">
        <v>0</v>
      </c>
      <c r="Z7357" s="21">
        <v>0</v>
      </c>
      <c r="AA7357" s="21">
        <v>0</v>
      </c>
      <c r="AB7357" s="21">
        <v>0</v>
      </c>
      <c r="AC7357" s="21">
        <v>0</v>
      </c>
      <c r="AD7357" s="21">
        <v>0</v>
      </c>
      <c r="AE7357" s="21">
        <v>0</v>
      </c>
      <c r="AF7357" s="21">
        <v>0</v>
      </c>
      <c r="AG7357" s="21">
        <v>0</v>
      </c>
      <c r="AH7357" s="21">
        <f t="shared" si="136"/>
        <v>96</v>
      </c>
      <c r="AI7357" s="21"/>
      <c r="AJ7357" s="21" t="s">
        <v>54</v>
      </c>
      <c r="AK7357" s="21" t="s">
        <v>95</v>
      </c>
      <c r="AL7357" s="21"/>
      <c r="AM7357" s="21" t="s">
        <v>2843</v>
      </c>
      <c r="AN7357" s="21">
        <v>-122.432708566667</v>
      </c>
      <c r="AO7357" s="21">
        <v>37.7900375166667</v>
      </c>
      <c r="AP7357" s="21" t="s">
        <v>1915</v>
      </c>
    </row>
    <row r="7358" spans="1:42">
      <c r="A7358" s="20">
        <v>43858</v>
      </c>
      <c r="B7358" s="21">
        <v>2</v>
      </c>
      <c r="C7358" s="21">
        <v>225</v>
      </c>
      <c r="D7358" s="21">
        <v>14444</v>
      </c>
      <c r="E7358" t="s">
        <v>112</v>
      </c>
      <c r="F7358" s="21" t="s">
        <v>104</v>
      </c>
      <c r="G7358" s="21">
        <v>2</v>
      </c>
      <c r="H7358" s="21">
        <v>32</v>
      </c>
      <c r="I7358" s="23" t="s">
        <v>2844</v>
      </c>
      <c r="J7358" s="21"/>
      <c r="K7358" s="21" t="s">
        <v>62</v>
      </c>
      <c r="L7358" s="21"/>
      <c r="M7358" s="21"/>
      <c r="N7358" s="21" t="s">
        <v>44</v>
      </c>
      <c r="O7358" s="21">
        <f>60+1</f>
        <v>61</v>
      </c>
      <c r="P7358" s="21"/>
      <c r="Q7358" s="21">
        <f t="shared" si="135"/>
        <v>1</v>
      </c>
      <c r="R7358" s="21">
        <v>1</v>
      </c>
      <c r="S7358" s="21">
        <v>0</v>
      </c>
      <c r="T7358" s="21">
        <v>0</v>
      </c>
      <c r="U7358" s="21">
        <v>0</v>
      </c>
      <c r="V7358" s="21">
        <v>0</v>
      </c>
      <c r="W7358" s="21">
        <v>1</v>
      </c>
      <c r="X7358" s="21">
        <v>0</v>
      </c>
      <c r="Y7358" s="21">
        <v>0</v>
      </c>
      <c r="Z7358" s="21">
        <v>0</v>
      </c>
      <c r="AA7358" s="21">
        <v>0</v>
      </c>
      <c r="AB7358" s="21">
        <v>0</v>
      </c>
      <c r="AC7358" s="21">
        <v>0</v>
      </c>
      <c r="AD7358" s="21">
        <v>0</v>
      </c>
      <c r="AE7358" s="21">
        <v>0</v>
      </c>
      <c r="AF7358" s="21">
        <v>0</v>
      </c>
      <c r="AG7358" s="21">
        <v>0</v>
      </c>
      <c r="AH7358" s="21">
        <f t="shared" si="136"/>
        <v>96</v>
      </c>
      <c r="AI7358" s="21"/>
      <c r="AJ7358" s="21" t="s">
        <v>54</v>
      </c>
      <c r="AK7358" s="21" t="s">
        <v>95</v>
      </c>
      <c r="AL7358" s="21" t="s">
        <v>2845</v>
      </c>
      <c r="AM7358" s="21" t="s">
        <v>2846</v>
      </c>
      <c r="AN7358" s="21">
        <v>-122.4315385</v>
      </c>
      <c r="AO7358" s="21">
        <v>37.790118649999997</v>
      </c>
      <c r="AP7358" s="21" t="s">
        <v>1915</v>
      </c>
    </row>
    <row r="7359" spans="1:42">
      <c r="A7359" s="20">
        <v>43858</v>
      </c>
      <c r="B7359" s="21">
        <v>2</v>
      </c>
      <c r="C7359" s="21">
        <v>225</v>
      </c>
      <c r="D7359" s="21">
        <v>14444</v>
      </c>
      <c r="E7359" t="s">
        <v>112</v>
      </c>
      <c r="F7359" s="21" t="s">
        <v>104</v>
      </c>
      <c r="G7359" s="21">
        <v>2</v>
      </c>
      <c r="H7359" s="21">
        <v>33</v>
      </c>
      <c r="I7359" s="23" t="s">
        <v>2847</v>
      </c>
      <c r="J7359" s="21"/>
      <c r="K7359" s="21" t="s">
        <v>62</v>
      </c>
      <c r="L7359" s="21"/>
      <c r="M7359" s="21"/>
      <c r="N7359" s="21" t="s">
        <v>44</v>
      </c>
      <c r="O7359" s="21">
        <f>60+20</f>
        <v>80</v>
      </c>
      <c r="P7359" s="21"/>
      <c r="Q7359" s="21">
        <f t="shared" si="135"/>
        <v>1</v>
      </c>
      <c r="R7359" s="21">
        <v>1</v>
      </c>
      <c r="S7359" s="21">
        <v>0</v>
      </c>
      <c r="T7359" s="21">
        <v>0</v>
      </c>
      <c r="U7359" s="21">
        <v>0</v>
      </c>
      <c r="V7359" s="21">
        <v>0</v>
      </c>
      <c r="W7359" s="21">
        <v>1</v>
      </c>
      <c r="X7359" s="21">
        <v>0</v>
      </c>
      <c r="Y7359" s="21">
        <v>0</v>
      </c>
      <c r="Z7359" s="21">
        <v>0</v>
      </c>
      <c r="AA7359" s="21">
        <v>0</v>
      </c>
      <c r="AB7359" s="21">
        <v>0</v>
      </c>
      <c r="AC7359" s="21">
        <v>0</v>
      </c>
      <c r="AD7359" s="21">
        <v>0</v>
      </c>
      <c r="AE7359" s="21">
        <v>0</v>
      </c>
      <c r="AF7359" s="21">
        <v>0</v>
      </c>
      <c r="AG7359" s="21">
        <v>0</v>
      </c>
      <c r="AH7359" s="21">
        <f t="shared" si="136"/>
        <v>96</v>
      </c>
      <c r="AI7359" s="21"/>
      <c r="AJ7359" s="21" t="s">
        <v>54</v>
      </c>
      <c r="AK7359" s="21" t="s">
        <v>95</v>
      </c>
      <c r="AL7359" s="21" t="s">
        <v>1937</v>
      </c>
      <c r="AM7359" s="21" t="s">
        <v>2848</v>
      </c>
      <c r="AN7359" s="21">
        <v>-122.431271966667</v>
      </c>
      <c r="AO7359" s="21">
        <v>37.790151899999998</v>
      </c>
      <c r="AP7359" s="21" t="s">
        <v>1915</v>
      </c>
    </row>
    <row r="7360" spans="1:42">
      <c r="A7360" s="20">
        <v>43858</v>
      </c>
      <c r="B7360" s="21">
        <v>2</v>
      </c>
      <c r="C7360" s="21">
        <v>225</v>
      </c>
      <c r="D7360" s="21">
        <v>14444</v>
      </c>
      <c r="E7360" t="s">
        <v>112</v>
      </c>
      <c r="F7360" s="21" t="s">
        <v>104</v>
      </c>
      <c r="G7360" s="21">
        <v>2</v>
      </c>
      <c r="H7360" s="21">
        <v>34</v>
      </c>
      <c r="I7360" s="23" t="s">
        <v>2849</v>
      </c>
      <c r="J7360" s="21"/>
      <c r="K7360" s="21" t="s">
        <v>62</v>
      </c>
      <c r="L7360" s="21"/>
      <c r="M7360" s="21"/>
      <c r="N7360" s="21" t="s">
        <v>44</v>
      </c>
      <c r="O7360" s="21">
        <v>60</v>
      </c>
      <c r="P7360" s="21"/>
      <c r="Q7360" s="21">
        <f t="shared" ref="Q7360:Q7423" si="137">SUM(S7360:AE7360)</f>
        <v>1</v>
      </c>
      <c r="R7360" s="21">
        <v>1</v>
      </c>
      <c r="S7360" s="21">
        <v>0</v>
      </c>
      <c r="T7360" s="21">
        <v>0</v>
      </c>
      <c r="U7360" s="21">
        <v>0</v>
      </c>
      <c r="V7360" s="21">
        <v>0</v>
      </c>
      <c r="W7360" s="21">
        <v>1</v>
      </c>
      <c r="X7360" s="21">
        <v>0</v>
      </c>
      <c r="Y7360" s="21">
        <v>0</v>
      </c>
      <c r="Z7360" s="21">
        <v>0</v>
      </c>
      <c r="AA7360" s="21">
        <v>0</v>
      </c>
      <c r="AB7360" s="21">
        <v>0</v>
      </c>
      <c r="AC7360" s="21">
        <v>0</v>
      </c>
      <c r="AD7360" s="21">
        <v>0</v>
      </c>
      <c r="AE7360" s="21">
        <v>0</v>
      </c>
      <c r="AF7360" s="21">
        <v>0</v>
      </c>
      <c r="AG7360" s="21">
        <v>0</v>
      </c>
      <c r="AH7360" s="21">
        <f t="shared" ref="AH7360:AH7423" si="138">(S7360*16)+(T7360*20)+(U7360*32)+(V7360*64)+(W7360*96)</f>
        <v>96</v>
      </c>
      <c r="AI7360" s="21"/>
      <c r="AJ7360" s="21" t="s">
        <v>54</v>
      </c>
      <c r="AK7360" s="21" t="s">
        <v>52</v>
      </c>
      <c r="AL7360" s="21"/>
      <c r="AM7360" s="21" t="s">
        <v>2850</v>
      </c>
      <c r="AN7360" s="21">
        <v>-122.431251366667</v>
      </c>
      <c r="AO7360" s="21">
        <v>37.790102016666701</v>
      </c>
      <c r="AP7360" s="21" t="s">
        <v>1915</v>
      </c>
    </row>
    <row r="7361" spans="1:42">
      <c r="A7361" s="20">
        <v>43858</v>
      </c>
      <c r="B7361" s="21">
        <v>2</v>
      </c>
      <c r="C7361" s="21">
        <v>225</v>
      </c>
      <c r="D7361" s="21">
        <v>14444</v>
      </c>
      <c r="E7361" t="s">
        <v>112</v>
      </c>
      <c r="F7361" s="21" t="s">
        <v>104</v>
      </c>
      <c r="G7361" s="21">
        <v>2</v>
      </c>
      <c r="H7361" s="21">
        <v>35</v>
      </c>
      <c r="I7361" s="23" t="s">
        <v>2851</v>
      </c>
      <c r="J7361" s="21"/>
      <c r="K7361" s="21" t="s">
        <v>62</v>
      </c>
      <c r="L7361" s="21"/>
      <c r="M7361" s="21"/>
      <c r="N7361" s="21" t="s">
        <v>44</v>
      </c>
      <c r="O7361" s="21">
        <v>59</v>
      </c>
      <c r="P7361" s="21"/>
      <c r="Q7361" s="21">
        <f t="shared" si="137"/>
        <v>1</v>
      </c>
      <c r="R7361" s="21">
        <v>1</v>
      </c>
      <c r="S7361" s="21">
        <v>0</v>
      </c>
      <c r="T7361" s="21">
        <v>0</v>
      </c>
      <c r="U7361" s="21">
        <v>0</v>
      </c>
      <c r="V7361" s="21">
        <v>1</v>
      </c>
      <c r="W7361" s="21">
        <v>0</v>
      </c>
      <c r="X7361" s="21">
        <v>0</v>
      </c>
      <c r="Y7361" s="21">
        <v>0</v>
      </c>
      <c r="Z7361" s="21">
        <v>0</v>
      </c>
      <c r="AA7361" s="21">
        <v>0</v>
      </c>
      <c r="AB7361" s="21">
        <v>0</v>
      </c>
      <c r="AC7361" s="21">
        <v>0</v>
      </c>
      <c r="AD7361" s="21">
        <v>0</v>
      </c>
      <c r="AE7361" s="21">
        <v>0</v>
      </c>
      <c r="AF7361" s="21">
        <v>0</v>
      </c>
      <c r="AG7361" s="21">
        <v>0</v>
      </c>
      <c r="AH7361" s="21">
        <f t="shared" si="138"/>
        <v>64</v>
      </c>
      <c r="AI7361" s="21"/>
      <c r="AJ7361" s="21" t="s">
        <v>51</v>
      </c>
      <c r="AK7361" s="21" t="s">
        <v>95</v>
      </c>
      <c r="AL7361" s="21"/>
      <c r="AM7361" s="21" t="s">
        <v>2852</v>
      </c>
      <c r="AN7361" s="21">
        <v>-122.429456516667</v>
      </c>
      <c r="AO7361" s="21">
        <v>37.790483733333303</v>
      </c>
      <c r="AP7361" s="21" t="s">
        <v>1915</v>
      </c>
    </row>
    <row r="7362" spans="1:42">
      <c r="A7362" s="20">
        <v>43858</v>
      </c>
      <c r="B7362" s="21">
        <v>2</v>
      </c>
      <c r="C7362" s="21">
        <v>225</v>
      </c>
      <c r="D7362" s="21">
        <v>14444</v>
      </c>
      <c r="E7362" t="s">
        <v>112</v>
      </c>
      <c r="F7362" s="21" t="s">
        <v>104</v>
      </c>
      <c r="G7362" s="21">
        <v>2</v>
      </c>
      <c r="H7362" s="21">
        <v>36</v>
      </c>
      <c r="I7362" s="23" t="s">
        <v>2851</v>
      </c>
      <c r="J7362" s="21"/>
      <c r="K7362" s="21" t="s">
        <v>68</v>
      </c>
      <c r="L7362" s="21"/>
      <c r="M7362" s="21"/>
      <c r="N7362" s="21" t="s">
        <v>40</v>
      </c>
      <c r="O7362" s="21">
        <v>25</v>
      </c>
      <c r="P7362" s="21"/>
      <c r="Q7362" s="21">
        <f t="shared" si="137"/>
        <v>1</v>
      </c>
      <c r="R7362" s="21">
        <v>1</v>
      </c>
      <c r="S7362" s="21">
        <v>0</v>
      </c>
      <c r="T7362" s="21">
        <v>0</v>
      </c>
      <c r="U7362" s="21">
        <v>0</v>
      </c>
      <c r="V7362" s="21">
        <v>1</v>
      </c>
      <c r="W7362" s="21">
        <v>0</v>
      </c>
      <c r="X7362" s="21">
        <v>0</v>
      </c>
      <c r="Y7362" s="21">
        <v>0</v>
      </c>
      <c r="Z7362" s="21">
        <v>0</v>
      </c>
      <c r="AA7362" s="21">
        <v>0</v>
      </c>
      <c r="AB7362" s="21">
        <v>0</v>
      </c>
      <c r="AC7362" s="21">
        <v>0</v>
      </c>
      <c r="AD7362" s="21">
        <v>0</v>
      </c>
      <c r="AE7362" s="21">
        <v>0</v>
      </c>
      <c r="AF7362" s="21">
        <v>0</v>
      </c>
      <c r="AG7362" s="21">
        <v>0</v>
      </c>
      <c r="AH7362" s="21">
        <f t="shared" si="138"/>
        <v>64</v>
      </c>
      <c r="AI7362" s="21"/>
      <c r="AJ7362" s="21" t="s">
        <v>54</v>
      </c>
      <c r="AK7362" s="21" t="s">
        <v>52</v>
      </c>
      <c r="AL7362" s="21"/>
      <c r="AM7362" s="21" t="s">
        <v>2853</v>
      </c>
      <c r="AN7362" s="21">
        <v>-122.429629916667</v>
      </c>
      <c r="AO7362" s="21">
        <v>37.791331399999997</v>
      </c>
      <c r="AP7362" s="21" t="s">
        <v>1915</v>
      </c>
    </row>
    <row r="7363" spans="1:42">
      <c r="A7363" s="20">
        <v>43858</v>
      </c>
      <c r="B7363" s="21">
        <v>2</v>
      </c>
      <c r="C7363" s="21">
        <v>225</v>
      </c>
      <c r="D7363" s="21">
        <v>14444</v>
      </c>
      <c r="E7363" t="s">
        <v>112</v>
      </c>
      <c r="F7363" s="21" t="s">
        <v>104</v>
      </c>
      <c r="G7363" s="21">
        <v>2</v>
      </c>
      <c r="H7363" s="21">
        <v>37</v>
      </c>
      <c r="I7363" s="23" t="s">
        <v>2148</v>
      </c>
      <c r="J7363" s="21"/>
      <c r="K7363" s="21" t="s">
        <v>68</v>
      </c>
      <c r="L7363" s="21"/>
      <c r="M7363" s="21"/>
      <c r="N7363" s="21" t="s">
        <v>40</v>
      </c>
      <c r="O7363" s="21">
        <v>51</v>
      </c>
      <c r="P7363" s="21"/>
      <c r="Q7363" s="21">
        <f t="shared" si="137"/>
        <v>3</v>
      </c>
      <c r="R7363" s="21">
        <v>1</v>
      </c>
      <c r="S7363" s="21">
        <v>0</v>
      </c>
      <c r="T7363" s="21">
        <v>0</v>
      </c>
      <c r="U7363" s="21">
        <v>0</v>
      </c>
      <c r="V7363" s="21">
        <v>1</v>
      </c>
      <c r="W7363" s="21">
        <v>2</v>
      </c>
      <c r="X7363" s="21">
        <v>0</v>
      </c>
      <c r="Y7363" s="21">
        <v>0</v>
      </c>
      <c r="Z7363" s="21">
        <v>0</v>
      </c>
      <c r="AA7363" s="21">
        <v>0</v>
      </c>
      <c r="AB7363" s="21">
        <v>0</v>
      </c>
      <c r="AC7363" s="21">
        <v>0</v>
      </c>
      <c r="AD7363" s="21">
        <v>0</v>
      </c>
      <c r="AE7363" s="21">
        <v>0</v>
      </c>
      <c r="AF7363" s="21">
        <v>0</v>
      </c>
      <c r="AG7363" s="21">
        <v>0</v>
      </c>
      <c r="AH7363" s="21">
        <f t="shared" si="138"/>
        <v>256</v>
      </c>
      <c r="AI7363" s="21"/>
      <c r="AJ7363" s="21" t="s">
        <v>54</v>
      </c>
      <c r="AK7363" s="21" t="s">
        <v>52</v>
      </c>
      <c r="AL7363" s="21"/>
      <c r="AM7363" s="21" t="s">
        <v>2854</v>
      </c>
      <c r="AN7363" s="21">
        <v>-122.42982038333299</v>
      </c>
      <c r="AO7363" s="21">
        <v>37.7912921666667</v>
      </c>
      <c r="AP7363" s="21" t="s">
        <v>1915</v>
      </c>
    </row>
    <row r="7364" spans="1:42">
      <c r="A7364" s="20">
        <v>43858</v>
      </c>
      <c r="B7364" s="21">
        <v>2</v>
      </c>
      <c r="C7364" s="21">
        <v>225</v>
      </c>
      <c r="D7364" s="21">
        <v>14444</v>
      </c>
      <c r="E7364" t="s">
        <v>112</v>
      </c>
      <c r="F7364" s="21" t="s">
        <v>104</v>
      </c>
      <c r="G7364" s="21">
        <v>2</v>
      </c>
      <c r="H7364" s="21">
        <v>38</v>
      </c>
      <c r="I7364" s="23" t="s">
        <v>2855</v>
      </c>
      <c r="J7364" s="21"/>
      <c r="K7364" s="21" t="s">
        <v>68</v>
      </c>
      <c r="L7364" s="21"/>
      <c r="M7364" s="21"/>
      <c r="N7364" s="21" t="s">
        <v>44</v>
      </c>
      <c r="O7364" s="21">
        <f>60+4</f>
        <v>64</v>
      </c>
      <c r="P7364" s="21"/>
      <c r="Q7364" s="21">
        <f t="shared" si="137"/>
        <v>2</v>
      </c>
      <c r="R7364" s="21">
        <v>1</v>
      </c>
      <c r="S7364" s="21">
        <v>0</v>
      </c>
      <c r="T7364" s="21">
        <v>0</v>
      </c>
      <c r="U7364" s="21">
        <v>0</v>
      </c>
      <c r="V7364" s="21">
        <v>2</v>
      </c>
      <c r="W7364" s="21">
        <v>0</v>
      </c>
      <c r="X7364" s="21">
        <v>0</v>
      </c>
      <c r="Y7364" s="21">
        <v>0</v>
      </c>
      <c r="Z7364" s="21">
        <v>0</v>
      </c>
      <c r="AA7364" s="21">
        <v>0</v>
      </c>
      <c r="AB7364" s="21">
        <v>0</v>
      </c>
      <c r="AC7364" s="21">
        <v>0</v>
      </c>
      <c r="AD7364" s="21">
        <v>0</v>
      </c>
      <c r="AE7364" s="21">
        <v>0</v>
      </c>
      <c r="AF7364" s="21">
        <v>0</v>
      </c>
      <c r="AG7364" s="21">
        <v>0</v>
      </c>
      <c r="AH7364" s="21">
        <f t="shared" si="138"/>
        <v>128</v>
      </c>
      <c r="AI7364" s="21"/>
      <c r="AJ7364" s="21" t="s">
        <v>54</v>
      </c>
      <c r="AK7364" s="21" t="s">
        <v>52</v>
      </c>
      <c r="AL7364" s="21"/>
      <c r="AM7364" s="21" t="s">
        <v>2856</v>
      </c>
      <c r="AN7364" s="21">
        <v>-122.429951116667</v>
      </c>
      <c r="AO7364" s="21">
        <v>37.79128875</v>
      </c>
      <c r="AP7364" s="21" t="s">
        <v>1915</v>
      </c>
    </row>
    <row r="7365" spans="1:42">
      <c r="A7365" s="20">
        <v>43858</v>
      </c>
      <c r="B7365" s="21">
        <v>2</v>
      </c>
      <c r="C7365" s="21">
        <v>225</v>
      </c>
      <c r="D7365" s="21">
        <v>14444</v>
      </c>
      <c r="E7365" t="s">
        <v>112</v>
      </c>
      <c r="F7365" s="21" t="s">
        <v>104</v>
      </c>
      <c r="G7365" s="21">
        <v>2</v>
      </c>
      <c r="H7365" s="21">
        <v>39</v>
      </c>
      <c r="I7365" s="23" t="s">
        <v>2857</v>
      </c>
      <c r="J7365" s="21"/>
      <c r="K7365" s="21" t="s">
        <v>68</v>
      </c>
      <c r="L7365" s="21"/>
      <c r="M7365" s="21"/>
      <c r="N7365" s="21" t="s">
        <v>40</v>
      </c>
      <c r="O7365" s="21">
        <v>37</v>
      </c>
      <c r="P7365" s="21"/>
      <c r="Q7365" s="21">
        <f t="shared" si="137"/>
        <v>1</v>
      </c>
      <c r="R7365" s="21">
        <v>1</v>
      </c>
      <c r="S7365" s="21">
        <v>0</v>
      </c>
      <c r="T7365" s="21">
        <v>1</v>
      </c>
      <c r="U7365" s="21">
        <v>0</v>
      </c>
      <c r="V7365" s="21">
        <v>0</v>
      </c>
      <c r="W7365" s="21">
        <v>0</v>
      </c>
      <c r="X7365" s="21">
        <v>0</v>
      </c>
      <c r="Y7365" s="21">
        <v>0</v>
      </c>
      <c r="Z7365" s="21">
        <v>0</v>
      </c>
      <c r="AA7365" s="21">
        <v>0</v>
      </c>
      <c r="AB7365" s="21">
        <v>0</v>
      </c>
      <c r="AC7365" s="21">
        <v>0</v>
      </c>
      <c r="AD7365" s="21">
        <v>0</v>
      </c>
      <c r="AE7365" s="21">
        <v>0</v>
      </c>
      <c r="AF7365" s="21">
        <v>0</v>
      </c>
      <c r="AG7365" s="21">
        <v>0</v>
      </c>
      <c r="AH7365" s="21">
        <f t="shared" si="138"/>
        <v>20</v>
      </c>
      <c r="AI7365" s="21"/>
      <c r="AJ7365" s="21" t="s">
        <v>54</v>
      </c>
      <c r="AK7365" s="21" t="s">
        <v>52</v>
      </c>
      <c r="AL7365" s="21"/>
      <c r="AM7365" s="21" t="s">
        <v>2858</v>
      </c>
      <c r="AN7365" s="21">
        <v>-122.429940383333</v>
      </c>
      <c r="AO7365" s="21">
        <v>37.791280066666701</v>
      </c>
      <c r="AP7365" s="21" t="s">
        <v>1915</v>
      </c>
    </row>
    <row r="7366" spans="1:42">
      <c r="A7366" s="20">
        <v>43858</v>
      </c>
      <c r="B7366" s="21">
        <v>2</v>
      </c>
      <c r="C7366" s="21">
        <v>225</v>
      </c>
      <c r="D7366" s="21">
        <v>14444</v>
      </c>
      <c r="E7366" t="s">
        <v>112</v>
      </c>
      <c r="F7366" s="21" t="s">
        <v>104</v>
      </c>
      <c r="G7366" s="21">
        <v>2</v>
      </c>
      <c r="H7366" s="21">
        <v>40</v>
      </c>
      <c r="I7366" s="23" t="s">
        <v>2859</v>
      </c>
      <c r="J7366" s="21"/>
      <c r="K7366" s="21" t="s">
        <v>68</v>
      </c>
      <c r="L7366" s="21"/>
      <c r="M7366" s="21"/>
      <c r="N7366" s="21" t="s">
        <v>40</v>
      </c>
      <c r="O7366" s="21">
        <v>31</v>
      </c>
      <c r="P7366" s="21"/>
      <c r="Q7366" s="21">
        <f t="shared" si="137"/>
        <v>2</v>
      </c>
      <c r="R7366" s="21">
        <v>1</v>
      </c>
      <c r="S7366" s="21">
        <v>0</v>
      </c>
      <c r="T7366" s="21">
        <v>0</v>
      </c>
      <c r="U7366" s="21">
        <v>0</v>
      </c>
      <c r="V7366" s="21">
        <v>1</v>
      </c>
      <c r="W7366" s="21">
        <v>1</v>
      </c>
      <c r="X7366" s="21">
        <v>0</v>
      </c>
      <c r="Y7366" s="21">
        <v>0</v>
      </c>
      <c r="Z7366" s="21">
        <v>0</v>
      </c>
      <c r="AA7366" s="21">
        <v>0</v>
      </c>
      <c r="AB7366" s="21">
        <v>0</v>
      </c>
      <c r="AC7366" s="21">
        <v>0</v>
      </c>
      <c r="AD7366" s="21">
        <v>0</v>
      </c>
      <c r="AE7366" s="21">
        <v>0</v>
      </c>
      <c r="AF7366" s="21">
        <v>0</v>
      </c>
      <c r="AG7366" s="21">
        <v>0</v>
      </c>
      <c r="AH7366" s="21">
        <f t="shared" si="138"/>
        <v>160</v>
      </c>
      <c r="AI7366" s="21"/>
      <c r="AJ7366" s="21" t="s">
        <v>54</v>
      </c>
      <c r="AK7366" s="21" t="s">
        <v>52</v>
      </c>
      <c r="AL7366" s="21"/>
      <c r="AM7366" s="21" t="s">
        <v>2860</v>
      </c>
      <c r="AN7366" s="21">
        <v>-122.430211683333</v>
      </c>
      <c r="AO7366" s="21">
        <v>37.791246049999998</v>
      </c>
      <c r="AP7366" s="21" t="s">
        <v>1915</v>
      </c>
    </row>
    <row r="7367" spans="1:42">
      <c r="A7367" s="20">
        <v>43858</v>
      </c>
      <c r="B7367" s="21">
        <v>2</v>
      </c>
      <c r="C7367" s="21">
        <v>225</v>
      </c>
      <c r="D7367" s="21">
        <v>14444</v>
      </c>
      <c r="E7367" t="s">
        <v>112</v>
      </c>
      <c r="F7367" s="21" t="s">
        <v>104</v>
      </c>
      <c r="G7367" s="21">
        <v>2</v>
      </c>
      <c r="H7367" s="21">
        <v>41</v>
      </c>
      <c r="I7367" s="23" t="s">
        <v>2861</v>
      </c>
      <c r="J7367" s="21"/>
      <c r="K7367" s="21" t="s">
        <v>68</v>
      </c>
      <c r="L7367" s="21"/>
      <c r="M7367" s="21"/>
      <c r="N7367" s="21" t="s">
        <v>44</v>
      </c>
      <c r="O7367" s="21">
        <v>60</v>
      </c>
      <c r="P7367" s="21"/>
      <c r="Q7367" s="21">
        <f t="shared" si="137"/>
        <v>1</v>
      </c>
      <c r="R7367" s="21">
        <v>1</v>
      </c>
      <c r="S7367" s="21">
        <v>0</v>
      </c>
      <c r="T7367" s="21">
        <v>0</v>
      </c>
      <c r="U7367" s="21">
        <v>0</v>
      </c>
      <c r="V7367" s="21">
        <v>0</v>
      </c>
      <c r="W7367" s="21">
        <v>1</v>
      </c>
      <c r="X7367" s="21">
        <v>0</v>
      </c>
      <c r="Y7367" s="21">
        <v>0</v>
      </c>
      <c r="Z7367" s="21">
        <v>0</v>
      </c>
      <c r="AA7367" s="21">
        <v>0</v>
      </c>
      <c r="AB7367" s="21">
        <v>0</v>
      </c>
      <c r="AC7367" s="21">
        <v>0</v>
      </c>
      <c r="AD7367" s="21">
        <v>0</v>
      </c>
      <c r="AE7367" s="21">
        <v>0</v>
      </c>
      <c r="AF7367" s="21">
        <v>0</v>
      </c>
      <c r="AG7367" s="21">
        <v>0</v>
      </c>
      <c r="AH7367" s="21">
        <f t="shared" si="138"/>
        <v>96</v>
      </c>
      <c r="AI7367" s="21"/>
      <c r="AJ7367" s="21"/>
      <c r="AK7367" s="21" t="s">
        <v>52</v>
      </c>
      <c r="AL7367" s="21"/>
      <c r="AM7367" s="21" t="s">
        <v>2862</v>
      </c>
      <c r="AN7367" s="21">
        <v>-122.430161933333</v>
      </c>
      <c r="AO7367" s="21">
        <v>37.791212450000003</v>
      </c>
      <c r="AP7367" s="21" t="s">
        <v>1915</v>
      </c>
    </row>
    <row r="7368" spans="1:42">
      <c r="A7368" s="20">
        <v>43858</v>
      </c>
      <c r="B7368" s="21">
        <v>2</v>
      </c>
      <c r="C7368" s="21">
        <v>225</v>
      </c>
      <c r="D7368" s="21">
        <v>14444</v>
      </c>
      <c r="E7368" t="s">
        <v>112</v>
      </c>
      <c r="F7368" s="21" t="s">
        <v>104</v>
      </c>
      <c r="G7368" s="21">
        <v>2</v>
      </c>
      <c r="H7368" s="21">
        <v>42</v>
      </c>
      <c r="I7368" s="23" t="s">
        <v>2863</v>
      </c>
      <c r="J7368" s="21"/>
      <c r="K7368" s="21" t="s">
        <v>68</v>
      </c>
      <c r="L7368" s="21"/>
      <c r="M7368" s="21"/>
      <c r="N7368" s="21" t="s">
        <v>40</v>
      </c>
      <c r="O7368" s="21">
        <v>34</v>
      </c>
      <c r="P7368" s="21"/>
      <c r="Q7368" s="21">
        <f t="shared" si="137"/>
        <v>1</v>
      </c>
      <c r="R7368" s="21">
        <v>1</v>
      </c>
      <c r="S7368" s="21">
        <v>0</v>
      </c>
      <c r="T7368" s="21">
        <v>0</v>
      </c>
      <c r="U7368" s="21">
        <v>0</v>
      </c>
      <c r="V7368" s="21">
        <v>0</v>
      </c>
      <c r="W7368" s="21">
        <v>1</v>
      </c>
      <c r="X7368" s="21">
        <v>0</v>
      </c>
      <c r="Y7368" s="21">
        <v>0</v>
      </c>
      <c r="Z7368" s="21">
        <v>0</v>
      </c>
      <c r="AA7368" s="21">
        <v>0</v>
      </c>
      <c r="AB7368" s="21">
        <v>0</v>
      </c>
      <c r="AC7368" s="21">
        <v>0</v>
      </c>
      <c r="AD7368" s="21">
        <v>0</v>
      </c>
      <c r="AE7368" s="21">
        <v>0</v>
      </c>
      <c r="AF7368" s="21">
        <v>0</v>
      </c>
      <c r="AG7368" s="21">
        <v>0</v>
      </c>
      <c r="AH7368" s="21">
        <f t="shared" si="138"/>
        <v>96</v>
      </c>
      <c r="AI7368" s="21"/>
      <c r="AJ7368" s="21"/>
      <c r="AK7368" s="21"/>
      <c r="AL7368" s="21"/>
      <c r="AM7368" s="21" t="s">
        <v>2864</v>
      </c>
      <c r="AN7368" s="21">
        <v>-122.430231916667</v>
      </c>
      <c r="AO7368" s="21">
        <v>37.791165933333303</v>
      </c>
      <c r="AP7368" s="21" t="s">
        <v>1915</v>
      </c>
    </row>
    <row r="7369" spans="1:42">
      <c r="A7369" s="20">
        <v>43858</v>
      </c>
      <c r="B7369" s="21">
        <v>2</v>
      </c>
      <c r="C7369" s="21">
        <v>225</v>
      </c>
      <c r="D7369" s="21">
        <v>14444</v>
      </c>
      <c r="E7369" t="s">
        <v>112</v>
      </c>
      <c r="F7369" s="21" t="s">
        <v>104</v>
      </c>
      <c r="G7369" s="21">
        <v>2</v>
      </c>
      <c r="H7369" s="21">
        <v>43</v>
      </c>
      <c r="I7369" s="23" t="s">
        <v>2865</v>
      </c>
      <c r="J7369" s="21"/>
      <c r="K7369" s="21" t="s">
        <v>68</v>
      </c>
      <c r="L7369" s="21"/>
      <c r="M7369" s="21"/>
      <c r="N7369" s="21" t="s">
        <v>44</v>
      </c>
      <c r="O7369" s="21">
        <f>60+17</f>
        <v>77</v>
      </c>
      <c r="P7369" s="21"/>
      <c r="Q7369" s="21">
        <f t="shared" si="137"/>
        <v>2</v>
      </c>
      <c r="R7369" s="21">
        <v>1</v>
      </c>
      <c r="S7369" s="21">
        <v>0</v>
      </c>
      <c r="T7369" s="21">
        <v>0</v>
      </c>
      <c r="U7369" s="21">
        <v>1</v>
      </c>
      <c r="V7369" s="21">
        <v>1</v>
      </c>
      <c r="W7369" s="21">
        <v>0</v>
      </c>
      <c r="X7369" s="21">
        <v>0</v>
      </c>
      <c r="Y7369" s="21">
        <v>0</v>
      </c>
      <c r="Z7369" s="21">
        <v>0</v>
      </c>
      <c r="AA7369" s="21">
        <v>0</v>
      </c>
      <c r="AB7369" s="21">
        <v>0</v>
      </c>
      <c r="AC7369" s="21">
        <v>0</v>
      </c>
      <c r="AD7369" s="21">
        <v>0</v>
      </c>
      <c r="AE7369" s="21">
        <v>0</v>
      </c>
      <c r="AF7369" s="21">
        <v>0</v>
      </c>
      <c r="AG7369" s="21">
        <v>0</v>
      </c>
      <c r="AH7369" s="21">
        <f t="shared" si="138"/>
        <v>96</v>
      </c>
      <c r="AI7369" s="21"/>
      <c r="AJ7369" s="21" t="s">
        <v>54</v>
      </c>
      <c r="AK7369" s="21" t="s">
        <v>52</v>
      </c>
      <c r="AL7369" s="21"/>
      <c r="AM7369" s="21" t="s">
        <v>2866</v>
      </c>
      <c r="AN7369" s="21">
        <v>-122.43051016666701</v>
      </c>
      <c r="AO7369" s="21">
        <v>37.791281016666602</v>
      </c>
      <c r="AP7369" s="21" t="s">
        <v>1915</v>
      </c>
    </row>
    <row r="7370" spans="1:42">
      <c r="A7370" s="20">
        <v>43858</v>
      </c>
      <c r="B7370" s="21">
        <v>2</v>
      </c>
      <c r="C7370" s="21">
        <v>225</v>
      </c>
      <c r="D7370" s="21">
        <v>14444</v>
      </c>
      <c r="E7370" t="s">
        <v>112</v>
      </c>
      <c r="F7370" s="21" t="s">
        <v>104</v>
      </c>
      <c r="G7370" s="21">
        <v>2</v>
      </c>
      <c r="H7370" s="21">
        <v>44</v>
      </c>
      <c r="I7370" s="23" t="s">
        <v>2867</v>
      </c>
      <c r="J7370" s="21"/>
      <c r="K7370" s="21" t="s">
        <v>68</v>
      </c>
      <c r="L7370" s="21"/>
      <c r="M7370" s="21"/>
      <c r="N7370" s="21" t="s">
        <v>40</v>
      </c>
      <c r="O7370" s="21">
        <v>32</v>
      </c>
      <c r="P7370" s="21"/>
      <c r="Q7370" s="21">
        <f t="shared" si="137"/>
        <v>2</v>
      </c>
      <c r="R7370" s="21">
        <v>1</v>
      </c>
      <c r="S7370" s="21">
        <v>0</v>
      </c>
      <c r="T7370" s="21">
        <v>0</v>
      </c>
      <c r="U7370" s="21">
        <v>0</v>
      </c>
      <c r="V7370" s="21">
        <v>1</v>
      </c>
      <c r="W7370" s="21">
        <v>1</v>
      </c>
      <c r="X7370" s="21">
        <v>0</v>
      </c>
      <c r="Y7370" s="21">
        <v>0</v>
      </c>
      <c r="Z7370" s="21">
        <v>0</v>
      </c>
      <c r="AA7370" s="21">
        <v>0</v>
      </c>
      <c r="AB7370" s="21">
        <v>0</v>
      </c>
      <c r="AC7370" s="21">
        <v>0</v>
      </c>
      <c r="AD7370" s="21">
        <v>0</v>
      </c>
      <c r="AE7370" s="21">
        <v>0</v>
      </c>
      <c r="AF7370" s="21">
        <v>0</v>
      </c>
      <c r="AG7370" s="21">
        <v>0</v>
      </c>
      <c r="AH7370" s="21">
        <f t="shared" si="138"/>
        <v>160</v>
      </c>
      <c r="AI7370" s="21"/>
      <c r="AJ7370" s="21"/>
      <c r="AK7370" s="21"/>
      <c r="AL7370" s="21"/>
      <c r="AM7370" s="21" t="s">
        <v>2868</v>
      </c>
      <c r="AN7370" s="21">
        <v>-122.430478616667</v>
      </c>
      <c r="AO7370" s="21">
        <v>37.791143616666702</v>
      </c>
      <c r="AP7370" s="21" t="s">
        <v>1915</v>
      </c>
    </row>
    <row r="7371" spans="1:42">
      <c r="A7371" s="20">
        <v>43858</v>
      </c>
      <c r="B7371" s="21">
        <v>2</v>
      </c>
      <c r="C7371" s="21">
        <v>225</v>
      </c>
      <c r="D7371" s="21">
        <v>14444</v>
      </c>
      <c r="E7371" t="s">
        <v>112</v>
      </c>
      <c r="F7371" s="21" t="s">
        <v>104</v>
      </c>
      <c r="G7371" s="21">
        <v>2</v>
      </c>
      <c r="H7371" s="21">
        <v>45</v>
      </c>
      <c r="I7371" s="23" t="s">
        <v>2257</v>
      </c>
      <c r="J7371" s="21"/>
      <c r="K7371" s="21" t="s">
        <v>68</v>
      </c>
      <c r="L7371" s="21"/>
      <c r="M7371" s="21"/>
      <c r="N7371" s="21" t="s">
        <v>40</v>
      </c>
      <c r="O7371" s="21">
        <v>59</v>
      </c>
      <c r="P7371" s="21"/>
      <c r="Q7371" s="21">
        <f t="shared" si="137"/>
        <v>4</v>
      </c>
      <c r="R7371" s="21">
        <v>1</v>
      </c>
      <c r="S7371" s="21">
        <v>0</v>
      </c>
      <c r="T7371" s="21">
        <v>0</v>
      </c>
      <c r="U7371" s="21">
        <v>4</v>
      </c>
      <c r="V7371" s="21">
        <v>0</v>
      </c>
      <c r="W7371" s="21">
        <v>0</v>
      </c>
      <c r="X7371" s="21">
        <v>0</v>
      </c>
      <c r="Y7371" s="21">
        <v>0</v>
      </c>
      <c r="Z7371" s="21">
        <v>0</v>
      </c>
      <c r="AA7371" s="21">
        <v>0</v>
      </c>
      <c r="AB7371" s="21">
        <v>0</v>
      </c>
      <c r="AC7371" s="21">
        <v>0</v>
      </c>
      <c r="AD7371" s="21">
        <v>0</v>
      </c>
      <c r="AE7371" s="21">
        <v>0</v>
      </c>
      <c r="AF7371" s="21">
        <v>0</v>
      </c>
      <c r="AG7371" s="21">
        <v>0</v>
      </c>
      <c r="AH7371" s="21">
        <f t="shared" si="138"/>
        <v>128</v>
      </c>
      <c r="AI7371" s="21"/>
      <c r="AJ7371" s="21" t="s">
        <v>54</v>
      </c>
      <c r="AK7371" s="21" t="s">
        <v>52</v>
      </c>
      <c r="AL7371" s="21"/>
      <c r="AM7371" s="21" t="s">
        <v>2869</v>
      </c>
      <c r="AN7371" s="21">
        <v>-122.4306064</v>
      </c>
      <c r="AO7371" s="21">
        <v>37.791249516666703</v>
      </c>
      <c r="AP7371" s="21" t="s">
        <v>1915</v>
      </c>
    </row>
    <row r="7372" spans="1:42">
      <c r="A7372" s="20">
        <v>43858</v>
      </c>
      <c r="B7372" s="21">
        <v>2</v>
      </c>
      <c r="C7372" s="21">
        <v>225</v>
      </c>
      <c r="D7372" s="21">
        <v>14444</v>
      </c>
      <c r="E7372" t="s">
        <v>112</v>
      </c>
      <c r="F7372" s="21" t="s">
        <v>104</v>
      </c>
      <c r="G7372" s="21">
        <v>2</v>
      </c>
      <c r="H7372" s="21">
        <v>46</v>
      </c>
      <c r="I7372" s="23" t="s">
        <v>2870</v>
      </c>
      <c r="J7372" s="21"/>
      <c r="K7372" s="21" t="s">
        <v>68</v>
      </c>
      <c r="L7372" s="21"/>
      <c r="M7372" s="21"/>
      <c r="N7372" s="21" t="s">
        <v>40</v>
      </c>
      <c r="O7372" s="21">
        <v>45</v>
      </c>
      <c r="P7372" s="21"/>
      <c r="Q7372" s="21">
        <f t="shared" si="137"/>
        <v>2</v>
      </c>
      <c r="R7372" s="21">
        <v>1</v>
      </c>
      <c r="S7372" s="21">
        <v>0</v>
      </c>
      <c r="T7372" s="21">
        <v>0</v>
      </c>
      <c r="U7372" s="21">
        <v>1</v>
      </c>
      <c r="V7372" s="21">
        <v>1</v>
      </c>
      <c r="W7372" s="21">
        <v>0</v>
      </c>
      <c r="X7372" s="21">
        <v>0</v>
      </c>
      <c r="Y7372" s="21">
        <v>0</v>
      </c>
      <c r="Z7372" s="21">
        <v>0</v>
      </c>
      <c r="AA7372" s="21">
        <v>0</v>
      </c>
      <c r="AB7372" s="21">
        <v>0</v>
      </c>
      <c r="AC7372" s="21">
        <v>0</v>
      </c>
      <c r="AD7372" s="21">
        <v>0</v>
      </c>
      <c r="AE7372" s="21">
        <v>0</v>
      </c>
      <c r="AF7372" s="21">
        <v>0</v>
      </c>
      <c r="AG7372" s="21">
        <v>0</v>
      </c>
      <c r="AH7372" s="21">
        <f t="shared" si="138"/>
        <v>96</v>
      </c>
      <c r="AI7372" s="21"/>
      <c r="AJ7372" s="21"/>
      <c r="AK7372" s="21"/>
      <c r="AL7372" s="21"/>
      <c r="AM7372" s="21" t="s">
        <v>2871</v>
      </c>
      <c r="AN7372" s="21">
        <v>-122.430556616667</v>
      </c>
      <c r="AO7372" s="21">
        <v>37.791147383333303</v>
      </c>
      <c r="AP7372" s="21" t="s">
        <v>1915</v>
      </c>
    </row>
    <row r="7373" spans="1:42">
      <c r="A7373" s="20">
        <v>43858</v>
      </c>
      <c r="B7373" s="21">
        <v>2</v>
      </c>
      <c r="C7373" s="21">
        <v>225</v>
      </c>
      <c r="D7373" s="21">
        <v>14444</v>
      </c>
      <c r="E7373" t="s">
        <v>112</v>
      </c>
      <c r="F7373" s="21" t="s">
        <v>104</v>
      </c>
      <c r="G7373" s="21">
        <v>2</v>
      </c>
      <c r="H7373" s="21">
        <v>47</v>
      </c>
      <c r="I7373" s="23" t="s">
        <v>2872</v>
      </c>
      <c r="J7373" s="21"/>
      <c r="K7373" s="21" t="s">
        <v>68</v>
      </c>
      <c r="L7373" s="21"/>
      <c r="M7373" s="21"/>
      <c r="N7373" s="21" t="s">
        <v>40</v>
      </c>
      <c r="O7373" s="21">
        <v>48</v>
      </c>
      <c r="P7373" s="21"/>
      <c r="Q7373" s="21">
        <f t="shared" si="137"/>
        <v>2</v>
      </c>
      <c r="R7373" s="21">
        <v>1</v>
      </c>
      <c r="S7373" s="21">
        <v>0</v>
      </c>
      <c r="T7373" s="21">
        <v>0</v>
      </c>
      <c r="U7373" s="21">
        <v>2</v>
      </c>
      <c r="V7373" s="21">
        <v>0</v>
      </c>
      <c r="W7373" s="21">
        <v>0</v>
      </c>
      <c r="X7373" s="21">
        <v>0</v>
      </c>
      <c r="Y7373" s="21">
        <v>0</v>
      </c>
      <c r="Z7373" s="21">
        <v>0</v>
      </c>
      <c r="AA7373" s="21">
        <v>0</v>
      </c>
      <c r="AB7373" s="21">
        <v>0</v>
      </c>
      <c r="AC7373" s="21">
        <v>0</v>
      </c>
      <c r="AD7373" s="21">
        <v>0</v>
      </c>
      <c r="AE7373" s="21">
        <v>0</v>
      </c>
      <c r="AF7373" s="21">
        <v>0</v>
      </c>
      <c r="AG7373" s="21">
        <v>0</v>
      </c>
      <c r="AH7373" s="21">
        <f t="shared" si="138"/>
        <v>64</v>
      </c>
      <c r="AI7373" s="21"/>
      <c r="AJ7373" s="21" t="s">
        <v>54</v>
      </c>
      <c r="AK7373" s="21" t="s">
        <v>52</v>
      </c>
      <c r="AL7373" s="21"/>
      <c r="AM7373" s="21" t="s">
        <v>2873</v>
      </c>
      <c r="AN7373" s="21">
        <v>-122.430605266667</v>
      </c>
      <c r="AO7373" s="21">
        <v>37.791206666666703</v>
      </c>
      <c r="AP7373" s="21" t="s">
        <v>1915</v>
      </c>
    </row>
    <row r="7374" spans="1:42">
      <c r="A7374" s="20">
        <v>43858</v>
      </c>
      <c r="B7374" s="21">
        <v>2</v>
      </c>
      <c r="C7374" s="21">
        <v>225</v>
      </c>
      <c r="D7374" s="21">
        <v>14444</v>
      </c>
      <c r="E7374" t="s">
        <v>112</v>
      </c>
      <c r="F7374" s="21" t="s">
        <v>104</v>
      </c>
      <c r="G7374" s="21">
        <v>2</v>
      </c>
      <c r="H7374" s="21">
        <v>48</v>
      </c>
      <c r="I7374" s="23" t="s">
        <v>2874</v>
      </c>
      <c r="J7374" s="21"/>
      <c r="K7374" s="21" t="s">
        <v>516</v>
      </c>
      <c r="L7374" s="21"/>
      <c r="M7374" s="21"/>
      <c r="N7374" s="21" t="s">
        <v>40</v>
      </c>
      <c r="O7374" s="21">
        <v>41</v>
      </c>
      <c r="P7374" s="21"/>
      <c r="Q7374" s="21">
        <f t="shared" si="137"/>
        <v>2</v>
      </c>
      <c r="R7374" s="21">
        <v>1</v>
      </c>
      <c r="S7374" s="21">
        <v>0</v>
      </c>
      <c r="T7374" s="21">
        <v>0</v>
      </c>
      <c r="U7374" s="21">
        <v>2</v>
      </c>
      <c r="V7374" s="21">
        <v>0</v>
      </c>
      <c r="W7374" s="21">
        <v>0</v>
      </c>
      <c r="X7374" s="21">
        <v>0</v>
      </c>
      <c r="Y7374" s="21">
        <v>0</v>
      </c>
      <c r="Z7374" s="21">
        <v>0</v>
      </c>
      <c r="AA7374" s="21">
        <v>0</v>
      </c>
      <c r="AB7374" s="21">
        <v>0</v>
      </c>
      <c r="AC7374" s="21">
        <v>0</v>
      </c>
      <c r="AD7374" s="21">
        <v>0</v>
      </c>
      <c r="AE7374" s="21">
        <v>0</v>
      </c>
      <c r="AF7374" s="21">
        <v>0</v>
      </c>
      <c r="AG7374" s="21">
        <v>0</v>
      </c>
      <c r="AH7374" s="21">
        <f t="shared" si="138"/>
        <v>64</v>
      </c>
      <c r="AI7374" s="21"/>
      <c r="AJ7374" s="21"/>
      <c r="AK7374" s="21"/>
      <c r="AL7374" s="21"/>
      <c r="AM7374" s="21" t="s">
        <v>2875</v>
      </c>
      <c r="AN7374" s="21">
        <v>-122.431338083333</v>
      </c>
      <c r="AO7374" s="21">
        <v>37.792012583333303</v>
      </c>
      <c r="AP7374" s="21" t="s">
        <v>1915</v>
      </c>
    </row>
    <row r="7375" spans="1:42">
      <c r="A7375" s="20">
        <v>43858</v>
      </c>
      <c r="B7375" s="21">
        <v>2</v>
      </c>
      <c r="C7375" s="21">
        <v>225</v>
      </c>
      <c r="D7375" s="21">
        <v>14444</v>
      </c>
      <c r="E7375" t="s">
        <v>112</v>
      </c>
      <c r="F7375" s="21" t="s">
        <v>104</v>
      </c>
      <c r="G7375" s="21">
        <v>2</v>
      </c>
      <c r="H7375" s="21">
        <v>49</v>
      </c>
      <c r="I7375" s="23" t="s">
        <v>2206</v>
      </c>
      <c r="J7375" s="21"/>
      <c r="K7375" s="21" t="s">
        <v>516</v>
      </c>
      <c r="L7375" s="21"/>
      <c r="M7375" s="21"/>
      <c r="N7375" s="21" t="s">
        <v>40</v>
      </c>
      <c r="O7375" s="21">
        <v>35</v>
      </c>
      <c r="P7375" s="21"/>
      <c r="Q7375" s="21">
        <f t="shared" si="137"/>
        <v>2</v>
      </c>
      <c r="R7375" s="21">
        <v>1</v>
      </c>
      <c r="S7375" s="21">
        <v>0</v>
      </c>
      <c r="T7375" s="21">
        <v>0</v>
      </c>
      <c r="U7375" s="21">
        <v>0</v>
      </c>
      <c r="V7375" s="21">
        <v>2</v>
      </c>
      <c r="W7375" s="21">
        <v>0</v>
      </c>
      <c r="X7375" s="21">
        <v>0</v>
      </c>
      <c r="Y7375" s="21">
        <v>0</v>
      </c>
      <c r="Z7375" s="21">
        <v>0</v>
      </c>
      <c r="AA7375" s="21">
        <v>0</v>
      </c>
      <c r="AB7375" s="21">
        <v>0</v>
      </c>
      <c r="AC7375" s="21">
        <v>0</v>
      </c>
      <c r="AD7375" s="21">
        <v>0</v>
      </c>
      <c r="AE7375" s="21">
        <v>0</v>
      </c>
      <c r="AF7375" s="21">
        <v>0</v>
      </c>
      <c r="AG7375" s="21">
        <v>0</v>
      </c>
      <c r="AH7375" s="21">
        <f t="shared" si="138"/>
        <v>128</v>
      </c>
      <c r="AI7375" s="21"/>
      <c r="AJ7375" s="21" t="s">
        <v>54</v>
      </c>
      <c r="AK7375" s="21" t="s">
        <v>52</v>
      </c>
      <c r="AL7375" s="21"/>
      <c r="AM7375" s="21" t="s">
        <v>2876</v>
      </c>
      <c r="AN7375" s="21">
        <v>-122.43151105</v>
      </c>
      <c r="AO7375" s="21">
        <v>37.792095216666603</v>
      </c>
      <c r="AP7375" s="21" t="s">
        <v>1915</v>
      </c>
    </row>
    <row r="7376" spans="1:42">
      <c r="A7376" s="20">
        <v>43858</v>
      </c>
      <c r="B7376" s="21">
        <v>2</v>
      </c>
      <c r="C7376" s="21">
        <v>225</v>
      </c>
      <c r="D7376" s="21">
        <v>14444</v>
      </c>
      <c r="E7376" t="s">
        <v>112</v>
      </c>
      <c r="F7376" s="21" t="s">
        <v>104</v>
      </c>
      <c r="G7376" s="21">
        <v>2</v>
      </c>
      <c r="H7376" s="21">
        <v>50</v>
      </c>
      <c r="I7376" s="23" t="s">
        <v>2877</v>
      </c>
      <c r="J7376" s="21"/>
      <c r="K7376" s="21" t="s">
        <v>516</v>
      </c>
      <c r="L7376" s="21"/>
      <c r="M7376" s="21"/>
      <c r="N7376" s="21" t="s">
        <v>40</v>
      </c>
      <c r="O7376" s="21">
        <v>35</v>
      </c>
      <c r="P7376" s="21"/>
      <c r="Q7376" s="21">
        <f t="shared" si="137"/>
        <v>2</v>
      </c>
      <c r="R7376" s="21">
        <v>1</v>
      </c>
      <c r="S7376" s="21">
        <v>0</v>
      </c>
      <c r="T7376" s="21">
        <v>0</v>
      </c>
      <c r="U7376" s="21">
        <v>2</v>
      </c>
      <c r="V7376" s="21">
        <v>0</v>
      </c>
      <c r="W7376" s="21">
        <v>0</v>
      </c>
      <c r="X7376" s="21">
        <v>0</v>
      </c>
      <c r="Y7376" s="21">
        <v>0</v>
      </c>
      <c r="Z7376" s="21">
        <v>0</v>
      </c>
      <c r="AA7376" s="21">
        <v>0</v>
      </c>
      <c r="AB7376" s="21">
        <v>0</v>
      </c>
      <c r="AC7376" s="21">
        <v>0</v>
      </c>
      <c r="AD7376" s="21">
        <v>0</v>
      </c>
      <c r="AE7376" s="21">
        <v>0</v>
      </c>
      <c r="AF7376" s="21">
        <v>0</v>
      </c>
      <c r="AG7376" s="21">
        <v>0</v>
      </c>
      <c r="AH7376" s="21">
        <f t="shared" si="138"/>
        <v>64</v>
      </c>
      <c r="AI7376" s="21"/>
      <c r="AJ7376" s="21"/>
      <c r="AK7376" s="21"/>
      <c r="AL7376" s="21"/>
      <c r="AM7376" s="21" t="s">
        <v>2878</v>
      </c>
      <c r="AN7376" s="21">
        <v>-122.431734583333</v>
      </c>
      <c r="AO7376" s="21">
        <v>37.792066283333298</v>
      </c>
      <c r="AP7376" s="21" t="s">
        <v>1915</v>
      </c>
    </row>
    <row r="7377" spans="1:42">
      <c r="A7377" s="20">
        <v>43858</v>
      </c>
      <c r="B7377" s="21">
        <v>2</v>
      </c>
      <c r="C7377" s="21">
        <v>225</v>
      </c>
      <c r="D7377" s="21">
        <v>14444</v>
      </c>
      <c r="E7377" t="s">
        <v>112</v>
      </c>
      <c r="F7377" s="21" t="s">
        <v>104</v>
      </c>
      <c r="G7377" s="21">
        <v>2</v>
      </c>
      <c r="H7377" s="21">
        <v>51</v>
      </c>
      <c r="I7377" s="23" t="s">
        <v>2879</v>
      </c>
      <c r="J7377" s="21"/>
      <c r="K7377" s="21" t="s">
        <v>516</v>
      </c>
      <c r="L7377" s="21"/>
      <c r="M7377" s="21"/>
      <c r="N7377" s="21" t="s">
        <v>40</v>
      </c>
      <c r="O7377" s="21">
        <v>23</v>
      </c>
      <c r="P7377" s="21"/>
      <c r="Q7377" s="21">
        <f t="shared" si="137"/>
        <v>2</v>
      </c>
      <c r="R7377" s="21">
        <v>1</v>
      </c>
      <c r="S7377" s="21">
        <v>0</v>
      </c>
      <c r="T7377" s="21">
        <v>0</v>
      </c>
      <c r="U7377" s="21">
        <v>0</v>
      </c>
      <c r="V7377" s="21">
        <v>2</v>
      </c>
      <c r="W7377" s="21">
        <v>0</v>
      </c>
      <c r="X7377" s="21">
        <v>0</v>
      </c>
      <c r="Y7377" s="21">
        <v>0</v>
      </c>
      <c r="Z7377" s="21">
        <v>0</v>
      </c>
      <c r="AA7377" s="21">
        <v>0</v>
      </c>
      <c r="AB7377" s="21">
        <v>0</v>
      </c>
      <c r="AC7377" s="21">
        <v>0</v>
      </c>
      <c r="AD7377" s="21">
        <v>0</v>
      </c>
      <c r="AE7377" s="21">
        <v>0</v>
      </c>
      <c r="AF7377" s="21">
        <v>0</v>
      </c>
      <c r="AG7377" s="21">
        <v>0</v>
      </c>
      <c r="AH7377" s="21">
        <f t="shared" si="138"/>
        <v>128</v>
      </c>
      <c r="AI7377" s="21"/>
      <c r="AJ7377" s="21"/>
      <c r="AK7377" s="21"/>
      <c r="AL7377" s="21"/>
      <c r="AM7377" s="21" t="s">
        <v>2880</v>
      </c>
      <c r="AN7377" s="21">
        <v>-122.431731883333</v>
      </c>
      <c r="AO7377" s="21">
        <v>37.792059316666702</v>
      </c>
      <c r="AP7377" s="21" t="s">
        <v>1915</v>
      </c>
    </row>
    <row r="7378" spans="1:42">
      <c r="A7378" s="20">
        <v>43858</v>
      </c>
      <c r="B7378" s="21">
        <v>2</v>
      </c>
      <c r="C7378" s="21">
        <v>225</v>
      </c>
      <c r="D7378" s="21">
        <v>14444</v>
      </c>
      <c r="E7378" t="s">
        <v>112</v>
      </c>
      <c r="F7378" s="21" t="s">
        <v>104</v>
      </c>
      <c r="G7378" s="21">
        <v>2</v>
      </c>
      <c r="H7378" s="21">
        <v>52</v>
      </c>
      <c r="I7378" s="23" t="s">
        <v>2881</v>
      </c>
      <c r="J7378" s="21"/>
      <c r="K7378" s="21" t="s">
        <v>516</v>
      </c>
      <c r="L7378" s="21"/>
      <c r="M7378" s="21"/>
      <c r="N7378" s="21" t="s">
        <v>40</v>
      </c>
      <c r="O7378" s="21">
        <v>32</v>
      </c>
      <c r="P7378" s="21"/>
      <c r="Q7378" s="21">
        <f t="shared" si="137"/>
        <v>2</v>
      </c>
      <c r="R7378" s="21">
        <v>1</v>
      </c>
      <c r="S7378" s="21">
        <v>1</v>
      </c>
      <c r="T7378" s="21">
        <v>0</v>
      </c>
      <c r="U7378" s="21">
        <v>1</v>
      </c>
      <c r="V7378" s="21">
        <v>0</v>
      </c>
      <c r="W7378" s="21">
        <v>0</v>
      </c>
      <c r="X7378" s="21">
        <v>0</v>
      </c>
      <c r="Y7378" s="21">
        <v>0</v>
      </c>
      <c r="Z7378" s="21">
        <v>0</v>
      </c>
      <c r="AA7378" s="21">
        <v>0</v>
      </c>
      <c r="AB7378" s="21">
        <v>0</v>
      </c>
      <c r="AC7378" s="21">
        <v>0</v>
      </c>
      <c r="AD7378" s="21">
        <v>0</v>
      </c>
      <c r="AE7378" s="21">
        <v>0</v>
      </c>
      <c r="AF7378" s="21">
        <v>0</v>
      </c>
      <c r="AG7378" s="21">
        <v>0</v>
      </c>
      <c r="AH7378" s="21">
        <f t="shared" si="138"/>
        <v>48</v>
      </c>
      <c r="AI7378" s="21"/>
      <c r="AJ7378" s="21" t="s">
        <v>54</v>
      </c>
      <c r="AK7378" s="21" t="s">
        <v>52</v>
      </c>
      <c r="AL7378" s="21"/>
      <c r="AM7378" s="21" t="s">
        <v>2882</v>
      </c>
      <c r="AN7378" s="21">
        <v>-122.43189288333301</v>
      </c>
      <c r="AO7378" s="21">
        <v>37.792028316666702</v>
      </c>
      <c r="AP7378" s="21" t="s">
        <v>1915</v>
      </c>
    </row>
    <row r="7379" spans="1:42">
      <c r="A7379" s="20">
        <v>43858</v>
      </c>
      <c r="B7379" s="21">
        <v>2</v>
      </c>
      <c r="C7379" s="21">
        <v>225</v>
      </c>
      <c r="D7379" s="21">
        <v>14444</v>
      </c>
      <c r="E7379" t="s">
        <v>112</v>
      </c>
      <c r="F7379" s="21" t="s">
        <v>104</v>
      </c>
      <c r="G7379" s="21">
        <v>2</v>
      </c>
      <c r="H7379" s="21">
        <v>53</v>
      </c>
      <c r="I7379" s="23" t="s">
        <v>2139</v>
      </c>
      <c r="J7379" s="21"/>
      <c r="K7379" s="21" t="s">
        <v>1000</v>
      </c>
      <c r="L7379" s="21"/>
      <c r="M7379" s="21"/>
      <c r="N7379" s="21" t="s">
        <v>44</v>
      </c>
      <c r="O7379" s="21">
        <f>60+44</f>
        <v>104</v>
      </c>
      <c r="P7379" s="21"/>
      <c r="Q7379" s="21">
        <f t="shared" si="137"/>
        <v>1</v>
      </c>
      <c r="R7379" s="21">
        <v>1</v>
      </c>
      <c r="S7379" s="21">
        <v>0</v>
      </c>
      <c r="T7379" s="21">
        <v>0</v>
      </c>
      <c r="U7379" s="21">
        <v>0</v>
      </c>
      <c r="V7379" s="21">
        <v>0</v>
      </c>
      <c r="W7379" s="21">
        <v>1</v>
      </c>
      <c r="X7379" s="21">
        <v>0</v>
      </c>
      <c r="Y7379" s="21">
        <v>0</v>
      </c>
      <c r="Z7379" s="21">
        <v>0</v>
      </c>
      <c r="AA7379" s="21">
        <v>0</v>
      </c>
      <c r="AB7379" s="21">
        <v>0</v>
      </c>
      <c r="AC7379" s="21">
        <v>0</v>
      </c>
      <c r="AD7379" s="21">
        <v>0</v>
      </c>
      <c r="AE7379" s="21">
        <v>0</v>
      </c>
      <c r="AF7379" s="21">
        <v>0</v>
      </c>
      <c r="AG7379" s="21">
        <v>0</v>
      </c>
      <c r="AH7379" s="21">
        <f t="shared" si="138"/>
        <v>96</v>
      </c>
      <c r="AI7379" s="21"/>
      <c r="AJ7379" s="21" t="s">
        <v>54</v>
      </c>
      <c r="AK7379" s="21" t="s">
        <v>52</v>
      </c>
      <c r="AL7379" s="21"/>
      <c r="AM7379" s="21" t="s">
        <v>2883</v>
      </c>
      <c r="AN7379" s="21">
        <v>-122.432001383333</v>
      </c>
      <c r="AO7379" s="21">
        <v>37.792002850000003</v>
      </c>
      <c r="AP7379" s="21" t="s">
        <v>1915</v>
      </c>
    </row>
    <row r="7380" spans="1:42">
      <c r="A7380" s="20">
        <v>43858</v>
      </c>
      <c r="B7380" s="21">
        <v>2</v>
      </c>
      <c r="C7380" s="21">
        <v>225</v>
      </c>
      <c r="D7380" s="21">
        <v>14444</v>
      </c>
      <c r="E7380" t="s">
        <v>112</v>
      </c>
      <c r="F7380" s="21" t="s">
        <v>104</v>
      </c>
      <c r="G7380" s="21">
        <v>2</v>
      </c>
      <c r="H7380" s="21">
        <v>54</v>
      </c>
      <c r="I7380" s="23" t="s">
        <v>2143</v>
      </c>
      <c r="J7380" s="21"/>
      <c r="K7380" s="21" t="s">
        <v>516</v>
      </c>
      <c r="L7380" s="21"/>
      <c r="M7380" s="21"/>
      <c r="N7380" s="21" t="s">
        <v>40</v>
      </c>
      <c r="O7380" s="21">
        <v>42</v>
      </c>
      <c r="P7380" s="21"/>
      <c r="Q7380" s="21">
        <f t="shared" si="137"/>
        <v>2</v>
      </c>
      <c r="R7380" s="21">
        <v>1</v>
      </c>
      <c r="S7380" s="21">
        <v>0</v>
      </c>
      <c r="T7380" s="21">
        <v>0</v>
      </c>
      <c r="U7380" s="21">
        <v>1</v>
      </c>
      <c r="V7380" s="21">
        <v>1</v>
      </c>
      <c r="W7380" s="21">
        <v>0</v>
      </c>
      <c r="X7380" s="21">
        <v>0</v>
      </c>
      <c r="Y7380" s="21">
        <v>0</v>
      </c>
      <c r="Z7380" s="21">
        <v>0</v>
      </c>
      <c r="AA7380" s="21">
        <v>0</v>
      </c>
      <c r="AB7380" s="21">
        <v>0</v>
      </c>
      <c r="AC7380" s="21">
        <v>0</v>
      </c>
      <c r="AD7380" s="21">
        <v>0</v>
      </c>
      <c r="AE7380" s="21">
        <v>0</v>
      </c>
      <c r="AF7380" s="21">
        <v>0</v>
      </c>
      <c r="AG7380" s="21">
        <v>0</v>
      </c>
      <c r="AH7380" s="21">
        <f t="shared" si="138"/>
        <v>96</v>
      </c>
      <c r="AI7380" s="21"/>
      <c r="AJ7380" s="21" t="s">
        <v>54</v>
      </c>
      <c r="AK7380" s="21" t="s">
        <v>52</v>
      </c>
      <c r="AL7380" s="21"/>
      <c r="AM7380" s="21" t="s">
        <v>2884</v>
      </c>
      <c r="AN7380" s="21">
        <v>-122.43234813333299</v>
      </c>
      <c r="AO7380" s="21">
        <v>37.791989066666602</v>
      </c>
      <c r="AP7380" s="21" t="s">
        <v>1915</v>
      </c>
    </row>
    <row r="7381" spans="1:42">
      <c r="A7381" s="20">
        <v>43858</v>
      </c>
      <c r="B7381" s="21">
        <v>2</v>
      </c>
      <c r="C7381" s="21">
        <v>225</v>
      </c>
      <c r="D7381" s="21">
        <v>14444</v>
      </c>
      <c r="E7381" t="s">
        <v>112</v>
      </c>
      <c r="F7381" s="21" t="s">
        <v>104</v>
      </c>
      <c r="G7381" s="21">
        <v>2</v>
      </c>
      <c r="H7381" s="21">
        <v>55</v>
      </c>
      <c r="I7381" s="23" t="s">
        <v>2573</v>
      </c>
      <c r="J7381" s="21"/>
      <c r="K7381" s="21" t="s">
        <v>516</v>
      </c>
      <c r="L7381" s="21"/>
      <c r="M7381" s="21"/>
      <c r="N7381" s="21" t="s">
        <v>40</v>
      </c>
      <c r="O7381" s="21">
        <v>36</v>
      </c>
      <c r="P7381" s="21"/>
      <c r="Q7381" s="21">
        <f t="shared" si="137"/>
        <v>2</v>
      </c>
      <c r="R7381" s="21">
        <v>1</v>
      </c>
      <c r="S7381" s="21">
        <v>1</v>
      </c>
      <c r="T7381" s="21">
        <v>0</v>
      </c>
      <c r="U7381" s="21">
        <v>1</v>
      </c>
      <c r="V7381" s="21">
        <v>0</v>
      </c>
      <c r="W7381" s="21">
        <v>0</v>
      </c>
      <c r="X7381" s="21">
        <v>0</v>
      </c>
      <c r="Y7381" s="21">
        <v>0</v>
      </c>
      <c r="Z7381" s="21">
        <v>0</v>
      </c>
      <c r="AA7381" s="21">
        <v>0</v>
      </c>
      <c r="AB7381" s="21">
        <v>0</v>
      </c>
      <c r="AC7381" s="21">
        <v>0</v>
      </c>
      <c r="AD7381" s="21">
        <v>0</v>
      </c>
      <c r="AE7381" s="21">
        <v>0</v>
      </c>
      <c r="AF7381" s="21">
        <v>0</v>
      </c>
      <c r="AG7381" s="21">
        <v>0</v>
      </c>
      <c r="AH7381" s="21">
        <f t="shared" si="138"/>
        <v>48</v>
      </c>
      <c r="AI7381" s="21"/>
      <c r="AJ7381" s="21" t="s">
        <v>54</v>
      </c>
      <c r="AK7381" s="21" t="s">
        <v>52</v>
      </c>
      <c r="AL7381" s="21"/>
      <c r="AM7381" s="21" t="s">
        <v>2885</v>
      </c>
      <c r="AN7381" s="21">
        <v>-122.432315366667</v>
      </c>
      <c r="AO7381" s="21">
        <v>37.791831233333298</v>
      </c>
      <c r="AP7381" s="21" t="s">
        <v>1915</v>
      </c>
    </row>
    <row r="7382" spans="1:42">
      <c r="A7382" s="20">
        <v>43858</v>
      </c>
      <c r="B7382" s="21">
        <v>2</v>
      </c>
      <c r="C7382" s="21">
        <v>225</v>
      </c>
      <c r="D7382" s="21">
        <v>14444</v>
      </c>
      <c r="E7382" t="s">
        <v>112</v>
      </c>
      <c r="F7382" s="21" t="s">
        <v>104</v>
      </c>
      <c r="G7382" s="21">
        <v>2</v>
      </c>
      <c r="H7382" s="21">
        <v>56</v>
      </c>
      <c r="I7382" s="23" t="s">
        <v>2536</v>
      </c>
      <c r="J7382" s="21"/>
      <c r="K7382" s="21" t="s">
        <v>516</v>
      </c>
      <c r="L7382" s="21"/>
      <c r="M7382" s="21"/>
      <c r="N7382" s="21" t="s">
        <v>40</v>
      </c>
      <c r="O7382" s="21">
        <v>32</v>
      </c>
      <c r="P7382" s="21"/>
      <c r="Q7382" s="21">
        <f t="shared" si="137"/>
        <v>1</v>
      </c>
      <c r="R7382" s="21">
        <v>1</v>
      </c>
      <c r="S7382" s="21">
        <v>0</v>
      </c>
      <c r="T7382" s="21">
        <v>0</v>
      </c>
      <c r="U7382" s="21">
        <v>0</v>
      </c>
      <c r="V7382" s="21">
        <v>0</v>
      </c>
      <c r="W7382" s="21">
        <v>1</v>
      </c>
      <c r="X7382" s="21">
        <v>0</v>
      </c>
      <c r="Y7382" s="21">
        <v>0</v>
      </c>
      <c r="Z7382" s="21">
        <v>0</v>
      </c>
      <c r="AA7382" s="21">
        <v>0</v>
      </c>
      <c r="AB7382" s="21">
        <v>0</v>
      </c>
      <c r="AC7382" s="21">
        <v>0</v>
      </c>
      <c r="AD7382" s="21">
        <v>0</v>
      </c>
      <c r="AE7382" s="21">
        <v>0</v>
      </c>
      <c r="AF7382" s="21">
        <v>0</v>
      </c>
      <c r="AG7382" s="21">
        <v>0</v>
      </c>
      <c r="AH7382" s="21">
        <f t="shared" si="138"/>
        <v>96</v>
      </c>
      <c r="AI7382" s="21"/>
      <c r="AJ7382" s="21"/>
      <c r="AK7382" s="21"/>
      <c r="AL7382" s="21"/>
      <c r="AM7382" s="21" t="s">
        <v>2886</v>
      </c>
      <c r="AN7382" s="21">
        <v>-122.4321647</v>
      </c>
      <c r="AO7382" s="21">
        <v>37.791904950000003</v>
      </c>
      <c r="AP7382" s="21" t="s">
        <v>1915</v>
      </c>
    </row>
    <row r="7383" spans="1:42">
      <c r="A7383" s="20">
        <v>43858</v>
      </c>
      <c r="B7383" s="21">
        <v>2</v>
      </c>
      <c r="C7383" s="21">
        <v>225</v>
      </c>
      <c r="D7383" s="21">
        <v>14444</v>
      </c>
      <c r="E7383" t="s">
        <v>112</v>
      </c>
      <c r="F7383" s="21" t="s">
        <v>104</v>
      </c>
      <c r="G7383" s="21">
        <v>2</v>
      </c>
      <c r="H7383" s="21">
        <v>57</v>
      </c>
      <c r="I7383" s="23" t="s">
        <v>2887</v>
      </c>
      <c r="J7383" s="21"/>
      <c r="K7383" s="21" t="s">
        <v>516</v>
      </c>
      <c r="L7383" s="21"/>
      <c r="M7383" s="21"/>
      <c r="N7383" s="21" t="s">
        <v>40</v>
      </c>
      <c r="O7383" s="21">
        <v>26</v>
      </c>
      <c r="P7383" s="21"/>
      <c r="Q7383" s="21">
        <f t="shared" si="137"/>
        <v>2</v>
      </c>
      <c r="R7383" s="21">
        <v>1</v>
      </c>
      <c r="S7383" s="21">
        <v>0</v>
      </c>
      <c r="T7383" s="21">
        <v>0</v>
      </c>
      <c r="U7383" s="21">
        <v>2</v>
      </c>
      <c r="V7383" s="21">
        <v>0</v>
      </c>
      <c r="W7383" s="21">
        <v>0</v>
      </c>
      <c r="X7383" s="21">
        <v>0</v>
      </c>
      <c r="Y7383" s="21">
        <v>0</v>
      </c>
      <c r="Z7383" s="21">
        <v>0</v>
      </c>
      <c r="AA7383" s="21">
        <v>0</v>
      </c>
      <c r="AB7383" s="21">
        <v>0</v>
      </c>
      <c r="AC7383" s="21">
        <v>0</v>
      </c>
      <c r="AD7383" s="21">
        <v>0</v>
      </c>
      <c r="AE7383" s="21">
        <v>0</v>
      </c>
      <c r="AF7383" s="21">
        <v>0</v>
      </c>
      <c r="AG7383" s="21">
        <v>0</v>
      </c>
      <c r="AH7383" s="21">
        <f t="shared" si="138"/>
        <v>64</v>
      </c>
      <c r="AI7383" s="21"/>
      <c r="AJ7383" s="21"/>
      <c r="AK7383" s="21"/>
      <c r="AL7383" s="21"/>
      <c r="AM7383" s="21" t="s">
        <v>2888</v>
      </c>
      <c r="AN7383" s="21">
        <v>-122.431351983333</v>
      </c>
      <c r="AO7383" s="21">
        <v>37.791984583333303</v>
      </c>
      <c r="AP7383" s="21" t="s">
        <v>1915</v>
      </c>
    </row>
    <row r="7384" spans="1:42">
      <c r="A7384" s="20">
        <v>43858</v>
      </c>
      <c r="B7384" s="21">
        <v>2</v>
      </c>
      <c r="C7384" s="21">
        <v>225</v>
      </c>
      <c r="D7384" s="21">
        <v>14444</v>
      </c>
      <c r="E7384" t="s">
        <v>112</v>
      </c>
      <c r="F7384" s="21" t="s">
        <v>104</v>
      </c>
      <c r="G7384" s="21">
        <v>2</v>
      </c>
      <c r="H7384" s="21">
        <v>58</v>
      </c>
      <c r="I7384" s="23" t="s">
        <v>2849</v>
      </c>
      <c r="J7384" s="21"/>
      <c r="K7384" s="21" t="s">
        <v>516</v>
      </c>
      <c r="L7384" s="21"/>
      <c r="M7384" s="21"/>
      <c r="N7384" s="21" t="s">
        <v>44</v>
      </c>
      <c r="O7384" s="21">
        <f>60+40</f>
        <v>100</v>
      </c>
      <c r="P7384" s="21"/>
      <c r="Q7384" s="21">
        <f t="shared" si="137"/>
        <v>1</v>
      </c>
      <c r="R7384" s="21">
        <v>1</v>
      </c>
      <c r="S7384" s="21">
        <v>0</v>
      </c>
      <c r="T7384" s="21">
        <v>0</v>
      </c>
      <c r="U7384" s="21">
        <v>0</v>
      </c>
      <c r="V7384" s="21">
        <v>0</v>
      </c>
      <c r="W7384" s="21">
        <v>1</v>
      </c>
      <c r="X7384" s="21">
        <v>0</v>
      </c>
      <c r="Y7384" s="21">
        <v>0</v>
      </c>
      <c r="Z7384" s="21">
        <v>0</v>
      </c>
      <c r="AA7384" s="21">
        <v>0</v>
      </c>
      <c r="AB7384" s="21">
        <v>0</v>
      </c>
      <c r="AC7384" s="21">
        <v>0</v>
      </c>
      <c r="AD7384" s="21">
        <v>0</v>
      </c>
      <c r="AE7384" s="21">
        <v>0</v>
      </c>
      <c r="AF7384" s="21">
        <v>0</v>
      </c>
      <c r="AG7384" s="21">
        <v>0</v>
      </c>
      <c r="AH7384" s="21">
        <f t="shared" si="138"/>
        <v>96</v>
      </c>
      <c r="AI7384" s="21"/>
      <c r="AJ7384" s="21" t="s">
        <v>54</v>
      </c>
      <c r="AK7384" s="21" t="s">
        <v>52</v>
      </c>
      <c r="AL7384" s="21" t="s">
        <v>2111</v>
      </c>
      <c r="AM7384" s="21" t="s">
        <v>2889</v>
      </c>
      <c r="AN7384" s="21">
        <v>-122.431383083333</v>
      </c>
      <c r="AO7384" s="21">
        <v>37.791914483333301</v>
      </c>
      <c r="AP7384" s="21" t="s">
        <v>1915</v>
      </c>
    </row>
    <row r="7385" spans="1:42">
      <c r="A7385" s="20">
        <v>43858</v>
      </c>
      <c r="B7385" s="21">
        <v>2</v>
      </c>
      <c r="C7385" s="21">
        <v>225</v>
      </c>
      <c r="D7385" s="21">
        <v>14444</v>
      </c>
      <c r="E7385" t="s">
        <v>112</v>
      </c>
      <c r="F7385" s="21" t="s">
        <v>104</v>
      </c>
      <c r="G7385" s="21">
        <v>2</v>
      </c>
      <c r="H7385" s="21">
        <v>59</v>
      </c>
      <c r="I7385" s="23" t="s">
        <v>2890</v>
      </c>
      <c r="J7385" s="21"/>
      <c r="K7385" s="21" t="s">
        <v>56</v>
      </c>
      <c r="L7385" s="21"/>
      <c r="M7385" s="21"/>
      <c r="N7385" s="21" t="s">
        <v>40</v>
      </c>
      <c r="O7385" s="21">
        <f>60+10</f>
        <v>70</v>
      </c>
      <c r="P7385" s="21"/>
      <c r="Q7385" s="21">
        <f t="shared" si="137"/>
        <v>3</v>
      </c>
      <c r="R7385" s="21">
        <v>1</v>
      </c>
      <c r="S7385" s="21">
        <v>0</v>
      </c>
      <c r="T7385" s="21">
        <v>0</v>
      </c>
      <c r="U7385" s="21">
        <v>1</v>
      </c>
      <c r="V7385" s="21">
        <v>1</v>
      </c>
      <c r="W7385" s="21">
        <v>1</v>
      </c>
      <c r="X7385" s="21">
        <v>0</v>
      </c>
      <c r="Y7385" s="21">
        <v>0</v>
      </c>
      <c r="Z7385" s="21">
        <v>0</v>
      </c>
      <c r="AA7385" s="21">
        <v>0</v>
      </c>
      <c r="AB7385" s="21">
        <v>0</v>
      </c>
      <c r="AC7385" s="21">
        <v>0</v>
      </c>
      <c r="AD7385" s="21">
        <v>0</v>
      </c>
      <c r="AE7385" s="21">
        <v>0</v>
      </c>
      <c r="AF7385" s="21">
        <v>0</v>
      </c>
      <c r="AG7385" s="21">
        <v>0</v>
      </c>
      <c r="AH7385" s="21">
        <f t="shared" si="138"/>
        <v>192</v>
      </c>
      <c r="AI7385" s="21"/>
      <c r="AJ7385" s="21" t="s">
        <v>51</v>
      </c>
      <c r="AK7385" s="21" t="s">
        <v>52</v>
      </c>
      <c r="AL7385" s="21"/>
      <c r="AM7385" s="21" t="s">
        <v>2891</v>
      </c>
      <c r="AN7385" s="21">
        <v>-122.430030883333</v>
      </c>
      <c r="AO7385" s="21">
        <v>37.789392716666597</v>
      </c>
      <c r="AP7385" s="21" t="s">
        <v>1915</v>
      </c>
    </row>
    <row r="7386" spans="1:42">
      <c r="A7386" s="20">
        <v>43858</v>
      </c>
      <c r="B7386" s="21">
        <v>2</v>
      </c>
      <c r="C7386" s="21">
        <v>225</v>
      </c>
      <c r="D7386" s="21">
        <v>14444</v>
      </c>
      <c r="E7386" t="s">
        <v>112</v>
      </c>
      <c r="F7386" s="21" t="s">
        <v>104</v>
      </c>
      <c r="G7386" s="21">
        <v>2</v>
      </c>
      <c r="H7386" s="21">
        <v>60</v>
      </c>
      <c r="I7386" s="23" t="s">
        <v>2892</v>
      </c>
      <c r="J7386" s="21"/>
      <c r="K7386" s="21" t="s">
        <v>596</v>
      </c>
      <c r="L7386" s="21"/>
      <c r="M7386" s="21"/>
      <c r="N7386" s="21" t="s">
        <v>40</v>
      </c>
      <c r="O7386" s="21">
        <v>40</v>
      </c>
      <c r="P7386" s="21"/>
      <c r="Q7386" s="21">
        <f t="shared" si="137"/>
        <v>2</v>
      </c>
      <c r="R7386" s="21">
        <v>1</v>
      </c>
      <c r="S7386" s="21">
        <v>0</v>
      </c>
      <c r="T7386" s="21">
        <v>0</v>
      </c>
      <c r="U7386" s="21">
        <v>2</v>
      </c>
      <c r="V7386" s="21">
        <v>0</v>
      </c>
      <c r="W7386" s="21">
        <v>0</v>
      </c>
      <c r="X7386" s="21">
        <v>0</v>
      </c>
      <c r="Y7386" s="21">
        <v>0</v>
      </c>
      <c r="Z7386" s="21">
        <v>0</v>
      </c>
      <c r="AA7386" s="21">
        <v>0</v>
      </c>
      <c r="AB7386" s="21">
        <v>0</v>
      </c>
      <c r="AC7386" s="21">
        <v>0</v>
      </c>
      <c r="AD7386" s="21">
        <v>0</v>
      </c>
      <c r="AE7386" s="21">
        <v>0</v>
      </c>
      <c r="AF7386" s="21">
        <v>0</v>
      </c>
      <c r="AG7386" s="21">
        <v>0</v>
      </c>
      <c r="AH7386" s="21">
        <f t="shared" si="138"/>
        <v>64</v>
      </c>
      <c r="AI7386" s="21"/>
      <c r="AJ7386" s="21"/>
      <c r="AK7386" s="21"/>
      <c r="AL7386" s="21"/>
      <c r="AM7386" s="21" t="s">
        <v>2893</v>
      </c>
      <c r="AN7386" s="21">
        <v>-122.43055673333301</v>
      </c>
      <c r="AO7386" s="21">
        <v>37.788965583333301</v>
      </c>
      <c r="AP7386" s="21" t="s">
        <v>1915</v>
      </c>
    </row>
    <row r="7387" spans="1:42">
      <c r="A7387" s="20">
        <v>43858</v>
      </c>
      <c r="B7387" s="21">
        <v>2</v>
      </c>
      <c r="C7387" s="21">
        <v>225</v>
      </c>
      <c r="D7387" s="21">
        <v>14444</v>
      </c>
      <c r="E7387" t="s">
        <v>112</v>
      </c>
      <c r="F7387" s="21" t="s">
        <v>104</v>
      </c>
      <c r="G7387" s="21">
        <v>2</v>
      </c>
      <c r="H7387" s="21">
        <v>61</v>
      </c>
      <c r="I7387" s="23" t="s">
        <v>2894</v>
      </c>
      <c r="J7387" s="21"/>
      <c r="K7387" s="21" t="s">
        <v>596</v>
      </c>
      <c r="L7387" s="21"/>
      <c r="M7387" s="21"/>
      <c r="N7387" s="21" t="s">
        <v>40</v>
      </c>
      <c r="O7387" s="21">
        <f>60+7</f>
        <v>67</v>
      </c>
      <c r="P7387" s="21"/>
      <c r="Q7387" s="21">
        <f t="shared" si="137"/>
        <v>4</v>
      </c>
      <c r="R7387" s="21">
        <v>1</v>
      </c>
      <c r="S7387" s="21">
        <v>0</v>
      </c>
      <c r="T7387" s="21">
        <v>0</v>
      </c>
      <c r="U7387" s="21">
        <v>4</v>
      </c>
      <c r="V7387" s="21">
        <v>0</v>
      </c>
      <c r="W7387" s="21">
        <v>0</v>
      </c>
      <c r="X7387" s="21">
        <v>0</v>
      </c>
      <c r="Y7387" s="21">
        <v>0</v>
      </c>
      <c r="Z7387" s="21">
        <v>0</v>
      </c>
      <c r="AA7387" s="21">
        <v>0</v>
      </c>
      <c r="AB7387" s="21">
        <v>0</v>
      </c>
      <c r="AC7387" s="21">
        <v>0</v>
      </c>
      <c r="AD7387" s="21">
        <v>0</v>
      </c>
      <c r="AE7387" s="21">
        <v>0</v>
      </c>
      <c r="AF7387" s="21">
        <v>0</v>
      </c>
      <c r="AG7387" s="21">
        <v>0</v>
      </c>
      <c r="AH7387" s="21">
        <f t="shared" si="138"/>
        <v>128</v>
      </c>
      <c r="AI7387" s="21"/>
      <c r="AJ7387" s="21" t="s">
        <v>54</v>
      </c>
      <c r="AK7387" s="21" t="s">
        <v>52</v>
      </c>
      <c r="AL7387" s="21"/>
      <c r="AM7387" s="21" t="s">
        <v>2895</v>
      </c>
      <c r="AN7387" s="21">
        <v>-122.43048008333299</v>
      </c>
      <c r="AO7387" s="21">
        <v>37.7888606666667</v>
      </c>
      <c r="AP7387" s="21" t="s">
        <v>1915</v>
      </c>
    </row>
    <row r="7388" spans="1:42">
      <c r="A7388" s="20">
        <v>43858</v>
      </c>
      <c r="B7388" s="21">
        <v>2</v>
      </c>
      <c r="C7388" s="21">
        <v>225</v>
      </c>
      <c r="D7388" s="21">
        <v>14444</v>
      </c>
      <c r="E7388" t="s">
        <v>112</v>
      </c>
      <c r="F7388" s="21" t="s">
        <v>104</v>
      </c>
      <c r="G7388" s="21">
        <v>2</v>
      </c>
      <c r="H7388" s="21">
        <v>62</v>
      </c>
      <c r="I7388" s="23" t="s">
        <v>2896</v>
      </c>
      <c r="J7388" s="21"/>
      <c r="K7388" s="21" t="s">
        <v>596</v>
      </c>
      <c r="L7388" s="21"/>
      <c r="M7388" s="21"/>
      <c r="N7388" s="21" t="s">
        <v>40</v>
      </c>
      <c r="O7388" s="21">
        <v>18</v>
      </c>
      <c r="P7388" s="21"/>
      <c r="Q7388" s="21">
        <f t="shared" si="137"/>
        <v>1</v>
      </c>
      <c r="R7388" s="21">
        <v>1</v>
      </c>
      <c r="S7388" s="21">
        <v>0</v>
      </c>
      <c r="T7388" s="21">
        <v>0</v>
      </c>
      <c r="U7388" s="21">
        <v>1</v>
      </c>
      <c r="V7388" s="21">
        <v>0</v>
      </c>
      <c r="W7388" s="21">
        <v>0</v>
      </c>
      <c r="X7388" s="21">
        <v>0</v>
      </c>
      <c r="Y7388" s="21">
        <v>0</v>
      </c>
      <c r="Z7388" s="21">
        <v>0</v>
      </c>
      <c r="AA7388" s="21">
        <v>0</v>
      </c>
      <c r="AB7388" s="21">
        <v>0</v>
      </c>
      <c r="AC7388" s="21">
        <v>0</v>
      </c>
      <c r="AD7388" s="21">
        <v>0</v>
      </c>
      <c r="AE7388" s="21">
        <v>0</v>
      </c>
      <c r="AF7388" s="21">
        <v>0</v>
      </c>
      <c r="AG7388" s="21">
        <v>0</v>
      </c>
      <c r="AH7388" s="21">
        <f t="shared" si="138"/>
        <v>32</v>
      </c>
      <c r="AI7388" s="21"/>
      <c r="AJ7388" s="21" t="s">
        <v>54</v>
      </c>
      <c r="AK7388" s="21" t="s">
        <v>52</v>
      </c>
      <c r="AL7388" s="21"/>
      <c r="AM7388" s="21" t="s">
        <v>2897</v>
      </c>
      <c r="AN7388" s="21">
        <v>-122.430413866667</v>
      </c>
      <c r="AO7388" s="21">
        <v>37.788648666666703</v>
      </c>
      <c r="AP7388" s="21" t="s">
        <v>1915</v>
      </c>
    </row>
    <row r="7389" spans="1:42">
      <c r="A7389" s="20">
        <v>43858</v>
      </c>
      <c r="B7389" s="21">
        <v>2</v>
      </c>
      <c r="C7389" s="21">
        <v>225</v>
      </c>
      <c r="D7389" s="21">
        <v>14444</v>
      </c>
      <c r="E7389" t="s">
        <v>112</v>
      </c>
      <c r="F7389" s="21" t="s">
        <v>104</v>
      </c>
      <c r="G7389" s="21">
        <v>2</v>
      </c>
      <c r="H7389" s="21">
        <v>63</v>
      </c>
      <c r="I7389" s="23" t="s">
        <v>2898</v>
      </c>
      <c r="J7389" s="21"/>
      <c r="K7389" s="21" t="s">
        <v>596</v>
      </c>
      <c r="L7389" s="21"/>
      <c r="M7389" s="21"/>
      <c r="N7389" s="21" t="s">
        <v>40</v>
      </c>
      <c r="O7389" s="21">
        <v>32</v>
      </c>
      <c r="P7389" s="21"/>
      <c r="Q7389" s="21">
        <f t="shared" si="137"/>
        <v>2</v>
      </c>
      <c r="R7389" s="21">
        <v>1</v>
      </c>
      <c r="S7389" s="21">
        <v>0</v>
      </c>
      <c r="T7389" s="21">
        <v>0</v>
      </c>
      <c r="U7389" s="21">
        <v>2</v>
      </c>
      <c r="V7389" s="21">
        <v>0</v>
      </c>
      <c r="W7389" s="21">
        <v>0</v>
      </c>
      <c r="X7389" s="21">
        <v>0</v>
      </c>
      <c r="Y7389" s="21">
        <v>0</v>
      </c>
      <c r="Z7389" s="21">
        <v>0</v>
      </c>
      <c r="AA7389" s="21">
        <v>0</v>
      </c>
      <c r="AB7389" s="21">
        <v>0</v>
      </c>
      <c r="AC7389" s="21">
        <v>0</v>
      </c>
      <c r="AD7389" s="21">
        <v>0</v>
      </c>
      <c r="AE7389" s="21">
        <v>0</v>
      </c>
      <c r="AF7389" s="21">
        <v>0</v>
      </c>
      <c r="AG7389" s="21">
        <v>0</v>
      </c>
      <c r="AH7389" s="21">
        <f t="shared" si="138"/>
        <v>64</v>
      </c>
      <c r="AI7389" s="21"/>
      <c r="AJ7389" s="21"/>
      <c r="AK7389" s="21"/>
      <c r="AL7389" s="21"/>
      <c r="AM7389" s="21" t="s">
        <v>2899</v>
      </c>
      <c r="AN7389" s="21">
        <v>-122.430352966667</v>
      </c>
      <c r="AO7389" s="21">
        <v>37.788622016666601</v>
      </c>
      <c r="AP7389" s="21" t="s">
        <v>1915</v>
      </c>
    </row>
    <row r="7390" spans="1:42">
      <c r="A7390" s="20">
        <v>43858</v>
      </c>
      <c r="B7390" s="21">
        <v>2</v>
      </c>
      <c r="C7390" s="21">
        <v>225</v>
      </c>
      <c r="D7390" s="21">
        <v>14444</v>
      </c>
      <c r="E7390" t="s">
        <v>112</v>
      </c>
      <c r="F7390" s="21" t="s">
        <v>104</v>
      </c>
      <c r="G7390" s="21">
        <v>2</v>
      </c>
      <c r="H7390" s="21">
        <v>64</v>
      </c>
      <c r="I7390" s="23" t="s">
        <v>2900</v>
      </c>
      <c r="J7390" s="21"/>
      <c r="K7390" s="21" t="s">
        <v>596</v>
      </c>
      <c r="L7390" s="21"/>
      <c r="M7390" s="21"/>
      <c r="N7390" s="21" t="s">
        <v>40</v>
      </c>
      <c r="O7390" s="21">
        <v>37</v>
      </c>
      <c r="P7390" s="21"/>
      <c r="Q7390" s="21">
        <f t="shared" si="137"/>
        <v>2</v>
      </c>
      <c r="R7390" s="21">
        <v>1</v>
      </c>
      <c r="S7390" s="21">
        <v>0</v>
      </c>
      <c r="T7390" s="21">
        <v>0</v>
      </c>
      <c r="U7390" s="21">
        <v>0</v>
      </c>
      <c r="V7390" s="21">
        <v>2</v>
      </c>
      <c r="W7390" s="21">
        <v>0</v>
      </c>
      <c r="X7390" s="21">
        <v>0</v>
      </c>
      <c r="Y7390" s="21">
        <v>0</v>
      </c>
      <c r="Z7390" s="21">
        <v>0</v>
      </c>
      <c r="AA7390" s="21">
        <v>0</v>
      </c>
      <c r="AB7390" s="21">
        <v>0</v>
      </c>
      <c r="AC7390" s="21">
        <v>0</v>
      </c>
      <c r="AD7390" s="21">
        <v>0</v>
      </c>
      <c r="AE7390" s="21">
        <v>0</v>
      </c>
      <c r="AF7390" s="21">
        <v>0</v>
      </c>
      <c r="AG7390" s="21">
        <v>0</v>
      </c>
      <c r="AH7390" s="21">
        <f t="shared" si="138"/>
        <v>128</v>
      </c>
      <c r="AI7390" s="21"/>
      <c r="AJ7390" s="21"/>
      <c r="AK7390" s="21"/>
      <c r="AL7390" s="21"/>
      <c r="AM7390" s="21" t="s">
        <v>2901</v>
      </c>
      <c r="AN7390" s="21">
        <v>-122.430256183333</v>
      </c>
      <c r="AO7390" s="21">
        <v>37.7879151666667</v>
      </c>
      <c r="AP7390" s="21" t="s">
        <v>1915</v>
      </c>
    </row>
    <row r="7391" spans="1:42">
      <c r="A7391" s="20">
        <v>43858</v>
      </c>
      <c r="B7391" s="21">
        <v>2</v>
      </c>
      <c r="C7391" s="21">
        <v>225</v>
      </c>
      <c r="D7391" s="21">
        <v>14444</v>
      </c>
      <c r="E7391" t="s">
        <v>112</v>
      </c>
      <c r="F7391" s="21" t="s">
        <v>104</v>
      </c>
      <c r="G7391" s="21">
        <v>2</v>
      </c>
      <c r="H7391" s="21">
        <v>65</v>
      </c>
      <c r="I7391" s="23" t="s">
        <v>2902</v>
      </c>
      <c r="J7391" s="21"/>
      <c r="K7391" s="21" t="s">
        <v>596</v>
      </c>
      <c r="L7391" s="21"/>
      <c r="M7391" s="21"/>
      <c r="N7391" s="21" t="s">
        <v>44</v>
      </c>
      <c r="O7391" s="21">
        <f>60+1</f>
        <v>61</v>
      </c>
      <c r="P7391" s="21"/>
      <c r="Q7391" s="21">
        <f t="shared" si="137"/>
        <v>1</v>
      </c>
      <c r="R7391" s="21">
        <v>1</v>
      </c>
      <c r="S7391" s="21">
        <v>0</v>
      </c>
      <c r="T7391" s="21">
        <v>0</v>
      </c>
      <c r="U7391" s="21">
        <v>0</v>
      </c>
      <c r="V7391" s="21">
        <v>0</v>
      </c>
      <c r="W7391" s="21">
        <v>1</v>
      </c>
      <c r="X7391" s="21">
        <v>0</v>
      </c>
      <c r="Y7391" s="21">
        <v>0</v>
      </c>
      <c r="Z7391" s="21">
        <v>0</v>
      </c>
      <c r="AA7391" s="21">
        <v>0</v>
      </c>
      <c r="AB7391" s="21">
        <v>0</v>
      </c>
      <c r="AC7391" s="21">
        <v>0</v>
      </c>
      <c r="AD7391" s="21">
        <v>0</v>
      </c>
      <c r="AE7391" s="21">
        <v>0</v>
      </c>
      <c r="AF7391" s="21">
        <v>0</v>
      </c>
      <c r="AG7391" s="21">
        <v>0</v>
      </c>
      <c r="AH7391" s="21">
        <f t="shared" si="138"/>
        <v>96</v>
      </c>
      <c r="AI7391" s="21"/>
      <c r="AJ7391" s="21"/>
      <c r="AK7391" s="21"/>
      <c r="AL7391" s="21"/>
      <c r="AM7391" s="21" t="s">
        <v>2903</v>
      </c>
      <c r="AN7391" s="21">
        <v>-122.430350316667</v>
      </c>
      <c r="AO7391" s="21">
        <v>37.788016316666699</v>
      </c>
      <c r="AP7391" s="21" t="s">
        <v>1915</v>
      </c>
    </row>
    <row r="7392" spans="1:42">
      <c r="A7392" s="20">
        <v>43858</v>
      </c>
      <c r="B7392" s="21">
        <v>2</v>
      </c>
      <c r="C7392" s="21">
        <v>225</v>
      </c>
      <c r="D7392" s="21">
        <v>14444</v>
      </c>
      <c r="E7392" t="s">
        <v>112</v>
      </c>
      <c r="F7392" s="21" t="s">
        <v>104</v>
      </c>
      <c r="G7392" s="21">
        <v>2</v>
      </c>
      <c r="H7392" s="21">
        <v>66</v>
      </c>
      <c r="I7392" s="23" t="s">
        <v>2904</v>
      </c>
      <c r="J7392" s="21"/>
      <c r="K7392" s="21" t="s">
        <v>596</v>
      </c>
      <c r="L7392" s="21"/>
      <c r="M7392" s="21"/>
      <c r="N7392" s="21" t="s">
        <v>40</v>
      </c>
      <c r="O7392" s="21">
        <f>60+25</f>
        <v>85</v>
      </c>
      <c r="P7392" s="21"/>
      <c r="Q7392" s="21">
        <f t="shared" si="137"/>
        <v>6</v>
      </c>
      <c r="R7392" s="21">
        <v>1</v>
      </c>
      <c r="S7392" s="21">
        <v>0</v>
      </c>
      <c r="T7392" s="21">
        <v>0</v>
      </c>
      <c r="U7392" s="21">
        <v>5</v>
      </c>
      <c r="V7392" s="21">
        <v>1</v>
      </c>
      <c r="W7392" s="21">
        <v>0</v>
      </c>
      <c r="X7392" s="21">
        <v>0</v>
      </c>
      <c r="Y7392" s="21">
        <v>0</v>
      </c>
      <c r="Z7392" s="21">
        <v>0</v>
      </c>
      <c r="AA7392" s="21">
        <v>0</v>
      </c>
      <c r="AB7392" s="21">
        <v>0</v>
      </c>
      <c r="AC7392" s="21">
        <v>0</v>
      </c>
      <c r="AD7392" s="21">
        <v>0</v>
      </c>
      <c r="AE7392" s="21">
        <v>0</v>
      </c>
      <c r="AF7392" s="21">
        <v>0</v>
      </c>
      <c r="AG7392" s="21">
        <v>0</v>
      </c>
      <c r="AH7392" s="21">
        <f t="shared" si="138"/>
        <v>224</v>
      </c>
      <c r="AI7392" s="21"/>
      <c r="AJ7392" s="21" t="s">
        <v>54</v>
      </c>
      <c r="AK7392" s="21" t="s">
        <v>52</v>
      </c>
      <c r="AL7392" s="21"/>
      <c r="AM7392" s="21" t="s">
        <v>2905</v>
      </c>
      <c r="AN7392" s="21">
        <v>-122.430324683333</v>
      </c>
      <c r="AO7392" s="21">
        <v>37.787764916666703</v>
      </c>
      <c r="AP7392" s="21" t="s">
        <v>1915</v>
      </c>
    </row>
    <row r="7393" spans="1:42">
      <c r="A7393" s="20">
        <v>43858</v>
      </c>
      <c r="B7393" s="21">
        <v>2</v>
      </c>
      <c r="C7393" s="21">
        <v>225</v>
      </c>
      <c r="D7393" s="21">
        <v>14444</v>
      </c>
      <c r="E7393" t="s">
        <v>112</v>
      </c>
      <c r="F7393" s="21" t="s">
        <v>104</v>
      </c>
      <c r="G7393" s="21">
        <v>2</v>
      </c>
      <c r="H7393" s="21">
        <v>67</v>
      </c>
      <c r="I7393" s="23" t="s">
        <v>2620</v>
      </c>
      <c r="J7393" s="21"/>
      <c r="K7393" s="21" t="s">
        <v>596</v>
      </c>
      <c r="L7393" s="21"/>
      <c r="M7393" s="21"/>
      <c r="N7393" s="21" t="s">
        <v>40</v>
      </c>
      <c r="O7393" s="21">
        <v>53</v>
      </c>
      <c r="P7393" s="21"/>
      <c r="Q7393" s="21">
        <f t="shared" si="137"/>
        <v>2</v>
      </c>
      <c r="R7393" s="21">
        <v>1</v>
      </c>
      <c r="S7393" s="21">
        <v>0</v>
      </c>
      <c r="T7393" s="21">
        <v>0</v>
      </c>
      <c r="U7393" s="21">
        <v>2</v>
      </c>
      <c r="V7393" s="21">
        <v>0</v>
      </c>
      <c r="W7393" s="21">
        <v>0</v>
      </c>
      <c r="X7393" s="21">
        <v>0</v>
      </c>
      <c r="Y7393" s="21">
        <v>0</v>
      </c>
      <c r="Z7393" s="21">
        <v>0</v>
      </c>
      <c r="AA7393" s="21">
        <v>0</v>
      </c>
      <c r="AB7393" s="21">
        <v>0</v>
      </c>
      <c r="AC7393" s="21">
        <v>0</v>
      </c>
      <c r="AD7393" s="21">
        <v>0</v>
      </c>
      <c r="AE7393" s="21">
        <v>0</v>
      </c>
      <c r="AF7393" s="21">
        <v>0</v>
      </c>
      <c r="AG7393" s="21">
        <v>0</v>
      </c>
      <c r="AH7393" s="21">
        <f t="shared" si="138"/>
        <v>64</v>
      </c>
      <c r="AI7393" s="21"/>
      <c r="AJ7393" s="21"/>
      <c r="AK7393" s="21"/>
      <c r="AL7393" s="21"/>
      <c r="AM7393" s="21" t="s">
        <v>2906</v>
      </c>
      <c r="AN7393" s="21">
        <v>-122.43012365</v>
      </c>
      <c r="AO7393" s="21">
        <v>37.787805166666701</v>
      </c>
      <c r="AP7393" s="21" t="s">
        <v>1915</v>
      </c>
    </row>
    <row r="7394" spans="1:42">
      <c r="A7394" s="20">
        <v>43858</v>
      </c>
      <c r="B7394" s="21">
        <v>2</v>
      </c>
      <c r="C7394" s="21">
        <v>225</v>
      </c>
      <c r="D7394" s="21">
        <v>14444</v>
      </c>
      <c r="E7394" t="s">
        <v>112</v>
      </c>
      <c r="F7394" s="21" t="s">
        <v>104</v>
      </c>
      <c r="G7394" s="21">
        <v>2</v>
      </c>
      <c r="H7394" s="21">
        <v>68</v>
      </c>
      <c r="I7394" s="23" t="s">
        <v>2907</v>
      </c>
      <c r="J7394" s="21"/>
      <c r="K7394" s="21" t="s">
        <v>596</v>
      </c>
      <c r="L7394" s="21"/>
      <c r="M7394" s="21"/>
      <c r="N7394" s="21" t="s">
        <v>40</v>
      </c>
      <c r="O7394" s="21">
        <v>18</v>
      </c>
      <c r="P7394" s="21"/>
      <c r="Q7394" s="21">
        <f t="shared" si="137"/>
        <v>1</v>
      </c>
      <c r="R7394" s="21">
        <v>1</v>
      </c>
      <c r="S7394" s="21">
        <v>0</v>
      </c>
      <c r="T7394" s="21">
        <v>0</v>
      </c>
      <c r="U7394" s="21">
        <v>0</v>
      </c>
      <c r="V7394" s="21">
        <v>0</v>
      </c>
      <c r="W7394" s="21">
        <v>1</v>
      </c>
      <c r="X7394" s="21">
        <v>0</v>
      </c>
      <c r="Y7394" s="21">
        <v>0</v>
      </c>
      <c r="Z7394" s="21">
        <v>0</v>
      </c>
      <c r="AA7394" s="21">
        <v>0</v>
      </c>
      <c r="AB7394" s="21">
        <v>0</v>
      </c>
      <c r="AC7394" s="21">
        <v>0</v>
      </c>
      <c r="AD7394" s="21">
        <v>0</v>
      </c>
      <c r="AE7394" s="21">
        <v>0</v>
      </c>
      <c r="AF7394" s="21">
        <v>0</v>
      </c>
      <c r="AG7394" s="21">
        <v>0</v>
      </c>
      <c r="AH7394" s="21">
        <f t="shared" si="138"/>
        <v>96</v>
      </c>
      <c r="AI7394" s="21"/>
      <c r="AJ7394" s="21"/>
      <c r="AK7394" s="21"/>
      <c r="AL7394" s="21"/>
      <c r="AM7394" s="21" t="s">
        <v>2908</v>
      </c>
      <c r="AN7394" s="21">
        <v>-122.430196883333</v>
      </c>
      <c r="AO7394" s="21">
        <v>37.7879312166666</v>
      </c>
      <c r="AP7394" s="21" t="s">
        <v>1915</v>
      </c>
    </row>
    <row r="7395" spans="1:42">
      <c r="A7395" s="20">
        <v>43858</v>
      </c>
      <c r="B7395" s="21">
        <v>2</v>
      </c>
      <c r="C7395" s="21">
        <v>225</v>
      </c>
      <c r="D7395" s="21">
        <v>14444</v>
      </c>
      <c r="E7395" t="s">
        <v>112</v>
      </c>
      <c r="F7395" s="21" t="s">
        <v>104</v>
      </c>
      <c r="G7395" s="21">
        <v>2</v>
      </c>
      <c r="H7395" s="21">
        <v>69</v>
      </c>
      <c r="I7395" s="23" t="s">
        <v>2909</v>
      </c>
      <c r="J7395" s="21"/>
      <c r="K7395" s="21" t="s">
        <v>596</v>
      </c>
      <c r="L7395" s="21"/>
      <c r="M7395" s="21"/>
      <c r="N7395" s="21" t="s">
        <v>40</v>
      </c>
      <c r="O7395" s="21">
        <v>28</v>
      </c>
      <c r="P7395" s="21"/>
      <c r="Q7395" s="21">
        <f t="shared" si="137"/>
        <v>2</v>
      </c>
      <c r="R7395" s="21">
        <v>1</v>
      </c>
      <c r="S7395" s="21">
        <v>0</v>
      </c>
      <c r="T7395" s="21">
        <v>0</v>
      </c>
      <c r="U7395" s="21">
        <v>2</v>
      </c>
      <c r="V7395" s="21">
        <v>0</v>
      </c>
      <c r="W7395" s="21">
        <v>0</v>
      </c>
      <c r="X7395" s="21">
        <v>0</v>
      </c>
      <c r="Y7395" s="21">
        <v>0</v>
      </c>
      <c r="Z7395" s="21">
        <v>0</v>
      </c>
      <c r="AA7395" s="21">
        <v>0</v>
      </c>
      <c r="AB7395" s="21">
        <v>0</v>
      </c>
      <c r="AC7395" s="21">
        <v>0</v>
      </c>
      <c r="AD7395" s="21">
        <v>0</v>
      </c>
      <c r="AE7395" s="21">
        <v>0</v>
      </c>
      <c r="AF7395" s="21">
        <v>0</v>
      </c>
      <c r="AG7395" s="21">
        <v>0</v>
      </c>
      <c r="AH7395" s="21">
        <f t="shared" si="138"/>
        <v>64</v>
      </c>
      <c r="AI7395" s="21"/>
      <c r="AJ7395" s="21" t="s">
        <v>54</v>
      </c>
      <c r="AK7395" s="21" t="s">
        <v>52</v>
      </c>
      <c r="AL7395" s="21"/>
      <c r="AM7395" s="21" t="s">
        <v>2910</v>
      </c>
      <c r="AN7395" s="21">
        <v>-122.43018185</v>
      </c>
      <c r="AO7395" s="21">
        <v>37.7879336833333</v>
      </c>
      <c r="AP7395" s="21" t="s">
        <v>1915</v>
      </c>
    </row>
    <row r="7396" spans="1:42">
      <c r="A7396" s="20">
        <v>43858</v>
      </c>
      <c r="B7396" s="21">
        <v>2</v>
      </c>
      <c r="C7396" s="21">
        <v>225</v>
      </c>
      <c r="D7396" s="21">
        <v>14444</v>
      </c>
      <c r="E7396" t="s">
        <v>112</v>
      </c>
      <c r="F7396" s="21" t="s">
        <v>104</v>
      </c>
      <c r="G7396" s="21">
        <v>2</v>
      </c>
      <c r="H7396" s="21">
        <v>70</v>
      </c>
      <c r="I7396" s="23" t="s">
        <v>2911</v>
      </c>
      <c r="J7396" s="21"/>
      <c r="K7396" s="21" t="s">
        <v>596</v>
      </c>
      <c r="L7396" s="21"/>
      <c r="M7396" s="21"/>
      <c r="N7396" s="21" t="s">
        <v>44</v>
      </c>
      <c r="O7396" s="21">
        <f>60+51</f>
        <v>111</v>
      </c>
      <c r="P7396" s="21"/>
      <c r="Q7396" s="21">
        <f t="shared" si="137"/>
        <v>1</v>
      </c>
      <c r="R7396" s="21">
        <v>1</v>
      </c>
      <c r="S7396" s="21">
        <v>0</v>
      </c>
      <c r="T7396" s="21">
        <v>0</v>
      </c>
      <c r="U7396" s="21">
        <v>0</v>
      </c>
      <c r="V7396" s="21">
        <v>0</v>
      </c>
      <c r="W7396" s="21">
        <v>1</v>
      </c>
      <c r="X7396" s="21">
        <v>0</v>
      </c>
      <c r="Y7396" s="21">
        <v>0</v>
      </c>
      <c r="Z7396" s="21">
        <v>0</v>
      </c>
      <c r="AA7396" s="21">
        <v>0</v>
      </c>
      <c r="AB7396" s="21">
        <v>0</v>
      </c>
      <c r="AC7396" s="21">
        <v>0</v>
      </c>
      <c r="AD7396" s="21">
        <v>0</v>
      </c>
      <c r="AE7396" s="21">
        <v>0</v>
      </c>
      <c r="AF7396" s="21">
        <v>0</v>
      </c>
      <c r="AG7396" s="21">
        <v>0</v>
      </c>
      <c r="AH7396" s="21">
        <f t="shared" si="138"/>
        <v>96</v>
      </c>
      <c r="AI7396" s="21"/>
      <c r="AJ7396" s="21" t="s">
        <v>54</v>
      </c>
      <c r="AK7396" s="21" t="s">
        <v>52</v>
      </c>
      <c r="AL7396" s="21"/>
      <c r="AM7396" s="21" t="s">
        <v>2912</v>
      </c>
      <c r="AN7396" s="21">
        <v>-122.430188116667</v>
      </c>
      <c r="AO7396" s="21">
        <v>37.7880589833333</v>
      </c>
      <c r="AP7396" s="21" t="s">
        <v>1915</v>
      </c>
    </row>
    <row r="7397" spans="1:42">
      <c r="A7397" s="20">
        <v>43858</v>
      </c>
      <c r="B7397" s="21">
        <v>2</v>
      </c>
      <c r="C7397" s="21">
        <v>225</v>
      </c>
      <c r="D7397" s="21">
        <v>14444</v>
      </c>
      <c r="E7397" t="s">
        <v>112</v>
      </c>
      <c r="F7397" s="21" t="s">
        <v>104</v>
      </c>
      <c r="G7397" s="21">
        <v>2</v>
      </c>
      <c r="H7397" s="21">
        <v>71</v>
      </c>
      <c r="I7397" s="23" t="s">
        <v>2913</v>
      </c>
      <c r="J7397" s="21"/>
      <c r="K7397" s="21" t="s">
        <v>596</v>
      </c>
      <c r="L7397" s="21"/>
      <c r="M7397" s="21"/>
      <c r="N7397" s="21" t="s">
        <v>40</v>
      </c>
      <c r="O7397" s="21">
        <v>34</v>
      </c>
      <c r="P7397" s="21"/>
      <c r="Q7397" s="21">
        <f t="shared" si="137"/>
        <v>2</v>
      </c>
      <c r="R7397" s="21">
        <v>1</v>
      </c>
      <c r="S7397" s="21">
        <v>0</v>
      </c>
      <c r="T7397" s="21">
        <v>0</v>
      </c>
      <c r="U7397" s="21">
        <v>2</v>
      </c>
      <c r="V7397" s="21">
        <v>0</v>
      </c>
      <c r="W7397" s="21">
        <v>0</v>
      </c>
      <c r="X7397" s="21">
        <v>0</v>
      </c>
      <c r="Y7397" s="21">
        <v>0</v>
      </c>
      <c r="Z7397" s="21">
        <v>0</v>
      </c>
      <c r="AA7397" s="21">
        <v>0</v>
      </c>
      <c r="AB7397" s="21">
        <v>0</v>
      </c>
      <c r="AC7397" s="21">
        <v>0</v>
      </c>
      <c r="AD7397" s="21">
        <v>0</v>
      </c>
      <c r="AE7397" s="21">
        <v>0</v>
      </c>
      <c r="AF7397" s="21">
        <v>0</v>
      </c>
      <c r="AG7397" s="21">
        <v>0</v>
      </c>
      <c r="AH7397" s="21">
        <f t="shared" si="138"/>
        <v>64</v>
      </c>
      <c r="AI7397" s="21"/>
      <c r="AJ7397" s="21"/>
      <c r="AK7397" s="21"/>
      <c r="AL7397" s="21"/>
      <c r="AM7397" s="21" t="s">
        <v>2914</v>
      </c>
      <c r="AN7397" s="21">
        <v>-122.430282366667</v>
      </c>
      <c r="AO7397" s="21">
        <v>37.788234316666603</v>
      </c>
      <c r="AP7397" s="21" t="s">
        <v>1915</v>
      </c>
    </row>
    <row r="7398" spans="1:42">
      <c r="A7398" s="20">
        <v>43858</v>
      </c>
      <c r="B7398" s="21">
        <v>2</v>
      </c>
      <c r="C7398" s="21">
        <v>225</v>
      </c>
      <c r="D7398" s="21">
        <v>14444</v>
      </c>
      <c r="E7398" t="s">
        <v>112</v>
      </c>
      <c r="F7398" s="21" t="s">
        <v>104</v>
      </c>
      <c r="G7398" s="21">
        <v>2</v>
      </c>
      <c r="H7398" s="21">
        <v>72</v>
      </c>
      <c r="I7398" s="23" t="s">
        <v>2915</v>
      </c>
      <c r="J7398" s="21"/>
      <c r="K7398" s="21" t="s">
        <v>69</v>
      </c>
      <c r="L7398" s="21"/>
      <c r="M7398" s="21"/>
      <c r="N7398" s="21" t="s">
        <v>40</v>
      </c>
      <c r="O7398" s="21">
        <v>36</v>
      </c>
      <c r="P7398" s="21"/>
      <c r="Q7398" s="21">
        <f t="shared" si="137"/>
        <v>2</v>
      </c>
      <c r="R7398" s="21">
        <v>1</v>
      </c>
      <c r="S7398" s="21">
        <v>1</v>
      </c>
      <c r="T7398" s="21">
        <v>0</v>
      </c>
      <c r="U7398" s="21">
        <v>1</v>
      </c>
      <c r="V7398" s="21">
        <v>0</v>
      </c>
      <c r="W7398" s="21">
        <v>0</v>
      </c>
      <c r="X7398" s="21">
        <v>0</v>
      </c>
      <c r="Y7398" s="21">
        <v>0</v>
      </c>
      <c r="Z7398" s="21">
        <v>0</v>
      </c>
      <c r="AA7398" s="21">
        <v>0</v>
      </c>
      <c r="AB7398" s="21">
        <v>0</v>
      </c>
      <c r="AC7398" s="21">
        <v>0</v>
      </c>
      <c r="AD7398" s="21">
        <v>0</v>
      </c>
      <c r="AE7398" s="21">
        <v>0</v>
      </c>
      <c r="AF7398" s="21">
        <v>0</v>
      </c>
      <c r="AG7398" s="21">
        <v>0</v>
      </c>
      <c r="AH7398" s="21">
        <f t="shared" si="138"/>
        <v>48</v>
      </c>
      <c r="AI7398" s="21"/>
      <c r="AJ7398" s="21"/>
      <c r="AK7398" s="21"/>
      <c r="AL7398" s="21"/>
      <c r="AM7398" s="21" t="s">
        <v>2916</v>
      </c>
      <c r="AN7398" s="21">
        <v>-122.430703733333</v>
      </c>
      <c r="AO7398" s="21">
        <v>37.788323050000002</v>
      </c>
      <c r="AP7398" s="21" t="s">
        <v>1915</v>
      </c>
    </row>
    <row r="7399" spans="1:42">
      <c r="A7399" s="20">
        <v>43858</v>
      </c>
      <c r="B7399" s="21">
        <v>2</v>
      </c>
      <c r="C7399" s="21">
        <v>225</v>
      </c>
      <c r="D7399" s="21">
        <v>14444</v>
      </c>
      <c r="E7399" t="s">
        <v>112</v>
      </c>
      <c r="F7399" s="21" t="s">
        <v>104</v>
      </c>
      <c r="G7399" s="21">
        <v>2</v>
      </c>
      <c r="H7399" s="21">
        <v>73</v>
      </c>
      <c r="I7399" s="23" t="s">
        <v>2917</v>
      </c>
      <c r="J7399" s="21"/>
      <c r="K7399" s="21" t="s">
        <v>69</v>
      </c>
      <c r="L7399" s="21"/>
      <c r="M7399" s="21"/>
      <c r="N7399" s="21" t="s">
        <v>40</v>
      </c>
      <c r="O7399" s="21">
        <v>43</v>
      </c>
      <c r="P7399" s="21"/>
      <c r="Q7399" s="21">
        <f t="shared" si="137"/>
        <v>2</v>
      </c>
      <c r="R7399" s="21">
        <v>1</v>
      </c>
      <c r="S7399" s="21">
        <v>0</v>
      </c>
      <c r="T7399" s="21">
        <v>0</v>
      </c>
      <c r="U7399" s="21">
        <v>2</v>
      </c>
      <c r="V7399" s="21">
        <v>0</v>
      </c>
      <c r="W7399" s="21">
        <v>0</v>
      </c>
      <c r="X7399" s="21">
        <v>0</v>
      </c>
      <c r="Y7399" s="21">
        <v>0</v>
      </c>
      <c r="Z7399" s="21">
        <v>0</v>
      </c>
      <c r="AA7399" s="21">
        <v>0</v>
      </c>
      <c r="AB7399" s="21">
        <v>0</v>
      </c>
      <c r="AC7399" s="21">
        <v>0</v>
      </c>
      <c r="AD7399" s="21">
        <v>0</v>
      </c>
      <c r="AE7399" s="21">
        <v>0</v>
      </c>
      <c r="AF7399" s="21">
        <v>0</v>
      </c>
      <c r="AG7399" s="21">
        <v>0</v>
      </c>
      <c r="AH7399" s="21">
        <f t="shared" si="138"/>
        <v>64</v>
      </c>
      <c r="AI7399" s="21"/>
      <c r="AJ7399" s="21"/>
      <c r="AK7399" s="21"/>
      <c r="AL7399" s="21"/>
      <c r="AM7399" s="21" t="s">
        <v>2918</v>
      </c>
      <c r="AN7399" s="21">
        <v>-122.430683966667</v>
      </c>
      <c r="AO7399" s="21">
        <v>37.788278900000002</v>
      </c>
      <c r="AP7399" s="21" t="s">
        <v>1915</v>
      </c>
    </row>
    <row r="7400" spans="1:42">
      <c r="A7400" s="20">
        <v>43858</v>
      </c>
      <c r="B7400" s="21">
        <v>2</v>
      </c>
      <c r="C7400" s="21">
        <v>225</v>
      </c>
      <c r="D7400" s="21">
        <v>14444</v>
      </c>
      <c r="E7400" t="s">
        <v>112</v>
      </c>
      <c r="F7400" s="21" t="s">
        <v>104</v>
      </c>
      <c r="G7400" s="21">
        <v>2</v>
      </c>
      <c r="H7400" s="21">
        <v>74</v>
      </c>
      <c r="I7400" s="23" t="s">
        <v>2919</v>
      </c>
      <c r="J7400" s="21"/>
      <c r="K7400" s="21" t="s">
        <v>69</v>
      </c>
      <c r="L7400" s="21"/>
      <c r="M7400" s="21"/>
      <c r="N7400" s="21" t="s">
        <v>44</v>
      </c>
      <c r="O7400" s="21">
        <f>60+4</f>
        <v>64</v>
      </c>
      <c r="P7400" s="21"/>
      <c r="Q7400" s="21">
        <f t="shared" si="137"/>
        <v>2</v>
      </c>
      <c r="R7400" s="21">
        <v>1</v>
      </c>
      <c r="S7400" s="21">
        <v>0</v>
      </c>
      <c r="T7400" s="21">
        <v>0</v>
      </c>
      <c r="U7400" s="21">
        <v>1</v>
      </c>
      <c r="V7400" s="21">
        <v>1</v>
      </c>
      <c r="W7400" s="21">
        <v>0</v>
      </c>
      <c r="X7400" s="21">
        <v>0</v>
      </c>
      <c r="Y7400" s="21">
        <v>0</v>
      </c>
      <c r="Z7400" s="21">
        <v>0</v>
      </c>
      <c r="AA7400" s="21">
        <v>0</v>
      </c>
      <c r="AB7400" s="21">
        <v>0</v>
      </c>
      <c r="AC7400" s="21">
        <v>0</v>
      </c>
      <c r="AD7400" s="21">
        <v>0</v>
      </c>
      <c r="AE7400" s="21">
        <v>0</v>
      </c>
      <c r="AF7400" s="21">
        <v>0</v>
      </c>
      <c r="AG7400" s="21">
        <v>0</v>
      </c>
      <c r="AH7400" s="21">
        <f t="shared" si="138"/>
        <v>96</v>
      </c>
      <c r="AI7400" s="21"/>
      <c r="AJ7400" s="21" t="s">
        <v>51</v>
      </c>
      <c r="AK7400" s="21" t="s">
        <v>95</v>
      </c>
      <c r="AL7400" s="21"/>
      <c r="AM7400" s="21" t="s">
        <v>2920</v>
      </c>
      <c r="AN7400" s="21">
        <v>-122.430766683333</v>
      </c>
      <c r="AO7400" s="21">
        <v>37.788257533333301</v>
      </c>
      <c r="AP7400" s="21" t="s">
        <v>1915</v>
      </c>
    </row>
    <row r="7401" spans="1:42">
      <c r="A7401" s="20">
        <v>43858</v>
      </c>
      <c r="B7401" s="21">
        <v>2</v>
      </c>
      <c r="C7401" s="21">
        <v>225</v>
      </c>
      <c r="D7401" s="21">
        <v>14444</v>
      </c>
      <c r="E7401" t="s">
        <v>112</v>
      </c>
      <c r="F7401" s="21" t="s">
        <v>104</v>
      </c>
      <c r="G7401" s="21">
        <v>2</v>
      </c>
      <c r="H7401" s="21">
        <v>75</v>
      </c>
      <c r="I7401" s="23" t="s">
        <v>2921</v>
      </c>
      <c r="J7401" s="21"/>
      <c r="K7401" s="21" t="s">
        <v>69</v>
      </c>
      <c r="L7401" s="21"/>
      <c r="M7401" s="21"/>
      <c r="N7401" s="21" t="s">
        <v>44</v>
      </c>
      <c r="O7401" s="21">
        <v>25</v>
      </c>
      <c r="P7401" s="21"/>
      <c r="Q7401" s="21">
        <f t="shared" si="137"/>
        <v>1</v>
      </c>
      <c r="R7401" s="21">
        <v>1</v>
      </c>
      <c r="S7401" s="21">
        <v>1</v>
      </c>
      <c r="T7401" s="21">
        <v>0</v>
      </c>
      <c r="U7401" s="21">
        <v>0</v>
      </c>
      <c r="V7401" s="21">
        <v>0</v>
      </c>
      <c r="W7401" s="21">
        <v>0</v>
      </c>
      <c r="X7401" s="21">
        <v>0</v>
      </c>
      <c r="Y7401" s="21">
        <v>0</v>
      </c>
      <c r="Z7401" s="21">
        <v>0</v>
      </c>
      <c r="AA7401" s="21">
        <v>0</v>
      </c>
      <c r="AB7401" s="21">
        <v>0</v>
      </c>
      <c r="AC7401" s="21">
        <v>0</v>
      </c>
      <c r="AD7401" s="21">
        <v>0</v>
      </c>
      <c r="AE7401" s="21">
        <v>0</v>
      </c>
      <c r="AF7401" s="21">
        <v>0</v>
      </c>
      <c r="AG7401" s="21">
        <v>0</v>
      </c>
      <c r="AH7401" s="21">
        <f t="shared" si="138"/>
        <v>16</v>
      </c>
      <c r="AI7401" s="21"/>
      <c r="AJ7401" s="21"/>
      <c r="AK7401" s="21"/>
      <c r="AL7401" s="21" t="s">
        <v>2922</v>
      </c>
      <c r="AM7401" s="21" t="s">
        <v>2923</v>
      </c>
      <c r="AN7401" s="21">
        <v>-122.431601</v>
      </c>
      <c r="AO7401" s="21">
        <v>37.788158466666701</v>
      </c>
      <c r="AP7401" s="21" t="s">
        <v>1915</v>
      </c>
    </row>
    <row r="7402" spans="1:42">
      <c r="A7402" s="20">
        <v>43858</v>
      </c>
      <c r="B7402" s="21">
        <v>2</v>
      </c>
      <c r="C7402" s="21">
        <v>225</v>
      </c>
      <c r="D7402" s="21">
        <v>14444</v>
      </c>
      <c r="E7402" t="s">
        <v>112</v>
      </c>
      <c r="F7402" s="21" t="s">
        <v>104</v>
      </c>
      <c r="G7402" s="21">
        <v>2</v>
      </c>
      <c r="H7402" s="21">
        <v>77</v>
      </c>
      <c r="I7402" s="23" t="s">
        <v>2924</v>
      </c>
      <c r="J7402" s="21"/>
      <c r="K7402" s="21" t="s">
        <v>69</v>
      </c>
      <c r="L7402" s="21"/>
      <c r="M7402" s="21"/>
      <c r="N7402" s="21" t="s">
        <v>44</v>
      </c>
      <c r="O7402" s="21">
        <v>36</v>
      </c>
      <c r="P7402" s="21"/>
      <c r="Q7402" s="21">
        <f t="shared" si="137"/>
        <v>1</v>
      </c>
      <c r="R7402" s="21">
        <v>1</v>
      </c>
      <c r="S7402" s="21">
        <v>0</v>
      </c>
      <c r="T7402" s="21">
        <v>0</v>
      </c>
      <c r="U7402" s="21">
        <v>0</v>
      </c>
      <c r="V7402" s="21">
        <v>0</v>
      </c>
      <c r="W7402" s="21">
        <v>1</v>
      </c>
      <c r="X7402" s="21">
        <v>0</v>
      </c>
      <c r="Y7402" s="21">
        <v>0</v>
      </c>
      <c r="Z7402" s="21">
        <v>0</v>
      </c>
      <c r="AA7402" s="21">
        <v>0</v>
      </c>
      <c r="AB7402" s="21">
        <v>0</v>
      </c>
      <c r="AC7402" s="21">
        <v>0</v>
      </c>
      <c r="AD7402" s="21">
        <v>0</v>
      </c>
      <c r="AE7402" s="21">
        <v>0</v>
      </c>
      <c r="AF7402" s="21">
        <v>0</v>
      </c>
      <c r="AG7402" s="21">
        <v>0</v>
      </c>
      <c r="AH7402" s="21">
        <f t="shared" si="138"/>
        <v>96</v>
      </c>
      <c r="AI7402" s="21"/>
      <c r="AJ7402" s="21"/>
      <c r="AK7402" s="21"/>
      <c r="AL7402" s="21"/>
      <c r="AM7402" s="21" t="s">
        <v>2925</v>
      </c>
      <c r="AN7402" s="21">
        <v>-122.431581466667</v>
      </c>
      <c r="AO7402" s="21">
        <v>37.788168300000002</v>
      </c>
      <c r="AP7402" s="21" t="s">
        <v>1915</v>
      </c>
    </row>
    <row r="7403" spans="1:42">
      <c r="A7403" s="20">
        <v>43858</v>
      </c>
      <c r="B7403" s="21">
        <v>2</v>
      </c>
      <c r="C7403" s="21">
        <v>225</v>
      </c>
      <c r="D7403" s="21">
        <v>14444</v>
      </c>
      <c r="E7403" t="s">
        <v>112</v>
      </c>
      <c r="F7403" s="21" t="s">
        <v>104</v>
      </c>
      <c r="G7403" s="21">
        <v>2</v>
      </c>
      <c r="H7403" s="21">
        <v>78</v>
      </c>
      <c r="I7403" s="23" t="s">
        <v>2926</v>
      </c>
      <c r="J7403" s="21"/>
      <c r="K7403" s="21" t="s">
        <v>69</v>
      </c>
      <c r="L7403" s="21"/>
      <c r="M7403" s="21"/>
      <c r="N7403" s="21" t="s">
        <v>44</v>
      </c>
      <c r="O7403" s="21">
        <f>60+13</f>
        <v>73</v>
      </c>
      <c r="P7403" s="21"/>
      <c r="Q7403" s="21">
        <f t="shared" si="137"/>
        <v>1</v>
      </c>
      <c r="R7403" s="21">
        <v>1</v>
      </c>
      <c r="S7403" s="21">
        <v>0</v>
      </c>
      <c r="T7403" s="21">
        <v>0</v>
      </c>
      <c r="U7403" s="21">
        <v>0</v>
      </c>
      <c r="V7403" s="21">
        <v>0</v>
      </c>
      <c r="W7403" s="21">
        <v>1</v>
      </c>
      <c r="X7403" s="21">
        <v>0</v>
      </c>
      <c r="Y7403" s="21">
        <v>0</v>
      </c>
      <c r="Z7403" s="21">
        <v>0</v>
      </c>
      <c r="AA7403" s="21">
        <v>0</v>
      </c>
      <c r="AB7403" s="21">
        <v>0</v>
      </c>
      <c r="AC7403" s="21">
        <v>0</v>
      </c>
      <c r="AD7403" s="21">
        <v>0</v>
      </c>
      <c r="AE7403" s="21">
        <v>0</v>
      </c>
      <c r="AF7403" s="21">
        <v>0</v>
      </c>
      <c r="AG7403" s="21">
        <v>0</v>
      </c>
      <c r="AH7403" s="21">
        <f t="shared" si="138"/>
        <v>96</v>
      </c>
      <c r="AI7403" s="21"/>
      <c r="AJ7403" s="21" t="s">
        <v>51</v>
      </c>
      <c r="AK7403" s="21" t="s">
        <v>52</v>
      </c>
      <c r="AL7403" s="21"/>
      <c r="AM7403" s="21" t="s">
        <v>2927</v>
      </c>
      <c r="AN7403" s="21">
        <v>-122.431460716667</v>
      </c>
      <c r="AO7403" s="21">
        <v>37.788158466666701</v>
      </c>
      <c r="AP7403" s="21" t="s">
        <v>1915</v>
      </c>
    </row>
    <row r="7404" spans="1:42">
      <c r="A7404" s="20">
        <v>43858</v>
      </c>
      <c r="B7404" s="21">
        <v>2</v>
      </c>
      <c r="C7404" s="21">
        <v>225</v>
      </c>
      <c r="D7404" s="21">
        <v>14444</v>
      </c>
      <c r="E7404" t="s">
        <v>112</v>
      </c>
      <c r="F7404" s="21" t="s">
        <v>104</v>
      </c>
      <c r="G7404" s="21">
        <v>2</v>
      </c>
      <c r="H7404" s="21">
        <v>79</v>
      </c>
      <c r="I7404" s="23" t="s">
        <v>2603</v>
      </c>
      <c r="J7404" s="21"/>
      <c r="K7404" s="21" t="s">
        <v>599</v>
      </c>
      <c r="L7404" s="21"/>
      <c r="M7404" s="21"/>
      <c r="N7404" s="21" t="s">
        <v>40</v>
      </c>
      <c r="O7404" s="21">
        <f>60+30</f>
        <v>90</v>
      </c>
      <c r="P7404" s="21"/>
      <c r="Q7404" s="21">
        <f t="shared" si="137"/>
        <v>6</v>
      </c>
      <c r="R7404" s="21">
        <v>1</v>
      </c>
      <c r="S7404" s="21">
        <v>0</v>
      </c>
      <c r="T7404" s="21">
        <v>0</v>
      </c>
      <c r="U7404" s="21">
        <v>0</v>
      </c>
      <c r="V7404" s="21">
        <v>6</v>
      </c>
      <c r="W7404" s="21">
        <v>0</v>
      </c>
      <c r="X7404" s="21">
        <v>0</v>
      </c>
      <c r="Y7404" s="21">
        <v>0</v>
      </c>
      <c r="Z7404" s="21">
        <v>0</v>
      </c>
      <c r="AA7404" s="21">
        <v>0</v>
      </c>
      <c r="AB7404" s="21">
        <v>0</v>
      </c>
      <c r="AC7404" s="21">
        <v>0</v>
      </c>
      <c r="AD7404" s="21">
        <v>0</v>
      </c>
      <c r="AE7404" s="21">
        <v>0</v>
      </c>
      <c r="AF7404" s="21">
        <v>0</v>
      </c>
      <c r="AG7404" s="21">
        <v>0</v>
      </c>
      <c r="AH7404" s="21">
        <f t="shared" si="138"/>
        <v>384</v>
      </c>
      <c r="AI7404" s="21"/>
      <c r="AJ7404" s="21"/>
      <c r="AK7404" s="21"/>
      <c r="AL7404" s="21"/>
      <c r="AM7404" s="21" t="s">
        <v>2928</v>
      </c>
      <c r="AN7404" s="21">
        <v>-122.43253654999999</v>
      </c>
      <c r="AO7404" s="21">
        <v>37.790421216666701</v>
      </c>
      <c r="AP7404" s="21" t="s">
        <v>1915</v>
      </c>
    </row>
    <row r="7405" spans="1:42">
      <c r="A7405" s="20">
        <v>43858</v>
      </c>
      <c r="B7405" s="21">
        <v>2</v>
      </c>
      <c r="C7405" s="21">
        <v>225</v>
      </c>
      <c r="D7405" s="21">
        <v>14444</v>
      </c>
      <c r="E7405" t="s">
        <v>112</v>
      </c>
      <c r="F7405" s="21" t="s">
        <v>104</v>
      </c>
      <c r="G7405" s="21">
        <v>2</v>
      </c>
      <c r="H7405" s="21">
        <v>80</v>
      </c>
      <c r="I7405" s="23" t="s">
        <v>2929</v>
      </c>
      <c r="J7405" s="21"/>
      <c r="K7405" s="21" t="s">
        <v>68</v>
      </c>
      <c r="L7405" s="21"/>
      <c r="M7405" s="21"/>
      <c r="N7405" s="21" t="s">
        <v>42</v>
      </c>
      <c r="O7405" s="21">
        <f>60+60+16</f>
        <v>136</v>
      </c>
      <c r="P7405" s="21"/>
      <c r="Q7405" s="21">
        <f t="shared" si="137"/>
        <v>3</v>
      </c>
      <c r="R7405" s="21">
        <v>1</v>
      </c>
      <c r="S7405" s="21">
        <v>0</v>
      </c>
      <c r="T7405" s="21">
        <v>0</v>
      </c>
      <c r="U7405" s="21">
        <v>1</v>
      </c>
      <c r="V7405" s="21">
        <v>0</v>
      </c>
      <c r="W7405" s="21">
        <v>2</v>
      </c>
      <c r="X7405" s="21">
        <v>0</v>
      </c>
      <c r="Y7405" s="21">
        <v>0</v>
      </c>
      <c r="Z7405" s="21">
        <v>0</v>
      </c>
      <c r="AA7405" s="21">
        <v>0</v>
      </c>
      <c r="AB7405" s="21">
        <v>0</v>
      </c>
      <c r="AC7405" s="21">
        <v>0</v>
      </c>
      <c r="AD7405" s="21">
        <v>0</v>
      </c>
      <c r="AE7405" s="21">
        <v>0</v>
      </c>
      <c r="AF7405" s="21">
        <v>0</v>
      </c>
      <c r="AG7405" s="21">
        <v>0</v>
      </c>
      <c r="AH7405" s="21">
        <f t="shared" si="138"/>
        <v>224</v>
      </c>
      <c r="AI7405" s="21"/>
      <c r="AJ7405" s="21" t="s">
        <v>51</v>
      </c>
      <c r="AK7405" s="21" t="s">
        <v>52</v>
      </c>
      <c r="AL7405" s="21" t="s">
        <v>2930</v>
      </c>
      <c r="AM7405" s="21" t="s">
        <v>2931</v>
      </c>
      <c r="AN7405" s="21">
        <v>-122.433336016667</v>
      </c>
      <c r="AO7405" s="21">
        <v>37.790892516666602</v>
      </c>
      <c r="AP7405" s="21" t="s">
        <v>1915</v>
      </c>
    </row>
    <row r="7406" spans="1:42">
      <c r="A7406" s="20">
        <v>43858</v>
      </c>
      <c r="B7406" s="21">
        <v>2</v>
      </c>
      <c r="C7406" s="21">
        <v>225</v>
      </c>
      <c r="D7406" s="21">
        <v>14444</v>
      </c>
      <c r="E7406" t="s">
        <v>112</v>
      </c>
      <c r="F7406" s="21" t="s">
        <v>104</v>
      </c>
      <c r="G7406" s="21">
        <v>2</v>
      </c>
      <c r="H7406" s="21">
        <v>81</v>
      </c>
      <c r="I7406" s="23" t="s">
        <v>2932</v>
      </c>
      <c r="J7406" s="21"/>
      <c r="K7406" s="21" t="s">
        <v>68</v>
      </c>
      <c r="L7406" s="21"/>
      <c r="M7406" s="21"/>
      <c r="N7406" s="21" t="s">
        <v>44</v>
      </c>
      <c r="O7406" s="21">
        <f>60+35</f>
        <v>95</v>
      </c>
      <c r="P7406" s="21"/>
      <c r="Q7406" s="21">
        <f t="shared" si="137"/>
        <v>1</v>
      </c>
      <c r="R7406" s="21">
        <v>1</v>
      </c>
      <c r="S7406" s="21">
        <v>0</v>
      </c>
      <c r="T7406" s="21">
        <v>0</v>
      </c>
      <c r="U7406" s="21">
        <v>0</v>
      </c>
      <c r="V7406" s="21">
        <v>0</v>
      </c>
      <c r="W7406" s="21">
        <v>1</v>
      </c>
      <c r="X7406" s="21">
        <v>0</v>
      </c>
      <c r="Y7406" s="21">
        <v>0</v>
      </c>
      <c r="Z7406" s="21">
        <v>0</v>
      </c>
      <c r="AA7406" s="21">
        <v>0</v>
      </c>
      <c r="AB7406" s="21">
        <v>0</v>
      </c>
      <c r="AC7406" s="21">
        <v>0</v>
      </c>
      <c r="AD7406" s="21">
        <v>0</v>
      </c>
      <c r="AE7406" s="21">
        <v>0</v>
      </c>
      <c r="AF7406" s="21">
        <v>0</v>
      </c>
      <c r="AG7406" s="21">
        <v>0</v>
      </c>
      <c r="AH7406" s="21">
        <f t="shared" si="138"/>
        <v>96</v>
      </c>
      <c r="AI7406" s="21"/>
      <c r="AJ7406" s="21"/>
      <c r="AK7406" s="21"/>
      <c r="AL7406" s="21" t="s">
        <v>2933</v>
      </c>
      <c r="AM7406" s="21" t="s">
        <v>2934</v>
      </c>
      <c r="AN7406" s="21">
        <v>-122.433358133333</v>
      </c>
      <c r="AO7406" s="21">
        <v>37.7908686166667</v>
      </c>
      <c r="AP7406" s="21" t="s">
        <v>1915</v>
      </c>
    </row>
    <row r="7407" spans="1:42">
      <c r="A7407" s="20">
        <v>43858</v>
      </c>
      <c r="B7407" s="21">
        <v>2</v>
      </c>
      <c r="C7407" s="21">
        <v>225</v>
      </c>
      <c r="D7407" s="21">
        <v>14444</v>
      </c>
      <c r="E7407" t="s">
        <v>112</v>
      </c>
      <c r="F7407" s="21" t="s">
        <v>104</v>
      </c>
      <c r="G7407" s="21">
        <v>2</v>
      </c>
      <c r="H7407" s="21">
        <v>82</v>
      </c>
      <c r="I7407" s="23" t="s">
        <v>2935</v>
      </c>
      <c r="J7407" s="21"/>
      <c r="K7407" s="21" t="s">
        <v>68</v>
      </c>
      <c r="L7407" s="21"/>
      <c r="M7407" s="21"/>
      <c r="N7407" s="21" t="s">
        <v>42</v>
      </c>
      <c r="O7407" s="21">
        <f>60+16</f>
        <v>76</v>
      </c>
      <c r="P7407" s="21"/>
      <c r="Q7407" s="21">
        <f t="shared" si="137"/>
        <v>2</v>
      </c>
      <c r="R7407" s="21">
        <v>1</v>
      </c>
      <c r="S7407" s="21">
        <v>0</v>
      </c>
      <c r="T7407" s="21">
        <v>0</v>
      </c>
      <c r="U7407" s="21">
        <v>1</v>
      </c>
      <c r="V7407" s="21">
        <v>0</v>
      </c>
      <c r="W7407" s="21">
        <v>1</v>
      </c>
      <c r="X7407" s="21">
        <v>0</v>
      </c>
      <c r="Y7407" s="21">
        <v>0</v>
      </c>
      <c r="Z7407" s="21">
        <v>0</v>
      </c>
      <c r="AA7407" s="21">
        <v>0</v>
      </c>
      <c r="AB7407" s="21">
        <v>0</v>
      </c>
      <c r="AC7407" s="21">
        <v>0</v>
      </c>
      <c r="AD7407" s="21">
        <v>0</v>
      </c>
      <c r="AE7407" s="21">
        <v>0</v>
      </c>
      <c r="AF7407" s="21">
        <v>0</v>
      </c>
      <c r="AG7407" s="21">
        <v>0</v>
      </c>
      <c r="AH7407" s="21">
        <f t="shared" si="138"/>
        <v>128</v>
      </c>
      <c r="AI7407" s="21"/>
      <c r="AJ7407" s="21"/>
      <c r="AK7407" s="21"/>
      <c r="AL7407" s="21"/>
      <c r="AM7407" s="21" t="s">
        <v>2936</v>
      </c>
      <c r="AN7407" s="21">
        <v>-122.43341011666701</v>
      </c>
      <c r="AO7407" s="21">
        <v>37.790876466666703</v>
      </c>
      <c r="AP7407" s="21" t="s">
        <v>1915</v>
      </c>
    </row>
    <row r="7408" spans="1:42">
      <c r="A7408" s="20">
        <v>43858</v>
      </c>
      <c r="B7408" s="21">
        <v>2</v>
      </c>
      <c r="C7408" s="21">
        <v>225</v>
      </c>
      <c r="D7408" s="21">
        <v>14444</v>
      </c>
      <c r="E7408" t="s">
        <v>112</v>
      </c>
      <c r="F7408" s="21" t="s">
        <v>104</v>
      </c>
      <c r="G7408" s="21">
        <v>2</v>
      </c>
      <c r="H7408" s="21">
        <v>83</v>
      </c>
      <c r="I7408" s="23" t="s">
        <v>2937</v>
      </c>
      <c r="J7408" s="21"/>
      <c r="K7408" s="21" t="s">
        <v>68</v>
      </c>
      <c r="L7408" s="21"/>
      <c r="M7408" s="21"/>
      <c r="N7408" s="21" t="s">
        <v>44</v>
      </c>
      <c r="O7408" s="21">
        <f>60+29</f>
        <v>89</v>
      </c>
      <c r="P7408" s="21"/>
      <c r="Q7408" s="21">
        <f t="shared" si="137"/>
        <v>1</v>
      </c>
      <c r="R7408" s="21">
        <v>1</v>
      </c>
      <c r="S7408" s="21">
        <v>0</v>
      </c>
      <c r="T7408" s="21">
        <v>0</v>
      </c>
      <c r="U7408" s="21">
        <v>0</v>
      </c>
      <c r="V7408" s="21">
        <v>0</v>
      </c>
      <c r="W7408" s="21">
        <v>1</v>
      </c>
      <c r="X7408" s="21">
        <v>0</v>
      </c>
      <c r="Y7408" s="21">
        <v>0</v>
      </c>
      <c r="Z7408" s="21">
        <v>0</v>
      </c>
      <c r="AA7408" s="21">
        <v>0</v>
      </c>
      <c r="AB7408" s="21">
        <v>0</v>
      </c>
      <c r="AC7408" s="21">
        <v>0</v>
      </c>
      <c r="AD7408" s="21">
        <v>0</v>
      </c>
      <c r="AE7408" s="21">
        <v>0</v>
      </c>
      <c r="AF7408" s="21">
        <v>0</v>
      </c>
      <c r="AG7408" s="21">
        <v>0</v>
      </c>
      <c r="AH7408" s="21">
        <f t="shared" si="138"/>
        <v>96</v>
      </c>
      <c r="AI7408" s="21"/>
      <c r="AJ7408" s="21" t="s">
        <v>54</v>
      </c>
      <c r="AK7408" s="21" t="s">
        <v>52</v>
      </c>
      <c r="AL7408" s="21"/>
      <c r="AM7408" s="21" t="s">
        <v>2938</v>
      </c>
      <c r="AN7408" s="21">
        <v>-122.43348985</v>
      </c>
      <c r="AO7408" s="21">
        <v>37.790878083333297</v>
      </c>
      <c r="AP7408" s="21" t="s">
        <v>1915</v>
      </c>
    </row>
    <row r="7409" spans="1:42">
      <c r="A7409" s="20">
        <v>43858</v>
      </c>
      <c r="B7409" s="21">
        <v>2</v>
      </c>
      <c r="C7409" s="21">
        <v>225</v>
      </c>
      <c r="D7409" s="21">
        <v>14444</v>
      </c>
      <c r="E7409" t="s">
        <v>112</v>
      </c>
      <c r="F7409" s="21" t="s">
        <v>104</v>
      </c>
      <c r="G7409" s="21">
        <v>2</v>
      </c>
      <c r="H7409" s="21">
        <v>84</v>
      </c>
      <c r="I7409" s="23">
        <v>2491</v>
      </c>
      <c r="J7409" s="21"/>
      <c r="K7409" s="21" t="s">
        <v>68</v>
      </c>
      <c r="L7409" s="21"/>
      <c r="M7409" s="21"/>
      <c r="N7409" s="21" t="s">
        <v>40</v>
      </c>
      <c r="O7409" s="21">
        <f>60+27</f>
        <v>87</v>
      </c>
      <c r="P7409" s="21"/>
      <c r="Q7409" s="21">
        <f t="shared" si="137"/>
        <v>1</v>
      </c>
      <c r="R7409" s="21">
        <v>1</v>
      </c>
      <c r="S7409" s="21">
        <v>0</v>
      </c>
      <c r="T7409" s="21">
        <v>0</v>
      </c>
      <c r="U7409" s="21">
        <v>1</v>
      </c>
      <c r="V7409" s="21">
        <v>0</v>
      </c>
      <c r="W7409" s="21">
        <v>0</v>
      </c>
      <c r="X7409" s="21">
        <v>0</v>
      </c>
      <c r="Y7409" s="21">
        <v>0</v>
      </c>
      <c r="Z7409" s="21">
        <v>0</v>
      </c>
      <c r="AA7409" s="21">
        <v>0</v>
      </c>
      <c r="AB7409" s="21">
        <v>0</v>
      </c>
      <c r="AC7409" s="21">
        <v>0</v>
      </c>
      <c r="AD7409" s="21">
        <v>0</v>
      </c>
      <c r="AE7409" s="21">
        <v>0</v>
      </c>
      <c r="AF7409" s="21">
        <v>0</v>
      </c>
      <c r="AG7409" s="21">
        <v>0</v>
      </c>
      <c r="AH7409" s="21">
        <f t="shared" si="138"/>
        <v>32</v>
      </c>
      <c r="AI7409" s="21"/>
      <c r="AJ7409" s="21" t="s">
        <v>51</v>
      </c>
      <c r="AK7409" s="21" t="s">
        <v>52</v>
      </c>
      <c r="AL7409" s="21" t="s">
        <v>2939</v>
      </c>
      <c r="AM7409" s="21" t="s">
        <v>2940</v>
      </c>
      <c r="AN7409" s="21">
        <v>-122.43404409999999</v>
      </c>
      <c r="AO7409" s="21">
        <v>37.791597816666702</v>
      </c>
      <c r="AP7409" s="21" t="s">
        <v>1915</v>
      </c>
    </row>
    <row r="7410" spans="1:42">
      <c r="A7410" s="20">
        <v>43858</v>
      </c>
      <c r="B7410" s="21">
        <v>2</v>
      </c>
      <c r="C7410" s="21">
        <v>225</v>
      </c>
      <c r="D7410" s="21">
        <v>14444</v>
      </c>
      <c r="E7410" t="s">
        <v>112</v>
      </c>
      <c r="F7410" s="21" t="s">
        <v>104</v>
      </c>
      <c r="G7410" s="21">
        <v>2</v>
      </c>
      <c r="H7410" s="21">
        <v>85</v>
      </c>
      <c r="I7410" s="23" t="s">
        <v>2941</v>
      </c>
      <c r="J7410" s="21"/>
      <c r="K7410" s="21" t="s">
        <v>1000</v>
      </c>
      <c r="L7410" s="21"/>
      <c r="M7410" s="21"/>
      <c r="N7410" s="21" t="s">
        <v>44</v>
      </c>
      <c r="O7410" s="21">
        <v>48</v>
      </c>
      <c r="P7410" s="21"/>
      <c r="Q7410" s="21">
        <f t="shared" si="137"/>
        <v>1</v>
      </c>
      <c r="R7410" s="21">
        <v>1</v>
      </c>
      <c r="S7410" s="21">
        <v>0</v>
      </c>
      <c r="T7410" s="21">
        <v>0</v>
      </c>
      <c r="U7410" s="21">
        <v>1</v>
      </c>
      <c r="V7410" s="21">
        <v>0</v>
      </c>
      <c r="W7410" s="21">
        <v>0</v>
      </c>
      <c r="X7410" s="21">
        <v>0</v>
      </c>
      <c r="Y7410" s="21">
        <v>0</v>
      </c>
      <c r="Z7410" s="21">
        <v>0</v>
      </c>
      <c r="AA7410" s="21">
        <v>0</v>
      </c>
      <c r="AB7410" s="21">
        <v>0</v>
      </c>
      <c r="AC7410" s="21">
        <v>0</v>
      </c>
      <c r="AD7410" s="21">
        <v>0</v>
      </c>
      <c r="AE7410" s="21">
        <v>0</v>
      </c>
      <c r="AF7410" s="21">
        <v>0</v>
      </c>
      <c r="AG7410" s="21">
        <v>0</v>
      </c>
      <c r="AH7410" s="21">
        <f t="shared" si="138"/>
        <v>32</v>
      </c>
      <c r="AI7410" s="21"/>
      <c r="AJ7410" s="21" t="s">
        <v>51</v>
      </c>
      <c r="AK7410" s="21" t="s">
        <v>52</v>
      </c>
      <c r="AL7410" s="21" t="s">
        <v>2942</v>
      </c>
      <c r="AM7410" s="21" t="s">
        <v>2943</v>
      </c>
      <c r="AN7410" s="21">
        <v>-122.433877616667</v>
      </c>
      <c r="AO7410" s="21">
        <v>37.791609100000002</v>
      </c>
      <c r="AP7410" s="21" t="s">
        <v>1915</v>
      </c>
    </row>
    <row r="7411" spans="1:42">
      <c r="A7411" s="20">
        <v>43858</v>
      </c>
      <c r="B7411" s="21">
        <v>2</v>
      </c>
      <c r="C7411" s="21">
        <v>225</v>
      </c>
      <c r="D7411" s="21">
        <v>14444</v>
      </c>
      <c r="E7411" t="s">
        <v>112</v>
      </c>
      <c r="F7411" s="21" t="s">
        <v>104</v>
      </c>
      <c r="G7411" s="21">
        <v>2</v>
      </c>
      <c r="H7411" s="21">
        <v>86</v>
      </c>
      <c r="I7411" s="23" t="s">
        <v>2944</v>
      </c>
      <c r="J7411" s="21"/>
      <c r="K7411" s="21" t="s">
        <v>1000</v>
      </c>
      <c r="L7411" s="21"/>
      <c r="M7411" s="21"/>
      <c r="N7411" s="21" t="s">
        <v>40</v>
      </c>
      <c r="O7411" s="21">
        <v>55</v>
      </c>
      <c r="P7411" s="21"/>
      <c r="Q7411" s="21">
        <f t="shared" si="137"/>
        <v>2</v>
      </c>
      <c r="R7411" s="21">
        <v>1</v>
      </c>
      <c r="S7411" s="21">
        <v>0</v>
      </c>
      <c r="T7411" s="21">
        <v>0</v>
      </c>
      <c r="U7411" s="21">
        <v>1</v>
      </c>
      <c r="V7411" s="21">
        <v>0</v>
      </c>
      <c r="W7411" s="21">
        <v>1</v>
      </c>
      <c r="X7411" s="21">
        <v>0</v>
      </c>
      <c r="Y7411" s="21">
        <v>0</v>
      </c>
      <c r="Z7411" s="21">
        <v>0</v>
      </c>
      <c r="AA7411" s="21">
        <v>0</v>
      </c>
      <c r="AB7411" s="21">
        <v>0</v>
      </c>
      <c r="AC7411" s="21">
        <v>0</v>
      </c>
      <c r="AD7411" s="21">
        <v>0</v>
      </c>
      <c r="AE7411" s="21">
        <v>0</v>
      </c>
      <c r="AF7411" s="21">
        <v>0</v>
      </c>
      <c r="AG7411" s="21">
        <v>0</v>
      </c>
      <c r="AH7411" s="21">
        <f t="shared" si="138"/>
        <v>128</v>
      </c>
      <c r="AI7411" s="21"/>
      <c r="AJ7411" s="21"/>
      <c r="AK7411" s="21"/>
      <c r="AL7411" s="21"/>
      <c r="AM7411" s="21" t="s">
        <v>2945</v>
      </c>
      <c r="AN7411" s="21">
        <v>-122.4337912</v>
      </c>
      <c r="AO7411" s="21">
        <v>37.791679166666697</v>
      </c>
      <c r="AP7411" s="21" t="s">
        <v>1915</v>
      </c>
    </row>
    <row r="7412" spans="1:42">
      <c r="A7412" s="20">
        <v>43858</v>
      </c>
      <c r="B7412" s="21">
        <v>2</v>
      </c>
      <c r="C7412" s="21">
        <v>225</v>
      </c>
      <c r="D7412" s="21">
        <v>14444</v>
      </c>
      <c r="E7412" t="s">
        <v>112</v>
      </c>
      <c r="F7412" s="21" t="s">
        <v>104</v>
      </c>
      <c r="G7412" s="21">
        <v>2</v>
      </c>
      <c r="H7412" s="21">
        <v>87</v>
      </c>
      <c r="I7412" s="23" t="s">
        <v>2946</v>
      </c>
      <c r="J7412" s="21"/>
      <c r="K7412" s="21" t="s">
        <v>1000</v>
      </c>
      <c r="L7412" s="21"/>
      <c r="M7412" s="21"/>
      <c r="N7412" s="21" t="s">
        <v>40</v>
      </c>
      <c r="O7412" s="21">
        <v>48</v>
      </c>
      <c r="P7412" s="21"/>
      <c r="Q7412" s="21">
        <f t="shared" si="137"/>
        <v>2</v>
      </c>
      <c r="R7412" s="21">
        <v>1</v>
      </c>
      <c r="S7412" s="21">
        <v>1</v>
      </c>
      <c r="T7412" s="21">
        <v>0</v>
      </c>
      <c r="U7412" s="21">
        <v>1</v>
      </c>
      <c r="V7412" s="21">
        <v>0</v>
      </c>
      <c r="W7412" s="21">
        <v>0</v>
      </c>
      <c r="X7412" s="21">
        <v>0</v>
      </c>
      <c r="Y7412" s="21">
        <v>0</v>
      </c>
      <c r="Z7412" s="21">
        <v>0</v>
      </c>
      <c r="AA7412" s="21">
        <v>0</v>
      </c>
      <c r="AB7412" s="21">
        <v>0</v>
      </c>
      <c r="AC7412" s="21">
        <v>0</v>
      </c>
      <c r="AD7412" s="21">
        <v>0</v>
      </c>
      <c r="AE7412" s="21">
        <v>0</v>
      </c>
      <c r="AF7412" s="21">
        <v>0</v>
      </c>
      <c r="AG7412" s="21">
        <v>0</v>
      </c>
      <c r="AH7412" s="21">
        <f t="shared" si="138"/>
        <v>48</v>
      </c>
      <c r="AI7412" s="21"/>
      <c r="AJ7412" s="21" t="s">
        <v>51</v>
      </c>
      <c r="AK7412" s="21" t="s">
        <v>52</v>
      </c>
      <c r="AL7412" s="21"/>
      <c r="AM7412" s="21" t="s">
        <v>2947</v>
      </c>
      <c r="AN7412" s="21">
        <v>-122.433632166667</v>
      </c>
      <c r="AO7412" s="21">
        <v>37.7916992166667</v>
      </c>
      <c r="AP7412" s="21" t="s">
        <v>1915</v>
      </c>
    </row>
    <row r="7413" spans="1:42">
      <c r="A7413" s="20">
        <v>43858</v>
      </c>
      <c r="B7413" s="21">
        <v>2</v>
      </c>
      <c r="C7413" s="21">
        <v>225</v>
      </c>
      <c r="D7413" s="21">
        <v>14444</v>
      </c>
      <c r="E7413" t="s">
        <v>112</v>
      </c>
      <c r="F7413" s="21" t="s">
        <v>104</v>
      </c>
      <c r="G7413" s="21">
        <v>2</v>
      </c>
      <c r="H7413" s="21">
        <v>88</v>
      </c>
      <c r="I7413" s="23" t="s">
        <v>2948</v>
      </c>
      <c r="J7413" s="21"/>
      <c r="K7413" s="21" t="s">
        <v>1000</v>
      </c>
      <c r="L7413" s="21"/>
      <c r="M7413" s="21"/>
      <c r="N7413" s="21" t="s">
        <v>44</v>
      </c>
      <c r="O7413" s="21">
        <f>60+22</f>
        <v>82</v>
      </c>
      <c r="P7413" s="21"/>
      <c r="Q7413" s="21">
        <f t="shared" si="137"/>
        <v>1</v>
      </c>
      <c r="R7413" s="21">
        <v>1</v>
      </c>
      <c r="S7413" s="21">
        <v>0</v>
      </c>
      <c r="T7413" s="21">
        <v>0</v>
      </c>
      <c r="U7413" s="21">
        <v>0</v>
      </c>
      <c r="V7413" s="21">
        <v>0</v>
      </c>
      <c r="W7413" s="21">
        <v>1</v>
      </c>
      <c r="X7413" s="21">
        <v>0</v>
      </c>
      <c r="Y7413" s="21">
        <v>0</v>
      </c>
      <c r="Z7413" s="21">
        <v>0</v>
      </c>
      <c r="AA7413" s="21">
        <v>0</v>
      </c>
      <c r="AB7413" s="21">
        <v>0</v>
      </c>
      <c r="AC7413" s="21">
        <v>0</v>
      </c>
      <c r="AD7413" s="21">
        <v>0</v>
      </c>
      <c r="AE7413" s="21">
        <v>0</v>
      </c>
      <c r="AF7413" s="21">
        <v>0</v>
      </c>
      <c r="AG7413" s="21">
        <v>0</v>
      </c>
      <c r="AH7413" s="21">
        <f t="shared" si="138"/>
        <v>96</v>
      </c>
      <c r="AI7413" s="21"/>
      <c r="AJ7413" s="21"/>
      <c r="AK7413" s="21"/>
      <c r="AL7413" s="21"/>
      <c r="AM7413" s="21" t="s">
        <v>2949</v>
      </c>
      <c r="AN7413" s="21">
        <v>-122.433544566667</v>
      </c>
      <c r="AO7413" s="21">
        <v>37.791671333333298</v>
      </c>
      <c r="AP7413" s="21" t="s">
        <v>1915</v>
      </c>
    </row>
    <row r="7414" spans="1:42">
      <c r="A7414" s="20">
        <v>43858</v>
      </c>
      <c r="B7414" s="21">
        <v>2</v>
      </c>
      <c r="C7414" s="21">
        <v>225</v>
      </c>
      <c r="D7414" s="21">
        <v>14444</v>
      </c>
      <c r="E7414" t="s">
        <v>112</v>
      </c>
      <c r="F7414" s="21" t="s">
        <v>104</v>
      </c>
      <c r="G7414" s="21">
        <v>2</v>
      </c>
      <c r="H7414" s="21">
        <v>89</v>
      </c>
      <c r="I7414" s="23" t="s">
        <v>2950</v>
      </c>
      <c r="J7414" s="21"/>
      <c r="K7414" s="21" t="s">
        <v>1000</v>
      </c>
      <c r="L7414" s="21"/>
      <c r="M7414" s="21"/>
      <c r="N7414" s="21" t="s">
        <v>40</v>
      </c>
      <c r="O7414" s="21">
        <v>50</v>
      </c>
      <c r="P7414" s="21"/>
      <c r="Q7414" s="21">
        <f t="shared" si="137"/>
        <v>2</v>
      </c>
      <c r="R7414" s="21">
        <v>1</v>
      </c>
      <c r="S7414" s="21">
        <v>0</v>
      </c>
      <c r="T7414" s="21">
        <v>0</v>
      </c>
      <c r="U7414" s="21">
        <v>0</v>
      </c>
      <c r="V7414" s="21">
        <v>2</v>
      </c>
      <c r="W7414" s="21">
        <v>0</v>
      </c>
      <c r="X7414" s="21">
        <v>0</v>
      </c>
      <c r="Y7414" s="21">
        <v>0</v>
      </c>
      <c r="Z7414" s="21">
        <v>0</v>
      </c>
      <c r="AA7414" s="21">
        <v>0</v>
      </c>
      <c r="AB7414" s="21">
        <v>0</v>
      </c>
      <c r="AC7414" s="21">
        <v>0</v>
      </c>
      <c r="AD7414" s="21">
        <v>0</v>
      </c>
      <c r="AE7414" s="21">
        <v>0</v>
      </c>
      <c r="AF7414" s="21">
        <v>0</v>
      </c>
      <c r="AG7414" s="21">
        <v>0</v>
      </c>
      <c r="AH7414" s="21">
        <f t="shared" si="138"/>
        <v>128</v>
      </c>
      <c r="AI7414" s="21"/>
      <c r="AJ7414" s="21"/>
      <c r="AK7414" s="21"/>
      <c r="AL7414" s="21"/>
      <c r="AM7414" s="21" t="s">
        <v>2951</v>
      </c>
      <c r="AN7414" s="21">
        <v>-122.43342011666699</v>
      </c>
      <c r="AO7414" s="21">
        <v>37.7916858166667</v>
      </c>
      <c r="AP7414" s="21" t="s">
        <v>1915</v>
      </c>
    </row>
    <row r="7415" spans="1:42">
      <c r="A7415" s="20">
        <v>43858</v>
      </c>
      <c r="B7415" s="21">
        <v>2</v>
      </c>
      <c r="C7415" s="21">
        <v>225</v>
      </c>
      <c r="D7415" s="21">
        <v>14444</v>
      </c>
      <c r="E7415" t="s">
        <v>112</v>
      </c>
      <c r="F7415" s="21" t="s">
        <v>104</v>
      </c>
      <c r="G7415" s="21">
        <v>2</v>
      </c>
      <c r="H7415" s="21">
        <v>90</v>
      </c>
      <c r="I7415" s="23" t="s">
        <v>2952</v>
      </c>
      <c r="J7415" s="21"/>
      <c r="K7415" s="21" t="s">
        <v>1000</v>
      </c>
      <c r="L7415" s="21"/>
      <c r="M7415" s="21"/>
      <c r="N7415" s="21" t="s">
        <v>40</v>
      </c>
      <c r="O7415" s="21">
        <f>60+9</f>
        <v>69</v>
      </c>
      <c r="P7415" s="21"/>
      <c r="Q7415" s="21">
        <f t="shared" si="137"/>
        <v>3</v>
      </c>
      <c r="R7415" s="21">
        <v>1</v>
      </c>
      <c r="S7415" s="21">
        <v>1</v>
      </c>
      <c r="T7415" s="21">
        <v>0</v>
      </c>
      <c r="U7415" s="21">
        <v>1</v>
      </c>
      <c r="V7415" s="21">
        <v>1</v>
      </c>
      <c r="W7415" s="21">
        <v>0</v>
      </c>
      <c r="X7415" s="21">
        <v>0</v>
      </c>
      <c r="Y7415" s="21">
        <v>0</v>
      </c>
      <c r="Z7415" s="21">
        <v>0</v>
      </c>
      <c r="AA7415" s="21">
        <v>0</v>
      </c>
      <c r="AB7415" s="21">
        <v>0</v>
      </c>
      <c r="AC7415" s="21">
        <v>0</v>
      </c>
      <c r="AD7415" s="21">
        <v>0</v>
      </c>
      <c r="AE7415" s="21">
        <v>0</v>
      </c>
      <c r="AF7415" s="21">
        <v>0</v>
      </c>
      <c r="AG7415" s="21">
        <v>0</v>
      </c>
      <c r="AH7415" s="21">
        <f t="shared" si="138"/>
        <v>112</v>
      </c>
      <c r="AI7415" s="21"/>
      <c r="AJ7415" s="21"/>
      <c r="AK7415" s="21"/>
      <c r="AL7415" s="21"/>
      <c r="AM7415" s="21" t="s">
        <v>2953</v>
      </c>
      <c r="AN7415" s="21">
        <v>-122.43328838333299</v>
      </c>
      <c r="AO7415" s="21">
        <v>37.791714516666701</v>
      </c>
      <c r="AP7415" s="21" t="s">
        <v>1915</v>
      </c>
    </row>
    <row r="7416" spans="1:42">
      <c r="A7416" s="20">
        <v>43858</v>
      </c>
      <c r="B7416" s="21">
        <v>2</v>
      </c>
      <c r="C7416" s="21">
        <v>225</v>
      </c>
      <c r="D7416" s="21">
        <v>14444</v>
      </c>
      <c r="E7416" t="s">
        <v>112</v>
      </c>
      <c r="F7416" s="21" t="s">
        <v>104</v>
      </c>
      <c r="G7416" s="21">
        <v>2</v>
      </c>
      <c r="H7416" s="21">
        <v>91</v>
      </c>
      <c r="I7416" s="23" t="s">
        <v>2954</v>
      </c>
      <c r="J7416" s="21"/>
      <c r="K7416" s="21" t="s">
        <v>1000</v>
      </c>
      <c r="L7416" s="21"/>
      <c r="M7416" s="21"/>
      <c r="N7416" s="21" t="s">
        <v>40</v>
      </c>
      <c r="O7416" s="21">
        <f>60+11</f>
        <v>71</v>
      </c>
      <c r="P7416" s="21"/>
      <c r="Q7416" s="21">
        <f t="shared" si="137"/>
        <v>4</v>
      </c>
      <c r="R7416" s="21">
        <v>1</v>
      </c>
      <c r="S7416" s="21">
        <v>0</v>
      </c>
      <c r="T7416" s="21">
        <v>1</v>
      </c>
      <c r="U7416" s="21">
        <v>2</v>
      </c>
      <c r="V7416" s="21">
        <v>1</v>
      </c>
      <c r="W7416" s="21">
        <v>0</v>
      </c>
      <c r="X7416" s="21">
        <v>0</v>
      </c>
      <c r="Y7416" s="21">
        <v>0</v>
      </c>
      <c r="Z7416" s="21">
        <v>0</v>
      </c>
      <c r="AA7416" s="21">
        <v>0</v>
      </c>
      <c r="AB7416" s="21">
        <v>0</v>
      </c>
      <c r="AC7416" s="21">
        <v>0</v>
      </c>
      <c r="AD7416" s="21">
        <v>0</v>
      </c>
      <c r="AE7416" s="21">
        <v>0</v>
      </c>
      <c r="AF7416" s="21">
        <v>0</v>
      </c>
      <c r="AG7416" s="21">
        <v>0</v>
      </c>
      <c r="AH7416" s="21">
        <f t="shared" si="138"/>
        <v>148</v>
      </c>
      <c r="AI7416" s="21"/>
      <c r="AJ7416" s="21" t="s">
        <v>51</v>
      </c>
      <c r="AK7416" s="21" t="s">
        <v>52</v>
      </c>
      <c r="AL7416" s="21"/>
      <c r="AM7416" s="21" t="s">
        <v>2955</v>
      </c>
      <c r="AN7416" s="21">
        <v>-122.433113933333</v>
      </c>
      <c r="AO7416" s="21">
        <v>37.791718066666697</v>
      </c>
      <c r="AP7416" s="21" t="s">
        <v>1915</v>
      </c>
    </row>
    <row r="7417" spans="1:42">
      <c r="A7417" s="20">
        <v>43858</v>
      </c>
      <c r="B7417" s="21">
        <v>2</v>
      </c>
      <c r="C7417" s="21">
        <v>225</v>
      </c>
      <c r="D7417" s="21">
        <v>14444</v>
      </c>
      <c r="E7417" t="s">
        <v>112</v>
      </c>
      <c r="F7417" s="21" t="s">
        <v>104</v>
      </c>
      <c r="G7417" s="21">
        <v>2</v>
      </c>
      <c r="H7417" s="21">
        <v>92</v>
      </c>
      <c r="I7417" s="23" t="s">
        <v>2956</v>
      </c>
      <c r="J7417" s="21"/>
      <c r="K7417" s="21" t="s">
        <v>516</v>
      </c>
      <c r="L7417" s="21"/>
      <c r="M7417" s="21"/>
      <c r="N7417" s="21" t="s">
        <v>40</v>
      </c>
      <c r="O7417" s="21">
        <v>39</v>
      </c>
      <c r="P7417" s="21"/>
      <c r="Q7417" s="21">
        <f t="shared" si="137"/>
        <v>2</v>
      </c>
      <c r="R7417" s="21">
        <v>1</v>
      </c>
      <c r="S7417" s="21">
        <v>0</v>
      </c>
      <c r="T7417" s="21">
        <v>0</v>
      </c>
      <c r="U7417" s="21">
        <v>1</v>
      </c>
      <c r="V7417" s="21">
        <v>0</v>
      </c>
      <c r="W7417" s="21">
        <v>1</v>
      </c>
      <c r="X7417" s="21">
        <v>0</v>
      </c>
      <c r="Y7417" s="21">
        <v>0</v>
      </c>
      <c r="Z7417" s="21">
        <v>0</v>
      </c>
      <c r="AA7417" s="21">
        <v>0</v>
      </c>
      <c r="AB7417" s="21">
        <v>0</v>
      </c>
      <c r="AC7417" s="21">
        <v>0</v>
      </c>
      <c r="AD7417" s="21">
        <v>0</v>
      </c>
      <c r="AE7417" s="21">
        <v>0</v>
      </c>
      <c r="AF7417" s="21">
        <v>0</v>
      </c>
      <c r="AG7417" s="21">
        <v>0</v>
      </c>
      <c r="AH7417" s="21">
        <f t="shared" si="138"/>
        <v>128</v>
      </c>
      <c r="AI7417" s="21"/>
      <c r="AJ7417" s="21"/>
      <c r="AK7417" s="21"/>
      <c r="AL7417" s="21" t="s">
        <v>2193</v>
      </c>
      <c r="AM7417" s="21" t="s">
        <v>2957</v>
      </c>
      <c r="AN7417" s="21">
        <v>-122.433175816667</v>
      </c>
      <c r="AO7417" s="21">
        <v>37.791780850000002</v>
      </c>
      <c r="AP7417" s="21" t="s">
        <v>1915</v>
      </c>
    </row>
    <row r="7418" spans="1:42">
      <c r="A7418" s="20">
        <v>43858</v>
      </c>
      <c r="B7418" s="21">
        <v>2</v>
      </c>
      <c r="C7418" s="21">
        <v>225</v>
      </c>
      <c r="D7418" s="21">
        <v>14444</v>
      </c>
      <c r="E7418" t="s">
        <v>112</v>
      </c>
      <c r="F7418" s="21" t="s">
        <v>104</v>
      </c>
      <c r="G7418" s="21">
        <v>2</v>
      </c>
      <c r="H7418" s="21">
        <v>93</v>
      </c>
      <c r="I7418" s="23" t="s">
        <v>2958</v>
      </c>
      <c r="J7418" s="21"/>
      <c r="K7418" s="21" t="s">
        <v>516</v>
      </c>
      <c r="L7418" s="21"/>
      <c r="M7418" s="21"/>
      <c r="N7418" s="21" t="s">
        <v>40</v>
      </c>
      <c r="O7418" s="21">
        <v>50</v>
      </c>
      <c r="P7418" s="21"/>
      <c r="Q7418" s="21">
        <f t="shared" si="137"/>
        <v>2</v>
      </c>
      <c r="R7418" s="21">
        <v>1</v>
      </c>
      <c r="S7418" s="21">
        <v>0</v>
      </c>
      <c r="T7418" s="21">
        <v>0</v>
      </c>
      <c r="U7418" s="21">
        <v>0</v>
      </c>
      <c r="V7418" s="21">
        <v>2</v>
      </c>
      <c r="W7418" s="21">
        <v>0</v>
      </c>
      <c r="X7418" s="21">
        <v>0</v>
      </c>
      <c r="Y7418" s="21">
        <v>0</v>
      </c>
      <c r="Z7418" s="21">
        <v>0</v>
      </c>
      <c r="AA7418" s="21">
        <v>0</v>
      </c>
      <c r="AB7418" s="21">
        <v>0</v>
      </c>
      <c r="AC7418" s="21">
        <v>0</v>
      </c>
      <c r="AD7418" s="21">
        <v>0</v>
      </c>
      <c r="AE7418" s="21">
        <v>0</v>
      </c>
      <c r="AF7418" s="21">
        <v>0</v>
      </c>
      <c r="AG7418" s="21">
        <v>0</v>
      </c>
      <c r="AH7418" s="21">
        <f t="shared" si="138"/>
        <v>128</v>
      </c>
      <c r="AI7418" s="21"/>
      <c r="AJ7418" s="21" t="s">
        <v>51</v>
      </c>
      <c r="AK7418" s="21" t="s">
        <v>52</v>
      </c>
      <c r="AL7418" s="21"/>
      <c r="AM7418" s="21" t="s">
        <v>2959</v>
      </c>
      <c r="AN7418" s="21">
        <v>-122.433105833333</v>
      </c>
      <c r="AO7418" s="21">
        <v>37.7918208166667</v>
      </c>
      <c r="AP7418" s="21" t="s">
        <v>1915</v>
      </c>
    </row>
    <row r="7419" spans="1:42">
      <c r="A7419" s="20">
        <v>43858</v>
      </c>
      <c r="B7419" s="21">
        <v>2</v>
      </c>
      <c r="C7419" s="21">
        <v>225</v>
      </c>
      <c r="D7419" s="21">
        <v>14444</v>
      </c>
      <c r="E7419" t="s">
        <v>112</v>
      </c>
      <c r="F7419" s="21" t="s">
        <v>104</v>
      </c>
      <c r="G7419" s="21">
        <v>2</v>
      </c>
      <c r="H7419" s="21">
        <v>94</v>
      </c>
      <c r="I7419" s="23" t="s">
        <v>2960</v>
      </c>
      <c r="J7419" s="21"/>
      <c r="K7419" s="21" t="s">
        <v>1000</v>
      </c>
      <c r="L7419" s="21"/>
      <c r="M7419" s="21"/>
      <c r="N7419" s="21" t="s">
        <v>40</v>
      </c>
      <c r="O7419" s="21">
        <v>26</v>
      </c>
      <c r="P7419" s="21"/>
      <c r="Q7419" s="21">
        <f t="shared" si="137"/>
        <v>2</v>
      </c>
      <c r="R7419" s="21">
        <v>1</v>
      </c>
      <c r="S7419" s="21">
        <v>1</v>
      </c>
      <c r="T7419" s="21">
        <v>0</v>
      </c>
      <c r="U7419" s="21">
        <v>1</v>
      </c>
      <c r="V7419" s="21">
        <v>0</v>
      </c>
      <c r="W7419" s="21">
        <v>0</v>
      </c>
      <c r="X7419" s="21">
        <v>0</v>
      </c>
      <c r="Y7419" s="21">
        <v>0</v>
      </c>
      <c r="Z7419" s="21">
        <v>0</v>
      </c>
      <c r="AA7419" s="21">
        <v>0</v>
      </c>
      <c r="AB7419" s="21">
        <v>0</v>
      </c>
      <c r="AC7419" s="21">
        <v>0</v>
      </c>
      <c r="AD7419" s="21">
        <v>0</v>
      </c>
      <c r="AE7419" s="21">
        <v>0</v>
      </c>
      <c r="AF7419" s="21">
        <v>0</v>
      </c>
      <c r="AG7419" s="21">
        <v>0</v>
      </c>
      <c r="AH7419" s="21">
        <f t="shared" si="138"/>
        <v>48</v>
      </c>
      <c r="AI7419" s="21"/>
      <c r="AJ7419" s="21" t="s">
        <v>51</v>
      </c>
      <c r="AK7419" s="21" t="s">
        <v>52</v>
      </c>
      <c r="AL7419" s="21"/>
      <c r="AM7419" s="21" t="s">
        <v>2961</v>
      </c>
      <c r="AN7419" s="21">
        <v>-122.433323866667</v>
      </c>
      <c r="AO7419" s="21">
        <v>37.791809350000001</v>
      </c>
      <c r="AP7419" s="21" t="s">
        <v>1915</v>
      </c>
    </row>
    <row r="7420" spans="1:42">
      <c r="A7420" s="20">
        <v>43858</v>
      </c>
      <c r="B7420" s="21">
        <v>2</v>
      </c>
      <c r="C7420" s="21">
        <v>225</v>
      </c>
      <c r="D7420" s="21">
        <v>14444</v>
      </c>
      <c r="E7420" t="s">
        <v>112</v>
      </c>
      <c r="F7420" s="21" t="s">
        <v>104</v>
      </c>
      <c r="G7420" s="21">
        <v>2</v>
      </c>
      <c r="H7420" s="21">
        <v>95</v>
      </c>
      <c r="I7420" s="23" t="s">
        <v>2962</v>
      </c>
      <c r="J7420" s="21"/>
      <c r="K7420" s="21" t="s">
        <v>516</v>
      </c>
      <c r="L7420" s="21"/>
      <c r="M7420" s="21"/>
      <c r="N7420" s="21" t="s">
        <v>40</v>
      </c>
      <c r="O7420" s="21">
        <v>42</v>
      </c>
      <c r="P7420" s="21"/>
      <c r="Q7420" s="21">
        <f t="shared" si="137"/>
        <v>2</v>
      </c>
      <c r="R7420" s="21">
        <v>1</v>
      </c>
      <c r="S7420" s="21">
        <v>1</v>
      </c>
      <c r="T7420" s="21">
        <v>0</v>
      </c>
      <c r="U7420" s="21">
        <v>1</v>
      </c>
      <c r="V7420" s="21">
        <v>0</v>
      </c>
      <c r="W7420" s="21">
        <v>0</v>
      </c>
      <c r="X7420" s="21">
        <v>0</v>
      </c>
      <c r="Y7420" s="21">
        <v>0</v>
      </c>
      <c r="Z7420" s="21">
        <v>0</v>
      </c>
      <c r="AA7420" s="21">
        <v>0</v>
      </c>
      <c r="AB7420" s="21">
        <v>0</v>
      </c>
      <c r="AC7420" s="21">
        <v>0</v>
      </c>
      <c r="AD7420" s="21">
        <v>0</v>
      </c>
      <c r="AE7420" s="21">
        <v>0</v>
      </c>
      <c r="AF7420" s="21">
        <v>0</v>
      </c>
      <c r="AG7420" s="21">
        <v>0</v>
      </c>
      <c r="AH7420" s="21">
        <f t="shared" si="138"/>
        <v>48</v>
      </c>
      <c r="AI7420" s="21"/>
      <c r="AJ7420" s="21" t="s">
        <v>51</v>
      </c>
      <c r="AK7420" s="21" t="s">
        <v>52</v>
      </c>
      <c r="AL7420" s="21"/>
      <c r="AM7420" s="21" t="s">
        <v>2963</v>
      </c>
      <c r="AN7420" s="21">
        <v>-122.433293233333</v>
      </c>
      <c r="AO7420" s="21">
        <v>37.791800583333298</v>
      </c>
      <c r="AP7420" s="21" t="s">
        <v>1915</v>
      </c>
    </row>
    <row r="7421" spans="1:42">
      <c r="A7421" s="20">
        <v>43858</v>
      </c>
      <c r="B7421" s="21">
        <v>2</v>
      </c>
      <c r="C7421" s="21">
        <v>225</v>
      </c>
      <c r="D7421" s="21">
        <v>14444</v>
      </c>
      <c r="E7421" t="s">
        <v>112</v>
      </c>
      <c r="F7421" s="21" t="s">
        <v>104</v>
      </c>
      <c r="G7421" s="21">
        <v>2</v>
      </c>
      <c r="H7421" s="21">
        <v>96</v>
      </c>
      <c r="I7421" s="23" t="s">
        <v>2964</v>
      </c>
      <c r="J7421" s="21"/>
      <c r="K7421" s="21" t="s">
        <v>516</v>
      </c>
      <c r="L7421" s="21"/>
      <c r="M7421" s="21"/>
      <c r="N7421" s="21" t="s">
        <v>42</v>
      </c>
      <c r="O7421" s="21">
        <f>60+32</f>
        <v>92</v>
      </c>
      <c r="P7421" s="21"/>
      <c r="Q7421" s="21">
        <f t="shared" si="137"/>
        <v>3</v>
      </c>
      <c r="R7421" s="21">
        <v>1</v>
      </c>
      <c r="S7421" s="21">
        <v>0</v>
      </c>
      <c r="T7421" s="21">
        <v>0</v>
      </c>
      <c r="U7421" s="21">
        <v>2</v>
      </c>
      <c r="V7421" s="21">
        <v>0</v>
      </c>
      <c r="W7421" s="21">
        <v>1</v>
      </c>
      <c r="X7421" s="21">
        <v>0</v>
      </c>
      <c r="Y7421" s="21">
        <v>0</v>
      </c>
      <c r="Z7421" s="21">
        <v>0</v>
      </c>
      <c r="AA7421" s="21">
        <v>0</v>
      </c>
      <c r="AB7421" s="21">
        <v>0</v>
      </c>
      <c r="AC7421" s="21">
        <v>0</v>
      </c>
      <c r="AD7421" s="21">
        <v>0</v>
      </c>
      <c r="AE7421" s="21">
        <v>0</v>
      </c>
      <c r="AF7421" s="21">
        <v>0</v>
      </c>
      <c r="AG7421" s="21">
        <v>0</v>
      </c>
      <c r="AH7421" s="21">
        <f t="shared" si="138"/>
        <v>160</v>
      </c>
      <c r="AI7421" s="21"/>
      <c r="AJ7421" s="21"/>
      <c r="AK7421" s="21"/>
      <c r="AL7421" s="21" t="s">
        <v>2965</v>
      </c>
      <c r="AM7421" s="21" t="s">
        <v>2966</v>
      </c>
      <c r="AN7421" s="21">
        <v>-122.43355200000001</v>
      </c>
      <c r="AO7421" s="21">
        <v>37.7918004333333</v>
      </c>
      <c r="AP7421" s="21" t="s">
        <v>1915</v>
      </c>
    </row>
    <row r="7422" spans="1:42">
      <c r="A7422" s="20">
        <v>43858</v>
      </c>
      <c r="B7422" s="21">
        <v>2</v>
      </c>
      <c r="C7422" s="21">
        <v>225</v>
      </c>
      <c r="D7422" s="21">
        <v>14444</v>
      </c>
      <c r="E7422" t="s">
        <v>112</v>
      </c>
      <c r="F7422" s="21" t="s">
        <v>104</v>
      </c>
      <c r="G7422" s="21">
        <v>2</v>
      </c>
      <c r="H7422" s="21">
        <v>97</v>
      </c>
      <c r="I7422" s="23" t="s">
        <v>2967</v>
      </c>
      <c r="J7422" s="21"/>
      <c r="K7422" s="21" t="s">
        <v>1000</v>
      </c>
      <c r="L7422" s="21"/>
      <c r="M7422" s="21"/>
      <c r="N7422" s="21" t="s">
        <v>40</v>
      </c>
      <c r="O7422" s="21">
        <f>60+48</f>
        <v>108</v>
      </c>
      <c r="P7422" s="21"/>
      <c r="Q7422" s="21">
        <f t="shared" si="137"/>
        <v>4</v>
      </c>
      <c r="R7422" s="21">
        <v>1</v>
      </c>
      <c r="S7422" s="21">
        <v>0</v>
      </c>
      <c r="T7422" s="21">
        <v>0</v>
      </c>
      <c r="U7422" s="21">
        <v>3</v>
      </c>
      <c r="V7422" s="21">
        <v>1</v>
      </c>
      <c r="W7422" s="21">
        <v>0</v>
      </c>
      <c r="X7422" s="21">
        <v>0</v>
      </c>
      <c r="Y7422" s="21">
        <v>0</v>
      </c>
      <c r="Z7422" s="21">
        <v>0</v>
      </c>
      <c r="AA7422" s="21">
        <v>0</v>
      </c>
      <c r="AB7422" s="21">
        <v>0</v>
      </c>
      <c r="AC7422" s="21">
        <v>0</v>
      </c>
      <c r="AD7422" s="21">
        <v>0</v>
      </c>
      <c r="AE7422" s="21">
        <v>0</v>
      </c>
      <c r="AF7422" s="21">
        <v>0</v>
      </c>
      <c r="AG7422" s="21">
        <v>0</v>
      </c>
      <c r="AH7422" s="21">
        <f t="shared" si="138"/>
        <v>160</v>
      </c>
      <c r="AI7422" s="21"/>
      <c r="AJ7422" s="21" t="s">
        <v>51</v>
      </c>
      <c r="AK7422" s="21" t="s">
        <v>52</v>
      </c>
      <c r="AL7422" s="21"/>
      <c r="AM7422" s="21" t="s">
        <v>2968</v>
      </c>
      <c r="AN7422" s="21">
        <v>-122.4337185</v>
      </c>
      <c r="AO7422" s="21">
        <v>37.791743183333303</v>
      </c>
      <c r="AP7422" s="21" t="s">
        <v>1915</v>
      </c>
    </row>
    <row r="7423" spans="1:42">
      <c r="A7423" s="20">
        <v>43858</v>
      </c>
      <c r="B7423" s="21">
        <v>2</v>
      </c>
      <c r="C7423" s="21">
        <v>225</v>
      </c>
      <c r="D7423" s="21">
        <v>14444</v>
      </c>
      <c r="E7423" t="s">
        <v>112</v>
      </c>
      <c r="F7423" s="21" t="s">
        <v>104</v>
      </c>
      <c r="G7423" s="21">
        <v>2</v>
      </c>
      <c r="H7423" s="21">
        <v>98</v>
      </c>
      <c r="I7423" s="23" t="s">
        <v>2969</v>
      </c>
      <c r="J7423" s="21"/>
      <c r="K7423" s="21" t="s">
        <v>69</v>
      </c>
      <c r="L7423" s="21"/>
      <c r="M7423" s="21"/>
      <c r="N7423" s="21" t="s">
        <v>40</v>
      </c>
      <c r="O7423" s="21">
        <v>47</v>
      </c>
      <c r="P7423" s="21"/>
      <c r="Q7423" s="21">
        <f t="shared" si="137"/>
        <v>2</v>
      </c>
      <c r="R7423" s="21">
        <v>1</v>
      </c>
      <c r="S7423" s="21">
        <v>0</v>
      </c>
      <c r="T7423" s="21">
        <v>0</v>
      </c>
      <c r="U7423" s="21">
        <v>1</v>
      </c>
      <c r="V7423" s="21">
        <v>0</v>
      </c>
      <c r="W7423" s="21">
        <v>1</v>
      </c>
      <c r="X7423" s="21">
        <v>0</v>
      </c>
      <c r="Y7423" s="21">
        <v>0</v>
      </c>
      <c r="Z7423" s="21">
        <v>0</v>
      </c>
      <c r="AA7423" s="21">
        <v>0</v>
      </c>
      <c r="AB7423" s="21">
        <v>0</v>
      </c>
      <c r="AC7423" s="21">
        <v>0</v>
      </c>
      <c r="AD7423" s="21">
        <v>0</v>
      </c>
      <c r="AE7423" s="21">
        <v>0</v>
      </c>
      <c r="AF7423" s="21">
        <v>0</v>
      </c>
      <c r="AG7423" s="21">
        <v>0</v>
      </c>
      <c r="AH7423" s="21">
        <f t="shared" si="138"/>
        <v>128</v>
      </c>
      <c r="AI7423" s="21"/>
      <c r="AJ7423" s="21"/>
      <c r="AK7423" s="21"/>
      <c r="AL7423" s="21"/>
      <c r="AM7423" s="21" t="s">
        <v>2970</v>
      </c>
      <c r="AN7423" s="21">
        <v>-122.4292808</v>
      </c>
      <c r="AO7423" s="21">
        <v>37.788450583333301</v>
      </c>
      <c r="AP7423" s="21" t="s">
        <v>1915</v>
      </c>
    </row>
    <row r="7424" spans="1:42">
      <c r="A7424" s="20">
        <v>43858</v>
      </c>
      <c r="B7424" s="21">
        <v>2</v>
      </c>
      <c r="C7424" s="21">
        <v>225</v>
      </c>
      <c r="D7424" s="21">
        <v>14444</v>
      </c>
      <c r="E7424" t="s">
        <v>112</v>
      </c>
      <c r="F7424" s="21" t="s">
        <v>104</v>
      </c>
      <c r="G7424" s="21">
        <v>2</v>
      </c>
      <c r="H7424" s="21">
        <v>99</v>
      </c>
      <c r="I7424" s="23" t="s">
        <v>2971</v>
      </c>
      <c r="J7424" s="21"/>
      <c r="K7424" s="21" t="s">
        <v>69</v>
      </c>
      <c r="L7424" s="21"/>
      <c r="M7424" s="21"/>
      <c r="N7424" s="21" t="s">
        <v>44</v>
      </c>
      <c r="O7424" s="21">
        <f>60+29</f>
        <v>89</v>
      </c>
      <c r="P7424" s="21"/>
      <c r="Q7424" s="21">
        <f t="shared" ref="Q7424:Q7487" si="139">SUM(S7424:AE7424)</f>
        <v>1</v>
      </c>
      <c r="R7424" s="21">
        <v>1</v>
      </c>
      <c r="S7424" s="21">
        <v>0</v>
      </c>
      <c r="T7424" s="21">
        <v>0</v>
      </c>
      <c r="U7424" s="21">
        <v>0</v>
      </c>
      <c r="V7424" s="21">
        <v>0</v>
      </c>
      <c r="W7424" s="21">
        <v>1</v>
      </c>
      <c r="X7424" s="21">
        <v>0</v>
      </c>
      <c r="Y7424" s="21">
        <v>0</v>
      </c>
      <c r="Z7424" s="21">
        <v>0</v>
      </c>
      <c r="AA7424" s="21">
        <v>0</v>
      </c>
      <c r="AB7424" s="21">
        <v>0</v>
      </c>
      <c r="AC7424" s="21">
        <v>0</v>
      </c>
      <c r="AD7424" s="21">
        <v>0</v>
      </c>
      <c r="AE7424" s="21">
        <v>0</v>
      </c>
      <c r="AF7424" s="21">
        <v>0</v>
      </c>
      <c r="AG7424" s="21">
        <v>0</v>
      </c>
      <c r="AH7424" s="21">
        <f t="shared" ref="AH7424:AH7487" si="140">(S7424*16)+(T7424*20)+(U7424*32)+(V7424*64)+(W7424*96)</f>
        <v>96</v>
      </c>
      <c r="AI7424" s="21"/>
      <c r="AJ7424" s="21" t="s">
        <v>51</v>
      </c>
      <c r="AK7424" s="21" t="s">
        <v>52</v>
      </c>
      <c r="AL7424" s="21" t="s">
        <v>2972</v>
      </c>
      <c r="AM7424" s="21" t="s">
        <v>2973</v>
      </c>
      <c r="AN7424" s="21">
        <v>-122.42940255000001</v>
      </c>
      <c r="AO7424" s="21">
        <v>37.788433833333301</v>
      </c>
      <c r="AP7424" s="21" t="s">
        <v>1915</v>
      </c>
    </row>
    <row r="7425" spans="1:42">
      <c r="A7425" s="20">
        <v>43858</v>
      </c>
      <c r="B7425" s="21">
        <v>2</v>
      </c>
      <c r="C7425" s="21">
        <v>225</v>
      </c>
      <c r="D7425" s="21">
        <v>14444</v>
      </c>
      <c r="E7425" t="s">
        <v>112</v>
      </c>
      <c r="F7425" s="21" t="s">
        <v>104</v>
      </c>
      <c r="G7425" s="21">
        <v>2</v>
      </c>
      <c r="H7425" s="21">
        <v>100</v>
      </c>
      <c r="I7425" s="23" t="s">
        <v>2974</v>
      </c>
      <c r="J7425" s="21"/>
      <c r="K7425" s="21" t="s">
        <v>69</v>
      </c>
      <c r="L7425" s="21"/>
      <c r="M7425" s="21"/>
      <c r="N7425" s="21" t="s">
        <v>40</v>
      </c>
      <c r="O7425" s="21">
        <f>60+4</f>
        <v>64</v>
      </c>
      <c r="P7425" s="21"/>
      <c r="Q7425" s="21">
        <f t="shared" si="139"/>
        <v>3</v>
      </c>
      <c r="R7425" s="21">
        <v>1</v>
      </c>
      <c r="S7425" s="21">
        <v>0</v>
      </c>
      <c r="T7425" s="21">
        <v>0</v>
      </c>
      <c r="U7425" s="21">
        <v>1</v>
      </c>
      <c r="V7425" s="21">
        <v>2</v>
      </c>
      <c r="W7425" s="21">
        <v>0</v>
      </c>
      <c r="X7425" s="21">
        <v>0</v>
      </c>
      <c r="Y7425" s="21">
        <v>0</v>
      </c>
      <c r="Z7425" s="21">
        <v>0</v>
      </c>
      <c r="AA7425" s="21">
        <v>0</v>
      </c>
      <c r="AB7425" s="21">
        <v>0</v>
      </c>
      <c r="AC7425" s="21">
        <v>0</v>
      </c>
      <c r="AD7425" s="21">
        <v>0</v>
      </c>
      <c r="AE7425" s="21">
        <v>0</v>
      </c>
      <c r="AF7425" s="21">
        <v>0</v>
      </c>
      <c r="AG7425" s="21">
        <v>0</v>
      </c>
      <c r="AH7425" s="21">
        <f t="shared" si="140"/>
        <v>160</v>
      </c>
      <c r="AI7425" s="21"/>
      <c r="AJ7425" s="21" t="s">
        <v>51</v>
      </c>
      <c r="AK7425" s="21" t="s">
        <v>52</v>
      </c>
      <c r="AL7425" s="21"/>
      <c r="AM7425" s="21" t="s">
        <v>2975</v>
      </c>
      <c r="AN7425" s="21">
        <v>-122.42936175</v>
      </c>
      <c r="AO7425" s="21">
        <v>37.7884997833333</v>
      </c>
      <c r="AP7425" s="21" t="s">
        <v>1915</v>
      </c>
    </row>
    <row r="7426" spans="1:42">
      <c r="A7426" s="20">
        <v>43858</v>
      </c>
      <c r="B7426" s="21">
        <v>2</v>
      </c>
      <c r="C7426" s="21">
        <v>225</v>
      </c>
      <c r="D7426" s="21">
        <v>14444</v>
      </c>
      <c r="E7426" t="s">
        <v>112</v>
      </c>
      <c r="F7426" s="21" t="s">
        <v>104</v>
      </c>
      <c r="G7426" s="21">
        <v>2</v>
      </c>
      <c r="H7426" s="21">
        <v>101</v>
      </c>
      <c r="I7426" s="23" t="s">
        <v>2976</v>
      </c>
      <c r="J7426" s="21"/>
      <c r="K7426" s="21" t="s">
        <v>69</v>
      </c>
      <c r="L7426" s="21"/>
      <c r="M7426" s="21"/>
      <c r="N7426" s="21" t="s">
        <v>44</v>
      </c>
      <c r="O7426" s="21">
        <f>60+60+41</f>
        <v>161</v>
      </c>
      <c r="P7426" s="21"/>
      <c r="Q7426" s="21">
        <f t="shared" si="139"/>
        <v>4</v>
      </c>
      <c r="R7426" s="21">
        <v>1</v>
      </c>
      <c r="S7426" s="21">
        <v>0</v>
      </c>
      <c r="T7426" s="21">
        <v>0</v>
      </c>
      <c r="U7426" s="21">
        <v>1</v>
      </c>
      <c r="V7426" s="21">
        <v>2</v>
      </c>
      <c r="W7426" s="21">
        <v>1</v>
      </c>
      <c r="X7426" s="21">
        <v>0</v>
      </c>
      <c r="Y7426" s="21">
        <v>0</v>
      </c>
      <c r="Z7426" s="21">
        <v>0</v>
      </c>
      <c r="AA7426" s="21">
        <v>0</v>
      </c>
      <c r="AB7426" s="21">
        <v>0</v>
      </c>
      <c r="AC7426" s="21">
        <v>0</v>
      </c>
      <c r="AD7426" s="21">
        <v>0</v>
      </c>
      <c r="AE7426" s="21">
        <v>0</v>
      </c>
      <c r="AF7426" s="21">
        <v>0</v>
      </c>
      <c r="AG7426" s="21">
        <v>0</v>
      </c>
      <c r="AH7426" s="21">
        <f t="shared" si="140"/>
        <v>256</v>
      </c>
      <c r="AI7426" s="21"/>
      <c r="AJ7426" s="21" t="s">
        <v>51</v>
      </c>
      <c r="AK7426" s="21" t="s">
        <v>52</v>
      </c>
      <c r="AL7426" s="21" t="s">
        <v>2977</v>
      </c>
      <c r="AM7426" s="21" t="s">
        <v>2978</v>
      </c>
      <c r="AN7426" s="21">
        <v>-122.429695083333</v>
      </c>
      <c r="AO7426" s="21">
        <v>37.788438116666597</v>
      </c>
      <c r="AP7426" s="21" t="s">
        <v>1915</v>
      </c>
    </row>
    <row r="7427" spans="1:42">
      <c r="A7427" s="20">
        <v>43858</v>
      </c>
      <c r="B7427" s="21">
        <v>2</v>
      </c>
      <c r="C7427" s="21">
        <v>225</v>
      </c>
      <c r="D7427" s="21">
        <v>14444</v>
      </c>
      <c r="E7427" t="s">
        <v>112</v>
      </c>
      <c r="F7427" s="21" t="s">
        <v>104</v>
      </c>
      <c r="G7427" s="21">
        <v>2</v>
      </c>
      <c r="H7427" s="21">
        <v>102</v>
      </c>
      <c r="I7427" s="23" t="s">
        <v>2979</v>
      </c>
      <c r="J7427" s="21"/>
      <c r="K7427" s="21" t="s">
        <v>69</v>
      </c>
      <c r="L7427" s="21"/>
      <c r="M7427" s="21"/>
      <c r="N7427" s="21" t="s">
        <v>40</v>
      </c>
      <c r="O7427" s="21">
        <f>60+28</f>
        <v>88</v>
      </c>
      <c r="P7427" s="21"/>
      <c r="Q7427" s="21">
        <f t="shared" si="139"/>
        <v>2</v>
      </c>
      <c r="R7427" s="21">
        <v>1</v>
      </c>
      <c r="S7427" s="21">
        <v>0</v>
      </c>
      <c r="T7427" s="21">
        <v>0</v>
      </c>
      <c r="U7427" s="21">
        <v>1</v>
      </c>
      <c r="V7427" s="21">
        <v>0</v>
      </c>
      <c r="W7427" s="21">
        <v>1</v>
      </c>
      <c r="X7427" s="21">
        <v>0</v>
      </c>
      <c r="Y7427" s="21">
        <v>0</v>
      </c>
      <c r="Z7427" s="21">
        <v>0</v>
      </c>
      <c r="AA7427" s="21">
        <v>0</v>
      </c>
      <c r="AB7427" s="21">
        <v>0</v>
      </c>
      <c r="AC7427" s="21">
        <v>0</v>
      </c>
      <c r="AD7427" s="21">
        <v>0</v>
      </c>
      <c r="AE7427" s="21">
        <v>0</v>
      </c>
      <c r="AF7427" s="21">
        <v>0</v>
      </c>
      <c r="AG7427" s="21">
        <v>0</v>
      </c>
      <c r="AH7427" s="21">
        <f t="shared" si="140"/>
        <v>128</v>
      </c>
      <c r="AI7427" s="21"/>
      <c r="AJ7427" s="21"/>
      <c r="AK7427" s="21"/>
      <c r="AL7427" s="21"/>
      <c r="AM7427" s="21" t="s">
        <v>2980</v>
      </c>
      <c r="AN7427" s="21">
        <v>-122.429918366667</v>
      </c>
      <c r="AO7427" s="21">
        <v>37.788387633333301</v>
      </c>
      <c r="AP7427" s="21" t="s">
        <v>1915</v>
      </c>
    </row>
    <row r="7428" spans="1:42">
      <c r="A7428" s="20">
        <v>43858</v>
      </c>
      <c r="B7428" s="21">
        <v>2</v>
      </c>
      <c r="C7428" s="21">
        <v>225</v>
      </c>
      <c r="D7428" s="21">
        <v>14444</v>
      </c>
      <c r="E7428" t="s">
        <v>112</v>
      </c>
      <c r="F7428" s="21" t="s">
        <v>104</v>
      </c>
      <c r="G7428" s="21">
        <v>2</v>
      </c>
      <c r="H7428" s="21">
        <v>103</v>
      </c>
      <c r="I7428" s="23" t="s">
        <v>2981</v>
      </c>
      <c r="J7428" s="21"/>
      <c r="K7428" s="21" t="s">
        <v>69</v>
      </c>
      <c r="L7428" s="21"/>
      <c r="M7428" s="21"/>
      <c r="N7428" s="21" t="s">
        <v>40</v>
      </c>
      <c r="O7428" s="21">
        <v>59</v>
      </c>
      <c r="P7428" s="21"/>
      <c r="Q7428" s="21">
        <f t="shared" si="139"/>
        <v>2</v>
      </c>
      <c r="R7428" s="21">
        <v>1</v>
      </c>
      <c r="S7428" s="21">
        <v>0</v>
      </c>
      <c r="T7428" s="21">
        <v>0</v>
      </c>
      <c r="U7428" s="21">
        <v>2</v>
      </c>
      <c r="V7428" s="21">
        <v>0</v>
      </c>
      <c r="W7428" s="21">
        <v>0</v>
      </c>
      <c r="X7428" s="21">
        <v>0</v>
      </c>
      <c r="Y7428" s="21">
        <v>0</v>
      </c>
      <c r="Z7428" s="21">
        <v>0</v>
      </c>
      <c r="AA7428" s="21">
        <v>0</v>
      </c>
      <c r="AB7428" s="21">
        <v>0</v>
      </c>
      <c r="AC7428" s="21">
        <v>0</v>
      </c>
      <c r="AD7428" s="21">
        <v>0</v>
      </c>
      <c r="AE7428" s="21">
        <v>0</v>
      </c>
      <c r="AF7428" s="21">
        <v>0</v>
      </c>
      <c r="AG7428" s="21">
        <v>0</v>
      </c>
      <c r="AH7428" s="21">
        <f t="shared" si="140"/>
        <v>64</v>
      </c>
      <c r="AI7428" s="21"/>
      <c r="AJ7428" s="21"/>
      <c r="AK7428" s="21"/>
      <c r="AL7428" s="21"/>
      <c r="AM7428" s="21" t="s">
        <v>2982</v>
      </c>
      <c r="AN7428" s="21">
        <v>-122.43081395</v>
      </c>
      <c r="AO7428" s="21">
        <v>37.788369799999998</v>
      </c>
      <c r="AP7428" s="21" t="s">
        <v>1915</v>
      </c>
    </row>
    <row r="7429" spans="1:42">
      <c r="A7429" s="20">
        <v>43858</v>
      </c>
      <c r="B7429" s="21">
        <v>2</v>
      </c>
      <c r="C7429" s="21">
        <v>225</v>
      </c>
      <c r="D7429" s="21">
        <v>14444</v>
      </c>
      <c r="E7429" t="s">
        <v>112</v>
      </c>
      <c r="F7429" s="21" t="s">
        <v>104</v>
      </c>
      <c r="G7429" s="21">
        <v>2</v>
      </c>
      <c r="H7429" s="21">
        <v>104</v>
      </c>
      <c r="I7429" s="23" t="s">
        <v>2983</v>
      </c>
      <c r="J7429" s="21"/>
      <c r="K7429" s="21" t="s">
        <v>69</v>
      </c>
      <c r="L7429" s="21"/>
      <c r="M7429" s="21"/>
      <c r="N7429" s="21" t="s">
        <v>40</v>
      </c>
      <c r="O7429" s="21">
        <f>60+60+23</f>
        <v>143</v>
      </c>
      <c r="P7429" s="21"/>
      <c r="Q7429" s="21">
        <f t="shared" si="139"/>
        <v>2</v>
      </c>
      <c r="R7429" s="21">
        <v>1</v>
      </c>
      <c r="S7429" s="21">
        <v>0</v>
      </c>
      <c r="T7429" s="21">
        <v>0</v>
      </c>
      <c r="U7429" s="21">
        <v>2</v>
      </c>
      <c r="V7429" s="21">
        <v>0</v>
      </c>
      <c r="W7429" s="21">
        <v>0</v>
      </c>
      <c r="X7429" s="21">
        <v>0</v>
      </c>
      <c r="Y7429" s="21">
        <v>0</v>
      </c>
      <c r="Z7429" s="21">
        <v>0</v>
      </c>
      <c r="AA7429" s="21">
        <v>0</v>
      </c>
      <c r="AB7429" s="21">
        <v>0</v>
      </c>
      <c r="AC7429" s="21">
        <v>0</v>
      </c>
      <c r="AD7429" s="21">
        <v>0</v>
      </c>
      <c r="AE7429" s="21">
        <v>0</v>
      </c>
      <c r="AF7429" s="21">
        <v>0</v>
      </c>
      <c r="AG7429" s="21">
        <v>0</v>
      </c>
      <c r="AH7429" s="21">
        <f t="shared" si="140"/>
        <v>64</v>
      </c>
      <c r="AI7429" s="21"/>
      <c r="AJ7429" s="21" t="s">
        <v>51</v>
      </c>
      <c r="AK7429" s="21" t="s">
        <v>52</v>
      </c>
      <c r="AL7429" s="21"/>
      <c r="AM7429" s="21" t="s">
        <v>2984</v>
      </c>
      <c r="AN7429" s="21">
        <v>-122.431190466667</v>
      </c>
      <c r="AO7429" s="21">
        <v>37.788339266666704</v>
      </c>
      <c r="AP7429" s="21" t="s">
        <v>1915</v>
      </c>
    </row>
    <row r="7430" spans="1:42">
      <c r="A7430" s="20">
        <v>43858</v>
      </c>
      <c r="B7430" s="21">
        <v>2</v>
      </c>
      <c r="C7430" s="21">
        <v>225</v>
      </c>
      <c r="D7430" s="21">
        <v>14444</v>
      </c>
      <c r="E7430" t="s">
        <v>112</v>
      </c>
      <c r="F7430" s="21" t="s">
        <v>104</v>
      </c>
      <c r="G7430" s="21">
        <v>2</v>
      </c>
      <c r="H7430" s="21">
        <v>105</v>
      </c>
      <c r="I7430" s="23" t="s">
        <v>2985</v>
      </c>
      <c r="J7430" s="21"/>
      <c r="K7430" s="21" t="s">
        <v>69</v>
      </c>
      <c r="L7430" s="21"/>
      <c r="M7430" s="21"/>
      <c r="N7430" s="21" t="s">
        <v>42</v>
      </c>
      <c r="O7430" s="21">
        <f>60+60+4</f>
        <v>124</v>
      </c>
      <c r="P7430" s="21"/>
      <c r="Q7430" s="21">
        <f t="shared" si="139"/>
        <v>4</v>
      </c>
      <c r="R7430" s="21">
        <v>1</v>
      </c>
      <c r="S7430" s="21">
        <v>0</v>
      </c>
      <c r="T7430" s="21">
        <v>0</v>
      </c>
      <c r="U7430" s="21">
        <v>1</v>
      </c>
      <c r="V7430" s="21">
        <v>2</v>
      </c>
      <c r="W7430" s="21">
        <v>1</v>
      </c>
      <c r="X7430" s="21">
        <v>0</v>
      </c>
      <c r="Y7430" s="21">
        <v>0</v>
      </c>
      <c r="Z7430" s="21">
        <v>0</v>
      </c>
      <c r="AA7430" s="21">
        <v>0</v>
      </c>
      <c r="AB7430" s="21">
        <v>0</v>
      </c>
      <c r="AC7430" s="21">
        <v>0</v>
      </c>
      <c r="AD7430" s="21">
        <v>0</v>
      </c>
      <c r="AE7430" s="21">
        <v>0</v>
      </c>
      <c r="AF7430" s="21">
        <v>0</v>
      </c>
      <c r="AG7430" s="21">
        <v>0</v>
      </c>
      <c r="AH7430" s="21">
        <f t="shared" si="140"/>
        <v>256</v>
      </c>
      <c r="AI7430" s="21"/>
      <c r="AJ7430" s="21"/>
      <c r="AK7430" s="21"/>
      <c r="AL7430" s="21" t="s">
        <v>2986</v>
      </c>
      <c r="AM7430" s="21" t="s">
        <v>2987</v>
      </c>
      <c r="AN7430" s="21">
        <v>-122.431593566667</v>
      </c>
      <c r="AO7430" s="21">
        <v>37.7883097333333</v>
      </c>
      <c r="AP7430" s="21" t="s">
        <v>1915</v>
      </c>
    </row>
    <row r="7431" spans="1:42">
      <c r="A7431" s="20">
        <v>43858</v>
      </c>
      <c r="B7431" s="21">
        <v>2</v>
      </c>
      <c r="C7431" s="21">
        <v>225</v>
      </c>
      <c r="D7431" s="21">
        <v>14444</v>
      </c>
      <c r="E7431" t="s">
        <v>112</v>
      </c>
      <c r="F7431" s="21" t="s">
        <v>104</v>
      </c>
      <c r="G7431" s="21">
        <v>2</v>
      </c>
      <c r="H7431" s="21">
        <v>106</v>
      </c>
      <c r="I7431" s="23" t="s">
        <v>2791</v>
      </c>
      <c r="J7431" s="21"/>
      <c r="K7431" s="21" t="s">
        <v>599</v>
      </c>
      <c r="L7431" s="21"/>
      <c r="M7431" s="21"/>
      <c r="N7431" s="21" t="s">
        <v>40</v>
      </c>
      <c r="O7431" s="21">
        <f>60+8</f>
        <v>68</v>
      </c>
      <c r="P7431" s="21"/>
      <c r="Q7431" s="21">
        <f t="shared" si="139"/>
        <v>2</v>
      </c>
      <c r="R7431" s="21">
        <v>1</v>
      </c>
      <c r="S7431" s="21">
        <v>0</v>
      </c>
      <c r="T7431" s="21">
        <v>0</v>
      </c>
      <c r="U7431" s="21">
        <v>1</v>
      </c>
      <c r="V7431" s="21">
        <v>1</v>
      </c>
      <c r="W7431" s="21">
        <v>0</v>
      </c>
      <c r="X7431" s="21">
        <v>0</v>
      </c>
      <c r="Y7431" s="21">
        <v>0</v>
      </c>
      <c r="Z7431" s="21">
        <v>0</v>
      </c>
      <c r="AA7431" s="21">
        <v>0</v>
      </c>
      <c r="AB7431" s="21">
        <v>0</v>
      </c>
      <c r="AC7431" s="21">
        <v>0</v>
      </c>
      <c r="AD7431" s="21">
        <v>0</v>
      </c>
      <c r="AE7431" s="21">
        <v>0</v>
      </c>
      <c r="AF7431" s="21">
        <v>0</v>
      </c>
      <c r="AG7431" s="21">
        <v>0</v>
      </c>
      <c r="AH7431" s="21">
        <f t="shared" si="140"/>
        <v>96</v>
      </c>
      <c r="AI7431" s="21"/>
      <c r="AJ7431" s="21" t="s">
        <v>51</v>
      </c>
      <c r="AK7431" s="21" t="s">
        <v>52</v>
      </c>
      <c r="AL7431" s="21"/>
      <c r="AM7431" s="21" t="s">
        <v>2988</v>
      </c>
      <c r="AN7431" s="21">
        <v>-122.431760066667</v>
      </c>
      <c r="AO7431" s="21">
        <v>37.788290116666602</v>
      </c>
      <c r="AP7431" s="21" t="s">
        <v>1915</v>
      </c>
    </row>
    <row r="7432" spans="1:42">
      <c r="A7432" s="20">
        <v>43858</v>
      </c>
      <c r="B7432" s="21">
        <v>2</v>
      </c>
      <c r="C7432" s="21">
        <v>225</v>
      </c>
      <c r="D7432" s="21">
        <v>14444</v>
      </c>
      <c r="E7432" t="s">
        <v>112</v>
      </c>
      <c r="F7432" s="21" t="s">
        <v>104</v>
      </c>
      <c r="G7432" s="21">
        <v>2</v>
      </c>
      <c r="H7432" s="21">
        <v>107</v>
      </c>
      <c r="I7432" s="23" t="s">
        <v>2989</v>
      </c>
      <c r="J7432" s="21"/>
      <c r="K7432" s="21" t="s">
        <v>599</v>
      </c>
      <c r="L7432" s="21"/>
      <c r="M7432" s="21"/>
      <c r="N7432" s="21" t="s">
        <v>40</v>
      </c>
      <c r="O7432" s="21">
        <f>60+20</f>
        <v>80</v>
      </c>
      <c r="P7432" s="21"/>
      <c r="Q7432" s="21">
        <f t="shared" si="139"/>
        <v>2</v>
      </c>
      <c r="R7432" s="21">
        <v>1</v>
      </c>
      <c r="S7432" s="21">
        <v>0</v>
      </c>
      <c r="T7432" s="21">
        <v>0</v>
      </c>
      <c r="U7432" s="21">
        <v>0</v>
      </c>
      <c r="V7432" s="21">
        <v>1</v>
      </c>
      <c r="W7432" s="21">
        <v>0</v>
      </c>
      <c r="X7432" s="21">
        <v>1</v>
      </c>
      <c r="Y7432" s="21">
        <v>0</v>
      </c>
      <c r="Z7432" s="21">
        <v>0</v>
      </c>
      <c r="AA7432" s="21">
        <v>0</v>
      </c>
      <c r="AB7432" s="21">
        <v>0</v>
      </c>
      <c r="AC7432" s="21">
        <v>0</v>
      </c>
      <c r="AD7432" s="21">
        <v>0</v>
      </c>
      <c r="AE7432" s="21">
        <v>0</v>
      </c>
      <c r="AF7432" s="21">
        <v>0</v>
      </c>
      <c r="AG7432" s="21">
        <v>0</v>
      </c>
      <c r="AH7432" s="21">
        <f t="shared" si="140"/>
        <v>64</v>
      </c>
      <c r="AI7432" s="21"/>
      <c r="AJ7432" s="21" t="s">
        <v>54</v>
      </c>
      <c r="AK7432" s="21" t="s">
        <v>95</v>
      </c>
      <c r="AL7432" s="21" t="s">
        <v>456</v>
      </c>
      <c r="AM7432" s="21" t="s">
        <v>2990</v>
      </c>
      <c r="AN7432" s="21">
        <v>-122.432197366667</v>
      </c>
      <c r="AO7432" s="21">
        <v>37.788067916666598</v>
      </c>
      <c r="AP7432" s="21" t="s">
        <v>1915</v>
      </c>
    </row>
    <row r="7433" spans="1:42">
      <c r="A7433" s="20">
        <v>43858</v>
      </c>
      <c r="B7433" s="21">
        <v>2</v>
      </c>
      <c r="C7433" s="21">
        <v>225</v>
      </c>
      <c r="D7433" s="21">
        <v>14444</v>
      </c>
      <c r="E7433" t="s">
        <v>112</v>
      </c>
      <c r="F7433" s="21" t="s">
        <v>104</v>
      </c>
      <c r="G7433" s="21">
        <v>2</v>
      </c>
      <c r="H7433" s="21">
        <v>108</v>
      </c>
      <c r="I7433" s="23" t="s">
        <v>2991</v>
      </c>
      <c r="J7433" s="21"/>
      <c r="K7433" s="21" t="s">
        <v>69</v>
      </c>
      <c r="L7433" s="21"/>
      <c r="M7433" s="21"/>
      <c r="N7433" s="21" t="s">
        <v>44</v>
      </c>
      <c r="O7433" s="21">
        <f>60+6</f>
        <v>66</v>
      </c>
      <c r="P7433" s="21"/>
      <c r="Q7433" s="21">
        <f t="shared" si="139"/>
        <v>1</v>
      </c>
      <c r="R7433" s="21">
        <v>1</v>
      </c>
      <c r="S7433" s="21">
        <v>0</v>
      </c>
      <c r="T7433" s="21">
        <v>0</v>
      </c>
      <c r="U7433" s="21">
        <v>0</v>
      </c>
      <c r="V7433" s="21">
        <v>0</v>
      </c>
      <c r="W7433" s="21">
        <v>1</v>
      </c>
      <c r="X7433" s="21">
        <v>0</v>
      </c>
      <c r="Y7433" s="21">
        <v>0</v>
      </c>
      <c r="Z7433" s="21">
        <v>0</v>
      </c>
      <c r="AA7433" s="21">
        <v>0</v>
      </c>
      <c r="AB7433" s="21">
        <v>0</v>
      </c>
      <c r="AC7433" s="21">
        <v>0</v>
      </c>
      <c r="AD7433" s="21">
        <v>0</v>
      </c>
      <c r="AE7433" s="21">
        <v>0</v>
      </c>
      <c r="AF7433" s="21">
        <v>0</v>
      </c>
      <c r="AG7433" s="21">
        <v>0</v>
      </c>
      <c r="AH7433" s="21">
        <f t="shared" si="140"/>
        <v>96</v>
      </c>
      <c r="AI7433" s="21"/>
      <c r="AJ7433" s="21" t="s">
        <v>54</v>
      </c>
      <c r="AK7433" s="21" t="s">
        <v>52</v>
      </c>
      <c r="AL7433" s="21"/>
      <c r="AM7433" s="21" t="s">
        <v>2992</v>
      </c>
      <c r="AN7433" s="21">
        <v>-122.432360516667</v>
      </c>
      <c r="AO7433" s="21">
        <v>37.788072466666598</v>
      </c>
      <c r="AP7433" s="21" t="s">
        <v>1915</v>
      </c>
    </row>
    <row r="7434" spans="1:42">
      <c r="A7434" s="20">
        <v>43858</v>
      </c>
      <c r="B7434" s="21">
        <v>2</v>
      </c>
      <c r="C7434" s="21">
        <v>225</v>
      </c>
      <c r="D7434" s="21">
        <v>14444</v>
      </c>
      <c r="E7434" t="s">
        <v>112</v>
      </c>
      <c r="F7434" s="21" t="s">
        <v>104</v>
      </c>
      <c r="G7434" s="21">
        <v>2</v>
      </c>
      <c r="H7434" s="21">
        <v>109</v>
      </c>
      <c r="I7434" s="23" t="s">
        <v>2993</v>
      </c>
      <c r="J7434" s="21"/>
      <c r="K7434" s="21" t="s">
        <v>69</v>
      </c>
      <c r="L7434" s="21"/>
      <c r="M7434" s="21"/>
      <c r="N7434" s="21" t="s">
        <v>44</v>
      </c>
      <c r="O7434" s="21">
        <f>60+59</f>
        <v>119</v>
      </c>
      <c r="P7434" s="21"/>
      <c r="Q7434" s="21">
        <f t="shared" si="139"/>
        <v>2</v>
      </c>
      <c r="R7434" s="21">
        <v>1</v>
      </c>
      <c r="S7434" s="21">
        <v>0</v>
      </c>
      <c r="T7434" s="21">
        <v>0</v>
      </c>
      <c r="U7434" s="21">
        <v>1</v>
      </c>
      <c r="V7434" s="21">
        <v>1</v>
      </c>
      <c r="W7434" s="21">
        <v>0</v>
      </c>
      <c r="X7434" s="21">
        <v>0</v>
      </c>
      <c r="Y7434" s="21">
        <v>0</v>
      </c>
      <c r="Z7434" s="21">
        <v>0</v>
      </c>
      <c r="AA7434" s="21">
        <v>0</v>
      </c>
      <c r="AB7434" s="21">
        <v>0</v>
      </c>
      <c r="AC7434" s="21">
        <v>0</v>
      </c>
      <c r="AD7434" s="21">
        <v>0</v>
      </c>
      <c r="AE7434" s="21">
        <v>0</v>
      </c>
      <c r="AF7434" s="21">
        <v>0</v>
      </c>
      <c r="AG7434" s="21">
        <v>0</v>
      </c>
      <c r="AH7434" s="21">
        <f t="shared" si="140"/>
        <v>96</v>
      </c>
      <c r="AI7434" s="21"/>
      <c r="AJ7434" s="21" t="s">
        <v>54</v>
      </c>
      <c r="AK7434" s="21" t="s">
        <v>52</v>
      </c>
      <c r="AL7434" s="21" t="s">
        <v>2994</v>
      </c>
      <c r="AM7434" s="21" t="s">
        <v>2995</v>
      </c>
      <c r="AN7434" s="21">
        <v>-122.4326897</v>
      </c>
      <c r="AO7434" s="21">
        <v>37.788032433333299</v>
      </c>
      <c r="AP7434" s="21" t="s">
        <v>1915</v>
      </c>
    </row>
    <row r="7435" spans="1:42">
      <c r="A7435" s="20">
        <v>43858</v>
      </c>
      <c r="B7435" s="21">
        <v>2</v>
      </c>
      <c r="C7435" s="21">
        <v>225</v>
      </c>
      <c r="D7435" s="21">
        <v>14444</v>
      </c>
      <c r="E7435" t="s">
        <v>112</v>
      </c>
      <c r="F7435" s="21" t="s">
        <v>104</v>
      </c>
      <c r="G7435" s="21">
        <v>2</v>
      </c>
      <c r="H7435" s="21">
        <v>110</v>
      </c>
      <c r="I7435" s="23" t="s">
        <v>2996</v>
      </c>
      <c r="J7435" s="21"/>
      <c r="K7435" s="21" t="s">
        <v>69</v>
      </c>
      <c r="L7435" s="21"/>
      <c r="M7435" s="21"/>
      <c r="N7435" s="21" t="s">
        <v>40</v>
      </c>
      <c r="O7435" s="21">
        <v>32</v>
      </c>
      <c r="P7435" s="21"/>
      <c r="Q7435" s="21">
        <f t="shared" si="139"/>
        <v>2</v>
      </c>
      <c r="R7435" s="21">
        <v>1</v>
      </c>
      <c r="S7435" s="21">
        <v>0</v>
      </c>
      <c r="T7435" s="21">
        <v>0</v>
      </c>
      <c r="U7435" s="21">
        <v>1</v>
      </c>
      <c r="V7435" s="21">
        <v>1</v>
      </c>
      <c r="W7435" s="21">
        <v>0</v>
      </c>
      <c r="X7435" s="21">
        <v>0</v>
      </c>
      <c r="Y7435" s="21">
        <v>0</v>
      </c>
      <c r="Z7435" s="21">
        <v>0</v>
      </c>
      <c r="AA7435" s="21">
        <v>0</v>
      </c>
      <c r="AB7435" s="21">
        <v>0</v>
      </c>
      <c r="AC7435" s="21">
        <v>0</v>
      </c>
      <c r="AD7435" s="21">
        <v>0</v>
      </c>
      <c r="AE7435" s="21">
        <v>0</v>
      </c>
      <c r="AF7435" s="21">
        <v>0</v>
      </c>
      <c r="AG7435" s="21">
        <v>0</v>
      </c>
      <c r="AH7435" s="21">
        <f t="shared" si="140"/>
        <v>96</v>
      </c>
      <c r="AI7435" s="21"/>
      <c r="AJ7435" s="21" t="s">
        <v>54</v>
      </c>
      <c r="AK7435" s="21" t="s">
        <v>52</v>
      </c>
      <c r="AL7435" s="21"/>
      <c r="AM7435" s="21" t="s">
        <v>2997</v>
      </c>
      <c r="AN7435" s="21">
        <v>-122.43270201666699</v>
      </c>
      <c r="AO7435" s="21">
        <v>37.788015533333301</v>
      </c>
      <c r="AP7435" s="21" t="s">
        <v>1915</v>
      </c>
    </row>
    <row r="7436" spans="1:42">
      <c r="A7436" s="20">
        <v>43858</v>
      </c>
      <c r="B7436" s="21">
        <v>2</v>
      </c>
      <c r="C7436" s="21">
        <v>225</v>
      </c>
      <c r="D7436" s="21">
        <v>14444</v>
      </c>
      <c r="E7436" t="s">
        <v>112</v>
      </c>
      <c r="F7436" s="21" t="s">
        <v>104</v>
      </c>
      <c r="G7436" s="21">
        <v>2</v>
      </c>
      <c r="H7436" s="21">
        <v>111</v>
      </c>
      <c r="I7436" s="23" t="s">
        <v>2998</v>
      </c>
      <c r="J7436" s="21"/>
      <c r="K7436" s="21" t="s">
        <v>69</v>
      </c>
      <c r="L7436" s="21"/>
      <c r="M7436" s="21"/>
      <c r="N7436" s="21" t="s">
        <v>40</v>
      </c>
      <c r="O7436" s="21">
        <v>46</v>
      </c>
      <c r="P7436" s="21"/>
      <c r="Q7436" s="21">
        <f t="shared" si="139"/>
        <v>1</v>
      </c>
      <c r="R7436" s="21">
        <v>1</v>
      </c>
      <c r="S7436" s="21">
        <v>0</v>
      </c>
      <c r="T7436" s="21">
        <v>0</v>
      </c>
      <c r="U7436" s="21">
        <v>0</v>
      </c>
      <c r="V7436" s="21">
        <v>0</v>
      </c>
      <c r="W7436" s="21">
        <v>1</v>
      </c>
      <c r="X7436" s="21">
        <v>0</v>
      </c>
      <c r="Y7436" s="21">
        <v>0</v>
      </c>
      <c r="Z7436" s="21">
        <v>0</v>
      </c>
      <c r="AA7436" s="21">
        <v>0</v>
      </c>
      <c r="AB7436" s="21">
        <v>0</v>
      </c>
      <c r="AC7436" s="21">
        <v>0</v>
      </c>
      <c r="AD7436" s="21">
        <v>0</v>
      </c>
      <c r="AE7436" s="21">
        <v>0</v>
      </c>
      <c r="AF7436" s="21">
        <v>0</v>
      </c>
      <c r="AG7436" s="21">
        <v>0</v>
      </c>
      <c r="AH7436" s="21">
        <f t="shared" si="140"/>
        <v>96</v>
      </c>
      <c r="AI7436" s="21"/>
      <c r="AJ7436" s="21" t="s">
        <v>54</v>
      </c>
      <c r="AK7436" s="21" t="s">
        <v>52</v>
      </c>
      <c r="AL7436" s="21"/>
      <c r="AM7436" s="21" t="s">
        <v>2999</v>
      </c>
      <c r="AN7436" s="21">
        <v>-122.432885966667</v>
      </c>
      <c r="AO7436" s="21">
        <v>37.788017516666599</v>
      </c>
      <c r="AP7436" s="21" t="s">
        <v>1915</v>
      </c>
    </row>
    <row r="7437" spans="1:42">
      <c r="A7437" s="20">
        <v>43850</v>
      </c>
      <c r="B7437" s="21">
        <v>5</v>
      </c>
      <c r="C7437" s="21">
        <v>231</v>
      </c>
      <c r="D7437" s="21">
        <v>14468</v>
      </c>
      <c r="E7437" t="s">
        <v>112</v>
      </c>
      <c r="F7437" s="21" t="s">
        <v>104</v>
      </c>
      <c r="G7437" s="21">
        <v>2</v>
      </c>
      <c r="H7437" s="21">
        <v>1</v>
      </c>
      <c r="I7437" s="23" t="s">
        <v>3000</v>
      </c>
      <c r="J7437" s="21"/>
      <c r="K7437" s="21" t="s">
        <v>3001</v>
      </c>
      <c r="L7437" s="21"/>
      <c r="M7437" s="21" t="s">
        <v>95</v>
      </c>
      <c r="N7437" s="21" t="s">
        <v>40</v>
      </c>
      <c r="O7437" s="21">
        <f>60+60+45</f>
        <v>165</v>
      </c>
      <c r="P7437" s="21"/>
      <c r="Q7437" s="21">
        <f t="shared" si="139"/>
        <v>3</v>
      </c>
      <c r="R7437" s="21">
        <v>1</v>
      </c>
      <c r="S7437" s="21">
        <v>0</v>
      </c>
      <c r="T7437" s="21">
        <v>0</v>
      </c>
      <c r="U7437" s="21">
        <v>0</v>
      </c>
      <c r="V7437" s="21">
        <v>2</v>
      </c>
      <c r="W7437" s="21">
        <v>0</v>
      </c>
      <c r="X7437" s="21">
        <v>1</v>
      </c>
      <c r="Y7437" s="21">
        <v>0</v>
      </c>
      <c r="Z7437" s="21">
        <v>0</v>
      </c>
      <c r="AA7437" s="21">
        <v>0</v>
      </c>
      <c r="AB7437" s="21">
        <v>0</v>
      </c>
      <c r="AC7437" s="21">
        <v>0</v>
      </c>
      <c r="AD7437" s="21">
        <v>0</v>
      </c>
      <c r="AE7437" s="21">
        <v>0</v>
      </c>
      <c r="AF7437" s="21">
        <v>0</v>
      </c>
      <c r="AG7437" s="21">
        <v>0</v>
      </c>
      <c r="AH7437" s="21">
        <f t="shared" si="140"/>
        <v>128</v>
      </c>
      <c r="AI7437" s="21"/>
      <c r="AJ7437" s="21" t="s">
        <v>51</v>
      </c>
      <c r="AK7437" s="21" t="s">
        <v>95</v>
      </c>
      <c r="AL7437" s="21" t="s">
        <v>3002</v>
      </c>
      <c r="AM7437" s="21" t="s">
        <v>3003</v>
      </c>
      <c r="AN7437" s="21">
        <v>-122.420140783333</v>
      </c>
      <c r="AO7437" s="21">
        <v>37.786999866666697</v>
      </c>
      <c r="AP7437" s="21" t="s">
        <v>1915</v>
      </c>
    </row>
    <row r="7438" spans="1:42">
      <c r="A7438" s="20">
        <v>43850</v>
      </c>
      <c r="B7438" s="21">
        <v>5</v>
      </c>
      <c r="C7438" s="21">
        <v>231</v>
      </c>
      <c r="D7438" s="21">
        <v>14468</v>
      </c>
      <c r="E7438" t="s">
        <v>112</v>
      </c>
      <c r="F7438" s="21" t="s">
        <v>104</v>
      </c>
      <c r="G7438" s="21">
        <v>2</v>
      </c>
      <c r="H7438" s="21">
        <v>2</v>
      </c>
      <c r="I7438" s="23" t="s">
        <v>3000</v>
      </c>
      <c r="J7438" s="21"/>
      <c r="K7438" s="21" t="s">
        <v>414</v>
      </c>
      <c r="L7438" s="21"/>
      <c r="M7438" s="21"/>
      <c r="N7438" s="21" t="s">
        <v>40</v>
      </c>
      <c r="O7438" s="21">
        <f>60+60+5</f>
        <v>125</v>
      </c>
      <c r="P7438" s="21"/>
      <c r="Q7438" s="21">
        <f t="shared" si="139"/>
        <v>2</v>
      </c>
      <c r="R7438" s="21">
        <v>1</v>
      </c>
      <c r="S7438" s="21">
        <v>0</v>
      </c>
      <c r="T7438" s="21">
        <v>0</v>
      </c>
      <c r="U7438" s="21">
        <v>1</v>
      </c>
      <c r="V7438" s="21">
        <v>0</v>
      </c>
      <c r="W7438" s="21">
        <v>1</v>
      </c>
      <c r="X7438" s="21">
        <v>0</v>
      </c>
      <c r="Y7438" s="21">
        <v>0</v>
      </c>
      <c r="Z7438" s="21">
        <v>0</v>
      </c>
      <c r="AA7438" s="21">
        <v>0</v>
      </c>
      <c r="AB7438" s="21">
        <v>0</v>
      </c>
      <c r="AC7438" s="21">
        <v>0</v>
      </c>
      <c r="AD7438" s="21">
        <v>0</v>
      </c>
      <c r="AE7438" s="21">
        <v>0</v>
      </c>
      <c r="AF7438" s="21">
        <v>0</v>
      </c>
      <c r="AG7438" s="21">
        <v>0</v>
      </c>
      <c r="AH7438" s="21">
        <f t="shared" si="140"/>
        <v>128</v>
      </c>
      <c r="AI7438" s="21"/>
      <c r="AJ7438" s="21" t="s">
        <v>51</v>
      </c>
      <c r="AK7438" s="21" t="s">
        <v>95</v>
      </c>
      <c r="AL7438" s="21"/>
      <c r="AM7438" s="21" t="s">
        <v>3004</v>
      </c>
      <c r="AN7438" s="21">
        <v>-122.42012193333299</v>
      </c>
      <c r="AO7438" s="21">
        <v>37.787718883333298</v>
      </c>
      <c r="AP7438" s="21" t="s">
        <v>1915</v>
      </c>
    </row>
    <row r="7439" spans="1:42">
      <c r="A7439" s="20">
        <v>43850</v>
      </c>
      <c r="B7439" s="21">
        <v>5</v>
      </c>
      <c r="C7439" s="21">
        <v>231</v>
      </c>
      <c r="D7439" s="21">
        <v>14468</v>
      </c>
      <c r="E7439" t="s">
        <v>112</v>
      </c>
      <c r="F7439" s="21" t="s">
        <v>104</v>
      </c>
      <c r="G7439" s="21">
        <v>2</v>
      </c>
      <c r="H7439" s="21">
        <v>3</v>
      </c>
      <c r="I7439" s="23" t="s">
        <v>3005</v>
      </c>
      <c r="J7439" s="21"/>
      <c r="K7439" s="21" t="s">
        <v>414</v>
      </c>
      <c r="L7439" s="21"/>
      <c r="M7439" s="21"/>
      <c r="N7439" s="21" t="s">
        <v>40</v>
      </c>
      <c r="O7439" s="21">
        <f>60+23</f>
        <v>83</v>
      </c>
      <c r="P7439" s="21"/>
      <c r="Q7439" s="21">
        <f t="shared" si="139"/>
        <v>2</v>
      </c>
      <c r="R7439" s="21">
        <v>1</v>
      </c>
      <c r="S7439" s="21">
        <v>0</v>
      </c>
      <c r="T7439" s="21">
        <v>0</v>
      </c>
      <c r="U7439" s="21">
        <v>0</v>
      </c>
      <c r="V7439" s="21">
        <v>0</v>
      </c>
      <c r="W7439" s="21">
        <v>1</v>
      </c>
      <c r="X7439" s="21">
        <v>1</v>
      </c>
      <c r="Y7439" s="21">
        <v>0</v>
      </c>
      <c r="Z7439" s="21">
        <v>0</v>
      </c>
      <c r="AA7439" s="21">
        <v>0</v>
      </c>
      <c r="AB7439" s="21">
        <v>0</v>
      </c>
      <c r="AC7439" s="21">
        <v>0</v>
      </c>
      <c r="AD7439" s="21">
        <v>0</v>
      </c>
      <c r="AE7439" s="21">
        <v>0</v>
      </c>
      <c r="AF7439" s="21">
        <v>0</v>
      </c>
      <c r="AG7439" s="21">
        <v>0</v>
      </c>
      <c r="AH7439" s="21">
        <f t="shared" si="140"/>
        <v>96</v>
      </c>
      <c r="AI7439" s="21"/>
      <c r="AJ7439" s="21" t="s">
        <v>51</v>
      </c>
      <c r="AK7439" s="21" t="s">
        <v>52</v>
      </c>
      <c r="AL7439" s="21" t="s">
        <v>3006</v>
      </c>
      <c r="AM7439" s="21" t="s">
        <v>3007</v>
      </c>
      <c r="AN7439" s="21">
        <v>-122.420146883333</v>
      </c>
      <c r="AO7439" s="21">
        <v>37.7879117833333</v>
      </c>
      <c r="AP7439" s="21" t="s">
        <v>1915</v>
      </c>
    </row>
    <row r="7440" spans="1:42">
      <c r="A7440" s="20">
        <v>43850</v>
      </c>
      <c r="B7440" s="21">
        <v>5</v>
      </c>
      <c r="C7440" s="21">
        <v>231</v>
      </c>
      <c r="D7440" s="21">
        <v>14468</v>
      </c>
      <c r="E7440" t="s">
        <v>112</v>
      </c>
      <c r="F7440" s="21" t="s">
        <v>104</v>
      </c>
      <c r="G7440" s="21">
        <v>2</v>
      </c>
      <c r="H7440" s="21">
        <v>4</v>
      </c>
      <c r="I7440" s="23" t="s">
        <v>3005</v>
      </c>
      <c r="J7440" s="21"/>
      <c r="K7440" s="21" t="s">
        <v>414</v>
      </c>
      <c r="L7440" s="21"/>
      <c r="M7440" s="21"/>
      <c r="N7440" s="21" t="s">
        <v>40</v>
      </c>
      <c r="O7440" s="21">
        <f>60+5</f>
        <v>65</v>
      </c>
      <c r="P7440" s="21"/>
      <c r="Q7440" s="21">
        <f t="shared" si="139"/>
        <v>2</v>
      </c>
      <c r="R7440" s="21">
        <v>1</v>
      </c>
      <c r="S7440" s="21">
        <v>0</v>
      </c>
      <c r="T7440" s="21">
        <v>0</v>
      </c>
      <c r="U7440" s="21">
        <v>0</v>
      </c>
      <c r="V7440" s="21">
        <v>1</v>
      </c>
      <c r="W7440" s="21">
        <v>1</v>
      </c>
      <c r="X7440" s="21">
        <v>0</v>
      </c>
      <c r="Y7440" s="21">
        <v>0</v>
      </c>
      <c r="Z7440" s="21">
        <v>0</v>
      </c>
      <c r="AA7440" s="21">
        <v>0</v>
      </c>
      <c r="AB7440" s="21">
        <v>0</v>
      </c>
      <c r="AC7440" s="21">
        <v>0</v>
      </c>
      <c r="AD7440" s="21">
        <v>0</v>
      </c>
      <c r="AE7440" s="21">
        <v>0</v>
      </c>
      <c r="AF7440" s="21">
        <v>0</v>
      </c>
      <c r="AG7440" s="21">
        <v>0</v>
      </c>
      <c r="AH7440" s="21">
        <f t="shared" si="140"/>
        <v>160</v>
      </c>
      <c r="AI7440" s="21"/>
      <c r="AJ7440" s="21"/>
      <c r="AK7440" s="21"/>
      <c r="AL7440" s="21" t="s">
        <v>3008</v>
      </c>
      <c r="AM7440" s="21" t="s">
        <v>3009</v>
      </c>
      <c r="AN7440" s="21">
        <v>-122.420213233333</v>
      </c>
      <c r="AO7440" s="21">
        <v>37.788265666666597</v>
      </c>
      <c r="AP7440" s="21" t="s">
        <v>1915</v>
      </c>
    </row>
    <row r="7441" spans="1:42">
      <c r="A7441" s="20">
        <v>43850</v>
      </c>
      <c r="B7441" s="21">
        <v>5</v>
      </c>
      <c r="C7441" s="21">
        <v>231</v>
      </c>
      <c r="D7441" s="21">
        <v>14468</v>
      </c>
      <c r="E7441" t="s">
        <v>112</v>
      </c>
      <c r="F7441" s="21" t="s">
        <v>104</v>
      </c>
      <c r="G7441" s="21">
        <v>2</v>
      </c>
      <c r="H7441" s="21">
        <v>5</v>
      </c>
      <c r="I7441" s="23" t="s">
        <v>3005</v>
      </c>
      <c r="J7441" s="21"/>
      <c r="K7441" s="21" t="s">
        <v>414</v>
      </c>
      <c r="L7441" s="21"/>
      <c r="M7441" s="21"/>
      <c r="N7441" s="21" t="s">
        <v>40</v>
      </c>
      <c r="O7441" s="21">
        <v>20</v>
      </c>
      <c r="P7441" s="21"/>
      <c r="Q7441" s="21">
        <f t="shared" si="139"/>
        <v>1</v>
      </c>
      <c r="R7441" s="21">
        <v>1</v>
      </c>
      <c r="S7441" s="21">
        <v>0</v>
      </c>
      <c r="T7441" s="21">
        <v>0</v>
      </c>
      <c r="U7441" s="21">
        <v>0</v>
      </c>
      <c r="V7441" s="21">
        <v>0</v>
      </c>
      <c r="W7441" s="21">
        <v>0</v>
      </c>
      <c r="X7441" s="21">
        <v>1</v>
      </c>
      <c r="Y7441" s="21">
        <v>0</v>
      </c>
      <c r="Z7441" s="21">
        <v>0</v>
      </c>
      <c r="AA7441" s="21">
        <v>0</v>
      </c>
      <c r="AB7441" s="21">
        <v>0</v>
      </c>
      <c r="AC7441" s="21">
        <v>0</v>
      </c>
      <c r="AD7441" s="21">
        <v>0</v>
      </c>
      <c r="AE7441" s="21">
        <v>0</v>
      </c>
      <c r="AF7441" s="21">
        <v>0</v>
      </c>
      <c r="AG7441" s="21">
        <v>0</v>
      </c>
      <c r="AH7441" s="21">
        <f t="shared" si="140"/>
        <v>0</v>
      </c>
      <c r="AI7441" s="21"/>
      <c r="AJ7441" s="21"/>
      <c r="AK7441" s="21"/>
      <c r="AL7441" s="21" t="s">
        <v>470</v>
      </c>
      <c r="AM7441" s="21" t="s">
        <v>3010</v>
      </c>
      <c r="AN7441" s="21">
        <v>-122.420494866667</v>
      </c>
      <c r="AO7441" s="21">
        <v>37.788961683333298</v>
      </c>
      <c r="AP7441" s="21" t="s">
        <v>1915</v>
      </c>
    </row>
    <row r="7442" spans="1:42">
      <c r="A7442" s="20">
        <v>43850</v>
      </c>
      <c r="B7442" s="21">
        <v>5</v>
      </c>
      <c r="C7442" s="21">
        <v>231</v>
      </c>
      <c r="D7442" s="21">
        <v>14468</v>
      </c>
      <c r="E7442" t="s">
        <v>112</v>
      </c>
      <c r="F7442" s="21" t="s">
        <v>104</v>
      </c>
      <c r="G7442" s="21">
        <v>2</v>
      </c>
      <c r="H7442" s="21">
        <v>6</v>
      </c>
      <c r="I7442" s="23" t="s">
        <v>3011</v>
      </c>
      <c r="J7442" s="21"/>
      <c r="K7442" s="21" t="s">
        <v>414</v>
      </c>
      <c r="L7442" s="21"/>
      <c r="M7442" s="21"/>
      <c r="N7442" s="21" t="s">
        <v>40</v>
      </c>
      <c r="O7442" s="21">
        <v>26</v>
      </c>
      <c r="P7442" s="21"/>
      <c r="Q7442" s="21">
        <f t="shared" si="139"/>
        <v>1</v>
      </c>
      <c r="R7442" s="21">
        <v>1</v>
      </c>
      <c r="S7442" s="21">
        <v>0</v>
      </c>
      <c r="T7442" s="21">
        <v>0</v>
      </c>
      <c r="U7442" s="21">
        <v>0</v>
      </c>
      <c r="V7442" s="21">
        <v>0</v>
      </c>
      <c r="W7442" s="21">
        <v>0</v>
      </c>
      <c r="X7442" s="21">
        <v>1</v>
      </c>
      <c r="Y7442" s="21">
        <v>0</v>
      </c>
      <c r="Z7442" s="21">
        <v>0</v>
      </c>
      <c r="AA7442" s="21">
        <v>0</v>
      </c>
      <c r="AB7442" s="21">
        <v>0</v>
      </c>
      <c r="AC7442" s="21">
        <v>0</v>
      </c>
      <c r="AD7442" s="21">
        <v>0</v>
      </c>
      <c r="AE7442" s="21">
        <v>0</v>
      </c>
      <c r="AF7442" s="21">
        <v>0</v>
      </c>
      <c r="AG7442" s="21">
        <v>0</v>
      </c>
      <c r="AH7442" s="21">
        <f t="shared" si="140"/>
        <v>0</v>
      </c>
      <c r="AI7442" s="21"/>
      <c r="AJ7442" s="21"/>
      <c r="AK7442" s="21"/>
      <c r="AL7442" s="21" t="s">
        <v>470</v>
      </c>
      <c r="AM7442" s="21" t="s">
        <v>3012</v>
      </c>
      <c r="AN7442" s="21">
        <v>-122.420452966667</v>
      </c>
      <c r="AO7442" s="21">
        <v>37.789584650000002</v>
      </c>
      <c r="AP7442" s="21" t="s">
        <v>1915</v>
      </c>
    </row>
    <row r="7443" spans="1:42">
      <c r="A7443" s="20">
        <v>43850</v>
      </c>
      <c r="B7443" s="21">
        <v>5</v>
      </c>
      <c r="C7443" s="21">
        <v>231</v>
      </c>
      <c r="D7443" s="21">
        <v>14468</v>
      </c>
      <c r="E7443" t="s">
        <v>112</v>
      </c>
      <c r="F7443" s="21" t="s">
        <v>104</v>
      </c>
      <c r="G7443" s="21">
        <v>2</v>
      </c>
      <c r="H7443" s="21">
        <v>7</v>
      </c>
      <c r="I7443" s="23" t="s">
        <v>3013</v>
      </c>
      <c r="J7443" s="21"/>
      <c r="K7443" s="21" t="s">
        <v>414</v>
      </c>
      <c r="L7443" s="21"/>
      <c r="M7443" s="21"/>
      <c r="N7443" s="21" t="s">
        <v>40</v>
      </c>
      <c r="O7443" s="21">
        <v>48</v>
      </c>
      <c r="P7443" s="21"/>
      <c r="Q7443" s="21">
        <f t="shared" si="139"/>
        <v>2</v>
      </c>
      <c r="R7443" s="21">
        <v>1</v>
      </c>
      <c r="S7443" s="21">
        <v>0</v>
      </c>
      <c r="T7443" s="21">
        <v>0</v>
      </c>
      <c r="U7443" s="21">
        <v>2</v>
      </c>
      <c r="V7443" s="21">
        <v>0</v>
      </c>
      <c r="W7443" s="21">
        <v>0</v>
      </c>
      <c r="X7443" s="21">
        <v>0</v>
      </c>
      <c r="Y7443" s="21">
        <v>0</v>
      </c>
      <c r="Z7443" s="21">
        <v>0</v>
      </c>
      <c r="AA7443" s="21">
        <v>0</v>
      </c>
      <c r="AB7443" s="21">
        <v>0</v>
      </c>
      <c r="AC7443" s="21">
        <v>0</v>
      </c>
      <c r="AD7443" s="21">
        <v>0</v>
      </c>
      <c r="AE7443" s="21">
        <v>0</v>
      </c>
      <c r="AF7443" s="21">
        <v>0</v>
      </c>
      <c r="AG7443" s="21">
        <v>0</v>
      </c>
      <c r="AH7443" s="21">
        <f t="shared" si="140"/>
        <v>64</v>
      </c>
      <c r="AI7443" s="21"/>
      <c r="AJ7443" s="21"/>
      <c r="AK7443" s="21"/>
      <c r="AL7443" s="21" t="s">
        <v>3014</v>
      </c>
      <c r="AM7443" s="21" t="s">
        <v>3015</v>
      </c>
      <c r="AN7443" s="21">
        <v>-122.420673416667</v>
      </c>
      <c r="AO7443" s="21">
        <v>37.789938883333299</v>
      </c>
      <c r="AP7443" s="21" t="s">
        <v>1915</v>
      </c>
    </row>
    <row r="7444" spans="1:42">
      <c r="A7444" s="20">
        <v>43850</v>
      </c>
      <c r="B7444" s="21">
        <v>5</v>
      </c>
      <c r="C7444" s="21">
        <v>231</v>
      </c>
      <c r="D7444" s="21">
        <v>14468</v>
      </c>
      <c r="E7444" t="s">
        <v>112</v>
      </c>
      <c r="F7444" s="21" t="s">
        <v>104</v>
      </c>
      <c r="G7444" s="21">
        <v>2</v>
      </c>
      <c r="H7444" s="21">
        <v>8</v>
      </c>
      <c r="I7444" s="23" t="s">
        <v>3013</v>
      </c>
      <c r="J7444" s="21"/>
      <c r="K7444" s="21" t="s">
        <v>414</v>
      </c>
      <c r="L7444" s="21"/>
      <c r="M7444" s="21"/>
      <c r="N7444" s="21" t="s">
        <v>40</v>
      </c>
      <c r="O7444" s="21">
        <f>60+11</f>
        <v>71</v>
      </c>
      <c r="P7444" s="21"/>
      <c r="Q7444" s="21">
        <f t="shared" si="139"/>
        <v>1</v>
      </c>
      <c r="R7444" s="21">
        <v>1</v>
      </c>
      <c r="S7444" s="21">
        <v>0</v>
      </c>
      <c r="T7444" s="21">
        <v>0</v>
      </c>
      <c r="U7444" s="21">
        <v>0</v>
      </c>
      <c r="V7444" s="21">
        <v>1</v>
      </c>
      <c r="W7444" s="21">
        <v>0</v>
      </c>
      <c r="X7444" s="21">
        <v>0</v>
      </c>
      <c r="Y7444" s="21">
        <v>0</v>
      </c>
      <c r="Z7444" s="21">
        <v>0</v>
      </c>
      <c r="AA7444" s="21">
        <v>0</v>
      </c>
      <c r="AB7444" s="21">
        <v>0</v>
      </c>
      <c r="AC7444" s="21">
        <v>0</v>
      </c>
      <c r="AD7444" s="21">
        <v>0</v>
      </c>
      <c r="AE7444" s="21">
        <v>0</v>
      </c>
      <c r="AF7444" s="21">
        <v>0</v>
      </c>
      <c r="AG7444" s="21">
        <v>0</v>
      </c>
      <c r="AH7444" s="21">
        <f t="shared" si="140"/>
        <v>64</v>
      </c>
      <c r="AI7444" s="21"/>
      <c r="AJ7444" s="21" t="s">
        <v>54</v>
      </c>
      <c r="AK7444" s="21" t="s">
        <v>95</v>
      </c>
      <c r="AL7444" s="21"/>
      <c r="AM7444" s="21" t="s">
        <v>3016</v>
      </c>
      <c r="AN7444" s="21">
        <v>-122.420586483333</v>
      </c>
      <c r="AO7444" s="21">
        <v>37.789980733333302</v>
      </c>
      <c r="AP7444" s="21" t="s">
        <v>1915</v>
      </c>
    </row>
    <row r="7445" spans="1:42">
      <c r="A7445" s="20">
        <v>43850</v>
      </c>
      <c r="B7445" s="21">
        <v>5</v>
      </c>
      <c r="C7445" s="21">
        <v>231</v>
      </c>
      <c r="D7445" s="21">
        <v>14468</v>
      </c>
      <c r="E7445" t="s">
        <v>112</v>
      </c>
      <c r="F7445" s="21" t="s">
        <v>104</v>
      </c>
      <c r="G7445" s="21">
        <v>2</v>
      </c>
      <c r="H7445" s="21">
        <v>9</v>
      </c>
      <c r="I7445" s="23" t="s">
        <v>3013</v>
      </c>
      <c r="J7445" s="21"/>
      <c r="K7445" s="21" t="s">
        <v>414</v>
      </c>
      <c r="L7445" s="21" t="s">
        <v>114</v>
      </c>
      <c r="M7445" s="21"/>
      <c r="N7445" s="21" t="s">
        <v>40</v>
      </c>
      <c r="O7445" s="21">
        <v>60</v>
      </c>
      <c r="P7445" s="21"/>
      <c r="Q7445" s="21">
        <f t="shared" si="139"/>
        <v>2</v>
      </c>
      <c r="R7445" s="21">
        <v>1</v>
      </c>
      <c r="S7445" s="21">
        <v>0</v>
      </c>
      <c r="T7445" s="21">
        <v>0</v>
      </c>
      <c r="U7445" s="21">
        <v>1</v>
      </c>
      <c r="V7445" s="21">
        <v>1</v>
      </c>
      <c r="W7445" s="21">
        <v>0</v>
      </c>
      <c r="X7445" s="21">
        <v>0</v>
      </c>
      <c r="Y7445" s="21">
        <v>0</v>
      </c>
      <c r="Z7445" s="21">
        <v>0</v>
      </c>
      <c r="AA7445" s="21">
        <v>0</v>
      </c>
      <c r="AB7445" s="21">
        <v>0</v>
      </c>
      <c r="AC7445" s="21">
        <v>0</v>
      </c>
      <c r="AD7445" s="21">
        <v>0</v>
      </c>
      <c r="AE7445" s="21">
        <v>0</v>
      </c>
      <c r="AF7445" s="21">
        <v>0</v>
      </c>
      <c r="AG7445" s="21">
        <v>0</v>
      </c>
      <c r="AH7445" s="21">
        <f t="shared" si="140"/>
        <v>96</v>
      </c>
      <c r="AI7445" s="21"/>
      <c r="AJ7445" s="21"/>
      <c r="AK7445" s="21"/>
      <c r="AL7445" s="21"/>
      <c r="AM7445" s="21" t="s">
        <v>3017</v>
      </c>
      <c r="AN7445" s="21">
        <v>-122.420679283333</v>
      </c>
      <c r="AO7445" s="21">
        <v>37.790064916666601</v>
      </c>
      <c r="AP7445" s="21" t="s">
        <v>1915</v>
      </c>
    </row>
    <row r="7446" spans="1:42">
      <c r="A7446" s="20">
        <v>43850</v>
      </c>
      <c r="B7446" s="21">
        <v>5</v>
      </c>
      <c r="C7446" s="21">
        <v>231</v>
      </c>
      <c r="D7446" s="21">
        <v>14468</v>
      </c>
      <c r="E7446" t="s">
        <v>112</v>
      </c>
      <c r="F7446" s="21" t="s">
        <v>104</v>
      </c>
      <c r="G7446" s="21">
        <v>2</v>
      </c>
      <c r="H7446" s="21">
        <v>10</v>
      </c>
      <c r="I7446" s="23" t="s">
        <v>3013</v>
      </c>
      <c r="J7446" s="21"/>
      <c r="K7446" s="21" t="s">
        <v>414</v>
      </c>
      <c r="L7446" s="21"/>
      <c r="M7446" s="21"/>
      <c r="N7446" s="21" t="s">
        <v>40</v>
      </c>
      <c r="O7446" s="21">
        <v>42</v>
      </c>
      <c r="P7446" s="21"/>
      <c r="Q7446" s="21">
        <f t="shared" si="139"/>
        <v>1</v>
      </c>
      <c r="R7446" s="21">
        <v>1</v>
      </c>
      <c r="S7446" s="21">
        <v>0</v>
      </c>
      <c r="T7446" s="21">
        <v>0</v>
      </c>
      <c r="U7446" s="21">
        <v>0</v>
      </c>
      <c r="V7446" s="21">
        <v>0</v>
      </c>
      <c r="W7446" s="21">
        <v>0</v>
      </c>
      <c r="X7446" s="21">
        <v>1</v>
      </c>
      <c r="Y7446" s="21">
        <v>0</v>
      </c>
      <c r="Z7446" s="21">
        <v>0</v>
      </c>
      <c r="AA7446" s="21">
        <v>0</v>
      </c>
      <c r="AB7446" s="21">
        <v>0</v>
      </c>
      <c r="AC7446" s="21">
        <v>0</v>
      </c>
      <c r="AD7446" s="21">
        <v>0</v>
      </c>
      <c r="AE7446" s="21">
        <v>0</v>
      </c>
      <c r="AF7446" s="21">
        <v>0</v>
      </c>
      <c r="AG7446" s="21">
        <v>0</v>
      </c>
      <c r="AH7446" s="21">
        <f t="shared" si="140"/>
        <v>0</v>
      </c>
      <c r="AI7446" s="21"/>
      <c r="AJ7446" s="21" t="s">
        <v>51</v>
      </c>
      <c r="AK7446" s="21" t="s">
        <v>95</v>
      </c>
      <c r="AL7446" s="21" t="s">
        <v>3018</v>
      </c>
      <c r="AM7446" s="21" t="s">
        <v>3019</v>
      </c>
      <c r="AN7446" s="21">
        <v>-122.420644516667</v>
      </c>
      <c r="AO7446" s="21">
        <v>37.790449350000003</v>
      </c>
      <c r="AP7446" s="21" t="s">
        <v>1915</v>
      </c>
    </row>
    <row r="7447" spans="1:42">
      <c r="A7447" s="20">
        <v>43850</v>
      </c>
      <c r="B7447" s="21">
        <v>5</v>
      </c>
      <c r="C7447" s="21">
        <v>231</v>
      </c>
      <c r="D7447" s="21">
        <v>14468</v>
      </c>
      <c r="E7447" t="s">
        <v>112</v>
      </c>
      <c r="F7447" s="21" t="s">
        <v>104</v>
      </c>
      <c r="G7447" s="21">
        <v>2</v>
      </c>
      <c r="H7447" s="21">
        <v>11</v>
      </c>
      <c r="I7447" s="23" t="s">
        <v>3013</v>
      </c>
      <c r="J7447" s="21"/>
      <c r="K7447" s="21" t="s">
        <v>414</v>
      </c>
      <c r="L7447" s="21" t="s">
        <v>141</v>
      </c>
      <c r="M7447" s="21"/>
      <c r="N7447" s="21" t="s">
        <v>40</v>
      </c>
      <c r="O7447" s="21">
        <v>29</v>
      </c>
      <c r="P7447" s="21"/>
      <c r="Q7447" s="21">
        <f t="shared" si="139"/>
        <v>1</v>
      </c>
      <c r="R7447" s="21">
        <v>1</v>
      </c>
      <c r="S7447" s="21">
        <v>0</v>
      </c>
      <c r="T7447" s="21">
        <v>0</v>
      </c>
      <c r="U7447" s="21">
        <v>0</v>
      </c>
      <c r="V7447" s="21">
        <v>0</v>
      </c>
      <c r="W7447" s="21">
        <v>0</v>
      </c>
      <c r="X7447" s="21">
        <v>1</v>
      </c>
      <c r="Y7447" s="21">
        <v>0</v>
      </c>
      <c r="Z7447" s="21">
        <v>0</v>
      </c>
      <c r="AA7447" s="21">
        <v>0</v>
      </c>
      <c r="AB7447" s="21">
        <v>0</v>
      </c>
      <c r="AC7447" s="21">
        <v>0</v>
      </c>
      <c r="AD7447" s="21">
        <v>0</v>
      </c>
      <c r="AE7447" s="21">
        <v>0</v>
      </c>
      <c r="AF7447" s="21">
        <v>0</v>
      </c>
      <c r="AG7447" s="21">
        <v>0</v>
      </c>
      <c r="AH7447" s="21">
        <f t="shared" si="140"/>
        <v>0</v>
      </c>
      <c r="AI7447" s="21"/>
      <c r="AJ7447" s="21"/>
      <c r="AK7447" s="21"/>
      <c r="AL7447" s="21" t="s">
        <v>456</v>
      </c>
      <c r="AM7447" s="21" t="s">
        <v>3020</v>
      </c>
      <c r="AN7447" s="21">
        <v>-122.4210049</v>
      </c>
      <c r="AO7447" s="21">
        <v>37.790269383333303</v>
      </c>
      <c r="AP7447" s="21" t="s">
        <v>1915</v>
      </c>
    </row>
    <row r="7448" spans="1:42">
      <c r="A7448" s="20">
        <v>43850</v>
      </c>
      <c r="B7448" s="21">
        <v>5</v>
      </c>
      <c r="C7448" s="21">
        <v>231</v>
      </c>
      <c r="D7448" s="21">
        <v>14468</v>
      </c>
      <c r="E7448" t="s">
        <v>112</v>
      </c>
      <c r="F7448" s="21" t="s">
        <v>104</v>
      </c>
      <c r="G7448" s="21">
        <v>2</v>
      </c>
      <c r="H7448" s="21">
        <v>12</v>
      </c>
      <c r="I7448" s="23" t="s">
        <v>3013</v>
      </c>
      <c r="J7448" s="21"/>
      <c r="K7448" s="21" t="s">
        <v>414</v>
      </c>
      <c r="L7448" s="21"/>
      <c r="M7448" s="21"/>
      <c r="N7448" s="21" t="s">
        <v>40</v>
      </c>
      <c r="O7448" s="21">
        <f>60+22</f>
        <v>82</v>
      </c>
      <c r="P7448" s="21"/>
      <c r="Q7448" s="21">
        <f t="shared" si="139"/>
        <v>2</v>
      </c>
      <c r="R7448" s="21">
        <v>1</v>
      </c>
      <c r="S7448" s="21">
        <v>0</v>
      </c>
      <c r="T7448" s="21">
        <v>0</v>
      </c>
      <c r="U7448" s="21">
        <v>0</v>
      </c>
      <c r="V7448" s="21">
        <v>2</v>
      </c>
      <c r="W7448" s="21">
        <v>0</v>
      </c>
      <c r="X7448" s="21">
        <v>0</v>
      </c>
      <c r="Y7448" s="21">
        <v>0</v>
      </c>
      <c r="Z7448" s="21">
        <v>0</v>
      </c>
      <c r="AA7448" s="21">
        <v>0</v>
      </c>
      <c r="AB7448" s="21">
        <v>0</v>
      </c>
      <c r="AC7448" s="21">
        <v>0</v>
      </c>
      <c r="AD7448" s="21">
        <v>0</v>
      </c>
      <c r="AE7448" s="21">
        <v>0</v>
      </c>
      <c r="AF7448" s="21">
        <v>2</v>
      </c>
      <c r="AG7448" s="21">
        <v>0</v>
      </c>
      <c r="AH7448" s="21">
        <f t="shared" si="140"/>
        <v>128</v>
      </c>
      <c r="AI7448" s="21"/>
      <c r="AJ7448" s="21" t="s">
        <v>51</v>
      </c>
      <c r="AK7448" s="21" t="s">
        <v>95</v>
      </c>
      <c r="AL7448" s="21" t="s">
        <v>3021</v>
      </c>
      <c r="AM7448" s="21" t="s">
        <v>3022</v>
      </c>
      <c r="AN7448" s="21">
        <v>-122.420648766667</v>
      </c>
      <c r="AO7448" s="21">
        <v>37.790207766666597</v>
      </c>
      <c r="AP7448" s="21" t="s">
        <v>1915</v>
      </c>
    </row>
    <row r="7449" spans="1:42">
      <c r="A7449" s="20">
        <v>43850</v>
      </c>
      <c r="B7449" s="21">
        <v>5</v>
      </c>
      <c r="C7449" s="21">
        <v>231</v>
      </c>
      <c r="D7449" s="21">
        <v>14468</v>
      </c>
      <c r="E7449" t="s">
        <v>112</v>
      </c>
      <c r="F7449" s="21" t="s">
        <v>104</v>
      </c>
      <c r="G7449" s="21">
        <v>2</v>
      </c>
      <c r="H7449" s="21">
        <v>13</v>
      </c>
      <c r="I7449" s="23" t="s">
        <v>3013</v>
      </c>
      <c r="J7449" s="21"/>
      <c r="K7449" s="21" t="s">
        <v>414</v>
      </c>
      <c r="L7449" s="21" t="s">
        <v>141</v>
      </c>
      <c r="M7449" s="21"/>
      <c r="N7449" s="21" t="s">
        <v>40</v>
      </c>
      <c r="O7449" s="21">
        <f>60+60+60+4</f>
        <v>184</v>
      </c>
      <c r="P7449" s="21"/>
      <c r="Q7449" s="21">
        <f t="shared" si="139"/>
        <v>5</v>
      </c>
      <c r="R7449" s="21">
        <v>1</v>
      </c>
      <c r="S7449" s="21">
        <v>0</v>
      </c>
      <c r="T7449" s="21">
        <v>0</v>
      </c>
      <c r="U7449" s="21">
        <v>2</v>
      </c>
      <c r="V7449" s="21">
        <v>2</v>
      </c>
      <c r="W7449" s="21">
        <v>1</v>
      </c>
      <c r="X7449" s="21">
        <v>0</v>
      </c>
      <c r="Y7449" s="21">
        <v>0</v>
      </c>
      <c r="Z7449" s="21">
        <v>0</v>
      </c>
      <c r="AA7449" s="21">
        <v>0</v>
      </c>
      <c r="AB7449" s="21">
        <v>0</v>
      </c>
      <c r="AC7449" s="21">
        <v>0</v>
      </c>
      <c r="AD7449" s="21">
        <v>0</v>
      </c>
      <c r="AE7449" s="21">
        <v>0</v>
      </c>
      <c r="AF7449" s="21">
        <v>3</v>
      </c>
      <c r="AG7449" s="21">
        <v>0</v>
      </c>
      <c r="AH7449" s="21">
        <f t="shared" si="140"/>
        <v>288</v>
      </c>
      <c r="AI7449" s="21"/>
      <c r="AJ7449" s="21" t="s">
        <v>3023</v>
      </c>
      <c r="AK7449" s="21" t="s">
        <v>95</v>
      </c>
      <c r="AL7449" s="21" t="s">
        <v>3024</v>
      </c>
      <c r="AM7449" s="21" t="s">
        <v>3025</v>
      </c>
      <c r="AN7449" s="21">
        <v>-122.42067186666701</v>
      </c>
      <c r="AO7449" s="21">
        <v>37.790115683333298</v>
      </c>
      <c r="AP7449" s="21" t="s">
        <v>1915</v>
      </c>
    </row>
    <row r="7450" spans="1:42">
      <c r="A7450" s="20">
        <v>43850</v>
      </c>
      <c r="B7450" s="21">
        <v>5</v>
      </c>
      <c r="C7450" s="21">
        <v>231</v>
      </c>
      <c r="D7450" s="21">
        <v>14468</v>
      </c>
      <c r="E7450" t="s">
        <v>112</v>
      </c>
      <c r="F7450" s="21" t="s">
        <v>104</v>
      </c>
      <c r="G7450" s="21">
        <v>2</v>
      </c>
      <c r="H7450" s="21">
        <v>15</v>
      </c>
      <c r="I7450" s="23" t="s">
        <v>3013</v>
      </c>
      <c r="J7450" s="21"/>
      <c r="K7450" s="21" t="s">
        <v>414</v>
      </c>
      <c r="L7450" s="21" t="s">
        <v>141</v>
      </c>
      <c r="M7450" s="21"/>
      <c r="N7450" s="21" t="s">
        <v>40</v>
      </c>
      <c r="O7450" s="21">
        <f>60+60+60+40</f>
        <v>220</v>
      </c>
      <c r="P7450" s="21"/>
      <c r="Q7450" s="21">
        <f t="shared" si="139"/>
        <v>7</v>
      </c>
      <c r="R7450" s="21">
        <v>1</v>
      </c>
      <c r="S7450" s="21">
        <v>0</v>
      </c>
      <c r="T7450" s="21">
        <v>0</v>
      </c>
      <c r="U7450" s="21">
        <v>2</v>
      </c>
      <c r="V7450" s="21">
        <v>3</v>
      </c>
      <c r="W7450" s="21">
        <v>2</v>
      </c>
      <c r="X7450" s="21">
        <v>0</v>
      </c>
      <c r="Y7450" s="21">
        <v>0</v>
      </c>
      <c r="Z7450" s="21">
        <v>0</v>
      </c>
      <c r="AA7450" s="21">
        <v>0</v>
      </c>
      <c r="AB7450" s="21">
        <v>0</v>
      </c>
      <c r="AC7450" s="21">
        <v>0</v>
      </c>
      <c r="AD7450" s="21">
        <v>0</v>
      </c>
      <c r="AE7450" s="21">
        <v>0</v>
      </c>
      <c r="AF7450" s="21">
        <v>0</v>
      </c>
      <c r="AG7450" s="21">
        <v>2</v>
      </c>
      <c r="AH7450" s="21">
        <f t="shared" si="140"/>
        <v>448</v>
      </c>
      <c r="AI7450" s="21"/>
      <c r="AJ7450" s="21" t="s">
        <v>51</v>
      </c>
      <c r="AK7450" s="21" t="s">
        <v>95</v>
      </c>
      <c r="AL7450" s="21"/>
      <c r="AM7450" s="21" t="s">
        <v>3026</v>
      </c>
      <c r="AN7450" s="21">
        <v>-122.4205764</v>
      </c>
      <c r="AO7450" s="21">
        <v>37.789744683333303</v>
      </c>
      <c r="AP7450" s="21" t="s">
        <v>1915</v>
      </c>
    </row>
    <row r="7451" spans="1:42">
      <c r="A7451" s="20">
        <v>43850</v>
      </c>
      <c r="B7451" s="21">
        <v>5</v>
      </c>
      <c r="C7451" s="21">
        <v>231</v>
      </c>
      <c r="D7451" s="21">
        <v>14468</v>
      </c>
      <c r="E7451" t="s">
        <v>112</v>
      </c>
      <c r="F7451" s="21" t="s">
        <v>104</v>
      </c>
      <c r="G7451" s="21">
        <v>2</v>
      </c>
      <c r="H7451" s="21">
        <v>16</v>
      </c>
      <c r="I7451" s="23" t="s">
        <v>3011</v>
      </c>
      <c r="J7451" s="21"/>
      <c r="K7451" s="21" t="s">
        <v>414</v>
      </c>
      <c r="L7451" s="21"/>
      <c r="M7451" s="21"/>
      <c r="N7451" s="21" t="s">
        <v>40</v>
      </c>
      <c r="O7451" s="21">
        <f>60+4</f>
        <v>64</v>
      </c>
      <c r="P7451" s="21"/>
      <c r="Q7451" s="21">
        <f t="shared" si="139"/>
        <v>2</v>
      </c>
      <c r="R7451" s="21">
        <v>1</v>
      </c>
      <c r="S7451" s="21">
        <v>0</v>
      </c>
      <c r="T7451" s="21">
        <v>0</v>
      </c>
      <c r="U7451" s="21">
        <v>0</v>
      </c>
      <c r="V7451" s="21">
        <v>0</v>
      </c>
      <c r="W7451" s="21">
        <v>1</v>
      </c>
      <c r="X7451" s="21">
        <v>1</v>
      </c>
      <c r="Y7451" s="21">
        <v>0</v>
      </c>
      <c r="Z7451" s="21">
        <v>0</v>
      </c>
      <c r="AA7451" s="21">
        <v>0</v>
      </c>
      <c r="AB7451" s="21">
        <v>0</v>
      </c>
      <c r="AC7451" s="21">
        <v>0</v>
      </c>
      <c r="AD7451" s="21">
        <v>0</v>
      </c>
      <c r="AE7451" s="21">
        <v>0</v>
      </c>
      <c r="AF7451" s="21">
        <v>1</v>
      </c>
      <c r="AG7451" s="21">
        <v>0</v>
      </c>
      <c r="AH7451" s="21">
        <f t="shared" si="140"/>
        <v>96</v>
      </c>
      <c r="AI7451" s="21"/>
      <c r="AJ7451" s="21" t="s">
        <v>51</v>
      </c>
      <c r="AK7451" s="21" t="s">
        <v>95</v>
      </c>
      <c r="AL7451" s="21" t="s">
        <v>3027</v>
      </c>
      <c r="AM7451" s="21" t="s">
        <v>3028</v>
      </c>
      <c r="AN7451" s="21">
        <v>-122.420517916667</v>
      </c>
      <c r="AO7451" s="21">
        <v>37.789511716666702</v>
      </c>
      <c r="AP7451" s="21" t="s">
        <v>1915</v>
      </c>
    </row>
    <row r="7452" spans="1:42">
      <c r="A7452" s="20">
        <v>43850</v>
      </c>
      <c r="B7452" s="21">
        <v>5</v>
      </c>
      <c r="C7452" s="21">
        <v>231</v>
      </c>
      <c r="D7452" s="21">
        <v>14468</v>
      </c>
      <c r="E7452" t="s">
        <v>112</v>
      </c>
      <c r="F7452" s="21" t="s">
        <v>104</v>
      </c>
      <c r="G7452" s="21">
        <v>2</v>
      </c>
      <c r="H7452" s="21">
        <v>17</v>
      </c>
      <c r="I7452" s="23" t="s">
        <v>3011</v>
      </c>
      <c r="J7452" s="21"/>
      <c r="K7452" s="21" t="s">
        <v>414</v>
      </c>
      <c r="L7452" s="21" t="s">
        <v>114</v>
      </c>
      <c r="M7452" s="21" t="s">
        <v>95</v>
      </c>
      <c r="N7452" s="21" t="s">
        <v>40</v>
      </c>
      <c r="O7452" s="21">
        <f>60+36</f>
        <v>96</v>
      </c>
      <c r="P7452" s="21"/>
      <c r="Q7452" s="21">
        <f t="shared" si="139"/>
        <v>2</v>
      </c>
      <c r="R7452" s="21">
        <v>1</v>
      </c>
      <c r="S7452" s="21">
        <v>0</v>
      </c>
      <c r="T7452" s="21">
        <v>0</v>
      </c>
      <c r="U7452" s="21">
        <v>0</v>
      </c>
      <c r="V7452" s="21">
        <v>2</v>
      </c>
      <c r="W7452" s="21">
        <v>0</v>
      </c>
      <c r="X7452" s="21">
        <v>0</v>
      </c>
      <c r="Y7452" s="21">
        <v>0</v>
      </c>
      <c r="Z7452" s="21">
        <v>0</v>
      </c>
      <c r="AA7452" s="21">
        <v>0</v>
      </c>
      <c r="AB7452" s="21">
        <v>0</v>
      </c>
      <c r="AC7452" s="21">
        <v>0</v>
      </c>
      <c r="AD7452" s="21">
        <v>0</v>
      </c>
      <c r="AE7452" s="21">
        <v>0</v>
      </c>
      <c r="AF7452" s="21">
        <v>0</v>
      </c>
      <c r="AG7452" s="21">
        <v>0</v>
      </c>
      <c r="AH7452" s="21">
        <f t="shared" si="140"/>
        <v>128</v>
      </c>
      <c r="AI7452" s="21"/>
      <c r="AJ7452" s="21" t="s">
        <v>3023</v>
      </c>
      <c r="AK7452" s="21" t="s">
        <v>95</v>
      </c>
      <c r="AL7452" s="21"/>
      <c r="AM7452" s="21" t="s">
        <v>3029</v>
      </c>
      <c r="AN7452" s="21">
        <v>-122.4204416</v>
      </c>
      <c r="AO7452" s="21">
        <v>37.789279116666698</v>
      </c>
      <c r="AP7452" s="21" t="s">
        <v>1915</v>
      </c>
    </row>
    <row r="7453" spans="1:42">
      <c r="A7453" s="20">
        <v>43850</v>
      </c>
      <c r="B7453" s="21">
        <v>5</v>
      </c>
      <c r="C7453" s="21">
        <v>231</v>
      </c>
      <c r="D7453" s="21">
        <v>14468</v>
      </c>
      <c r="E7453" t="s">
        <v>112</v>
      </c>
      <c r="F7453" s="21" t="s">
        <v>104</v>
      </c>
      <c r="G7453" s="21">
        <v>2</v>
      </c>
      <c r="H7453" s="21">
        <v>18</v>
      </c>
      <c r="I7453" s="23" t="s">
        <v>3011</v>
      </c>
      <c r="J7453" s="21"/>
      <c r="K7453" s="21" t="s">
        <v>414</v>
      </c>
      <c r="L7453" s="21" t="s">
        <v>141</v>
      </c>
      <c r="M7453" s="21"/>
      <c r="N7453" s="21" t="s">
        <v>40</v>
      </c>
      <c r="O7453" s="21">
        <f>60+22</f>
        <v>82</v>
      </c>
      <c r="P7453" s="21"/>
      <c r="Q7453" s="21">
        <f t="shared" si="139"/>
        <v>2</v>
      </c>
      <c r="R7453" s="21">
        <v>1</v>
      </c>
      <c r="S7453" s="21">
        <v>0</v>
      </c>
      <c r="T7453" s="21">
        <v>0</v>
      </c>
      <c r="U7453" s="21">
        <v>2</v>
      </c>
      <c r="V7453" s="21">
        <v>0</v>
      </c>
      <c r="W7453" s="21">
        <v>0</v>
      </c>
      <c r="X7453" s="21">
        <v>0</v>
      </c>
      <c r="Y7453" s="21">
        <v>0</v>
      </c>
      <c r="Z7453" s="21">
        <v>0</v>
      </c>
      <c r="AA7453" s="21">
        <v>0</v>
      </c>
      <c r="AB7453" s="21">
        <v>0</v>
      </c>
      <c r="AC7453" s="21">
        <v>0</v>
      </c>
      <c r="AD7453" s="21">
        <v>0</v>
      </c>
      <c r="AE7453" s="21">
        <v>0</v>
      </c>
      <c r="AF7453" s="21">
        <v>0</v>
      </c>
      <c r="AG7453" s="21">
        <v>0</v>
      </c>
      <c r="AH7453" s="21">
        <f t="shared" si="140"/>
        <v>64</v>
      </c>
      <c r="AI7453" s="21"/>
      <c r="AJ7453" s="21" t="s">
        <v>51</v>
      </c>
      <c r="AK7453" s="21" t="s">
        <v>95</v>
      </c>
      <c r="AL7453" s="21" t="s">
        <v>3030</v>
      </c>
      <c r="AM7453" s="21" t="s">
        <v>3031</v>
      </c>
      <c r="AN7453" s="21">
        <v>-122.420395916667</v>
      </c>
      <c r="AO7453" s="21">
        <v>37.789124433333299</v>
      </c>
      <c r="AP7453" s="21" t="s">
        <v>1915</v>
      </c>
    </row>
    <row r="7454" spans="1:42">
      <c r="A7454" s="20">
        <v>43850</v>
      </c>
      <c r="B7454" s="21">
        <v>5</v>
      </c>
      <c r="C7454" s="21">
        <v>231</v>
      </c>
      <c r="D7454" s="21">
        <v>14468</v>
      </c>
      <c r="E7454" t="s">
        <v>112</v>
      </c>
      <c r="F7454" s="21" t="s">
        <v>104</v>
      </c>
      <c r="G7454" s="21">
        <v>2</v>
      </c>
      <c r="H7454" s="21">
        <v>19</v>
      </c>
      <c r="I7454" s="23" t="s">
        <v>3011</v>
      </c>
      <c r="J7454" s="21"/>
      <c r="K7454" s="21" t="s">
        <v>414</v>
      </c>
      <c r="L7454" s="21" t="s">
        <v>141</v>
      </c>
      <c r="M7454" s="21"/>
      <c r="N7454" s="21" t="s">
        <v>40</v>
      </c>
      <c r="O7454" s="21">
        <v>45</v>
      </c>
      <c r="P7454" s="21"/>
      <c r="Q7454" s="21">
        <f t="shared" si="139"/>
        <v>1</v>
      </c>
      <c r="R7454" s="21">
        <v>1</v>
      </c>
      <c r="S7454" s="21">
        <v>0</v>
      </c>
      <c r="T7454" s="21">
        <v>0</v>
      </c>
      <c r="U7454" s="21">
        <v>1</v>
      </c>
      <c r="V7454" s="21">
        <v>0</v>
      </c>
      <c r="W7454" s="21">
        <v>0</v>
      </c>
      <c r="X7454" s="21">
        <v>0</v>
      </c>
      <c r="Y7454" s="21">
        <v>0</v>
      </c>
      <c r="Z7454" s="21">
        <v>0</v>
      </c>
      <c r="AA7454" s="21">
        <v>0</v>
      </c>
      <c r="AB7454" s="21">
        <v>0</v>
      </c>
      <c r="AC7454" s="21">
        <v>0</v>
      </c>
      <c r="AD7454" s="21">
        <v>0</v>
      </c>
      <c r="AE7454" s="21">
        <v>0</v>
      </c>
      <c r="AF7454" s="21">
        <v>0</v>
      </c>
      <c r="AG7454" s="21">
        <v>0</v>
      </c>
      <c r="AH7454" s="21">
        <f t="shared" si="140"/>
        <v>32</v>
      </c>
      <c r="AI7454" s="21"/>
      <c r="AJ7454" s="21" t="s">
        <v>51</v>
      </c>
      <c r="AK7454" s="21" t="s">
        <v>95</v>
      </c>
      <c r="AL7454" s="21"/>
      <c r="AM7454" s="21" t="s">
        <v>3032</v>
      </c>
      <c r="AN7454" s="21">
        <v>-122.42035678333301</v>
      </c>
      <c r="AO7454" s="21">
        <v>37.788945666666699</v>
      </c>
      <c r="AP7454" s="21" t="s">
        <v>1915</v>
      </c>
    </row>
    <row r="7455" spans="1:42">
      <c r="A7455" s="20">
        <v>43850</v>
      </c>
      <c r="B7455" s="21">
        <v>5</v>
      </c>
      <c r="C7455" s="21">
        <v>231</v>
      </c>
      <c r="D7455" s="21">
        <v>14468</v>
      </c>
      <c r="E7455" t="s">
        <v>112</v>
      </c>
      <c r="F7455" s="21" t="s">
        <v>104</v>
      </c>
      <c r="G7455" s="21">
        <v>2</v>
      </c>
      <c r="H7455" s="21">
        <v>20</v>
      </c>
      <c r="I7455" s="23" t="s">
        <v>3011</v>
      </c>
      <c r="J7455" s="21"/>
      <c r="K7455" s="21" t="s">
        <v>414</v>
      </c>
      <c r="L7455" s="21" t="s">
        <v>141</v>
      </c>
      <c r="M7455" s="21"/>
      <c r="N7455" s="21" t="s">
        <v>40</v>
      </c>
      <c r="O7455" s="21">
        <f>60+30</f>
        <v>90</v>
      </c>
      <c r="P7455" s="21"/>
      <c r="Q7455" s="21">
        <f t="shared" si="139"/>
        <v>1</v>
      </c>
      <c r="R7455" s="21">
        <v>1</v>
      </c>
      <c r="S7455" s="21">
        <v>0</v>
      </c>
      <c r="T7455" s="21">
        <v>0</v>
      </c>
      <c r="U7455" s="21">
        <v>1</v>
      </c>
      <c r="V7455" s="21">
        <v>0</v>
      </c>
      <c r="W7455" s="21">
        <v>0</v>
      </c>
      <c r="X7455" s="21">
        <v>0</v>
      </c>
      <c r="Y7455" s="21">
        <v>0</v>
      </c>
      <c r="Z7455" s="21">
        <v>0</v>
      </c>
      <c r="AA7455" s="21">
        <v>0</v>
      </c>
      <c r="AB7455" s="21">
        <v>0</v>
      </c>
      <c r="AC7455" s="21">
        <v>0</v>
      </c>
      <c r="AD7455" s="21">
        <v>0</v>
      </c>
      <c r="AE7455" s="21">
        <v>0</v>
      </c>
      <c r="AF7455" s="21">
        <v>1</v>
      </c>
      <c r="AG7455" s="21">
        <v>0</v>
      </c>
      <c r="AH7455" s="21">
        <f t="shared" si="140"/>
        <v>32</v>
      </c>
      <c r="AI7455" s="21"/>
      <c r="AJ7455" s="21" t="s">
        <v>51</v>
      </c>
      <c r="AK7455" s="21" t="s">
        <v>95</v>
      </c>
      <c r="AL7455" s="21"/>
      <c r="AM7455" s="21" t="s">
        <v>3033</v>
      </c>
      <c r="AN7455" s="21">
        <v>-122.420302466667</v>
      </c>
      <c r="AO7455" s="21">
        <v>37.788758516666697</v>
      </c>
      <c r="AP7455" s="21" t="s">
        <v>1915</v>
      </c>
    </row>
    <row r="7456" spans="1:42">
      <c r="A7456" s="20">
        <v>43850</v>
      </c>
      <c r="B7456" s="21">
        <v>5</v>
      </c>
      <c r="C7456" s="21">
        <v>231</v>
      </c>
      <c r="D7456" s="21">
        <v>14468</v>
      </c>
      <c r="E7456" t="s">
        <v>112</v>
      </c>
      <c r="F7456" s="21" t="s">
        <v>104</v>
      </c>
      <c r="G7456" s="21">
        <v>2</v>
      </c>
      <c r="H7456" s="21">
        <v>21</v>
      </c>
      <c r="I7456" s="23" t="s">
        <v>3034</v>
      </c>
      <c r="J7456" s="21"/>
      <c r="K7456" s="21" t="s">
        <v>414</v>
      </c>
      <c r="L7456" s="21" t="s">
        <v>141</v>
      </c>
      <c r="M7456" s="21"/>
      <c r="N7456" s="21" t="s">
        <v>40</v>
      </c>
      <c r="O7456" s="21">
        <f>60+60+60+30</f>
        <v>210</v>
      </c>
      <c r="P7456" s="21"/>
      <c r="Q7456" s="21">
        <f t="shared" si="139"/>
        <v>6</v>
      </c>
      <c r="R7456" s="21">
        <v>1</v>
      </c>
      <c r="S7456" s="21">
        <v>0</v>
      </c>
      <c r="T7456" s="21">
        <v>0</v>
      </c>
      <c r="U7456" s="21">
        <v>2</v>
      </c>
      <c r="V7456" s="21">
        <v>3</v>
      </c>
      <c r="W7456" s="21">
        <v>1</v>
      </c>
      <c r="X7456" s="21">
        <v>0</v>
      </c>
      <c r="Y7456" s="21">
        <v>0</v>
      </c>
      <c r="Z7456" s="21">
        <v>0</v>
      </c>
      <c r="AA7456" s="21">
        <v>0</v>
      </c>
      <c r="AB7456" s="21">
        <v>0</v>
      </c>
      <c r="AC7456" s="21">
        <v>0</v>
      </c>
      <c r="AD7456" s="21">
        <v>0</v>
      </c>
      <c r="AE7456" s="21">
        <v>0</v>
      </c>
      <c r="AF7456" s="21">
        <v>0</v>
      </c>
      <c r="AG7456" s="21">
        <v>0</v>
      </c>
      <c r="AH7456" s="21">
        <f t="shared" si="140"/>
        <v>352</v>
      </c>
      <c r="AI7456" s="21"/>
      <c r="AJ7456" s="21" t="s">
        <v>54</v>
      </c>
      <c r="AK7456" s="21" t="s">
        <v>95</v>
      </c>
      <c r="AL7456" s="21"/>
      <c r="AM7456" s="21" t="s">
        <v>3035</v>
      </c>
      <c r="AN7456" s="21">
        <v>-122.4202799</v>
      </c>
      <c r="AO7456" s="21">
        <v>37.788426433333299</v>
      </c>
      <c r="AP7456" s="21" t="s">
        <v>1915</v>
      </c>
    </row>
    <row r="7457" spans="1:42">
      <c r="A7457" s="20">
        <v>43850</v>
      </c>
      <c r="B7457" s="21">
        <v>5</v>
      </c>
      <c r="C7457" s="21">
        <v>231</v>
      </c>
      <c r="D7457" s="21">
        <v>14468</v>
      </c>
      <c r="E7457" t="s">
        <v>112</v>
      </c>
      <c r="F7457" s="21" t="s">
        <v>104</v>
      </c>
      <c r="G7457" s="21">
        <v>2</v>
      </c>
      <c r="H7457" s="21">
        <v>22</v>
      </c>
      <c r="I7457" s="23" t="s">
        <v>3036</v>
      </c>
      <c r="J7457" s="21"/>
      <c r="K7457" s="21" t="s">
        <v>414</v>
      </c>
      <c r="L7457" s="21" t="s">
        <v>141</v>
      </c>
      <c r="M7457" s="21"/>
      <c r="N7457" s="21" t="s">
        <v>40</v>
      </c>
      <c r="O7457" s="21">
        <v>53</v>
      </c>
      <c r="P7457" s="21"/>
      <c r="Q7457" s="21">
        <f t="shared" si="139"/>
        <v>1</v>
      </c>
      <c r="R7457" s="21">
        <v>1</v>
      </c>
      <c r="S7457" s="21">
        <v>0</v>
      </c>
      <c r="T7457" s="21">
        <v>0</v>
      </c>
      <c r="U7457" s="21">
        <v>0</v>
      </c>
      <c r="V7457" s="21">
        <v>1</v>
      </c>
      <c r="W7457" s="21">
        <v>0</v>
      </c>
      <c r="X7457" s="21">
        <v>0</v>
      </c>
      <c r="Y7457" s="21">
        <v>0</v>
      </c>
      <c r="Z7457" s="21">
        <v>0</v>
      </c>
      <c r="AA7457" s="21">
        <v>0</v>
      </c>
      <c r="AB7457" s="21">
        <v>0</v>
      </c>
      <c r="AC7457" s="21">
        <v>0</v>
      </c>
      <c r="AD7457" s="21">
        <v>0</v>
      </c>
      <c r="AE7457" s="21">
        <v>0</v>
      </c>
      <c r="AF7457" s="21">
        <v>2</v>
      </c>
      <c r="AG7457" s="21">
        <v>0</v>
      </c>
      <c r="AH7457" s="21">
        <f t="shared" si="140"/>
        <v>64</v>
      </c>
      <c r="AI7457" s="21"/>
      <c r="AJ7457" s="21" t="s">
        <v>51</v>
      </c>
      <c r="AK7457" s="21" t="s">
        <v>95</v>
      </c>
      <c r="AL7457" s="21" t="s">
        <v>3037</v>
      </c>
      <c r="AM7457" s="21" t="s">
        <v>3038</v>
      </c>
      <c r="AN7457" s="21">
        <v>-122.42011763333301</v>
      </c>
      <c r="AO7457" s="21">
        <v>37.788073750000002</v>
      </c>
      <c r="AP7457" s="21" t="s">
        <v>1915</v>
      </c>
    </row>
    <row r="7458" spans="1:42">
      <c r="A7458" s="20">
        <v>43850</v>
      </c>
      <c r="B7458" s="21">
        <v>5</v>
      </c>
      <c r="C7458" s="21">
        <v>231</v>
      </c>
      <c r="D7458" s="21">
        <v>14468</v>
      </c>
      <c r="E7458" t="s">
        <v>112</v>
      </c>
      <c r="F7458" s="21" t="s">
        <v>104</v>
      </c>
      <c r="G7458" s="21">
        <v>2</v>
      </c>
      <c r="H7458" s="21">
        <v>23</v>
      </c>
      <c r="I7458" s="23" t="s">
        <v>3005</v>
      </c>
      <c r="J7458" s="21"/>
      <c r="K7458" s="21" t="s">
        <v>49</v>
      </c>
      <c r="L7458" s="21"/>
      <c r="M7458" s="21"/>
      <c r="N7458" s="21" t="s">
        <v>40</v>
      </c>
      <c r="O7458" s="21">
        <f>60+22</f>
        <v>82</v>
      </c>
      <c r="P7458" s="21"/>
      <c r="Q7458" s="21">
        <f t="shared" si="139"/>
        <v>1</v>
      </c>
      <c r="R7458" s="21">
        <v>1</v>
      </c>
      <c r="S7458" s="21">
        <v>0</v>
      </c>
      <c r="T7458" s="21">
        <v>0</v>
      </c>
      <c r="U7458" s="21">
        <v>0</v>
      </c>
      <c r="V7458" s="21">
        <v>0</v>
      </c>
      <c r="W7458" s="21">
        <v>0</v>
      </c>
      <c r="X7458" s="21">
        <v>1</v>
      </c>
      <c r="Y7458" s="21">
        <v>0</v>
      </c>
      <c r="Z7458" s="21">
        <v>0</v>
      </c>
      <c r="AA7458" s="21">
        <v>0</v>
      </c>
      <c r="AB7458" s="21">
        <v>0</v>
      </c>
      <c r="AC7458" s="21">
        <v>0</v>
      </c>
      <c r="AD7458" s="21">
        <v>0</v>
      </c>
      <c r="AE7458" s="21">
        <v>0</v>
      </c>
      <c r="AF7458" s="21">
        <v>0</v>
      </c>
      <c r="AG7458" s="21">
        <v>0</v>
      </c>
      <c r="AH7458" s="21">
        <f t="shared" si="140"/>
        <v>0</v>
      </c>
      <c r="AI7458" s="21"/>
      <c r="AJ7458" s="21" t="s">
        <v>51</v>
      </c>
      <c r="AK7458" s="21" t="s">
        <v>95</v>
      </c>
      <c r="AL7458" s="21" t="s">
        <v>3039</v>
      </c>
      <c r="AM7458" s="21" t="s">
        <v>3040</v>
      </c>
      <c r="AN7458" s="21">
        <v>-122.42064360000001</v>
      </c>
      <c r="AO7458" s="21">
        <v>37.787745266666697</v>
      </c>
      <c r="AP7458" s="21" t="s">
        <v>1915</v>
      </c>
    </row>
    <row r="7459" spans="1:42">
      <c r="A7459" s="20">
        <v>43850</v>
      </c>
      <c r="B7459" s="21">
        <v>5</v>
      </c>
      <c r="C7459" s="21">
        <v>231</v>
      </c>
      <c r="D7459" s="21">
        <v>14468</v>
      </c>
      <c r="E7459" t="s">
        <v>112</v>
      </c>
      <c r="F7459" s="21" t="s">
        <v>104</v>
      </c>
      <c r="G7459" s="21">
        <v>2</v>
      </c>
      <c r="H7459" s="21">
        <v>24</v>
      </c>
      <c r="I7459" s="23" t="s">
        <v>3011</v>
      </c>
      <c r="J7459" s="21"/>
      <c r="K7459" s="21" t="s">
        <v>415</v>
      </c>
      <c r="L7459" s="21" t="s">
        <v>114</v>
      </c>
      <c r="M7459" s="21"/>
      <c r="N7459" s="21" t="s">
        <v>1703</v>
      </c>
      <c r="O7459" s="21">
        <f>60+36</f>
        <v>96</v>
      </c>
      <c r="P7459" s="21"/>
      <c r="Q7459" s="21">
        <f t="shared" si="139"/>
        <v>4</v>
      </c>
      <c r="R7459" s="21">
        <v>1</v>
      </c>
      <c r="S7459" s="21">
        <v>0</v>
      </c>
      <c r="T7459" s="21">
        <v>0</v>
      </c>
      <c r="U7459" s="21">
        <v>2</v>
      </c>
      <c r="V7459" s="21">
        <v>2</v>
      </c>
      <c r="W7459" s="21">
        <v>0</v>
      </c>
      <c r="X7459" s="21">
        <v>0</v>
      </c>
      <c r="Y7459" s="21">
        <v>0</v>
      </c>
      <c r="Z7459" s="21">
        <v>0</v>
      </c>
      <c r="AA7459" s="21">
        <v>0</v>
      </c>
      <c r="AB7459" s="21">
        <v>0</v>
      </c>
      <c r="AC7459" s="21">
        <v>0</v>
      </c>
      <c r="AD7459" s="21">
        <v>0</v>
      </c>
      <c r="AE7459" s="21">
        <v>0</v>
      </c>
      <c r="AF7459" s="21">
        <v>0</v>
      </c>
      <c r="AG7459" s="21">
        <v>0</v>
      </c>
      <c r="AH7459" s="21">
        <f t="shared" si="140"/>
        <v>192</v>
      </c>
      <c r="AI7459" s="21"/>
      <c r="AJ7459" s="21" t="s">
        <v>51</v>
      </c>
      <c r="AK7459" s="21" t="s">
        <v>95</v>
      </c>
      <c r="AL7459" s="21" t="s">
        <v>1954</v>
      </c>
      <c r="AM7459" s="21" t="s">
        <v>3041</v>
      </c>
      <c r="AN7459" s="21">
        <v>-122.42182913333301</v>
      </c>
      <c r="AO7459" s="21">
        <v>37.788186033333297</v>
      </c>
      <c r="AP7459" s="21" t="s">
        <v>1915</v>
      </c>
    </row>
    <row r="7460" spans="1:42">
      <c r="A7460" s="20">
        <v>43850</v>
      </c>
      <c r="B7460" s="21">
        <v>5</v>
      </c>
      <c r="C7460" s="21">
        <v>231</v>
      </c>
      <c r="D7460" s="21">
        <v>14468</v>
      </c>
      <c r="E7460" t="s">
        <v>112</v>
      </c>
      <c r="F7460" s="21" t="s">
        <v>104</v>
      </c>
      <c r="G7460" s="21">
        <v>2</v>
      </c>
      <c r="H7460" s="21">
        <v>25</v>
      </c>
      <c r="I7460" s="23" t="s">
        <v>3013</v>
      </c>
      <c r="J7460" s="21"/>
      <c r="K7460" s="21" t="s">
        <v>415</v>
      </c>
      <c r="L7460" s="21" t="s">
        <v>114</v>
      </c>
      <c r="M7460" s="21"/>
      <c r="N7460" s="21" t="s">
        <v>44</v>
      </c>
      <c r="O7460" s="21">
        <f>60+60+42</f>
        <v>162</v>
      </c>
      <c r="P7460" s="21"/>
      <c r="Q7460" s="21">
        <f t="shared" si="139"/>
        <v>3</v>
      </c>
      <c r="R7460" s="21">
        <v>1</v>
      </c>
      <c r="S7460" s="21">
        <v>0</v>
      </c>
      <c r="T7460" s="21">
        <v>0</v>
      </c>
      <c r="U7460" s="21">
        <v>0</v>
      </c>
      <c r="V7460" s="21">
        <v>1</v>
      </c>
      <c r="W7460" s="21">
        <v>2</v>
      </c>
      <c r="X7460" s="21">
        <v>0</v>
      </c>
      <c r="Y7460" s="21">
        <v>0</v>
      </c>
      <c r="Z7460" s="21">
        <v>0</v>
      </c>
      <c r="AA7460" s="21">
        <v>0</v>
      </c>
      <c r="AB7460" s="21">
        <v>0</v>
      </c>
      <c r="AC7460" s="21">
        <v>0</v>
      </c>
      <c r="AD7460" s="21">
        <v>0</v>
      </c>
      <c r="AE7460" s="21">
        <v>0</v>
      </c>
      <c r="AF7460" s="21">
        <v>0</v>
      </c>
      <c r="AG7460" s="21">
        <v>0</v>
      </c>
      <c r="AH7460" s="21">
        <f t="shared" si="140"/>
        <v>256</v>
      </c>
      <c r="AI7460" s="21"/>
      <c r="AJ7460" s="21" t="s">
        <v>54</v>
      </c>
      <c r="AK7460" s="21" t="s">
        <v>95</v>
      </c>
      <c r="AL7460" s="21" t="s">
        <v>1957</v>
      </c>
      <c r="AM7460" s="21" t="s">
        <v>3042</v>
      </c>
      <c r="AN7460" s="21">
        <v>-122.42111078333301</v>
      </c>
      <c r="AO7460" s="21">
        <v>37.788783883333302</v>
      </c>
      <c r="AP7460" s="21" t="s">
        <v>1915</v>
      </c>
    </row>
    <row r="7461" spans="1:42">
      <c r="A7461" s="20">
        <v>43850</v>
      </c>
      <c r="B7461" s="21">
        <v>5</v>
      </c>
      <c r="C7461" s="21">
        <v>231</v>
      </c>
      <c r="D7461" s="21">
        <v>14468</v>
      </c>
      <c r="E7461" t="s">
        <v>112</v>
      </c>
      <c r="F7461" s="21" t="s">
        <v>104</v>
      </c>
      <c r="G7461" s="21">
        <v>2</v>
      </c>
      <c r="H7461" s="21">
        <v>26</v>
      </c>
      <c r="I7461" s="23" t="s">
        <v>3043</v>
      </c>
      <c r="J7461" s="21"/>
      <c r="K7461" s="21" t="s">
        <v>70</v>
      </c>
      <c r="L7461" s="21" t="s">
        <v>114</v>
      </c>
      <c r="M7461" s="21"/>
      <c r="N7461" s="21" t="s">
        <v>44</v>
      </c>
      <c r="O7461" s="21">
        <f>60+60+50</f>
        <v>170</v>
      </c>
      <c r="P7461" s="21"/>
      <c r="Q7461" s="21">
        <f t="shared" si="139"/>
        <v>3</v>
      </c>
      <c r="R7461" s="21">
        <v>1</v>
      </c>
      <c r="S7461" s="21">
        <v>0</v>
      </c>
      <c r="T7461" s="21">
        <v>0</v>
      </c>
      <c r="U7461" s="21">
        <v>0</v>
      </c>
      <c r="V7461" s="21">
        <v>2</v>
      </c>
      <c r="W7461" s="21">
        <v>1</v>
      </c>
      <c r="X7461" s="21">
        <v>0</v>
      </c>
      <c r="Y7461" s="21">
        <v>0</v>
      </c>
      <c r="Z7461" s="21">
        <v>0</v>
      </c>
      <c r="AA7461" s="21">
        <v>0</v>
      </c>
      <c r="AB7461" s="21">
        <v>0</v>
      </c>
      <c r="AC7461" s="21">
        <v>0</v>
      </c>
      <c r="AD7461" s="21">
        <v>0</v>
      </c>
      <c r="AE7461" s="21">
        <v>0</v>
      </c>
      <c r="AF7461" s="21">
        <v>0</v>
      </c>
      <c r="AG7461" s="21">
        <v>0</v>
      </c>
      <c r="AH7461" s="21">
        <f t="shared" si="140"/>
        <v>224</v>
      </c>
      <c r="AI7461" s="21"/>
      <c r="AJ7461" s="21" t="s">
        <v>54</v>
      </c>
      <c r="AK7461" s="21" t="s">
        <v>95</v>
      </c>
      <c r="AL7461" s="21" t="s">
        <v>3044</v>
      </c>
      <c r="AM7461" s="21" t="s">
        <v>3045</v>
      </c>
      <c r="AN7461" s="21">
        <v>-122.421109316667</v>
      </c>
      <c r="AO7461" s="21">
        <v>37.788624583333302</v>
      </c>
      <c r="AP7461" s="21" t="s">
        <v>1915</v>
      </c>
    </row>
    <row r="7462" spans="1:42">
      <c r="A7462" s="20">
        <v>43850</v>
      </c>
      <c r="B7462" s="21">
        <v>5</v>
      </c>
      <c r="C7462" s="21">
        <v>231</v>
      </c>
      <c r="D7462" s="21">
        <v>14468</v>
      </c>
      <c r="E7462" t="s">
        <v>112</v>
      </c>
      <c r="F7462" s="21" t="s">
        <v>104</v>
      </c>
      <c r="G7462" s="21">
        <v>2</v>
      </c>
      <c r="H7462" s="21">
        <v>27</v>
      </c>
      <c r="I7462" s="23" t="s">
        <v>3005</v>
      </c>
      <c r="J7462" s="21"/>
      <c r="K7462" s="21" t="s">
        <v>420</v>
      </c>
      <c r="L7462" s="21"/>
      <c r="M7462" s="21"/>
      <c r="N7462" s="21" t="s">
        <v>40</v>
      </c>
      <c r="O7462" s="21">
        <f>60+34</f>
        <v>94</v>
      </c>
      <c r="P7462" s="21"/>
      <c r="Q7462" s="21">
        <f t="shared" si="139"/>
        <v>1</v>
      </c>
      <c r="R7462" s="21">
        <v>1</v>
      </c>
      <c r="S7462" s="21">
        <v>0</v>
      </c>
      <c r="T7462" s="21">
        <v>0</v>
      </c>
      <c r="U7462" s="21">
        <v>0</v>
      </c>
      <c r="V7462" s="21">
        <v>0</v>
      </c>
      <c r="W7462" s="21">
        <v>0</v>
      </c>
      <c r="X7462" s="21">
        <v>1</v>
      </c>
      <c r="Y7462" s="21">
        <v>0</v>
      </c>
      <c r="Z7462" s="21">
        <v>0</v>
      </c>
      <c r="AA7462" s="21">
        <v>0</v>
      </c>
      <c r="AB7462" s="21">
        <v>0</v>
      </c>
      <c r="AC7462" s="21">
        <v>0</v>
      </c>
      <c r="AD7462" s="21">
        <v>0</v>
      </c>
      <c r="AE7462" s="21">
        <v>0</v>
      </c>
      <c r="AF7462" s="21">
        <v>0</v>
      </c>
      <c r="AG7462" s="21">
        <v>0</v>
      </c>
      <c r="AH7462" s="21">
        <f t="shared" si="140"/>
        <v>0</v>
      </c>
      <c r="AI7462" s="21"/>
      <c r="AJ7462" s="21" t="s">
        <v>51</v>
      </c>
      <c r="AK7462" s="21" t="s">
        <v>95</v>
      </c>
      <c r="AL7462" s="21" t="s">
        <v>456</v>
      </c>
      <c r="AM7462" s="21" t="s">
        <v>3046</v>
      </c>
      <c r="AN7462" s="21">
        <v>-122.41872378333299</v>
      </c>
      <c r="AO7462" s="21">
        <v>37.788957316666597</v>
      </c>
      <c r="AP7462" s="21" t="s">
        <v>1915</v>
      </c>
    </row>
    <row r="7463" spans="1:42">
      <c r="A7463" s="20">
        <v>43850</v>
      </c>
      <c r="B7463" s="21">
        <v>5</v>
      </c>
      <c r="C7463" s="21">
        <v>231</v>
      </c>
      <c r="D7463" s="21">
        <v>14468</v>
      </c>
      <c r="E7463" t="s">
        <v>112</v>
      </c>
      <c r="F7463" s="21" t="s">
        <v>104</v>
      </c>
      <c r="G7463" s="21">
        <v>2</v>
      </c>
      <c r="H7463" s="21">
        <v>28</v>
      </c>
      <c r="I7463" s="23" t="s">
        <v>3047</v>
      </c>
      <c r="J7463" s="21"/>
      <c r="K7463" s="21" t="s">
        <v>69</v>
      </c>
      <c r="L7463" s="21"/>
      <c r="M7463" s="21"/>
      <c r="N7463" s="21" t="s">
        <v>44</v>
      </c>
      <c r="O7463" s="21">
        <f>60+56</f>
        <v>116</v>
      </c>
      <c r="P7463" s="21"/>
      <c r="Q7463" s="21">
        <f t="shared" si="139"/>
        <v>3</v>
      </c>
      <c r="R7463" s="21">
        <v>1</v>
      </c>
      <c r="S7463" s="21">
        <v>0</v>
      </c>
      <c r="T7463" s="21">
        <v>0</v>
      </c>
      <c r="U7463" s="21">
        <v>0</v>
      </c>
      <c r="V7463" s="21">
        <v>1</v>
      </c>
      <c r="W7463" s="21">
        <v>2</v>
      </c>
      <c r="X7463" s="21">
        <v>0</v>
      </c>
      <c r="Y7463" s="21">
        <v>0</v>
      </c>
      <c r="Z7463" s="21">
        <v>0</v>
      </c>
      <c r="AA7463" s="21">
        <v>0</v>
      </c>
      <c r="AB7463" s="21">
        <v>0</v>
      </c>
      <c r="AC7463" s="21">
        <v>0</v>
      </c>
      <c r="AD7463" s="21">
        <v>0</v>
      </c>
      <c r="AE7463" s="21">
        <v>0</v>
      </c>
      <c r="AF7463" s="21">
        <v>0</v>
      </c>
      <c r="AG7463" s="21">
        <v>0</v>
      </c>
      <c r="AH7463" s="21">
        <f t="shared" si="140"/>
        <v>256</v>
      </c>
      <c r="AI7463" s="21"/>
      <c r="AJ7463" s="21" t="s">
        <v>51</v>
      </c>
      <c r="AK7463" s="21" t="s">
        <v>95</v>
      </c>
      <c r="AL7463" s="21" t="s">
        <v>2292</v>
      </c>
      <c r="AM7463" s="21" t="s">
        <v>3048</v>
      </c>
      <c r="AN7463" s="21">
        <v>-122.419344633333</v>
      </c>
      <c r="AO7463" s="21">
        <v>37.789391583333298</v>
      </c>
      <c r="AP7463" s="21" t="s">
        <v>1915</v>
      </c>
    </row>
    <row r="7464" spans="1:42">
      <c r="A7464" s="20">
        <v>43850</v>
      </c>
      <c r="B7464" s="21">
        <v>5</v>
      </c>
      <c r="C7464" s="21">
        <v>231</v>
      </c>
      <c r="D7464" s="21">
        <v>14468</v>
      </c>
      <c r="E7464" t="s">
        <v>112</v>
      </c>
      <c r="F7464" s="21" t="s">
        <v>104</v>
      </c>
      <c r="G7464" s="21">
        <v>2</v>
      </c>
      <c r="H7464" s="21">
        <v>29</v>
      </c>
      <c r="I7464" s="23" t="s">
        <v>3013</v>
      </c>
      <c r="J7464" s="21"/>
      <c r="K7464" s="21" t="s">
        <v>1963</v>
      </c>
      <c r="L7464" s="21"/>
      <c r="M7464" s="21"/>
      <c r="N7464" s="21" t="s">
        <v>44</v>
      </c>
      <c r="O7464" s="21">
        <f>60+60+36</f>
        <v>156</v>
      </c>
      <c r="P7464" s="21"/>
      <c r="Q7464" s="21">
        <f t="shared" si="139"/>
        <v>2</v>
      </c>
      <c r="R7464" s="21">
        <v>1</v>
      </c>
      <c r="S7464" s="21">
        <v>0</v>
      </c>
      <c r="T7464" s="21">
        <v>0</v>
      </c>
      <c r="U7464" s="21">
        <v>0</v>
      </c>
      <c r="V7464" s="21">
        <v>0</v>
      </c>
      <c r="W7464" s="21">
        <v>2</v>
      </c>
      <c r="X7464" s="21">
        <v>0</v>
      </c>
      <c r="Y7464" s="21">
        <v>0</v>
      </c>
      <c r="Z7464" s="21">
        <v>0</v>
      </c>
      <c r="AA7464" s="21">
        <v>0</v>
      </c>
      <c r="AB7464" s="21">
        <v>0</v>
      </c>
      <c r="AC7464" s="21">
        <v>0</v>
      </c>
      <c r="AD7464" s="21">
        <v>0</v>
      </c>
      <c r="AE7464" s="21">
        <v>0</v>
      </c>
      <c r="AF7464" s="21">
        <v>0</v>
      </c>
      <c r="AG7464" s="21">
        <v>0</v>
      </c>
      <c r="AH7464" s="21">
        <f t="shared" si="140"/>
        <v>192</v>
      </c>
      <c r="AI7464" s="21"/>
      <c r="AJ7464" s="21"/>
      <c r="AK7464" s="21"/>
      <c r="AL7464" s="21" t="s">
        <v>2091</v>
      </c>
      <c r="AM7464" s="21" t="s">
        <v>3049</v>
      </c>
      <c r="AN7464" s="21">
        <v>-122.41999695</v>
      </c>
      <c r="AO7464" s="21">
        <v>37.789277883333298</v>
      </c>
      <c r="AP7464" s="21" t="s">
        <v>1915</v>
      </c>
    </row>
    <row r="7465" spans="1:42">
      <c r="A7465" s="20">
        <v>43850</v>
      </c>
      <c r="B7465" s="21">
        <v>5</v>
      </c>
      <c r="C7465" s="21">
        <v>231</v>
      </c>
      <c r="D7465" s="21">
        <v>14468</v>
      </c>
      <c r="E7465" t="s">
        <v>112</v>
      </c>
      <c r="F7465" s="21" t="s">
        <v>104</v>
      </c>
      <c r="G7465" s="21">
        <v>2</v>
      </c>
      <c r="H7465" s="21">
        <v>30</v>
      </c>
      <c r="I7465" s="23" t="s">
        <v>3005</v>
      </c>
      <c r="J7465" s="21"/>
      <c r="K7465" s="21" t="s">
        <v>414</v>
      </c>
      <c r="L7465" s="21"/>
      <c r="M7465" s="21"/>
      <c r="N7465" s="21" t="s">
        <v>44</v>
      </c>
      <c r="O7465" s="21">
        <f>60+60+42</f>
        <v>162</v>
      </c>
      <c r="P7465" s="21"/>
      <c r="Q7465" s="21">
        <f t="shared" si="139"/>
        <v>3</v>
      </c>
      <c r="R7465" s="21">
        <v>1</v>
      </c>
      <c r="S7465" s="21">
        <v>0</v>
      </c>
      <c r="T7465" s="21">
        <v>0</v>
      </c>
      <c r="U7465" s="21">
        <v>0</v>
      </c>
      <c r="V7465" s="21">
        <v>1</v>
      </c>
      <c r="W7465" s="21">
        <v>2</v>
      </c>
      <c r="X7465" s="21">
        <v>0</v>
      </c>
      <c r="Y7465" s="21">
        <v>0</v>
      </c>
      <c r="Z7465" s="21">
        <v>0</v>
      </c>
      <c r="AA7465" s="21">
        <v>0</v>
      </c>
      <c r="AB7465" s="21">
        <v>0</v>
      </c>
      <c r="AC7465" s="21">
        <v>0</v>
      </c>
      <c r="AD7465" s="21">
        <v>0</v>
      </c>
      <c r="AE7465" s="21">
        <v>0</v>
      </c>
      <c r="AF7465" s="21">
        <v>0</v>
      </c>
      <c r="AG7465" s="21">
        <v>0</v>
      </c>
      <c r="AH7465" s="21">
        <f t="shared" si="140"/>
        <v>256</v>
      </c>
      <c r="AI7465" s="21"/>
      <c r="AJ7465" s="21" t="s">
        <v>54</v>
      </c>
      <c r="AK7465" s="21" t="s">
        <v>52</v>
      </c>
      <c r="AL7465" s="21"/>
      <c r="AM7465" s="21" t="s">
        <v>3050</v>
      </c>
      <c r="AN7465" s="21">
        <v>-122.420932733333</v>
      </c>
      <c r="AO7465" s="21">
        <v>37.788359499999999</v>
      </c>
      <c r="AP7465" s="21" t="s">
        <v>1915</v>
      </c>
    </row>
    <row r="7466" spans="1:42">
      <c r="A7466" s="20">
        <v>43850</v>
      </c>
      <c r="B7466" s="21">
        <v>5</v>
      </c>
      <c r="C7466" s="21">
        <v>231</v>
      </c>
      <c r="D7466" s="21">
        <v>14468</v>
      </c>
      <c r="E7466" t="s">
        <v>112</v>
      </c>
      <c r="F7466" s="21" t="s">
        <v>104</v>
      </c>
      <c r="G7466" s="21">
        <v>2</v>
      </c>
      <c r="H7466" s="21">
        <v>31</v>
      </c>
      <c r="I7466" s="23" t="s">
        <v>3051</v>
      </c>
      <c r="J7466" s="21"/>
      <c r="K7466" s="21" t="s">
        <v>3052</v>
      </c>
      <c r="L7466" s="21"/>
      <c r="M7466" s="21"/>
      <c r="N7466" s="21" t="s">
        <v>44</v>
      </c>
      <c r="O7466" s="21">
        <f>60+60+60+14</f>
        <v>194</v>
      </c>
      <c r="P7466" s="21"/>
      <c r="Q7466" s="21">
        <f t="shared" si="139"/>
        <v>2</v>
      </c>
      <c r="R7466" s="21">
        <v>1</v>
      </c>
      <c r="S7466" s="21">
        <v>0</v>
      </c>
      <c r="T7466" s="21">
        <v>0</v>
      </c>
      <c r="U7466" s="21">
        <v>0</v>
      </c>
      <c r="V7466" s="21">
        <v>0</v>
      </c>
      <c r="W7466" s="21">
        <v>2</v>
      </c>
      <c r="X7466" s="21">
        <v>0</v>
      </c>
      <c r="Y7466" s="21">
        <v>0</v>
      </c>
      <c r="Z7466" s="21">
        <v>0</v>
      </c>
      <c r="AA7466" s="21">
        <v>0</v>
      </c>
      <c r="AB7466" s="21">
        <v>0</v>
      </c>
      <c r="AC7466" s="21">
        <v>0</v>
      </c>
      <c r="AD7466" s="21">
        <v>0</v>
      </c>
      <c r="AE7466" s="21">
        <v>0</v>
      </c>
      <c r="AF7466" s="21">
        <v>0</v>
      </c>
      <c r="AG7466" s="21">
        <v>0</v>
      </c>
      <c r="AH7466" s="21">
        <f t="shared" si="140"/>
        <v>192</v>
      </c>
      <c r="AI7466" s="21"/>
      <c r="AJ7466" s="21" t="s">
        <v>54</v>
      </c>
      <c r="AK7466" s="21" t="s">
        <v>52</v>
      </c>
      <c r="AL7466" s="21" t="s">
        <v>3053</v>
      </c>
      <c r="AM7466" s="21" t="s">
        <v>3054</v>
      </c>
      <c r="AN7466" s="21">
        <v>-122.4206772</v>
      </c>
      <c r="AO7466" s="21">
        <v>37.7882145833333</v>
      </c>
      <c r="AP7466" s="21" t="s">
        <v>1915</v>
      </c>
    </row>
    <row r="7467" spans="1:42">
      <c r="A7467" s="20">
        <v>43850</v>
      </c>
      <c r="B7467" s="21">
        <v>5</v>
      </c>
      <c r="C7467" s="21">
        <v>231</v>
      </c>
      <c r="D7467" s="21">
        <v>14468</v>
      </c>
      <c r="E7467" t="s">
        <v>112</v>
      </c>
      <c r="F7467" s="21" t="s">
        <v>104</v>
      </c>
      <c r="G7467" s="21">
        <v>2</v>
      </c>
      <c r="H7467" s="21">
        <v>32</v>
      </c>
      <c r="I7467" s="23" t="s">
        <v>3055</v>
      </c>
      <c r="J7467" s="21"/>
      <c r="K7467" s="21" t="s">
        <v>3056</v>
      </c>
      <c r="L7467" s="21"/>
      <c r="M7467" s="21"/>
      <c r="N7467" s="21" t="s">
        <v>44</v>
      </c>
      <c r="O7467" s="21">
        <f>60+60+21</f>
        <v>141</v>
      </c>
      <c r="P7467" s="21"/>
      <c r="Q7467" s="21">
        <f t="shared" si="139"/>
        <v>1</v>
      </c>
      <c r="R7467" s="21">
        <v>1</v>
      </c>
      <c r="S7467" s="21">
        <v>0</v>
      </c>
      <c r="T7467" s="21">
        <v>0</v>
      </c>
      <c r="U7467" s="21">
        <v>0</v>
      </c>
      <c r="V7467" s="21">
        <v>1</v>
      </c>
      <c r="W7467" s="21">
        <v>0</v>
      </c>
      <c r="X7467" s="21">
        <v>0</v>
      </c>
      <c r="Y7467" s="21">
        <v>0</v>
      </c>
      <c r="Z7467" s="21">
        <v>0</v>
      </c>
      <c r="AA7467" s="21">
        <v>0</v>
      </c>
      <c r="AB7467" s="21">
        <v>0</v>
      </c>
      <c r="AC7467" s="21">
        <v>0</v>
      </c>
      <c r="AD7467" s="21">
        <v>0</v>
      </c>
      <c r="AE7467" s="21">
        <v>0</v>
      </c>
      <c r="AF7467" s="21">
        <v>0</v>
      </c>
      <c r="AG7467" s="21">
        <v>0</v>
      </c>
      <c r="AH7467" s="21">
        <f t="shared" si="140"/>
        <v>64</v>
      </c>
      <c r="AI7467" s="21"/>
      <c r="AJ7467" s="21" t="s">
        <v>51</v>
      </c>
      <c r="AK7467" s="21" t="s">
        <v>95</v>
      </c>
      <c r="AL7467" s="21" t="s">
        <v>1937</v>
      </c>
      <c r="AM7467" s="21" t="s">
        <v>3057</v>
      </c>
      <c r="AN7467" s="21">
        <v>-122.419588116667</v>
      </c>
      <c r="AO7467" s="21">
        <v>37.788355733333297</v>
      </c>
      <c r="AP7467" s="21" t="s">
        <v>1915</v>
      </c>
    </row>
    <row r="7468" spans="1:42">
      <c r="A7468" s="20">
        <v>43850</v>
      </c>
      <c r="B7468" s="21">
        <v>5</v>
      </c>
      <c r="C7468" s="21">
        <v>231</v>
      </c>
      <c r="D7468" s="21">
        <v>14468</v>
      </c>
      <c r="E7468" t="s">
        <v>112</v>
      </c>
      <c r="F7468" s="21" t="s">
        <v>104</v>
      </c>
      <c r="G7468" s="21">
        <v>2</v>
      </c>
      <c r="H7468" s="21">
        <v>33</v>
      </c>
      <c r="I7468" s="23" t="s">
        <v>3058</v>
      </c>
      <c r="J7468" s="21"/>
      <c r="K7468" s="21" t="s">
        <v>49</v>
      </c>
      <c r="L7468" s="21"/>
      <c r="M7468" s="21"/>
      <c r="N7468" s="21" t="s">
        <v>44</v>
      </c>
      <c r="O7468" s="21">
        <f>60+60+60+60+60+60+60+13</f>
        <v>433</v>
      </c>
      <c r="P7468" s="21"/>
      <c r="Q7468" s="21">
        <f t="shared" si="139"/>
        <v>3</v>
      </c>
      <c r="R7468" s="21">
        <v>1</v>
      </c>
      <c r="S7468" s="21">
        <v>0</v>
      </c>
      <c r="T7468" s="21">
        <v>0</v>
      </c>
      <c r="U7468" s="21">
        <v>0</v>
      </c>
      <c r="V7468" s="21">
        <v>0</v>
      </c>
      <c r="W7468" s="21">
        <v>3</v>
      </c>
      <c r="X7468" s="21">
        <v>0</v>
      </c>
      <c r="Y7468" s="21">
        <v>0</v>
      </c>
      <c r="Z7468" s="21">
        <v>0</v>
      </c>
      <c r="AA7468" s="21">
        <v>0</v>
      </c>
      <c r="AB7468" s="21">
        <v>0</v>
      </c>
      <c r="AC7468" s="21">
        <v>0</v>
      </c>
      <c r="AD7468" s="21">
        <v>0</v>
      </c>
      <c r="AE7468" s="21">
        <v>0</v>
      </c>
      <c r="AF7468" s="21">
        <v>0</v>
      </c>
      <c r="AG7468" s="21">
        <v>0</v>
      </c>
      <c r="AH7468" s="21">
        <f t="shared" si="140"/>
        <v>288</v>
      </c>
      <c r="AI7468" s="21"/>
      <c r="AJ7468" s="21" t="s">
        <v>51</v>
      </c>
      <c r="AK7468" s="21" t="s">
        <v>95</v>
      </c>
      <c r="AL7468" s="21" t="s">
        <v>3059</v>
      </c>
      <c r="AM7468" s="21" t="s">
        <v>3060</v>
      </c>
      <c r="AN7468" s="21">
        <v>-122.419577933333</v>
      </c>
      <c r="AO7468" s="21">
        <v>37.788361083333299</v>
      </c>
      <c r="AP7468" s="21" t="s">
        <v>1915</v>
      </c>
    </row>
    <row r="7469" spans="1:42">
      <c r="A7469" s="20">
        <v>43850</v>
      </c>
      <c r="B7469" s="21">
        <v>5</v>
      </c>
      <c r="C7469" s="21">
        <v>231</v>
      </c>
      <c r="D7469" s="21">
        <v>14468</v>
      </c>
      <c r="E7469" t="s">
        <v>112</v>
      </c>
      <c r="F7469" s="21" t="s">
        <v>104</v>
      </c>
      <c r="G7469" s="21">
        <v>2</v>
      </c>
      <c r="H7469" s="21">
        <v>34</v>
      </c>
      <c r="I7469" s="23" t="s">
        <v>3055</v>
      </c>
      <c r="J7469" s="21"/>
      <c r="K7469" s="21" t="s">
        <v>3056</v>
      </c>
      <c r="L7469" s="21"/>
      <c r="M7469" s="21"/>
      <c r="N7469" s="21" t="s">
        <v>44</v>
      </c>
      <c r="O7469" s="21">
        <f>60+60+41</f>
        <v>161</v>
      </c>
      <c r="P7469" s="21"/>
      <c r="Q7469" s="21">
        <f t="shared" si="139"/>
        <v>3</v>
      </c>
      <c r="R7469" s="21">
        <v>1</v>
      </c>
      <c r="S7469" s="21">
        <v>0</v>
      </c>
      <c r="T7469" s="21">
        <v>0</v>
      </c>
      <c r="U7469" s="21">
        <v>0</v>
      </c>
      <c r="V7469" s="21">
        <v>1</v>
      </c>
      <c r="W7469" s="21">
        <v>2</v>
      </c>
      <c r="X7469" s="21">
        <v>0</v>
      </c>
      <c r="Y7469" s="21">
        <v>0</v>
      </c>
      <c r="Z7469" s="21">
        <v>0</v>
      </c>
      <c r="AA7469" s="21">
        <v>0</v>
      </c>
      <c r="AB7469" s="21">
        <v>0</v>
      </c>
      <c r="AC7469" s="21">
        <v>0</v>
      </c>
      <c r="AD7469" s="21">
        <v>0</v>
      </c>
      <c r="AE7469" s="21">
        <v>0</v>
      </c>
      <c r="AF7469" s="21">
        <v>0</v>
      </c>
      <c r="AG7469" s="21">
        <v>0</v>
      </c>
      <c r="AH7469" s="21">
        <f t="shared" si="140"/>
        <v>256</v>
      </c>
      <c r="AI7469" s="21"/>
      <c r="AJ7469" s="21" t="s">
        <v>51</v>
      </c>
      <c r="AK7469" s="21" t="s">
        <v>95</v>
      </c>
      <c r="AL7469" s="21" t="s">
        <v>3061</v>
      </c>
      <c r="AM7469" s="21" t="s">
        <v>3062</v>
      </c>
      <c r="AN7469" s="21">
        <v>-122.419457633333</v>
      </c>
      <c r="AO7469" s="21">
        <v>37.788356666666601</v>
      </c>
      <c r="AP7469" s="21" t="s">
        <v>1915</v>
      </c>
    </row>
    <row r="7470" spans="1:42">
      <c r="A7470" s="20">
        <v>43850</v>
      </c>
      <c r="B7470" s="21">
        <v>5</v>
      </c>
      <c r="C7470" s="21">
        <v>231</v>
      </c>
      <c r="D7470" s="21">
        <v>14468</v>
      </c>
      <c r="E7470" t="s">
        <v>112</v>
      </c>
      <c r="F7470" s="21" t="s">
        <v>104</v>
      </c>
      <c r="G7470" s="21">
        <v>2</v>
      </c>
      <c r="H7470" s="21">
        <v>35</v>
      </c>
      <c r="I7470" s="23" t="s">
        <v>3055</v>
      </c>
      <c r="J7470" s="21"/>
      <c r="K7470" s="21" t="s">
        <v>3056</v>
      </c>
      <c r="L7470" s="21"/>
      <c r="M7470" s="21"/>
      <c r="N7470" s="21" t="s">
        <v>44</v>
      </c>
      <c r="O7470" s="21">
        <f>60+60+60+36</f>
        <v>216</v>
      </c>
      <c r="P7470" s="21"/>
      <c r="Q7470" s="21">
        <f t="shared" si="139"/>
        <v>2</v>
      </c>
      <c r="R7470" s="21">
        <v>1</v>
      </c>
      <c r="S7470" s="21">
        <v>0</v>
      </c>
      <c r="T7470" s="21">
        <v>0</v>
      </c>
      <c r="U7470" s="21">
        <v>1</v>
      </c>
      <c r="V7470" s="21">
        <v>0</v>
      </c>
      <c r="W7470" s="21">
        <v>1</v>
      </c>
      <c r="X7470" s="21">
        <v>0</v>
      </c>
      <c r="Y7470" s="21">
        <v>0</v>
      </c>
      <c r="Z7470" s="21">
        <v>0</v>
      </c>
      <c r="AA7470" s="21">
        <v>0</v>
      </c>
      <c r="AB7470" s="21">
        <v>0</v>
      </c>
      <c r="AC7470" s="21">
        <v>0</v>
      </c>
      <c r="AD7470" s="21">
        <v>0</v>
      </c>
      <c r="AE7470" s="21">
        <v>0</v>
      </c>
      <c r="AF7470" s="21">
        <v>0</v>
      </c>
      <c r="AG7470" s="21">
        <v>0</v>
      </c>
      <c r="AH7470" s="21">
        <f t="shared" si="140"/>
        <v>128</v>
      </c>
      <c r="AI7470" s="21"/>
      <c r="AJ7470" s="21" t="s">
        <v>51</v>
      </c>
      <c r="AK7470" s="21" t="s">
        <v>95</v>
      </c>
      <c r="AL7470" s="21" t="s">
        <v>587</v>
      </c>
      <c r="AM7470" s="21" t="s">
        <v>3063</v>
      </c>
      <c r="AN7470" s="21">
        <v>-122.41930075</v>
      </c>
      <c r="AO7470" s="21">
        <v>37.788355166666598</v>
      </c>
      <c r="AP7470" s="21" t="s">
        <v>1915</v>
      </c>
    </row>
    <row r="7471" spans="1:42">
      <c r="A7471" s="20">
        <v>43850</v>
      </c>
      <c r="B7471" s="21">
        <v>5</v>
      </c>
      <c r="C7471" s="21">
        <v>231</v>
      </c>
      <c r="D7471" s="21">
        <v>14468</v>
      </c>
      <c r="E7471" t="s">
        <v>112</v>
      </c>
      <c r="F7471" s="21" t="s">
        <v>104</v>
      </c>
      <c r="G7471" s="21">
        <v>2</v>
      </c>
      <c r="H7471" s="21">
        <v>36</v>
      </c>
      <c r="I7471" s="23" t="s">
        <v>3055</v>
      </c>
      <c r="J7471" s="21"/>
      <c r="K7471" s="21" t="s">
        <v>3056</v>
      </c>
      <c r="L7471" s="21"/>
      <c r="M7471" s="21"/>
      <c r="N7471" s="21" t="s">
        <v>44</v>
      </c>
      <c r="O7471" s="21">
        <f>60+60+20</f>
        <v>140</v>
      </c>
      <c r="P7471" s="21"/>
      <c r="Q7471" s="21">
        <f t="shared" si="139"/>
        <v>4</v>
      </c>
      <c r="R7471" s="21">
        <v>1</v>
      </c>
      <c r="S7471" s="21">
        <v>0</v>
      </c>
      <c r="T7471" s="21">
        <v>0</v>
      </c>
      <c r="U7471" s="21">
        <v>0</v>
      </c>
      <c r="V7471" s="21">
        <v>4</v>
      </c>
      <c r="W7471" s="21">
        <v>0</v>
      </c>
      <c r="X7471" s="21">
        <v>0</v>
      </c>
      <c r="Y7471" s="21">
        <v>0</v>
      </c>
      <c r="Z7471" s="21">
        <v>0</v>
      </c>
      <c r="AA7471" s="21">
        <v>0</v>
      </c>
      <c r="AB7471" s="21">
        <v>0</v>
      </c>
      <c r="AC7471" s="21">
        <v>0</v>
      </c>
      <c r="AD7471" s="21">
        <v>0</v>
      </c>
      <c r="AE7471" s="21">
        <v>0</v>
      </c>
      <c r="AF7471" s="21">
        <v>0</v>
      </c>
      <c r="AG7471" s="21">
        <v>0</v>
      </c>
      <c r="AH7471" s="21">
        <f t="shared" si="140"/>
        <v>256</v>
      </c>
      <c r="AI7471" s="21"/>
      <c r="AJ7471" s="21" t="s">
        <v>51</v>
      </c>
      <c r="AK7471" s="21" t="s">
        <v>95</v>
      </c>
      <c r="AL7471" s="21" t="s">
        <v>3064</v>
      </c>
      <c r="AM7471" s="21" t="s">
        <v>3065</v>
      </c>
      <c r="AN7471" s="21">
        <v>-122.419130083333</v>
      </c>
      <c r="AO7471" s="21">
        <v>37.788420933333299</v>
      </c>
      <c r="AP7471" s="21" t="s">
        <v>1915</v>
      </c>
    </row>
    <row r="7472" spans="1:42">
      <c r="A7472" s="20">
        <v>43850</v>
      </c>
      <c r="B7472" s="21">
        <v>5</v>
      </c>
      <c r="C7472" s="21">
        <v>231</v>
      </c>
      <c r="D7472" s="21">
        <v>14468</v>
      </c>
      <c r="E7472" t="s">
        <v>112</v>
      </c>
      <c r="F7472" s="21" t="s">
        <v>104</v>
      </c>
      <c r="G7472" s="21">
        <v>2</v>
      </c>
      <c r="H7472" s="21">
        <v>37</v>
      </c>
      <c r="I7472" s="23" t="s">
        <v>3000</v>
      </c>
      <c r="J7472" s="21"/>
      <c r="K7472" s="21" t="s">
        <v>49</v>
      </c>
      <c r="L7472" s="21" t="s">
        <v>114</v>
      </c>
      <c r="M7472" s="21"/>
      <c r="N7472" s="21" t="s">
        <v>40</v>
      </c>
      <c r="O7472" s="21">
        <f>60+60+32</f>
        <v>152</v>
      </c>
      <c r="P7472" s="21"/>
      <c r="Q7472" s="21">
        <f t="shared" si="139"/>
        <v>4</v>
      </c>
      <c r="R7472" s="21">
        <v>1</v>
      </c>
      <c r="S7472" s="21">
        <v>0</v>
      </c>
      <c r="T7472" s="21">
        <v>0</v>
      </c>
      <c r="U7472" s="21">
        <v>0</v>
      </c>
      <c r="V7472" s="21">
        <v>0</v>
      </c>
      <c r="W7472" s="21">
        <v>4</v>
      </c>
      <c r="X7472" s="21">
        <v>0</v>
      </c>
      <c r="Y7472" s="21">
        <v>0</v>
      </c>
      <c r="Z7472" s="21">
        <v>0</v>
      </c>
      <c r="AA7472" s="21">
        <v>0</v>
      </c>
      <c r="AB7472" s="21">
        <v>0</v>
      </c>
      <c r="AC7472" s="21">
        <v>0</v>
      </c>
      <c r="AD7472" s="21">
        <v>0</v>
      </c>
      <c r="AE7472" s="21">
        <v>0</v>
      </c>
      <c r="AF7472" s="21">
        <v>0</v>
      </c>
      <c r="AG7472" s="21">
        <v>0</v>
      </c>
      <c r="AH7472" s="21">
        <f t="shared" si="140"/>
        <v>384</v>
      </c>
      <c r="AI7472" s="21"/>
      <c r="AJ7472" s="21" t="s">
        <v>51</v>
      </c>
      <c r="AK7472" s="21" t="s">
        <v>95</v>
      </c>
      <c r="AL7472" s="21" t="s">
        <v>3066</v>
      </c>
      <c r="AM7472" s="21" t="s">
        <v>3067</v>
      </c>
      <c r="AN7472" s="21">
        <v>-122.418719516667</v>
      </c>
      <c r="AO7472" s="21">
        <v>37.787986116666701</v>
      </c>
      <c r="AP7472" s="21" t="s">
        <v>1915</v>
      </c>
    </row>
    <row r="7473" spans="1:42">
      <c r="A7473" s="20">
        <v>43850</v>
      </c>
      <c r="B7473" s="21">
        <v>5</v>
      </c>
      <c r="C7473" s="21">
        <v>231</v>
      </c>
      <c r="D7473" s="21">
        <v>14468</v>
      </c>
      <c r="E7473" t="s">
        <v>112</v>
      </c>
      <c r="F7473" s="21" t="s">
        <v>104</v>
      </c>
      <c r="G7473" s="21">
        <v>2</v>
      </c>
      <c r="H7473" s="21">
        <v>38</v>
      </c>
      <c r="I7473" s="23" t="s">
        <v>3068</v>
      </c>
      <c r="J7473" s="21"/>
      <c r="K7473" s="21" t="s">
        <v>49</v>
      </c>
      <c r="L7473" s="21"/>
      <c r="M7473" s="21"/>
      <c r="N7473" s="21" t="s">
        <v>44</v>
      </c>
      <c r="O7473" s="21">
        <f>60+60+60+60+46</f>
        <v>286</v>
      </c>
      <c r="P7473" s="21"/>
      <c r="Q7473" s="21">
        <f t="shared" si="139"/>
        <v>4</v>
      </c>
      <c r="R7473" s="21">
        <v>1</v>
      </c>
      <c r="S7473" s="21">
        <v>0</v>
      </c>
      <c r="T7473" s="21">
        <v>0</v>
      </c>
      <c r="U7473" s="21">
        <v>0</v>
      </c>
      <c r="V7473" s="21">
        <v>0</v>
      </c>
      <c r="W7473" s="21">
        <v>4</v>
      </c>
      <c r="X7473" s="21">
        <v>0</v>
      </c>
      <c r="Y7473" s="21">
        <v>0</v>
      </c>
      <c r="Z7473" s="21">
        <v>0</v>
      </c>
      <c r="AA7473" s="21">
        <v>0</v>
      </c>
      <c r="AB7473" s="21">
        <v>0</v>
      </c>
      <c r="AC7473" s="21">
        <v>0</v>
      </c>
      <c r="AD7473" s="21">
        <v>0</v>
      </c>
      <c r="AE7473" s="21">
        <v>0</v>
      </c>
      <c r="AF7473" s="21">
        <v>0</v>
      </c>
      <c r="AG7473" s="21">
        <v>0</v>
      </c>
      <c r="AH7473" s="21">
        <f t="shared" si="140"/>
        <v>384</v>
      </c>
      <c r="AI7473" s="21"/>
      <c r="AJ7473" s="21" t="s">
        <v>51</v>
      </c>
      <c r="AK7473" s="21" t="s">
        <v>52</v>
      </c>
      <c r="AL7473" s="21"/>
      <c r="AM7473" s="21" t="s">
        <v>3069</v>
      </c>
      <c r="AN7473" s="21">
        <v>-122.4189928</v>
      </c>
      <c r="AO7473" s="21">
        <v>37.7879847166666</v>
      </c>
      <c r="AP7473" s="21" t="s">
        <v>1915</v>
      </c>
    </row>
    <row r="7474" spans="1:42">
      <c r="A7474" s="20">
        <v>43850</v>
      </c>
      <c r="B7474" s="21">
        <v>5</v>
      </c>
      <c r="C7474" s="21">
        <v>231</v>
      </c>
      <c r="D7474" s="21">
        <v>14468</v>
      </c>
      <c r="E7474" t="s">
        <v>112</v>
      </c>
      <c r="F7474" s="21" t="s">
        <v>104</v>
      </c>
      <c r="G7474" s="21">
        <v>2</v>
      </c>
      <c r="H7474" s="21">
        <v>39</v>
      </c>
      <c r="I7474" s="23" t="s">
        <v>3000</v>
      </c>
      <c r="J7474" s="21"/>
      <c r="K7474" s="21" t="s">
        <v>49</v>
      </c>
      <c r="L7474" s="21"/>
      <c r="M7474" s="21"/>
      <c r="N7474" s="21" t="s">
        <v>1703</v>
      </c>
      <c r="O7474" s="21">
        <f>60+15</f>
        <v>75</v>
      </c>
      <c r="P7474" s="21"/>
      <c r="Q7474" s="21">
        <f t="shared" si="139"/>
        <v>2</v>
      </c>
      <c r="R7474" s="21">
        <v>1</v>
      </c>
      <c r="S7474" s="21">
        <v>0</v>
      </c>
      <c r="T7474" s="21">
        <v>0</v>
      </c>
      <c r="U7474" s="21">
        <v>1</v>
      </c>
      <c r="V7474" s="21">
        <v>1</v>
      </c>
      <c r="W7474" s="21">
        <v>0</v>
      </c>
      <c r="X7474" s="21">
        <v>0</v>
      </c>
      <c r="Y7474" s="21">
        <v>0</v>
      </c>
      <c r="Z7474" s="21">
        <v>0</v>
      </c>
      <c r="AA7474" s="21">
        <v>0</v>
      </c>
      <c r="AB7474" s="21">
        <v>0</v>
      </c>
      <c r="AC7474" s="21">
        <v>0</v>
      </c>
      <c r="AD7474" s="21">
        <v>0</v>
      </c>
      <c r="AE7474" s="21">
        <v>0</v>
      </c>
      <c r="AF7474" s="21">
        <v>0</v>
      </c>
      <c r="AG7474" s="21">
        <v>1</v>
      </c>
      <c r="AH7474" s="21">
        <f t="shared" si="140"/>
        <v>96</v>
      </c>
      <c r="AI7474" s="21"/>
      <c r="AJ7474" s="21" t="s">
        <v>51</v>
      </c>
      <c r="AK7474" s="21" t="s">
        <v>52</v>
      </c>
      <c r="AL7474" s="21" t="s">
        <v>1954</v>
      </c>
      <c r="AM7474" s="21" t="s">
        <v>3070</v>
      </c>
      <c r="AN7474" s="21">
        <v>-122.41920493333301</v>
      </c>
      <c r="AO7474" s="21">
        <v>37.787937550000002</v>
      </c>
      <c r="AP7474" s="21" t="s">
        <v>1915</v>
      </c>
    </row>
    <row r="7475" spans="1:42">
      <c r="A7475" s="20">
        <v>43850</v>
      </c>
      <c r="B7475" s="21">
        <v>5</v>
      </c>
      <c r="C7475" s="21">
        <v>231</v>
      </c>
      <c r="D7475" s="21">
        <v>14468</v>
      </c>
      <c r="E7475" t="s">
        <v>112</v>
      </c>
      <c r="F7475" s="21" t="s">
        <v>104</v>
      </c>
      <c r="G7475" s="21">
        <v>2</v>
      </c>
      <c r="H7475" s="21">
        <v>40</v>
      </c>
      <c r="I7475" s="23" t="s">
        <v>3000</v>
      </c>
      <c r="J7475" s="21"/>
      <c r="K7475" s="21" t="s">
        <v>49</v>
      </c>
      <c r="L7475" s="21" t="s">
        <v>114</v>
      </c>
      <c r="M7475" s="21"/>
      <c r="N7475" s="21" t="s">
        <v>40</v>
      </c>
      <c r="O7475" s="21">
        <f>60+11</f>
        <v>71</v>
      </c>
      <c r="P7475" s="21"/>
      <c r="Q7475" s="21">
        <f t="shared" si="139"/>
        <v>1</v>
      </c>
      <c r="R7475" s="21">
        <v>1</v>
      </c>
      <c r="S7475" s="21">
        <v>0</v>
      </c>
      <c r="T7475" s="21">
        <v>0</v>
      </c>
      <c r="U7475" s="21">
        <v>0</v>
      </c>
      <c r="V7475" s="21">
        <v>0</v>
      </c>
      <c r="W7475" s="21">
        <v>1</v>
      </c>
      <c r="X7475" s="21">
        <v>0</v>
      </c>
      <c r="Y7475" s="21">
        <v>0</v>
      </c>
      <c r="Z7475" s="21">
        <v>0</v>
      </c>
      <c r="AA7475" s="21">
        <v>0</v>
      </c>
      <c r="AB7475" s="21">
        <v>0</v>
      </c>
      <c r="AC7475" s="21">
        <v>0</v>
      </c>
      <c r="AD7475" s="21">
        <v>0</v>
      </c>
      <c r="AE7475" s="21">
        <v>0</v>
      </c>
      <c r="AF7475" s="21">
        <v>0</v>
      </c>
      <c r="AG7475" s="21">
        <v>0</v>
      </c>
      <c r="AH7475" s="21">
        <f t="shared" si="140"/>
        <v>96</v>
      </c>
      <c r="AI7475" s="21"/>
      <c r="AJ7475" s="21" t="s">
        <v>51</v>
      </c>
      <c r="AK7475" s="21" t="s">
        <v>52</v>
      </c>
      <c r="AL7475" s="21"/>
      <c r="AM7475" s="21" t="s">
        <v>3071</v>
      </c>
      <c r="AN7475" s="21">
        <v>-122.419846366667</v>
      </c>
      <c r="AO7475" s="21">
        <v>37.7879054666667</v>
      </c>
      <c r="AP7475" s="21" t="s">
        <v>1915</v>
      </c>
    </row>
    <row r="7476" spans="1:42">
      <c r="A7476" s="20">
        <v>43850</v>
      </c>
      <c r="B7476" s="21">
        <v>5</v>
      </c>
      <c r="C7476" s="21">
        <v>231</v>
      </c>
      <c r="D7476" s="21">
        <v>14468</v>
      </c>
      <c r="E7476" t="s">
        <v>112</v>
      </c>
      <c r="F7476" s="21" t="s">
        <v>104</v>
      </c>
      <c r="G7476" s="21">
        <v>2</v>
      </c>
      <c r="H7476" s="21">
        <v>41</v>
      </c>
      <c r="I7476" s="23" t="s">
        <v>3013</v>
      </c>
      <c r="J7476" s="21"/>
      <c r="K7476" s="21" t="s">
        <v>69</v>
      </c>
      <c r="L7476" s="21"/>
      <c r="M7476" s="21" t="s">
        <v>95</v>
      </c>
      <c r="N7476" s="21" t="s">
        <v>40</v>
      </c>
      <c r="O7476" s="21">
        <f>60+19</f>
        <v>79</v>
      </c>
      <c r="P7476" s="21"/>
      <c r="Q7476" s="21">
        <f t="shared" si="139"/>
        <v>1</v>
      </c>
      <c r="R7476" s="21">
        <v>1</v>
      </c>
      <c r="S7476" s="21">
        <v>0</v>
      </c>
      <c r="T7476" s="21">
        <v>0</v>
      </c>
      <c r="U7476" s="21">
        <v>0</v>
      </c>
      <c r="V7476" s="21">
        <v>0</v>
      </c>
      <c r="W7476" s="21">
        <v>0</v>
      </c>
      <c r="X7476" s="21">
        <v>1</v>
      </c>
      <c r="Y7476" s="21">
        <v>0</v>
      </c>
      <c r="Z7476" s="21">
        <v>0</v>
      </c>
      <c r="AA7476" s="21">
        <v>0</v>
      </c>
      <c r="AB7476" s="21">
        <v>0</v>
      </c>
      <c r="AC7476" s="21">
        <v>0</v>
      </c>
      <c r="AD7476" s="21">
        <v>0</v>
      </c>
      <c r="AE7476" s="21">
        <v>0</v>
      </c>
      <c r="AF7476" s="21">
        <v>0</v>
      </c>
      <c r="AG7476" s="21">
        <v>0</v>
      </c>
      <c r="AH7476" s="21">
        <f t="shared" si="140"/>
        <v>0</v>
      </c>
      <c r="AI7476" s="21"/>
      <c r="AJ7476" s="21" t="s">
        <v>51</v>
      </c>
      <c r="AK7476" s="21" t="s">
        <v>95</v>
      </c>
      <c r="AL7476" s="21" t="s">
        <v>3072</v>
      </c>
      <c r="AM7476" s="21" t="s">
        <v>3073</v>
      </c>
      <c r="AN7476" s="21">
        <v>-122.41895706666701</v>
      </c>
      <c r="AO7476" s="21">
        <v>37.789820266666602</v>
      </c>
      <c r="AP7476" s="21" t="s">
        <v>1915</v>
      </c>
    </row>
    <row r="7477" spans="1:42">
      <c r="A7477" s="20">
        <v>43850</v>
      </c>
      <c r="B7477" s="21">
        <v>5</v>
      </c>
      <c r="C7477" s="21">
        <v>231</v>
      </c>
      <c r="D7477" s="21">
        <v>14468</v>
      </c>
      <c r="E7477" t="s">
        <v>112</v>
      </c>
      <c r="F7477" s="21" t="s">
        <v>104</v>
      </c>
      <c r="G7477" s="21">
        <v>2</v>
      </c>
      <c r="H7477" s="21">
        <v>42</v>
      </c>
      <c r="I7477" s="23" t="s">
        <v>3074</v>
      </c>
      <c r="J7477" s="21"/>
      <c r="K7477" s="21" t="s">
        <v>420</v>
      </c>
      <c r="L7477" s="21"/>
      <c r="M7477" s="21"/>
      <c r="N7477" s="21" t="s">
        <v>44</v>
      </c>
      <c r="O7477" s="21">
        <f>60+60+10</f>
        <v>130</v>
      </c>
      <c r="P7477" s="21"/>
      <c r="Q7477" s="21">
        <f t="shared" si="139"/>
        <v>1</v>
      </c>
      <c r="R7477" s="21">
        <v>1</v>
      </c>
      <c r="S7477" s="21">
        <v>0</v>
      </c>
      <c r="T7477" s="21">
        <v>0</v>
      </c>
      <c r="U7477" s="21">
        <v>0</v>
      </c>
      <c r="V7477" s="21">
        <v>0</v>
      </c>
      <c r="W7477" s="21">
        <v>1</v>
      </c>
      <c r="X7477" s="21">
        <v>0</v>
      </c>
      <c r="Y7477" s="21">
        <v>0</v>
      </c>
      <c r="Z7477" s="21">
        <v>0</v>
      </c>
      <c r="AA7477" s="21">
        <v>0</v>
      </c>
      <c r="AB7477" s="21">
        <v>0</v>
      </c>
      <c r="AC7477" s="21">
        <v>0</v>
      </c>
      <c r="AD7477" s="21">
        <v>0</v>
      </c>
      <c r="AE7477" s="21">
        <v>0</v>
      </c>
      <c r="AF7477" s="21">
        <v>0</v>
      </c>
      <c r="AG7477" s="21">
        <v>0</v>
      </c>
      <c r="AH7477" s="21">
        <f t="shared" si="140"/>
        <v>96</v>
      </c>
      <c r="AI7477" s="21"/>
      <c r="AJ7477" s="21"/>
      <c r="AK7477" s="21"/>
      <c r="AL7477" s="21"/>
      <c r="AM7477" s="21" t="s">
        <v>3075</v>
      </c>
      <c r="AN7477" s="21">
        <v>-122.4188518</v>
      </c>
      <c r="AO7477" s="21">
        <v>37.790029466666702</v>
      </c>
      <c r="AP7477" s="21" t="s">
        <v>1915</v>
      </c>
    </row>
    <row r="7478" spans="1:42">
      <c r="A7478" s="20">
        <v>43850</v>
      </c>
      <c r="B7478" s="21">
        <v>5</v>
      </c>
      <c r="C7478" s="21">
        <v>231</v>
      </c>
      <c r="D7478" s="21">
        <v>14468</v>
      </c>
      <c r="E7478" t="s">
        <v>112</v>
      </c>
      <c r="F7478" s="21" t="s">
        <v>104</v>
      </c>
      <c r="G7478" s="21">
        <v>2</v>
      </c>
      <c r="H7478" s="21">
        <v>43</v>
      </c>
      <c r="I7478" s="23" t="s">
        <v>3076</v>
      </c>
      <c r="J7478" s="21"/>
      <c r="K7478" s="21" t="s">
        <v>420</v>
      </c>
      <c r="L7478" s="21" t="s">
        <v>141</v>
      </c>
      <c r="M7478" s="21"/>
      <c r="N7478" s="21" t="s">
        <v>44</v>
      </c>
      <c r="O7478" s="21">
        <f>60+60+43</f>
        <v>163</v>
      </c>
      <c r="P7478" s="21"/>
      <c r="Q7478" s="21">
        <f t="shared" si="139"/>
        <v>2</v>
      </c>
      <c r="R7478" s="21">
        <v>1</v>
      </c>
      <c r="S7478" s="21">
        <v>0</v>
      </c>
      <c r="T7478" s="21">
        <v>0</v>
      </c>
      <c r="U7478" s="21">
        <v>0</v>
      </c>
      <c r="V7478" s="21">
        <v>0</v>
      </c>
      <c r="W7478" s="21">
        <v>2</v>
      </c>
      <c r="X7478" s="21">
        <v>0</v>
      </c>
      <c r="Y7478" s="21">
        <v>0</v>
      </c>
      <c r="Z7478" s="21">
        <v>0</v>
      </c>
      <c r="AA7478" s="21">
        <v>0</v>
      </c>
      <c r="AB7478" s="21">
        <v>0</v>
      </c>
      <c r="AC7478" s="21">
        <v>0</v>
      </c>
      <c r="AD7478" s="21">
        <v>0</v>
      </c>
      <c r="AE7478" s="21">
        <v>0</v>
      </c>
      <c r="AF7478" s="21">
        <v>0</v>
      </c>
      <c r="AG7478" s="21">
        <v>0</v>
      </c>
      <c r="AH7478" s="21">
        <f t="shared" si="140"/>
        <v>192</v>
      </c>
      <c r="AI7478" s="21"/>
      <c r="AJ7478" s="21"/>
      <c r="AK7478" s="21"/>
      <c r="AL7478" s="21" t="s">
        <v>3077</v>
      </c>
      <c r="AM7478" s="21" t="s">
        <v>3078</v>
      </c>
      <c r="AN7478" s="21">
        <v>-122.418973783333</v>
      </c>
      <c r="AO7478" s="21">
        <v>37.790164333333301</v>
      </c>
      <c r="AP7478" s="21" t="s">
        <v>1915</v>
      </c>
    </row>
    <row r="7479" spans="1:42">
      <c r="A7479" s="20">
        <v>43850</v>
      </c>
      <c r="B7479" s="21">
        <v>5</v>
      </c>
      <c r="C7479" s="21">
        <v>231</v>
      </c>
      <c r="D7479" s="21">
        <v>14468</v>
      </c>
      <c r="E7479" t="s">
        <v>112</v>
      </c>
      <c r="F7479" s="21" t="s">
        <v>104</v>
      </c>
      <c r="G7479" s="21">
        <v>2</v>
      </c>
      <c r="H7479" s="21">
        <v>44</v>
      </c>
      <c r="I7479" s="23" t="s">
        <v>3074</v>
      </c>
      <c r="J7479" s="21"/>
      <c r="K7479" s="21" t="s">
        <v>420</v>
      </c>
      <c r="L7479" s="21"/>
      <c r="M7479" s="21"/>
      <c r="N7479" s="21" t="s">
        <v>44</v>
      </c>
      <c r="O7479" s="21">
        <f>60+60+60+31</f>
        <v>211</v>
      </c>
      <c r="P7479" s="21"/>
      <c r="Q7479" s="21">
        <f t="shared" si="139"/>
        <v>3</v>
      </c>
      <c r="R7479" s="21">
        <v>1</v>
      </c>
      <c r="S7479" s="21">
        <v>0</v>
      </c>
      <c r="T7479" s="21">
        <v>0</v>
      </c>
      <c r="U7479" s="21">
        <v>0</v>
      </c>
      <c r="V7479" s="21">
        <v>0</v>
      </c>
      <c r="W7479" s="21">
        <v>3</v>
      </c>
      <c r="X7479" s="21">
        <v>0</v>
      </c>
      <c r="Y7479" s="21">
        <v>0</v>
      </c>
      <c r="Z7479" s="21">
        <v>0</v>
      </c>
      <c r="AA7479" s="21">
        <v>0</v>
      </c>
      <c r="AB7479" s="21">
        <v>0</v>
      </c>
      <c r="AC7479" s="21">
        <v>0</v>
      </c>
      <c r="AD7479" s="21">
        <v>0</v>
      </c>
      <c r="AE7479" s="21">
        <v>0</v>
      </c>
      <c r="AF7479" s="21">
        <v>0</v>
      </c>
      <c r="AG7479" s="21">
        <v>0</v>
      </c>
      <c r="AH7479" s="21">
        <f t="shared" si="140"/>
        <v>288</v>
      </c>
      <c r="AI7479" s="21"/>
      <c r="AJ7479" s="21" t="s">
        <v>54</v>
      </c>
      <c r="AK7479" s="21" t="s">
        <v>52</v>
      </c>
      <c r="AL7479" s="21"/>
      <c r="AM7479" s="21" t="s">
        <v>3079</v>
      </c>
      <c r="AN7479" s="21">
        <v>-122.41905801666699</v>
      </c>
      <c r="AO7479" s="21">
        <v>37.790489450000003</v>
      </c>
      <c r="AP7479" s="21" t="s">
        <v>1915</v>
      </c>
    </row>
    <row r="7480" spans="1:42">
      <c r="A7480" s="20">
        <v>43850</v>
      </c>
      <c r="B7480" s="21">
        <v>5</v>
      </c>
      <c r="C7480" s="21">
        <v>231</v>
      </c>
      <c r="D7480" s="21">
        <v>14468</v>
      </c>
      <c r="E7480" t="s">
        <v>112</v>
      </c>
      <c r="F7480" s="21" t="s">
        <v>104</v>
      </c>
      <c r="G7480" s="21">
        <v>2</v>
      </c>
      <c r="H7480" s="21">
        <v>45</v>
      </c>
      <c r="I7480" s="23" t="s">
        <v>3013</v>
      </c>
      <c r="J7480" s="21"/>
      <c r="K7480" s="21" t="s">
        <v>56</v>
      </c>
      <c r="L7480" s="21"/>
      <c r="M7480" s="21"/>
      <c r="N7480" s="21" t="s">
        <v>40</v>
      </c>
      <c r="O7480" s="21">
        <f>60+35</f>
        <v>95</v>
      </c>
      <c r="P7480" s="21"/>
      <c r="Q7480" s="21">
        <f t="shared" si="139"/>
        <v>3</v>
      </c>
      <c r="R7480" s="21">
        <v>1</v>
      </c>
      <c r="S7480" s="21">
        <v>0</v>
      </c>
      <c r="T7480" s="21">
        <v>0</v>
      </c>
      <c r="U7480" s="21">
        <v>0</v>
      </c>
      <c r="V7480" s="21">
        <v>3</v>
      </c>
      <c r="W7480" s="21">
        <v>0</v>
      </c>
      <c r="X7480" s="21">
        <v>0</v>
      </c>
      <c r="Y7480" s="21">
        <v>0</v>
      </c>
      <c r="Z7480" s="21">
        <v>0</v>
      </c>
      <c r="AA7480" s="21">
        <v>0</v>
      </c>
      <c r="AB7480" s="21">
        <v>0</v>
      </c>
      <c r="AC7480" s="21">
        <v>0</v>
      </c>
      <c r="AD7480" s="21">
        <v>0</v>
      </c>
      <c r="AE7480" s="21">
        <v>0</v>
      </c>
      <c r="AF7480" s="21">
        <v>0</v>
      </c>
      <c r="AG7480" s="21">
        <v>0</v>
      </c>
      <c r="AH7480" s="21">
        <f t="shared" si="140"/>
        <v>192</v>
      </c>
      <c r="AI7480" s="21"/>
      <c r="AJ7480" s="21" t="s">
        <v>54</v>
      </c>
      <c r="AK7480" s="21" t="s">
        <v>52</v>
      </c>
      <c r="AL7480" s="21"/>
      <c r="AM7480" s="21" t="s">
        <v>3080</v>
      </c>
      <c r="AN7480" s="21">
        <v>-122.41778415</v>
      </c>
      <c r="AO7480" s="21">
        <v>37.7908950666666</v>
      </c>
      <c r="AP7480" s="21" t="s">
        <v>1915</v>
      </c>
    </row>
    <row r="7481" spans="1:42">
      <c r="A7481" s="20">
        <v>43850</v>
      </c>
      <c r="B7481" s="21">
        <v>5</v>
      </c>
      <c r="C7481" s="21">
        <v>231</v>
      </c>
      <c r="D7481" s="21">
        <v>14468</v>
      </c>
      <c r="E7481" t="s">
        <v>112</v>
      </c>
      <c r="F7481" s="21" t="s">
        <v>104</v>
      </c>
      <c r="G7481" s="21">
        <v>2</v>
      </c>
      <c r="H7481" s="21">
        <v>46</v>
      </c>
      <c r="I7481" s="23" t="s">
        <v>3013</v>
      </c>
      <c r="J7481" s="21"/>
      <c r="K7481" s="21" t="s">
        <v>56</v>
      </c>
      <c r="L7481" s="21"/>
      <c r="M7481" s="21"/>
      <c r="N7481" s="21"/>
      <c r="O7481" s="21">
        <v>38</v>
      </c>
      <c r="P7481" s="21"/>
      <c r="Q7481" s="21">
        <f t="shared" si="139"/>
        <v>1</v>
      </c>
      <c r="R7481" s="21">
        <v>1</v>
      </c>
      <c r="S7481" s="21">
        <v>0</v>
      </c>
      <c r="T7481" s="21">
        <v>0</v>
      </c>
      <c r="U7481" s="21">
        <v>0</v>
      </c>
      <c r="V7481" s="21">
        <v>0</v>
      </c>
      <c r="W7481" s="21">
        <v>0</v>
      </c>
      <c r="X7481" s="21">
        <v>1</v>
      </c>
      <c r="Y7481" s="21">
        <v>0</v>
      </c>
      <c r="Z7481" s="21">
        <v>0</v>
      </c>
      <c r="AA7481" s="21">
        <v>0</v>
      </c>
      <c r="AB7481" s="21">
        <v>0</v>
      </c>
      <c r="AC7481" s="21">
        <v>0</v>
      </c>
      <c r="AD7481" s="21">
        <v>0</v>
      </c>
      <c r="AE7481" s="21">
        <v>0</v>
      </c>
      <c r="AF7481" s="21">
        <v>0</v>
      </c>
      <c r="AG7481" s="21">
        <v>0</v>
      </c>
      <c r="AH7481" s="21">
        <f t="shared" si="140"/>
        <v>0</v>
      </c>
      <c r="AI7481" s="21"/>
      <c r="AJ7481" s="21" t="s">
        <v>54</v>
      </c>
      <c r="AK7481" s="21" t="s">
        <v>95</v>
      </c>
      <c r="AL7481" s="21" t="s">
        <v>456</v>
      </c>
      <c r="AM7481" s="21" t="s">
        <v>3081</v>
      </c>
      <c r="AN7481" s="21">
        <v>-122.417606616667</v>
      </c>
      <c r="AO7481" s="21">
        <v>37.790921033333298</v>
      </c>
      <c r="AP7481" s="21" t="s">
        <v>1915</v>
      </c>
    </row>
    <row r="7482" spans="1:42">
      <c r="A7482" s="20">
        <v>43850</v>
      </c>
      <c r="B7482" s="21">
        <v>5</v>
      </c>
      <c r="C7482" s="21">
        <v>231</v>
      </c>
      <c r="D7482" s="21">
        <v>14468</v>
      </c>
      <c r="E7482" t="s">
        <v>112</v>
      </c>
      <c r="F7482" s="21" t="s">
        <v>104</v>
      </c>
      <c r="G7482" s="21">
        <v>2</v>
      </c>
      <c r="H7482" s="21">
        <v>47</v>
      </c>
      <c r="I7482" s="23" t="s">
        <v>3013</v>
      </c>
      <c r="J7482" s="21"/>
      <c r="K7482" s="21" t="s">
        <v>56</v>
      </c>
      <c r="L7482" s="21" t="s">
        <v>114</v>
      </c>
      <c r="M7482" s="21"/>
      <c r="N7482" s="21" t="s">
        <v>40</v>
      </c>
      <c r="O7482" s="21">
        <f>60+18</f>
        <v>78</v>
      </c>
      <c r="P7482" s="21"/>
      <c r="Q7482" s="21">
        <f t="shared" si="139"/>
        <v>2</v>
      </c>
      <c r="R7482" s="21">
        <v>1</v>
      </c>
      <c r="S7482" s="21">
        <v>0</v>
      </c>
      <c r="T7482" s="21">
        <v>0</v>
      </c>
      <c r="U7482" s="21">
        <v>0</v>
      </c>
      <c r="V7482" s="21">
        <v>2</v>
      </c>
      <c r="W7482" s="21">
        <v>0</v>
      </c>
      <c r="X7482" s="21">
        <v>0</v>
      </c>
      <c r="Y7482" s="21">
        <v>0</v>
      </c>
      <c r="Z7482" s="21">
        <v>0</v>
      </c>
      <c r="AA7482" s="21">
        <v>0</v>
      </c>
      <c r="AB7482" s="21">
        <v>0</v>
      </c>
      <c r="AC7482" s="21">
        <v>0</v>
      </c>
      <c r="AD7482" s="21">
        <v>0</v>
      </c>
      <c r="AE7482" s="21">
        <v>0</v>
      </c>
      <c r="AF7482" s="21">
        <v>0</v>
      </c>
      <c r="AG7482" s="21">
        <v>0</v>
      </c>
      <c r="AH7482" s="21">
        <f t="shared" si="140"/>
        <v>128</v>
      </c>
      <c r="AI7482" s="21"/>
      <c r="AJ7482" s="21" t="s">
        <v>54</v>
      </c>
      <c r="AK7482" s="21" t="s">
        <v>52</v>
      </c>
      <c r="AL7482" s="21"/>
      <c r="AM7482" s="21" t="s">
        <v>3082</v>
      </c>
      <c r="AN7482" s="21">
        <v>-122.41778076666699</v>
      </c>
      <c r="AO7482" s="21">
        <v>37.791076449999998</v>
      </c>
      <c r="AP7482" s="21" t="s">
        <v>1915</v>
      </c>
    </row>
    <row r="7483" spans="1:42">
      <c r="A7483" s="20">
        <v>43850</v>
      </c>
      <c r="B7483" s="21">
        <v>5</v>
      </c>
      <c r="C7483" s="21">
        <v>231</v>
      </c>
      <c r="D7483" s="21">
        <v>14468</v>
      </c>
      <c r="E7483" t="s">
        <v>112</v>
      </c>
      <c r="F7483" s="21" t="s">
        <v>104</v>
      </c>
      <c r="G7483" s="21">
        <v>2</v>
      </c>
      <c r="H7483" s="21">
        <v>48</v>
      </c>
      <c r="I7483" s="23" t="s">
        <v>3083</v>
      </c>
      <c r="J7483" s="21"/>
      <c r="K7483" s="21" t="s">
        <v>56</v>
      </c>
      <c r="L7483" s="21"/>
      <c r="M7483" s="21"/>
      <c r="N7483" s="21" t="s">
        <v>44</v>
      </c>
      <c r="O7483" s="21">
        <f>60+60+20</f>
        <v>140</v>
      </c>
      <c r="P7483" s="21"/>
      <c r="Q7483" s="21">
        <f t="shared" si="139"/>
        <v>1</v>
      </c>
      <c r="R7483" s="21">
        <v>1</v>
      </c>
      <c r="S7483" s="21">
        <v>0</v>
      </c>
      <c r="T7483" s="21">
        <v>0</v>
      </c>
      <c r="U7483" s="21">
        <v>0</v>
      </c>
      <c r="V7483" s="21">
        <v>0</v>
      </c>
      <c r="W7483" s="21">
        <v>1</v>
      </c>
      <c r="X7483" s="21">
        <v>0</v>
      </c>
      <c r="Y7483" s="21">
        <v>0</v>
      </c>
      <c r="Z7483" s="21">
        <v>0</v>
      </c>
      <c r="AA7483" s="21">
        <v>0</v>
      </c>
      <c r="AB7483" s="21">
        <v>0</v>
      </c>
      <c r="AC7483" s="21">
        <v>0</v>
      </c>
      <c r="AD7483" s="21">
        <v>0</v>
      </c>
      <c r="AE7483" s="21">
        <v>0</v>
      </c>
      <c r="AF7483" s="21">
        <v>0</v>
      </c>
      <c r="AG7483" s="21">
        <v>0</v>
      </c>
      <c r="AH7483" s="21">
        <f t="shared" si="140"/>
        <v>96</v>
      </c>
      <c r="AI7483" s="21"/>
      <c r="AJ7483" s="21" t="s">
        <v>54</v>
      </c>
      <c r="AK7483" s="21" t="s">
        <v>52</v>
      </c>
      <c r="AL7483" s="21"/>
      <c r="AM7483" s="21" t="s">
        <v>3084</v>
      </c>
      <c r="AN7483" s="21">
        <v>-122.417898633333</v>
      </c>
      <c r="AO7483" s="21">
        <v>37.791024066666701</v>
      </c>
      <c r="AP7483" s="21" t="s">
        <v>1915</v>
      </c>
    </row>
    <row r="7484" spans="1:42">
      <c r="A7484" s="20">
        <v>43850</v>
      </c>
      <c r="B7484" s="21">
        <v>5</v>
      </c>
      <c r="C7484" s="21">
        <v>231</v>
      </c>
      <c r="D7484" s="21">
        <v>14468</v>
      </c>
      <c r="E7484" t="s">
        <v>112</v>
      </c>
      <c r="F7484" s="21" t="s">
        <v>104</v>
      </c>
      <c r="G7484" s="21">
        <v>2</v>
      </c>
      <c r="H7484" s="21">
        <v>49</v>
      </c>
      <c r="I7484" s="23" t="s">
        <v>3085</v>
      </c>
      <c r="J7484" s="21"/>
      <c r="K7484" s="21" t="s">
        <v>56</v>
      </c>
      <c r="L7484" s="21" t="s">
        <v>114</v>
      </c>
      <c r="M7484" s="21"/>
      <c r="N7484" s="21" t="s">
        <v>44</v>
      </c>
      <c r="O7484" s="21">
        <f>60+60+60+60+25</f>
        <v>265</v>
      </c>
      <c r="P7484" s="21"/>
      <c r="Q7484" s="21">
        <f t="shared" si="139"/>
        <v>4</v>
      </c>
      <c r="R7484" s="21">
        <v>1</v>
      </c>
      <c r="S7484" s="21">
        <v>0</v>
      </c>
      <c r="T7484" s="21">
        <v>0</v>
      </c>
      <c r="U7484" s="21">
        <v>0</v>
      </c>
      <c r="V7484" s="21">
        <v>0</v>
      </c>
      <c r="W7484" s="21">
        <v>4</v>
      </c>
      <c r="X7484" s="21">
        <v>0</v>
      </c>
      <c r="Y7484" s="21">
        <v>0</v>
      </c>
      <c r="Z7484" s="21">
        <v>0</v>
      </c>
      <c r="AA7484" s="21">
        <v>0</v>
      </c>
      <c r="AB7484" s="21">
        <v>0</v>
      </c>
      <c r="AC7484" s="21">
        <v>0</v>
      </c>
      <c r="AD7484" s="21">
        <v>0</v>
      </c>
      <c r="AE7484" s="21">
        <v>0</v>
      </c>
      <c r="AF7484" s="21">
        <v>0</v>
      </c>
      <c r="AG7484" s="21">
        <v>0</v>
      </c>
      <c r="AH7484" s="21">
        <f t="shared" si="140"/>
        <v>384</v>
      </c>
      <c r="AI7484" s="21"/>
      <c r="AJ7484" s="21" t="s">
        <v>54</v>
      </c>
      <c r="AK7484" s="21" t="s">
        <v>95</v>
      </c>
      <c r="AL7484" s="21"/>
      <c r="AM7484" s="21" t="s">
        <v>3086</v>
      </c>
      <c r="AN7484" s="21">
        <v>-122.418092683333</v>
      </c>
      <c r="AO7484" s="21">
        <v>37.790950016666699</v>
      </c>
      <c r="AP7484" s="21" t="s">
        <v>1915</v>
      </c>
    </row>
    <row r="7485" spans="1:42">
      <c r="A7485" s="20">
        <v>43850</v>
      </c>
      <c r="B7485" s="21">
        <v>5</v>
      </c>
      <c r="C7485" s="21">
        <v>231</v>
      </c>
      <c r="D7485" s="21">
        <v>14468</v>
      </c>
      <c r="E7485" t="s">
        <v>112</v>
      </c>
      <c r="F7485" s="21" t="s">
        <v>104</v>
      </c>
      <c r="G7485" s="21">
        <v>2</v>
      </c>
      <c r="H7485" s="21">
        <v>50</v>
      </c>
      <c r="I7485" s="23" t="s">
        <v>3043</v>
      </c>
      <c r="J7485" s="21"/>
      <c r="K7485" s="21" t="s">
        <v>56</v>
      </c>
      <c r="L7485" s="21"/>
      <c r="M7485" s="21"/>
      <c r="N7485" s="21" t="s">
        <v>44</v>
      </c>
      <c r="O7485" s="21">
        <f>60+22</f>
        <v>82</v>
      </c>
      <c r="P7485" s="21"/>
      <c r="Q7485" s="21">
        <f t="shared" si="139"/>
        <v>1</v>
      </c>
      <c r="R7485" s="21">
        <v>1</v>
      </c>
      <c r="S7485" s="21">
        <v>0</v>
      </c>
      <c r="T7485" s="21">
        <v>0</v>
      </c>
      <c r="U7485" s="21">
        <v>0</v>
      </c>
      <c r="V7485" s="21">
        <v>0</v>
      </c>
      <c r="W7485" s="21">
        <v>1</v>
      </c>
      <c r="X7485" s="21">
        <v>0</v>
      </c>
      <c r="Y7485" s="21">
        <v>0</v>
      </c>
      <c r="Z7485" s="21">
        <v>0</v>
      </c>
      <c r="AA7485" s="21">
        <v>0</v>
      </c>
      <c r="AB7485" s="21">
        <v>0</v>
      </c>
      <c r="AC7485" s="21">
        <v>0</v>
      </c>
      <c r="AD7485" s="21">
        <v>0</v>
      </c>
      <c r="AE7485" s="21">
        <v>0</v>
      </c>
      <c r="AF7485" s="21">
        <v>0</v>
      </c>
      <c r="AG7485" s="21">
        <v>0</v>
      </c>
      <c r="AH7485" s="21">
        <f t="shared" si="140"/>
        <v>96</v>
      </c>
      <c r="AI7485" s="21"/>
      <c r="AJ7485" s="21" t="s">
        <v>54</v>
      </c>
      <c r="AK7485" s="21" t="s">
        <v>95</v>
      </c>
      <c r="AL7485" s="21"/>
      <c r="AM7485" s="21" t="s">
        <v>3087</v>
      </c>
      <c r="AN7485" s="21">
        <v>-122.418293083333</v>
      </c>
      <c r="AO7485" s="21">
        <v>37.790935949999998</v>
      </c>
      <c r="AP7485" s="21" t="s">
        <v>1915</v>
      </c>
    </row>
    <row r="7486" spans="1:42">
      <c r="A7486" s="20">
        <v>43850</v>
      </c>
      <c r="B7486" s="21">
        <v>5</v>
      </c>
      <c r="C7486" s="21">
        <v>231</v>
      </c>
      <c r="D7486" s="21">
        <v>14468</v>
      </c>
      <c r="E7486" t="s">
        <v>112</v>
      </c>
      <c r="F7486" s="21" t="s">
        <v>104</v>
      </c>
      <c r="G7486" s="21">
        <v>2</v>
      </c>
      <c r="H7486" s="21">
        <v>51</v>
      </c>
      <c r="I7486" s="23" t="s">
        <v>3088</v>
      </c>
      <c r="J7486" s="21"/>
      <c r="K7486" s="21" t="s">
        <v>56</v>
      </c>
      <c r="L7486" s="21" t="s">
        <v>114</v>
      </c>
      <c r="M7486" s="21"/>
      <c r="N7486" s="21" t="s">
        <v>44</v>
      </c>
      <c r="O7486" s="21">
        <f>60+60+60+60+60</f>
        <v>300</v>
      </c>
      <c r="P7486" s="21"/>
      <c r="Q7486" s="21">
        <f t="shared" si="139"/>
        <v>3</v>
      </c>
      <c r="R7486" s="21">
        <v>1</v>
      </c>
      <c r="S7486" s="21">
        <v>0</v>
      </c>
      <c r="T7486" s="21">
        <v>0</v>
      </c>
      <c r="U7486" s="21">
        <v>0</v>
      </c>
      <c r="V7486" s="21">
        <v>0</v>
      </c>
      <c r="W7486" s="21">
        <v>3</v>
      </c>
      <c r="X7486" s="21">
        <v>0</v>
      </c>
      <c r="Y7486" s="21">
        <v>0</v>
      </c>
      <c r="Z7486" s="21">
        <v>0</v>
      </c>
      <c r="AA7486" s="21">
        <v>0</v>
      </c>
      <c r="AB7486" s="21">
        <v>0</v>
      </c>
      <c r="AC7486" s="21">
        <v>0</v>
      </c>
      <c r="AD7486" s="21">
        <v>0</v>
      </c>
      <c r="AE7486" s="21">
        <v>0</v>
      </c>
      <c r="AF7486" s="21">
        <v>0</v>
      </c>
      <c r="AG7486" s="21">
        <v>0</v>
      </c>
      <c r="AH7486" s="21">
        <f t="shared" si="140"/>
        <v>288</v>
      </c>
      <c r="AI7486" s="21"/>
      <c r="AJ7486" s="21" t="s">
        <v>54</v>
      </c>
      <c r="AK7486" s="21" t="s">
        <v>95</v>
      </c>
      <c r="AL7486" s="21" t="s">
        <v>3089</v>
      </c>
      <c r="AM7486" s="21" t="s">
        <v>3090</v>
      </c>
      <c r="AN7486" s="21">
        <v>-122.4184818</v>
      </c>
      <c r="AO7486" s="21">
        <v>37.790962299999997</v>
      </c>
      <c r="AP7486" s="21" t="s">
        <v>1915</v>
      </c>
    </row>
    <row r="7487" spans="1:42">
      <c r="A7487" s="20">
        <v>43850</v>
      </c>
      <c r="B7487" s="21">
        <v>5</v>
      </c>
      <c r="C7487" s="21">
        <v>231</v>
      </c>
      <c r="D7487" s="21">
        <v>14468</v>
      </c>
      <c r="E7487" t="s">
        <v>112</v>
      </c>
      <c r="F7487" s="21" t="s">
        <v>104</v>
      </c>
      <c r="G7487" s="21">
        <v>2</v>
      </c>
      <c r="H7487" s="21">
        <v>52</v>
      </c>
      <c r="I7487" s="23" t="s">
        <v>3091</v>
      </c>
      <c r="J7487" s="21"/>
      <c r="K7487" s="21" t="s">
        <v>56</v>
      </c>
      <c r="L7487" s="21"/>
      <c r="M7487" s="21"/>
      <c r="N7487" s="21" t="s">
        <v>42</v>
      </c>
      <c r="O7487" s="21">
        <f>60+60+60+26</f>
        <v>206</v>
      </c>
      <c r="P7487" s="21"/>
      <c r="Q7487" s="21">
        <f t="shared" si="139"/>
        <v>5</v>
      </c>
      <c r="R7487" s="21">
        <v>1</v>
      </c>
      <c r="S7487" s="21">
        <v>0</v>
      </c>
      <c r="T7487" s="21">
        <v>0</v>
      </c>
      <c r="U7487" s="21">
        <v>0</v>
      </c>
      <c r="V7487" s="21">
        <v>4</v>
      </c>
      <c r="W7487" s="21">
        <v>1</v>
      </c>
      <c r="X7487" s="21">
        <v>0</v>
      </c>
      <c r="Y7487" s="21">
        <v>0</v>
      </c>
      <c r="Z7487" s="21">
        <v>0</v>
      </c>
      <c r="AA7487" s="21">
        <v>0</v>
      </c>
      <c r="AB7487" s="21">
        <v>0</v>
      </c>
      <c r="AC7487" s="21">
        <v>0</v>
      </c>
      <c r="AD7487" s="21">
        <v>0</v>
      </c>
      <c r="AE7487" s="21">
        <v>0</v>
      </c>
      <c r="AF7487" s="21">
        <v>0</v>
      </c>
      <c r="AG7487" s="21">
        <v>0</v>
      </c>
      <c r="AH7487" s="21">
        <f t="shared" si="140"/>
        <v>352</v>
      </c>
      <c r="AI7487" s="21"/>
      <c r="AJ7487" s="21" t="s">
        <v>54</v>
      </c>
      <c r="AK7487" s="21" t="s">
        <v>52</v>
      </c>
      <c r="AL7487" s="21" t="s">
        <v>3092</v>
      </c>
      <c r="AM7487" s="21" t="s">
        <v>3093</v>
      </c>
      <c r="AN7487" s="21">
        <v>-122.419286489543</v>
      </c>
      <c r="AO7487" s="21">
        <v>37.790187183864901</v>
      </c>
      <c r="AP7487" s="21" t="s">
        <v>1915</v>
      </c>
    </row>
    <row r="7488" spans="1:42">
      <c r="A7488" s="20">
        <v>43850</v>
      </c>
      <c r="B7488" s="21">
        <v>5</v>
      </c>
      <c r="C7488" s="21">
        <v>231</v>
      </c>
      <c r="D7488" s="21">
        <v>14468</v>
      </c>
      <c r="E7488" t="s">
        <v>112</v>
      </c>
      <c r="F7488" s="21" t="s">
        <v>104</v>
      </c>
      <c r="G7488" s="21">
        <v>2</v>
      </c>
      <c r="H7488" s="21">
        <v>53</v>
      </c>
      <c r="I7488" s="23" t="s">
        <v>3094</v>
      </c>
      <c r="J7488" s="21"/>
      <c r="K7488" s="21" t="s">
        <v>2125</v>
      </c>
      <c r="L7488" s="21"/>
      <c r="M7488" s="21"/>
      <c r="N7488" s="21" t="s">
        <v>44</v>
      </c>
      <c r="O7488" s="21">
        <f>60+60+60+41</f>
        <v>221</v>
      </c>
      <c r="P7488" s="21"/>
      <c r="Q7488" s="21">
        <f t="shared" ref="Q7488:Q7551" si="141">SUM(S7488:AE7488)</f>
        <v>2</v>
      </c>
      <c r="R7488" s="21">
        <v>1</v>
      </c>
      <c r="S7488" s="21">
        <v>0</v>
      </c>
      <c r="T7488" s="21">
        <v>0</v>
      </c>
      <c r="U7488" s="21">
        <v>0</v>
      </c>
      <c r="V7488" s="21">
        <v>0</v>
      </c>
      <c r="W7488" s="21">
        <v>2</v>
      </c>
      <c r="X7488" s="21">
        <v>0</v>
      </c>
      <c r="Y7488" s="21">
        <v>0</v>
      </c>
      <c r="Z7488" s="21">
        <v>0</v>
      </c>
      <c r="AA7488" s="21">
        <v>0</v>
      </c>
      <c r="AB7488" s="21">
        <v>0</v>
      </c>
      <c r="AC7488" s="21">
        <v>0</v>
      </c>
      <c r="AD7488" s="21">
        <v>0</v>
      </c>
      <c r="AE7488" s="21">
        <v>0</v>
      </c>
      <c r="AF7488" s="21">
        <v>0</v>
      </c>
      <c r="AG7488" s="21">
        <v>0</v>
      </c>
      <c r="AH7488" s="21">
        <f t="shared" ref="AH7488:AH7551" si="142">(S7488*16)+(T7488*20)+(U7488*32)+(V7488*64)+(W7488*96)</f>
        <v>192</v>
      </c>
      <c r="AI7488" s="21"/>
      <c r="AJ7488" s="21" t="s">
        <v>54</v>
      </c>
      <c r="AK7488" s="21" t="s">
        <v>95</v>
      </c>
      <c r="AL7488" s="21"/>
      <c r="AM7488" s="21" t="s">
        <v>3095</v>
      </c>
      <c r="AN7488" s="21">
        <v>-122.419552966667</v>
      </c>
      <c r="AO7488" s="21">
        <v>37.790759966666698</v>
      </c>
      <c r="AP7488" s="21" t="s">
        <v>1915</v>
      </c>
    </row>
    <row r="7489" spans="1:42">
      <c r="A7489" s="20">
        <v>43850</v>
      </c>
      <c r="B7489" s="21">
        <v>5</v>
      </c>
      <c r="C7489" s="21">
        <v>231</v>
      </c>
      <c r="D7489" s="21">
        <v>14468</v>
      </c>
      <c r="E7489" t="s">
        <v>112</v>
      </c>
      <c r="F7489" s="21" t="s">
        <v>104</v>
      </c>
      <c r="G7489" s="21">
        <v>2</v>
      </c>
      <c r="H7489" s="21">
        <v>54</v>
      </c>
      <c r="I7489" s="23" t="s">
        <v>3096</v>
      </c>
      <c r="J7489" s="21"/>
      <c r="K7489" s="21" t="s">
        <v>2125</v>
      </c>
      <c r="L7489" s="21"/>
      <c r="M7489" s="21"/>
      <c r="N7489" s="21" t="s">
        <v>40</v>
      </c>
      <c r="O7489" s="21">
        <f>50+50+39</f>
        <v>139</v>
      </c>
      <c r="P7489" s="21"/>
      <c r="Q7489" s="21">
        <f t="shared" si="141"/>
        <v>4</v>
      </c>
      <c r="R7489" s="21">
        <v>1</v>
      </c>
      <c r="S7489" s="21">
        <v>0</v>
      </c>
      <c r="T7489" s="21">
        <v>0</v>
      </c>
      <c r="U7489" s="21">
        <v>1</v>
      </c>
      <c r="V7489" s="21">
        <v>0</v>
      </c>
      <c r="W7489" s="21">
        <v>3</v>
      </c>
      <c r="X7489" s="21">
        <v>0</v>
      </c>
      <c r="Y7489" s="21">
        <v>0</v>
      </c>
      <c r="Z7489" s="21">
        <v>0</v>
      </c>
      <c r="AA7489" s="21">
        <v>0</v>
      </c>
      <c r="AB7489" s="21">
        <v>0</v>
      </c>
      <c r="AC7489" s="21">
        <v>0</v>
      </c>
      <c r="AD7489" s="21">
        <v>0</v>
      </c>
      <c r="AE7489" s="21">
        <v>0</v>
      </c>
      <c r="AF7489" s="21">
        <v>0</v>
      </c>
      <c r="AG7489" s="21">
        <v>1</v>
      </c>
      <c r="AH7489" s="21">
        <f t="shared" si="142"/>
        <v>320</v>
      </c>
      <c r="AI7489" s="21"/>
      <c r="AJ7489" s="21" t="s">
        <v>54</v>
      </c>
      <c r="AK7489" s="21" t="s">
        <v>95</v>
      </c>
      <c r="AL7489" s="21"/>
      <c r="AM7489" s="21" t="s">
        <v>3097</v>
      </c>
      <c r="AN7489" s="21">
        <v>-122.419818233333</v>
      </c>
      <c r="AO7489" s="21">
        <v>37.790765416666702</v>
      </c>
      <c r="AP7489" s="21" t="s">
        <v>1915</v>
      </c>
    </row>
    <row r="7490" spans="1:42">
      <c r="A7490" s="20">
        <v>43850</v>
      </c>
      <c r="B7490" s="21">
        <v>5</v>
      </c>
      <c r="C7490" s="21">
        <v>231</v>
      </c>
      <c r="D7490" s="21">
        <v>14468</v>
      </c>
      <c r="E7490" t="s">
        <v>112</v>
      </c>
      <c r="F7490" s="21" t="s">
        <v>104</v>
      </c>
      <c r="G7490" s="21">
        <v>2</v>
      </c>
      <c r="H7490" s="21">
        <v>55</v>
      </c>
      <c r="I7490" s="23" t="s">
        <v>3098</v>
      </c>
      <c r="J7490" s="21"/>
      <c r="K7490" s="21" t="s">
        <v>56</v>
      </c>
      <c r="L7490" s="21"/>
      <c r="M7490" s="21"/>
      <c r="N7490" s="21" t="s">
        <v>40</v>
      </c>
      <c r="O7490" s="21">
        <v>60</v>
      </c>
      <c r="P7490" s="21"/>
      <c r="Q7490" s="21">
        <f t="shared" si="141"/>
        <v>2</v>
      </c>
      <c r="R7490" s="21">
        <v>1</v>
      </c>
      <c r="S7490" s="21">
        <v>0</v>
      </c>
      <c r="T7490" s="21">
        <v>0</v>
      </c>
      <c r="U7490" s="21">
        <v>1</v>
      </c>
      <c r="V7490" s="21">
        <v>1</v>
      </c>
      <c r="W7490" s="21">
        <v>0</v>
      </c>
      <c r="X7490" s="21">
        <v>0</v>
      </c>
      <c r="Y7490" s="21">
        <v>0</v>
      </c>
      <c r="Z7490" s="21">
        <v>0</v>
      </c>
      <c r="AA7490" s="21">
        <v>0</v>
      </c>
      <c r="AB7490" s="21">
        <v>0</v>
      </c>
      <c r="AC7490" s="21">
        <v>0</v>
      </c>
      <c r="AD7490" s="21">
        <v>0</v>
      </c>
      <c r="AE7490" s="21">
        <v>0</v>
      </c>
      <c r="AF7490" s="21">
        <v>0</v>
      </c>
      <c r="AG7490" s="21">
        <v>0</v>
      </c>
      <c r="AH7490" s="21">
        <f t="shared" si="142"/>
        <v>96</v>
      </c>
      <c r="AI7490" s="21"/>
      <c r="AJ7490" s="21" t="s">
        <v>54</v>
      </c>
      <c r="AK7490" s="21" t="s">
        <v>95</v>
      </c>
      <c r="AL7490" s="21"/>
      <c r="AM7490" s="21" t="s">
        <v>3099</v>
      </c>
      <c r="AN7490" s="21">
        <v>-122.420022266667</v>
      </c>
      <c r="AO7490" s="21">
        <v>37.790756366666699</v>
      </c>
      <c r="AP7490" s="21" t="s">
        <v>1915</v>
      </c>
    </row>
    <row r="7491" spans="1:42">
      <c r="A7491" s="20">
        <v>43850</v>
      </c>
      <c r="B7491" s="21">
        <v>5</v>
      </c>
      <c r="C7491" s="21">
        <v>231</v>
      </c>
      <c r="D7491" s="21">
        <v>14468</v>
      </c>
      <c r="E7491" t="s">
        <v>112</v>
      </c>
      <c r="F7491" s="21" t="s">
        <v>104</v>
      </c>
      <c r="G7491" s="21">
        <v>2</v>
      </c>
      <c r="H7491" s="21">
        <v>56</v>
      </c>
      <c r="I7491" s="23" t="s">
        <v>3100</v>
      </c>
      <c r="J7491" s="21"/>
      <c r="K7491" s="21" t="s">
        <v>414</v>
      </c>
      <c r="L7491" s="21"/>
      <c r="M7491" s="21"/>
      <c r="N7491" s="21" t="s">
        <v>40</v>
      </c>
      <c r="O7491" s="21">
        <v>32</v>
      </c>
      <c r="P7491" s="21"/>
      <c r="Q7491" s="21">
        <f t="shared" si="141"/>
        <v>1</v>
      </c>
      <c r="R7491" s="21">
        <v>1</v>
      </c>
      <c r="S7491" s="21">
        <v>0</v>
      </c>
      <c r="T7491" s="21">
        <v>0</v>
      </c>
      <c r="U7491" s="21">
        <v>1</v>
      </c>
      <c r="V7491" s="21">
        <v>0</v>
      </c>
      <c r="W7491" s="21">
        <v>0</v>
      </c>
      <c r="X7491" s="21">
        <v>0</v>
      </c>
      <c r="Y7491" s="21">
        <v>0</v>
      </c>
      <c r="Z7491" s="21">
        <v>0</v>
      </c>
      <c r="AA7491" s="21">
        <v>0</v>
      </c>
      <c r="AB7491" s="21">
        <v>0</v>
      </c>
      <c r="AC7491" s="21">
        <v>0</v>
      </c>
      <c r="AD7491" s="21">
        <v>0</v>
      </c>
      <c r="AE7491" s="21">
        <v>0</v>
      </c>
      <c r="AF7491" s="21">
        <v>0</v>
      </c>
      <c r="AG7491" s="21">
        <v>0</v>
      </c>
      <c r="AH7491" s="21">
        <f t="shared" si="142"/>
        <v>32</v>
      </c>
      <c r="AI7491" s="21"/>
      <c r="AJ7491" s="21" t="s">
        <v>51</v>
      </c>
      <c r="AK7491" s="21" t="s">
        <v>95</v>
      </c>
      <c r="AL7491" s="21"/>
      <c r="AM7491" s="21" t="s">
        <v>3101</v>
      </c>
      <c r="AN7491" s="21">
        <v>-122.420867716667</v>
      </c>
      <c r="AO7491" s="21">
        <v>37.791509066666698</v>
      </c>
      <c r="AP7491" s="21" t="s">
        <v>1915</v>
      </c>
    </row>
    <row r="7492" spans="1:42">
      <c r="A7492" s="20">
        <v>43850</v>
      </c>
      <c r="B7492" s="21">
        <v>5</v>
      </c>
      <c r="C7492" s="21">
        <v>231</v>
      </c>
      <c r="D7492" s="21">
        <v>14468</v>
      </c>
      <c r="E7492" t="s">
        <v>112</v>
      </c>
      <c r="F7492" s="21" t="s">
        <v>104</v>
      </c>
      <c r="G7492" s="21">
        <v>2</v>
      </c>
      <c r="H7492" s="21">
        <v>57</v>
      </c>
      <c r="I7492" s="23" t="s">
        <v>2787</v>
      </c>
      <c r="J7492" s="21"/>
      <c r="K7492" s="21" t="s">
        <v>2215</v>
      </c>
      <c r="L7492" s="21"/>
      <c r="M7492" s="21"/>
      <c r="N7492" s="21" t="s">
        <v>40</v>
      </c>
      <c r="O7492" s="21">
        <f>60+38</f>
        <v>98</v>
      </c>
      <c r="P7492" s="21"/>
      <c r="Q7492" s="21">
        <f t="shared" si="141"/>
        <v>2</v>
      </c>
      <c r="R7492" s="21">
        <v>1</v>
      </c>
      <c r="S7492" s="21">
        <v>0</v>
      </c>
      <c r="T7492" s="21">
        <v>0</v>
      </c>
      <c r="U7492" s="21">
        <v>0</v>
      </c>
      <c r="V7492" s="21">
        <v>1</v>
      </c>
      <c r="W7492" s="21">
        <v>0</v>
      </c>
      <c r="X7492" s="21">
        <v>1</v>
      </c>
      <c r="Y7492" s="21">
        <v>0</v>
      </c>
      <c r="Z7492" s="21">
        <v>0</v>
      </c>
      <c r="AA7492" s="21">
        <v>0</v>
      </c>
      <c r="AB7492" s="21">
        <v>0</v>
      </c>
      <c r="AC7492" s="21">
        <v>0</v>
      </c>
      <c r="AD7492" s="21">
        <v>0</v>
      </c>
      <c r="AE7492" s="21">
        <v>0</v>
      </c>
      <c r="AF7492" s="21">
        <v>0</v>
      </c>
      <c r="AG7492" s="21">
        <v>0</v>
      </c>
      <c r="AH7492" s="21">
        <f t="shared" si="142"/>
        <v>64</v>
      </c>
      <c r="AI7492" s="21"/>
      <c r="AJ7492" s="21" t="s">
        <v>51</v>
      </c>
      <c r="AK7492" s="21" t="s">
        <v>95</v>
      </c>
      <c r="AL7492" s="21" t="s">
        <v>456</v>
      </c>
      <c r="AM7492" s="21" t="s">
        <v>3102</v>
      </c>
      <c r="AN7492" s="21">
        <v>-122.421163533333</v>
      </c>
      <c r="AO7492" s="21">
        <v>37.791542733333301</v>
      </c>
      <c r="AP7492" s="21" t="s">
        <v>1915</v>
      </c>
    </row>
    <row r="7493" spans="1:42">
      <c r="A7493" s="20">
        <v>43850</v>
      </c>
      <c r="B7493" s="21">
        <v>5</v>
      </c>
      <c r="C7493" s="21">
        <v>231</v>
      </c>
      <c r="D7493" s="21">
        <v>14468</v>
      </c>
      <c r="E7493" t="s">
        <v>112</v>
      </c>
      <c r="F7493" s="21" t="s">
        <v>104</v>
      </c>
      <c r="G7493" s="21">
        <v>2</v>
      </c>
      <c r="H7493" s="21">
        <v>58</v>
      </c>
      <c r="I7493" s="23" t="s">
        <v>3103</v>
      </c>
      <c r="J7493" s="21"/>
      <c r="K7493" s="21" t="s">
        <v>2215</v>
      </c>
      <c r="L7493" s="21"/>
      <c r="M7493" s="21"/>
      <c r="N7493" s="21" t="s">
        <v>44</v>
      </c>
      <c r="O7493" s="21">
        <f>60+60+60+60+60+50</f>
        <v>350</v>
      </c>
      <c r="P7493" s="21"/>
      <c r="Q7493" s="21">
        <f t="shared" si="141"/>
        <v>3</v>
      </c>
      <c r="R7493" s="21">
        <v>1</v>
      </c>
      <c r="S7493" s="21">
        <v>0</v>
      </c>
      <c r="T7493" s="21">
        <v>0</v>
      </c>
      <c r="U7493" s="21">
        <v>0</v>
      </c>
      <c r="V7493" s="21">
        <v>0</v>
      </c>
      <c r="W7493" s="21">
        <v>3</v>
      </c>
      <c r="X7493" s="21">
        <v>0</v>
      </c>
      <c r="Y7493" s="21">
        <v>0</v>
      </c>
      <c r="Z7493" s="21">
        <v>0</v>
      </c>
      <c r="AA7493" s="21">
        <v>0</v>
      </c>
      <c r="AB7493" s="21">
        <v>0</v>
      </c>
      <c r="AC7493" s="21">
        <v>0</v>
      </c>
      <c r="AD7493" s="21">
        <v>0</v>
      </c>
      <c r="AE7493" s="21">
        <v>0</v>
      </c>
      <c r="AF7493" s="21">
        <v>0</v>
      </c>
      <c r="AG7493" s="21">
        <v>0</v>
      </c>
      <c r="AH7493" s="21">
        <f t="shared" si="142"/>
        <v>288</v>
      </c>
      <c r="AI7493" s="21"/>
      <c r="AJ7493" s="21" t="s">
        <v>51</v>
      </c>
      <c r="AK7493" s="21" t="s">
        <v>52</v>
      </c>
      <c r="AL7493" s="21"/>
      <c r="AM7493" s="21" t="s">
        <v>3104</v>
      </c>
      <c r="AN7493" s="21">
        <v>-122.421625466667</v>
      </c>
      <c r="AO7493" s="21">
        <v>37.791457416666702</v>
      </c>
      <c r="AP7493" s="21" t="s">
        <v>1915</v>
      </c>
    </row>
    <row r="7494" spans="1:42">
      <c r="A7494" s="20">
        <v>43850</v>
      </c>
      <c r="B7494" s="21">
        <v>5</v>
      </c>
      <c r="C7494" s="21">
        <v>231</v>
      </c>
      <c r="D7494" s="21">
        <v>14468</v>
      </c>
      <c r="E7494" t="s">
        <v>112</v>
      </c>
      <c r="F7494" s="21" t="s">
        <v>104</v>
      </c>
      <c r="G7494" s="21">
        <v>2</v>
      </c>
      <c r="H7494" s="21">
        <v>59</v>
      </c>
      <c r="I7494" s="23" t="s">
        <v>3105</v>
      </c>
      <c r="J7494" s="21"/>
      <c r="K7494" s="21" t="s">
        <v>68</v>
      </c>
      <c r="L7494" s="21"/>
      <c r="M7494" s="21" t="s">
        <v>95</v>
      </c>
      <c r="N7494" s="21" t="s">
        <v>44</v>
      </c>
      <c r="O7494" s="21">
        <f>60+60+60+60+0+60+60+46</f>
        <v>406</v>
      </c>
      <c r="P7494" s="21"/>
      <c r="Q7494" s="21">
        <f t="shared" si="141"/>
        <v>3</v>
      </c>
      <c r="R7494" s="21">
        <v>1</v>
      </c>
      <c r="S7494" s="21">
        <v>0</v>
      </c>
      <c r="T7494" s="21">
        <v>0</v>
      </c>
      <c r="U7494" s="21">
        <v>0</v>
      </c>
      <c r="V7494" s="21">
        <v>0</v>
      </c>
      <c r="W7494" s="21">
        <v>3</v>
      </c>
      <c r="X7494" s="21">
        <v>0</v>
      </c>
      <c r="Y7494" s="21">
        <v>0</v>
      </c>
      <c r="Z7494" s="21">
        <v>0</v>
      </c>
      <c r="AA7494" s="21">
        <v>0</v>
      </c>
      <c r="AB7494" s="21">
        <v>0</v>
      </c>
      <c r="AC7494" s="21">
        <v>0</v>
      </c>
      <c r="AD7494" s="21">
        <v>0</v>
      </c>
      <c r="AE7494" s="21">
        <v>0</v>
      </c>
      <c r="AF7494" s="21">
        <v>0</v>
      </c>
      <c r="AG7494" s="21">
        <v>0</v>
      </c>
      <c r="AH7494" s="21">
        <f t="shared" si="142"/>
        <v>288</v>
      </c>
      <c r="AI7494" s="21"/>
      <c r="AJ7494" s="21" t="s">
        <v>54</v>
      </c>
      <c r="AK7494" s="21" t="s">
        <v>52</v>
      </c>
      <c r="AL7494" s="21" t="s">
        <v>3106</v>
      </c>
      <c r="AM7494" s="21" t="s">
        <v>3107</v>
      </c>
      <c r="AN7494" s="21">
        <v>-122.4215332</v>
      </c>
      <c r="AO7494" s="21">
        <v>37.792365983333298</v>
      </c>
      <c r="AP7494" s="21" t="s">
        <v>1915</v>
      </c>
    </row>
    <row r="7495" spans="1:42">
      <c r="A7495" s="20">
        <v>43850</v>
      </c>
      <c r="B7495" s="21">
        <v>5</v>
      </c>
      <c r="C7495" s="21">
        <v>231</v>
      </c>
      <c r="D7495" s="21">
        <v>14468</v>
      </c>
      <c r="E7495" t="s">
        <v>112</v>
      </c>
      <c r="F7495" s="21" t="s">
        <v>104</v>
      </c>
      <c r="G7495" s="21">
        <v>2</v>
      </c>
      <c r="H7495" s="21">
        <v>60</v>
      </c>
      <c r="I7495" s="23" t="s">
        <v>3108</v>
      </c>
      <c r="J7495" s="21"/>
      <c r="K7495" s="21" t="s">
        <v>2125</v>
      </c>
      <c r="L7495" s="21"/>
      <c r="M7495" s="21"/>
      <c r="N7495" s="21" t="s">
        <v>40</v>
      </c>
      <c r="O7495" s="21">
        <v>36</v>
      </c>
      <c r="P7495" s="21"/>
      <c r="Q7495" s="21">
        <f t="shared" si="141"/>
        <v>1</v>
      </c>
      <c r="R7495" s="21">
        <v>1</v>
      </c>
      <c r="S7495" s="21">
        <v>0</v>
      </c>
      <c r="T7495" s="21">
        <v>0</v>
      </c>
      <c r="U7495" s="21">
        <v>0</v>
      </c>
      <c r="V7495" s="21">
        <v>1</v>
      </c>
      <c r="W7495" s="21">
        <v>0</v>
      </c>
      <c r="X7495" s="21">
        <v>0</v>
      </c>
      <c r="Y7495" s="21">
        <v>0</v>
      </c>
      <c r="Z7495" s="21">
        <v>0</v>
      </c>
      <c r="AA7495" s="21">
        <v>0</v>
      </c>
      <c r="AB7495" s="21">
        <v>0</v>
      </c>
      <c r="AC7495" s="21">
        <v>0</v>
      </c>
      <c r="AD7495" s="21">
        <v>0</v>
      </c>
      <c r="AE7495" s="21">
        <v>0</v>
      </c>
      <c r="AF7495" s="21">
        <v>0</v>
      </c>
      <c r="AG7495" s="21">
        <v>0</v>
      </c>
      <c r="AH7495" s="21">
        <f t="shared" si="142"/>
        <v>64</v>
      </c>
      <c r="AI7495" s="21"/>
      <c r="AJ7495" s="21"/>
      <c r="AK7495" s="21" t="s">
        <v>52</v>
      </c>
      <c r="AL7495" s="21"/>
      <c r="AM7495" s="21" t="s">
        <v>3109</v>
      </c>
      <c r="AN7495" s="21">
        <v>-122.42045625</v>
      </c>
      <c r="AO7495" s="21">
        <v>37.790595466666602</v>
      </c>
      <c r="AP7495" s="21" t="s">
        <v>1915</v>
      </c>
    </row>
    <row r="7496" spans="1:42">
      <c r="A7496" s="20">
        <v>43850</v>
      </c>
      <c r="B7496" s="21">
        <v>5</v>
      </c>
      <c r="C7496" s="21">
        <v>231</v>
      </c>
      <c r="D7496" s="21">
        <v>14468</v>
      </c>
      <c r="E7496" t="s">
        <v>112</v>
      </c>
      <c r="F7496" s="21" t="s">
        <v>104</v>
      </c>
      <c r="G7496" s="21">
        <v>2</v>
      </c>
      <c r="H7496" s="21">
        <v>61</v>
      </c>
      <c r="I7496" s="23" t="s">
        <v>3096</v>
      </c>
      <c r="J7496" s="21"/>
      <c r="K7496" s="21" t="s">
        <v>415</v>
      </c>
      <c r="L7496" s="21"/>
      <c r="M7496" s="21"/>
      <c r="N7496" s="21" t="s">
        <v>44</v>
      </c>
      <c r="O7496" s="21">
        <f>60+60+60+60+60+60+60+60+34</f>
        <v>514</v>
      </c>
      <c r="P7496" s="21"/>
      <c r="Q7496" s="21">
        <f t="shared" si="141"/>
        <v>9</v>
      </c>
      <c r="R7496" s="21">
        <v>1</v>
      </c>
      <c r="S7496" s="21">
        <v>0</v>
      </c>
      <c r="T7496" s="21">
        <v>0</v>
      </c>
      <c r="U7496" s="21">
        <v>0</v>
      </c>
      <c r="V7496" s="21">
        <v>7</v>
      </c>
      <c r="W7496" s="21">
        <v>2</v>
      </c>
      <c r="X7496" s="21">
        <v>0</v>
      </c>
      <c r="Y7496" s="21">
        <v>0</v>
      </c>
      <c r="Z7496" s="21">
        <v>0</v>
      </c>
      <c r="AA7496" s="21">
        <v>0</v>
      </c>
      <c r="AB7496" s="21">
        <v>0</v>
      </c>
      <c r="AC7496" s="21">
        <v>0</v>
      </c>
      <c r="AD7496" s="21">
        <v>0</v>
      </c>
      <c r="AE7496" s="21">
        <v>0</v>
      </c>
      <c r="AF7496" s="21">
        <v>0</v>
      </c>
      <c r="AG7496" s="21">
        <v>0</v>
      </c>
      <c r="AH7496" s="21">
        <f t="shared" si="142"/>
        <v>640</v>
      </c>
      <c r="AI7496" s="21"/>
      <c r="AJ7496" s="21" t="s">
        <v>54</v>
      </c>
      <c r="AK7496" s="21" t="s">
        <v>95</v>
      </c>
      <c r="AL7496" s="21" t="s">
        <v>1957</v>
      </c>
      <c r="AM7496" s="21" t="s">
        <v>3110</v>
      </c>
      <c r="AN7496" s="21">
        <v>-122.421455583333</v>
      </c>
      <c r="AO7496" s="21">
        <v>37.789552216666699</v>
      </c>
      <c r="AP7496" s="21" t="s">
        <v>1915</v>
      </c>
    </row>
    <row r="7497" spans="1:42">
      <c r="A7497" s="20">
        <v>43850</v>
      </c>
      <c r="B7497" s="21">
        <v>5</v>
      </c>
      <c r="C7497" s="21">
        <v>231</v>
      </c>
      <c r="D7497" s="21">
        <v>14468</v>
      </c>
      <c r="E7497" t="s">
        <v>112</v>
      </c>
      <c r="F7497" s="21" t="s">
        <v>104</v>
      </c>
      <c r="G7497" s="21">
        <v>2</v>
      </c>
      <c r="H7497" s="21">
        <v>62</v>
      </c>
      <c r="I7497" s="23" t="s">
        <v>3100</v>
      </c>
      <c r="J7497" s="21"/>
      <c r="K7497" s="21" t="s">
        <v>2125</v>
      </c>
      <c r="L7497" s="21"/>
      <c r="M7497" s="21"/>
      <c r="N7497" s="21" t="s">
        <v>40</v>
      </c>
      <c r="O7497" s="21">
        <v>40</v>
      </c>
      <c r="P7497" s="21"/>
      <c r="Q7497" s="21">
        <f t="shared" si="141"/>
        <v>2</v>
      </c>
      <c r="R7497" s="21">
        <v>1</v>
      </c>
      <c r="S7497" s="21">
        <v>0</v>
      </c>
      <c r="T7497" s="21">
        <v>0</v>
      </c>
      <c r="U7497" s="21">
        <v>0</v>
      </c>
      <c r="V7497" s="21">
        <v>1</v>
      </c>
      <c r="W7497" s="21">
        <v>0</v>
      </c>
      <c r="X7497" s="21">
        <v>1</v>
      </c>
      <c r="Y7497" s="21">
        <v>0</v>
      </c>
      <c r="Z7497" s="21">
        <v>0</v>
      </c>
      <c r="AA7497" s="21">
        <v>0</v>
      </c>
      <c r="AB7497" s="21">
        <v>0</v>
      </c>
      <c r="AC7497" s="21">
        <v>0</v>
      </c>
      <c r="AD7497" s="21">
        <v>0</v>
      </c>
      <c r="AE7497" s="21">
        <v>0</v>
      </c>
      <c r="AF7497" s="21">
        <v>0</v>
      </c>
      <c r="AG7497" s="21">
        <v>0</v>
      </c>
      <c r="AH7497" s="21">
        <f t="shared" si="142"/>
        <v>64</v>
      </c>
      <c r="AI7497" s="21"/>
      <c r="AJ7497" s="21" t="s">
        <v>54</v>
      </c>
      <c r="AK7497" s="21" t="s">
        <v>95</v>
      </c>
      <c r="AL7497" s="21" t="s">
        <v>3111</v>
      </c>
      <c r="AM7497" s="21" t="s">
        <v>3112</v>
      </c>
      <c r="AN7497" s="21">
        <v>-122.421779</v>
      </c>
      <c r="AO7497" s="21">
        <v>37.790421250000001</v>
      </c>
      <c r="AP7497" s="21" t="s">
        <v>1915</v>
      </c>
    </row>
    <row r="7498" spans="1:42">
      <c r="A7498" s="20">
        <v>43850</v>
      </c>
      <c r="B7498" s="21">
        <v>5</v>
      </c>
      <c r="C7498" s="21">
        <v>231</v>
      </c>
      <c r="D7498" s="21">
        <v>14468</v>
      </c>
      <c r="E7498" t="s">
        <v>112</v>
      </c>
      <c r="F7498" s="21" t="s">
        <v>104</v>
      </c>
      <c r="G7498" s="21">
        <v>2</v>
      </c>
      <c r="H7498" s="21">
        <v>63</v>
      </c>
      <c r="I7498" s="23" t="s">
        <v>3100</v>
      </c>
      <c r="J7498" s="21"/>
      <c r="K7498" s="21" t="s">
        <v>56</v>
      </c>
      <c r="L7498" s="21"/>
      <c r="M7498" s="21"/>
      <c r="N7498" s="21" t="s">
        <v>1703</v>
      </c>
      <c r="O7498" s="21">
        <v>65</v>
      </c>
      <c r="P7498" s="21"/>
      <c r="Q7498" s="21">
        <f t="shared" si="141"/>
        <v>1</v>
      </c>
      <c r="R7498" s="21">
        <v>1</v>
      </c>
      <c r="S7498" s="21">
        <v>0</v>
      </c>
      <c r="T7498" s="21">
        <v>0</v>
      </c>
      <c r="U7498" s="21">
        <v>0</v>
      </c>
      <c r="V7498" s="21">
        <v>1</v>
      </c>
      <c r="W7498" s="21">
        <v>0</v>
      </c>
      <c r="X7498" s="21">
        <v>0</v>
      </c>
      <c r="Y7498" s="21">
        <v>0</v>
      </c>
      <c r="Z7498" s="21">
        <v>0</v>
      </c>
      <c r="AA7498" s="21">
        <v>0</v>
      </c>
      <c r="AB7498" s="21">
        <v>0</v>
      </c>
      <c r="AC7498" s="21">
        <v>0</v>
      </c>
      <c r="AD7498" s="21">
        <v>0</v>
      </c>
      <c r="AE7498" s="21">
        <v>0</v>
      </c>
      <c r="AF7498" s="21">
        <v>0</v>
      </c>
      <c r="AG7498" s="21">
        <v>0</v>
      </c>
      <c r="AH7498" s="21">
        <f t="shared" si="142"/>
        <v>64</v>
      </c>
      <c r="AI7498" s="21"/>
      <c r="AJ7498" s="21" t="s">
        <v>54</v>
      </c>
      <c r="AK7498" s="21" t="s">
        <v>95</v>
      </c>
      <c r="AL7498" s="21" t="s">
        <v>3113</v>
      </c>
      <c r="AM7498" s="21" t="s">
        <v>3114</v>
      </c>
      <c r="AN7498" s="21">
        <v>-122.42164765</v>
      </c>
      <c r="AO7498" s="21">
        <v>37.790464683333298</v>
      </c>
      <c r="AP7498" s="21" t="s">
        <v>1915</v>
      </c>
    </row>
    <row r="7499" spans="1:42">
      <c r="A7499" s="20">
        <v>43850</v>
      </c>
      <c r="B7499" s="21">
        <v>5</v>
      </c>
      <c r="C7499" s="21">
        <v>231</v>
      </c>
      <c r="D7499" s="21">
        <v>14468</v>
      </c>
      <c r="E7499" t="s">
        <v>112</v>
      </c>
      <c r="F7499" s="21" t="s">
        <v>104</v>
      </c>
      <c r="G7499" s="21">
        <v>2</v>
      </c>
      <c r="H7499" s="21">
        <v>64</v>
      </c>
      <c r="I7499" s="23" t="s">
        <v>3115</v>
      </c>
      <c r="J7499" s="21"/>
      <c r="K7499" s="21" t="s">
        <v>828</v>
      </c>
      <c r="L7499" s="21"/>
      <c r="M7499" s="21"/>
      <c r="N7499" s="21" t="s">
        <v>42</v>
      </c>
      <c r="O7499" s="21">
        <f>60+60+60+58</f>
        <v>238</v>
      </c>
      <c r="P7499" s="21"/>
      <c r="Q7499" s="21">
        <f t="shared" si="141"/>
        <v>3</v>
      </c>
      <c r="R7499" s="21">
        <v>1</v>
      </c>
      <c r="S7499" s="21">
        <v>0</v>
      </c>
      <c r="T7499" s="21">
        <v>0</v>
      </c>
      <c r="U7499" s="21">
        <v>1</v>
      </c>
      <c r="V7499" s="21">
        <v>1</v>
      </c>
      <c r="W7499" s="21">
        <v>1</v>
      </c>
      <c r="X7499" s="21">
        <v>0</v>
      </c>
      <c r="Y7499" s="21">
        <v>0</v>
      </c>
      <c r="Z7499" s="21">
        <v>0</v>
      </c>
      <c r="AA7499" s="21">
        <v>0</v>
      </c>
      <c r="AB7499" s="21">
        <v>0</v>
      </c>
      <c r="AC7499" s="21">
        <v>0</v>
      </c>
      <c r="AD7499" s="21">
        <v>0</v>
      </c>
      <c r="AE7499" s="21">
        <v>0</v>
      </c>
      <c r="AF7499" s="21">
        <v>0</v>
      </c>
      <c r="AG7499" s="21">
        <v>0</v>
      </c>
      <c r="AH7499" s="21">
        <f t="shared" si="142"/>
        <v>192</v>
      </c>
      <c r="AI7499" s="21"/>
      <c r="AJ7499" s="21" t="s">
        <v>51</v>
      </c>
      <c r="AK7499" s="21" t="s">
        <v>95</v>
      </c>
      <c r="AL7499" s="21"/>
      <c r="AM7499" s="21" t="s">
        <v>3116</v>
      </c>
      <c r="AN7499" s="21">
        <v>-122.4174137</v>
      </c>
      <c r="AO7499" s="21">
        <v>37.7906220666667</v>
      </c>
      <c r="AP7499" s="21" t="s">
        <v>1915</v>
      </c>
    </row>
    <row r="7500" spans="1:42">
      <c r="A7500" s="20">
        <v>43850</v>
      </c>
      <c r="B7500" s="21">
        <v>5</v>
      </c>
      <c r="C7500" s="21">
        <v>231</v>
      </c>
      <c r="D7500" s="21">
        <v>14468</v>
      </c>
      <c r="E7500" t="s">
        <v>112</v>
      </c>
      <c r="F7500" s="21" t="s">
        <v>104</v>
      </c>
      <c r="G7500" s="21">
        <v>2</v>
      </c>
      <c r="H7500" s="21">
        <v>65</v>
      </c>
      <c r="I7500" s="23" t="s">
        <v>3117</v>
      </c>
      <c r="J7500" s="21"/>
      <c r="K7500" s="21" t="s">
        <v>828</v>
      </c>
      <c r="L7500" s="21" t="s">
        <v>141</v>
      </c>
      <c r="M7500" s="21" t="s">
        <v>95</v>
      </c>
      <c r="N7500" s="21" t="s">
        <v>42</v>
      </c>
      <c r="O7500" s="21">
        <f>60+60+60+60+60+60+54</f>
        <v>414</v>
      </c>
      <c r="P7500" s="21"/>
      <c r="Q7500" s="21">
        <f t="shared" si="141"/>
        <v>6</v>
      </c>
      <c r="R7500" s="21">
        <v>1</v>
      </c>
      <c r="S7500" s="21">
        <v>0</v>
      </c>
      <c r="T7500" s="21">
        <v>0</v>
      </c>
      <c r="U7500" s="21">
        <v>0</v>
      </c>
      <c r="V7500" s="21">
        <v>1</v>
      </c>
      <c r="W7500" s="21">
        <v>5</v>
      </c>
      <c r="X7500" s="21">
        <v>0</v>
      </c>
      <c r="Y7500" s="21">
        <v>0</v>
      </c>
      <c r="Z7500" s="21">
        <v>0</v>
      </c>
      <c r="AA7500" s="21">
        <v>0</v>
      </c>
      <c r="AB7500" s="21">
        <v>0</v>
      </c>
      <c r="AC7500" s="21">
        <v>0</v>
      </c>
      <c r="AD7500" s="21">
        <v>0</v>
      </c>
      <c r="AE7500" s="21">
        <v>0</v>
      </c>
      <c r="AF7500" s="21">
        <v>0</v>
      </c>
      <c r="AG7500" s="21">
        <v>0</v>
      </c>
      <c r="AH7500" s="21">
        <f t="shared" si="142"/>
        <v>544</v>
      </c>
      <c r="AI7500" s="21"/>
      <c r="AJ7500" s="21" t="s">
        <v>54</v>
      </c>
      <c r="AK7500" s="21" t="s">
        <v>95</v>
      </c>
      <c r="AL7500" s="21" t="s">
        <v>654</v>
      </c>
      <c r="AM7500" s="21" t="s">
        <v>3118</v>
      </c>
      <c r="AN7500" s="21">
        <v>-122.41724714999999</v>
      </c>
      <c r="AO7500" s="21">
        <v>37.790360333333297</v>
      </c>
      <c r="AP7500" s="21" t="s">
        <v>1915</v>
      </c>
    </row>
    <row r="7501" spans="1:42">
      <c r="A7501" s="20">
        <v>43850</v>
      </c>
      <c r="B7501" s="21">
        <v>5</v>
      </c>
      <c r="C7501" s="21">
        <v>231</v>
      </c>
      <c r="D7501" s="21">
        <v>14468</v>
      </c>
      <c r="E7501" t="s">
        <v>112</v>
      </c>
      <c r="F7501" s="21" t="s">
        <v>104</v>
      </c>
      <c r="G7501" s="21">
        <v>2</v>
      </c>
      <c r="H7501" s="21">
        <v>66</v>
      </c>
      <c r="I7501" s="23" t="s">
        <v>3119</v>
      </c>
      <c r="J7501" s="21"/>
      <c r="K7501" s="21" t="s">
        <v>828</v>
      </c>
      <c r="L7501" s="21"/>
      <c r="M7501" s="21"/>
      <c r="N7501" s="21" t="s">
        <v>44</v>
      </c>
      <c r="O7501" s="21">
        <f>60+60+4</f>
        <v>124</v>
      </c>
      <c r="P7501" s="21"/>
      <c r="Q7501" s="21">
        <f t="shared" si="141"/>
        <v>1</v>
      </c>
      <c r="R7501" s="21">
        <v>1</v>
      </c>
      <c r="S7501" s="21">
        <v>0</v>
      </c>
      <c r="T7501" s="21">
        <v>0</v>
      </c>
      <c r="U7501" s="21">
        <v>0</v>
      </c>
      <c r="V7501" s="21">
        <v>0</v>
      </c>
      <c r="W7501" s="21">
        <v>1</v>
      </c>
      <c r="X7501" s="21">
        <v>0</v>
      </c>
      <c r="Y7501" s="21">
        <v>0</v>
      </c>
      <c r="Z7501" s="21">
        <v>0</v>
      </c>
      <c r="AA7501" s="21">
        <v>0</v>
      </c>
      <c r="AB7501" s="21">
        <v>0</v>
      </c>
      <c r="AC7501" s="21">
        <v>0</v>
      </c>
      <c r="AD7501" s="21">
        <v>0</v>
      </c>
      <c r="AE7501" s="21">
        <v>0</v>
      </c>
      <c r="AF7501" s="21">
        <v>0</v>
      </c>
      <c r="AG7501" s="21">
        <v>0</v>
      </c>
      <c r="AH7501" s="21">
        <f t="shared" si="142"/>
        <v>96</v>
      </c>
      <c r="AI7501" s="21"/>
      <c r="AJ7501" s="21"/>
      <c r="AK7501" s="21"/>
      <c r="AL7501" s="21"/>
      <c r="AM7501" s="21" t="s">
        <v>3120</v>
      </c>
      <c r="AN7501" s="21">
        <v>-122.417496433333</v>
      </c>
      <c r="AO7501" s="21">
        <v>37.790101116666698</v>
      </c>
      <c r="AP7501" s="21" t="s">
        <v>1915</v>
      </c>
    </row>
    <row r="7502" spans="1:42">
      <c r="A7502" s="20">
        <v>43850</v>
      </c>
      <c r="B7502" s="21">
        <v>5</v>
      </c>
      <c r="C7502" s="21">
        <v>231</v>
      </c>
      <c r="D7502" s="21">
        <v>14468</v>
      </c>
      <c r="E7502" t="s">
        <v>112</v>
      </c>
      <c r="F7502" s="21" t="s">
        <v>104</v>
      </c>
      <c r="G7502" s="21">
        <v>2</v>
      </c>
      <c r="H7502" s="21">
        <v>67</v>
      </c>
      <c r="I7502" s="23" t="s">
        <v>3121</v>
      </c>
      <c r="J7502" s="21"/>
      <c r="K7502" s="21" t="s">
        <v>828</v>
      </c>
      <c r="L7502" s="21"/>
      <c r="M7502" s="21"/>
      <c r="N7502" s="21" t="s">
        <v>44</v>
      </c>
      <c r="O7502" s="21">
        <f>60+60+60+60+17</f>
        <v>257</v>
      </c>
      <c r="P7502" s="21"/>
      <c r="Q7502" s="21">
        <f t="shared" si="141"/>
        <v>3</v>
      </c>
      <c r="R7502" s="21">
        <v>1</v>
      </c>
      <c r="S7502" s="21">
        <v>0</v>
      </c>
      <c r="T7502" s="21">
        <v>0</v>
      </c>
      <c r="U7502" s="21">
        <v>0</v>
      </c>
      <c r="V7502" s="21">
        <v>0</v>
      </c>
      <c r="W7502" s="21">
        <v>3</v>
      </c>
      <c r="X7502" s="21">
        <v>0</v>
      </c>
      <c r="Y7502" s="21">
        <v>0</v>
      </c>
      <c r="Z7502" s="21">
        <v>0</v>
      </c>
      <c r="AA7502" s="21">
        <v>0</v>
      </c>
      <c r="AB7502" s="21">
        <v>0</v>
      </c>
      <c r="AC7502" s="21">
        <v>0</v>
      </c>
      <c r="AD7502" s="21">
        <v>0</v>
      </c>
      <c r="AE7502" s="21">
        <v>0</v>
      </c>
      <c r="AF7502" s="21">
        <v>0</v>
      </c>
      <c r="AG7502" s="21">
        <v>0</v>
      </c>
      <c r="AH7502" s="21">
        <f t="shared" si="142"/>
        <v>288</v>
      </c>
      <c r="AI7502" s="21"/>
      <c r="AJ7502" s="21"/>
      <c r="AK7502" s="21"/>
      <c r="AL7502" s="21"/>
      <c r="AM7502" s="21" t="s">
        <v>3122</v>
      </c>
      <c r="AN7502" s="21">
        <v>-122.417218366667</v>
      </c>
      <c r="AO7502" s="21">
        <v>37.789752183333299</v>
      </c>
      <c r="AP7502" s="21" t="s">
        <v>1915</v>
      </c>
    </row>
    <row r="7503" spans="1:42">
      <c r="A7503" s="20">
        <v>43850</v>
      </c>
      <c r="B7503" s="21">
        <v>5</v>
      </c>
      <c r="C7503" s="21">
        <v>231</v>
      </c>
      <c r="D7503" s="21">
        <v>14468</v>
      </c>
      <c r="E7503" t="s">
        <v>112</v>
      </c>
      <c r="F7503" s="21" t="s">
        <v>104</v>
      </c>
      <c r="G7503" s="21">
        <v>2</v>
      </c>
      <c r="H7503" s="21">
        <v>68</v>
      </c>
      <c r="I7503" s="23" t="s">
        <v>3123</v>
      </c>
      <c r="J7503" s="21"/>
      <c r="K7503" s="21" t="s">
        <v>828</v>
      </c>
      <c r="L7503" s="21"/>
      <c r="M7503" s="21"/>
      <c r="N7503" s="21" t="s">
        <v>40</v>
      </c>
      <c r="O7503" s="21">
        <f>60+23</f>
        <v>83</v>
      </c>
      <c r="P7503" s="21"/>
      <c r="Q7503" s="21">
        <f t="shared" si="141"/>
        <v>1</v>
      </c>
      <c r="R7503" s="21">
        <v>1</v>
      </c>
      <c r="S7503" s="21">
        <v>0</v>
      </c>
      <c r="T7503" s="21">
        <v>0</v>
      </c>
      <c r="U7503" s="21">
        <v>0</v>
      </c>
      <c r="V7503" s="21">
        <v>0</v>
      </c>
      <c r="W7503" s="21">
        <v>0</v>
      </c>
      <c r="X7503" s="21">
        <v>1</v>
      </c>
      <c r="Y7503" s="21">
        <v>0</v>
      </c>
      <c r="Z7503" s="21">
        <v>0</v>
      </c>
      <c r="AA7503" s="21">
        <v>0</v>
      </c>
      <c r="AB7503" s="21">
        <v>0</v>
      </c>
      <c r="AC7503" s="21">
        <v>0</v>
      </c>
      <c r="AD7503" s="21">
        <v>0</v>
      </c>
      <c r="AE7503" s="21">
        <v>0</v>
      </c>
      <c r="AF7503" s="21">
        <v>0</v>
      </c>
      <c r="AG7503" s="21">
        <v>0</v>
      </c>
      <c r="AH7503" s="21">
        <f t="shared" si="142"/>
        <v>0</v>
      </c>
      <c r="AI7503" s="21"/>
      <c r="AJ7503" s="21" t="s">
        <v>51</v>
      </c>
      <c r="AK7503" s="21" t="s">
        <v>95</v>
      </c>
      <c r="AL7503" s="21" t="s">
        <v>456</v>
      </c>
      <c r="AM7503" s="21" t="s">
        <v>3124</v>
      </c>
      <c r="AN7503" s="21">
        <v>-122.417107266667</v>
      </c>
      <c r="AO7503" s="21">
        <v>37.789235683333303</v>
      </c>
      <c r="AP7503" s="21" t="s">
        <v>1915</v>
      </c>
    </row>
    <row r="7504" spans="1:42">
      <c r="A7504" s="20">
        <v>43850</v>
      </c>
      <c r="B7504" s="21">
        <v>5</v>
      </c>
      <c r="C7504" s="21">
        <v>231</v>
      </c>
      <c r="D7504" s="21">
        <v>14468</v>
      </c>
      <c r="E7504" t="s">
        <v>112</v>
      </c>
      <c r="F7504" s="21" t="s">
        <v>104</v>
      </c>
      <c r="G7504" s="21">
        <v>2</v>
      </c>
      <c r="H7504" s="21">
        <v>69</v>
      </c>
      <c r="I7504" s="23" t="s">
        <v>3000</v>
      </c>
      <c r="J7504" s="21"/>
      <c r="K7504" s="21" t="s">
        <v>46</v>
      </c>
      <c r="L7504" s="21"/>
      <c r="M7504" s="21"/>
      <c r="N7504" s="21" t="s">
        <v>1703</v>
      </c>
      <c r="O7504" s="21">
        <f>60+20</f>
        <v>80</v>
      </c>
      <c r="P7504" s="21"/>
      <c r="Q7504" s="21">
        <f t="shared" si="141"/>
        <v>2</v>
      </c>
      <c r="R7504" s="21">
        <v>1</v>
      </c>
      <c r="S7504" s="21">
        <v>0</v>
      </c>
      <c r="T7504" s="21">
        <v>0</v>
      </c>
      <c r="U7504" s="21">
        <v>0</v>
      </c>
      <c r="V7504" s="21">
        <v>0</v>
      </c>
      <c r="W7504" s="21">
        <v>2</v>
      </c>
      <c r="X7504" s="21">
        <v>0</v>
      </c>
      <c r="Y7504" s="21">
        <v>0</v>
      </c>
      <c r="Z7504" s="21">
        <v>0</v>
      </c>
      <c r="AA7504" s="21">
        <v>0</v>
      </c>
      <c r="AB7504" s="21">
        <v>0</v>
      </c>
      <c r="AC7504" s="21">
        <v>0</v>
      </c>
      <c r="AD7504" s="21">
        <v>0</v>
      </c>
      <c r="AE7504" s="21">
        <v>0</v>
      </c>
      <c r="AF7504" s="21">
        <v>0</v>
      </c>
      <c r="AG7504" s="21">
        <v>0</v>
      </c>
      <c r="AH7504" s="21">
        <f t="shared" si="142"/>
        <v>192</v>
      </c>
      <c r="AI7504" s="21"/>
      <c r="AJ7504" s="21" t="s">
        <v>51</v>
      </c>
      <c r="AK7504" s="21" t="s">
        <v>95</v>
      </c>
      <c r="AL7504" s="21" t="s">
        <v>3125</v>
      </c>
      <c r="AM7504" s="21" t="s">
        <v>3126</v>
      </c>
      <c r="AN7504" s="21">
        <v>-122.41623161666701</v>
      </c>
      <c r="AO7504" s="21">
        <v>37.789270316666602</v>
      </c>
      <c r="AP7504" s="21" t="s">
        <v>1915</v>
      </c>
    </row>
    <row r="7505" spans="1:42">
      <c r="A7505" s="20">
        <v>43850</v>
      </c>
      <c r="B7505" s="21">
        <v>5</v>
      </c>
      <c r="C7505" s="21">
        <v>231</v>
      </c>
      <c r="D7505" s="21">
        <v>14468</v>
      </c>
      <c r="E7505" t="s">
        <v>112</v>
      </c>
      <c r="F7505" s="21" t="s">
        <v>104</v>
      </c>
      <c r="G7505" s="21">
        <v>2</v>
      </c>
      <c r="H7505" s="21">
        <v>70</v>
      </c>
      <c r="I7505" s="23" t="s">
        <v>3127</v>
      </c>
      <c r="J7505" s="21"/>
      <c r="K7505" s="21" t="s">
        <v>46</v>
      </c>
      <c r="L7505" s="21" t="s">
        <v>141</v>
      </c>
      <c r="M7505" s="21"/>
      <c r="N7505" s="21" t="s">
        <v>44</v>
      </c>
      <c r="O7505" s="21">
        <f>60+60+60+21</f>
        <v>201</v>
      </c>
      <c r="P7505" s="21"/>
      <c r="Q7505" s="21">
        <f t="shared" si="141"/>
        <v>2</v>
      </c>
      <c r="R7505" s="21">
        <v>1</v>
      </c>
      <c r="S7505" s="21">
        <v>0</v>
      </c>
      <c r="T7505" s="21">
        <v>0</v>
      </c>
      <c r="U7505" s="21">
        <v>0</v>
      </c>
      <c r="V7505" s="21">
        <v>0</v>
      </c>
      <c r="W7505" s="21">
        <v>2</v>
      </c>
      <c r="X7505" s="21">
        <v>0</v>
      </c>
      <c r="Y7505" s="21">
        <v>0</v>
      </c>
      <c r="Z7505" s="21">
        <v>0</v>
      </c>
      <c r="AA7505" s="21">
        <v>0</v>
      </c>
      <c r="AB7505" s="21">
        <v>0</v>
      </c>
      <c r="AC7505" s="21">
        <v>0</v>
      </c>
      <c r="AD7505" s="21">
        <v>0</v>
      </c>
      <c r="AE7505" s="21">
        <v>0</v>
      </c>
      <c r="AF7505" s="21">
        <v>0</v>
      </c>
      <c r="AG7505" s="21">
        <v>0</v>
      </c>
      <c r="AH7505" s="21">
        <f t="shared" si="142"/>
        <v>192</v>
      </c>
      <c r="AI7505" s="21"/>
      <c r="AJ7505" s="21" t="s">
        <v>51</v>
      </c>
      <c r="AK7505" s="21" t="s">
        <v>52</v>
      </c>
      <c r="AL7505" s="21" t="s">
        <v>3128</v>
      </c>
      <c r="AM7505" s="21" t="s">
        <v>3129</v>
      </c>
      <c r="AN7505" s="21">
        <v>-122.41577246666699</v>
      </c>
      <c r="AO7505" s="21">
        <v>37.789306750000002</v>
      </c>
      <c r="AP7505" s="21" t="s">
        <v>1915</v>
      </c>
    </row>
    <row r="7506" spans="1:42">
      <c r="A7506" s="20">
        <v>43850</v>
      </c>
      <c r="B7506" s="21">
        <v>5</v>
      </c>
      <c r="C7506" s="21">
        <v>231</v>
      </c>
      <c r="D7506" s="21">
        <v>14468</v>
      </c>
      <c r="E7506" t="s">
        <v>112</v>
      </c>
      <c r="F7506" s="21" t="s">
        <v>104</v>
      </c>
      <c r="G7506" s="21">
        <v>2</v>
      </c>
      <c r="H7506" s="21">
        <v>71</v>
      </c>
      <c r="I7506" s="23" t="s">
        <v>3005</v>
      </c>
      <c r="J7506" s="21"/>
      <c r="K7506" s="21" t="s">
        <v>69</v>
      </c>
      <c r="L7506" s="21"/>
      <c r="M7506" s="21"/>
      <c r="N7506" s="21" t="s">
        <v>42</v>
      </c>
      <c r="O7506" s="21">
        <f>60+60+60+60+60+60+58</f>
        <v>418</v>
      </c>
      <c r="P7506" s="21"/>
      <c r="Q7506" s="21">
        <f t="shared" si="141"/>
        <v>7</v>
      </c>
      <c r="R7506" s="21">
        <v>1</v>
      </c>
      <c r="S7506" s="21">
        <v>0</v>
      </c>
      <c r="T7506" s="21">
        <v>0</v>
      </c>
      <c r="U7506" s="21">
        <v>0</v>
      </c>
      <c r="V7506" s="21">
        <v>6</v>
      </c>
      <c r="W7506" s="21">
        <v>0</v>
      </c>
      <c r="X7506" s="21">
        <v>1</v>
      </c>
      <c r="Y7506" s="21">
        <v>0</v>
      </c>
      <c r="Z7506" s="21">
        <v>0</v>
      </c>
      <c r="AA7506" s="21">
        <v>0</v>
      </c>
      <c r="AB7506" s="21">
        <v>0</v>
      </c>
      <c r="AC7506" s="21">
        <v>0</v>
      </c>
      <c r="AD7506" s="21">
        <v>0</v>
      </c>
      <c r="AE7506" s="21">
        <v>0</v>
      </c>
      <c r="AF7506" s="21">
        <v>0</v>
      </c>
      <c r="AG7506" s="21">
        <v>0</v>
      </c>
      <c r="AH7506" s="21">
        <f t="shared" si="142"/>
        <v>384</v>
      </c>
      <c r="AI7506" s="21"/>
      <c r="AJ7506" s="21" t="s">
        <v>54</v>
      </c>
      <c r="AK7506" s="21" t="s">
        <v>95</v>
      </c>
      <c r="AL7506" s="21" t="s">
        <v>3130</v>
      </c>
      <c r="AM7506" s="21" t="s">
        <v>3131</v>
      </c>
      <c r="AN7506" s="21">
        <v>-122.416675833333</v>
      </c>
      <c r="AO7506" s="21">
        <v>37.7900319833333</v>
      </c>
      <c r="AP7506" s="21" t="s">
        <v>1915</v>
      </c>
    </row>
    <row r="7507" spans="1:42">
      <c r="A7507" s="20">
        <v>43850</v>
      </c>
      <c r="B7507" s="21">
        <v>5</v>
      </c>
      <c r="C7507" s="21">
        <v>231</v>
      </c>
      <c r="D7507" s="21">
        <v>14468</v>
      </c>
      <c r="E7507" t="s">
        <v>112</v>
      </c>
      <c r="F7507" s="21" t="s">
        <v>104</v>
      </c>
      <c r="G7507" s="21">
        <v>2</v>
      </c>
      <c r="H7507" s="21">
        <v>72</v>
      </c>
      <c r="I7507" s="23" t="s">
        <v>3123</v>
      </c>
      <c r="J7507" s="21"/>
      <c r="K7507" s="21" t="s">
        <v>828</v>
      </c>
      <c r="L7507" s="21"/>
      <c r="M7507" s="21"/>
      <c r="N7507" s="21" t="s">
        <v>44</v>
      </c>
      <c r="O7507" s="21">
        <f>60+60+60+22</f>
        <v>202</v>
      </c>
      <c r="P7507" s="21"/>
      <c r="Q7507" s="21">
        <f t="shared" si="141"/>
        <v>2</v>
      </c>
      <c r="R7507" s="21">
        <v>1</v>
      </c>
      <c r="S7507" s="21">
        <v>0</v>
      </c>
      <c r="T7507" s="21">
        <v>0</v>
      </c>
      <c r="U7507" s="21">
        <v>0</v>
      </c>
      <c r="V7507" s="21">
        <v>0</v>
      </c>
      <c r="W7507" s="21">
        <v>2</v>
      </c>
      <c r="X7507" s="21">
        <v>0</v>
      </c>
      <c r="Y7507" s="21">
        <v>0</v>
      </c>
      <c r="Z7507" s="21">
        <v>0</v>
      </c>
      <c r="AA7507" s="21">
        <v>0</v>
      </c>
      <c r="AB7507" s="21">
        <v>0</v>
      </c>
      <c r="AC7507" s="21">
        <v>0</v>
      </c>
      <c r="AD7507" s="21">
        <v>0</v>
      </c>
      <c r="AE7507" s="21">
        <v>0</v>
      </c>
      <c r="AF7507" s="21">
        <v>0</v>
      </c>
      <c r="AG7507" s="21">
        <v>0</v>
      </c>
      <c r="AH7507" s="21">
        <f t="shared" si="142"/>
        <v>192</v>
      </c>
      <c r="AI7507" s="21"/>
      <c r="AJ7507" s="21" t="s">
        <v>54</v>
      </c>
      <c r="AK7507" s="21" t="s">
        <v>95</v>
      </c>
      <c r="AL7507" s="21" t="s">
        <v>3132</v>
      </c>
      <c r="AM7507" s="21" t="s">
        <v>3133</v>
      </c>
      <c r="AN7507" s="21">
        <v>-122.416410116667</v>
      </c>
      <c r="AO7507" s="21">
        <v>37.788711883333299</v>
      </c>
      <c r="AP7507" s="21" t="s">
        <v>1915</v>
      </c>
    </row>
    <row r="7508" spans="1:42">
      <c r="A7508" s="20">
        <v>43850</v>
      </c>
      <c r="B7508" s="21">
        <v>5</v>
      </c>
      <c r="C7508" s="21">
        <v>231</v>
      </c>
      <c r="D7508" s="21">
        <v>14468</v>
      </c>
      <c r="E7508" t="s">
        <v>112</v>
      </c>
      <c r="F7508" s="21" t="s">
        <v>104</v>
      </c>
      <c r="G7508" s="21">
        <v>2</v>
      </c>
      <c r="H7508" s="21">
        <v>73</v>
      </c>
      <c r="I7508" s="23" t="s">
        <v>3134</v>
      </c>
      <c r="J7508" s="21"/>
      <c r="K7508" s="21" t="s">
        <v>828</v>
      </c>
      <c r="L7508" s="21"/>
      <c r="M7508" s="21"/>
      <c r="N7508" s="21" t="s">
        <v>44</v>
      </c>
      <c r="O7508" s="21">
        <f>60+60+60+40</f>
        <v>220</v>
      </c>
      <c r="P7508" s="21"/>
      <c r="Q7508" s="21">
        <f t="shared" si="141"/>
        <v>2</v>
      </c>
      <c r="R7508" s="21">
        <v>1</v>
      </c>
      <c r="S7508" s="21">
        <v>0</v>
      </c>
      <c r="T7508" s="21">
        <v>0</v>
      </c>
      <c r="U7508" s="21">
        <v>0</v>
      </c>
      <c r="V7508" s="21">
        <v>0</v>
      </c>
      <c r="W7508" s="21">
        <v>2</v>
      </c>
      <c r="X7508" s="21">
        <v>0</v>
      </c>
      <c r="Y7508" s="21">
        <v>0</v>
      </c>
      <c r="Z7508" s="21">
        <v>0</v>
      </c>
      <c r="AA7508" s="21">
        <v>0</v>
      </c>
      <c r="AB7508" s="21">
        <v>0</v>
      </c>
      <c r="AC7508" s="21">
        <v>0</v>
      </c>
      <c r="AD7508" s="21">
        <v>0</v>
      </c>
      <c r="AE7508" s="21">
        <v>0</v>
      </c>
      <c r="AF7508" s="21">
        <v>0</v>
      </c>
      <c r="AG7508" s="21">
        <v>0</v>
      </c>
      <c r="AH7508" s="21">
        <f t="shared" si="142"/>
        <v>192</v>
      </c>
      <c r="AI7508" s="21"/>
      <c r="AJ7508" s="21" t="s">
        <v>3135</v>
      </c>
      <c r="AK7508" s="21" t="s">
        <v>52</v>
      </c>
      <c r="AL7508" s="21"/>
      <c r="AM7508" s="21" t="s">
        <v>3136</v>
      </c>
      <c r="AN7508" s="21">
        <v>-122.416617066667</v>
      </c>
      <c r="AO7508" s="21">
        <v>37.788603583333298</v>
      </c>
      <c r="AP7508" s="21" t="s">
        <v>1915</v>
      </c>
    </row>
    <row r="7509" spans="1:42">
      <c r="A7509" s="20">
        <v>43850</v>
      </c>
      <c r="B7509" s="21">
        <v>5</v>
      </c>
      <c r="C7509" s="21">
        <v>231</v>
      </c>
      <c r="D7509" s="21">
        <v>14468</v>
      </c>
      <c r="E7509" t="s">
        <v>112</v>
      </c>
      <c r="F7509" s="21" t="s">
        <v>104</v>
      </c>
      <c r="G7509" s="21">
        <v>2</v>
      </c>
      <c r="H7509" s="21">
        <v>74</v>
      </c>
      <c r="I7509" s="23" t="s">
        <v>3137</v>
      </c>
      <c r="J7509" s="21"/>
      <c r="K7509" s="21" t="s">
        <v>828</v>
      </c>
      <c r="L7509" s="21"/>
      <c r="M7509" s="21"/>
      <c r="N7509" s="21" t="s">
        <v>40</v>
      </c>
      <c r="O7509" s="21">
        <v>40</v>
      </c>
      <c r="P7509" s="21"/>
      <c r="Q7509" s="21">
        <f t="shared" si="141"/>
        <v>1</v>
      </c>
      <c r="R7509" s="21">
        <v>1</v>
      </c>
      <c r="S7509" s="21">
        <v>0</v>
      </c>
      <c r="T7509" s="21">
        <v>0</v>
      </c>
      <c r="U7509" s="21">
        <v>1</v>
      </c>
      <c r="V7509" s="21">
        <v>0</v>
      </c>
      <c r="W7509" s="21">
        <v>0</v>
      </c>
      <c r="X7509" s="21">
        <v>0</v>
      </c>
      <c r="Y7509" s="21">
        <v>0</v>
      </c>
      <c r="Z7509" s="21">
        <v>0</v>
      </c>
      <c r="AA7509" s="21">
        <v>0</v>
      </c>
      <c r="AB7509" s="21">
        <v>0</v>
      </c>
      <c r="AC7509" s="21">
        <v>0</v>
      </c>
      <c r="AD7509" s="21">
        <v>0</v>
      </c>
      <c r="AE7509" s="21">
        <v>0</v>
      </c>
      <c r="AF7509" s="21">
        <v>0</v>
      </c>
      <c r="AG7509" s="21">
        <v>0</v>
      </c>
      <c r="AH7509" s="21">
        <f t="shared" si="142"/>
        <v>32</v>
      </c>
      <c r="AI7509" s="21"/>
      <c r="AJ7509" s="21" t="s">
        <v>54</v>
      </c>
      <c r="AK7509" s="21" t="s">
        <v>52</v>
      </c>
      <c r="AL7509" s="21"/>
      <c r="AM7509" s="21" t="s">
        <v>3138</v>
      </c>
      <c r="AN7509" s="21">
        <v>-122.41675783333299</v>
      </c>
      <c r="AO7509" s="21">
        <v>37.788582116666703</v>
      </c>
      <c r="AP7509" s="21" t="s">
        <v>1915</v>
      </c>
    </row>
    <row r="7510" spans="1:42">
      <c r="A7510" s="20">
        <v>43850</v>
      </c>
      <c r="B7510" s="21">
        <v>5</v>
      </c>
      <c r="C7510" s="21">
        <v>231</v>
      </c>
      <c r="D7510" s="21">
        <v>14468</v>
      </c>
      <c r="E7510" t="s">
        <v>112</v>
      </c>
      <c r="F7510" s="21" t="s">
        <v>104</v>
      </c>
      <c r="G7510" s="21">
        <v>2</v>
      </c>
      <c r="H7510" s="21">
        <v>75</v>
      </c>
      <c r="I7510" s="23" t="s">
        <v>3137</v>
      </c>
      <c r="J7510" s="21"/>
      <c r="K7510" s="21" t="s">
        <v>3139</v>
      </c>
      <c r="L7510" s="21"/>
      <c r="M7510" s="21" t="s">
        <v>95</v>
      </c>
      <c r="N7510" s="21" t="s">
        <v>44</v>
      </c>
      <c r="O7510" s="21">
        <f>60+60+60+60+60+60+60+19</f>
        <v>439</v>
      </c>
      <c r="P7510" s="21"/>
      <c r="Q7510" s="21">
        <f t="shared" si="141"/>
        <v>9</v>
      </c>
      <c r="R7510" s="21">
        <v>1</v>
      </c>
      <c r="S7510" s="21">
        <v>0</v>
      </c>
      <c r="T7510" s="21">
        <v>0</v>
      </c>
      <c r="U7510" s="21">
        <v>0</v>
      </c>
      <c r="V7510" s="21">
        <v>2</v>
      </c>
      <c r="W7510" s="21">
        <v>7</v>
      </c>
      <c r="X7510" s="21">
        <v>0</v>
      </c>
      <c r="Y7510" s="21">
        <v>0</v>
      </c>
      <c r="Z7510" s="21">
        <v>0</v>
      </c>
      <c r="AA7510" s="21">
        <v>0</v>
      </c>
      <c r="AB7510" s="21">
        <v>0</v>
      </c>
      <c r="AC7510" s="21">
        <v>0</v>
      </c>
      <c r="AD7510" s="21">
        <v>0</v>
      </c>
      <c r="AE7510" s="21">
        <v>0</v>
      </c>
      <c r="AF7510" s="21">
        <v>0</v>
      </c>
      <c r="AG7510" s="21">
        <v>0</v>
      </c>
      <c r="AH7510" s="21">
        <f t="shared" si="142"/>
        <v>800</v>
      </c>
      <c r="AI7510" s="21"/>
      <c r="AJ7510" s="21" t="s">
        <v>54</v>
      </c>
      <c r="AK7510" s="21" t="s">
        <v>52</v>
      </c>
      <c r="AL7510" s="21"/>
      <c r="AM7510" s="21" t="s">
        <v>3140</v>
      </c>
      <c r="AN7510" s="21">
        <v>-122.416743383333</v>
      </c>
      <c r="AO7510" s="21">
        <v>37.788333966666698</v>
      </c>
      <c r="AP7510" s="21" t="s">
        <v>1915</v>
      </c>
    </row>
    <row r="7511" spans="1:42">
      <c r="A7511" s="20">
        <v>43850</v>
      </c>
      <c r="B7511" s="21">
        <v>5</v>
      </c>
      <c r="C7511" s="21">
        <v>231</v>
      </c>
      <c r="D7511" s="21">
        <v>14468</v>
      </c>
      <c r="E7511" t="s">
        <v>112</v>
      </c>
      <c r="F7511" s="21" t="s">
        <v>104</v>
      </c>
      <c r="G7511" s="21">
        <v>2</v>
      </c>
      <c r="H7511" s="21">
        <v>76</v>
      </c>
      <c r="I7511" s="23" t="s">
        <v>3000</v>
      </c>
      <c r="J7511" s="21"/>
      <c r="K7511" s="21" t="s">
        <v>3141</v>
      </c>
      <c r="L7511" s="21"/>
      <c r="M7511" s="21"/>
      <c r="N7511" s="21" t="s">
        <v>44</v>
      </c>
      <c r="O7511" s="21">
        <f>60+60+60+60+60+60+60+60+60+17</f>
        <v>557</v>
      </c>
      <c r="P7511" s="21"/>
      <c r="Q7511" s="21">
        <f t="shared" si="141"/>
        <v>5</v>
      </c>
      <c r="R7511" s="21">
        <v>1</v>
      </c>
      <c r="S7511" s="21">
        <v>0</v>
      </c>
      <c r="T7511" s="21">
        <v>0</v>
      </c>
      <c r="U7511" s="21">
        <v>0</v>
      </c>
      <c r="V7511" s="21">
        <v>2</v>
      </c>
      <c r="W7511" s="21">
        <v>3</v>
      </c>
      <c r="X7511" s="21">
        <v>0</v>
      </c>
      <c r="Y7511" s="21">
        <v>0</v>
      </c>
      <c r="Z7511" s="21">
        <v>0</v>
      </c>
      <c r="AA7511" s="21">
        <v>0</v>
      </c>
      <c r="AB7511" s="21">
        <v>0</v>
      </c>
      <c r="AC7511" s="21">
        <v>0</v>
      </c>
      <c r="AD7511" s="21">
        <v>0</v>
      </c>
      <c r="AE7511" s="21">
        <v>0</v>
      </c>
      <c r="AF7511" s="21">
        <v>0</v>
      </c>
      <c r="AG7511" s="21">
        <v>0</v>
      </c>
      <c r="AH7511" s="21">
        <f t="shared" si="142"/>
        <v>416</v>
      </c>
      <c r="AI7511" s="21"/>
      <c r="AJ7511" s="21" t="s">
        <v>54</v>
      </c>
      <c r="AK7511" s="21" t="s">
        <v>95</v>
      </c>
      <c r="AL7511" s="21" t="s">
        <v>3142</v>
      </c>
      <c r="AM7511" s="21" t="s">
        <v>3143</v>
      </c>
      <c r="AN7511" s="21">
        <v>-122.41861873333301</v>
      </c>
      <c r="AO7511" s="21">
        <v>37.788293316666703</v>
      </c>
      <c r="AP7511" s="21" t="s">
        <v>1915</v>
      </c>
    </row>
    <row r="7512" spans="1:42">
      <c r="A7512" s="20">
        <v>43850</v>
      </c>
      <c r="B7512" s="21">
        <v>5</v>
      </c>
      <c r="C7512" s="21">
        <v>231</v>
      </c>
      <c r="D7512" s="21">
        <v>14468</v>
      </c>
      <c r="E7512" t="s">
        <v>112</v>
      </c>
      <c r="F7512" s="21" t="s">
        <v>104</v>
      </c>
      <c r="G7512" s="21">
        <v>2</v>
      </c>
      <c r="H7512" s="21">
        <v>77</v>
      </c>
      <c r="I7512" s="23" t="s">
        <v>3144</v>
      </c>
      <c r="J7512" s="21"/>
      <c r="K7512" s="21" t="s">
        <v>70</v>
      </c>
      <c r="L7512" s="21"/>
      <c r="M7512" s="21"/>
      <c r="N7512" s="21" t="s">
        <v>44</v>
      </c>
      <c r="O7512" s="21">
        <f>60+60+43</f>
        <v>163</v>
      </c>
      <c r="P7512" s="21"/>
      <c r="Q7512" s="21">
        <f t="shared" si="141"/>
        <v>2</v>
      </c>
      <c r="R7512" s="21">
        <v>1</v>
      </c>
      <c r="S7512" s="21">
        <v>0</v>
      </c>
      <c r="T7512" s="21">
        <v>0</v>
      </c>
      <c r="U7512" s="21">
        <v>0</v>
      </c>
      <c r="V7512" s="21">
        <v>1</v>
      </c>
      <c r="W7512" s="21">
        <v>1</v>
      </c>
      <c r="X7512" s="21">
        <v>0</v>
      </c>
      <c r="Y7512" s="21">
        <v>0</v>
      </c>
      <c r="Z7512" s="21">
        <v>0</v>
      </c>
      <c r="AA7512" s="21">
        <v>0</v>
      </c>
      <c r="AB7512" s="21">
        <v>0</v>
      </c>
      <c r="AC7512" s="21">
        <v>0</v>
      </c>
      <c r="AD7512" s="21">
        <v>0</v>
      </c>
      <c r="AE7512" s="21">
        <v>0</v>
      </c>
      <c r="AF7512" s="21">
        <v>0</v>
      </c>
      <c r="AG7512" s="21">
        <v>0</v>
      </c>
      <c r="AH7512" s="21">
        <f t="shared" si="142"/>
        <v>160</v>
      </c>
      <c r="AI7512" s="21"/>
      <c r="AJ7512" s="21" t="s">
        <v>54</v>
      </c>
      <c r="AK7512" s="21" t="s">
        <v>52</v>
      </c>
      <c r="AL7512" s="21" t="s">
        <v>3145</v>
      </c>
      <c r="AM7512" s="21" t="s">
        <v>3146</v>
      </c>
      <c r="AN7512" s="21">
        <v>-122.418314331647</v>
      </c>
      <c r="AO7512" s="21">
        <v>37.787916250878801</v>
      </c>
      <c r="AP7512" s="21" t="s">
        <v>1915</v>
      </c>
    </row>
    <row r="7513" spans="1:42">
      <c r="A7513" s="20">
        <v>43850</v>
      </c>
      <c r="B7513" s="21">
        <v>5</v>
      </c>
      <c r="C7513" s="21">
        <v>231</v>
      </c>
      <c r="D7513" s="21">
        <v>14468</v>
      </c>
      <c r="E7513" t="s">
        <v>112</v>
      </c>
      <c r="F7513" s="21" t="s">
        <v>104</v>
      </c>
      <c r="G7513" s="21">
        <v>2</v>
      </c>
      <c r="H7513" s="21">
        <v>78</v>
      </c>
      <c r="I7513" s="23" t="s">
        <v>3005</v>
      </c>
      <c r="J7513" s="21"/>
      <c r="K7513" s="21" t="s">
        <v>46</v>
      </c>
      <c r="L7513" s="21"/>
      <c r="M7513" s="21"/>
      <c r="N7513" s="21" t="s">
        <v>44</v>
      </c>
      <c r="O7513" s="21">
        <f>60+60+26</f>
        <v>146</v>
      </c>
      <c r="P7513" s="21"/>
      <c r="Q7513" s="21">
        <f t="shared" si="141"/>
        <v>1</v>
      </c>
      <c r="R7513" s="21">
        <v>1</v>
      </c>
      <c r="S7513" s="21">
        <v>0</v>
      </c>
      <c r="T7513" s="21">
        <v>0</v>
      </c>
      <c r="U7513" s="21">
        <v>0</v>
      </c>
      <c r="V7513" s="21">
        <v>0</v>
      </c>
      <c r="W7513" s="21">
        <v>1</v>
      </c>
      <c r="X7513" s="21">
        <v>0</v>
      </c>
      <c r="Y7513" s="21">
        <v>0</v>
      </c>
      <c r="Z7513" s="21">
        <v>0</v>
      </c>
      <c r="AA7513" s="21">
        <v>0</v>
      </c>
      <c r="AB7513" s="21">
        <v>0</v>
      </c>
      <c r="AC7513" s="21">
        <v>0</v>
      </c>
      <c r="AD7513" s="21">
        <v>0</v>
      </c>
      <c r="AE7513" s="21">
        <v>0</v>
      </c>
      <c r="AF7513" s="21">
        <v>0</v>
      </c>
      <c r="AG7513" s="21">
        <v>0</v>
      </c>
      <c r="AH7513" s="21">
        <f t="shared" si="142"/>
        <v>96</v>
      </c>
      <c r="AI7513" s="21"/>
      <c r="AJ7513" s="21" t="s">
        <v>54</v>
      </c>
      <c r="AK7513" s="21" t="s">
        <v>95</v>
      </c>
      <c r="AL7513" s="21"/>
      <c r="AM7513" s="21" t="s">
        <v>3147</v>
      </c>
      <c r="AN7513" s="21">
        <v>-122.41825728333301</v>
      </c>
      <c r="AO7513" s="21">
        <v>37.789021283333298</v>
      </c>
      <c r="AP7513" s="21" t="s">
        <v>1915</v>
      </c>
    </row>
    <row r="7514" spans="1:42">
      <c r="A7514" s="20">
        <v>43850</v>
      </c>
      <c r="B7514" s="21">
        <v>5</v>
      </c>
      <c r="C7514" s="21">
        <v>231</v>
      </c>
      <c r="D7514" s="21">
        <v>14468</v>
      </c>
      <c r="E7514" t="s">
        <v>112</v>
      </c>
      <c r="F7514" s="21" t="s">
        <v>104</v>
      </c>
      <c r="G7514" s="21">
        <v>2</v>
      </c>
      <c r="H7514" s="21">
        <v>79</v>
      </c>
      <c r="I7514" s="23" t="s">
        <v>3148</v>
      </c>
      <c r="J7514" s="21"/>
      <c r="K7514" s="21" t="s">
        <v>46</v>
      </c>
      <c r="L7514" s="21" t="s">
        <v>141</v>
      </c>
      <c r="M7514" s="21"/>
      <c r="N7514" s="21" t="s">
        <v>40</v>
      </c>
      <c r="O7514" s="21">
        <f>60+60+60+60+25</f>
        <v>265</v>
      </c>
      <c r="P7514" s="21"/>
      <c r="Q7514" s="21">
        <f t="shared" si="141"/>
        <v>4</v>
      </c>
      <c r="R7514" s="21">
        <v>1</v>
      </c>
      <c r="S7514" s="21">
        <v>0</v>
      </c>
      <c r="T7514" s="21">
        <v>0</v>
      </c>
      <c r="U7514" s="21">
        <v>0</v>
      </c>
      <c r="V7514" s="21">
        <v>0</v>
      </c>
      <c r="W7514" s="21">
        <v>4</v>
      </c>
      <c r="X7514" s="21">
        <v>0</v>
      </c>
      <c r="Y7514" s="21">
        <v>0</v>
      </c>
      <c r="Z7514" s="21">
        <v>0</v>
      </c>
      <c r="AA7514" s="21">
        <v>0</v>
      </c>
      <c r="AB7514" s="21">
        <v>0</v>
      </c>
      <c r="AC7514" s="21">
        <v>0</v>
      </c>
      <c r="AD7514" s="21">
        <v>0</v>
      </c>
      <c r="AE7514" s="21">
        <v>0</v>
      </c>
      <c r="AF7514" s="21">
        <v>0</v>
      </c>
      <c r="AG7514" s="21">
        <v>0</v>
      </c>
      <c r="AH7514" s="21">
        <f t="shared" si="142"/>
        <v>384</v>
      </c>
      <c r="AI7514" s="21"/>
      <c r="AJ7514" s="21" t="s">
        <v>54</v>
      </c>
      <c r="AK7514" s="21" t="s">
        <v>95</v>
      </c>
      <c r="AL7514" s="21"/>
      <c r="AM7514" s="21" t="s">
        <v>3149</v>
      </c>
      <c r="AN7514" s="21">
        <v>-122.41789281666701</v>
      </c>
      <c r="AO7514" s="21">
        <v>37.789047183333302</v>
      </c>
      <c r="AP7514" s="21" t="s">
        <v>1915</v>
      </c>
    </row>
    <row r="7515" spans="1:42">
      <c r="A7515" s="20">
        <v>43850</v>
      </c>
      <c r="B7515" s="21">
        <v>5</v>
      </c>
      <c r="C7515" s="21">
        <v>231</v>
      </c>
      <c r="D7515" s="21">
        <v>14468</v>
      </c>
      <c r="E7515" t="s">
        <v>112</v>
      </c>
      <c r="F7515" s="21" t="s">
        <v>104</v>
      </c>
      <c r="G7515" s="21">
        <v>2</v>
      </c>
      <c r="H7515" s="21">
        <v>80</v>
      </c>
      <c r="I7515" s="23" t="s">
        <v>3150</v>
      </c>
      <c r="J7515" s="21"/>
      <c r="K7515" s="21" t="s">
        <v>46</v>
      </c>
      <c r="L7515" s="21"/>
      <c r="M7515" s="21"/>
      <c r="N7515" s="21" t="s">
        <v>44</v>
      </c>
      <c r="O7515" s="21">
        <f>60+30</f>
        <v>90</v>
      </c>
      <c r="P7515" s="21"/>
      <c r="Q7515" s="21">
        <f t="shared" si="141"/>
        <v>1</v>
      </c>
      <c r="R7515" s="21">
        <v>1</v>
      </c>
      <c r="S7515" s="21">
        <v>0</v>
      </c>
      <c r="T7515" s="21">
        <v>0</v>
      </c>
      <c r="U7515" s="21">
        <v>0</v>
      </c>
      <c r="V7515" s="21">
        <v>0</v>
      </c>
      <c r="W7515" s="21">
        <v>1</v>
      </c>
      <c r="X7515" s="21">
        <v>0</v>
      </c>
      <c r="Y7515" s="21">
        <v>0</v>
      </c>
      <c r="Z7515" s="21">
        <v>0</v>
      </c>
      <c r="AA7515" s="21">
        <v>0</v>
      </c>
      <c r="AB7515" s="21">
        <v>0</v>
      </c>
      <c r="AC7515" s="21">
        <v>0</v>
      </c>
      <c r="AD7515" s="21">
        <v>0</v>
      </c>
      <c r="AE7515" s="21">
        <v>0</v>
      </c>
      <c r="AF7515" s="21">
        <v>0</v>
      </c>
      <c r="AG7515" s="21">
        <v>0</v>
      </c>
      <c r="AH7515" s="21">
        <f t="shared" si="142"/>
        <v>96</v>
      </c>
      <c r="AI7515" s="21"/>
      <c r="AJ7515" s="21" t="s">
        <v>54</v>
      </c>
      <c r="AK7515" s="21" t="s">
        <v>95</v>
      </c>
      <c r="AL7515" s="21"/>
      <c r="AM7515" s="21" t="s">
        <v>3151</v>
      </c>
      <c r="AN7515" s="21">
        <v>-122.41769650000001</v>
      </c>
      <c r="AO7515" s="21">
        <v>37.789050833333299</v>
      </c>
      <c r="AP7515" s="21" t="s">
        <v>1915</v>
      </c>
    </row>
    <row r="7516" spans="1:42">
      <c r="A7516" s="20">
        <v>43850</v>
      </c>
      <c r="B7516" s="21">
        <v>5</v>
      </c>
      <c r="C7516" s="21">
        <v>231</v>
      </c>
      <c r="D7516" s="21">
        <v>14468</v>
      </c>
      <c r="E7516" t="s">
        <v>112</v>
      </c>
      <c r="F7516" s="21" t="s">
        <v>104</v>
      </c>
      <c r="G7516" s="21">
        <v>2</v>
      </c>
      <c r="H7516" s="21">
        <v>81</v>
      </c>
      <c r="I7516" s="23" t="s">
        <v>3005</v>
      </c>
      <c r="J7516" s="21"/>
      <c r="K7516" s="21" t="s">
        <v>46</v>
      </c>
      <c r="L7516" s="21"/>
      <c r="M7516" s="21"/>
      <c r="N7516" s="21" t="s">
        <v>44</v>
      </c>
      <c r="O7516" s="21">
        <f>60+60+44</f>
        <v>164</v>
      </c>
      <c r="P7516" s="21"/>
      <c r="Q7516" s="21">
        <f t="shared" si="141"/>
        <v>2</v>
      </c>
      <c r="R7516" s="21">
        <v>1</v>
      </c>
      <c r="S7516" s="21">
        <v>0</v>
      </c>
      <c r="T7516" s="21">
        <v>0</v>
      </c>
      <c r="U7516" s="21">
        <v>0</v>
      </c>
      <c r="V7516" s="21">
        <v>1</v>
      </c>
      <c r="W7516" s="21">
        <v>1</v>
      </c>
      <c r="X7516" s="21">
        <v>0</v>
      </c>
      <c r="Y7516" s="21">
        <v>0</v>
      </c>
      <c r="Z7516" s="21">
        <v>0</v>
      </c>
      <c r="AA7516" s="21">
        <v>0</v>
      </c>
      <c r="AB7516" s="21">
        <v>0</v>
      </c>
      <c r="AC7516" s="21">
        <v>0</v>
      </c>
      <c r="AD7516" s="21">
        <v>0</v>
      </c>
      <c r="AE7516" s="21">
        <v>0</v>
      </c>
      <c r="AF7516" s="21">
        <v>0</v>
      </c>
      <c r="AG7516" s="21">
        <v>0</v>
      </c>
      <c r="AH7516" s="21">
        <f t="shared" si="142"/>
        <v>160</v>
      </c>
      <c r="AI7516" s="21"/>
      <c r="AJ7516" s="21" t="s">
        <v>54</v>
      </c>
      <c r="AK7516" s="21" t="s">
        <v>95</v>
      </c>
      <c r="AL7516" s="21" t="s">
        <v>3152</v>
      </c>
      <c r="AM7516" s="21" t="s">
        <v>3153</v>
      </c>
      <c r="AN7516" s="21">
        <v>-122.417578733333</v>
      </c>
      <c r="AO7516" s="21">
        <v>37.789123516666699</v>
      </c>
      <c r="AP7516" s="21" t="s">
        <v>1915</v>
      </c>
    </row>
    <row r="7517" spans="1:42">
      <c r="A7517" s="20">
        <v>43850</v>
      </c>
      <c r="B7517" s="21">
        <v>5</v>
      </c>
      <c r="C7517" s="21">
        <v>231</v>
      </c>
      <c r="D7517" s="21">
        <v>14468</v>
      </c>
      <c r="E7517" t="s">
        <v>112</v>
      </c>
      <c r="F7517" s="21" t="s">
        <v>104</v>
      </c>
      <c r="G7517" s="21">
        <v>2</v>
      </c>
      <c r="H7517" s="21">
        <v>82</v>
      </c>
      <c r="I7517" s="23" t="s">
        <v>3154</v>
      </c>
      <c r="J7517" s="21"/>
      <c r="K7517" s="21" t="s">
        <v>46</v>
      </c>
      <c r="L7517" s="21"/>
      <c r="M7517" s="21" t="s">
        <v>95</v>
      </c>
      <c r="N7517" s="21" t="s">
        <v>44</v>
      </c>
      <c r="O7517" s="21">
        <f>60+60+60+60+31</f>
        <v>271</v>
      </c>
      <c r="P7517" s="21"/>
      <c r="Q7517" s="21">
        <f t="shared" si="141"/>
        <v>3</v>
      </c>
      <c r="R7517" s="21">
        <v>1</v>
      </c>
      <c r="S7517" s="21">
        <v>0</v>
      </c>
      <c r="T7517" s="21">
        <v>0</v>
      </c>
      <c r="U7517" s="21">
        <v>0</v>
      </c>
      <c r="V7517" s="21">
        <v>1</v>
      </c>
      <c r="W7517" s="21">
        <v>1</v>
      </c>
      <c r="X7517" s="21">
        <v>0</v>
      </c>
      <c r="Y7517" s="21">
        <v>0</v>
      </c>
      <c r="Z7517" s="21">
        <v>0</v>
      </c>
      <c r="AA7517" s="21">
        <v>0</v>
      </c>
      <c r="AB7517" s="21">
        <v>0</v>
      </c>
      <c r="AC7517" s="21">
        <v>1</v>
      </c>
      <c r="AD7517" s="21">
        <v>0</v>
      </c>
      <c r="AE7517" s="21">
        <v>0</v>
      </c>
      <c r="AF7517" s="21">
        <v>0</v>
      </c>
      <c r="AG7517" s="21">
        <v>0</v>
      </c>
      <c r="AH7517" s="21">
        <f t="shared" si="142"/>
        <v>160</v>
      </c>
      <c r="AI7517" s="21"/>
      <c r="AJ7517" s="21" t="s">
        <v>54</v>
      </c>
      <c r="AK7517" s="21" t="s">
        <v>95</v>
      </c>
      <c r="AL7517" s="21" t="s">
        <v>3155</v>
      </c>
      <c r="AM7517" s="21" t="s">
        <v>3156</v>
      </c>
      <c r="AN7517" s="21">
        <v>-122.417284216667</v>
      </c>
      <c r="AO7517" s="21">
        <v>37.789126783333302</v>
      </c>
      <c r="AP7517" s="21" t="s">
        <v>1915</v>
      </c>
    </row>
    <row r="7518" spans="1:42">
      <c r="A7518" s="20">
        <v>43850</v>
      </c>
      <c r="B7518" s="21">
        <v>5</v>
      </c>
      <c r="C7518" s="21">
        <v>231</v>
      </c>
      <c r="D7518" s="21">
        <v>14468</v>
      </c>
      <c r="E7518" t="s">
        <v>112</v>
      </c>
      <c r="F7518" s="21" t="s">
        <v>104</v>
      </c>
      <c r="G7518" s="21">
        <v>2</v>
      </c>
      <c r="H7518" s="21">
        <v>83</v>
      </c>
      <c r="I7518" s="23" t="s">
        <v>3157</v>
      </c>
      <c r="J7518" s="21"/>
      <c r="K7518" s="21" t="s">
        <v>46</v>
      </c>
      <c r="L7518" s="21"/>
      <c r="M7518" s="21"/>
      <c r="N7518" s="21" t="s">
        <v>44</v>
      </c>
      <c r="O7518" s="21">
        <f>60+60+60+60+60+60+60+60+60+7</f>
        <v>547</v>
      </c>
      <c r="P7518" s="21"/>
      <c r="Q7518" s="21">
        <f t="shared" si="141"/>
        <v>5</v>
      </c>
      <c r="R7518" s="21">
        <v>1</v>
      </c>
      <c r="S7518" s="21">
        <v>0</v>
      </c>
      <c r="T7518" s="21">
        <v>0</v>
      </c>
      <c r="U7518" s="21">
        <v>0</v>
      </c>
      <c r="V7518" s="21">
        <v>1</v>
      </c>
      <c r="W7518" s="21">
        <v>4</v>
      </c>
      <c r="X7518" s="21">
        <v>0</v>
      </c>
      <c r="Y7518" s="21">
        <v>0</v>
      </c>
      <c r="Z7518" s="21">
        <v>0</v>
      </c>
      <c r="AA7518" s="21">
        <v>0</v>
      </c>
      <c r="AB7518" s="21">
        <v>0</v>
      </c>
      <c r="AC7518" s="21">
        <v>0</v>
      </c>
      <c r="AD7518" s="21">
        <v>0</v>
      </c>
      <c r="AE7518" s="21">
        <v>0</v>
      </c>
      <c r="AF7518" s="21">
        <v>0</v>
      </c>
      <c r="AG7518" s="21">
        <v>0</v>
      </c>
      <c r="AH7518" s="21">
        <f t="shared" si="142"/>
        <v>448</v>
      </c>
      <c r="AI7518" s="21"/>
      <c r="AJ7518" s="21" t="s">
        <v>51</v>
      </c>
      <c r="AK7518" s="21" t="s">
        <v>52</v>
      </c>
      <c r="AL7518" s="21"/>
      <c r="AM7518" s="21" t="s">
        <v>3158</v>
      </c>
      <c r="AN7518" s="21">
        <v>-122.41572461666701</v>
      </c>
      <c r="AO7518" s="21">
        <v>37.789319466666697</v>
      </c>
      <c r="AP7518" s="21" t="s">
        <v>1915</v>
      </c>
    </row>
    <row r="7519" spans="1:42">
      <c r="A7519" s="20">
        <v>43850</v>
      </c>
      <c r="B7519" s="21">
        <v>5</v>
      </c>
      <c r="C7519" s="21">
        <v>231</v>
      </c>
      <c r="D7519" s="21">
        <v>14468</v>
      </c>
      <c r="E7519" t="s">
        <v>112</v>
      </c>
      <c r="F7519" s="21" t="s">
        <v>104</v>
      </c>
      <c r="G7519" s="21">
        <v>2</v>
      </c>
      <c r="H7519" s="21">
        <v>84</v>
      </c>
      <c r="I7519" s="23" t="s">
        <v>3159</v>
      </c>
      <c r="J7519" s="21"/>
      <c r="K7519" s="21" t="s">
        <v>69</v>
      </c>
      <c r="L7519" s="21"/>
      <c r="M7519" s="21" t="s">
        <v>95</v>
      </c>
      <c r="N7519" s="21" t="s">
        <v>44</v>
      </c>
      <c r="O7519" s="21">
        <f>60+60+60+60+60+60+60+60+60+10</f>
        <v>550</v>
      </c>
      <c r="P7519" s="21"/>
      <c r="Q7519" s="21">
        <f t="shared" si="141"/>
        <v>5</v>
      </c>
      <c r="R7519" s="21">
        <v>1</v>
      </c>
      <c r="S7519" s="21">
        <v>0</v>
      </c>
      <c r="T7519" s="21">
        <v>0</v>
      </c>
      <c r="U7519" s="21">
        <v>0</v>
      </c>
      <c r="V7519" s="21">
        <v>1</v>
      </c>
      <c r="W7519" s="21">
        <v>4</v>
      </c>
      <c r="X7519" s="21">
        <v>0</v>
      </c>
      <c r="Y7519" s="21">
        <v>0</v>
      </c>
      <c r="Z7519" s="21">
        <v>0</v>
      </c>
      <c r="AA7519" s="21">
        <v>0</v>
      </c>
      <c r="AB7519" s="21">
        <v>0</v>
      </c>
      <c r="AC7519" s="21">
        <v>0</v>
      </c>
      <c r="AD7519" s="21">
        <v>0</v>
      </c>
      <c r="AE7519" s="21">
        <v>0</v>
      </c>
      <c r="AF7519" s="21">
        <v>0</v>
      </c>
      <c r="AG7519" s="21">
        <v>0</v>
      </c>
      <c r="AH7519" s="21">
        <f t="shared" si="142"/>
        <v>448</v>
      </c>
      <c r="AI7519" s="21"/>
      <c r="AJ7519" s="21" t="s">
        <v>54</v>
      </c>
      <c r="AK7519" s="21" t="s">
        <v>95</v>
      </c>
      <c r="AL7519" s="21" t="s">
        <v>3160</v>
      </c>
      <c r="AM7519" s="21" t="s">
        <v>3161</v>
      </c>
      <c r="AN7519" s="21">
        <v>-122.41601665</v>
      </c>
      <c r="AO7519" s="21">
        <v>37.790251683333302</v>
      </c>
      <c r="AP7519" s="21" t="s">
        <v>1915</v>
      </c>
    </row>
    <row r="7520" spans="1:42">
      <c r="A7520" s="20">
        <v>43850</v>
      </c>
      <c r="B7520" s="21">
        <v>5</v>
      </c>
      <c r="C7520" s="21">
        <v>231</v>
      </c>
      <c r="D7520" s="21">
        <v>14468</v>
      </c>
      <c r="E7520" t="s">
        <v>112</v>
      </c>
      <c r="F7520" s="21" t="s">
        <v>104</v>
      </c>
      <c r="G7520" s="21">
        <v>2</v>
      </c>
      <c r="H7520" s="21">
        <v>85</v>
      </c>
      <c r="I7520" s="23" t="s">
        <v>3005</v>
      </c>
      <c r="J7520" s="21"/>
      <c r="K7520" s="21" t="s">
        <v>69</v>
      </c>
      <c r="L7520" s="21"/>
      <c r="M7520" s="21"/>
      <c r="N7520" s="21" t="s">
        <v>44</v>
      </c>
      <c r="O7520" s="21">
        <f>60+60+60+60+60+60+60+16</f>
        <v>436</v>
      </c>
      <c r="P7520" s="21"/>
      <c r="Q7520" s="21">
        <f t="shared" si="141"/>
        <v>3</v>
      </c>
      <c r="R7520" s="21">
        <v>1</v>
      </c>
      <c r="S7520" s="21">
        <v>0</v>
      </c>
      <c r="T7520" s="21">
        <v>0</v>
      </c>
      <c r="U7520" s="21">
        <v>0</v>
      </c>
      <c r="V7520" s="21">
        <v>0</v>
      </c>
      <c r="W7520" s="21">
        <v>3</v>
      </c>
      <c r="X7520" s="21">
        <v>0</v>
      </c>
      <c r="Y7520" s="21">
        <v>0</v>
      </c>
      <c r="Z7520" s="21">
        <v>0</v>
      </c>
      <c r="AA7520" s="21">
        <v>0</v>
      </c>
      <c r="AB7520" s="21">
        <v>0</v>
      </c>
      <c r="AC7520" s="21">
        <v>0</v>
      </c>
      <c r="AD7520" s="21">
        <v>0</v>
      </c>
      <c r="AE7520" s="21">
        <v>0</v>
      </c>
      <c r="AF7520" s="21">
        <v>0</v>
      </c>
      <c r="AG7520" s="21">
        <v>0</v>
      </c>
      <c r="AH7520" s="21">
        <f t="shared" si="142"/>
        <v>288</v>
      </c>
      <c r="AI7520" s="21"/>
      <c r="AJ7520" s="21" t="s">
        <v>54</v>
      </c>
      <c r="AK7520" s="21" t="s">
        <v>95</v>
      </c>
      <c r="AL7520" s="21" t="s">
        <v>3162</v>
      </c>
      <c r="AM7520" s="21" t="s">
        <v>3163</v>
      </c>
      <c r="AN7520" s="21">
        <v>-122.416951833333</v>
      </c>
      <c r="AO7520" s="21">
        <v>37.790100366666699</v>
      </c>
      <c r="AP7520" s="21" t="s">
        <v>1915</v>
      </c>
    </row>
    <row r="7521" spans="1:42">
      <c r="A7521" s="20">
        <v>43850</v>
      </c>
      <c r="B7521" s="21">
        <v>5</v>
      </c>
      <c r="C7521" s="21">
        <v>231</v>
      </c>
      <c r="D7521" s="21">
        <v>14468</v>
      </c>
      <c r="E7521" t="s">
        <v>112</v>
      </c>
      <c r="F7521" s="21" t="s">
        <v>104</v>
      </c>
      <c r="G7521" s="21">
        <v>2</v>
      </c>
      <c r="H7521" s="21">
        <v>86</v>
      </c>
      <c r="I7521" s="23" t="s">
        <v>3164</v>
      </c>
      <c r="J7521" s="21"/>
      <c r="K7521" s="21" t="s">
        <v>69</v>
      </c>
      <c r="L7521" s="21"/>
      <c r="M7521" s="21"/>
      <c r="N7521" s="21" t="s">
        <v>40</v>
      </c>
      <c r="O7521" s="21">
        <f>60+30</f>
        <v>90</v>
      </c>
      <c r="P7521" s="21"/>
      <c r="Q7521" s="21">
        <f t="shared" si="141"/>
        <v>4</v>
      </c>
      <c r="R7521" s="21">
        <v>1</v>
      </c>
      <c r="S7521" s="21">
        <v>0</v>
      </c>
      <c r="T7521" s="21">
        <v>0</v>
      </c>
      <c r="U7521" s="21">
        <v>4</v>
      </c>
      <c r="V7521" s="21">
        <v>0</v>
      </c>
      <c r="W7521" s="21">
        <v>0</v>
      </c>
      <c r="X7521" s="21">
        <v>0</v>
      </c>
      <c r="Y7521" s="21">
        <v>0</v>
      </c>
      <c r="Z7521" s="21">
        <v>0</v>
      </c>
      <c r="AA7521" s="21">
        <v>0</v>
      </c>
      <c r="AB7521" s="21">
        <v>0</v>
      </c>
      <c r="AC7521" s="21">
        <v>0</v>
      </c>
      <c r="AD7521" s="21">
        <v>0</v>
      </c>
      <c r="AE7521" s="21">
        <v>0</v>
      </c>
      <c r="AF7521" s="21">
        <v>0</v>
      </c>
      <c r="AG7521" s="21">
        <v>0</v>
      </c>
      <c r="AH7521" s="21">
        <f t="shared" si="142"/>
        <v>128</v>
      </c>
      <c r="AI7521" s="21"/>
      <c r="AJ7521" s="21"/>
      <c r="AK7521" s="21"/>
      <c r="AL7521" s="21"/>
      <c r="AM7521" s="21" t="s">
        <v>3165</v>
      </c>
      <c r="AN7521" s="21">
        <v>-122.418180366667</v>
      </c>
      <c r="AO7521" s="21">
        <v>37.7900043</v>
      </c>
      <c r="AP7521" s="21" t="s">
        <v>1915</v>
      </c>
    </row>
    <row r="7522" spans="1:42">
      <c r="A7522" s="20">
        <v>43850</v>
      </c>
      <c r="B7522" s="21">
        <v>5</v>
      </c>
      <c r="C7522" s="21">
        <v>231</v>
      </c>
      <c r="D7522" s="21">
        <v>14468</v>
      </c>
      <c r="E7522" t="s">
        <v>112</v>
      </c>
      <c r="F7522" s="21" t="s">
        <v>104</v>
      </c>
      <c r="G7522" s="21">
        <v>2</v>
      </c>
      <c r="H7522" s="21">
        <v>87</v>
      </c>
      <c r="I7522" s="23" t="s">
        <v>3013</v>
      </c>
      <c r="J7522" s="21"/>
      <c r="K7522" s="21" t="s">
        <v>69</v>
      </c>
      <c r="L7522" s="21"/>
      <c r="M7522" s="21"/>
      <c r="N7522" s="21" t="s">
        <v>40</v>
      </c>
      <c r="O7522" s="21">
        <f>60+4</f>
        <v>64</v>
      </c>
      <c r="P7522" s="21"/>
      <c r="Q7522" s="21">
        <f t="shared" si="141"/>
        <v>1</v>
      </c>
      <c r="R7522" s="21">
        <v>1</v>
      </c>
      <c r="S7522" s="21">
        <v>0</v>
      </c>
      <c r="T7522" s="21">
        <v>0</v>
      </c>
      <c r="U7522" s="21">
        <v>0</v>
      </c>
      <c r="V7522" s="21">
        <v>1</v>
      </c>
      <c r="W7522" s="21">
        <v>0</v>
      </c>
      <c r="X7522" s="21">
        <v>0</v>
      </c>
      <c r="Y7522" s="21">
        <v>0</v>
      </c>
      <c r="Z7522" s="21">
        <v>0</v>
      </c>
      <c r="AA7522" s="21">
        <v>0</v>
      </c>
      <c r="AB7522" s="21">
        <v>0</v>
      </c>
      <c r="AC7522" s="21">
        <v>0</v>
      </c>
      <c r="AD7522" s="21">
        <v>0</v>
      </c>
      <c r="AE7522" s="21">
        <v>0</v>
      </c>
      <c r="AF7522" s="21">
        <v>0</v>
      </c>
      <c r="AG7522" s="21">
        <v>0</v>
      </c>
      <c r="AH7522" s="21">
        <f t="shared" si="142"/>
        <v>64</v>
      </c>
      <c r="AI7522" s="21"/>
      <c r="AJ7522" s="21" t="s">
        <v>51</v>
      </c>
      <c r="AK7522" s="21" t="s">
        <v>95</v>
      </c>
      <c r="AL7522" s="21"/>
      <c r="AM7522" s="21" t="s">
        <v>3166</v>
      </c>
      <c r="AN7522" s="21">
        <v>-122.42036393333299</v>
      </c>
      <c r="AO7522" s="21">
        <v>37.789650566666602</v>
      </c>
      <c r="AP7522" s="21" t="s">
        <v>1915</v>
      </c>
    </row>
    <row r="7523" spans="1:42">
      <c r="A7523" s="20">
        <v>43850</v>
      </c>
      <c r="B7523" s="21">
        <v>5</v>
      </c>
      <c r="C7523" s="21">
        <v>231</v>
      </c>
      <c r="D7523" s="21">
        <v>14468</v>
      </c>
      <c r="E7523" t="s">
        <v>112</v>
      </c>
      <c r="F7523" s="21" t="s">
        <v>104</v>
      </c>
      <c r="G7523" s="21">
        <v>2</v>
      </c>
      <c r="H7523" s="21">
        <v>88</v>
      </c>
      <c r="I7523" s="23" t="s">
        <v>3051</v>
      </c>
      <c r="J7523" s="21"/>
      <c r="K7523" s="21" t="s">
        <v>1085</v>
      </c>
      <c r="L7523" s="21"/>
      <c r="M7523" s="21"/>
      <c r="N7523" s="21" t="s">
        <v>1703</v>
      </c>
      <c r="O7523" s="21">
        <f>60+17</f>
        <v>77</v>
      </c>
      <c r="P7523" s="21"/>
      <c r="Q7523" s="21">
        <f t="shared" si="141"/>
        <v>1</v>
      </c>
      <c r="R7523" s="21">
        <v>1</v>
      </c>
      <c r="S7523" s="21">
        <v>0</v>
      </c>
      <c r="T7523" s="21">
        <v>0</v>
      </c>
      <c r="U7523" s="21">
        <v>0</v>
      </c>
      <c r="V7523" s="21">
        <v>0</v>
      </c>
      <c r="W7523" s="21">
        <v>1</v>
      </c>
      <c r="X7523" s="21">
        <v>0</v>
      </c>
      <c r="Y7523" s="21">
        <v>0</v>
      </c>
      <c r="Z7523" s="21">
        <v>0</v>
      </c>
      <c r="AA7523" s="21">
        <v>0</v>
      </c>
      <c r="AB7523" s="21">
        <v>0</v>
      </c>
      <c r="AC7523" s="21">
        <v>0</v>
      </c>
      <c r="AD7523" s="21">
        <v>0</v>
      </c>
      <c r="AE7523" s="21">
        <v>0</v>
      </c>
      <c r="AF7523" s="21">
        <v>0</v>
      </c>
      <c r="AG7523" s="21">
        <v>0</v>
      </c>
      <c r="AH7523" s="21">
        <f t="shared" si="142"/>
        <v>96</v>
      </c>
      <c r="AI7523" s="21"/>
      <c r="AJ7523" s="21" t="s">
        <v>54</v>
      </c>
      <c r="AK7523" s="21" t="s">
        <v>95</v>
      </c>
      <c r="AL7523" s="21" t="s">
        <v>1950</v>
      </c>
      <c r="AM7523" s="21" t="s">
        <v>3167</v>
      </c>
      <c r="AN7523" s="21">
        <v>-122.421652083333</v>
      </c>
      <c r="AO7523" s="21">
        <v>37.788952833333298</v>
      </c>
      <c r="AP7523" s="21" t="s">
        <v>1915</v>
      </c>
    </row>
    <row r="7524" spans="1:42">
      <c r="A7524" s="20">
        <v>43850</v>
      </c>
      <c r="B7524" s="21">
        <v>5</v>
      </c>
      <c r="C7524" s="21">
        <v>231</v>
      </c>
      <c r="D7524" s="21">
        <v>14468</v>
      </c>
      <c r="E7524" t="s">
        <v>112</v>
      </c>
      <c r="F7524" s="21" t="s">
        <v>104</v>
      </c>
      <c r="G7524" s="21">
        <v>2</v>
      </c>
      <c r="H7524" s="21">
        <v>89</v>
      </c>
      <c r="I7524" s="23" t="s">
        <v>3051</v>
      </c>
      <c r="J7524" s="21"/>
      <c r="K7524" s="21" t="s">
        <v>1085</v>
      </c>
      <c r="L7524" s="21"/>
      <c r="M7524" s="21"/>
      <c r="N7524" s="21" t="s">
        <v>44</v>
      </c>
      <c r="O7524" s="21">
        <f>60+60+60+24</f>
        <v>204</v>
      </c>
      <c r="P7524" s="21"/>
      <c r="Q7524" s="21">
        <f t="shared" si="141"/>
        <v>3</v>
      </c>
      <c r="R7524" s="21">
        <v>1</v>
      </c>
      <c r="S7524" s="21">
        <v>0</v>
      </c>
      <c r="T7524" s="21">
        <v>0</v>
      </c>
      <c r="U7524" s="21">
        <v>0</v>
      </c>
      <c r="V7524" s="21">
        <v>1</v>
      </c>
      <c r="W7524" s="21">
        <v>2</v>
      </c>
      <c r="X7524" s="21">
        <v>0</v>
      </c>
      <c r="Y7524" s="21">
        <v>0</v>
      </c>
      <c r="Z7524" s="21">
        <v>0</v>
      </c>
      <c r="AA7524" s="21">
        <v>0</v>
      </c>
      <c r="AB7524" s="21">
        <v>0</v>
      </c>
      <c r="AC7524" s="21">
        <v>0</v>
      </c>
      <c r="AD7524" s="21">
        <v>0</v>
      </c>
      <c r="AE7524" s="21">
        <v>0</v>
      </c>
      <c r="AF7524" s="21">
        <v>0</v>
      </c>
      <c r="AG7524" s="21">
        <v>0</v>
      </c>
      <c r="AH7524" s="21">
        <f t="shared" si="142"/>
        <v>256</v>
      </c>
      <c r="AI7524" s="21"/>
      <c r="AJ7524" s="21" t="s">
        <v>54</v>
      </c>
      <c r="AK7524" s="21" t="s">
        <v>95</v>
      </c>
      <c r="AL7524" s="21"/>
      <c r="AM7524" s="21" t="s">
        <v>3168</v>
      </c>
      <c r="AN7524" s="21">
        <v>-122.421505666667</v>
      </c>
      <c r="AO7524" s="21">
        <v>37.789082116666599</v>
      </c>
      <c r="AP7524" s="21" t="s">
        <v>1915</v>
      </c>
    </row>
    <row r="7525" spans="1:42">
      <c r="A7525" s="20">
        <v>43850</v>
      </c>
      <c r="B7525" s="21">
        <v>5</v>
      </c>
      <c r="C7525" s="21">
        <v>231</v>
      </c>
      <c r="D7525" s="21">
        <v>14468</v>
      </c>
      <c r="E7525" t="s">
        <v>112</v>
      </c>
      <c r="F7525" s="21" t="s">
        <v>104</v>
      </c>
      <c r="G7525" s="21">
        <v>2</v>
      </c>
      <c r="H7525" s="21">
        <v>90</v>
      </c>
      <c r="I7525" s="23" t="s">
        <v>3051</v>
      </c>
      <c r="J7525" s="21"/>
      <c r="K7525" s="21" t="s">
        <v>1085</v>
      </c>
      <c r="L7525" s="21"/>
      <c r="M7525" s="21"/>
      <c r="N7525" s="21" t="s">
        <v>42</v>
      </c>
      <c r="O7525" s="21">
        <f>60+60+22</f>
        <v>142</v>
      </c>
      <c r="P7525" s="21"/>
      <c r="Q7525" s="21">
        <f t="shared" si="141"/>
        <v>2</v>
      </c>
      <c r="R7525" s="21">
        <v>1</v>
      </c>
      <c r="S7525" s="21">
        <v>0</v>
      </c>
      <c r="T7525" s="21">
        <v>0</v>
      </c>
      <c r="U7525" s="21">
        <v>0</v>
      </c>
      <c r="V7525" s="21">
        <v>0</v>
      </c>
      <c r="W7525" s="21">
        <v>2</v>
      </c>
      <c r="X7525" s="21">
        <v>0</v>
      </c>
      <c r="Y7525" s="21">
        <v>0</v>
      </c>
      <c r="Z7525" s="21">
        <v>0</v>
      </c>
      <c r="AA7525" s="21">
        <v>0</v>
      </c>
      <c r="AB7525" s="21">
        <v>0</v>
      </c>
      <c r="AC7525" s="21">
        <v>0</v>
      </c>
      <c r="AD7525" s="21">
        <v>0</v>
      </c>
      <c r="AE7525" s="21">
        <v>0</v>
      </c>
      <c r="AF7525" s="21">
        <v>0</v>
      </c>
      <c r="AG7525" s="21">
        <v>0</v>
      </c>
      <c r="AH7525" s="21">
        <f t="shared" si="142"/>
        <v>192</v>
      </c>
      <c r="AI7525" s="21"/>
      <c r="AJ7525" s="21" t="s">
        <v>54</v>
      </c>
      <c r="AK7525" s="21" t="s">
        <v>95</v>
      </c>
      <c r="AL7525" s="21" t="s">
        <v>3169</v>
      </c>
      <c r="AM7525" s="21" t="s">
        <v>3170</v>
      </c>
      <c r="AN7525" s="21">
        <v>-122.421188366667</v>
      </c>
      <c r="AO7525" s="21">
        <v>37.788979916666698</v>
      </c>
      <c r="AP7525" s="21" t="s">
        <v>1915</v>
      </c>
    </row>
    <row r="7526" spans="1:42">
      <c r="A7526" s="20">
        <v>43850</v>
      </c>
      <c r="B7526" s="21">
        <v>5</v>
      </c>
      <c r="C7526" s="21">
        <v>231</v>
      </c>
      <c r="D7526" s="21">
        <v>14468</v>
      </c>
      <c r="E7526" t="s">
        <v>112</v>
      </c>
      <c r="F7526" s="21" t="s">
        <v>104</v>
      </c>
      <c r="G7526" s="21">
        <v>2</v>
      </c>
      <c r="H7526" s="21">
        <v>91</v>
      </c>
      <c r="I7526" s="23" t="s">
        <v>3171</v>
      </c>
      <c r="J7526" s="21"/>
      <c r="K7526" s="21" t="s">
        <v>414</v>
      </c>
      <c r="L7526" s="21"/>
      <c r="M7526" s="21"/>
      <c r="N7526" s="21" t="s">
        <v>44</v>
      </c>
      <c r="O7526" s="21">
        <f>60+60+60+58</f>
        <v>238</v>
      </c>
      <c r="P7526" s="21"/>
      <c r="Q7526" s="21">
        <f t="shared" si="141"/>
        <v>4</v>
      </c>
      <c r="R7526" s="21">
        <v>1</v>
      </c>
      <c r="S7526" s="21">
        <v>0</v>
      </c>
      <c r="T7526" s="21">
        <v>0</v>
      </c>
      <c r="U7526" s="21">
        <v>0</v>
      </c>
      <c r="V7526" s="21">
        <v>2</v>
      </c>
      <c r="W7526" s="21">
        <v>2</v>
      </c>
      <c r="X7526" s="21">
        <v>0</v>
      </c>
      <c r="Y7526" s="21">
        <v>0</v>
      </c>
      <c r="Z7526" s="21">
        <v>0</v>
      </c>
      <c r="AA7526" s="21">
        <v>0</v>
      </c>
      <c r="AB7526" s="21">
        <v>0</v>
      </c>
      <c r="AC7526" s="21">
        <v>0</v>
      </c>
      <c r="AD7526" s="21">
        <v>0</v>
      </c>
      <c r="AE7526" s="21">
        <v>0</v>
      </c>
      <c r="AF7526" s="21">
        <v>0</v>
      </c>
      <c r="AG7526" s="21">
        <v>0</v>
      </c>
      <c r="AH7526" s="21">
        <f t="shared" si="142"/>
        <v>320</v>
      </c>
      <c r="AI7526" s="21"/>
      <c r="AJ7526" s="21" t="s">
        <v>54</v>
      </c>
      <c r="AK7526" s="21" t="s">
        <v>95</v>
      </c>
      <c r="AL7526" s="21"/>
      <c r="AM7526" s="21" t="s">
        <v>3172</v>
      </c>
      <c r="AN7526" s="21">
        <v>-122.42070271666699</v>
      </c>
      <c r="AO7526" s="21">
        <v>37.789073233333298</v>
      </c>
      <c r="AP7526" s="21" t="s">
        <v>1915</v>
      </c>
    </row>
    <row r="7527" spans="1:42">
      <c r="A7527" s="20">
        <v>43847</v>
      </c>
      <c r="B7527" s="21">
        <v>5</v>
      </c>
      <c r="C7527" s="21">
        <v>228</v>
      </c>
      <c r="D7527" s="21">
        <v>14444</v>
      </c>
      <c r="E7527" t="s">
        <v>112</v>
      </c>
      <c r="F7527" s="21" t="s">
        <v>104</v>
      </c>
      <c r="G7527" s="21">
        <v>2</v>
      </c>
      <c r="H7527" s="21">
        <v>1</v>
      </c>
      <c r="I7527" s="23" t="s">
        <v>3096</v>
      </c>
      <c r="J7527" s="21"/>
      <c r="K7527" s="21" t="s">
        <v>3173</v>
      </c>
      <c r="L7527" s="21" t="s">
        <v>114</v>
      </c>
      <c r="M7527" s="21"/>
      <c r="N7527" s="21" t="s">
        <v>40</v>
      </c>
      <c r="O7527" s="21">
        <f>60+60+28</f>
        <v>148</v>
      </c>
      <c r="P7527" s="21"/>
      <c r="Q7527" s="21">
        <f t="shared" si="141"/>
        <v>2</v>
      </c>
      <c r="R7527" s="21">
        <v>1</v>
      </c>
      <c r="S7527" s="21">
        <v>0</v>
      </c>
      <c r="T7527" s="21">
        <v>0</v>
      </c>
      <c r="U7527" s="21">
        <v>0</v>
      </c>
      <c r="V7527" s="21">
        <v>1</v>
      </c>
      <c r="W7527" s="21">
        <v>1</v>
      </c>
      <c r="X7527" s="21">
        <v>0</v>
      </c>
      <c r="Y7527" s="21">
        <v>0</v>
      </c>
      <c r="Z7527" s="21">
        <v>0</v>
      </c>
      <c r="AA7527" s="21">
        <v>0</v>
      </c>
      <c r="AB7527" s="21">
        <v>0</v>
      </c>
      <c r="AC7527" s="21">
        <v>0</v>
      </c>
      <c r="AD7527" s="21">
        <v>0</v>
      </c>
      <c r="AE7527" s="21">
        <v>0</v>
      </c>
      <c r="AF7527" s="21">
        <v>0</v>
      </c>
      <c r="AG7527" s="21">
        <v>3</v>
      </c>
      <c r="AH7527" s="21">
        <f t="shared" si="142"/>
        <v>160</v>
      </c>
      <c r="AI7527" s="21"/>
      <c r="AJ7527" s="21"/>
      <c r="AK7527" s="21"/>
      <c r="AL7527" s="21"/>
      <c r="AM7527" s="21" t="s">
        <v>3174</v>
      </c>
      <c r="AN7527" s="21">
        <v>-122.41955343333299</v>
      </c>
      <c r="AO7527" s="21">
        <v>37.775093566666598</v>
      </c>
      <c r="AP7527" s="21" t="s">
        <v>1915</v>
      </c>
    </row>
    <row r="7528" spans="1:42">
      <c r="A7528" s="20">
        <v>43847</v>
      </c>
      <c r="B7528" s="21">
        <v>5</v>
      </c>
      <c r="C7528" s="21">
        <v>228</v>
      </c>
      <c r="D7528" s="21">
        <v>14444</v>
      </c>
      <c r="E7528" t="s">
        <v>112</v>
      </c>
      <c r="F7528" s="21" t="s">
        <v>104</v>
      </c>
      <c r="G7528" s="21">
        <v>2</v>
      </c>
      <c r="H7528" s="21">
        <v>2</v>
      </c>
      <c r="I7528" s="23" t="s">
        <v>3055</v>
      </c>
      <c r="J7528" s="21"/>
      <c r="K7528" s="21" t="s">
        <v>3175</v>
      </c>
      <c r="L7528" s="21"/>
      <c r="M7528" s="21"/>
      <c r="N7528" s="21" t="s">
        <v>40</v>
      </c>
      <c r="O7528" s="21">
        <v>48</v>
      </c>
      <c r="P7528" s="21"/>
      <c r="Q7528" s="21">
        <f t="shared" si="141"/>
        <v>2</v>
      </c>
      <c r="R7528" s="21">
        <v>1</v>
      </c>
      <c r="S7528" s="21">
        <v>0</v>
      </c>
      <c r="T7528" s="21">
        <v>0</v>
      </c>
      <c r="U7528" s="21">
        <v>0</v>
      </c>
      <c r="V7528" s="21">
        <v>2</v>
      </c>
      <c r="W7528" s="21">
        <v>0</v>
      </c>
      <c r="X7528" s="21">
        <v>0</v>
      </c>
      <c r="Y7528" s="21">
        <v>0</v>
      </c>
      <c r="Z7528" s="21">
        <v>0</v>
      </c>
      <c r="AA7528" s="21">
        <v>0</v>
      </c>
      <c r="AB7528" s="21">
        <v>0</v>
      </c>
      <c r="AC7528" s="21">
        <v>0</v>
      </c>
      <c r="AD7528" s="21">
        <v>0</v>
      </c>
      <c r="AE7528" s="21">
        <v>0</v>
      </c>
      <c r="AF7528" s="21">
        <v>0</v>
      </c>
      <c r="AG7528" s="21">
        <v>0</v>
      </c>
      <c r="AH7528" s="21">
        <f t="shared" si="142"/>
        <v>128</v>
      </c>
      <c r="AI7528" s="21"/>
      <c r="AJ7528" s="21"/>
      <c r="AK7528" s="21"/>
      <c r="AL7528" s="21" t="s">
        <v>3176</v>
      </c>
      <c r="AM7528" s="21" t="s">
        <v>3177</v>
      </c>
      <c r="AN7528" s="21">
        <v>-122.42059175</v>
      </c>
      <c r="AO7528" s="21">
        <v>37.774340916666603</v>
      </c>
      <c r="AP7528" s="21" t="s">
        <v>1915</v>
      </c>
    </row>
    <row r="7529" spans="1:42">
      <c r="A7529" s="20">
        <v>43847</v>
      </c>
      <c r="B7529" s="21">
        <v>5</v>
      </c>
      <c r="C7529" s="21">
        <v>228</v>
      </c>
      <c r="D7529" s="21">
        <v>14444</v>
      </c>
      <c r="E7529" t="s">
        <v>112</v>
      </c>
      <c r="F7529" s="21" t="s">
        <v>104</v>
      </c>
      <c r="G7529" s="21">
        <v>2</v>
      </c>
      <c r="H7529" s="21">
        <v>3</v>
      </c>
      <c r="I7529" s="23">
        <v>0</v>
      </c>
      <c r="J7529" s="21"/>
      <c r="K7529" s="21" t="s">
        <v>3175</v>
      </c>
      <c r="L7529" s="21"/>
      <c r="M7529" s="21"/>
      <c r="N7529" s="21" t="s">
        <v>40</v>
      </c>
      <c r="O7529" s="21">
        <f>60+43</f>
        <v>103</v>
      </c>
      <c r="P7529" s="21"/>
      <c r="Q7529" s="21">
        <f t="shared" si="141"/>
        <v>5</v>
      </c>
      <c r="R7529" s="21">
        <v>1</v>
      </c>
      <c r="S7529" s="21">
        <v>1</v>
      </c>
      <c r="T7529" s="21">
        <v>0</v>
      </c>
      <c r="U7529" s="21">
        <v>0</v>
      </c>
      <c r="V7529" s="21">
        <v>4</v>
      </c>
      <c r="W7529" s="21">
        <v>0</v>
      </c>
      <c r="X7529" s="21">
        <v>0</v>
      </c>
      <c r="Y7529" s="21">
        <v>0</v>
      </c>
      <c r="Z7529" s="21">
        <v>0</v>
      </c>
      <c r="AA7529" s="21">
        <v>0</v>
      </c>
      <c r="AB7529" s="21">
        <v>0</v>
      </c>
      <c r="AC7529" s="21">
        <v>0</v>
      </c>
      <c r="AD7529" s="21">
        <v>0</v>
      </c>
      <c r="AE7529" s="21">
        <v>0</v>
      </c>
      <c r="AF7529" s="21">
        <v>0</v>
      </c>
      <c r="AG7529" s="21">
        <v>0</v>
      </c>
      <c r="AH7529" s="21">
        <f t="shared" si="142"/>
        <v>272</v>
      </c>
      <c r="AI7529" s="21"/>
      <c r="AJ7529" s="21" t="s">
        <v>51</v>
      </c>
      <c r="AK7529" s="21" t="s">
        <v>95</v>
      </c>
      <c r="AL7529" s="21" t="s">
        <v>3178</v>
      </c>
      <c r="AM7529" s="21" t="s">
        <v>3179</v>
      </c>
      <c r="AN7529" s="21">
        <v>-122.420883266667</v>
      </c>
      <c r="AO7529" s="21">
        <v>37.774700233333299</v>
      </c>
      <c r="AP7529" s="21" t="s">
        <v>1915</v>
      </c>
    </row>
    <row r="7530" spans="1:42">
      <c r="A7530" s="20">
        <v>43847</v>
      </c>
      <c r="B7530" s="21">
        <v>5</v>
      </c>
      <c r="C7530" s="21">
        <v>228</v>
      </c>
      <c r="D7530" s="21">
        <v>14444</v>
      </c>
      <c r="E7530" t="s">
        <v>112</v>
      </c>
      <c r="F7530" s="21" t="s">
        <v>104</v>
      </c>
      <c r="G7530" s="21">
        <v>2</v>
      </c>
      <c r="H7530" s="21">
        <v>4</v>
      </c>
      <c r="I7530" s="23" t="s">
        <v>3180</v>
      </c>
      <c r="J7530" s="21"/>
      <c r="K7530" s="21" t="s">
        <v>3181</v>
      </c>
      <c r="L7530" s="21"/>
      <c r="M7530" s="21"/>
      <c r="N7530" s="21" t="s">
        <v>44</v>
      </c>
      <c r="O7530" s="21">
        <f>60+60+46</f>
        <v>166</v>
      </c>
      <c r="P7530" s="21"/>
      <c r="Q7530" s="21">
        <f t="shared" si="141"/>
        <v>2</v>
      </c>
      <c r="R7530" s="21">
        <v>1</v>
      </c>
      <c r="S7530" s="21">
        <v>0</v>
      </c>
      <c r="T7530" s="21">
        <v>0</v>
      </c>
      <c r="U7530" s="21">
        <v>0</v>
      </c>
      <c r="V7530" s="21">
        <v>0</v>
      </c>
      <c r="W7530" s="21">
        <v>2</v>
      </c>
      <c r="X7530" s="21">
        <v>0</v>
      </c>
      <c r="Y7530" s="21">
        <v>0</v>
      </c>
      <c r="Z7530" s="21">
        <v>0</v>
      </c>
      <c r="AA7530" s="21">
        <v>0</v>
      </c>
      <c r="AB7530" s="21">
        <v>0</v>
      </c>
      <c r="AC7530" s="21">
        <v>0</v>
      </c>
      <c r="AD7530" s="21">
        <v>0</v>
      </c>
      <c r="AE7530" s="21">
        <v>0</v>
      </c>
      <c r="AF7530" s="21">
        <v>0</v>
      </c>
      <c r="AG7530" s="21">
        <v>0</v>
      </c>
      <c r="AH7530" s="21">
        <f t="shared" si="142"/>
        <v>192</v>
      </c>
      <c r="AI7530" s="21"/>
      <c r="AJ7530" s="21" t="s">
        <v>51</v>
      </c>
      <c r="AK7530" s="21" t="s">
        <v>95</v>
      </c>
      <c r="AL7530" s="21" t="s">
        <v>1946</v>
      </c>
      <c r="AM7530" s="21" t="s">
        <v>3182</v>
      </c>
      <c r="AN7530" s="21">
        <v>-122.4208483</v>
      </c>
      <c r="AO7530" s="21">
        <v>37.774720366666699</v>
      </c>
      <c r="AP7530" s="21" t="s">
        <v>1915</v>
      </c>
    </row>
    <row r="7531" spans="1:42">
      <c r="A7531" s="20">
        <v>43847</v>
      </c>
      <c r="B7531" s="21">
        <v>5</v>
      </c>
      <c r="C7531" s="21">
        <v>228</v>
      </c>
      <c r="D7531" s="21">
        <v>14444</v>
      </c>
      <c r="E7531" t="s">
        <v>112</v>
      </c>
      <c r="F7531" s="21" t="s">
        <v>104</v>
      </c>
      <c r="G7531" s="21">
        <v>2</v>
      </c>
      <c r="H7531" s="21">
        <v>5</v>
      </c>
      <c r="I7531" s="23" t="s">
        <v>3055</v>
      </c>
      <c r="J7531" s="21"/>
      <c r="K7531" s="21" t="s">
        <v>3183</v>
      </c>
      <c r="L7531" s="21"/>
      <c r="M7531" s="21"/>
      <c r="N7531" s="21" t="s">
        <v>40</v>
      </c>
      <c r="O7531" s="21">
        <v>41</v>
      </c>
      <c r="P7531" s="21"/>
      <c r="Q7531" s="21">
        <f t="shared" si="141"/>
        <v>1</v>
      </c>
      <c r="R7531" s="21">
        <v>1</v>
      </c>
      <c r="S7531" s="21">
        <v>0</v>
      </c>
      <c r="T7531" s="21">
        <v>0</v>
      </c>
      <c r="U7531" s="21">
        <v>0</v>
      </c>
      <c r="V7531" s="21">
        <v>0</v>
      </c>
      <c r="W7531" s="21">
        <v>1</v>
      </c>
      <c r="X7531" s="21">
        <v>0</v>
      </c>
      <c r="Y7531" s="21">
        <v>0</v>
      </c>
      <c r="Z7531" s="21">
        <v>0</v>
      </c>
      <c r="AA7531" s="21">
        <v>0</v>
      </c>
      <c r="AB7531" s="21">
        <v>0</v>
      </c>
      <c r="AC7531" s="21">
        <v>0</v>
      </c>
      <c r="AD7531" s="21">
        <v>0</v>
      </c>
      <c r="AE7531" s="21">
        <v>0</v>
      </c>
      <c r="AF7531" s="21">
        <v>0</v>
      </c>
      <c r="AG7531" s="21">
        <v>0</v>
      </c>
      <c r="AH7531" s="21">
        <f t="shared" si="142"/>
        <v>96</v>
      </c>
      <c r="AI7531" s="21"/>
      <c r="AJ7531" s="21"/>
      <c r="AK7531" s="21"/>
      <c r="AL7531" s="21" t="s">
        <v>3184</v>
      </c>
      <c r="AM7531" s="21" t="s">
        <v>3185</v>
      </c>
      <c r="AN7531" s="21">
        <v>-122.42023443333299</v>
      </c>
      <c r="AO7531" s="21">
        <v>37.775402049999997</v>
      </c>
      <c r="AP7531" s="21" t="s">
        <v>1915</v>
      </c>
    </row>
    <row r="7532" spans="1:42">
      <c r="A7532" s="20">
        <v>43847</v>
      </c>
      <c r="B7532" s="21">
        <v>5</v>
      </c>
      <c r="C7532" s="21">
        <v>228</v>
      </c>
      <c r="D7532" s="21">
        <v>14444</v>
      </c>
      <c r="E7532" t="s">
        <v>112</v>
      </c>
      <c r="F7532" s="21" t="s">
        <v>104</v>
      </c>
      <c r="G7532" s="21">
        <v>2</v>
      </c>
      <c r="H7532" s="21">
        <v>6</v>
      </c>
      <c r="I7532" s="23" t="s">
        <v>3186</v>
      </c>
      <c r="J7532" s="21"/>
      <c r="K7532" s="21" t="s">
        <v>631</v>
      </c>
      <c r="L7532" s="21"/>
      <c r="M7532" s="21"/>
      <c r="N7532" s="21" t="s">
        <v>44</v>
      </c>
      <c r="O7532" s="21">
        <f>60+60+5</f>
        <v>125</v>
      </c>
      <c r="P7532" s="21"/>
      <c r="Q7532" s="21">
        <f t="shared" si="141"/>
        <v>2</v>
      </c>
      <c r="R7532" s="21">
        <v>1</v>
      </c>
      <c r="S7532" s="21">
        <v>0</v>
      </c>
      <c r="T7532" s="21">
        <v>0</v>
      </c>
      <c r="U7532" s="21">
        <v>0</v>
      </c>
      <c r="V7532" s="21">
        <v>0</v>
      </c>
      <c r="W7532" s="21">
        <v>2</v>
      </c>
      <c r="X7532" s="21">
        <v>0</v>
      </c>
      <c r="Y7532" s="21">
        <v>0</v>
      </c>
      <c r="Z7532" s="21">
        <v>0</v>
      </c>
      <c r="AA7532" s="21">
        <v>0</v>
      </c>
      <c r="AB7532" s="21">
        <v>0</v>
      </c>
      <c r="AC7532" s="21">
        <v>0</v>
      </c>
      <c r="AD7532" s="21">
        <v>0</v>
      </c>
      <c r="AE7532" s="21">
        <v>0</v>
      </c>
      <c r="AF7532" s="21">
        <v>0</v>
      </c>
      <c r="AG7532" s="21">
        <v>0</v>
      </c>
      <c r="AH7532" s="21">
        <f t="shared" si="142"/>
        <v>192</v>
      </c>
      <c r="AI7532" s="21"/>
      <c r="AJ7532" s="21"/>
      <c r="AK7532" s="21"/>
      <c r="AL7532" s="21"/>
      <c r="AM7532" s="21" t="s">
        <v>3187</v>
      </c>
      <c r="AN7532" s="21">
        <v>-122.42094165</v>
      </c>
      <c r="AO7532" s="21">
        <v>37.775754249999999</v>
      </c>
      <c r="AP7532" s="21" t="s">
        <v>1915</v>
      </c>
    </row>
    <row r="7533" spans="1:42">
      <c r="A7533" s="20">
        <v>43847</v>
      </c>
      <c r="B7533" s="21">
        <v>5</v>
      </c>
      <c r="C7533" s="21">
        <v>228</v>
      </c>
      <c r="D7533" s="21">
        <v>14444</v>
      </c>
      <c r="E7533" t="s">
        <v>112</v>
      </c>
      <c r="F7533" s="21" t="s">
        <v>104</v>
      </c>
      <c r="G7533" s="21">
        <v>2</v>
      </c>
      <c r="H7533" s="21">
        <v>7</v>
      </c>
      <c r="I7533" s="23" t="s">
        <v>3055</v>
      </c>
      <c r="J7533" s="21"/>
      <c r="K7533" s="21" t="s">
        <v>3188</v>
      </c>
      <c r="L7533" s="21"/>
      <c r="M7533" s="21"/>
      <c r="N7533" s="21" t="s">
        <v>1703</v>
      </c>
      <c r="O7533" s="21">
        <f>60+2</f>
        <v>62</v>
      </c>
      <c r="P7533" s="21"/>
      <c r="Q7533" s="21">
        <f t="shared" si="141"/>
        <v>2</v>
      </c>
      <c r="R7533" s="21">
        <v>1</v>
      </c>
      <c r="S7533" s="21">
        <v>0</v>
      </c>
      <c r="T7533" s="21">
        <v>0</v>
      </c>
      <c r="U7533" s="21">
        <v>0</v>
      </c>
      <c r="V7533" s="21">
        <v>0</v>
      </c>
      <c r="W7533" s="21">
        <v>2</v>
      </c>
      <c r="X7533" s="21">
        <v>0</v>
      </c>
      <c r="Y7533" s="21">
        <v>0</v>
      </c>
      <c r="Z7533" s="21">
        <v>0</v>
      </c>
      <c r="AA7533" s="21">
        <v>0</v>
      </c>
      <c r="AB7533" s="21">
        <v>0</v>
      </c>
      <c r="AC7533" s="21">
        <v>0</v>
      </c>
      <c r="AD7533" s="21">
        <v>0</v>
      </c>
      <c r="AE7533" s="21">
        <v>0</v>
      </c>
      <c r="AF7533" s="21">
        <v>0</v>
      </c>
      <c r="AG7533" s="21">
        <v>0</v>
      </c>
      <c r="AH7533" s="21">
        <f t="shared" si="142"/>
        <v>192</v>
      </c>
      <c r="AI7533" s="21"/>
      <c r="AJ7533" s="21"/>
      <c r="AK7533" s="21"/>
      <c r="AL7533" s="21" t="s">
        <v>3125</v>
      </c>
      <c r="AM7533" s="21" t="s">
        <v>3189</v>
      </c>
      <c r="AN7533" s="21">
        <v>-122.420816866667</v>
      </c>
      <c r="AO7533" s="21">
        <v>37.775771233333302</v>
      </c>
      <c r="AP7533" s="21" t="s">
        <v>1915</v>
      </c>
    </row>
    <row r="7534" spans="1:42">
      <c r="A7534" s="20">
        <v>43847</v>
      </c>
      <c r="B7534" s="21">
        <v>5</v>
      </c>
      <c r="C7534" s="21">
        <v>228</v>
      </c>
      <c r="D7534" s="21">
        <v>14444</v>
      </c>
      <c r="E7534" t="s">
        <v>112</v>
      </c>
      <c r="F7534" s="21" t="s">
        <v>104</v>
      </c>
      <c r="G7534" s="21">
        <v>2</v>
      </c>
      <c r="H7534" s="21">
        <v>8</v>
      </c>
      <c r="I7534" s="23" t="s">
        <v>3055</v>
      </c>
      <c r="J7534" s="21"/>
      <c r="K7534" s="21" t="s">
        <v>3188</v>
      </c>
      <c r="L7534" s="21"/>
      <c r="M7534" s="21"/>
      <c r="N7534" s="21" t="s">
        <v>1703</v>
      </c>
      <c r="O7534" s="21">
        <f>60+60+1</f>
        <v>121</v>
      </c>
      <c r="P7534" s="21"/>
      <c r="Q7534" s="21">
        <f t="shared" si="141"/>
        <v>3</v>
      </c>
      <c r="R7534" s="21">
        <v>1</v>
      </c>
      <c r="S7534" s="21">
        <v>0</v>
      </c>
      <c r="T7534" s="21">
        <v>0</v>
      </c>
      <c r="U7534" s="21">
        <v>0</v>
      </c>
      <c r="V7534" s="21">
        <v>3</v>
      </c>
      <c r="W7534" s="21">
        <v>0</v>
      </c>
      <c r="X7534" s="21">
        <v>0</v>
      </c>
      <c r="Y7534" s="21">
        <v>0</v>
      </c>
      <c r="Z7534" s="21">
        <v>0</v>
      </c>
      <c r="AA7534" s="21">
        <v>0</v>
      </c>
      <c r="AB7534" s="21">
        <v>0</v>
      </c>
      <c r="AC7534" s="21">
        <v>0</v>
      </c>
      <c r="AD7534" s="21">
        <v>0</v>
      </c>
      <c r="AE7534" s="21">
        <v>0</v>
      </c>
      <c r="AF7534" s="21">
        <v>3</v>
      </c>
      <c r="AG7534" s="21">
        <v>0</v>
      </c>
      <c r="AH7534" s="21">
        <f t="shared" si="142"/>
        <v>192</v>
      </c>
      <c r="AI7534" s="21"/>
      <c r="AJ7534" s="21" t="s">
        <v>3023</v>
      </c>
      <c r="AK7534" s="21" t="s">
        <v>95</v>
      </c>
      <c r="AL7534" s="21" t="s">
        <v>3190</v>
      </c>
      <c r="AM7534" s="21" t="s">
        <v>3191</v>
      </c>
      <c r="AN7534" s="21">
        <v>-122.42033671666699</v>
      </c>
      <c r="AO7534" s="21">
        <v>37.775810166666602</v>
      </c>
      <c r="AP7534" s="21" t="s">
        <v>1915</v>
      </c>
    </row>
    <row r="7535" spans="1:42">
      <c r="A7535" s="20">
        <v>43847</v>
      </c>
      <c r="B7535" s="21">
        <v>5</v>
      </c>
      <c r="C7535" s="21">
        <v>228</v>
      </c>
      <c r="D7535" s="21">
        <v>14444</v>
      </c>
      <c r="E7535" t="s">
        <v>112</v>
      </c>
      <c r="F7535" s="21" t="s">
        <v>104</v>
      </c>
      <c r="G7535" s="21">
        <v>2</v>
      </c>
      <c r="H7535" s="21">
        <v>9</v>
      </c>
      <c r="I7535" s="23" t="s">
        <v>3192</v>
      </c>
      <c r="J7535" s="21"/>
      <c r="K7535" s="21" t="s">
        <v>3193</v>
      </c>
      <c r="L7535" s="21"/>
      <c r="M7535" s="21"/>
      <c r="N7535" s="21" t="s">
        <v>44</v>
      </c>
      <c r="O7535" s="21">
        <v>153</v>
      </c>
      <c r="P7535" s="21"/>
      <c r="Q7535" s="21">
        <f t="shared" si="141"/>
        <v>1</v>
      </c>
      <c r="R7535" s="21">
        <v>1</v>
      </c>
      <c r="S7535" s="21">
        <v>0</v>
      </c>
      <c r="T7535" s="21">
        <v>0</v>
      </c>
      <c r="U7535" s="21">
        <v>0</v>
      </c>
      <c r="V7535" s="21">
        <v>0</v>
      </c>
      <c r="W7535" s="21">
        <v>1</v>
      </c>
      <c r="X7535" s="21">
        <v>0</v>
      </c>
      <c r="Y7535" s="21">
        <v>0</v>
      </c>
      <c r="Z7535" s="21">
        <v>0</v>
      </c>
      <c r="AA7535" s="21">
        <v>0</v>
      </c>
      <c r="AB7535" s="21">
        <v>0</v>
      </c>
      <c r="AC7535" s="21">
        <v>0</v>
      </c>
      <c r="AD7535" s="21">
        <v>0</v>
      </c>
      <c r="AE7535" s="21">
        <v>0</v>
      </c>
      <c r="AF7535" s="21">
        <v>0</v>
      </c>
      <c r="AG7535" s="21">
        <v>0</v>
      </c>
      <c r="AH7535" s="21">
        <f t="shared" si="142"/>
        <v>96</v>
      </c>
      <c r="AI7535" s="21"/>
      <c r="AJ7535" s="21"/>
      <c r="AK7535" s="21"/>
      <c r="AL7535" s="21" t="s">
        <v>3194</v>
      </c>
      <c r="AM7535" s="21" t="s">
        <v>3195</v>
      </c>
      <c r="AN7535" s="21">
        <v>-122.420143583333</v>
      </c>
      <c r="AO7535" s="21">
        <v>37.775655166666702</v>
      </c>
      <c r="AP7535" s="21" t="s">
        <v>1915</v>
      </c>
    </row>
    <row r="7536" spans="1:42">
      <c r="A7536" s="20">
        <v>43847</v>
      </c>
      <c r="B7536" s="21">
        <v>5</v>
      </c>
      <c r="C7536" s="21">
        <v>228</v>
      </c>
      <c r="D7536" s="21">
        <v>14444</v>
      </c>
      <c r="E7536" t="s">
        <v>112</v>
      </c>
      <c r="F7536" s="21" t="s">
        <v>104</v>
      </c>
      <c r="G7536" s="21">
        <v>2</v>
      </c>
      <c r="H7536" s="21">
        <v>10</v>
      </c>
      <c r="I7536" s="23" t="s">
        <v>2896</v>
      </c>
      <c r="J7536" s="21"/>
      <c r="K7536" s="21" t="s">
        <v>415</v>
      </c>
      <c r="L7536" s="21"/>
      <c r="M7536" s="21"/>
      <c r="N7536" s="21" t="s">
        <v>42</v>
      </c>
      <c r="O7536" s="21">
        <f>60+60+19</f>
        <v>139</v>
      </c>
      <c r="P7536" s="21"/>
      <c r="Q7536" s="21">
        <f t="shared" si="141"/>
        <v>5</v>
      </c>
      <c r="R7536" s="21">
        <v>1</v>
      </c>
      <c r="S7536" s="21">
        <v>0</v>
      </c>
      <c r="T7536" s="21">
        <v>0</v>
      </c>
      <c r="U7536" s="21">
        <v>0</v>
      </c>
      <c r="V7536" s="21">
        <v>3</v>
      </c>
      <c r="W7536" s="21">
        <v>2</v>
      </c>
      <c r="X7536" s="21">
        <v>0</v>
      </c>
      <c r="Y7536" s="21">
        <v>0</v>
      </c>
      <c r="Z7536" s="21">
        <v>0</v>
      </c>
      <c r="AA7536" s="21">
        <v>0</v>
      </c>
      <c r="AB7536" s="21">
        <v>0</v>
      </c>
      <c r="AC7536" s="21">
        <v>0</v>
      </c>
      <c r="AD7536" s="21">
        <v>0</v>
      </c>
      <c r="AE7536" s="21">
        <v>0</v>
      </c>
      <c r="AF7536" s="21">
        <v>0</v>
      </c>
      <c r="AG7536" s="21">
        <v>0</v>
      </c>
      <c r="AH7536" s="21">
        <f t="shared" si="142"/>
        <v>384</v>
      </c>
      <c r="AI7536" s="21"/>
      <c r="AJ7536" s="21" t="s">
        <v>3023</v>
      </c>
      <c r="AK7536" s="21" t="s">
        <v>95</v>
      </c>
      <c r="AL7536" s="21" t="s">
        <v>3196</v>
      </c>
      <c r="AM7536" s="21" t="s">
        <v>3197</v>
      </c>
      <c r="AN7536" s="21">
        <v>-122.42012843333301</v>
      </c>
      <c r="AO7536" s="21">
        <v>37.775759033333301</v>
      </c>
      <c r="AP7536" s="21" t="s">
        <v>1915</v>
      </c>
    </row>
    <row r="7537" spans="1:42">
      <c r="A7537" s="20">
        <v>43847</v>
      </c>
      <c r="B7537" s="21">
        <v>5</v>
      </c>
      <c r="C7537" s="21">
        <v>228</v>
      </c>
      <c r="D7537" s="21">
        <v>14444</v>
      </c>
      <c r="E7537" t="s">
        <v>112</v>
      </c>
      <c r="F7537" s="21" t="s">
        <v>104</v>
      </c>
      <c r="G7537" s="21">
        <v>2</v>
      </c>
      <c r="H7537" s="21">
        <v>11</v>
      </c>
      <c r="I7537" s="23" t="s">
        <v>3198</v>
      </c>
      <c r="J7537" s="21"/>
      <c r="K7537" s="21" t="s">
        <v>415</v>
      </c>
      <c r="L7537" s="21"/>
      <c r="M7537" s="21"/>
      <c r="N7537" s="21" t="s">
        <v>44</v>
      </c>
      <c r="O7537" s="21">
        <f>60+60+19</f>
        <v>139</v>
      </c>
      <c r="P7537" s="21"/>
      <c r="Q7537" s="21">
        <f t="shared" si="141"/>
        <v>4</v>
      </c>
      <c r="R7537" s="21">
        <v>1</v>
      </c>
      <c r="S7537" s="21">
        <v>0</v>
      </c>
      <c r="T7537" s="21">
        <v>0</v>
      </c>
      <c r="U7537" s="21">
        <v>0</v>
      </c>
      <c r="V7537" s="21">
        <v>4</v>
      </c>
      <c r="W7537" s="21">
        <v>0</v>
      </c>
      <c r="X7537" s="21">
        <v>0</v>
      </c>
      <c r="Y7537" s="21">
        <v>0</v>
      </c>
      <c r="Z7537" s="21">
        <v>0</v>
      </c>
      <c r="AA7537" s="21">
        <v>0</v>
      </c>
      <c r="AB7537" s="21">
        <v>0</v>
      </c>
      <c r="AC7537" s="21">
        <v>0</v>
      </c>
      <c r="AD7537" s="21">
        <v>0</v>
      </c>
      <c r="AE7537" s="21">
        <v>0</v>
      </c>
      <c r="AF7537" s="21">
        <v>0</v>
      </c>
      <c r="AG7537" s="21">
        <v>0</v>
      </c>
      <c r="AH7537" s="21">
        <f t="shared" si="142"/>
        <v>256</v>
      </c>
      <c r="AI7537" s="21"/>
      <c r="AJ7537" s="21" t="s">
        <v>51</v>
      </c>
      <c r="AK7537" s="21" t="s">
        <v>95</v>
      </c>
      <c r="AL7537" s="21" t="s">
        <v>2292</v>
      </c>
      <c r="AM7537" s="21" t="s">
        <v>3199</v>
      </c>
      <c r="AN7537" s="21">
        <v>-122.42056805</v>
      </c>
      <c r="AO7537" s="21">
        <v>37.776304816666702</v>
      </c>
      <c r="AP7537" s="21" t="s">
        <v>1915</v>
      </c>
    </row>
    <row r="7538" spans="1:42">
      <c r="A7538" s="20">
        <v>43847</v>
      </c>
      <c r="B7538" s="21">
        <v>5</v>
      </c>
      <c r="C7538" s="21">
        <v>228</v>
      </c>
      <c r="D7538" s="21">
        <v>14444</v>
      </c>
      <c r="E7538" t="s">
        <v>112</v>
      </c>
      <c r="F7538" s="21" t="s">
        <v>104</v>
      </c>
      <c r="G7538" s="21">
        <v>2</v>
      </c>
      <c r="H7538" s="21">
        <v>12</v>
      </c>
      <c r="I7538" s="23" t="s">
        <v>3200</v>
      </c>
      <c r="J7538" s="21"/>
      <c r="K7538" s="21" t="s">
        <v>415</v>
      </c>
      <c r="L7538" s="21"/>
      <c r="M7538" s="21"/>
      <c r="N7538" s="21" t="s">
        <v>44</v>
      </c>
      <c r="O7538" s="21">
        <f>60+60+60+60+60+60+1</f>
        <v>361</v>
      </c>
      <c r="P7538" s="21"/>
      <c r="Q7538" s="21">
        <f t="shared" si="141"/>
        <v>11</v>
      </c>
      <c r="R7538" s="21">
        <v>1</v>
      </c>
      <c r="S7538" s="21">
        <v>0</v>
      </c>
      <c r="T7538" s="21">
        <v>0</v>
      </c>
      <c r="U7538" s="21">
        <v>0</v>
      </c>
      <c r="V7538" s="21">
        <v>11</v>
      </c>
      <c r="W7538" s="21">
        <v>0</v>
      </c>
      <c r="X7538" s="21">
        <v>0</v>
      </c>
      <c r="Y7538" s="21">
        <v>0</v>
      </c>
      <c r="Z7538" s="21">
        <v>0</v>
      </c>
      <c r="AA7538" s="21">
        <v>0</v>
      </c>
      <c r="AB7538" s="21">
        <v>0</v>
      </c>
      <c r="AC7538" s="21">
        <v>0</v>
      </c>
      <c r="AD7538" s="21">
        <v>0</v>
      </c>
      <c r="AE7538" s="21">
        <v>0</v>
      </c>
      <c r="AF7538" s="21">
        <v>0</v>
      </c>
      <c r="AG7538" s="21">
        <v>0</v>
      </c>
      <c r="AH7538" s="21">
        <f t="shared" si="142"/>
        <v>704</v>
      </c>
      <c r="AI7538" s="21"/>
      <c r="AJ7538" s="21" t="s">
        <v>51</v>
      </c>
      <c r="AK7538" s="21" t="s">
        <v>95</v>
      </c>
      <c r="AL7538" s="21" t="s">
        <v>3201</v>
      </c>
      <c r="AM7538" s="21" t="s">
        <v>3202</v>
      </c>
      <c r="AN7538" s="21">
        <v>-122.4218424</v>
      </c>
      <c r="AO7538" s="21">
        <v>37.7812755333333</v>
      </c>
      <c r="AP7538" s="21" t="s">
        <v>1915</v>
      </c>
    </row>
    <row r="7539" spans="1:42">
      <c r="A7539" s="20">
        <v>43847</v>
      </c>
      <c r="B7539" s="21">
        <v>5</v>
      </c>
      <c r="C7539" s="21">
        <v>228</v>
      </c>
      <c r="D7539" s="21">
        <v>14444</v>
      </c>
      <c r="E7539" t="s">
        <v>112</v>
      </c>
      <c r="F7539" s="21" t="s">
        <v>104</v>
      </c>
      <c r="G7539" s="21">
        <v>2</v>
      </c>
      <c r="H7539" s="21">
        <v>13</v>
      </c>
      <c r="I7539" s="23" t="s">
        <v>3203</v>
      </c>
      <c r="J7539" s="21"/>
      <c r="K7539" s="21" t="s">
        <v>415</v>
      </c>
      <c r="L7539" s="21"/>
      <c r="M7539" s="21"/>
      <c r="N7539" s="21" t="s">
        <v>40</v>
      </c>
      <c r="O7539" s="21">
        <f>60+58</f>
        <v>118</v>
      </c>
      <c r="P7539" s="21"/>
      <c r="Q7539" s="21">
        <f t="shared" si="141"/>
        <v>4</v>
      </c>
      <c r="R7539" s="21">
        <v>1</v>
      </c>
      <c r="S7539" s="21">
        <v>0</v>
      </c>
      <c r="T7539" s="21">
        <v>0</v>
      </c>
      <c r="U7539" s="21">
        <v>0</v>
      </c>
      <c r="V7539" s="21">
        <v>4</v>
      </c>
      <c r="W7539" s="21">
        <v>0</v>
      </c>
      <c r="X7539" s="21">
        <v>0</v>
      </c>
      <c r="Y7539" s="21">
        <v>0</v>
      </c>
      <c r="Z7539" s="21">
        <v>0</v>
      </c>
      <c r="AA7539" s="21">
        <v>0</v>
      </c>
      <c r="AB7539" s="21">
        <v>0</v>
      </c>
      <c r="AC7539" s="21">
        <v>0</v>
      </c>
      <c r="AD7539" s="21">
        <v>0</v>
      </c>
      <c r="AE7539" s="21">
        <v>0</v>
      </c>
      <c r="AF7539" s="21">
        <v>0</v>
      </c>
      <c r="AG7539" s="21">
        <v>0</v>
      </c>
      <c r="AH7539" s="21">
        <f t="shared" si="142"/>
        <v>256</v>
      </c>
      <c r="AI7539" s="21"/>
      <c r="AJ7539" s="21" t="s">
        <v>51</v>
      </c>
      <c r="AK7539" s="21" t="s">
        <v>95</v>
      </c>
      <c r="AL7539" s="21" t="s">
        <v>3204</v>
      </c>
      <c r="AM7539" s="21" t="s">
        <v>3205</v>
      </c>
      <c r="AN7539" s="21">
        <v>-122.42264048993999</v>
      </c>
      <c r="AO7539" s="21">
        <v>37.781936246445902</v>
      </c>
      <c r="AP7539" s="21" t="s">
        <v>1915</v>
      </c>
    </row>
    <row r="7540" spans="1:42">
      <c r="A7540" s="20">
        <v>43847</v>
      </c>
      <c r="B7540" s="21">
        <v>5</v>
      </c>
      <c r="C7540" s="21">
        <v>228</v>
      </c>
      <c r="D7540" s="21">
        <v>14444</v>
      </c>
      <c r="E7540" t="s">
        <v>112</v>
      </c>
      <c r="F7540" s="21" t="s">
        <v>104</v>
      </c>
      <c r="G7540" s="21">
        <v>2</v>
      </c>
      <c r="H7540" s="21">
        <v>14</v>
      </c>
      <c r="I7540" s="23" t="s">
        <v>3206</v>
      </c>
      <c r="J7540" s="21"/>
      <c r="K7540" s="21" t="s">
        <v>415</v>
      </c>
      <c r="L7540" s="21"/>
      <c r="M7540" s="21"/>
      <c r="N7540" s="21" t="s">
        <v>44</v>
      </c>
      <c r="O7540" s="21">
        <f>60+60+58</f>
        <v>178</v>
      </c>
      <c r="P7540" s="21"/>
      <c r="Q7540" s="21">
        <f t="shared" si="141"/>
        <v>1</v>
      </c>
      <c r="R7540" s="21">
        <v>1</v>
      </c>
      <c r="S7540" s="21">
        <v>0</v>
      </c>
      <c r="T7540" s="21">
        <v>0</v>
      </c>
      <c r="U7540" s="21">
        <v>0</v>
      </c>
      <c r="V7540" s="21">
        <v>0</v>
      </c>
      <c r="W7540" s="21">
        <v>1</v>
      </c>
      <c r="X7540" s="21">
        <v>0</v>
      </c>
      <c r="Y7540" s="21">
        <v>0</v>
      </c>
      <c r="Z7540" s="21">
        <v>0</v>
      </c>
      <c r="AA7540" s="21">
        <v>0</v>
      </c>
      <c r="AB7540" s="21">
        <v>0</v>
      </c>
      <c r="AC7540" s="21">
        <v>0</v>
      </c>
      <c r="AD7540" s="21">
        <v>0</v>
      </c>
      <c r="AE7540" s="21">
        <v>0</v>
      </c>
      <c r="AF7540" s="21">
        <v>0</v>
      </c>
      <c r="AG7540" s="21">
        <v>0</v>
      </c>
      <c r="AH7540" s="21">
        <f t="shared" si="142"/>
        <v>96</v>
      </c>
      <c r="AI7540" s="21"/>
      <c r="AJ7540" s="21" t="s">
        <v>54</v>
      </c>
      <c r="AK7540" s="21" t="s">
        <v>95</v>
      </c>
      <c r="AL7540" s="21" t="s">
        <v>3207</v>
      </c>
      <c r="AM7540" s="21" t="s">
        <v>3208</v>
      </c>
      <c r="AN7540" s="21">
        <v>-122.420738266667</v>
      </c>
      <c r="AO7540" s="21">
        <v>37.782216583333302</v>
      </c>
      <c r="AP7540" s="21" t="s">
        <v>1915</v>
      </c>
    </row>
    <row r="7541" spans="1:42">
      <c r="A7541" s="20">
        <v>43847</v>
      </c>
      <c r="B7541" s="21">
        <v>5</v>
      </c>
      <c r="C7541" s="21">
        <v>228</v>
      </c>
      <c r="D7541" s="21">
        <v>14444</v>
      </c>
      <c r="E7541" t="s">
        <v>112</v>
      </c>
      <c r="F7541" s="21" t="s">
        <v>104</v>
      </c>
      <c r="G7541" s="21">
        <v>2</v>
      </c>
      <c r="H7541" s="21">
        <v>15</v>
      </c>
      <c r="I7541" s="23" t="s">
        <v>3209</v>
      </c>
      <c r="J7541" s="21"/>
      <c r="K7541" s="21" t="s">
        <v>96</v>
      </c>
      <c r="L7541" s="21"/>
      <c r="M7541" s="21"/>
      <c r="N7541" s="21" t="s">
        <v>40</v>
      </c>
      <c r="O7541" s="21">
        <f>60+5</f>
        <v>65</v>
      </c>
      <c r="P7541" s="21"/>
      <c r="Q7541" s="21">
        <f t="shared" si="141"/>
        <v>1</v>
      </c>
      <c r="R7541" s="21">
        <v>1</v>
      </c>
      <c r="S7541" s="21">
        <v>0</v>
      </c>
      <c r="T7541" s="21">
        <v>0</v>
      </c>
      <c r="U7541" s="21">
        <v>0</v>
      </c>
      <c r="V7541" s="21">
        <v>0</v>
      </c>
      <c r="W7541" s="21">
        <v>0</v>
      </c>
      <c r="X7541" s="21">
        <v>1</v>
      </c>
      <c r="Y7541" s="21">
        <v>0</v>
      </c>
      <c r="Z7541" s="21">
        <v>0</v>
      </c>
      <c r="AA7541" s="21">
        <v>0</v>
      </c>
      <c r="AB7541" s="21">
        <v>0</v>
      </c>
      <c r="AC7541" s="21">
        <v>0</v>
      </c>
      <c r="AD7541" s="21">
        <v>0</v>
      </c>
      <c r="AE7541" s="21">
        <v>0</v>
      </c>
      <c r="AF7541" s="21">
        <v>0</v>
      </c>
      <c r="AG7541" s="21">
        <v>0</v>
      </c>
      <c r="AH7541" s="21">
        <f t="shared" si="142"/>
        <v>0</v>
      </c>
      <c r="AI7541" s="21"/>
      <c r="AJ7541" s="21"/>
      <c r="AK7541" s="21"/>
      <c r="AL7541" s="21" t="s">
        <v>3210</v>
      </c>
      <c r="AM7541" s="21" t="s">
        <v>3211</v>
      </c>
      <c r="AN7541" s="21">
        <v>-122.42084800000001</v>
      </c>
      <c r="AO7541" s="21">
        <v>37.7819470833333</v>
      </c>
      <c r="AP7541" s="21" t="s">
        <v>1915</v>
      </c>
    </row>
    <row r="7542" spans="1:42">
      <c r="A7542" s="20">
        <v>43847</v>
      </c>
      <c r="B7542" s="21">
        <v>5</v>
      </c>
      <c r="C7542" s="21">
        <v>228</v>
      </c>
      <c r="D7542" s="21">
        <v>14444</v>
      </c>
      <c r="E7542" t="s">
        <v>112</v>
      </c>
      <c r="F7542" s="21" t="s">
        <v>104</v>
      </c>
      <c r="G7542" s="21">
        <v>2</v>
      </c>
      <c r="H7542" s="21">
        <v>16</v>
      </c>
      <c r="I7542" s="23" t="s">
        <v>3209</v>
      </c>
      <c r="J7542" s="21"/>
      <c r="K7542" s="21" t="s">
        <v>96</v>
      </c>
      <c r="L7542" s="21"/>
      <c r="M7542" s="21"/>
      <c r="N7542" s="21" t="s">
        <v>1703</v>
      </c>
      <c r="O7542" s="21">
        <f>60+11</f>
        <v>71</v>
      </c>
      <c r="P7542" s="21"/>
      <c r="Q7542" s="21">
        <f t="shared" si="141"/>
        <v>2</v>
      </c>
      <c r="R7542" s="21">
        <v>1</v>
      </c>
      <c r="S7542" s="21">
        <v>0</v>
      </c>
      <c r="T7542" s="21">
        <v>0</v>
      </c>
      <c r="U7542" s="21">
        <v>0</v>
      </c>
      <c r="V7542" s="21">
        <v>0</v>
      </c>
      <c r="W7542" s="21">
        <v>2</v>
      </c>
      <c r="X7542" s="21">
        <v>0</v>
      </c>
      <c r="Y7542" s="21">
        <v>0</v>
      </c>
      <c r="Z7542" s="21">
        <v>0</v>
      </c>
      <c r="AA7542" s="21">
        <v>0</v>
      </c>
      <c r="AB7542" s="21">
        <v>0</v>
      </c>
      <c r="AC7542" s="21">
        <v>0</v>
      </c>
      <c r="AD7542" s="21">
        <v>0</v>
      </c>
      <c r="AE7542" s="21">
        <v>0</v>
      </c>
      <c r="AF7542" s="21">
        <v>0</v>
      </c>
      <c r="AG7542" s="21">
        <v>0</v>
      </c>
      <c r="AH7542" s="21">
        <f t="shared" si="142"/>
        <v>192</v>
      </c>
      <c r="AI7542" s="21"/>
      <c r="AJ7542" s="21"/>
      <c r="AK7542" s="21" t="s">
        <v>95</v>
      </c>
      <c r="AL7542" s="21" t="s">
        <v>3212</v>
      </c>
      <c r="AM7542" s="21" t="s">
        <v>3213</v>
      </c>
      <c r="AN7542" s="21">
        <v>-122.42141126666699</v>
      </c>
      <c r="AO7542" s="21">
        <v>37.7820027333333</v>
      </c>
      <c r="AP7542" s="21" t="s">
        <v>1915</v>
      </c>
    </row>
    <row r="7543" spans="1:42">
      <c r="A7543" s="20">
        <v>43847</v>
      </c>
      <c r="B7543" s="21">
        <v>5</v>
      </c>
      <c r="C7543" s="21">
        <v>228</v>
      </c>
      <c r="D7543" s="21">
        <v>14444</v>
      </c>
      <c r="E7543" t="s">
        <v>112</v>
      </c>
      <c r="F7543" s="21" t="s">
        <v>104</v>
      </c>
      <c r="G7543" s="21">
        <v>2</v>
      </c>
      <c r="H7543" s="21">
        <v>17</v>
      </c>
      <c r="I7543" s="23" t="s">
        <v>3214</v>
      </c>
      <c r="J7543" s="21"/>
      <c r="K7543" s="21" t="s">
        <v>3215</v>
      </c>
      <c r="L7543" s="21"/>
      <c r="M7543" s="21"/>
      <c r="N7543" s="21" t="s">
        <v>44</v>
      </c>
      <c r="O7543" s="21">
        <f>60+60+4</f>
        <v>124</v>
      </c>
      <c r="P7543" s="21"/>
      <c r="Q7543" s="21">
        <f t="shared" si="141"/>
        <v>2</v>
      </c>
      <c r="R7543" s="21">
        <v>1</v>
      </c>
      <c r="S7543" s="21">
        <v>0</v>
      </c>
      <c r="T7543" s="21">
        <v>0</v>
      </c>
      <c r="U7543" s="21">
        <v>0</v>
      </c>
      <c r="V7543" s="21">
        <v>0</v>
      </c>
      <c r="W7543" s="21">
        <v>2</v>
      </c>
      <c r="X7543" s="21">
        <v>0</v>
      </c>
      <c r="Y7543" s="21">
        <v>0</v>
      </c>
      <c r="Z7543" s="21">
        <v>0</v>
      </c>
      <c r="AA7543" s="21">
        <v>0</v>
      </c>
      <c r="AB7543" s="21">
        <v>0</v>
      </c>
      <c r="AC7543" s="21">
        <v>0</v>
      </c>
      <c r="AD7543" s="21">
        <v>0</v>
      </c>
      <c r="AE7543" s="21">
        <v>0</v>
      </c>
      <c r="AF7543" s="21">
        <v>0</v>
      </c>
      <c r="AG7543" s="21">
        <v>0</v>
      </c>
      <c r="AH7543" s="21">
        <f t="shared" si="142"/>
        <v>192</v>
      </c>
      <c r="AI7543" s="21"/>
      <c r="AJ7543" s="21" t="s">
        <v>54</v>
      </c>
      <c r="AK7543" s="21" t="s">
        <v>95</v>
      </c>
      <c r="AL7543" s="21" t="s">
        <v>3216</v>
      </c>
      <c r="AM7543" s="21" t="s">
        <v>3217</v>
      </c>
      <c r="AN7543" s="21">
        <v>-122.421983966667</v>
      </c>
      <c r="AO7543" s="21">
        <v>37.783340750000001</v>
      </c>
      <c r="AP7543" s="21" t="s">
        <v>1915</v>
      </c>
    </row>
    <row r="7544" spans="1:42">
      <c r="A7544" s="20">
        <v>43847</v>
      </c>
      <c r="B7544" s="21">
        <v>5</v>
      </c>
      <c r="C7544" s="21">
        <v>228</v>
      </c>
      <c r="D7544" s="21">
        <v>14444</v>
      </c>
      <c r="E7544" t="s">
        <v>112</v>
      </c>
      <c r="F7544" s="21" t="s">
        <v>104</v>
      </c>
      <c r="G7544" s="21">
        <v>2</v>
      </c>
      <c r="H7544" s="21">
        <v>18</v>
      </c>
      <c r="I7544" s="23" t="s">
        <v>3218</v>
      </c>
      <c r="J7544" s="21"/>
      <c r="K7544" s="21" t="s">
        <v>415</v>
      </c>
      <c r="L7544" s="21"/>
      <c r="M7544" s="21"/>
      <c r="N7544" s="21"/>
      <c r="O7544" s="21">
        <f>60+42</f>
        <v>102</v>
      </c>
      <c r="P7544" s="21"/>
      <c r="Q7544" s="21">
        <f t="shared" si="141"/>
        <v>4</v>
      </c>
      <c r="R7544" s="21">
        <v>1</v>
      </c>
      <c r="S7544" s="21">
        <v>0</v>
      </c>
      <c r="T7544" s="21">
        <v>0</v>
      </c>
      <c r="U7544" s="21">
        <v>0</v>
      </c>
      <c r="V7544" s="21">
        <v>4</v>
      </c>
      <c r="W7544" s="21">
        <v>0</v>
      </c>
      <c r="X7544" s="21">
        <v>0</v>
      </c>
      <c r="Y7544" s="21">
        <v>0</v>
      </c>
      <c r="Z7544" s="21">
        <v>0</v>
      </c>
      <c r="AA7544" s="21">
        <v>0</v>
      </c>
      <c r="AB7544" s="21">
        <v>0</v>
      </c>
      <c r="AC7544" s="21">
        <v>0</v>
      </c>
      <c r="AD7544" s="21">
        <v>0</v>
      </c>
      <c r="AE7544" s="21">
        <v>0</v>
      </c>
      <c r="AF7544" s="21">
        <v>0</v>
      </c>
      <c r="AG7544" s="21">
        <v>0</v>
      </c>
      <c r="AH7544" s="21">
        <f t="shared" si="142"/>
        <v>256</v>
      </c>
      <c r="AI7544" s="21"/>
      <c r="AJ7544" s="21" t="s">
        <v>51</v>
      </c>
      <c r="AK7544" s="21" t="s">
        <v>95</v>
      </c>
      <c r="AL7544" s="21" t="s">
        <v>3219</v>
      </c>
      <c r="AM7544" s="21" t="s">
        <v>3220</v>
      </c>
      <c r="AN7544" s="21">
        <v>-122.42108001666701</v>
      </c>
      <c r="AO7544" s="21">
        <v>37.7831415333333</v>
      </c>
      <c r="AP7544" s="21" t="s">
        <v>1915</v>
      </c>
    </row>
    <row r="7545" spans="1:42">
      <c r="A7545" s="20">
        <v>43847</v>
      </c>
      <c r="B7545" s="21">
        <v>5</v>
      </c>
      <c r="C7545" s="21">
        <v>228</v>
      </c>
      <c r="D7545" s="21">
        <v>14444</v>
      </c>
      <c r="E7545" t="s">
        <v>112</v>
      </c>
      <c r="F7545" s="21" t="s">
        <v>104</v>
      </c>
      <c r="G7545" s="21">
        <v>2</v>
      </c>
      <c r="H7545" s="21">
        <v>19</v>
      </c>
      <c r="I7545" s="23" t="s">
        <v>3221</v>
      </c>
      <c r="J7545" s="21"/>
      <c r="K7545" s="21" t="s">
        <v>94</v>
      </c>
      <c r="L7545" s="21"/>
      <c r="M7545" s="21"/>
      <c r="N7545" s="21" t="s">
        <v>42</v>
      </c>
      <c r="O7545" s="21">
        <f>60+25</f>
        <v>85</v>
      </c>
      <c r="P7545" s="21"/>
      <c r="Q7545" s="21">
        <f t="shared" si="141"/>
        <v>2</v>
      </c>
      <c r="R7545" s="21">
        <v>1</v>
      </c>
      <c r="S7545" s="21">
        <v>0</v>
      </c>
      <c r="T7545" s="21">
        <v>0</v>
      </c>
      <c r="U7545" s="21">
        <v>0</v>
      </c>
      <c r="V7545" s="21">
        <v>2</v>
      </c>
      <c r="W7545" s="21">
        <v>0</v>
      </c>
      <c r="X7545" s="21">
        <v>0</v>
      </c>
      <c r="Y7545" s="21">
        <v>0</v>
      </c>
      <c r="Z7545" s="21">
        <v>0</v>
      </c>
      <c r="AA7545" s="21">
        <v>0</v>
      </c>
      <c r="AB7545" s="21">
        <v>0</v>
      </c>
      <c r="AC7545" s="21">
        <v>0</v>
      </c>
      <c r="AD7545" s="21">
        <v>0</v>
      </c>
      <c r="AE7545" s="21">
        <v>0</v>
      </c>
      <c r="AF7545" s="21">
        <v>0</v>
      </c>
      <c r="AG7545" s="21">
        <v>0</v>
      </c>
      <c r="AH7545" s="21">
        <f t="shared" si="142"/>
        <v>128</v>
      </c>
      <c r="AI7545" s="21"/>
      <c r="AJ7545" s="21" t="s">
        <v>51</v>
      </c>
      <c r="AK7545" s="21" t="s">
        <v>52</v>
      </c>
      <c r="AL7545" s="21"/>
      <c r="AM7545" s="21" t="s">
        <v>3222</v>
      </c>
      <c r="AN7545" s="21">
        <v>-122.42135445</v>
      </c>
      <c r="AO7545" s="21">
        <v>37.782832716666697</v>
      </c>
      <c r="AP7545" s="21" t="s">
        <v>1915</v>
      </c>
    </row>
    <row r="7546" spans="1:42">
      <c r="A7546" s="20">
        <v>43847</v>
      </c>
      <c r="B7546" s="21">
        <v>5</v>
      </c>
      <c r="C7546" s="21">
        <v>228</v>
      </c>
      <c r="D7546" s="21">
        <v>14444</v>
      </c>
      <c r="E7546" t="s">
        <v>112</v>
      </c>
      <c r="F7546" s="21" t="s">
        <v>104</v>
      </c>
      <c r="G7546" s="21">
        <v>2</v>
      </c>
      <c r="H7546" s="21">
        <v>20</v>
      </c>
      <c r="I7546" s="23" t="s">
        <v>3223</v>
      </c>
      <c r="J7546" s="21"/>
      <c r="K7546" s="21" t="s">
        <v>94</v>
      </c>
      <c r="L7546" s="21"/>
      <c r="M7546" s="21"/>
      <c r="N7546" s="21" t="s">
        <v>44</v>
      </c>
      <c r="O7546" s="21">
        <f>60+45</f>
        <v>105</v>
      </c>
      <c r="P7546" s="21"/>
      <c r="Q7546" s="21">
        <f t="shared" si="141"/>
        <v>1</v>
      </c>
      <c r="R7546" s="21">
        <v>1</v>
      </c>
      <c r="S7546" s="21">
        <v>0</v>
      </c>
      <c r="T7546" s="21">
        <v>0</v>
      </c>
      <c r="U7546" s="21">
        <v>0</v>
      </c>
      <c r="V7546" s="21">
        <v>0</v>
      </c>
      <c r="W7546" s="21">
        <v>1</v>
      </c>
      <c r="X7546" s="21">
        <v>0</v>
      </c>
      <c r="Y7546" s="21">
        <v>0</v>
      </c>
      <c r="Z7546" s="21">
        <v>0</v>
      </c>
      <c r="AA7546" s="21">
        <v>0</v>
      </c>
      <c r="AB7546" s="21">
        <v>0</v>
      </c>
      <c r="AC7546" s="21">
        <v>0</v>
      </c>
      <c r="AD7546" s="21">
        <v>0</v>
      </c>
      <c r="AE7546" s="21">
        <v>0</v>
      </c>
      <c r="AF7546" s="21">
        <v>0</v>
      </c>
      <c r="AG7546" s="21">
        <v>0</v>
      </c>
      <c r="AH7546" s="21">
        <f t="shared" si="142"/>
        <v>96</v>
      </c>
      <c r="AI7546" s="21"/>
      <c r="AJ7546" s="21"/>
      <c r="AK7546" s="21"/>
      <c r="AL7546" s="21" t="s">
        <v>2292</v>
      </c>
      <c r="AM7546" s="21" t="s">
        <v>3224</v>
      </c>
      <c r="AN7546" s="21">
        <v>-122.421625483333</v>
      </c>
      <c r="AO7546" s="21">
        <v>37.782780616666699</v>
      </c>
      <c r="AP7546" s="21" t="s">
        <v>1915</v>
      </c>
    </row>
    <row r="7547" spans="1:42">
      <c r="A7547" s="20">
        <v>43847</v>
      </c>
      <c r="B7547" s="21">
        <v>5</v>
      </c>
      <c r="C7547" s="21">
        <v>228</v>
      </c>
      <c r="D7547" s="21">
        <v>14444</v>
      </c>
      <c r="E7547" t="s">
        <v>112</v>
      </c>
      <c r="F7547" s="21" t="s">
        <v>104</v>
      </c>
      <c r="G7547" s="21">
        <v>2</v>
      </c>
      <c r="H7547" s="21">
        <v>21</v>
      </c>
      <c r="I7547" s="23" t="s">
        <v>3225</v>
      </c>
      <c r="J7547" s="21"/>
      <c r="K7547" s="21" t="s">
        <v>631</v>
      </c>
      <c r="L7547" s="21"/>
      <c r="M7547" s="21"/>
      <c r="N7547" s="21" t="s">
        <v>40</v>
      </c>
      <c r="O7547" s="21">
        <v>51</v>
      </c>
      <c r="P7547" s="21"/>
      <c r="Q7547" s="21">
        <f t="shared" si="141"/>
        <v>2</v>
      </c>
      <c r="R7547" s="21">
        <v>1</v>
      </c>
      <c r="S7547" s="21">
        <v>0</v>
      </c>
      <c r="T7547" s="21">
        <v>0</v>
      </c>
      <c r="U7547" s="21">
        <v>2</v>
      </c>
      <c r="V7547" s="21">
        <v>0</v>
      </c>
      <c r="W7547" s="21">
        <v>0</v>
      </c>
      <c r="X7547" s="21">
        <v>0</v>
      </c>
      <c r="Y7547" s="21">
        <v>0</v>
      </c>
      <c r="Z7547" s="21">
        <v>0</v>
      </c>
      <c r="AA7547" s="21">
        <v>0</v>
      </c>
      <c r="AB7547" s="21">
        <v>0</v>
      </c>
      <c r="AC7547" s="21">
        <v>0</v>
      </c>
      <c r="AD7547" s="21">
        <v>0</v>
      </c>
      <c r="AE7547" s="21">
        <v>0</v>
      </c>
      <c r="AF7547" s="21">
        <v>0</v>
      </c>
      <c r="AG7547" s="21">
        <v>0</v>
      </c>
      <c r="AH7547" s="21">
        <f t="shared" si="142"/>
        <v>64</v>
      </c>
      <c r="AI7547" s="21"/>
      <c r="AJ7547" s="21" t="s">
        <v>51</v>
      </c>
      <c r="AK7547" s="21" t="s">
        <v>95</v>
      </c>
      <c r="AL7547" s="21"/>
      <c r="AM7547" s="21" t="s">
        <v>3226</v>
      </c>
      <c r="AN7547" s="21">
        <v>-122.42263869999999</v>
      </c>
      <c r="AO7547" s="21">
        <v>37.783672733333297</v>
      </c>
      <c r="AP7547" s="21" t="s">
        <v>1915</v>
      </c>
    </row>
    <row r="7548" spans="1:42">
      <c r="A7548" s="20">
        <v>43847</v>
      </c>
      <c r="B7548" s="21">
        <v>5</v>
      </c>
      <c r="C7548" s="21">
        <v>228</v>
      </c>
      <c r="D7548" s="21">
        <v>14444</v>
      </c>
      <c r="E7548" t="s">
        <v>112</v>
      </c>
      <c r="F7548" s="21" t="s">
        <v>104</v>
      </c>
      <c r="G7548" s="21">
        <v>2</v>
      </c>
      <c r="H7548" s="21">
        <v>22</v>
      </c>
      <c r="I7548" s="23" t="s">
        <v>3227</v>
      </c>
      <c r="J7548" s="21"/>
      <c r="K7548" s="21" t="s">
        <v>631</v>
      </c>
      <c r="L7548" s="21"/>
      <c r="M7548" s="21"/>
      <c r="N7548" s="21" t="s">
        <v>44</v>
      </c>
      <c r="O7548" s="21">
        <f>60+2</f>
        <v>62</v>
      </c>
      <c r="P7548" s="21"/>
      <c r="Q7548" s="21">
        <f t="shared" si="141"/>
        <v>1</v>
      </c>
      <c r="R7548" s="21">
        <v>1</v>
      </c>
      <c r="S7548" s="21">
        <v>0</v>
      </c>
      <c r="T7548" s="21">
        <v>0</v>
      </c>
      <c r="U7548" s="21">
        <v>0</v>
      </c>
      <c r="V7548" s="21">
        <v>1</v>
      </c>
      <c r="W7548" s="21">
        <v>0</v>
      </c>
      <c r="X7548" s="21">
        <v>0</v>
      </c>
      <c r="Y7548" s="21">
        <v>0</v>
      </c>
      <c r="Z7548" s="21">
        <v>0</v>
      </c>
      <c r="AA7548" s="21">
        <v>0</v>
      </c>
      <c r="AB7548" s="21">
        <v>0</v>
      </c>
      <c r="AC7548" s="21">
        <v>0</v>
      </c>
      <c r="AD7548" s="21">
        <v>0</v>
      </c>
      <c r="AE7548" s="21">
        <v>0</v>
      </c>
      <c r="AF7548" s="21">
        <v>0</v>
      </c>
      <c r="AG7548" s="21">
        <v>0</v>
      </c>
      <c r="AH7548" s="21">
        <f t="shared" si="142"/>
        <v>64</v>
      </c>
      <c r="AI7548" s="21"/>
      <c r="AJ7548" s="21"/>
      <c r="AK7548" s="21"/>
      <c r="AL7548" s="21" t="s">
        <v>3228</v>
      </c>
      <c r="AM7548" s="21" t="s">
        <v>3229</v>
      </c>
      <c r="AN7548" s="21">
        <v>-122.422688366667</v>
      </c>
      <c r="AO7548" s="21">
        <v>37.784140333333298</v>
      </c>
      <c r="AP7548" s="21" t="s">
        <v>1915</v>
      </c>
    </row>
    <row r="7549" spans="1:42">
      <c r="A7549" s="20">
        <v>43847</v>
      </c>
      <c r="B7549" s="21">
        <v>5</v>
      </c>
      <c r="C7549" s="21">
        <v>228</v>
      </c>
      <c r="D7549" s="21">
        <v>14444</v>
      </c>
      <c r="E7549" t="s">
        <v>112</v>
      </c>
      <c r="F7549" s="21" t="s">
        <v>104</v>
      </c>
      <c r="G7549" s="21">
        <v>2</v>
      </c>
      <c r="H7549" s="21">
        <v>23</v>
      </c>
      <c r="I7549" s="23" t="s">
        <v>3230</v>
      </c>
      <c r="J7549" s="21"/>
      <c r="K7549" s="21" t="s">
        <v>631</v>
      </c>
      <c r="L7549" s="21"/>
      <c r="M7549" s="21"/>
      <c r="N7549" s="21" t="s">
        <v>44</v>
      </c>
      <c r="O7549" s="21">
        <f>60+9</f>
        <v>69</v>
      </c>
      <c r="P7549" s="21"/>
      <c r="Q7549" s="21">
        <f t="shared" si="141"/>
        <v>2</v>
      </c>
      <c r="R7549" s="21">
        <v>1</v>
      </c>
      <c r="S7549" s="21">
        <v>0</v>
      </c>
      <c r="T7549" s="21">
        <v>0</v>
      </c>
      <c r="U7549" s="21">
        <v>0</v>
      </c>
      <c r="V7549" s="21">
        <v>0</v>
      </c>
      <c r="W7549" s="21">
        <v>2</v>
      </c>
      <c r="X7549" s="21">
        <v>0</v>
      </c>
      <c r="Y7549" s="21">
        <v>0</v>
      </c>
      <c r="Z7549" s="21">
        <v>0</v>
      </c>
      <c r="AA7549" s="21">
        <v>0</v>
      </c>
      <c r="AB7549" s="21">
        <v>0</v>
      </c>
      <c r="AC7549" s="21">
        <v>0</v>
      </c>
      <c r="AD7549" s="21">
        <v>0</v>
      </c>
      <c r="AE7549" s="21">
        <v>0</v>
      </c>
      <c r="AF7549" s="21">
        <v>0</v>
      </c>
      <c r="AG7549" s="21">
        <v>0</v>
      </c>
      <c r="AH7549" s="21">
        <f t="shared" si="142"/>
        <v>192</v>
      </c>
      <c r="AI7549" s="21"/>
      <c r="AJ7549" s="21"/>
      <c r="AK7549" s="21"/>
      <c r="AL7549" s="21"/>
      <c r="AM7549" s="21" t="s">
        <v>3231</v>
      </c>
      <c r="AN7549" s="21">
        <v>-122.422414783333</v>
      </c>
      <c r="AO7549" s="21">
        <v>37.784560966666596</v>
      </c>
      <c r="AP7549" s="21" t="s">
        <v>1915</v>
      </c>
    </row>
    <row r="7550" spans="1:42">
      <c r="A7550" s="20">
        <v>43847</v>
      </c>
      <c r="B7550" s="21">
        <v>5</v>
      </c>
      <c r="C7550" s="21">
        <v>228</v>
      </c>
      <c r="D7550" s="21">
        <v>14444</v>
      </c>
      <c r="E7550" t="s">
        <v>112</v>
      </c>
      <c r="F7550" s="21" t="s">
        <v>104</v>
      </c>
      <c r="G7550" s="21">
        <v>2</v>
      </c>
      <c r="H7550" s="21">
        <v>24</v>
      </c>
      <c r="I7550" s="23" t="s">
        <v>3232</v>
      </c>
      <c r="J7550" s="21"/>
      <c r="K7550" s="21" t="s">
        <v>98</v>
      </c>
      <c r="L7550" s="21"/>
      <c r="M7550" s="21"/>
      <c r="N7550" s="21" t="s">
        <v>44</v>
      </c>
      <c r="O7550" s="21">
        <f>60+39</f>
        <v>99</v>
      </c>
      <c r="P7550" s="21"/>
      <c r="Q7550" s="21">
        <f t="shared" si="141"/>
        <v>1</v>
      </c>
      <c r="R7550" s="21">
        <v>1</v>
      </c>
      <c r="S7550" s="21">
        <v>0</v>
      </c>
      <c r="T7550" s="21">
        <v>0</v>
      </c>
      <c r="U7550" s="21">
        <v>0</v>
      </c>
      <c r="V7550" s="21">
        <v>0</v>
      </c>
      <c r="W7550" s="21">
        <v>1</v>
      </c>
      <c r="X7550" s="21">
        <v>0</v>
      </c>
      <c r="Y7550" s="21">
        <v>0</v>
      </c>
      <c r="Z7550" s="21">
        <v>0</v>
      </c>
      <c r="AA7550" s="21">
        <v>0</v>
      </c>
      <c r="AB7550" s="21">
        <v>0</v>
      </c>
      <c r="AC7550" s="21">
        <v>0</v>
      </c>
      <c r="AD7550" s="21">
        <v>0</v>
      </c>
      <c r="AE7550" s="21">
        <v>0</v>
      </c>
      <c r="AF7550" s="21">
        <v>0</v>
      </c>
      <c r="AG7550" s="21">
        <v>0</v>
      </c>
      <c r="AH7550" s="21">
        <f t="shared" si="142"/>
        <v>96</v>
      </c>
      <c r="AI7550" s="21"/>
      <c r="AJ7550" s="21"/>
      <c r="AK7550" s="21"/>
      <c r="AL7550" s="21" t="s">
        <v>3233</v>
      </c>
      <c r="AM7550" s="21" t="s">
        <v>3234</v>
      </c>
      <c r="AN7550" s="21">
        <v>-122.422860198997</v>
      </c>
      <c r="AO7550" s="21">
        <v>37.7856128269515</v>
      </c>
      <c r="AP7550" s="21" t="s">
        <v>1915</v>
      </c>
    </row>
    <row r="7551" spans="1:42">
      <c r="A7551" s="20">
        <v>43847</v>
      </c>
      <c r="B7551" s="21">
        <v>5</v>
      </c>
      <c r="C7551" s="21">
        <v>228</v>
      </c>
      <c r="D7551" s="21">
        <v>14444</v>
      </c>
      <c r="E7551" t="s">
        <v>112</v>
      </c>
      <c r="F7551" s="21" t="s">
        <v>104</v>
      </c>
      <c r="G7551" s="21">
        <v>2</v>
      </c>
      <c r="H7551" s="21">
        <v>25</v>
      </c>
      <c r="I7551" s="23" t="s">
        <v>3235</v>
      </c>
      <c r="J7551" s="21"/>
      <c r="K7551" s="21" t="s">
        <v>415</v>
      </c>
      <c r="L7551" s="21"/>
      <c r="M7551" s="21"/>
      <c r="N7551" s="21" t="s">
        <v>44</v>
      </c>
      <c r="O7551" s="21">
        <f>60+13</f>
        <v>73</v>
      </c>
      <c r="P7551" s="21"/>
      <c r="Q7551" s="21">
        <f t="shared" si="141"/>
        <v>2</v>
      </c>
      <c r="R7551" s="21">
        <v>1</v>
      </c>
      <c r="S7551" s="21">
        <v>0</v>
      </c>
      <c r="T7551" s="21">
        <v>0</v>
      </c>
      <c r="U7551" s="21">
        <v>2</v>
      </c>
      <c r="V7551" s="21">
        <v>0</v>
      </c>
      <c r="W7551" s="21">
        <v>0</v>
      </c>
      <c r="X7551" s="21">
        <v>0</v>
      </c>
      <c r="Y7551" s="21">
        <v>0</v>
      </c>
      <c r="Z7551" s="21">
        <v>0</v>
      </c>
      <c r="AA7551" s="21">
        <v>0</v>
      </c>
      <c r="AB7551" s="21">
        <v>0</v>
      </c>
      <c r="AC7551" s="21">
        <v>0</v>
      </c>
      <c r="AD7551" s="21">
        <v>0</v>
      </c>
      <c r="AE7551" s="21">
        <v>0</v>
      </c>
      <c r="AF7551" s="21">
        <v>0</v>
      </c>
      <c r="AG7551" s="21">
        <v>0</v>
      </c>
      <c r="AH7551" s="21">
        <f t="shared" si="142"/>
        <v>64</v>
      </c>
      <c r="AI7551" s="21"/>
      <c r="AJ7551" s="21" t="s">
        <v>54</v>
      </c>
      <c r="AK7551" s="21" t="s">
        <v>95</v>
      </c>
      <c r="AL7551" s="21" t="s">
        <v>1957</v>
      </c>
      <c r="AM7551" s="21" t="s">
        <v>3236</v>
      </c>
      <c r="AN7551" s="21">
        <v>-122.421929416667</v>
      </c>
      <c r="AO7551" s="21">
        <v>37.785090566666703</v>
      </c>
      <c r="AP7551" s="21" t="s">
        <v>1915</v>
      </c>
    </row>
    <row r="7552" spans="1:42">
      <c r="A7552" s="20">
        <v>43847</v>
      </c>
      <c r="B7552" s="21">
        <v>5</v>
      </c>
      <c r="C7552" s="21">
        <v>228</v>
      </c>
      <c r="D7552" s="21">
        <v>14444</v>
      </c>
      <c r="E7552" t="s">
        <v>112</v>
      </c>
      <c r="F7552" s="21" t="s">
        <v>104</v>
      </c>
      <c r="G7552" s="21">
        <v>2</v>
      </c>
      <c r="H7552" s="21">
        <v>26</v>
      </c>
      <c r="I7552" s="23" t="s">
        <v>3225</v>
      </c>
      <c r="J7552" s="21"/>
      <c r="K7552" s="21" t="s">
        <v>74</v>
      </c>
      <c r="L7552" s="21"/>
      <c r="M7552" s="21"/>
      <c r="N7552" s="21" t="s">
        <v>40</v>
      </c>
      <c r="O7552" s="21">
        <f>60+60+12</f>
        <v>132</v>
      </c>
      <c r="P7552" s="21"/>
      <c r="Q7552" s="21">
        <f t="shared" ref="Q7552:Q7615" si="143">SUM(S7552:AE7552)</f>
        <v>4</v>
      </c>
      <c r="R7552" s="21">
        <v>1</v>
      </c>
      <c r="S7552" s="21">
        <v>0</v>
      </c>
      <c r="T7552" s="21">
        <v>0</v>
      </c>
      <c r="U7552" s="21">
        <v>2</v>
      </c>
      <c r="V7552" s="21">
        <v>1</v>
      </c>
      <c r="W7552" s="21">
        <v>1</v>
      </c>
      <c r="X7552" s="21">
        <v>0</v>
      </c>
      <c r="Y7552" s="21">
        <v>0</v>
      </c>
      <c r="Z7552" s="21">
        <v>0</v>
      </c>
      <c r="AA7552" s="21">
        <v>0</v>
      </c>
      <c r="AB7552" s="21">
        <v>0</v>
      </c>
      <c r="AC7552" s="21">
        <v>0</v>
      </c>
      <c r="AD7552" s="21">
        <v>0</v>
      </c>
      <c r="AE7552" s="21">
        <v>0</v>
      </c>
      <c r="AF7552" s="21">
        <v>0</v>
      </c>
      <c r="AG7552" s="21">
        <v>2</v>
      </c>
      <c r="AH7552" s="21">
        <f t="shared" ref="AH7552:AH7615" si="144">(S7552*16)+(T7552*20)+(U7552*32)+(V7552*64)+(W7552*96)</f>
        <v>224</v>
      </c>
      <c r="AI7552" s="21"/>
      <c r="AJ7552" s="21" t="s">
        <v>54</v>
      </c>
      <c r="AK7552" s="21" t="s">
        <v>52</v>
      </c>
      <c r="AL7552" s="21" t="s">
        <v>3237</v>
      </c>
      <c r="AM7552" s="21" t="s">
        <v>3238</v>
      </c>
      <c r="AN7552" s="21">
        <v>-122.42169174999999</v>
      </c>
      <c r="AO7552" s="21">
        <v>37.785441566666599</v>
      </c>
      <c r="AP7552" s="21" t="s">
        <v>1915</v>
      </c>
    </row>
    <row r="7553" spans="1:42">
      <c r="A7553" s="20">
        <v>43847</v>
      </c>
      <c r="B7553" s="21">
        <v>5</v>
      </c>
      <c r="C7553" s="21">
        <v>228</v>
      </c>
      <c r="D7553" s="21">
        <v>14444</v>
      </c>
      <c r="E7553" t="s">
        <v>112</v>
      </c>
      <c r="F7553" s="21" t="s">
        <v>104</v>
      </c>
      <c r="G7553" s="21">
        <v>2</v>
      </c>
      <c r="H7553" s="21">
        <v>27</v>
      </c>
      <c r="I7553" s="23" t="s">
        <v>3239</v>
      </c>
      <c r="J7553" s="21"/>
      <c r="K7553" s="21" t="s">
        <v>638</v>
      </c>
      <c r="L7553" s="21"/>
      <c r="M7553" s="21"/>
      <c r="N7553" s="21" t="s">
        <v>44</v>
      </c>
      <c r="O7553" s="21">
        <f>60+30</f>
        <v>90</v>
      </c>
      <c r="P7553" s="21"/>
      <c r="Q7553" s="21">
        <f t="shared" si="143"/>
        <v>1</v>
      </c>
      <c r="R7553" s="21">
        <v>1</v>
      </c>
      <c r="S7553" s="21">
        <v>0</v>
      </c>
      <c r="T7553" s="21">
        <v>0</v>
      </c>
      <c r="U7553" s="21">
        <v>0</v>
      </c>
      <c r="V7553" s="21">
        <v>0</v>
      </c>
      <c r="W7553" s="21">
        <v>1</v>
      </c>
      <c r="X7553" s="21">
        <v>0</v>
      </c>
      <c r="Y7553" s="21">
        <v>0</v>
      </c>
      <c r="Z7553" s="21">
        <v>0</v>
      </c>
      <c r="AA7553" s="21">
        <v>0</v>
      </c>
      <c r="AB7553" s="21">
        <v>0</v>
      </c>
      <c r="AC7553" s="21">
        <v>0</v>
      </c>
      <c r="AD7553" s="21">
        <v>0</v>
      </c>
      <c r="AE7553" s="21">
        <v>0</v>
      </c>
      <c r="AF7553" s="21">
        <v>0</v>
      </c>
      <c r="AG7553" s="21">
        <v>0</v>
      </c>
      <c r="AH7553" s="21">
        <f t="shared" si="144"/>
        <v>96</v>
      </c>
      <c r="AI7553" s="21"/>
      <c r="AJ7553" s="21" t="s">
        <v>51</v>
      </c>
      <c r="AK7553" s="21"/>
      <c r="AL7553" s="21"/>
      <c r="AM7553" s="21" t="s">
        <v>3240</v>
      </c>
      <c r="AN7553" s="21">
        <v>-122.42463626666699</v>
      </c>
      <c r="AO7553" s="21">
        <v>37.785779816666597</v>
      </c>
      <c r="AP7553" s="21" t="s">
        <v>1915</v>
      </c>
    </row>
    <row r="7554" spans="1:42">
      <c r="A7554" s="20">
        <v>43847</v>
      </c>
      <c r="B7554" s="21">
        <v>5</v>
      </c>
      <c r="C7554" s="21">
        <v>228</v>
      </c>
      <c r="D7554" s="21">
        <v>14444</v>
      </c>
      <c r="E7554" t="s">
        <v>112</v>
      </c>
      <c r="F7554" s="21" t="s">
        <v>104</v>
      </c>
      <c r="G7554" s="21">
        <v>2</v>
      </c>
      <c r="H7554" s="21">
        <v>28</v>
      </c>
      <c r="I7554" s="23" t="s">
        <v>3241</v>
      </c>
      <c r="J7554" s="21"/>
      <c r="K7554" s="21" t="s">
        <v>638</v>
      </c>
      <c r="L7554" s="21"/>
      <c r="M7554" s="21"/>
      <c r="N7554" s="21" t="s">
        <v>44</v>
      </c>
      <c r="O7554" s="21">
        <f>60+60+29</f>
        <v>149</v>
      </c>
      <c r="P7554" s="21"/>
      <c r="Q7554" s="21">
        <f t="shared" si="143"/>
        <v>2</v>
      </c>
      <c r="R7554" s="21">
        <v>1</v>
      </c>
      <c r="S7554" s="21">
        <v>0</v>
      </c>
      <c r="T7554" s="21">
        <v>0</v>
      </c>
      <c r="U7554" s="21">
        <v>0</v>
      </c>
      <c r="V7554" s="21">
        <v>2</v>
      </c>
      <c r="W7554" s="21">
        <v>0</v>
      </c>
      <c r="X7554" s="21">
        <v>0</v>
      </c>
      <c r="Y7554" s="21">
        <v>0</v>
      </c>
      <c r="Z7554" s="21">
        <v>0</v>
      </c>
      <c r="AA7554" s="21">
        <v>0</v>
      </c>
      <c r="AB7554" s="21">
        <v>0</v>
      </c>
      <c r="AC7554" s="21">
        <v>0</v>
      </c>
      <c r="AD7554" s="21">
        <v>0</v>
      </c>
      <c r="AE7554" s="21">
        <v>0</v>
      </c>
      <c r="AF7554" s="21">
        <v>0</v>
      </c>
      <c r="AG7554" s="21">
        <v>0</v>
      </c>
      <c r="AH7554" s="21">
        <f t="shared" si="144"/>
        <v>128</v>
      </c>
      <c r="AI7554" s="21"/>
      <c r="AJ7554" s="21" t="s">
        <v>54</v>
      </c>
      <c r="AK7554" s="21" t="s">
        <v>95</v>
      </c>
      <c r="AL7554" s="21" t="s">
        <v>3242</v>
      </c>
      <c r="AM7554" s="21" t="s">
        <v>3243</v>
      </c>
      <c r="AN7554" s="21">
        <v>-122.42509586666699</v>
      </c>
      <c r="AO7554" s="21">
        <v>37.785495333333301</v>
      </c>
      <c r="AP7554" s="21" t="s">
        <v>1915</v>
      </c>
    </row>
    <row r="7555" spans="1:42">
      <c r="A7555" s="20">
        <v>43847</v>
      </c>
      <c r="B7555" s="21">
        <v>5</v>
      </c>
      <c r="C7555" s="21">
        <v>228</v>
      </c>
      <c r="D7555" s="21">
        <v>14444</v>
      </c>
      <c r="E7555" t="s">
        <v>112</v>
      </c>
      <c r="F7555" s="21" t="s">
        <v>104</v>
      </c>
      <c r="G7555" s="21">
        <v>2</v>
      </c>
      <c r="H7555" s="21">
        <v>29</v>
      </c>
      <c r="I7555" s="23" t="s">
        <v>3096</v>
      </c>
      <c r="J7555" s="21"/>
      <c r="K7555" s="21" t="s">
        <v>74</v>
      </c>
      <c r="L7555" s="21"/>
      <c r="M7555" s="21"/>
      <c r="N7555" s="21" t="s">
        <v>40</v>
      </c>
      <c r="O7555" s="21">
        <f>60+60+59</f>
        <v>179</v>
      </c>
      <c r="P7555" s="21"/>
      <c r="Q7555" s="21">
        <f t="shared" si="143"/>
        <v>6</v>
      </c>
      <c r="R7555" s="21">
        <v>1</v>
      </c>
      <c r="S7555" s="21">
        <v>0</v>
      </c>
      <c r="T7555" s="21">
        <v>0</v>
      </c>
      <c r="U7555" s="21">
        <v>0</v>
      </c>
      <c r="V7555" s="21">
        <v>1</v>
      </c>
      <c r="W7555" s="21">
        <v>5</v>
      </c>
      <c r="X7555" s="21">
        <v>0</v>
      </c>
      <c r="Y7555" s="21">
        <v>0</v>
      </c>
      <c r="Z7555" s="21">
        <v>0</v>
      </c>
      <c r="AA7555" s="21">
        <v>0</v>
      </c>
      <c r="AB7555" s="21">
        <v>0</v>
      </c>
      <c r="AC7555" s="21">
        <v>0</v>
      </c>
      <c r="AD7555" s="21">
        <v>0</v>
      </c>
      <c r="AE7555" s="21">
        <v>0</v>
      </c>
      <c r="AF7555" s="21">
        <v>2</v>
      </c>
      <c r="AG7555" s="21">
        <v>0</v>
      </c>
      <c r="AH7555" s="21">
        <f t="shared" si="144"/>
        <v>544</v>
      </c>
      <c r="AI7555" s="21"/>
      <c r="AJ7555" s="21" t="s">
        <v>54</v>
      </c>
      <c r="AK7555" s="21" t="s">
        <v>95</v>
      </c>
      <c r="AL7555" s="21" t="s">
        <v>3244</v>
      </c>
      <c r="AM7555" s="21" t="s">
        <v>3245</v>
      </c>
      <c r="AN7555" s="21">
        <v>-122.428963516667</v>
      </c>
      <c r="AO7555" s="21">
        <v>37.785023983333303</v>
      </c>
      <c r="AP7555" s="21" t="s">
        <v>1915</v>
      </c>
    </row>
    <row r="7556" spans="1:42">
      <c r="A7556" s="20">
        <v>43847</v>
      </c>
      <c r="B7556" s="21">
        <v>5</v>
      </c>
      <c r="C7556" s="21">
        <v>228</v>
      </c>
      <c r="D7556" s="21">
        <v>14444</v>
      </c>
      <c r="E7556" t="s">
        <v>112</v>
      </c>
      <c r="F7556" s="21" t="s">
        <v>104</v>
      </c>
      <c r="G7556" s="21">
        <v>2</v>
      </c>
      <c r="H7556" s="21">
        <v>30</v>
      </c>
      <c r="I7556" s="23" t="s">
        <v>3096</v>
      </c>
      <c r="J7556" s="21"/>
      <c r="K7556" s="21" t="s">
        <v>74</v>
      </c>
      <c r="L7556" s="21"/>
      <c r="M7556" s="21"/>
      <c r="N7556" s="21" t="s">
        <v>40</v>
      </c>
      <c r="O7556" s="21">
        <f>60+60+60+60+58</f>
        <v>298</v>
      </c>
      <c r="P7556" s="21"/>
      <c r="Q7556" s="21">
        <f t="shared" si="143"/>
        <v>3</v>
      </c>
      <c r="R7556" s="21">
        <v>1</v>
      </c>
      <c r="S7556" s="21">
        <v>0</v>
      </c>
      <c r="T7556" s="21">
        <v>0</v>
      </c>
      <c r="U7556" s="21">
        <v>0</v>
      </c>
      <c r="V7556" s="21">
        <v>0</v>
      </c>
      <c r="W7556" s="21">
        <v>3</v>
      </c>
      <c r="X7556" s="21">
        <v>0</v>
      </c>
      <c r="Y7556" s="21">
        <v>0</v>
      </c>
      <c r="Z7556" s="21">
        <v>0</v>
      </c>
      <c r="AA7556" s="21">
        <v>0</v>
      </c>
      <c r="AB7556" s="21">
        <v>0</v>
      </c>
      <c r="AC7556" s="21">
        <v>0</v>
      </c>
      <c r="AD7556" s="21">
        <v>0</v>
      </c>
      <c r="AE7556" s="21">
        <v>0</v>
      </c>
      <c r="AF7556" s="21">
        <v>1</v>
      </c>
      <c r="AG7556" s="21">
        <v>0</v>
      </c>
      <c r="AH7556" s="21">
        <f t="shared" si="144"/>
        <v>288</v>
      </c>
      <c r="AI7556" s="21"/>
      <c r="AJ7556" s="21" t="s">
        <v>51</v>
      </c>
      <c r="AK7556" s="21" t="s">
        <v>95</v>
      </c>
      <c r="AL7556" s="21" t="s">
        <v>3066</v>
      </c>
      <c r="AM7556" s="21" t="s">
        <v>3246</v>
      </c>
      <c r="AN7556" s="21">
        <v>-122.429113283333</v>
      </c>
      <c r="AO7556" s="21">
        <v>37.784981199999997</v>
      </c>
      <c r="AP7556" s="21" t="s">
        <v>1915</v>
      </c>
    </row>
    <row r="7557" spans="1:42">
      <c r="A7557" s="20">
        <v>43847</v>
      </c>
      <c r="B7557" s="21">
        <v>5</v>
      </c>
      <c r="C7557" s="21">
        <v>228</v>
      </c>
      <c r="D7557" s="21">
        <v>14444</v>
      </c>
      <c r="E7557" t="s">
        <v>112</v>
      </c>
      <c r="F7557" s="21" t="s">
        <v>104</v>
      </c>
      <c r="G7557" s="21">
        <v>2</v>
      </c>
      <c r="H7557" s="21">
        <v>31</v>
      </c>
      <c r="I7557" s="23" t="s">
        <v>3100</v>
      </c>
      <c r="J7557" s="21"/>
      <c r="K7557" s="21" t="s">
        <v>74</v>
      </c>
      <c r="L7557" s="21"/>
      <c r="M7557" s="21"/>
      <c r="N7557" s="21" t="s">
        <v>40</v>
      </c>
      <c r="O7557" s="21">
        <v>30</v>
      </c>
      <c r="P7557" s="21"/>
      <c r="Q7557" s="21">
        <f t="shared" si="143"/>
        <v>1</v>
      </c>
      <c r="R7557" s="21">
        <v>1</v>
      </c>
      <c r="S7557" s="21">
        <v>0</v>
      </c>
      <c r="T7557" s="21">
        <v>0</v>
      </c>
      <c r="U7557" s="21">
        <v>0</v>
      </c>
      <c r="V7557" s="21">
        <v>0</v>
      </c>
      <c r="W7557" s="21">
        <v>0</v>
      </c>
      <c r="X7557" s="21">
        <v>1</v>
      </c>
      <c r="Y7557" s="21">
        <v>0</v>
      </c>
      <c r="Z7557" s="21">
        <v>0</v>
      </c>
      <c r="AA7557" s="21">
        <v>0</v>
      </c>
      <c r="AB7557" s="21">
        <v>0</v>
      </c>
      <c r="AC7557" s="21">
        <v>0</v>
      </c>
      <c r="AD7557" s="21">
        <v>0</v>
      </c>
      <c r="AE7557" s="21">
        <v>0</v>
      </c>
      <c r="AF7557" s="21">
        <v>0</v>
      </c>
      <c r="AG7557" s="21">
        <v>0</v>
      </c>
      <c r="AH7557" s="21">
        <f t="shared" si="144"/>
        <v>0</v>
      </c>
      <c r="AI7557" s="21"/>
      <c r="AJ7557" s="21" t="s">
        <v>51</v>
      </c>
      <c r="AK7557" s="21" t="s">
        <v>95</v>
      </c>
      <c r="AL7557" s="21" t="s">
        <v>470</v>
      </c>
      <c r="AM7557" s="21" t="s">
        <v>3247</v>
      </c>
      <c r="AN7557" s="21">
        <v>-122.430831516667</v>
      </c>
      <c r="AO7557" s="21">
        <v>37.784848833333299</v>
      </c>
      <c r="AP7557" s="21" t="s">
        <v>1915</v>
      </c>
    </row>
    <row r="7558" spans="1:42">
      <c r="A7558" s="20">
        <v>43847</v>
      </c>
      <c r="B7558" s="21">
        <v>5</v>
      </c>
      <c r="C7558" s="21">
        <v>228</v>
      </c>
      <c r="D7558" s="21">
        <v>14444</v>
      </c>
      <c r="E7558" t="s">
        <v>112</v>
      </c>
      <c r="F7558" s="21" t="s">
        <v>104</v>
      </c>
      <c r="G7558" s="21">
        <v>2</v>
      </c>
      <c r="H7558" s="21">
        <v>32</v>
      </c>
      <c r="I7558" s="23" t="s">
        <v>2787</v>
      </c>
      <c r="J7558" s="21"/>
      <c r="K7558" s="21" t="s">
        <v>110</v>
      </c>
      <c r="L7558" s="21"/>
      <c r="M7558" s="21"/>
      <c r="N7558" s="21" t="s">
        <v>40</v>
      </c>
      <c r="O7558" s="21">
        <f>60+60+60+60+60+60+60+60+60+44</f>
        <v>584</v>
      </c>
      <c r="P7558" s="21"/>
      <c r="Q7558" s="21">
        <f t="shared" si="143"/>
        <v>7</v>
      </c>
      <c r="R7558" s="21">
        <v>1</v>
      </c>
      <c r="S7558" s="21">
        <v>0</v>
      </c>
      <c r="T7558" s="21">
        <v>0</v>
      </c>
      <c r="U7558" s="21">
        <v>0</v>
      </c>
      <c r="V7558" s="21">
        <v>7</v>
      </c>
      <c r="W7558" s="21">
        <v>0</v>
      </c>
      <c r="X7558" s="21">
        <v>0</v>
      </c>
      <c r="Y7558" s="21">
        <v>0</v>
      </c>
      <c r="Z7558" s="21">
        <v>0</v>
      </c>
      <c r="AA7558" s="21">
        <v>0</v>
      </c>
      <c r="AB7558" s="21">
        <v>0</v>
      </c>
      <c r="AC7558" s="21">
        <v>0</v>
      </c>
      <c r="AD7558" s="21">
        <v>0</v>
      </c>
      <c r="AE7558" s="21">
        <v>0</v>
      </c>
      <c r="AF7558" s="21">
        <v>0</v>
      </c>
      <c r="AG7558" s="21">
        <v>0</v>
      </c>
      <c r="AH7558" s="21">
        <f t="shared" si="144"/>
        <v>448</v>
      </c>
      <c r="AI7558" s="21"/>
      <c r="AJ7558" s="21" t="s">
        <v>51</v>
      </c>
      <c r="AK7558" s="21" t="s">
        <v>95</v>
      </c>
      <c r="AL7558" s="21" t="s">
        <v>3066</v>
      </c>
      <c r="AM7558" s="21" t="s">
        <v>3248</v>
      </c>
      <c r="AN7558" s="21">
        <v>-122.431315216667</v>
      </c>
      <c r="AO7558" s="21">
        <v>37.785118599999997</v>
      </c>
      <c r="AP7558" s="21" t="s">
        <v>1915</v>
      </c>
    </row>
    <row r="7559" spans="1:42">
      <c r="A7559" s="20">
        <v>43847</v>
      </c>
      <c r="B7559" s="21">
        <v>5</v>
      </c>
      <c r="C7559" s="21">
        <v>228</v>
      </c>
      <c r="D7559" s="21">
        <v>14444</v>
      </c>
      <c r="E7559" t="s">
        <v>112</v>
      </c>
      <c r="F7559" s="21" t="s">
        <v>104</v>
      </c>
      <c r="G7559" s="21">
        <v>2</v>
      </c>
      <c r="H7559" s="21">
        <v>33</v>
      </c>
      <c r="I7559" s="23" t="s">
        <v>2787</v>
      </c>
      <c r="J7559" s="21"/>
      <c r="K7559" s="21" t="s">
        <v>2554</v>
      </c>
      <c r="L7559" s="21"/>
      <c r="M7559" s="21"/>
      <c r="N7559" s="21" t="s">
        <v>40</v>
      </c>
      <c r="O7559" s="21">
        <f>60+54</f>
        <v>114</v>
      </c>
      <c r="P7559" s="21"/>
      <c r="Q7559" s="21">
        <f t="shared" si="143"/>
        <v>4</v>
      </c>
      <c r="R7559" s="21">
        <v>1</v>
      </c>
      <c r="S7559" s="21">
        <v>0</v>
      </c>
      <c r="T7559" s="21">
        <v>0</v>
      </c>
      <c r="U7559" s="21">
        <v>0</v>
      </c>
      <c r="V7559" s="21">
        <v>3</v>
      </c>
      <c r="W7559" s="21">
        <v>1</v>
      </c>
      <c r="X7559" s="21">
        <v>0</v>
      </c>
      <c r="Y7559" s="21">
        <v>0</v>
      </c>
      <c r="Z7559" s="21">
        <v>0</v>
      </c>
      <c r="AA7559" s="21">
        <v>0</v>
      </c>
      <c r="AB7559" s="21">
        <v>0</v>
      </c>
      <c r="AC7559" s="21">
        <v>0</v>
      </c>
      <c r="AD7559" s="21">
        <v>0</v>
      </c>
      <c r="AE7559" s="21">
        <v>0</v>
      </c>
      <c r="AF7559" s="21">
        <v>0</v>
      </c>
      <c r="AG7559" s="21">
        <v>0</v>
      </c>
      <c r="AH7559" s="21">
        <f t="shared" si="144"/>
        <v>288</v>
      </c>
      <c r="AI7559" s="21"/>
      <c r="AJ7559" s="21" t="s">
        <v>51</v>
      </c>
      <c r="AK7559" s="21" t="s">
        <v>95</v>
      </c>
      <c r="AL7559" s="21" t="s">
        <v>3249</v>
      </c>
      <c r="AM7559" s="21" t="s">
        <v>3250</v>
      </c>
      <c r="AN7559" s="21">
        <v>-122.43276153333299</v>
      </c>
      <c r="AO7559" s="21">
        <v>37.7852717833333</v>
      </c>
      <c r="AP7559" s="21" t="s">
        <v>1915</v>
      </c>
    </row>
    <row r="7560" spans="1:42">
      <c r="A7560" s="20">
        <v>43847</v>
      </c>
      <c r="B7560" s="21">
        <v>5</v>
      </c>
      <c r="C7560" s="21">
        <v>228</v>
      </c>
      <c r="D7560" s="21">
        <v>14444</v>
      </c>
      <c r="E7560" t="s">
        <v>112</v>
      </c>
      <c r="F7560" s="21" t="s">
        <v>104</v>
      </c>
      <c r="G7560" s="21">
        <v>2</v>
      </c>
      <c r="H7560" s="21">
        <v>34</v>
      </c>
      <c r="I7560" s="23" t="s">
        <v>2787</v>
      </c>
      <c r="J7560" s="21"/>
      <c r="K7560" s="21" t="s">
        <v>53</v>
      </c>
      <c r="L7560" s="21"/>
      <c r="M7560" s="21"/>
      <c r="N7560" s="21" t="s">
        <v>1703</v>
      </c>
      <c r="O7560" s="21">
        <v>35</v>
      </c>
      <c r="P7560" s="21"/>
      <c r="Q7560" s="21">
        <f t="shared" si="143"/>
        <v>2</v>
      </c>
      <c r="R7560" s="21">
        <v>1</v>
      </c>
      <c r="S7560" s="21">
        <v>0</v>
      </c>
      <c r="T7560" s="21">
        <v>0</v>
      </c>
      <c r="U7560" s="21">
        <v>1</v>
      </c>
      <c r="V7560" s="21">
        <v>0</v>
      </c>
      <c r="W7560" s="21">
        <v>1</v>
      </c>
      <c r="X7560" s="21">
        <v>0</v>
      </c>
      <c r="Y7560" s="21">
        <v>0</v>
      </c>
      <c r="Z7560" s="21">
        <v>0</v>
      </c>
      <c r="AA7560" s="21">
        <v>0</v>
      </c>
      <c r="AB7560" s="21">
        <v>0</v>
      </c>
      <c r="AC7560" s="21">
        <v>0</v>
      </c>
      <c r="AD7560" s="21">
        <v>0</v>
      </c>
      <c r="AE7560" s="21">
        <v>0</v>
      </c>
      <c r="AF7560" s="21">
        <v>0</v>
      </c>
      <c r="AG7560" s="21">
        <v>0</v>
      </c>
      <c r="AH7560" s="21">
        <f t="shared" si="144"/>
        <v>128</v>
      </c>
      <c r="AI7560" s="21"/>
      <c r="AJ7560" s="21" t="s">
        <v>51</v>
      </c>
      <c r="AK7560" s="21" t="s">
        <v>52</v>
      </c>
      <c r="AL7560" s="21" t="s">
        <v>3251</v>
      </c>
      <c r="AM7560" s="21" t="s">
        <v>3252</v>
      </c>
      <c r="AN7560" s="21">
        <v>-122.430475266667</v>
      </c>
      <c r="AO7560" s="21">
        <v>37.785576466666598</v>
      </c>
      <c r="AP7560" s="21" t="s">
        <v>1915</v>
      </c>
    </row>
    <row r="7561" spans="1:42">
      <c r="A7561" s="20">
        <v>43847</v>
      </c>
      <c r="B7561" s="21">
        <v>5</v>
      </c>
      <c r="C7561" s="21">
        <v>228</v>
      </c>
      <c r="D7561" s="21">
        <v>14444</v>
      </c>
      <c r="E7561" t="s">
        <v>112</v>
      </c>
      <c r="F7561" s="21" t="s">
        <v>104</v>
      </c>
      <c r="G7561" s="21">
        <v>2</v>
      </c>
      <c r="H7561" s="21">
        <v>35</v>
      </c>
      <c r="I7561" s="23" t="s">
        <v>3253</v>
      </c>
      <c r="J7561" s="21"/>
      <c r="K7561" s="21" t="s">
        <v>53</v>
      </c>
      <c r="L7561" s="21"/>
      <c r="M7561" s="21"/>
      <c r="N7561" s="21" t="s">
        <v>42</v>
      </c>
      <c r="O7561" s="21">
        <f>60+60+60+4</f>
        <v>184</v>
      </c>
      <c r="P7561" s="21"/>
      <c r="Q7561" s="21">
        <f t="shared" si="143"/>
        <v>3</v>
      </c>
      <c r="R7561" s="21">
        <v>1</v>
      </c>
      <c r="S7561" s="21">
        <v>0</v>
      </c>
      <c r="T7561" s="21">
        <v>0</v>
      </c>
      <c r="U7561" s="21">
        <v>0</v>
      </c>
      <c r="V7561" s="21">
        <v>1</v>
      </c>
      <c r="W7561" s="21">
        <v>2</v>
      </c>
      <c r="X7561" s="21">
        <v>0</v>
      </c>
      <c r="Y7561" s="21">
        <v>0</v>
      </c>
      <c r="Z7561" s="21">
        <v>0</v>
      </c>
      <c r="AA7561" s="21">
        <v>0</v>
      </c>
      <c r="AB7561" s="21">
        <v>0</v>
      </c>
      <c r="AC7561" s="21">
        <v>0</v>
      </c>
      <c r="AD7561" s="21">
        <v>0</v>
      </c>
      <c r="AE7561" s="21">
        <v>0</v>
      </c>
      <c r="AF7561" s="21">
        <v>0</v>
      </c>
      <c r="AG7561" s="21">
        <v>0</v>
      </c>
      <c r="AH7561" s="21">
        <f t="shared" si="144"/>
        <v>256</v>
      </c>
      <c r="AI7561" s="21" t="s">
        <v>3254</v>
      </c>
      <c r="AJ7561" s="21" t="s">
        <v>54</v>
      </c>
      <c r="AK7561" s="21" t="s">
        <v>95</v>
      </c>
      <c r="AL7561" s="21" t="s">
        <v>3255</v>
      </c>
      <c r="AM7561" s="21" t="s">
        <v>3256</v>
      </c>
      <c r="AN7561" s="21">
        <v>-122.430340516667</v>
      </c>
      <c r="AO7561" s="21">
        <v>37.785582233333301</v>
      </c>
      <c r="AP7561" s="21" t="s">
        <v>1915</v>
      </c>
    </row>
    <row r="7562" spans="1:42">
      <c r="A7562" s="20">
        <v>43847</v>
      </c>
      <c r="B7562" s="21">
        <v>5</v>
      </c>
      <c r="C7562" s="21">
        <v>228</v>
      </c>
      <c r="D7562" s="21">
        <v>14444</v>
      </c>
      <c r="E7562" t="s">
        <v>112</v>
      </c>
      <c r="F7562" s="21" t="s">
        <v>104</v>
      </c>
      <c r="G7562" s="21">
        <v>2</v>
      </c>
      <c r="H7562" s="21">
        <v>36</v>
      </c>
      <c r="I7562" s="23" t="s">
        <v>3100</v>
      </c>
      <c r="J7562" s="21"/>
      <c r="K7562" s="21" t="s">
        <v>74</v>
      </c>
      <c r="L7562" s="21"/>
      <c r="M7562" s="21"/>
      <c r="N7562" s="21" t="s">
        <v>40</v>
      </c>
      <c r="O7562" s="21">
        <v>32</v>
      </c>
      <c r="P7562" s="21"/>
      <c r="Q7562" s="21">
        <f t="shared" si="143"/>
        <v>1</v>
      </c>
      <c r="R7562" s="21">
        <v>1</v>
      </c>
      <c r="S7562" s="21">
        <v>0</v>
      </c>
      <c r="T7562" s="21">
        <v>0</v>
      </c>
      <c r="U7562" s="21">
        <v>0</v>
      </c>
      <c r="V7562" s="21">
        <v>0</v>
      </c>
      <c r="W7562" s="21">
        <v>0</v>
      </c>
      <c r="X7562" s="21">
        <v>1</v>
      </c>
      <c r="Y7562" s="21">
        <v>0</v>
      </c>
      <c r="Z7562" s="21">
        <v>0</v>
      </c>
      <c r="AA7562" s="21">
        <v>0</v>
      </c>
      <c r="AB7562" s="21">
        <v>0</v>
      </c>
      <c r="AC7562" s="21">
        <v>0</v>
      </c>
      <c r="AD7562" s="21">
        <v>0</v>
      </c>
      <c r="AE7562" s="21">
        <v>0</v>
      </c>
      <c r="AF7562" s="21">
        <v>0</v>
      </c>
      <c r="AG7562" s="21">
        <v>0</v>
      </c>
      <c r="AH7562" s="21">
        <f t="shared" si="144"/>
        <v>0</v>
      </c>
      <c r="AI7562" s="21"/>
      <c r="AJ7562" s="21"/>
      <c r="AK7562" s="21"/>
      <c r="AL7562" s="21" t="s">
        <v>3257</v>
      </c>
      <c r="AM7562" s="21" t="s">
        <v>3258</v>
      </c>
      <c r="AN7562" s="21">
        <v>-122.430079180989</v>
      </c>
      <c r="AO7562" s="21">
        <v>37.785064659564199</v>
      </c>
      <c r="AP7562" s="21" t="s">
        <v>1915</v>
      </c>
    </row>
    <row r="7563" spans="1:42">
      <c r="A7563" s="20">
        <v>43847</v>
      </c>
      <c r="B7563" s="21">
        <v>5</v>
      </c>
      <c r="C7563" s="21">
        <v>228</v>
      </c>
      <c r="D7563" s="21">
        <v>14444</v>
      </c>
      <c r="E7563" t="s">
        <v>112</v>
      </c>
      <c r="F7563" s="21" t="s">
        <v>104</v>
      </c>
      <c r="G7563" s="21">
        <v>2</v>
      </c>
      <c r="H7563" s="21">
        <v>38</v>
      </c>
      <c r="I7563" s="23" t="s">
        <v>3259</v>
      </c>
      <c r="J7563" s="21"/>
      <c r="K7563" s="21" t="s">
        <v>3260</v>
      </c>
      <c r="L7563" s="21"/>
      <c r="M7563" s="21"/>
      <c r="N7563" s="21" t="s">
        <v>44</v>
      </c>
      <c r="O7563" s="21">
        <f>60+60+60+60+46</f>
        <v>286</v>
      </c>
      <c r="P7563" s="21"/>
      <c r="Q7563" s="21">
        <f t="shared" si="143"/>
        <v>6</v>
      </c>
      <c r="R7563" s="21">
        <v>1</v>
      </c>
      <c r="S7563" s="21">
        <v>0</v>
      </c>
      <c r="T7563" s="21">
        <v>0</v>
      </c>
      <c r="U7563" s="21">
        <v>2</v>
      </c>
      <c r="V7563" s="21">
        <v>0</v>
      </c>
      <c r="W7563" s="21">
        <v>4</v>
      </c>
      <c r="X7563" s="21">
        <v>0</v>
      </c>
      <c r="Y7563" s="21">
        <v>0</v>
      </c>
      <c r="Z7563" s="21">
        <v>0</v>
      </c>
      <c r="AA7563" s="21">
        <v>0</v>
      </c>
      <c r="AB7563" s="21">
        <v>0</v>
      </c>
      <c r="AC7563" s="21">
        <v>0</v>
      </c>
      <c r="AD7563" s="21">
        <v>0</v>
      </c>
      <c r="AE7563" s="21">
        <v>0</v>
      </c>
      <c r="AF7563" s="21">
        <v>0</v>
      </c>
      <c r="AG7563" s="21">
        <v>0</v>
      </c>
      <c r="AH7563" s="21">
        <f t="shared" si="144"/>
        <v>448</v>
      </c>
      <c r="AI7563" s="21"/>
      <c r="AJ7563" s="21"/>
      <c r="AK7563" s="21"/>
      <c r="AL7563" s="21" t="s">
        <v>3261</v>
      </c>
      <c r="AM7563" s="21" t="s">
        <v>3262</v>
      </c>
      <c r="AN7563" s="21">
        <v>-122.424281033333</v>
      </c>
      <c r="AO7563" s="21">
        <v>37.786447933333299</v>
      </c>
      <c r="AP7563" s="21" t="s">
        <v>1915</v>
      </c>
    </row>
    <row r="7564" spans="1:42">
      <c r="A7564" s="20">
        <v>43847</v>
      </c>
      <c r="B7564" s="21">
        <v>5</v>
      </c>
      <c r="C7564" s="21">
        <v>228</v>
      </c>
      <c r="D7564" s="21">
        <v>14444</v>
      </c>
      <c r="E7564" t="s">
        <v>112</v>
      </c>
      <c r="F7564" s="21" t="s">
        <v>104</v>
      </c>
      <c r="G7564" s="21">
        <v>2</v>
      </c>
      <c r="H7564" s="21">
        <v>39</v>
      </c>
      <c r="I7564" s="23" t="s">
        <v>3263</v>
      </c>
      <c r="J7564" s="21"/>
      <c r="K7564" s="21" t="s">
        <v>110</v>
      </c>
      <c r="L7564" s="21"/>
      <c r="M7564" s="21"/>
      <c r="N7564" s="21" t="s">
        <v>44</v>
      </c>
      <c r="O7564" s="21">
        <f>60+60+60+45</f>
        <v>225</v>
      </c>
      <c r="P7564" s="21"/>
      <c r="Q7564" s="21">
        <f t="shared" si="143"/>
        <v>2</v>
      </c>
      <c r="R7564" s="21">
        <v>1</v>
      </c>
      <c r="S7564" s="21">
        <v>0</v>
      </c>
      <c r="T7564" s="21">
        <v>0</v>
      </c>
      <c r="U7564" s="21">
        <v>0</v>
      </c>
      <c r="V7564" s="21">
        <v>0</v>
      </c>
      <c r="W7564" s="21">
        <v>2</v>
      </c>
      <c r="X7564" s="21">
        <v>0</v>
      </c>
      <c r="Y7564" s="21">
        <v>0</v>
      </c>
      <c r="Z7564" s="21">
        <v>0</v>
      </c>
      <c r="AA7564" s="21">
        <v>0</v>
      </c>
      <c r="AB7564" s="21">
        <v>0</v>
      </c>
      <c r="AC7564" s="21">
        <v>0</v>
      </c>
      <c r="AD7564" s="21">
        <v>0</v>
      </c>
      <c r="AE7564" s="21">
        <v>0</v>
      </c>
      <c r="AF7564" s="21">
        <v>0</v>
      </c>
      <c r="AG7564" s="21">
        <v>0</v>
      </c>
      <c r="AH7564" s="21">
        <f t="shared" si="144"/>
        <v>192</v>
      </c>
      <c r="AI7564" s="21"/>
      <c r="AJ7564" s="21" t="s">
        <v>54</v>
      </c>
      <c r="AK7564" s="21" t="s">
        <v>52</v>
      </c>
      <c r="AL7564" s="21" t="s">
        <v>3264</v>
      </c>
      <c r="AM7564" s="21" t="s">
        <v>3265</v>
      </c>
      <c r="AN7564" s="21">
        <v>-122.42383155</v>
      </c>
      <c r="AO7564" s="21">
        <v>37.786189083333298</v>
      </c>
      <c r="AP7564" s="21" t="s">
        <v>1915</v>
      </c>
    </row>
    <row r="7565" spans="1:42">
      <c r="A7565" s="20">
        <v>43847</v>
      </c>
      <c r="B7565" s="21">
        <v>5</v>
      </c>
      <c r="C7565" s="21">
        <v>228</v>
      </c>
      <c r="D7565" s="21">
        <v>14444</v>
      </c>
      <c r="E7565" t="s">
        <v>112</v>
      </c>
      <c r="F7565" s="21" t="s">
        <v>104</v>
      </c>
      <c r="G7565" s="21">
        <v>2</v>
      </c>
      <c r="H7565" s="21">
        <v>40</v>
      </c>
      <c r="I7565" s="23">
        <v>1237</v>
      </c>
      <c r="J7565" s="21"/>
      <c r="K7565" s="21" t="s">
        <v>415</v>
      </c>
      <c r="L7565" s="21"/>
      <c r="M7565" s="21"/>
      <c r="N7565" s="21" t="s">
        <v>42</v>
      </c>
      <c r="O7565" s="21">
        <f>60+58</f>
        <v>118</v>
      </c>
      <c r="P7565" s="21"/>
      <c r="Q7565" s="21">
        <f t="shared" si="143"/>
        <v>3</v>
      </c>
      <c r="R7565" s="21">
        <v>1</v>
      </c>
      <c r="S7565" s="21">
        <v>0</v>
      </c>
      <c r="T7565" s="21">
        <v>0</v>
      </c>
      <c r="U7565" s="21">
        <v>0</v>
      </c>
      <c r="V7565" s="21">
        <v>2</v>
      </c>
      <c r="W7565" s="21">
        <v>1</v>
      </c>
      <c r="X7565" s="21">
        <v>0</v>
      </c>
      <c r="Y7565" s="21">
        <v>0</v>
      </c>
      <c r="Z7565" s="21">
        <v>0</v>
      </c>
      <c r="AA7565" s="21">
        <v>0</v>
      </c>
      <c r="AB7565" s="21">
        <v>0</v>
      </c>
      <c r="AC7565" s="21">
        <v>0</v>
      </c>
      <c r="AD7565" s="21">
        <v>0</v>
      </c>
      <c r="AE7565" s="21">
        <v>0</v>
      </c>
      <c r="AF7565" s="21">
        <v>0</v>
      </c>
      <c r="AG7565" s="21">
        <v>0</v>
      </c>
      <c r="AH7565" s="21">
        <f t="shared" si="144"/>
        <v>224</v>
      </c>
      <c r="AI7565" s="21"/>
      <c r="AJ7565" s="21"/>
      <c r="AK7565" s="21"/>
      <c r="AL7565" s="21" t="s">
        <v>3266</v>
      </c>
      <c r="AM7565" s="21" t="s">
        <v>3267</v>
      </c>
      <c r="AN7565" s="21">
        <v>-122.4224727</v>
      </c>
      <c r="AO7565" s="21">
        <v>37.786780299999997</v>
      </c>
      <c r="AP7565" s="21" t="s">
        <v>1915</v>
      </c>
    </row>
    <row r="7566" spans="1:42">
      <c r="A7566" s="20">
        <v>43847</v>
      </c>
      <c r="B7566" s="21">
        <v>5</v>
      </c>
      <c r="C7566" s="21">
        <v>228</v>
      </c>
      <c r="D7566" s="21">
        <v>14444</v>
      </c>
      <c r="E7566" t="s">
        <v>112</v>
      </c>
      <c r="F7566" s="21" t="s">
        <v>104</v>
      </c>
      <c r="G7566" s="21">
        <v>2</v>
      </c>
      <c r="H7566" s="21">
        <v>41</v>
      </c>
      <c r="I7566" s="23">
        <v>1355</v>
      </c>
      <c r="J7566" s="21"/>
      <c r="K7566" s="21" t="s">
        <v>49</v>
      </c>
      <c r="L7566" s="21"/>
      <c r="M7566" s="21"/>
      <c r="N7566" s="21" t="s">
        <v>42</v>
      </c>
      <c r="O7566" s="21">
        <f>60+60+60+60+48</f>
        <v>288</v>
      </c>
      <c r="P7566" s="21"/>
      <c r="Q7566" s="21">
        <f t="shared" si="143"/>
        <v>9</v>
      </c>
      <c r="R7566" s="21">
        <v>1</v>
      </c>
      <c r="S7566" s="21">
        <v>0</v>
      </c>
      <c r="T7566" s="21">
        <v>0</v>
      </c>
      <c r="U7566" s="21">
        <v>1</v>
      </c>
      <c r="V7566" s="21">
        <v>2</v>
      </c>
      <c r="W7566" s="21">
        <v>6</v>
      </c>
      <c r="X7566" s="21">
        <v>0</v>
      </c>
      <c r="Y7566" s="21">
        <v>0</v>
      </c>
      <c r="Z7566" s="21">
        <v>0</v>
      </c>
      <c r="AA7566" s="21">
        <v>0</v>
      </c>
      <c r="AB7566" s="21">
        <v>0</v>
      </c>
      <c r="AC7566" s="21">
        <v>0</v>
      </c>
      <c r="AD7566" s="21">
        <v>0</v>
      </c>
      <c r="AE7566" s="21">
        <v>0</v>
      </c>
      <c r="AF7566" s="21">
        <v>0</v>
      </c>
      <c r="AG7566" s="21">
        <v>0</v>
      </c>
      <c r="AH7566" s="21">
        <f t="shared" si="144"/>
        <v>736</v>
      </c>
      <c r="AI7566" s="21"/>
      <c r="AJ7566" s="21" t="s">
        <v>54</v>
      </c>
      <c r="AK7566" s="21" t="s">
        <v>95</v>
      </c>
      <c r="AL7566" s="21" t="s">
        <v>3268</v>
      </c>
      <c r="AM7566" s="21" t="s">
        <v>3269</v>
      </c>
      <c r="AN7566" s="21">
        <v>-122.42265948333301</v>
      </c>
      <c r="AO7566" s="21">
        <v>37.7868341</v>
      </c>
      <c r="AP7566" s="21" t="s">
        <v>1915</v>
      </c>
    </row>
    <row r="7567" spans="1:42">
      <c r="A7567" s="20">
        <v>43847</v>
      </c>
      <c r="B7567" s="21">
        <v>5</v>
      </c>
      <c r="C7567" s="21">
        <v>228</v>
      </c>
      <c r="D7567" s="21">
        <v>14444</v>
      </c>
      <c r="E7567" t="s">
        <v>112</v>
      </c>
      <c r="F7567" s="21" t="s">
        <v>104</v>
      </c>
      <c r="G7567" s="21">
        <v>2</v>
      </c>
      <c r="H7567" s="21">
        <v>42</v>
      </c>
      <c r="I7567" s="23" t="s">
        <v>3270</v>
      </c>
      <c r="J7567" s="21"/>
      <c r="K7567" s="21" t="s">
        <v>631</v>
      </c>
      <c r="L7567" s="21"/>
      <c r="M7567" s="21"/>
      <c r="N7567" s="21" t="s">
        <v>44</v>
      </c>
      <c r="O7567" s="21">
        <f>60+60+60+60+42</f>
        <v>282</v>
      </c>
      <c r="P7567" s="21"/>
      <c r="Q7567" s="21">
        <f t="shared" si="143"/>
        <v>4</v>
      </c>
      <c r="R7567" s="21">
        <v>1</v>
      </c>
      <c r="S7567" s="21">
        <v>0</v>
      </c>
      <c r="T7567" s="21">
        <v>0</v>
      </c>
      <c r="U7567" s="21">
        <v>0</v>
      </c>
      <c r="V7567" s="21">
        <v>3</v>
      </c>
      <c r="W7567" s="21">
        <v>1</v>
      </c>
      <c r="X7567" s="21">
        <v>0</v>
      </c>
      <c r="Y7567" s="21">
        <v>0</v>
      </c>
      <c r="Z7567" s="21">
        <v>0</v>
      </c>
      <c r="AA7567" s="21">
        <v>0</v>
      </c>
      <c r="AB7567" s="21">
        <v>0</v>
      </c>
      <c r="AC7567" s="21">
        <v>0</v>
      </c>
      <c r="AD7567" s="21">
        <v>0</v>
      </c>
      <c r="AE7567" s="21">
        <v>0</v>
      </c>
      <c r="AF7567" s="21">
        <v>0</v>
      </c>
      <c r="AG7567" s="21">
        <v>0</v>
      </c>
      <c r="AH7567" s="21">
        <f t="shared" si="144"/>
        <v>288</v>
      </c>
      <c r="AI7567" s="21"/>
      <c r="AJ7567" s="21" t="s">
        <v>51</v>
      </c>
      <c r="AK7567" s="21" t="s">
        <v>52</v>
      </c>
      <c r="AL7567" s="21" t="s">
        <v>2146</v>
      </c>
      <c r="AM7567" s="21" t="s">
        <v>3271</v>
      </c>
      <c r="AN7567" s="21">
        <v>-122.423413266667</v>
      </c>
      <c r="AO7567" s="21">
        <v>37.787567633333303</v>
      </c>
      <c r="AP7567" s="21" t="s">
        <v>1915</v>
      </c>
    </row>
    <row r="7568" spans="1:42">
      <c r="A7568" s="20">
        <v>43847</v>
      </c>
      <c r="B7568" s="21">
        <v>5</v>
      </c>
      <c r="C7568" s="21">
        <v>228</v>
      </c>
      <c r="D7568" s="21">
        <v>14444</v>
      </c>
      <c r="E7568" t="s">
        <v>112</v>
      </c>
      <c r="F7568" s="21" t="s">
        <v>104</v>
      </c>
      <c r="G7568" s="21">
        <v>2</v>
      </c>
      <c r="H7568" s="21">
        <v>43</v>
      </c>
      <c r="I7568" s="23" t="s">
        <v>3239</v>
      </c>
      <c r="J7568" s="21"/>
      <c r="K7568" s="21" t="s">
        <v>49</v>
      </c>
      <c r="L7568" s="21"/>
      <c r="M7568" s="21"/>
      <c r="N7568" s="21"/>
      <c r="O7568" s="21">
        <f>60+27</f>
        <v>87</v>
      </c>
      <c r="P7568" s="21"/>
      <c r="Q7568" s="21">
        <f t="shared" si="143"/>
        <v>2</v>
      </c>
      <c r="R7568" s="21">
        <v>1</v>
      </c>
      <c r="S7568" s="21">
        <v>0</v>
      </c>
      <c r="T7568" s="21">
        <v>0</v>
      </c>
      <c r="U7568" s="21">
        <v>0</v>
      </c>
      <c r="V7568" s="21">
        <v>0</v>
      </c>
      <c r="W7568" s="21">
        <v>2</v>
      </c>
      <c r="X7568" s="21">
        <v>0</v>
      </c>
      <c r="Y7568" s="21">
        <v>0</v>
      </c>
      <c r="Z7568" s="21">
        <v>0</v>
      </c>
      <c r="AA7568" s="21">
        <v>0</v>
      </c>
      <c r="AB7568" s="21">
        <v>0</v>
      </c>
      <c r="AC7568" s="21">
        <v>0</v>
      </c>
      <c r="AD7568" s="21">
        <v>0</v>
      </c>
      <c r="AE7568" s="21">
        <v>0</v>
      </c>
      <c r="AF7568" s="21">
        <v>0</v>
      </c>
      <c r="AG7568" s="21">
        <v>0</v>
      </c>
      <c r="AH7568" s="21">
        <f t="shared" si="144"/>
        <v>192</v>
      </c>
      <c r="AI7568" s="21"/>
      <c r="AJ7568" s="21" t="s">
        <v>54</v>
      </c>
      <c r="AK7568" s="21" t="s">
        <v>95</v>
      </c>
      <c r="AL7568" s="21" t="s">
        <v>3272</v>
      </c>
      <c r="AM7568" s="21" t="s">
        <v>3273</v>
      </c>
      <c r="AN7568" s="21">
        <v>-122.42310980000001</v>
      </c>
      <c r="AO7568" s="21">
        <v>37.787903816666699</v>
      </c>
      <c r="AP7568" s="21" t="s">
        <v>1915</v>
      </c>
    </row>
    <row r="7569" spans="1:42">
      <c r="A7569" s="20">
        <v>43847</v>
      </c>
      <c r="B7569" s="21">
        <v>5</v>
      </c>
      <c r="C7569" s="21">
        <v>228</v>
      </c>
      <c r="D7569" s="21">
        <v>14444</v>
      </c>
      <c r="E7569" t="s">
        <v>112</v>
      </c>
      <c r="F7569" s="21" t="s">
        <v>104</v>
      </c>
      <c r="G7569" s="21">
        <v>2</v>
      </c>
      <c r="H7569" s="21">
        <v>44</v>
      </c>
      <c r="I7569" s="23" t="s">
        <v>3274</v>
      </c>
      <c r="J7569" s="21"/>
      <c r="K7569" s="21" t="s">
        <v>49</v>
      </c>
      <c r="L7569" s="21"/>
      <c r="M7569" s="21"/>
      <c r="N7569" s="21" t="s">
        <v>44</v>
      </c>
      <c r="O7569" s="21">
        <f>60+30</f>
        <v>90</v>
      </c>
      <c r="P7569" s="21"/>
      <c r="Q7569" s="21">
        <f t="shared" si="143"/>
        <v>2</v>
      </c>
      <c r="R7569" s="21">
        <v>1</v>
      </c>
      <c r="S7569" s="21">
        <v>0</v>
      </c>
      <c r="T7569" s="21">
        <v>0</v>
      </c>
      <c r="U7569" s="21">
        <v>0</v>
      </c>
      <c r="V7569" s="21">
        <v>2</v>
      </c>
      <c r="W7569" s="21">
        <v>0</v>
      </c>
      <c r="X7569" s="21">
        <v>0</v>
      </c>
      <c r="Y7569" s="21">
        <v>0</v>
      </c>
      <c r="Z7569" s="21">
        <v>0</v>
      </c>
      <c r="AA7569" s="21">
        <v>0</v>
      </c>
      <c r="AB7569" s="21">
        <v>0</v>
      </c>
      <c r="AC7569" s="21">
        <v>0</v>
      </c>
      <c r="AD7569" s="21">
        <v>0</v>
      </c>
      <c r="AE7569" s="21">
        <v>0</v>
      </c>
      <c r="AF7569" s="21">
        <v>0</v>
      </c>
      <c r="AG7569" s="21">
        <v>0</v>
      </c>
      <c r="AH7569" s="21">
        <f t="shared" si="144"/>
        <v>128</v>
      </c>
      <c r="AI7569" s="21"/>
      <c r="AJ7569" s="21" t="s">
        <v>54</v>
      </c>
      <c r="AK7569" s="21" t="s">
        <v>95</v>
      </c>
      <c r="AL7569" s="21" t="s">
        <v>3275</v>
      </c>
      <c r="AM7569" s="21" t="s">
        <v>3276</v>
      </c>
      <c r="AN7569" s="21">
        <v>-122.423316433333</v>
      </c>
      <c r="AO7569" s="21">
        <v>37.7879380166667</v>
      </c>
      <c r="AP7569" s="21" t="s">
        <v>1915</v>
      </c>
    </row>
    <row r="7570" spans="1:42">
      <c r="A7570" s="20">
        <v>43847</v>
      </c>
      <c r="B7570" s="21">
        <v>5</v>
      </c>
      <c r="C7570" s="21">
        <v>228</v>
      </c>
      <c r="D7570" s="21">
        <v>14444</v>
      </c>
      <c r="E7570" t="s">
        <v>112</v>
      </c>
      <c r="F7570" s="21" t="s">
        <v>104</v>
      </c>
      <c r="G7570" s="21">
        <v>2</v>
      </c>
      <c r="H7570" s="21">
        <v>45</v>
      </c>
      <c r="I7570" s="23" t="s">
        <v>3277</v>
      </c>
      <c r="J7570" s="21"/>
      <c r="K7570" s="21" t="s">
        <v>415</v>
      </c>
      <c r="L7570" s="21"/>
      <c r="M7570" s="21"/>
      <c r="N7570" s="21" t="s">
        <v>44</v>
      </c>
      <c r="O7570" s="21">
        <f>60+60+9</f>
        <v>129</v>
      </c>
      <c r="P7570" s="21"/>
      <c r="Q7570" s="21">
        <f t="shared" si="143"/>
        <v>3</v>
      </c>
      <c r="R7570" s="21">
        <v>1</v>
      </c>
      <c r="S7570" s="21">
        <v>0</v>
      </c>
      <c r="T7570" s="21">
        <v>0</v>
      </c>
      <c r="U7570" s="21">
        <v>0</v>
      </c>
      <c r="V7570" s="21">
        <v>1</v>
      </c>
      <c r="W7570" s="21">
        <v>2</v>
      </c>
      <c r="X7570" s="21">
        <v>0</v>
      </c>
      <c r="Y7570" s="21">
        <v>0</v>
      </c>
      <c r="Z7570" s="21">
        <v>0</v>
      </c>
      <c r="AA7570" s="21">
        <v>0</v>
      </c>
      <c r="AB7570" s="21">
        <v>0</v>
      </c>
      <c r="AC7570" s="21">
        <v>0</v>
      </c>
      <c r="AD7570" s="21">
        <v>0</v>
      </c>
      <c r="AE7570" s="21">
        <v>0</v>
      </c>
      <c r="AF7570" s="21">
        <v>0</v>
      </c>
      <c r="AG7570" s="21">
        <v>0</v>
      </c>
      <c r="AH7570" s="21">
        <f t="shared" si="144"/>
        <v>256</v>
      </c>
      <c r="AI7570" s="21"/>
      <c r="AJ7570" s="21" t="s">
        <v>54</v>
      </c>
      <c r="AK7570" s="21" t="s">
        <v>52</v>
      </c>
      <c r="AL7570" s="21"/>
      <c r="AM7570" s="21" t="s">
        <v>3278</v>
      </c>
      <c r="AN7570" s="21">
        <v>-122.42333675</v>
      </c>
      <c r="AO7570" s="21">
        <v>37.788497333333297</v>
      </c>
      <c r="AP7570" s="21" t="s">
        <v>1915</v>
      </c>
    </row>
    <row r="7571" spans="1:42">
      <c r="A7571" s="20">
        <v>43847</v>
      </c>
      <c r="B7571" s="21">
        <v>5</v>
      </c>
      <c r="C7571" s="21">
        <v>228</v>
      </c>
      <c r="D7571" s="21">
        <v>14444</v>
      </c>
      <c r="E7571" t="s">
        <v>112</v>
      </c>
      <c r="F7571" s="21" t="s">
        <v>104</v>
      </c>
      <c r="G7571" s="21">
        <v>2</v>
      </c>
      <c r="H7571" s="21">
        <v>46</v>
      </c>
      <c r="I7571" s="23" t="s">
        <v>3011</v>
      </c>
      <c r="J7571" s="21"/>
      <c r="K7571" s="21" t="s">
        <v>49</v>
      </c>
      <c r="L7571" s="21" t="s">
        <v>141</v>
      </c>
      <c r="M7571" s="21"/>
      <c r="N7571" s="21" t="s">
        <v>40</v>
      </c>
      <c r="O7571" s="21">
        <v>23</v>
      </c>
      <c r="P7571" s="21"/>
      <c r="Q7571" s="21">
        <f t="shared" si="143"/>
        <v>1</v>
      </c>
      <c r="R7571" s="21">
        <v>1</v>
      </c>
      <c r="S7571" s="21">
        <v>0</v>
      </c>
      <c r="T7571" s="21">
        <v>0</v>
      </c>
      <c r="U7571" s="21">
        <v>0</v>
      </c>
      <c r="V7571" s="21">
        <v>0</v>
      </c>
      <c r="W7571" s="21">
        <v>0</v>
      </c>
      <c r="X7571" s="21">
        <v>1</v>
      </c>
      <c r="Y7571" s="21">
        <v>0</v>
      </c>
      <c r="Z7571" s="21">
        <v>0</v>
      </c>
      <c r="AA7571" s="21">
        <v>0</v>
      </c>
      <c r="AB7571" s="21">
        <v>0</v>
      </c>
      <c r="AC7571" s="21">
        <v>0</v>
      </c>
      <c r="AD7571" s="21">
        <v>0</v>
      </c>
      <c r="AE7571" s="21">
        <v>0</v>
      </c>
      <c r="AF7571" s="21">
        <v>0</v>
      </c>
      <c r="AG7571" s="21">
        <v>0</v>
      </c>
      <c r="AH7571" s="21">
        <f t="shared" si="144"/>
        <v>0</v>
      </c>
      <c r="AI7571" s="21"/>
      <c r="AJ7571" s="21" t="s">
        <v>51</v>
      </c>
      <c r="AK7571" s="21"/>
      <c r="AL7571" s="21" t="s">
        <v>470</v>
      </c>
      <c r="AM7571" s="21" t="s">
        <v>3279</v>
      </c>
      <c r="AN7571" s="21">
        <v>-122.4219818</v>
      </c>
      <c r="AO7571" s="21">
        <v>37.788146583333301</v>
      </c>
      <c r="AP7571" s="21" t="s">
        <v>1915</v>
      </c>
    </row>
    <row r="7572" spans="1:42">
      <c r="A7572" s="20">
        <v>43847</v>
      </c>
      <c r="B7572" s="21">
        <v>5</v>
      </c>
      <c r="C7572" s="21">
        <v>228</v>
      </c>
      <c r="D7572" s="21">
        <v>14444</v>
      </c>
      <c r="E7572" t="s">
        <v>112</v>
      </c>
      <c r="F7572" s="21" t="s">
        <v>104</v>
      </c>
      <c r="G7572" s="21">
        <v>2</v>
      </c>
      <c r="H7572" s="21">
        <v>47</v>
      </c>
      <c r="I7572" s="23" t="s">
        <v>3011</v>
      </c>
      <c r="J7572" s="21"/>
      <c r="K7572" s="21" t="s">
        <v>49</v>
      </c>
      <c r="L7572" s="21"/>
      <c r="M7572" s="21"/>
      <c r="N7572" s="21" t="s">
        <v>40</v>
      </c>
      <c r="O7572" s="21">
        <f>60+26</f>
        <v>86</v>
      </c>
      <c r="P7572" s="21"/>
      <c r="Q7572" s="21">
        <f t="shared" si="143"/>
        <v>3</v>
      </c>
      <c r="R7572" s="21">
        <v>1</v>
      </c>
      <c r="S7572" s="21">
        <v>0</v>
      </c>
      <c r="T7572" s="21">
        <v>0</v>
      </c>
      <c r="U7572" s="21">
        <v>0</v>
      </c>
      <c r="V7572" s="21">
        <v>3</v>
      </c>
      <c r="W7572" s="21">
        <v>0</v>
      </c>
      <c r="X7572" s="21">
        <v>0</v>
      </c>
      <c r="Y7572" s="21">
        <v>0</v>
      </c>
      <c r="Z7572" s="21">
        <v>0</v>
      </c>
      <c r="AA7572" s="21">
        <v>0</v>
      </c>
      <c r="AB7572" s="21">
        <v>0</v>
      </c>
      <c r="AC7572" s="21">
        <v>0</v>
      </c>
      <c r="AD7572" s="21">
        <v>0</v>
      </c>
      <c r="AE7572" s="21">
        <v>0</v>
      </c>
      <c r="AF7572" s="21">
        <v>0</v>
      </c>
      <c r="AG7572" s="21">
        <v>0</v>
      </c>
      <c r="AH7572" s="21">
        <f t="shared" si="144"/>
        <v>192</v>
      </c>
      <c r="AI7572" s="21"/>
      <c r="AJ7572" s="21"/>
      <c r="AK7572" s="21"/>
      <c r="AL7572" s="21"/>
      <c r="AM7572" s="21" t="s">
        <v>3280</v>
      </c>
      <c r="AN7572" s="21">
        <v>-122.42218301666701</v>
      </c>
      <c r="AO7572" s="21">
        <v>37.787463700000004</v>
      </c>
      <c r="AP7572" s="21" t="s">
        <v>1915</v>
      </c>
    </row>
    <row r="7573" spans="1:42">
      <c r="A7573" s="20">
        <v>43847</v>
      </c>
      <c r="B7573" s="21">
        <v>5</v>
      </c>
      <c r="C7573" s="21">
        <v>228</v>
      </c>
      <c r="D7573" s="21">
        <v>14444</v>
      </c>
      <c r="E7573" t="s">
        <v>112</v>
      </c>
      <c r="F7573" s="21" t="s">
        <v>104</v>
      </c>
      <c r="G7573" s="21">
        <v>2</v>
      </c>
      <c r="H7573" s="21">
        <v>48</v>
      </c>
      <c r="I7573" s="23" t="s">
        <v>3281</v>
      </c>
      <c r="J7573" s="21"/>
      <c r="K7573" s="21" t="s">
        <v>415</v>
      </c>
      <c r="L7573" s="21"/>
      <c r="M7573" s="21"/>
      <c r="N7573" s="21" t="s">
        <v>40</v>
      </c>
      <c r="O7573" s="21">
        <f>60+36</f>
        <v>96</v>
      </c>
      <c r="P7573" s="21"/>
      <c r="Q7573" s="21">
        <f t="shared" si="143"/>
        <v>2</v>
      </c>
      <c r="R7573" s="21">
        <v>1</v>
      </c>
      <c r="S7573" s="21">
        <v>0</v>
      </c>
      <c r="T7573" s="21">
        <v>0</v>
      </c>
      <c r="U7573" s="21">
        <v>0</v>
      </c>
      <c r="V7573" s="21">
        <v>2</v>
      </c>
      <c r="W7573" s="21">
        <v>0</v>
      </c>
      <c r="X7573" s="21">
        <v>0</v>
      </c>
      <c r="Y7573" s="21">
        <v>0</v>
      </c>
      <c r="Z7573" s="21">
        <v>0</v>
      </c>
      <c r="AA7573" s="21">
        <v>0</v>
      </c>
      <c r="AB7573" s="21">
        <v>0</v>
      </c>
      <c r="AC7573" s="21">
        <v>0</v>
      </c>
      <c r="AD7573" s="21">
        <v>0</v>
      </c>
      <c r="AE7573" s="21">
        <v>0</v>
      </c>
      <c r="AF7573" s="21">
        <v>0</v>
      </c>
      <c r="AG7573" s="21">
        <v>0</v>
      </c>
      <c r="AH7573" s="21">
        <f t="shared" si="144"/>
        <v>128</v>
      </c>
      <c r="AI7573" s="21"/>
      <c r="AJ7573" s="21"/>
      <c r="AK7573" s="21"/>
      <c r="AL7573" s="21" t="s">
        <v>3021</v>
      </c>
      <c r="AM7573" s="21" t="s">
        <v>3282</v>
      </c>
      <c r="AN7573" s="21">
        <v>-122.422387033333</v>
      </c>
      <c r="AO7573" s="21">
        <v>37.7874226333333</v>
      </c>
      <c r="AP7573" s="21" t="s">
        <v>1915</v>
      </c>
    </row>
    <row r="7574" spans="1:42">
      <c r="A7574" s="20">
        <v>43847</v>
      </c>
      <c r="B7574" s="21">
        <v>5</v>
      </c>
      <c r="C7574" s="21">
        <v>228</v>
      </c>
      <c r="D7574" s="21">
        <v>14444</v>
      </c>
      <c r="E7574" t="s">
        <v>112</v>
      </c>
      <c r="F7574" s="21" t="s">
        <v>104</v>
      </c>
      <c r="G7574" s="21">
        <v>2</v>
      </c>
      <c r="H7574" s="21">
        <v>49</v>
      </c>
      <c r="I7574" s="23" t="s">
        <v>2460</v>
      </c>
      <c r="J7574" s="21"/>
      <c r="K7574" s="21" t="s">
        <v>3260</v>
      </c>
      <c r="L7574" s="21"/>
      <c r="M7574" s="21"/>
      <c r="N7574" s="21" t="s">
        <v>44</v>
      </c>
      <c r="O7574" s="21">
        <f>60+60+60+56</f>
        <v>236</v>
      </c>
      <c r="P7574" s="21"/>
      <c r="Q7574" s="21">
        <f t="shared" si="143"/>
        <v>2</v>
      </c>
      <c r="R7574" s="21">
        <v>1</v>
      </c>
      <c r="S7574" s="21">
        <v>0</v>
      </c>
      <c r="T7574" s="21">
        <v>0</v>
      </c>
      <c r="U7574" s="21">
        <v>0</v>
      </c>
      <c r="V7574" s="21">
        <v>0</v>
      </c>
      <c r="W7574" s="21">
        <v>2</v>
      </c>
      <c r="X7574" s="21">
        <v>0</v>
      </c>
      <c r="Y7574" s="21">
        <v>0</v>
      </c>
      <c r="Z7574" s="21">
        <v>0</v>
      </c>
      <c r="AA7574" s="21">
        <v>0</v>
      </c>
      <c r="AB7574" s="21">
        <v>0</v>
      </c>
      <c r="AC7574" s="21">
        <v>0</v>
      </c>
      <c r="AD7574" s="21">
        <v>0</v>
      </c>
      <c r="AE7574" s="21">
        <v>0</v>
      </c>
      <c r="AF7574" s="21">
        <v>0</v>
      </c>
      <c r="AG7574" s="21">
        <v>0</v>
      </c>
      <c r="AH7574" s="21">
        <f t="shared" si="144"/>
        <v>192</v>
      </c>
      <c r="AI7574" s="21"/>
      <c r="AJ7574" s="21" t="s">
        <v>54</v>
      </c>
      <c r="AK7574" s="21" t="s">
        <v>52</v>
      </c>
      <c r="AL7574" s="21" t="s">
        <v>654</v>
      </c>
      <c r="AM7574" s="21" t="s">
        <v>3283</v>
      </c>
      <c r="AN7574" s="21">
        <v>-122.42262495</v>
      </c>
      <c r="AO7574" s="21">
        <v>37.787408233333302</v>
      </c>
      <c r="AP7574" s="21" t="s">
        <v>1915</v>
      </c>
    </row>
    <row r="7575" spans="1:42">
      <c r="A7575" s="20">
        <v>43847</v>
      </c>
      <c r="B7575" s="21">
        <v>5</v>
      </c>
      <c r="C7575" s="21">
        <v>228</v>
      </c>
      <c r="D7575" s="21">
        <v>14444</v>
      </c>
      <c r="E7575" t="s">
        <v>112</v>
      </c>
      <c r="F7575" s="21" t="s">
        <v>104</v>
      </c>
      <c r="G7575" s="21">
        <v>2</v>
      </c>
      <c r="H7575" s="21">
        <v>50</v>
      </c>
      <c r="I7575" s="23" t="s">
        <v>3011</v>
      </c>
      <c r="J7575" s="21"/>
      <c r="K7575" s="21" t="s">
        <v>49</v>
      </c>
      <c r="L7575" s="21"/>
      <c r="M7575" s="21"/>
      <c r="N7575" s="21" t="s">
        <v>1703</v>
      </c>
      <c r="O7575" s="21">
        <f>60+60+60+60+60+60+30</f>
        <v>390</v>
      </c>
      <c r="P7575" s="21"/>
      <c r="Q7575" s="21">
        <f t="shared" si="143"/>
        <v>4</v>
      </c>
      <c r="R7575" s="21">
        <v>1</v>
      </c>
      <c r="S7575" s="21">
        <v>0</v>
      </c>
      <c r="T7575" s="21">
        <v>0</v>
      </c>
      <c r="U7575" s="21">
        <v>0</v>
      </c>
      <c r="V7575" s="21">
        <v>1</v>
      </c>
      <c r="W7575" s="21">
        <v>3</v>
      </c>
      <c r="X7575" s="21">
        <v>0</v>
      </c>
      <c r="Y7575" s="21">
        <v>0</v>
      </c>
      <c r="Z7575" s="21">
        <v>0</v>
      </c>
      <c r="AA7575" s="21">
        <v>0</v>
      </c>
      <c r="AB7575" s="21">
        <v>0</v>
      </c>
      <c r="AC7575" s="21">
        <v>0</v>
      </c>
      <c r="AD7575" s="21">
        <v>0</v>
      </c>
      <c r="AE7575" s="21">
        <v>0</v>
      </c>
      <c r="AF7575" s="21">
        <v>0</v>
      </c>
      <c r="AG7575" s="21">
        <v>0</v>
      </c>
      <c r="AH7575" s="21">
        <f t="shared" si="144"/>
        <v>352</v>
      </c>
      <c r="AI7575" s="21"/>
      <c r="AJ7575" s="21" t="s">
        <v>54</v>
      </c>
      <c r="AK7575" s="21" t="s">
        <v>52</v>
      </c>
      <c r="AL7575" s="21" t="s">
        <v>3284</v>
      </c>
      <c r="AM7575" s="21" t="s">
        <v>3285</v>
      </c>
      <c r="AN7575" s="21">
        <v>-122.4233285</v>
      </c>
      <c r="AO7575" s="21">
        <v>37.787359033333303</v>
      </c>
      <c r="AP7575" s="21" t="s">
        <v>1915</v>
      </c>
    </row>
    <row r="7576" spans="1:42">
      <c r="A7576" s="20">
        <v>43847</v>
      </c>
      <c r="B7576" s="21">
        <v>5</v>
      </c>
      <c r="C7576" s="21">
        <v>228</v>
      </c>
      <c r="D7576" s="21">
        <v>14444</v>
      </c>
      <c r="E7576" t="s">
        <v>112</v>
      </c>
      <c r="F7576" s="21" t="s">
        <v>104</v>
      </c>
      <c r="G7576" s="21">
        <v>2</v>
      </c>
      <c r="H7576" s="21">
        <v>51</v>
      </c>
      <c r="I7576" s="23" t="s">
        <v>3286</v>
      </c>
      <c r="J7576" s="21"/>
      <c r="K7576" s="21" t="s">
        <v>631</v>
      </c>
      <c r="L7576" s="21"/>
      <c r="M7576" s="21"/>
      <c r="N7576" s="21" t="s">
        <v>44</v>
      </c>
      <c r="O7576" s="21">
        <f>60+60+60+43</f>
        <v>223</v>
      </c>
      <c r="P7576" s="21"/>
      <c r="Q7576" s="21">
        <f t="shared" si="143"/>
        <v>3</v>
      </c>
      <c r="R7576" s="21">
        <v>1</v>
      </c>
      <c r="S7576" s="21">
        <v>0</v>
      </c>
      <c r="T7576" s="21">
        <v>0</v>
      </c>
      <c r="U7576" s="21">
        <v>0</v>
      </c>
      <c r="V7576" s="21">
        <v>1</v>
      </c>
      <c r="W7576" s="21">
        <v>2</v>
      </c>
      <c r="X7576" s="21">
        <v>0</v>
      </c>
      <c r="Y7576" s="21">
        <v>0</v>
      </c>
      <c r="Z7576" s="21">
        <v>0</v>
      </c>
      <c r="AA7576" s="21">
        <v>0</v>
      </c>
      <c r="AB7576" s="21">
        <v>0</v>
      </c>
      <c r="AC7576" s="21">
        <v>0</v>
      </c>
      <c r="AD7576" s="21">
        <v>0</v>
      </c>
      <c r="AE7576" s="21">
        <v>0</v>
      </c>
      <c r="AF7576" s="21">
        <v>0</v>
      </c>
      <c r="AG7576" s="21">
        <v>0</v>
      </c>
      <c r="AH7576" s="21">
        <f t="shared" si="144"/>
        <v>256</v>
      </c>
      <c r="AI7576" s="21"/>
      <c r="AJ7576" s="21" t="s">
        <v>54</v>
      </c>
      <c r="AK7576" s="21" t="s">
        <v>52</v>
      </c>
      <c r="AL7576" s="21" t="s">
        <v>1957</v>
      </c>
      <c r="AM7576" s="21" t="s">
        <v>3287</v>
      </c>
      <c r="AN7576" s="21">
        <v>-122.421832083333</v>
      </c>
      <c r="AO7576" s="21">
        <v>37.782665733333303</v>
      </c>
      <c r="AP7576" s="21" t="s">
        <v>1915</v>
      </c>
    </row>
    <row r="7577" spans="1:42">
      <c r="A7577" s="20">
        <v>43847</v>
      </c>
      <c r="B7577" s="21">
        <v>5</v>
      </c>
      <c r="C7577" s="21">
        <v>228</v>
      </c>
      <c r="D7577" s="21">
        <v>14444</v>
      </c>
      <c r="E7577" t="s">
        <v>112</v>
      </c>
      <c r="F7577" s="21" t="s">
        <v>104</v>
      </c>
      <c r="G7577" s="21">
        <v>2</v>
      </c>
      <c r="H7577" s="21">
        <v>52</v>
      </c>
      <c r="I7577" s="23" t="s">
        <v>3288</v>
      </c>
      <c r="J7577" s="21"/>
      <c r="K7577" s="21" t="s">
        <v>3181</v>
      </c>
      <c r="L7577" s="21"/>
      <c r="M7577" s="21"/>
      <c r="N7577" s="21" t="s">
        <v>44</v>
      </c>
      <c r="O7577" s="21">
        <f>60+60+60+35</f>
        <v>215</v>
      </c>
      <c r="P7577" s="21"/>
      <c r="Q7577" s="21">
        <f t="shared" si="143"/>
        <v>4</v>
      </c>
      <c r="R7577" s="21">
        <v>1</v>
      </c>
      <c r="S7577" s="21">
        <v>0</v>
      </c>
      <c r="T7577" s="21">
        <v>0</v>
      </c>
      <c r="U7577" s="21">
        <v>0</v>
      </c>
      <c r="V7577" s="21">
        <v>1</v>
      </c>
      <c r="W7577" s="21">
        <v>3</v>
      </c>
      <c r="X7577" s="21">
        <v>0</v>
      </c>
      <c r="Y7577" s="21">
        <v>0</v>
      </c>
      <c r="Z7577" s="21">
        <v>0</v>
      </c>
      <c r="AA7577" s="21">
        <v>0</v>
      </c>
      <c r="AB7577" s="21">
        <v>0</v>
      </c>
      <c r="AC7577" s="21">
        <v>0</v>
      </c>
      <c r="AD7577" s="21">
        <v>0</v>
      </c>
      <c r="AE7577" s="21">
        <v>0</v>
      </c>
      <c r="AF7577" s="21">
        <v>0</v>
      </c>
      <c r="AG7577" s="21">
        <v>0</v>
      </c>
      <c r="AH7577" s="21">
        <f t="shared" si="144"/>
        <v>352</v>
      </c>
      <c r="AI7577" s="21"/>
      <c r="AJ7577" s="21" t="s">
        <v>54</v>
      </c>
      <c r="AK7577" s="21" t="s">
        <v>95</v>
      </c>
      <c r="AL7577" s="21" t="s">
        <v>3207</v>
      </c>
      <c r="AM7577" s="21" t="s">
        <v>3289</v>
      </c>
      <c r="AN7577" s="21">
        <v>-122.421841233333</v>
      </c>
      <c r="AO7577" s="21">
        <v>37.782210566666599</v>
      </c>
      <c r="AP7577" s="21" t="s">
        <v>1915</v>
      </c>
    </row>
    <row r="7578" spans="1:42">
      <c r="A7578" s="20">
        <v>43847</v>
      </c>
      <c r="B7578" s="21">
        <v>5</v>
      </c>
      <c r="C7578" s="21">
        <v>228</v>
      </c>
      <c r="D7578" s="21">
        <v>14444</v>
      </c>
      <c r="E7578" t="s">
        <v>112</v>
      </c>
      <c r="F7578" s="21" t="s">
        <v>104</v>
      </c>
      <c r="G7578" s="21">
        <v>2</v>
      </c>
      <c r="H7578" s="21">
        <v>53</v>
      </c>
      <c r="I7578" s="23" t="s">
        <v>3013</v>
      </c>
      <c r="J7578" s="21"/>
      <c r="K7578" s="21" t="s">
        <v>49</v>
      </c>
      <c r="L7578" s="21"/>
      <c r="M7578" s="21"/>
      <c r="N7578" s="21" t="s">
        <v>40</v>
      </c>
      <c r="O7578" s="21">
        <v>18</v>
      </c>
      <c r="P7578" s="21"/>
      <c r="Q7578" s="21">
        <f t="shared" si="143"/>
        <v>1</v>
      </c>
      <c r="R7578" s="21">
        <v>1</v>
      </c>
      <c r="S7578" s="21">
        <v>0</v>
      </c>
      <c r="T7578" s="21">
        <v>0</v>
      </c>
      <c r="U7578" s="21">
        <v>0</v>
      </c>
      <c r="V7578" s="21">
        <v>0</v>
      </c>
      <c r="W7578" s="21">
        <v>0</v>
      </c>
      <c r="X7578" s="21">
        <v>1</v>
      </c>
      <c r="Y7578" s="21">
        <v>0</v>
      </c>
      <c r="Z7578" s="21">
        <v>0</v>
      </c>
      <c r="AA7578" s="21">
        <v>0</v>
      </c>
      <c r="AB7578" s="21">
        <v>0</v>
      </c>
      <c r="AC7578" s="21">
        <v>0</v>
      </c>
      <c r="AD7578" s="21">
        <v>0</v>
      </c>
      <c r="AE7578" s="21">
        <v>0</v>
      </c>
      <c r="AF7578" s="21">
        <v>0</v>
      </c>
      <c r="AG7578" s="21">
        <v>0</v>
      </c>
      <c r="AH7578" s="21">
        <f t="shared" si="144"/>
        <v>0</v>
      </c>
      <c r="AI7578" s="21"/>
      <c r="AJ7578" s="21"/>
      <c r="AK7578" s="21"/>
      <c r="AL7578" s="21" t="s">
        <v>470</v>
      </c>
      <c r="AM7578" s="21" t="s">
        <v>3290</v>
      </c>
      <c r="AN7578" s="21">
        <v>-122.42491938333301</v>
      </c>
      <c r="AO7578" s="21">
        <v>37.787092483333304</v>
      </c>
      <c r="AP7578" s="21" t="s">
        <v>1915</v>
      </c>
    </row>
    <row r="7579" spans="1:42">
      <c r="A7579" s="20">
        <v>43847</v>
      </c>
      <c r="B7579" s="21">
        <v>5</v>
      </c>
      <c r="C7579" s="21">
        <v>228</v>
      </c>
      <c r="D7579" s="21">
        <v>14444</v>
      </c>
      <c r="E7579" t="s">
        <v>112</v>
      </c>
      <c r="F7579" s="21" t="s">
        <v>104</v>
      </c>
      <c r="G7579" s="21">
        <v>2</v>
      </c>
      <c r="H7579" s="21">
        <v>54</v>
      </c>
      <c r="I7579" s="23" t="s">
        <v>3171</v>
      </c>
      <c r="J7579" s="21"/>
      <c r="K7579" s="21" t="s">
        <v>49</v>
      </c>
      <c r="L7579" s="21"/>
      <c r="M7579" s="21"/>
      <c r="N7579" s="21" t="s">
        <v>44</v>
      </c>
      <c r="O7579" s="21">
        <v>178</v>
      </c>
      <c r="P7579" s="21"/>
      <c r="Q7579" s="21">
        <f t="shared" si="143"/>
        <v>2</v>
      </c>
      <c r="R7579" s="21">
        <v>1</v>
      </c>
      <c r="S7579" s="21">
        <v>0</v>
      </c>
      <c r="T7579" s="21">
        <v>0</v>
      </c>
      <c r="U7579" s="21">
        <v>0</v>
      </c>
      <c r="V7579" s="21">
        <v>0</v>
      </c>
      <c r="W7579" s="21">
        <v>2</v>
      </c>
      <c r="X7579" s="21">
        <v>0</v>
      </c>
      <c r="Y7579" s="21">
        <v>0</v>
      </c>
      <c r="Z7579" s="21">
        <v>0</v>
      </c>
      <c r="AA7579" s="21">
        <v>0</v>
      </c>
      <c r="AB7579" s="21">
        <v>0</v>
      </c>
      <c r="AC7579" s="21">
        <v>0</v>
      </c>
      <c r="AD7579" s="21">
        <v>0</v>
      </c>
      <c r="AE7579" s="21">
        <v>0</v>
      </c>
      <c r="AF7579" s="21">
        <v>0</v>
      </c>
      <c r="AG7579" s="21">
        <v>0</v>
      </c>
      <c r="AH7579" s="21">
        <f t="shared" si="144"/>
        <v>192</v>
      </c>
      <c r="AI7579" s="21"/>
      <c r="AJ7579" s="21" t="s">
        <v>54</v>
      </c>
      <c r="AK7579" s="21" t="s">
        <v>52</v>
      </c>
      <c r="AL7579" s="21" t="s">
        <v>3291</v>
      </c>
      <c r="AM7579" s="21" t="s">
        <v>3292</v>
      </c>
      <c r="AN7579" s="21">
        <v>-122.42562650000001</v>
      </c>
      <c r="AO7579" s="21">
        <v>37.787089666666603</v>
      </c>
      <c r="AP7579" s="21" t="s">
        <v>1915</v>
      </c>
    </row>
    <row r="7580" spans="1:42">
      <c r="A7580" s="20">
        <v>43847</v>
      </c>
      <c r="B7580" s="21">
        <v>5</v>
      </c>
      <c r="C7580" s="21">
        <v>228</v>
      </c>
      <c r="D7580" s="21">
        <v>14444</v>
      </c>
      <c r="E7580" t="s">
        <v>112</v>
      </c>
      <c r="F7580" s="21" t="s">
        <v>104</v>
      </c>
      <c r="G7580" s="21">
        <v>2</v>
      </c>
      <c r="H7580" s="21">
        <v>55</v>
      </c>
      <c r="I7580" s="23" t="s">
        <v>3293</v>
      </c>
      <c r="J7580" s="21"/>
      <c r="K7580" s="21" t="s">
        <v>3260</v>
      </c>
      <c r="L7580" s="21"/>
      <c r="M7580" s="21"/>
      <c r="N7580" s="21" t="s">
        <v>40</v>
      </c>
      <c r="O7580" s="21">
        <v>46</v>
      </c>
      <c r="P7580" s="21"/>
      <c r="Q7580" s="21">
        <f t="shared" si="143"/>
        <v>1</v>
      </c>
      <c r="R7580" s="21">
        <v>1</v>
      </c>
      <c r="S7580" s="21">
        <v>0</v>
      </c>
      <c r="T7580" s="21">
        <v>0</v>
      </c>
      <c r="U7580" s="21">
        <v>0</v>
      </c>
      <c r="V7580" s="21">
        <v>0</v>
      </c>
      <c r="W7580" s="21">
        <v>1</v>
      </c>
      <c r="X7580" s="21">
        <v>0</v>
      </c>
      <c r="Y7580" s="21">
        <v>0</v>
      </c>
      <c r="Z7580" s="21">
        <v>0</v>
      </c>
      <c r="AA7580" s="21">
        <v>0</v>
      </c>
      <c r="AB7580" s="21">
        <v>0</v>
      </c>
      <c r="AC7580" s="21">
        <v>0</v>
      </c>
      <c r="AD7580" s="21">
        <v>0</v>
      </c>
      <c r="AE7580" s="21">
        <v>0</v>
      </c>
      <c r="AF7580" s="21">
        <v>0</v>
      </c>
      <c r="AG7580" s="21">
        <v>0</v>
      </c>
      <c r="AH7580" s="21">
        <f t="shared" si="144"/>
        <v>96</v>
      </c>
      <c r="AI7580" s="21"/>
      <c r="AJ7580" s="21"/>
      <c r="AK7580" s="21"/>
      <c r="AL7580" s="21"/>
      <c r="AM7580" s="21" t="s">
        <v>3294</v>
      </c>
      <c r="AN7580" s="21">
        <v>-122.4263411</v>
      </c>
      <c r="AO7580" s="21">
        <v>37.787143766666702</v>
      </c>
      <c r="AP7580" s="21" t="s">
        <v>1915</v>
      </c>
    </row>
    <row r="7581" spans="1:42">
      <c r="A7581" s="20">
        <v>43847</v>
      </c>
      <c r="B7581" s="21">
        <v>5</v>
      </c>
      <c r="C7581" s="21">
        <v>228</v>
      </c>
      <c r="D7581" s="21">
        <v>14444</v>
      </c>
      <c r="E7581" t="s">
        <v>112</v>
      </c>
      <c r="F7581" s="21" t="s">
        <v>104</v>
      </c>
      <c r="G7581" s="21">
        <v>2</v>
      </c>
      <c r="H7581" s="21">
        <v>56</v>
      </c>
      <c r="I7581" s="23" t="s">
        <v>3295</v>
      </c>
      <c r="J7581" s="21"/>
      <c r="K7581" s="21" t="s">
        <v>49</v>
      </c>
      <c r="L7581" s="21"/>
      <c r="M7581" s="21"/>
      <c r="N7581" s="21" t="s">
        <v>44</v>
      </c>
      <c r="O7581" s="21">
        <f>60+60+17</f>
        <v>137</v>
      </c>
      <c r="P7581" s="21"/>
      <c r="Q7581" s="21">
        <f t="shared" si="143"/>
        <v>1</v>
      </c>
      <c r="R7581" s="21">
        <v>1</v>
      </c>
      <c r="S7581" s="21">
        <v>0</v>
      </c>
      <c r="T7581" s="21">
        <v>0</v>
      </c>
      <c r="U7581" s="21">
        <v>0</v>
      </c>
      <c r="V7581" s="21">
        <v>0</v>
      </c>
      <c r="W7581" s="21">
        <v>1</v>
      </c>
      <c r="X7581" s="21">
        <v>0</v>
      </c>
      <c r="Y7581" s="21">
        <v>0</v>
      </c>
      <c r="Z7581" s="21">
        <v>0</v>
      </c>
      <c r="AA7581" s="21">
        <v>0</v>
      </c>
      <c r="AB7581" s="21">
        <v>0</v>
      </c>
      <c r="AC7581" s="21">
        <v>0</v>
      </c>
      <c r="AD7581" s="21">
        <v>0</v>
      </c>
      <c r="AE7581" s="21">
        <v>0</v>
      </c>
      <c r="AF7581" s="21">
        <v>0</v>
      </c>
      <c r="AG7581" s="21">
        <v>0</v>
      </c>
      <c r="AH7581" s="21">
        <f t="shared" si="144"/>
        <v>96</v>
      </c>
      <c r="AI7581" s="21"/>
      <c r="AJ7581" s="21" t="s">
        <v>54</v>
      </c>
      <c r="AK7581" s="21" t="s">
        <v>52</v>
      </c>
      <c r="AL7581" s="21" t="s">
        <v>3296</v>
      </c>
      <c r="AM7581" s="21" t="s">
        <v>3297</v>
      </c>
      <c r="AN7581" s="21">
        <v>-122.42748095</v>
      </c>
      <c r="AO7581" s="21">
        <v>37.786906850000001</v>
      </c>
      <c r="AP7581" s="21" t="s">
        <v>1915</v>
      </c>
    </row>
    <row r="7582" spans="1:42">
      <c r="A7582" s="20">
        <v>43847</v>
      </c>
      <c r="B7582" s="21">
        <v>5</v>
      </c>
      <c r="C7582" s="21">
        <v>228</v>
      </c>
      <c r="D7582" s="21">
        <v>14444</v>
      </c>
      <c r="E7582" t="s">
        <v>112</v>
      </c>
      <c r="F7582" s="21" t="s">
        <v>104</v>
      </c>
      <c r="G7582" s="21">
        <v>2</v>
      </c>
      <c r="H7582" s="21">
        <v>57</v>
      </c>
      <c r="I7582" s="23" t="s">
        <v>3298</v>
      </c>
      <c r="J7582" s="21"/>
      <c r="K7582" s="21" t="s">
        <v>49</v>
      </c>
      <c r="L7582" s="21"/>
      <c r="M7582" s="21"/>
      <c r="N7582" s="21" t="s">
        <v>44</v>
      </c>
      <c r="O7582" s="21">
        <f>60+56</f>
        <v>116</v>
      </c>
      <c r="P7582" s="21"/>
      <c r="Q7582" s="21">
        <f t="shared" si="143"/>
        <v>2</v>
      </c>
      <c r="R7582" s="21">
        <v>1</v>
      </c>
      <c r="S7582" s="21">
        <v>0</v>
      </c>
      <c r="T7582" s="21">
        <v>0</v>
      </c>
      <c r="U7582" s="21">
        <v>0</v>
      </c>
      <c r="V7582" s="21">
        <v>1</v>
      </c>
      <c r="W7582" s="21">
        <v>1</v>
      </c>
      <c r="X7582" s="21">
        <v>0</v>
      </c>
      <c r="Y7582" s="21">
        <v>0</v>
      </c>
      <c r="Z7582" s="21">
        <v>0</v>
      </c>
      <c r="AA7582" s="21">
        <v>0</v>
      </c>
      <c r="AB7582" s="21">
        <v>0</v>
      </c>
      <c r="AC7582" s="21">
        <v>0</v>
      </c>
      <c r="AD7582" s="21">
        <v>0</v>
      </c>
      <c r="AE7582" s="21">
        <v>0</v>
      </c>
      <c r="AF7582" s="21">
        <v>0</v>
      </c>
      <c r="AG7582" s="21">
        <v>0</v>
      </c>
      <c r="AH7582" s="21">
        <f t="shared" si="144"/>
        <v>160</v>
      </c>
      <c r="AI7582" s="21"/>
      <c r="AJ7582" s="21"/>
      <c r="AK7582" s="21"/>
      <c r="AL7582" s="21"/>
      <c r="AM7582" s="21" t="s">
        <v>3299</v>
      </c>
      <c r="AN7582" s="21">
        <v>-122.4277362</v>
      </c>
      <c r="AO7582" s="21">
        <v>37.786843033333298</v>
      </c>
      <c r="AP7582" s="21" t="s">
        <v>1915</v>
      </c>
    </row>
    <row r="7583" spans="1:42">
      <c r="A7583" s="20">
        <v>43847</v>
      </c>
      <c r="B7583" s="21">
        <v>5</v>
      </c>
      <c r="C7583" s="21">
        <v>228</v>
      </c>
      <c r="D7583" s="21">
        <v>14444</v>
      </c>
      <c r="E7583" t="s">
        <v>112</v>
      </c>
      <c r="F7583" s="21" t="s">
        <v>104</v>
      </c>
      <c r="G7583" s="21">
        <v>2</v>
      </c>
      <c r="H7583" s="21">
        <v>58</v>
      </c>
      <c r="I7583" s="23" t="s">
        <v>3100</v>
      </c>
      <c r="J7583" s="21"/>
      <c r="K7583" s="21" t="s">
        <v>49</v>
      </c>
      <c r="L7583" s="21"/>
      <c r="M7583" s="21"/>
      <c r="N7583" s="21" t="s">
        <v>40</v>
      </c>
      <c r="O7583" s="21">
        <f>60+7</f>
        <v>67</v>
      </c>
      <c r="P7583" s="21"/>
      <c r="Q7583" s="21">
        <f t="shared" si="143"/>
        <v>1</v>
      </c>
      <c r="R7583" s="21">
        <v>1</v>
      </c>
      <c r="S7583" s="21">
        <v>0</v>
      </c>
      <c r="T7583" s="21">
        <v>0</v>
      </c>
      <c r="U7583" s="21">
        <v>1</v>
      </c>
      <c r="V7583" s="21">
        <v>0</v>
      </c>
      <c r="W7583" s="21">
        <v>0</v>
      </c>
      <c r="X7583" s="21">
        <v>0</v>
      </c>
      <c r="Y7583" s="21">
        <v>0</v>
      </c>
      <c r="Z7583" s="21">
        <v>0</v>
      </c>
      <c r="AA7583" s="21">
        <v>0</v>
      </c>
      <c r="AB7583" s="21">
        <v>0</v>
      </c>
      <c r="AC7583" s="21">
        <v>0</v>
      </c>
      <c r="AD7583" s="21">
        <v>0</v>
      </c>
      <c r="AE7583" s="21">
        <v>0</v>
      </c>
      <c r="AF7583" s="21">
        <v>0</v>
      </c>
      <c r="AG7583" s="21">
        <v>0</v>
      </c>
      <c r="AH7583" s="21">
        <f t="shared" si="144"/>
        <v>32</v>
      </c>
      <c r="AI7583" s="21"/>
      <c r="AJ7583" s="21" t="s">
        <v>54</v>
      </c>
      <c r="AK7583" s="21" t="s">
        <v>52</v>
      </c>
      <c r="AL7583" s="21"/>
      <c r="AM7583" s="21" t="s">
        <v>3300</v>
      </c>
      <c r="AN7583" s="21">
        <v>-122.428280366667</v>
      </c>
      <c r="AO7583" s="21">
        <v>37.786789616666702</v>
      </c>
      <c r="AP7583" s="21" t="s">
        <v>1915</v>
      </c>
    </row>
    <row r="7584" spans="1:42">
      <c r="A7584" s="20">
        <v>43847</v>
      </c>
      <c r="B7584" s="21">
        <v>5</v>
      </c>
      <c r="C7584" s="21">
        <v>228</v>
      </c>
      <c r="D7584" s="21">
        <v>14444</v>
      </c>
      <c r="E7584" t="s">
        <v>112</v>
      </c>
      <c r="F7584" s="21" t="s">
        <v>104</v>
      </c>
      <c r="G7584" s="21">
        <v>2</v>
      </c>
      <c r="H7584" s="21">
        <v>59</v>
      </c>
      <c r="I7584" s="23" t="s">
        <v>3301</v>
      </c>
      <c r="J7584" s="21"/>
      <c r="K7584" s="21" t="s">
        <v>49</v>
      </c>
      <c r="L7584" s="21"/>
      <c r="M7584" s="21"/>
      <c r="N7584" s="21" t="s">
        <v>44</v>
      </c>
      <c r="O7584" s="21">
        <f>60+57</f>
        <v>117</v>
      </c>
      <c r="P7584" s="21"/>
      <c r="Q7584" s="21">
        <f t="shared" si="143"/>
        <v>3</v>
      </c>
      <c r="R7584" s="21">
        <v>1</v>
      </c>
      <c r="S7584" s="21">
        <v>0</v>
      </c>
      <c r="T7584" s="21">
        <v>0</v>
      </c>
      <c r="U7584" s="21">
        <v>0</v>
      </c>
      <c r="V7584" s="21">
        <v>1</v>
      </c>
      <c r="W7584" s="21">
        <v>2</v>
      </c>
      <c r="X7584" s="21">
        <v>0</v>
      </c>
      <c r="Y7584" s="21">
        <v>0</v>
      </c>
      <c r="Z7584" s="21">
        <v>0</v>
      </c>
      <c r="AA7584" s="21">
        <v>0</v>
      </c>
      <c r="AB7584" s="21">
        <v>0</v>
      </c>
      <c r="AC7584" s="21">
        <v>0</v>
      </c>
      <c r="AD7584" s="21">
        <v>0</v>
      </c>
      <c r="AE7584" s="21">
        <v>0</v>
      </c>
      <c r="AF7584" s="21">
        <v>0</v>
      </c>
      <c r="AG7584" s="21">
        <v>0</v>
      </c>
      <c r="AH7584" s="21">
        <f t="shared" si="144"/>
        <v>256</v>
      </c>
      <c r="AI7584" s="21"/>
      <c r="AJ7584" s="21"/>
      <c r="AK7584" s="21"/>
      <c r="AL7584" s="21"/>
      <c r="AM7584" s="21" t="s">
        <v>3302</v>
      </c>
      <c r="AN7584" s="21">
        <v>-122.42948508333301</v>
      </c>
      <c r="AO7584" s="21">
        <v>37.786641383333297</v>
      </c>
      <c r="AP7584" s="21" t="s">
        <v>1915</v>
      </c>
    </row>
    <row r="7585" spans="1:42">
      <c r="A7585" s="20">
        <v>43847</v>
      </c>
      <c r="B7585" s="21">
        <v>5</v>
      </c>
      <c r="C7585" s="21">
        <v>228</v>
      </c>
      <c r="D7585" s="21">
        <v>14444</v>
      </c>
      <c r="E7585" t="s">
        <v>112</v>
      </c>
      <c r="F7585" s="21" t="s">
        <v>104</v>
      </c>
      <c r="G7585" s="21">
        <v>2</v>
      </c>
      <c r="H7585" s="21">
        <v>60</v>
      </c>
      <c r="I7585" s="23" t="s">
        <v>2787</v>
      </c>
      <c r="J7585" s="21"/>
      <c r="K7585" s="21" t="s">
        <v>49</v>
      </c>
      <c r="L7585" s="21"/>
      <c r="M7585" s="21"/>
      <c r="N7585" s="21" t="s">
        <v>40</v>
      </c>
      <c r="O7585" s="21">
        <v>40</v>
      </c>
      <c r="P7585" s="21"/>
      <c r="Q7585" s="21">
        <f t="shared" si="143"/>
        <v>1</v>
      </c>
      <c r="R7585" s="21">
        <v>1</v>
      </c>
      <c r="S7585" s="21">
        <v>0</v>
      </c>
      <c r="T7585" s="21">
        <v>0</v>
      </c>
      <c r="U7585" s="21">
        <v>0</v>
      </c>
      <c r="V7585" s="21">
        <v>0</v>
      </c>
      <c r="W7585" s="21">
        <v>0</v>
      </c>
      <c r="X7585" s="21">
        <v>1</v>
      </c>
      <c r="Y7585" s="21">
        <v>0</v>
      </c>
      <c r="Z7585" s="21">
        <v>0</v>
      </c>
      <c r="AA7585" s="21">
        <v>0</v>
      </c>
      <c r="AB7585" s="21">
        <v>0</v>
      </c>
      <c r="AC7585" s="21">
        <v>0</v>
      </c>
      <c r="AD7585" s="21">
        <v>0</v>
      </c>
      <c r="AE7585" s="21">
        <v>0</v>
      </c>
      <c r="AF7585" s="21">
        <v>0</v>
      </c>
      <c r="AG7585" s="21">
        <v>0</v>
      </c>
      <c r="AH7585" s="21">
        <f t="shared" si="144"/>
        <v>0</v>
      </c>
      <c r="AI7585" s="21"/>
      <c r="AJ7585" s="21"/>
      <c r="AK7585" s="21"/>
      <c r="AL7585" s="21" t="s">
        <v>470</v>
      </c>
      <c r="AM7585" s="21" t="s">
        <v>3303</v>
      </c>
      <c r="AN7585" s="21">
        <v>-122.429804166667</v>
      </c>
      <c r="AO7585" s="21">
        <v>37.786606266666702</v>
      </c>
      <c r="AP7585" s="21" t="s">
        <v>1915</v>
      </c>
    </row>
    <row r="7586" spans="1:42">
      <c r="A7586" s="20">
        <v>43847</v>
      </c>
      <c r="B7586" s="21">
        <v>5</v>
      </c>
      <c r="C7586" s="21">
        <v>228</v>
      </c>
      <c r="D7586" s="21">
        <v>14444</v>
      </c>
      <c r="E7586" t="s">
        <v>112</v>
      </c>
      <c r="F7586" s="21" t="s">
        <v>104</v>
      </c>
      <c r="G7586" s="21">
        <v>2</v>
      </c>
      <c r="H7586" s="21">
        <v>61</v>
      </c>
      <c r="I7586" s="23" t="s">
        <v>2787</v>
      </c>
      <c r="J7586" s="21"/>
      <c r="K7586" s="21" t="s">
        <v>49</v>
      </c>
      <c r="L7586" s="21"/>
      <c r="M7586" s="21"/>
      <c r="N7586" s="21" t="s">
        <v>40</v>
      </c>
      <c r="O7586" s="21">
        <v>30</v>
      </c>
      <c r="P7586" s="21"/>
      <c r="Q7586" s="21">
        <f t="shared" si="143"/>
        <v>1</v>
      </c>
      <c r="R7586" s="21">
        <v>1</v>
      </c>
      <c r="S7586" s="21">
        <v>0</v>
      </c>
      <c r="T7586" s="21">
        <v>0</v>
      </c>
      <c r="U7586" s="21">
        <v>0</v>
      </c>
      <c r="V7586" s="21">
        <v>0</v>
      </c>
      <c r="W7586" s="21">
        <v>0</v>
      </c>
      <c r="X7586" s="21">
        <v>1</v>
      </c>
      <c r="Y7586" s="21">
        <v>0</v>
      </c>
      <c r="Z7586" s="21">
        <v>0</v>
      </c>
      <c r="AA7586" s="21">
        <v>0</v>
      </c>
      <c r="AB7586" s="21">
        <v>0</v>
      </c>
      <c r="AC7586" s="21">
        <v>0</v>
      </c>
      <c r="AD7586" s="21">
        <v>0</v>
      </c>
      <c r="AE7586" s="21">
        <v>0</v>
      </c>
      <c r="AF7586" s="21">
        <v>0</v>
      </c>
      <c r="AG7586" s="21">
        <v>0</v>
      </c>
      <c r="AH7586" s="21">
        <f t="shared" si="144"/>
        <v>0</v>
      </c>
      <c r="AI7586" s="21"/>
      <c r="AJ7586" s="21" t="s">
        <v>54</v>
      </c>
      <c r="AK7586" s="21" t="s">
        <v>52</v>
      </c>
      <c r="AL7586" s="21" t="s">
        <v>470</v>
      </c>
      <c r="AM7586" s="21" t="s">
        <v>3304</v>
      </c>
      <c r="AN7586" s="21">
        <v>-122.42989786666701</v>
      </c>
      <c r="AO7586" s="21">
        <v>37.7865671333333</v>
      </c>
      <c r="AP7586" s="21" t="s">
        <v>1915</v>
      </c>
    </row>
    <row r="7587" spans="1:42">
      <c r="A7587" s="20">
        <v>43847</v>
      </c>
      <c r="B7587" s="21">
        <v>5</v>
      </c>
      <c r="C7587" s="21">
        <v>228</v>
      </c>
      <c r="D7587" s="21">
        <v>14444</v>
      </c>
      <c r="E7587" t="s">
        <v>112</v>
      </c>
      <c r="F7587" s="21" t="s">
        <v>104</v>
      </c>
      <c r="G7587" s="21">
        <v>2</v>
      </c>
      <c r="H7587" s="21">
        <v>62</v>
      </c>
      <c r="I7587" s="23" t="s">
        <v>3305</v>
      </c>
      <c r="J7587" s="21"/>
      <c r="K7587" s="21" t="s">
        <v>596</v>
      </c>
      <c r="L7587" s="21"/>
      <c r="M7587" s="21"/>
      <c r="N7587" s="21" t="s">
        <v>40</v>
      </c>
      <c r="O7587" s="21">
        <f>60+41</f>
        <v>101</v>
      </c>
      <c r="P7587" s="21"/>
      <c r="Q7587" s="21">
        <f t="shared" si="143"/>
        <v>3</v>
      </c>
      <c r="R7587" s="21">
        <v>1</v>
      </c>
      <c r="S7587" s="21">
        <v>0</v>
      </c>
      <c r="T7587" s="21">
        <v>0</v>
      </c>
      <c r="U7587" s="21">
        <v>0</v>
      </c>
      <c r="V7587" s="21">
        <v>2</v>
      </c>
      <c r="W7587" s="21">
        <v>1</v>
      </c>
      <c r="X7587" s="21">
        <v>0</v>
      </c>
      <c r="Y7587" s="21">
        <v>0</v>
      </c>
      <c r="Z7587" s="21">
        <v>0</v>
      </c>
      <c r="AA7587" s="21">
        <v>0</v>
      </c>
      <c r="AB7587" s="21">
        <v>0</v>
      </c>
      <c r="AC7587" s="21">
        <v>0</v>
      </c>
      <c r="AD7587" s="21">
        <v>0</v>
      </c>
      <c r="AE7587" s="21">
        <v>0</v>
      </c>
      <c r="AF7587" s="21">
        <v>0</v>
      </c>
      <c r="AG7587" s="21">
        <v>0</v>
      </c>
      <c r="AH7587" s="21">
        <f t="shared" si="144"/>
        <v>224</v>
      </c>
      <c r="AI7587" s="21"/>
      <c r="AJ7587" s="21" t="s">
        <v>54</v>
      </c>
      <c r="AK7587" s="21" t="s">
        <v>52</v>
      </c>
      <c r="AL7587" s="21" t="s">
        <v>3306</v>
      </c>
      <c r="AM7587" s="21" t="s">
        <v>3307</v>
      </c>
      <c r="AN7587" s="21">
        <v>-122.430100533333</v>
      </c>
      <c r="AO7587" s="21">
        <v>37.786792016666702</v>
      </c>
      <c r="AP7587" s="21" t="s">
        <v>1915</v>
      </c>
    </row>
    <row r="7588" spans="1:42">
      <c r="A7588" s="20">
        <v>43847</v>
      </c>
      <c r="B7588" s="21">
        <v>5</v>
      </c>
      <c r="C7588" s="21">
        <v>228</v>
      </c>
      <c r="D7588" s="21">
        <v>14444</v>
      </c>
      <c r="E7588" t="s">
        <v>112</v>
      </c>
      <c r="F7588" s="21" t="s">
        <v>104</v>
      </c>
      <c r="G7588" s="21">
        <v>2</v>
      </c>
      <c r="H7588" s="21">
        <v>63</v>
      </c>
      <c r="I7588" s="23" t="s">
        <v>3308</v>
      </c>
      <c r="J7588" s="21"/>
      <c r="K7588" s="21" t="s">
        <v>46</v>
      </c>
      <c r="L7588" s="21"/>
      <c r="M7588" s="21"/>
      <c r="N7588" s="21" t="s">
        <v>40</v>
      </c>
      <c r="O7588" s="21">
        <v>43</v>
      </c>
      <c r="P7588" s="21"/>
      <c r="Q7588" s="21">
        <f t="shared" si="143"/>
        <v>1</v>
      </c>
      <c r="R7588" s="21">
        <v>1</v>
      </c>
      <c r="S7588" s="21">
        <v>0</v>
      </c>
      <c r="T7588" s="21">
        <v>0</v>
      </c>
      <c r="U7588" s="21">
        <v>1</v>
      </c>
      <c r="V7588" s="21">
        <v>0</v>
      </c>
      <c r="W7588" s="21">
        <v>0</v>
      </c>
      <c r="X7588" s="21">
        <v>0</v>
      </c>
      <c r="Y7588" s="21">
        <v>0</v>
      </c>
      <c r="Z7588" s="21">
        <v>0</v>
      </c>
      <c r="AA7588" s="21">
        <v>0</v>
      </c>
      <c r="AB7588" s="21">
        <v>0</v>
      </c>
      <c r="AC7588" s="21">
        <v>0</v>
      </c>
      <c r="AD7588" s="21">
        <v>0</v>
      </c>
      <c r="AE7588" s="21">
        <v>0</v>
      </c>
      <c r="AF7588" s="21">
        <v>0</v>
      </c>
      <c r="AG7588" s="21">
        <v>0</v>
      </c>
      <c r="AH7588" s="21">
        <f t="shared" si="144"/>
        <v>32</v>
      </c>
      <c r="AI7588" s="21"/>
      <c r="AJ7588" s="21"/>
      <c r="AK7588" s="21"/>
      <c r="AL7588" s="21"/>
      <c r="AM7588" s="21" t="s">
        <v>3309</v>
      </c>
      <c r="AN7588" s="21">
        <v>-122.428557833333</v>
      </c>
      <c r="AO7588" s="21">
        <v>37.787351450000003</v>
      </c>
      <c r="AP7588" s="21" t="s">
        <v>1915</v>
      </c>
    </row>
    <row r="7589" spans="1:42">
      <c r="A7589" s="20">
        <v>43847</v>
      </c>
      <c r="B7589" s="21">
        <v>5</v>
      </c>
      <c r="C7589" s="21">
        <v>228</v>
      </c>
      <c r="D7589" s="21">
        <v>14444</v>
      </c>
      <c r="E7589" t="s">
        <v>112</v>
      </c>
      <c r="F7589" s="21" t="s">
        <v>104</v>
      </c>
      <c r="G7589" s="21">
        <v>2</v>
      </c>
      <c r="H7589" s="21">
        <v>64</v>
      </c>
      <c r="I7589" s="23" t="s">
        <v>3100</v>
      </c>
      <c r="J7589" s="21"/>
      <c r="K7589" s="21" t="s">
        <v>595</v>
      </c>
      <c r="L7589" s="21"/>
      <c r="M7589" s="21"/>
      <c r="N7589" s="21" t="s">
        <v>40</v>
      </c>
      <c r="O7589" s="21">
        <f>60+60+6</f>
        <v>126</v>
      </c>
      <c r="P7589" s="21"/>
      <c r="Q7589" s="21">
        <f t="shared" si="143"/>
        <v>3</v>
      </c>
      <c r="R7589" s="21">
        <v>1</v>
      </c>
      <c r="S7589" s="21">
        <v>0</v>
      </c>
      <c r="T7589" s="21">
        <v>0</v>
      </c>
      <c r="U7589" s="21">
        <v>0</v>
      </c>
      <c r="V7589" s="21">
        <v>0</v>
      </c>
      <c r="W7589" s="21">
        <v>3</v>
      </c>
      <c r="X7589" s="21">
        <v>0</v>
      </c>
      <c r="Y7589" s="21">
        <v>0</v>
      </c>
      <c r="Z7589" s="21">
        <v>0</v>
      </c>
      <c r="AA7589" s="21">
        <v>0</v>
      </c>
      <c r="AB7589" s="21">
        <v>0</v>
      </c>
      <c r="AC7589" s="21">
        <v>0</v>
      </c>
      <c r="AD7589" s="21">
        <v>0</v>
      </c>
      <c r="AE7589" s="21">
        <v>0</v>
      </c>
      <c r="AF7589" s="21">
        <v>0</v>
      </c>
      <c r="AG7589" s="21">
        <v>0</v>
      </c>
      <c r="AH7589" s="21">
        <f t="shared" si="144"/>
        <v>288</v>
      </c>
      <c r="AI7589" s="21"/>
      <c r="AJ7589" s="21"/>
      <c r="AK7589" s="21"/>
      <c r="AL7589" s="21"/>
      <c r="AM7589" s="21" t="s">
        <v>3310</v>
      </c>
      <c r="AN7589" s="21">
        <v>-122.427001766667</v>
      </c>
      <c r="AO7589" s="21">
        <v>37.787711916666701</v>
      </c>
      <c r="AP7589" s="21" t="s">
        <v>1915</v>
      </c>
    </row>
    <row r="7590" spans="1:42">
      <c r="A7590" s="20">
        <v>43847</v>
      </c>
      <c r="B7590" s="21">
        <v>5</v>
      </c>
      <c r="C7590" s="21">
        <v>228</v>
      </c>
      <c r="D7590" s="21">
        <v>14444</v>
      </c>
      <c r="E7590" t="s">
        <v>112</v>
      </c>
      <c r="F7590" s="21" t="s">
        <v>104</v>
      </c>
      <c r="G7590" s="21">
        <v>2</v>
      </c>
      <c r="H7590" s="21">
        <v>65</v>
      </c>
      <c r="I7590" s="23" t="s">
        <v>3311</v>
      </c>
      <c r="J7590" s="21"/>
      <c r="K7590" s="21" t="s">
        <v>3312</v>
      </c>
      <c r="L7590" s="21"/>
      <c r="M7590" s="21"/>
      <c r="N7590" s="21" t="s">
        <v>44</v>
      </c>
      <c r="O7590" s="21">
        <f>60+8</f>
        <v>68</v>
      </c>
      <c r="P7590" s="21"/>
      <c r="Q7590" s="21">
        <f t="shared" si="143"/>
        <v>1</v>
      </c>
      <c r="R7590" s="21">
        <v>1</v>
      </c>
      <c r="S7590" s="21">
        <v>0</v>
      </c>
      <c r="T7590" s="21">
        <v>0</v>
      </c>
      <c r="U7590" s="21">
        <v>0</v>
      </c>
      <c r="V7590" s="21">
        <v>0</v>
      </c>
      <c r="W7590" s="21">
        <v>1</v>
      </c>
      <c r="X7590" s="21">
        <v>0</v>
      </c>
      <c r="Y7590" s="21">
        <v>0</v>
      </c>
      <c r="Z7590" s="21">
        <v>0</v>
      </c>
      <c r="AA7590" s="21">
        <v>0</v>
      </c>
      <c r="AB7590" s="21">
        <v>0</v>
      </c>
      <c r="AC7590" s="21">
        <v>0</v>
      </c>
      <c r="AD7590" s="21">
        <v>0</v>
      </c>
      <c r="AE7590" s="21">
        <v>0</v>
      </c>
      <c r="AF7590" s="21">
        <v>0</v>
      </c>
      <c r="AG7590" s="21">
        <v>0</v>
      </c>
      <c r="AH7590" s="21">
        <f t="shared" si="144"/>
        <v>96</v>
      </c>
      <c r="AI7590" s="21"/>
      <c r="AJ7590" s="21"/>
      <c r="AK7590" s="21"/>
      <c r="AL7590" s="21"/>
      <c r="AM7590" s="21" t="s">
        <v>3313</v>
      </c>
      <c r="AN7590" s="21">
        <v>-122.426939316667</v>
      </c>
      <c r="AO7590" s="21">
        <v>37.787636550000002</v>
      </c>
      <c r="AP7590" s="21" t="s">
        <v>1915</v>
      </c>
    </row>
    <row r="7591" spans="1:42">
      <c r="A7591" s="20">
        <v>43847</v>
      </c>
      <c r="B7591" s="21">
        <v>5</v>
      </c>
      <c r="C7591" s="21">
        <v>228</v>
      </c>
      <c r="D7591" s="21">
        <v>14444</v>
      </c>
      <c r="E7591" t="s">
        <v>112</v>
      </c>
      <c r="F7591" s="21" t="s">
        <v>104</v>
      </c>
      <c r="G7591" s="21">
        <v>2</v>
      </c>
      <c r="H7591" s="21">
        <v>66</v>
      </c>
      <c r="I7591" s="23" t="s">
        <v>3314</v>
      </c>
      <c r="J7591" s="21"/>
      <c r="K7591" s="21" t="s">
        <v>46</v>
      </c>
      <c r="L7591" s="21"/>
      <c r="M7591" s="21"/>
      <c r="N7591" s="21" t="s">
        <v>42</v>
      </c>
      <c r="O7591" s="21">
        <f>60+60+18</f>
        <v>138</v>
      </c>
      <c r="P7591" s="21"/>
      <c r="Q7591" s="21">
        <f t="shared" si="143"/>
        <v>2</v>
      </c>
      <c r="R7591" s="21">
        <v>1</v>
      </c>
      <c r="S7591" s="21">
        <v>0</v>
      </c>
      <c r="T7591" s="21">
        <v>0</v>
      </c>
      <c r="U7591" s="21">
        <v>0</v>
      </c>
      <c r="V7591" s="21">
        <v>1</v>
      </c>
      <c r="W7591" s="21">
        <v>1</v>
      </c>
      <c r="X7591" s="21">
        <v>0</v>
      </c>
      <c r="Y7591" s="21">
        <v>0</v>
      </c>
      <c r="Z7591" s="21">
        <v>0</v>
      </c>
      <c r="AA7591" s="21">
        <v>0</v>
      </c>
      <c r="AB7591" s="21">
        <v>0</v>
      </c>
      <c r="AC7591" s="21">
        <v>0</v>
      </c>
      <c r="AD7591" s="21">
        <v>0</v>
      </c>
      <c r="AE7591" s="21">
        <v>0</v>
      </c>
      <c r="AF7591" s="21">
        <v>0</v>
      </c>
      <c r="AG7591" s="21">
        <v>0</v>
      </c>
      <c r="AH7591" s="21">
        <f t="shared" si="144"/>
        <v>160</v>
      </c>
      <c r="AI7591" s="21"/>
      <c r="AJ7591" s="21" t="s">
        <v>51</v>
      </c>
      <c r="AK7591" s="21" t="s">
        <v>95</v>
      </c>
      <c r="AL7591" s="21" t="s">
        <v>3315</v>
      </c>
      <c r="AM7591" s="21" t="s">
        <v>3316</v>
      </c>
      <c r="AN7591" s="21">
        <v>-122.42585510000001</v>
      </c>
      <c r="AO7591" s="21">
        <v>37.788052583333297</v>
      </c>
      <c r="AP7591" s="21" t="s">
        <v>1915</v>
      </c>
    </row>
    <row r="7592" spans="1:42">
      <c r="A7592" s="20">
        <v>43847</v>
      </c>
      <c r="B7592" s="21">
        <v>5</v>
      </c>
      <c r="C7592" s="21">
        <v>228</v>
      </c>
      <c r="D7592" s="21">
        <v>14444</v>
      </c>
      <c r="E7592" t="s">
        <v>112</v>
      </c>
      <c r="F7592" s="21" t="s">
        <v>104</v>
      </c>
      <c r="G7592" s="21">
        <v>2</v>
      </c>
      <c r="H7592" s="21">
        <v>67</v>
      </c>
      <c r="I7592" s="23" t="s">
        <v>3317</v>
      </c>
      <c r="J7592" s="21"/>
      <c r="K7592" s="21" t="s">
        <v>638</v>
      </c>
      <c r="L7592" s="21"/>
      <c r="M7592" s="21"/>
      <c r="N7592" s="21" t="s">
        <v>44</v>
      </c>
      <c r="O7592" s="21">
        <f>60+17</f>
        <v>77</v>
      </c>
      <c r="P7592" s="21"/>
      <c r="Q7592" s="21">
        <f t="shared" si="143"/>
        <v>1</v>
      </c>
      <c r="R7592" s="21">
        <v>1</v>
      </c>
      <c r="S7592" s="21">
        <v>0</v>
      </c>
      <c r="T7592" s="21">
        <v>0</v>
      </c>
      <c r="U7592" s="21">
        <v>0</v>
      </c>
      <c r="V7592" s="21">
        <v>0</v>
      </c>
      <c r="W7592" s="21">
        <v>1</v>
      </c>
      <c r="X7592" s="21">
        <v>0</v>
      </c>
      <c r="Y7592" s="21">
        <v>0</v>
      </c>
      <c r="Z7592" s="21">
        <v>0</v>
      </c>
      <c r="AA7592" s="21">
        <v>0</v>
      </c>
      <c r="AB7592" s="21">
        <v>0</v>
      </c>
      <c r="AC7592" s="21">
        <v>0</v>
      </c>
      <c r="AD7592" s="21">
        <v>0</v>
      </c>
      <c r="AE7592" s="21">
        <v>0</v>
      </c>
      <c r="AF7592" s="21">
        <v>0</v>
      </c>
      <c r="AG7592" s="21">
        <v>0</v>
      </c>
      <c r="AH7592" s="21">
        <f t="shared" si="144"/>
        <v>96</v>
      </c>
      <c r="AI7592" s="21"/>
      <c r="AJ7592" s="21" t="s">
        <v>3135</v>
      </c>
      <c r="AK7592" s="21" t="s">
        <v>52</v>
      </c>
      <c r="AL7592" s="21" t="s">
        <v>3233</v>
      </c>
      <c r="AM7592" s="21" t="s">
        <v>3318</v>
      </c>
      <c r="AN7592" s="21">
        <v>-122.424978016667</v>
      </c>
      <c r="AO7592" s="21">
        <v>37.788089466666698</v>
      </c>
      <c r="AP7592" s="21" t="s">
        <v>1915</v>
      </c>
    </row>
    <row r="7593" spans="1:42">
      <c r="A7593" s="20">
        <v>43847</v>
      </c>
      <c r="B7593" s="21">
        <v>5</v>
      </c>
      <c r="C7593" s="21">
        <v>228</v>
      </c>
      <c r="D7593" s="21">
        <v>14444</v>
      </c>
      <c r="E7593" t="s">
        <v>112</v>
      </c>
      <c r="F7593" s="21" t="s">
        <v>104</v>
      </c>
      <c r="G7593" s="21">
        <v>2</v>
      </c>
      <c r="H7593" s="21">
        <v>68</v>
      </c>
      <c r="I7593" s="23" t="s">
        <v>3319</v>
      </c>
      <c r="J7593" s="21"/>
      <c r="K7593" s="21" t="s">
        <v>46</v>
      </c>
      <c r="L7593" s="21"/>
      <c r="M7593" s="21"/>
      <c r="N7593" s="21" t="s">
        <v>40</v>
      </c>
      <c r="O7593" s="21">
        <v>50</v>
      </c>
      <c r="P7593" s="21"/>
      <c r="Q7593" s="21">
        <f t="shared" si="143"/>
        <v>2</v>
      </c>
      <c r="R7593" s="21">
        <v>1</v>
      </c>
      <c r="S7593" s="21">
        <v>0</v>
      </c>
      <c r="T7593" s="21">
        <v>0</v>
      </c>
      <c r="U7593" s="21">
        <v>0</v>
      </c>
      <c r="V7593" s="21">
        <v>1</v>
      </c>
      <c r="W7593" s="21">
        <v>1</v>
      </c>
      <c r="X7593" s="21">
        <v>0</v>
      </c>
      <c r="Y7593" s="21">
        <v>0</v>
      </c>
      <c r="Z7593" s="21">
        <v>0</v>
      </c>
      <c r="AA7593" s="21">
        <v>0</v>
      </c>
      <c r="AB7593" s="21">
        <v>0</v>
      </c>
      <c r="AC7593" s="21">
        <v>0</v>
      </c>
      <c r="AD7593" s="21">
        <v>0</v>
      </c>
      <c r="AE7593" s="21">
        <v>0</v>
      </c>
      <c r="AF7593" s="21">
        <v>0</v>
      </c>
      <c r="AG7593" s="21">
        <v>0</v>
      </c>
      <c r="AH7593" s="21">
        <f t="shared" si="144"/>
        <v>160</v>
      </c>
      <c r="AI7593" s="21"/>
      <c r="AJ7593" s="21" t="s">
        <v>54</v>
      </c>
      <c r="AK7593" s="21" t="s">
        <v>52</v>
      </c>
      <c r="AL7593" s="21" t="s">
        <v>3320</v>
      </c>
      <c r="AM7593" s="21" t="s">
        <v>3321</v>
      </c>
      <c r="AN7593" s="21">
        <v>-122.424105833333</v>
      </c>
      <c r="AO7593" s="21">
        <v>37.788249933333297</v>
      </c>
      <c r="AP7593" s="21" t="s">
        <v>1915</v>
      </c>
    </row>
    <row r="7594" spans="1:42">
      <c r="A7594" s="20">
        <v>43847</v>
      </c>
      <c r="B7594" s="21">
        <v>5</v>
      </c>
      <c r="C7594" s="21">
        <v>228</v>
      </c>
      <c r="D7594" s="21">
        <v>14444</v>
      </c>
      <c r="E7594" t="s">
        <v>112</v>
      </c>
      <c r="F7594" s="21" t="s">
        <v>104</v>
      </c>
      <c r="G7594" s="21">
        <v>2</v>
      </c>
      <c r="H7594" s="21">
        <v>69</v>
      </c>
      <c r="I7594" s="23" t="s">
        <v>3100</v>
      </c>
      <c r="J7594" s="21"/>
      <c r="K7594" s="21" t="s">
        <v>46</v>
      </c>
      <c r="L7594" s="21"/>
      <c r="M7594" s="21"/>
      <c r="N7594" s="21" t="s">
        <v>1703</v>
      </c>
      <c r="O7594" s="21">
        <f>60+22</f>
        <v>82</v>
      </c>
      <c r="P7594" s="21"/>
      <c r="Q7594" s="21">
        <f t="shared" si="143"/>
        <v>2</v>
      </c>
      <c r="R7594" s="21">
        <v>1</v>
      </c>
      <c r="S7594" s="21">
        <v>0</v>
      </c>
      <c r="T7594" s="21">
        <v>0</v>
      </c>
      <c r="U7594" s="21">
        <v>1</v>
      </c>
      <c r="V7594" s="21">
        <v>1</v>
      </c>
      <c r="W7594" s="21">
        <v>0</v>
      </c>
      <c r="X7594" s="21">
        <v>0</v>
      </c>
      <c r="Y7594" s="21">
        <v>0</v>
      </c>
      <c r="Z7594" s="21">
        <v>0</v>
      </c>
      <c r="AA7594" s="21">
        <v>0</v>
      </c>
      <c r="AB7594" s="21">
        <v>0</v>
      </c>
      <c r="AC7594" s="21">
        <v>0</v>
      </c>
      <c r="AD7594" s="21">
        <v>0</v>
      </c>
      <c r="AE7594" s="21">
        <v>0</v>
      </c>
      <c r="AF7594" s="21">
        <v>0</v>
      </c>
      <c r="AG7594" s="21">
        <v>0</v>
      </c>
      <c r="AH7594" s="21">
        <f t="shared" si="144"/>
        <v>96</v>
      </c>
      <c r="AI7594" s="21"/>
      <c r="AJ7594" s="21"/>
      <c r="AK7594" s="21"/>
      <c r="AL7594" s="21" t="s">
        <v>3322</v>
      </c>
      <c r="AM7594" s="21" t="s">
        <v>3323</v>
      </c>
      <c r="AN7594" s="21">
        <v>-122.42373550000001</v>
      </c>
      <c r="AO7594" s="21">
        <v>37.788273466666702</v>
      </c>
      <c r="AP7594" s="21" t="s">
        <v>1915</v>
      </c>
    </row>
    <row r="7595" spans="1:42">
      <c r="A7595" s="20">
        <v>43847</v>
      </c>
      <c r="B7595" s="21">
        <v>5</v>
      </c>
      <c r="C7595" s="21">
        <v>228</v>
      </c>
      <c r="D7595" s="21">
        <v>14444</v>
      </c>
      <c r="E7595" t="s">
        <v>112</v>
      </c>
      <c r="F7595" s="21" t="s">
        <v>104</v>
      </c>
      <c r="G7595" s="21">
        <v>2</v>
      </c>
      <c r="H7595" s="21">
        <v>70</v>
      </c>
      <c r="I7595" s="23" t="s">
        <v>3314</v>
      </c>
      <c r="J7595" s="21"/>
      <c r="K7595" s="21" t="s">
        <v>638</v>
      </c>
      <c r="L7595" s="21"/>
      <c r="M7595" s="21"/>
      <c r="N7595" s="21" t="s">
        <v>44</v>
      </c>
      <c r="O7595" s="21">
        <f>60+60+60+5</f>
        <v>185</v>
      </c>
      <c r="P7595" s="21"/>
      <c r="Q7595" s="21">
        <f t="shared" si="143"/>
        <v>3</v>
      </c>
      <c r="R7595" s="21">
        <v>1</v>
      </c>
      <c r="S7595" s="21">
        <v>0</v>
      </c>
      <c r="T7595" s="21">
        <v>0</v>
      </c>
      <c r="U7595" s="21">
        <v>0</v>
      </c>
      <c r="V7595" s="21">
        <v>1</v>
      </c>
      <c r="W7595" s="21">
        <v>2</v>
      </c>
      <c r="X7595" s="21">
        <v>0</v>
      </c>
      <c r="Y7595" s="21">
        <v>0</v>
      </c>
      <c r="Z7595" s="21">
        <v>0</v>
      </c>
      <c r="AA7595" s="21">
        <v>0</v>
      </c>
      <c r="AB7595" s="21">
        <v>0</v>
      </c>
      <c r="AC7595" s="21">
        <v>0</v>
      </c>
      <c r="AD7595" s="21">
        <v>0</v>
      </c>
      <c r="AE7595" s="21">
        <v>0</v>
      </c>
      <c r="AF7595" s="21">
        <v>0</v>
      </c>
      <c r="AG7595" s="21">
        <v>0</v>
      </c>
      <c r="AH7595" s="21">
        <f t="shared" si="144"/>
        <v>256</v>
      </c>
      <c r="AI7595" s="21"/>
      <c r="AJ7595" s="21" t="s">
        <v>51</v>
      </c>
      <c r="AK7595" s="21" t="s">
        <v>52</v>
      </c>
      <c r="AL7595" s="21" t="s">
        <v>3324</v>
      </c>
      <c r="AM7595" s="21" t="s">
        <v>3325</v>
      </c>
      <c r="AN7595" s="21">
        <v>-122.425063716667</v>
      </c>
      <c r="AO7595" s="21">
        <v>37.787780816666697</v>
      </c>
      <c r="AP7595" s="21" t="s">
        <v>1915</v>
      </c>
    </row>
    <row r="7596" spans="1:42">
      <c r="A7596" s="20">
        <v>43847</v>
      </c>
      <c r="B7596" s="21">
        <v>5</v>
      </c>
      <c r="C7596" s="21">
        <v>228</v>
      </c>
      <c r="D7596" s="21">
        <v>14444</v>
      </c>
      <c r="E7596" t="s">
        <v>112</v>
      </c>
      <c r="F7596" s="21" t="s">
        <v>104</v>
      </c>
      <c r="G7596" s="21">
        <v>2</v>
      </c>
      <c r="H7596" s="21">
        <v>71</v>
      </c>
      <c r="I7596" s="23" t="s">
        <v>3326</v>
      </c>
      <c r="J7596" s="21"/>
      <c r="K7596" s="21" t="s">
        <v>638</v>
      </c>
      <c r="L7596" s="21"/>
      <c r="M7596" s="21"/>
      <c r="N7596" s="21" t="s">
        <v>44</v>
      </c>
      <c r="O7596" s="21">
        <f>60+60+60+2</f>
        <v>182</v>
      </c>
      <c r="P7596" s="21"/>
      <c r="Q7596" s="21">
        <f t="shared" si="143"/>
        <v>3</v>
      </c>
      <c r="R7596" s="21">
        <v>1</v>
      </c>
      <c r="S7596" s="21">
        <v>0</v>
      </c>
      <c r="T7596" s="21">
        <v>0</v>
      </c>
      <c r="U7596" s="21">
        <v>0</v>
      </c>
      <c r="V7596" s="21">
        <v>1</v>
      </c>
      <c r="W7596" s="21">
        <v>2</v>
      </c>
      <c r="X7596" s="21">
        <v>0</v>
      </c>
      <c r="Y7596" s="21">
        <v>0</v>
      </c>
      <c r="Z7596" s="21">
        <v>0</v>
      </c>
      <c r="AA7596" s="21">
        <v>0</v>
      </c>
      <c r="AB7596" s="21">
        <v>0</v>
      </c>
      <c r="AC7596" s="21">
        <v>0</v>
      </c>
      <c r="AD7596" s="21">
        <v>0</v>
      </c>
      <c r="AE7596" s="21">
        <v>0</v>
      </c>
      <c r="AF7596" s="21">
        <v>0</v>
      </c>
      <c r="AG7596" s="21">
        <v>0</v>
      </c>
      <c r="AH7596" s="21">
        <f t="shared" si="144"/>
        <v>256</v>
      </c>
      <c r="AI7596" s="21"/>
      <c r="AJ7596" s="21" t="s">
        <v>51</v>
      </c>
      <c r="AK7596" s="21" t="s">
        <v>52</v>
      </c>
      <c r="AL7596" s="21" t="s">
        <v>3327</v>
      </c>
      <c r="AM7596" s="21" t="s">
        <v>3328</v>
      </c>
      <c r="AN7596" s="21">
        <v>-122.42507336666699</v>
      </c>
      <c r="AO7596" s="21">
        <v>37.787596499999999</v>
      </c>
      <c r="AP7596" s="21" t="s">
        <v>1915</v>
      </c>
    </row>
    <row r="7597" spans="1:42">
      <c r="A7597" s="20">
        <v>43847</v>
      </c>
      <c r="B7597" s="21">
        <v>5</v>
      </c>
      <c r="C7597" s="21">
        <v>228</v>
      </c>
      <c r="D7597" s="21">
        <v>14444</v>
      </c>
      <c r="E7597" t="s">
        <v>112</v>
      </c>
      <c r="F7597" s="21" t="s">
        <v>104</v>
      </c>
      <c r="G7597" s="21">
        <v>2</v>
      </c>
      <c r="H7597" s="21">
        <v>72</v>
      </c>
      <c r="I7597" s="23" t="s">
        <v>3329</v>
      </c>
      <c r="J7597" s="21"/>
      <c r="K7597" s="21" t="s">
        <v>638</v>
      </c>
      <c r="L7597" s="21"/>
      <c r="M7597" s="21"/>
      <c r="N7597" s="21" t="s">
        <v>44</v>
      </c>
      <c r="O7597" s="21">
        <f>60+60+60+43</f>
        <v>223</v>
      </c>
      <c r="P7597" s="21"/>
      <c r="Q7597" s="21">
        <f t="shared" si="143"/>
        <v>5</v>
      </c>
      <c r="R7597" s="21">
        <v>1</v>
      </c>
      <c r="S7597" s="21">
        <v>0</v>
      </c>
      <c r="T7597" s="21">
        <v>0</v>
      </c>
      <c r="U7597" s="21">
        <v>0</v>
      </c>
      <c r="V7597" s="21">
        <v>1</v>
      </c>
      <c r="W7597" s="21">
        <v>4</v>
      </c>
      <c r="X7597" s="21">
        <v>0</v>
      </c>
      <c r="Y7597" s="21">
        <v>0</v>
      </c>
      <c r="Z7597" s="21">
        <v>0</v>
      </c>
      <c r="AA7597" s="21">
        <v>0</v>
      </c>
      <c r="AB7597" s="21">
        <v>0</v>
      </c>
      <c r="AC7597" s="21">
        <v>0</v>
      </c>
      <c r="AD7597" s="21">
        <v>0</v>
      </c>
      <c r="AE7597" s="21">
        <v>0</v>
      </c>
      <c r="AF7597" s="21">
        <v>0</v>
      </c>
      <c r="AG7597" s="21">
        <v>0</v>
      </c>
      <c r="AH7597" s="21">
        <f t="shared" si="144"/>
        <v>448</v>
      </c>
      <c r="AI7597" s="21"/>
      <c r="AJ7597" s="21" t="s">
        <v>51</v>
      </c>
      <c r="AK7597" s="21" t="s">
        <v>52</v>
      </c>
      <c r="AL7597" s="21" t="s">
        <v>3330</v>
      </c>
      <c r="AM7597" s="21" t="s">
        <v>3331</v>
      </c>
      <c r="AN7597" s="21">
        <v>-122.42507275</v>
      </c>
      <c r="AO7597" s="21">
        <v>37.787293116666604</v>
      </c>
      <c r="AP7597" s="21" t="s">
        <v>1915</v>
      </c>
    </row>
    <row r="7598" spans="1:42">
      <c r="A7598" s="20">
        <v>43847</v>
      </c>
      <c r="B7598" s="21">
        <v>5</v>
      </c>
      <c r="C7598" s="21">
        <v>228</v>
      </c>
      <c r="D7598" s="21">
        <v>14444</v>
      </c>
      <c r="E7598" t="s">
        <v>112</v>
      </c>
      <c r="F7598" s="21" t="s">
        <v>104</v>
      </c>
      <c r="G7598" s="21">
        <v>2</v>
      </c>
      <c r="H7598" s="21">
        <v>73</v>
      </c>
      <c r="I7598" s="23" t="s">
        <v>3332</v>
      </c>
      <c r="J7598" s="21"/>
      <c r="K7598" s="21" t="s">
        <v>53</v>
      </c>
      <c r="L7598" s="21"/>
      <c r="M7598" s="21"/>
      <c r="N7598" s="21" t="s">
        <v>44</v>
      </c>
      <c r="O7598" s="21">
        <v>56</v>
      </c>
      <c r="P7598" s="21"/>
      <c r="Q7598" s="21">
        <f t="shared" si="143"/>
        <v>2</v>
      </c>
      <c r="R7598" s="21">
        <v>1</v>
      </c>
      <c r="S7598" s="21">
        <v>0</v>
      </c>
      <c r="T7598" s="21">
        <v>0</v>
      </c>
      <c r="U7598" s="21">
        <v>0</v>
      </c>
      <c r="V7598" s="21">
        <v>0</v>
      </c>
      <c r="W7598" s="21">
        <v>2</v>
      </c>
      <c r="X7598" s="21">
        <v>0</v>
      </c>
      <c r="Y7598" s="21">
        <v>0</v>
      </c>
      <c r="Z7598" s="21">
        <v>0</v>
      </c>
      <c r="AA7598" s="21">
        <v>0</v>
      </c>
      <c r="AB7598" s="21">
        <v>0</v>
      </c>
      <c r="AC7598" s="21">
        <v>0</v>
      </c>
      <c r="AD7598" s="21">
        <v>0</v>
      </c>
      <c r="AE7598" s="21">
        <v>0</v>
      </c>
      <c r="AF7598" s="21">
        <v>0</v>
      </c>
      <c r="AG7598" s="21">
        <v>0</v>
      </c>
      <c r="AH7598" s="21">
        <f t="shared" si="144"/>
        <v>192</v>
      </c>
      <c r="AI7598" s="21"/>
      <c r="AJ7598" s="21"/>
      <c r="AK7598" s="21"/>
      <c r="AL7598" s="21" t="s">
        <v>3333</v>
      </c>
      <c r="AM7598" s="21" t="s">
        <v>3334</v>
      </c>
      <c r="AN7598" s="21">
        <v>-122.42411005</v>
      </c>
      <c r="AO7598" s="21">
        <v>37.787673566666697</v>
      </c>
      <c r="AP7598" s="21" t="s">
        <v>1915</v>
      </c>
    </row>
    <row r="7599" spans="1:42">
      <c r="A7599" s="20">
        <v>43847</v>
      </c>
      <c r="B7599" s="21">
        <v>5</v>
      </c>
      <c r="C7599" s="21">
        <v>228</v>
      </c>
      <c r="D7599" s="21">
        <v>14444</v>
      </c>
      <c r="E7599" t="s">
        <v>112</v>
      </c>
      <c r="F7599" s="21" t="s">
        <v>104</v>
      </c>
      <c r="G7599" s="21">
        <v>2</v>
      </c>
      <c r="H7599" s="21">
        <v>74</v>
      </c>
      <c r="I7599" s="23" t="s">
        <v>3335</v>
      </c>
      <c r="J7599" s="21"/>
      <c r="K7599" s="21" t="s">
        <v>49</v>
      </c>
      <c r="L7599" s="21"/>
      <c r="M7599" s="21"/>
      <c r="N7599" s="21" t="s">
        <v>44</v>
      </c>
      <c r="O7599" s="21">
        <f>60+17</f>
        <v>77</v>
      </c>
      <c r="P7599" s="21"/>
      <c r="Q7599" s="21">
        <f t="shared" si="143"/>
        <v>1</v>
      </c>
      <c r="R7599" s="21">
        <v>1</v>
      </c>
      <c r="S7599" s="21">
        <v>0</v>
      </c>
      <c r="T7599" s="21">
        <v>0</v>
      </c>
      <c r="U7599" s="21">
        <v>0</v>
      </c>
      <c r="V7599" s="21">
        <v>0</v>
      </c>
      <c r="W7599" s="21">
        <v>1</v>
      </c>
      <c r="X7599" s="21">
        <v>0</v>
      </c>
      <c r="Y7599" s="21">
        <v>0</v>
      </c>
      <c r="Z7599" s="21">
        <v>0</v>
      </c>
      <c r="AA7599" s="21">
        <v>0</v>
      </c>
      <c r="AB7599" s="21">
        <v>0</v>
      </c>
      <c r="AC7599" s="21">
        <v>0</v>
      </c>
      <c r="AD7599" s="21">
        <v>0</v>
      </c>
      <c r="AE7599" s="21">
        <v>0</v>
      </c>
      <c r="AF7599" s="21">
        <v>0</v>
      </c>
      <c r="AG7599" s="21">
        <v>0</v>
      </c>
      <c r="AH7599" s="21">
        <f t="shared" si="144"/>
        <v>96</v>
      </c>
      <c r="AI7599" s="21"/>
      <c r="AJ7599" s="21" t="s">
        <v>54</v>
      </c>
      <c r="AK7599" s="21" t="s">
        <v>52</v>
      </c>
      <c r="AL7599" s="21" t="s">
        <v>597</v>
      </c>
      <c r="AM7599" s="21" t="s">
        <v>3336</v>
      </c>
      <c r="AN7599" s="21">
        <v>-122.424362366667</v>
      </c>
      <c r="AO7599" s="21">
        <v>37.787731033333301</v>
      </c>
      <c r="AP7599" s="21" t="s">
        <v>1915</v>
      </c>
    </row>
    <row r="7600" spans="1:42">
      <c r="A7600" s="20">
        <v>43847</v>
      </c>
      <c r="B7600" s="21">
        <v>5</v>
      </c>
      <c r="C7600" s="21">
        <v>228</v>
      </c>
      <c r="D7600" s="21">
        <v>14444</v>
      </c>
      <c r="E7600" t="s">
        <v>112</v>
      </c>
      <c r="F7600" s="21" t="s">
        <v>104</v>
      </c>
      <c r="G7600" s="21">
        <v>2</v>
      </c>
      <c r="H7600" s="21">
        <v>75</v>
      </c>
      <c r="I7600" s="23" t="s">
        <v>3337</v>
      </c>
      <c r="J7600" s="21"/>
      <c r="K7600" s="21" t="s">
        <v>638</v>
      </c>
      <c r="L7600" s="21"/>
      <c r="M7600" s="21"/>
      <c r="N7600" s="21" t="s">
        <v>44</v>
      </c>
      <c r="O7600" s="21">
        <f>60+31</f>
        <v>91</v>
      </c>
      <c r="P7600" s="21"/>
      <c r="Q7600" s="21">
        <f t="shared" si="143"/>
        <v>2</v>
      </c>
      <c r="R7600" s="21">
        <v>1</v>
      </c>
      <c r="S7600" s="21">
        <v>0</v>
      </c>
      <c r="T7600" s="21">
        <v>0</v>
      </c>
      <c r="U7600" s="21">
        <v>0</v>
      </c>
      <c r="V7600" s="21">
        <v>0</v>
      </c>
      <c r="W7600" s="21">
        <v>2</v>
      </c>
      <c r="X7600" s="21">
        <v>0</v>
      </c>
      <c r="Y7600" s="21">
        <v>0</v>
      </c>
      <c r="Z7600" s="21">
        <v>0</v>
      </c>
      <c r="AA7600" s="21">
        <v>0</v>
      </c>
      <c r="AB7600" s="21">
        <v>0</v>
      </c>
      <c r="AC7600" s="21">
        <v>0</v>
      </c>
      <c r="AD7600" s="21">
        <v>0</v>
      </c>
      <c r="AE7600" s="21">
        <v>0</v>
      </c>
      <c r="AF7600" s="21">
        <v>0</v>
      </c>
      <c r="AG7600" s="21">
        <v>0</v>
      </c>
      <c r="AH7600" s="21">
        <f t="shared" si="144"/>
        <v>192</v>
      </c>
      <c r="AI7600" s="21"/>
      <c r="AJ7600" s="21" t="s">
        <v>54</v>
      </c>
      <c r="AK7600" s="21" t="s">
        <v>52</v>
      </c>
      <c r="AL7600" s="21" t="s">
        <v>3338</v>
      </c>
      <c r="AM7600" s="21" t="s">
        <v>3339</v>
      </c>
      <c r="AN7600" s="21">
        <v>-122.42509768333299</v>
      </c>
      <c r="AO7600" s="21">
        <v>37.787615783333301</v>
      </c>
      <c r="AP7600" s="21" t="s">
        <v>1915</v>
      </c>
    </row>
    <row r="7601" spans="1:42">
      <c r="A7601" s="20">
        <v>43847</v>
      </c>
      <c r="B7601" s="21">
        <v>5</v>
      </c>
      <c r="C7601" s="21">
        <v>228</v>
      </c>
      <c r="D7601" s="21">
        <v>14444</v>
      </c>
      <c r="E7601" t="s">
        <v>112</v>
      </c>
      <c r="F7601" s="21" t="s">
        <v>104</v>
      </c>
      <c r="G7601" s="21">
        <v>2</v>
      </c>
      <c r="H7601" s="21">
        <v>76</v>
      </c>
      <c r="I7601" s="23" t="s">
        <v>3340</v>
      </c>
      <c r="J7601" s="21"/>
      <c r="K7601" s="21" t="s">
        <v>1092</v>
      </c>
      <c r="L7601" s="21"/>
      <c r="M7601" s="21"/>
      <c r="N7601" s="21" t="s">
        <v>40</v>
      </c>
      <c r="O7601" s="21">
        <f>60+50</f>
        <v>110</v>
      </c>
      <c r="P7601" s="21"/>
      <c r="Q7601" s="21">
        <f t="shared" si="143"/>
        <v>4</v>
      </c>
      <c r="R7601" s="21">
        <v>1</v>
      </c>
      <c r="S7601" s="21">
        <v>0</v>
      </c>
      <c r="T7601" s="21">
        <v>0</v>
      </c>
      <c r="U7601" s="21">
        <v>0</v>
      </c>
      <c r="V7601" s="21">
        <v>3</v>
      </c>
      <c r="W7601" s="21">
        <v>1</v>
      </c>
      <c r="X7601" s="21">
        <v>0</v>
      </c>
      <c r="Y7601" s="21">
        <v>0</v>
      </c>
      <c r="Z7601" s="21">
        <v>0</v>
      </c>
      <c r="AA7601" s="21">
        <v>0</v>
      </c>
      <c r="AB7601" s="21">
        <v>0</v>
      </c>
      <c r="AC7601" s="21">
        <v>0</v>
      </c>
      <c r="AD7601" s="21">
        <v>0</v>
      </c>
      <c r="AE7601" s="21">
        <v>0</v>
      </c>
      <c r="AF7601" s="21">
        <v>0</v>
      </c>
      <c r="AG7601" s="21">
        <v>0</v>
      </c>
      <c r="AH7601" s="21">
        <f t="shared" si="144"/>
        <v>288</v>
      </c>
      <c r="AI7601" s="21"/>
      <c r="AJ7601" s="21" t="s">
        <v>51</v>
      </c>
      <c r="AK7601" s="21" t="s">
        <v>95</v>
      </c>
      <c r="AL7601" s="21"/>
      <c r="AM7601" s="21" t="s">
        <v>3341</v>
      </c>
      <c r="AN7601" s="21">
        <v>-122.428750583333</v>
      </c>
      <c r="AO7601" s="21">
        <v>37.786194583333298</v>
      </c>
      <c r="AP7601" s="21" t="s">
        <v>1915</v>
      </c>
    </row>
    <row r="7602" spans="1:42">
      <c r="A7602" s="20">
        <v>43847</v>
      </c>
      <c r="B7602" s="21">
        <v>5</v>
      </c>
      <c r="C7602" s="21">
        <v>228</v>
      </c>
      <c r="D7602" s="21">
        <v>14444</v>
      </c>
      <c r="E7602" t="s">
        <v>112</v>
      </c>
      <c r="F7602" s="21" t="s">
        <v>104</v>
      </c>
      <c r="G7602" s="21">
        <v>2</v>
      </c>
      <c r="H7602" s="21">
        <v>77</v>
      </c>
      <c r="I7602" s="23" t="s">
        <v>3340</v>
      </c>
      <c r="J7602" s="21"/>
      <c r="K7602" s="21" t="s">
        <v>1092</v>
      </c>
      <c r="L7602" s="21"/>
      <c r="M7602" s="21"/>
      <c r="N7602" s="21" t="s">
        <v>40</v>
      </c>
      <c r="O7602" s="21">
        <f>60+46</f>
        <v>106</v>
      </c>
      <c r="P7602" s="21"/>
      <c r="Q7602" s="21">
        <f t="shared" si="143"/>
        <v>4</v>
      </c>
      <c r="R7602" s="21">
        <v>1</v>
      </c>
      <c r="S7602" s="21">
        <v>0</v>
      </c>
      <c r="T7602" s="21">
        <v>0</v>
      </c>
      <c r="U7602" s="21">
        <v>0</v>
      </c>
      <c r="V7602" s="21">
        <v>3</v>
      </c>
      <c r="W7602" s="21">
        <v>1</v>
      </c>
      <c r="X7602" s="21">
        <v>0</v>
      </c>
      <c r="Y7602" s="21">
        <v>0</v>
      </c>
      <c r="Z7602" s="21">
        <v>0</v>
      </c>
      <c r="AA7602" s="21">
        <v>0</v>
      </c>
      <c r="AB7602" s="21">
        <v>0</v>
      </c>
      <c r="AC7602" s="21">
        <v>0</v>
      </c>
      <c r="AD7602" s="21">
        <v>0</v>
      </c>
      <c r="AE7602" s="21">
        <v>0</v>
      </c>
      <c r="AF7602" s="21">
        <v>1</v>
      </c>
      <c r="AG7602" s="21">
        <v>2</v>
      </c>
      <c r="AH7602" s="21">
        <f t="shared" si="144"/>
        <v>288</v>
      </c>
      <c r="AI7602" s="21"/>
      <c r="AJ7602" s="21"/>
      <c r="AK7602" s="21"/>
      <c r="AL7602" s="21" t="s">
        <v>3306</v>
      </c>
      <c r="AM7602" s="21" t="s">
        <v>3342</v>
      </c>
      <c r="AN7602" s="21">
        <v>-122.428961</v>
      </c>
      <c r="AO7602" s="21">
        <v>37.786154983333297</v>
      </c>
      <c r="AP7602" s="21" t="s">
        <v>1915</v>
      </c>
    </row>
    <row r="7603" spans="1:42">
      <c r="A7603" s="20">
        <v>43847</v>
      </c>
      <c r="B7603" s="21">
        <v>5</v>
      </c>
      <c r="C7603" s="21">
        <v>228</v>
      </c>
      <c r="D7603" s="21">
        <v>14444</v>
      </c>
      <c r="E7603" t="s">
        <v>112</v>
      </c>
      <c r="F7603" s="21" t="s">
        <v>104</v>
      </c>
      <c r="G7603" s="21">
        <v>2</v>
      </c>
      <c r="H7603" s="21">
        <v>78</v>
      </c>
      <c r="I7603" s="23" t="s">
        <v>3343</v>
      </c>
      <c r="J7603" s="21"/>
      <c r="K7603" s="21" t="s">
        <v>110</v>
      </c>
      <c r="L7603" s="21"/>
      <c r="M7603" s="21"/>
      <c r="N7603" s="21" t="s">
        <v>44</v>
      </c>
      <c r="O7603" s="21">
        <f>60+60+60+60+60+60+7</f>
        <v>367</v>
      </c>
      <c r="P7603" s="21"/>
      <c r="Q7603" s="21">
        <f t="shared" si="143"/>
        <v>5</v>
      </c>
      <c r="R7603" s="21">
        <v>1</v>
      </c>
      <c r="S7603" s="21">
        <v>0</v>
      </c>
      <c r="T7603" s="21">
        <v>0</v>
      </c>
      <c r="U7603" s="21">
        <v>0</v>
      </c>
      <c r="V7603" s="21">
        <v>3</v>
      </c>
      <c r="W7603" s="21">
        <v>2</v>
      </c>
      <c r="X7603" s="21">
        <v>0</v>
      </c>
      <c r="Y7603" s="21">
        <v>0</v>
      </c>
      <c r="Z7603" s="21">
        <v>0</v>
      </c>
      <c r="AA7603" s="21">
        <v>0</v>
      </c>
      <c r="AB7603" s="21">
        <v>0</v>
      </c>
      <c r="AC7603" s="21">
        <v>0</v>
      </c>
      <c r="AD7603" s="21">
        <v>0</v>
      </c>
      <c r="AE7603" s="21">
        <v>0</v>
      </c>
      <c r="AF7603" s="21">
        <v>0</v>
      </c>
      <c r="AG7603" s="21">
        <v>0</v>
      </c>
      <c r="AH7603" s="21">
        <f t="shared" si="144"/>
        <v>384</v>
      </c>
      <c r="AI7603" s="21"/>
      <c r="AJ7603" s="21"/>
      <c r="AK7603" s="21"/>
      <c r="AL7603" s="21" t="s">
        <v>3344</v>
      </c>
      <c r="AM7603" s="21" t="s">
        <v>3345</v>
      </c>
      <c r="AN7603" s="21">
        <v>-122.42952946666701</v>
      </c>
      <c r="AO7603" s="21">
        <v>37.786076433333299</v>
      </c>
      <c r="AP7603" s="21" t="s">
        <v>1915</v>
      </c>
    </row>
    <row r="7604" spans="1:42">
      <c r="A7604" s="20">
        <v>43847</v>
      </c>
      <c r="B7604" s="21">
        <v>5</v>
      </c>
      <c r="C7604" s="21">
        <v>228</v>
      </c>
      <c r="D7604" s="21">
        <v>14444</v>
      </c>
      <c r="E7604" t="s">
        <v>112</v>
      </c>
      <c r="F7604" s="21" t="s">
        <v>104</v>
      </c>
      <c r="G7604" s="21">
        <v>2</v>
      </c>
      <c r="H7604" s="21">
        <v>79</v>
      </c>
      <c r="I7604" s="23" t="s">
        <v>3346</v>
      </c>
      <c r="J7604" s="21"/>
      <c r="K7604" s="21" t="s">
        <v>3347</v>
      </c>
      <c r="L7604" s="21"/>
      <c r="M7604" s="21"/>
      <c r="N7604" s="21" t="s">
        <v>40</v>
      </c>
      <c r="O7604" s="21">
        <f>60+5</f>
        <v>65</v>
      </c>
      <c r="P7604" s="21"/>
      <c r="Q7604" s="21">
        <f t="shared" si="143"/>
        <v>2</v>
      </c>
      <c r="R7604" s="21">
        <v>1</v>
      </c>
      <c r="S7604" s="21">
        <v>0</v>
      </c>
      <c r="T7604" s="21">
        <v>0</v>
      </c>
      <c r="U7604" s="21">
        <v>0</v>
      </c>
      <c r="V7604" s="21">
        <v>1</v>
      </c>
      <c r="W7604" s="21">
        <v>1</v>
      </c>
      <c r="X7604" s="21">
        <v>0</v>
      </c>
      <c r="Y7604" s="21">
        <v>0</v>
      </c>
      <c r="Z7604" s="21">
        <v>0</v>
      </c>
      <c r="AA7604" s="21">
        <v>0</v>
      </c>
      <c r="AB7604" s="21">
        <v>0</v>
      </c>
      <c r="AC7604" s="21">
        <v>0</v>
      </c>
      <c r="AD7604" s="21">
        <v>0</v>
      </c>
      <c r="AE7604" s="21">
        <v>0</v>
      </c>
      <c r="AF7604" s="21">
        <v>0</v>
      </c>
      <c r="AG7604" s="21">
        <v>0</v>
      </c>
      <c r="AH7604" s="21">
        <f t="shared" si="144"/>
        <v>160</v>
      </c>
      <c r="AI7604" s="21"/>
      <c r="AJ7604" s="21" t="s">
        <v>54</v>
      </c>
      <c r="AK7604" s="21" t="s">
        <v>95</v>
      </c>
      <c r="AL7604" s="21" t="s">
        <v>587</v>
      </c>
      <c r="AM7604" s="21" t="s">
        <v>3348</v>
      </c>
      <c r="AN7604" s="21">
        <v>-122.428301166667</v>
      </c>
      <c r="AO7604" s="21">
        <v>37.786065749999999</v>
      </c>
      <c r="AP7604" s="21" t="s">
        <v>1915</v>
      </c>
    </row>
    <row r="7605" spans="1:42">
      <c r="A7605" s="20">
        <v>43847</v>
      </c>
      <c r="B7605" s="21">
        <v>5</v>
      </c>
      <c r="C7605" s="21">
        <v>228</v>
      </c>
      <c r="D7605" s="21">
        <v>14444</v>
      </c>
      <c r="E7605" t="s">
        <v>112</v>
      </c>
      <c r="F7605" s="21" t="s">
        <v>104</v>
      </c>
      <c r="G7605" s="21">
        <v>2</v>
      </c>
      <c r="H7605" s="21">
        <v>80</v>
      </c>
      <c r="I7605" s="23" t="s">
        <v>2787</v>
      </c>
      <c r="J7605" s="21"/>
      <c r="K7605" s="21" t="s">
        <v>53</v>
      </c>
      <c r="L7605" s="21"/>
      <c r="M7605" s="21"/>
      <c r="N7605" s="21" t="s">
        <v>40</v>
      </c>
      <c r="O7605" s="21">
        <v>28</v>
      </c>
      <c r="P7605" s="21"/>
      <c r="Q7605" s="21">
        <f t="shared" si="143"/>
        <v>1</v>
      </c>
      <c r="R7605" s="21">
        <v>1</v>
      </c>
      <c r="S7605" s="21">
        <v>0</v>
      </c>
      <c r="T7605" s="21">
        <v>0</v>
      </c>
      <c r="U7605" s="21">
        <v>0</v>
      </c>
      <c r="V7605" s="21">
        <v>0</v>
      </c>
      <c r="W7605" s="21">
        <v>0</v>
      </c>
      <c r="X7605" s="21">
        <v>1</v>
      </c>
      <c r="Y7605" s="21">
        <v>0</v>
      </c>
      <c r="Z7605" s="21">
        <v>0</v>
      </c>
      <c r="AA7605" s="21">
        <v>0</v>
      </c>
      <c r="AB7605" s="21">
        <v>0</v>
      </c>
      <c r="AC7605" s="21">
        <v>0</v>
      </c>
      <c r="AD7605" s="21">
        <v>0</v>
      </c>
      <c r="AE7605" s="21">
        <v>0</v>
      </c>
      <c r="AF7605" s="21">
        <v>0</v>
      </c>
      <c r="AG7605" s="21">
        <v>0</v>
      </c>
      <c r="AH7605" s="21">
        <f t="shared" si="144"/>
        <v>0</v>
      </c>
      <c r="AI7605" s="21"/>
      <c r="AJ7605" s="21" t="s">
        <v>51</v>
      </c>
      <c r="AK7605" s="21" t="s">
        <v>95</v>
      </c>
      <c r="AL7605" s="21" t="s">
        <v>3349</v>
      </c>
      <c r="AM7605" s="21" t="s">
        <v>3350</v>
      </c>
      <c r="AN7605" s="21">
        <v>-122.430012233333</v>
      </c>
      <c r="AO7605" s="21">
        <v>37.785592399999999</v>
      </c>
      <c r="AP7605" s="21" t="s">
        <v>1915</v>
      </c>
    </row>
    <row r="7606" spans="1:42">
      <c r="A7606" s="20">
        <v>43847</v>
      </c>
      <c r="B7606" s="21">
        <v>5</v>
      </c>
      <c r="C7606" s="21">
        <v>228</v>
      </c>
      <c r="D7606" s="21">
        <v>14444</v>
      </c>
      <c r="E7606" t="s">
        <v>112</v>
      </c>
      <c r="F7606" s="21" t="s">
        <v>104</v>
      </c>
      <c r="G7606" s="21">
        <v>2</v>
      </c>
      <c r="H7606" s="21">
        <v>81</v>
      </c>
      <c r="I7606" s="23" t="s">
        <v>3100</v>
      </c>
      <c r="J7606" s="21"/>
      <c r="K7606" s="21" t="s">
        <v>599</v>
      </c>
      <c r="L7606" s="21"/>
      <c r="M7606" s="21"/>
      <c r="N7606" s="21" t="s">
        <v>44</v>
      </c>
      <c r="O7606" s="21">
        <f>60+60+60+60+60+60+27</f>
        <v>387</v>
      </c>
      <c r="P7606" s="21"/>
      <c r="Q7606" s="21">
        <f t="shared" si="143"/>
        <v>9</v>
      </c>
      <c r="R7606" s="21">
        <v>1</v>
      </c>
      <c r="S7606" s="21">
        <v>0</v>
      </c>
      <c r="T7606" s="21">
        <v>0</v>
      </c>
      <c r="U7606" s="21">
        <v>1</v>
      </c>
      <c r="V7606" s="21">
        <v>5</v>
      </c>
      <c r="W7606" s="21">
        <v>3</v>
      </c>
      <c r="X7606" s="21">
        <v>0</v>
      </c>
      <c r="Y7606" s="21">
        <v>0</v>
      </c>
      <c r="Z7606" s="21">
        <v>0</v>
      </c>
      <c r="AA7606" s="21">
        <v>0</v>
      </c>
      <c r="AB7606" s="21">
        <v>0</v>
      </c>
      <c r="AC7606" s="21">
        <v>0</v>
      </c>
      <c r="AD7606" s="21">
        <v>0</v>
      </c>
      <c r="AE7606" s="21">
        <v>0</v>
      </c>
      <c r="AF7606" s="21">
        <v>0</v>
      </c>
      <c r="AG7606" s="21">
        <v>0</v>
      </c>
      <c r="AH7606" s="21">
        <f t="shared" si="144"/>
        <v>640</v>
      </c>
      <c r="AI7606" s="21"/>
      <c r="AJ7606" s="21"/>
      <c r="AK7606" s="21"/>
      <c r="AL7606" s="21" t="s">
        <v>3351</v>
      </c>
      <c r="AM7606" s="21" t="s">
        <v>3352</v>
      </c>
      <c r="AN7606" s="21">
        <v>-122.430727066667</v>
      </c>
      <c r="AO7606" s="21">
        <v>37.785902516666702</v>
      </c>
      <c r="AP7606" s="21" t="s">
        <v>1915</v>
      </c>
    </row>
    <row r="7607" spans="1:42">
      <c r="A7607" s="20">
        <v>43847</v>
      </c>
      <c r="B7607" s="21">
        <v>5</v>
      </c>
      <c r="C7607" s="21">
        <v>228</v>
      </c>
      <c r="D7607" s="21">
        <v>14444</v>
      </c>
      <c r="E7607" t="s">
        <v>112</v>
      </c>
      <c r="F7607" s="21" t="s">
        <v>104</v>
      </c>
      <c r="G7607" s="21">
        <v>2</v>
      </c>
      <c r="H7607" s="21">
        <v>82</v>
      </c>
      <c r="I7607" s="23" t="s">
        <v>2791</v>
      </c>
      <c r="J7607" s="21"/>
      <c r="K7607" s="21" t="s">
        <v>49</v>
      </c>
      <c r="L7607" s="21"/>
      <c r="M7607" s="21"/>
      <c r="N7607" s="21" t="s">
        <v>40</v>
      </c>
      <c r="O7607" s="21">
        <v>31</v>
      </c>
      <c r="P7607" s="21"/>
      <c r="Q7607" s="21">
        <f t="shared" si="143"/>
        <v>1</v>
      </c>
      <c r="R7607" s="21">
        <v>1</v>
      </c>
      <c r="S7607" s="21">
        <v>0</v>
      </c>
      <c r="T7607" s="21">
        <v>0</v>
      </c>
      <c r="U7607" s="21">
        <v>0</v>
      </c>
      <c r="V7607" s="21">
        <v>0</v>
      </c>
      <c r="W7607" s="21">
        <v>0</v>
      </c>
      <c r="X7607" s="21">
        <v>1</v>
      </c>
      <c r="Y7607" s="21">
        <v>0</v>
      </c>
      <c r="Z7607" s="21">
        <v>0</v>
      </c>
      <c r="AA7607" s="21">
        <v>0</v>
      </c>
      <c r="AB7607" s="21">
        <v>0</v>
      </c>
      <c r="AC7607" s="21">
        <v>0</v>
      </c>
      <c r="AD7607" s="21">
        <v>0</v>
      </c>
      <c r="AE7607" s="21">
        <v>0</v>
      </c>
      <c r="AF7607" s="21">
        <v>0</v>
      </c>
      <c r="AG7607" s="21">
        <v>0</v>
      </c>
      <c r="AH7607" s="21">
        <f t="shared" si="144"/>
        <v>0</v>
      </c>
      <c r="AI7607" s="21"/>
      <c r="AJ7607" s="21"/>
      <c r="AK7607" s="21"/>
      <c r="AL7607" s="21" t="s">
        <v>470</v>
      </c>
      <c r="AM7607" s="21" t="s">
        <v>3353</v>
      </c>
      <c r="AN7607" s="21">
        <v>-122.4331803</v>
      </c>
      <c r="AO7607" s="21">
        <v>37.7861326833333</v>
      </c>
      <c r="AP7607" s="21" t="s">
        <v>1915</v>
      </c>
    </row>
    <row r="7608" spans="1:42">
      <c r="A7608" s="20">
        <v>43847</v>
      </c>
      <c r="B7608" s="21">
        <v>5</v>
      </c>
      <c r="C7608" s="21">
        <v>228</v>
      </c>
      <c r="D7608" s="21">
        <v>14444</v>
      </c>
      <c r="E7608" t="s">
        <v>112</v>
      </c>
      <c r="F7608" s="21" t="s">
        <v>104</v>
      </c>
      <c r="G7608" s="21">
        <v>2</v>
      </c>
      <c r="H7608" s="21">
        <v>83</v>
      </c>
      <c r="I7608" s="23" t="s">
        <v>2798</v>
      </c>
      <c r="J7608" s="21"/>
      <c r="K7608" s="21" t="s">
        <v>3354</v>
      </c>
      <c r="L7608" s="21"/>
      <c r="M7608" s="21"/>
      <c r="N7608" s="21" t="s">
        <v>44</v>
      </c>
      <c r="O7608" s="21">
        <f>60+46</f>
        <v>106</v>
      </c>
      <c r="P7608" s="21"/>
      <c r="Q7608" s="21">
        <f t="shared" si="143"/>
        <v>1</v>
      </c>
      <c r="R7608" s="21">
        <v>1</v>
      </c>
      <c r="S7608" s="21">
        <v>0</v>
      </c>
      <c r="T7608" s="21">
        <v>0</v>
      </c>
      <c r="U7608" s="21">
        <v>0</v>
      </c>
      <c r="V7608" s="21">
        <v>0</v>
      </c>
      <c r="W7608" s="21">
        <v>1</v>
      </c>
      <c r="X7608" s="21">
        <v>0</v>
      </c>
      <c r="Y7608" s="21">
        <v>0</v>
      </c>
      <c r="Z7608" s="21">
        <v>0</v>
      </c>
      <c r="AA7608" s="21">
        <v>0</v>
      </c>
      <c r="AB7608" s="21">
        <v>0</v>
      </c>
      <c r="AC7608" s="21">
        <v>0</v>
      </c>
      <c r="AD7608" s="21">
        <v>0</v>
      </c>
      <c r="AE7608" s="21">
        <v>0</v>
      </c>
      <c r="AF7608" s="21">
        <v>0</v>
      </c>
      <c r="AG7608" s="21">
        <v>0</v>
      </c>
      <c r="AH7608" s="21">
        <f t="shared" si="144"/>
        <v>96</v>
      </c>
      <c r="AI7608" s="21"/>
      <c r="AJ7608" s="21" t="s">
        <v>54</v>
      </c>
      <c r="AK7608" s="21" t="s">
        <v>95</v>
      </c>
      <c r="AL7608" s="21"/>
      <c r="AM7608" s="21" t="s">
        <v>3355</v>
      </c>
      <c r="AN7608" s="21">
        <v>-122.431734066667</v>
      </c>
      <c r="AO7608" s="21">
        <v>37.786372716666598</v>
      </c>
      <c r="AP7608" s="21" t="s">
        <v>1915</v>
      </c>
    </row>
    <row r="7609" spans="1:42">
      <c r="A7609" s="20">
        <v>43847</v>
      </c>
      <c r="B7609" s="21">
        <v>5</v>
      </c>
      <c r="C7609" s="21">
        <v>228</v>
      </c>
      <c r="D7609" s="21">
        <v>14444</v>
      </c>
      <c r="E7609" t="s">
        <v>112</v>
      </c>
      <c r="F7609" s="21" t="s">
        <v>104</v>
      </c>
      <c r="G7609" s="21">
        <v>2</v>
      </c>
      <c r="H7609" s="21">
        <v>84</v>
      </c>
      <c r="I7609" s="23" t="s">
        <v>3356</v>
      </c>
      <c r="J7609" s="21"/>
      <c r="K7609" s="21" t="s">
        <v>2554</v>
      </c>
      <c r="L7609" s="21"/>
      <c r="M7609" s="21"/>
      <c r="N7609" s="21" t="s">
        <v>44</v>
      </c>
      <c r="O7609" s="21">
        <f>60+60+31</f>
        <v>151</v>
      </c>
      <c r="P7609" s="21"/>
      <c r="Q7609" s="21">
        <f t="shared" si="143"/>
        <v>4</v>
      </c>
      <c r="R7609" s="21">
        <v>1</v>
      </c>
      <c r="S7609" s="21">
        <v>0</v>
      </c>
      <c r="T7609" s="21">
        <v>0</v>
      </c>
      <c r="U7609" s="21">
        <v>1</v>
      </c>
      <c r="V7609" s="21">
        <v>1</v>
      </c>
      <c r="W7609" s="21">
        <v>2</v>
      </c>
      <c r="X7609" s="21">
        <v>0</v>
      </c>
      <c r="Y7609" s="21">
        <v>0</v>
      </c>
      <c r="Z7609" s="21">
        <v>0</v>
      </c>
      <c r="AA7609" s="21">
        <v>0</v>
      </c>
      <c r="AB7609" s="21">
        <v>0</v>
      </c>
      <c r="AC7609" s="21">
        <v>0</v>
      </c>
      <c r="AD7609" s="21">
        <v>0</v>
      </c>
      <c r="AE7609" s="21">
        <v>0</v>
      </c>
      <c r="AF7609" s="21">
        <v>0</v>
      </c>
      <c r="AG7609" s="21">
        <v>2</v>
      </c>
      <c r="AH7609" s="21">
        <f t="shared" si="144"/>
        <v>288</v>
      </c>
      <c r="AI7609" s="21"/>
      <c r="AJ7609" s="21"/>
      <c r="AK7609" s="21"/>
      <c r="AL7609" s="21" t="s">
        <v>3357</v>
      </c>
      <c r="AM7609" s="21" t="s">
        <v>3358</v>
      </c>
      <c r="AN7609" s="21">
        <v>-122.433286266667</v>
      </c>
      <c r="AO7609" s="21">
        <v>37.785732549999999</v>
      </c>
      <c r="AP7609" s="21" t="s">
        <v>1915</v>
      </c>
    </row>
    <row r="7610" spans="1:42">
      <c r="A7610" s="20">
        <v>43847</v>
      </c>
      <c r="B7610" s="21">
        <v>5</v>
      </c>
      <c r="C7610" s="21">
        <v>228</v>
      </c>
      <c r="D7610" s="21">
        <v>14444</v>
      </c>
      <c r="E7610" t="s">
        <v>112</v>
      </c>
      <c r="F7610" s="21" t="s">
        <v>104</v>
      </c>
      <c r="G7610" s="21">
        <v>2</v>
      </c>
      <c r="H7610" s="21">
        <v>85</v>
      </c>
      <c r="I7610" s="23" t="s">
        <v>3359</v>
      </c>
      <c r="J7610" s="21"/>
      <c r="K7610" s="21" t="s">
        <v>909</v>
      </c>
      <c r="L7610" s="21"/>
      <c r="M7610" s="21"/>
      <c r="N7610" s="21" t="s">
        <v>44</v>
      </c>
      <c r="O7610" s="21">
        <f>60+50</f>
        <v>110</v>
      </c>
      <c r="P7610" s="21"/>
      <c r="Q7610" s="21">
        <f t="shared" si="143"/>
        <v>4</v>
      </c>
      <c r="R7610" s="21">
        <v>1</v>
      </c>
      <c r="S7610" s="21">
        <v>0</v>
      </c>
      <c r="T7610" s="21">
        <v>0</v>
      </c>
      <c r="U7610" s="21">
        <v>0</v>
      </c>
      <c r="V7610" s="21">
        <v>3</v>
      </c>
      <c r="W7610" s="21">
        <v>1</v>
      </c>
      <c r="X7610" s="21">
        <v>0</v>
      </c>
      <c r="Y7610" s="21">
        <v>0</v>
      </c>
      <c r="Z7610" s="21">
        <v>0</v>
      </c>
      <c r="AA7610" s="21">
        <v>0</v>
      </c>
      <c r="AB7610" s="21">
        <v>0</v>
      </c>
      <c r="AC7610" s="21">
        <v>0</v>
      </c>
      <c r="AD7610" s="21">
        <v>0</v>
      </c>
      <c r="AE7610" s="21">
        <v>0</v>
      </c>
      <c r="AF7610" s="21">
        <v>0</v>
      </c>
      <c r="AG7610" s="21">
        <v>0</v>
      </c>
      <c r="AH7610" s="21">
        <f t="shared" si="144"/>
        <v>288</v>
      </c>
      <c r="AI7610" s="21"/>
      <c r="AJ7610" s="21"/>
      <c r="AK7610" s="21"/>
      <c r="AL7610" s="21"/>
      <c r="AM7610" s="21" t="s">
        <v>3360</v>
      </c>
      <c r="AN7610" s="21">
        <v>-122.43299538333299</v>
      </c>
      <c r="AO7610" s="21">
        <v>37.7857715833333</v>
      </c>
      <c r="AP7610" s="21" t="s">
        <v>1915</v>
      </c>
    </row>
    <row r="7611" spans="1:42">
      <c r="A7611" s="20">
        <v>43847</v>
      </c>
      <c r="B7611" s="21">
        <v>5</v>
      </c>
      <c r="C7611" s="21">
        <v>228</v>
      </c>
      <c r="D7611" s="21">
        <v>14444</v>
      </c>
      <c r="E7611" t="s">
        <v>112</v>
      </c>
      <c r="F7611" s="21" t="s">
        <v>104</v>
      </c>
      <c r="G7611" s="21">
        <v>2</v>
      </c>
      <c r="H7611" s="21">
        <v>86</v>
      </c>
      <c r="I7611" s="23" t="s">
        <v>2787</v>
      </c>
      <c r="J7611" s="21"/>
      <c r="K7611" s="21" t="s">
        <v>909</v>
      </c>
      <c r="L7611" s="21"/>
      <c r="M7611" s="21"/>
      <c r="N7611" s="21" t="s">
        <v>40</v>
      </c>
      <c r="O7611" s="21">
        <v>18</v>
      </c>
      <c r="P7611" s="21"/>
      <c r="Q7611" s="21">
        <f t="shared" si="143"/>
        <v>1</v>
      </c>
      <c r="R7611" s="21">
        <v>1</v>
      </c>
      <c r="S7611" s="21">
        <v>0</v>
      </c>
      <c r="T7611" s="21">
        <v>0</v>
      </c>
      <c r="U7611" s="21">
        <v>0</v>
      </c>
      <c r="V7611" s="21">
        <v>0</v>
      </c>
      <c r="W7611" s="21">
        <v>0</v>
      </c>
      <c r="X7611" s="21">
        <v>1</v>
      </c>
      <c r="Y7611" s="21">
        <v>0</v>
      </c>
      <c r="Z7611" s="21">
        <v>0</v>
      </c>
      <c r="AA7611" s="21">
        <v>0</v>
      </c>
      <c r="AB7611" s="21">
        <v>0</v>
      </c>
      <c r="AC7611" s="21">
        <v>0</v>
      </c>
      <c r="AD7611" s="21">
        <v>0</v>
      </c>
      <c r="AE7611" s="21">
        <v>0</v>
      </c>
      <c r="AF7611" s="21">
        <v>0</v>
      </c>
      <c r="AG7611" s="21">
        <v>0</v>
      </c>
      <c r="AH7611" s="21">
        <f t="shared" si="144"/>
        <v>0</v>
      </c>
      <c r="AI7611" s="21"/>
      <c r="AJ7611" s="21" t="s">
        <v>51</v>
      </c>
      <c r="AK7611" s="21" t="s">
        <v>95</v>
      </c>
      <c r="AL7611" s="21" t="s">
        <v>470</v>
      </c>
      <c r="AM7611" s="21" t="s">
        <v>3361</v>
      </c>
      <c r="AN7611" s="21">
        <v>-122.4332022</v>
      </c>
      <c r="AO7611" s="21">
        <v>37.785890250000001</v>
      </c>
      <c r="AP7611" s="21" t="s">
        <v>1915</v>
      </c>
    </row>
    <row r="7612" spans="1:42">
      <c r="A7612" s="20">
        <v>43847</v>
      </c>
      <c r="B7612" s="21">
        <v>5</v>
      </c>
      <c r="C7612" s="21">
        <v>228</v>
      </c>
      <c r="D7612" s="21">
        <v>14444</v>
      </c>
      <c r="E7612" t="s">
        <v>112</v>
      </c>
      <c r="F7612" s="21" t="s">
        <v>104</v>
      </c>
      <c r="G7612" s="21">
        <v>2</v>
      </c>
      <c r="H7612" s="21">
        <v>87</v>
      </c>
      <c r="I7612" s="23" t="s">
        <v>3305</v>
      </c>
      <c r="J7612" s="21"/>
      <c r="K7612" s="21" t="s">
        <v>49</v>
      </c>
      <c r="L7612" s="21"/>
      <c r="M7612" s="21" t="s">
        <v>95</v>
      </c>
      <c r="N7612" s="21" t="s">
        <v>40</v>
      </c>
      <c r="O7612" s="21">
        <f>60+60+60+60+60+60+32</f>
        <v>392</v>
      </c>
      <c r="P7612" s="21"/>
      <c r="Q7612" s="21">
        <f t="shared" si="143"/>
        <v>10</v>
      </c>
      <c r="R7612" s="21">
        <v>1</v>
      </c>
      <c r="S7612" s="21">
        <v>0</v>
      </c>
      <c r="T7612" s="21">
        <v>0</v>
      </c>
      <c r="U7612" s="21">
        <v>1</v>
      </c>
      <c r="V7612" s="21">
        <v>3</v>
      </c>
      <c r="W7612" s="21">
        <v>6</v>
      </c>
      <c r="X7612" s="21">
        <v>0</v>
      </c>
      <c r="Y7612" s="21">
        <v>0</v>
      </c>
      <c r="Z7612" s="21">
        <v>0</v>
      </c>
      <c r="AA7612" s="21">
        <v>0</v>
      </c>
      <c r="AB7612" s="21">
        <v>0</v>
      </c>
      <c r="AC7612" s="21">
        <v>0</v>
      </c>
      <c r="AD7612" s="21">
        <v>0</v>
      </c>
      <c r="AE7612" s="21">
        <v>0</v>
      </c>
      <c r="AF7612" s="21">
        <v>0</v>
      </c>
      <c r="AG7612" s="21">
        <v>0</v>
      </c>
      <c r="AH7612" s="21">
        <f t="shared" si="144"/>
        <v>800</v>
      </c>
      <c r="AI7612" s="21"/>
      <c r="AJ7612" s="21" t="s">
        <v>51</v>
      </c>
      <c r="AK7612" s="21" t="s">
        <v>95</v>
      </c>
      <c r="AL7612" s="21" t="s">
        <v>3362</v>
      </c>
      <c r="AM7612" s="21" t="s">
        <v>3363</v>
      </c>
      <c r="AN7612" s="21">
        <v>-122.430483266667</v>
      </c>
      <c r="AO7612" s="21">
        <v>37.78647205</v>
      </c>
      <c r="AP7612" s="21" t="s">
        <v>1915</v>
      </c>
    </row>
    <row r="7613" spans="1:42">
      <c r="A7613" s="20">
        <v>43847</v>
      </c>
      <c r="B7613" s="21">
        <v>5</v>
      </c>
      <c r="C7613" s="21">
        <v>228</v>
      </c>
      <c r="D7613" s="21">
        <v>14444</v>
      </c>
      <c r="E7613" t="s">
        <v>112</v>
      </c>
      <c r="F7613" s="21" t="s">
        <v>104</v>
      </c>
      <c r="G7613" s="21">
        <v>2</v>
      </c>
      <c r="H7613" s="21">
        <v>88</v>
      </c>
      <c r="I7613" s="23" t="s">
        <v>3305</v>
      </c>
      <c r="J7613" s="21"/>
      <c r="K7613" s="21" t="s">
        <v>49</v>
      </c>
      <c r="L7613" s="21"/>
      <c r="M7613" s="21"/>
      <c r="N7613" s="21" t="s">
        <v>40</v>
      </c>
      <c r="O7613" s="21">
        <v>45</v>
      </c>
      <c r="P7613" s="21"/>
      <c r="Q7613" s="21">
        <f t="shared" si="143"/>
        <v>1</v>
      </c>
      <c r="R7613" s="21">
        <v>1</v>
      </c>
      <c r="S7613" s="21">
        <v>0</v>
      </c>
      <c r="T7613" s="21">
        <v>0</v>
      </c>
      <c r="U7613" s="21">
        <v>0</v>
      </c>
      <c r="V7613" s="21">
        <v>1</v>
      </c>
      <c r="W7613" s="21">
        <v>0</v>
      </c>
      <c r="X7613" s="21">
        <v>0</v>
      </c>
      <c r="Y7613" s="21">
        <v>0</v>
      </c>
      <c r="Z7613" s="21">
        <v>0</v>
      </c>
      <c r="AA7613" s="21">
        <v>0</v>
      </c>
      <c r="AB7613" s="21">
        <v>0</v>
      </c>
      <c r="AC7613" s="21">
        <v>0</v>
      </c>
      <c r="AD7613" s="21">
        <v>0</v>
      </c>
      <c r="AE7613" s="21">
        <v>0</v>
      </c>
      <c r="AF7613" s="21">
        <v>0</v>
      </c>
      <c r="AG7613" s="21">
        <v>0</v>
      </c>
      <c r="AH7613" s="21">
        <f t="shared" si="144"/>
        <v>64</v>
      </c>
      <c r="AI7613" s="21"/>
      <c r="AJ7613" s="21"/>
      <c r="AK7613" s="21"/>
      <c r="AL7613" s="21"/>
      <c r="AM7613" s="21" t="s">
        <v>3364</v>
      </c>
      <c r="AN7613" s="21">
        <v>-122.431050483333</v>
      </c>
      <c r="AO7613" s="21">
        <v>37.786449616666701</v>
      </c>
      <c r="AP7613" s="21" t="s">
        <v>1915</v>
      </c>
    </row>
    <row r="7614" spans="1:42">
      <c r="A7614" s="20">
        <v>43847</v>
      </c>
      <c r="B7614" s="21">
        <v>5</v>
      </c>
      <c r="C7614" s="21">
        <v>228</v>
      </c>
      <c r="D7614" s="21">
        <v>14444</v>
      </c>
      <c r="E7614" t="s">
        <v>112</v>
      </c>
      <c r="F7614" s="21" t="s">
        <v>104</v>
      </c>
      <c r="G7614" s="21">
        <v>2</v>
      </c>
      <c r="H7614" s="21">
        <v>89</v>
      </c>
      <c r="I7614" s="23" t="s">
        <v>3011</v>
      </c>
      <c r="J7614" s="21"/>
      <c r="K7614" s="21" t="s">
        <v>631</v>
      </c>
      <c r="L7614" s="21"/>
      <c r="M7614" s="21"/>
      <c r="N7614" s="21" t="s">
        <v>40</v>
      </c>
      <c r="O7614" s="21">
        <f>60+60+60+32</f>
        <v>212</v>
      </c>
      <c r="P7614" s="21"/>
      <c r="Q7614" s="21">
        <f t="shared" si="143"/>
        <v>7</v>
      </c>
      <c r="R7614" s="21">
        <v>1</v>
      </c>
      <c r="S7614" s="21">
        <v>0</v>
      </c>
      <c r="T7614" s="21">
        <v>0</v>
      </c>
      <c r="U7614" s="21">
        <v>0</v>
      </c>
      <c r="V7614" s="21">
        <v>7</v>
      </c>
      <c r="W7614" s="21">
        <v>0</v>
      </c>
      <c r="X7614" s="21">
        <v>0</v>
      </c>
      <c r="Y7614" s="21">
        <v>0</v>
      </c>
      <c r="Z7614" s="21">
        <v>0</v>
      </c>
      <c r="AA7614" s="21">
        <v>0</v>
      </c>
      <c r="AB7614" s="21">
        <v>0</v>
      </c>
      <c r="AC7614" s="21">
        <v>0</v>
      </c>
      <c r="AD7614" s="21">
        <v>0</v>
      </c>
      <c r="AE7614" s="21">
        <v>0</v>
      </c>
      <c r="AF7614" s="21">
        <v>0</v>
      </c>
      <c r="AG7614" s="21">
        <v>0</v>
      </c>
      <c r="AH7614" s="21">
        <f t="shared" si="144"/>
        <v>448</v>
      </c>
      <c r="AI7614" s="21"/>
      <c r="AJ7614" s="21" t="s">
        <v>54</v>
      </c>
      <c r="AK7614" s="21" t="s">
        <v>95</v>
      </c>
      <c r="AL7614" s="21" t="s">
        <v>3365</v>
      </c>
      <c r="AM7614" s="21" t="s">
        <v>3366</v>
      </c>
      <c r="AN7614" s="21">
        <v>-122.422831266667</v>
      </c>
      <c r="AO7614" s="21">
        <v>37.786624983333297</v>
      </c>
      <c r="AP7614" s="21" t="s">
        <v>1915</v>
      </c>
    </row>
    <row r="7615" spans="1:42">
      <c r="A7615" s="20">
        <v>43843</v>
      </c>
      <c r="B7615" s="21">
        <v>1</v>
      </c>
      <c r="C7615" s="21">
        <v>507</v>
      </c>
      <c r="D7615" s="21">
        <v>11442</v>
      </c>
      <c r="E7615" t="s">
        <v>377</v>
      </c>
      <c r="F7615" s="21" t="s">
        <v>38</v>
      </c>
      <c r="G7615" s="21">
        <v>1</v>
      </c>
      <c r="H7615" s="21">
        <v>1</v>
      </c>
      <c r="I7615" s="23" t="s">
        <v>3367</v>
      </c>
      <c r="J7615" s="21"/>
      <c r="K7615" s="21" t="s">
        <v>406</v>
      </c>
      <c r="L7615" s="21"/>
      <c r="M7615" s="21"/>
      <c r="N7615" s="21" t="s">
        <v>40</v>
      </c>
      <c r="O7615" s="21">
        <v>126</v>
      </c>
      <c r="P7615" s="21"/>
      <c r="Q7615" s="21">
        <f t="shared" si="143"/>
        <v>1</v>
      </c>
      <c r="R7615" s="21">
        <v>1</v>
      </c>
      <c r="S7615" s="21">
        <v>0</v>
      </c>
      <c r="T7615" s="21">
        <v>0</v>
      </c>
      <c r="U7615" s="21">
        <v>0</v>
      </c>
      <c r="V7615" s="21">
        <v>0</v>
      </c>
      <c r="W7615" s="21">
        <v>0</v>
      </c>
      <c r="X7615" s="21">
        <v>0</v>
      </c>
      <c r="Y7615" s="21">
        <v>1</v>
      </c>
      <c r="Z7615" s="21">
        <v>0</v>
      </c>
      <c r="AA7615" s="21">
        <v>0</v>
      </c>
      <c r="AB7615" s="21">
        <v>0</v>
      </c>
      <c r="AC7615" s="21">
        <v>0</v>
      </c>
      <c r="AD7615" s="21">
        <v>0</v>
      </c>
      <c r="AE7615" s="21">
        <v>0</v>
      </c>
      <c r="AF7615" s="21">
        <v>0</v>
      </c>
      <c r="AG7615" s="21">
        <v>0</v>
      </c>
      <c r="AH7615" s="21">
        <f t="shared" si="144"/>
        <v>0</v>
      </c>
      <c r="AI7615" s="21"/>
      <c r="AJ7615" s="21"/>
      <c r="AK7615" s="21"/>
      <c r="AL7615" s="21"/>
      <c r="AM7615" s="21" t="s">
        <v>3368</v>
      </c>
      <c r="AN7615" s="21">
        <v>-122.394896433333</v>
      </c>
      <c r="AO7615" s="21">
        <v>37.777319083333303</v>
      </c>
      <c r="AP7615" s="21" t="s">
        <v>1915</v>
      </c>
    </row>
    <row r="7616" spans="1:42">
      <c r="A7616" s="20">
        <v>43843</v>
      </c>
      <c r="B7616" s="21">
        <v>1</v>
      </c>
      <c r="C7616" s="21">
        <v>507</v>
      </c>
      <c r="D7616" s="21">
        <v>11442</v>
      </c>
      <c r="E7616" t="s">
        <v>377</v>
      </c>
      <c r="F7616" s="21" t="s">
        <v>38</v>
      </c>
      <c r="G7616" s="21">
        <v>1</v>
      </c>
      <c r="H7616" s="21">
        <v>2</v>
      </c>
      <c r="I7616" s="23" t="s">
        <v>3369</v>
      </c>
      <c r="J7616" s="21"/>
      <c r="K7616" s="21" t="s">
        <v>473</v>
      </c>
      <c r="L7616" s="21"/>
      <c r="M7616" s="21"/>
      <c r="N7616" s="21" t="s">
        <v>40</v>
      </c>
      <c r="O7616" s="21">
        <f>60+58</f>
        <v>118</v>
      </c>
      <c r="P7616" s="21"/>
      <c r="Q7616" s="21">
        <f t="shared" ref="Q7616:Q7679" si="145">SUM(S7616:AE7616)</f>
        <v>2</v>
      </c>
      <c r="R7616" s="21">
        <v>1</v>
      </c>
      <c r="S7616" s="21">
        <v>0</v>
      </c>
      <c r="T7616" s="21">
        <v>0</v>
      </c>
      <c r="U7616" s="21">
        <v>0</v>
      </c>
      <c r="V7616" s="21">
        <v>0</v>
      </c>
      <c r="W7616" s="21">
        <v>0</v>
      </c>
      <c r="X7616" s="21">
        <v>0</v>
      </c>
      <c r="Y7616" s="21">
        <v>0</v>
      </c>
      <c r="Z7616" s="21">
        <v>0</v>
      </c>
      <c r="AA7616" s="21">
        <v>0</v>
      </c>
      <c r="AB7616" s="21">
        <v>0</v>
      </c>
      <c r="AC7616" s="21">
        <v>2</v>
      </c>
      <c r="AD7616" s="21">
        <v>0</v>
      </c>
      <c r="AE7616" s="21">
        <v>0</v>
      </c>
      <c r="AF7616" s="21">
        <v>0</v>
      </c>
      <c r="AG7616" s="21">
        <v>0</v>
      </c>
      <c r="AH7616" s="21">
        <f t="shared" ref="AH7616:AH7679" si="146">(S7616*16)+(T7616*20)+(U7616*32)+(V7616*64)+(W7616*96)</f>
        <v>0</v>
      </c>
      <c r="AI7616" s="21"/>
      <c r="AJ7616" s="21"/>
      <c r="AK7616" s="21"/>
      <c r="AL7616" s="21" t="s">
        <v>3370</v>
      </c>
      <c r="AM7616" s="21" t="s">
        <v>3371</v>
      </c>
      <c r="AN7616" s="21">
        <v>-122.392953166667</v>
      </c>
      <c r="AO7616" s="21">
        <v>37.778473216666697</v>
      </c>
      <c r="AP7616" s="21" t="s">
        <v>1915</v>
      </c>
    </row>
    <row r="7617" spans="1:42">
      <c r="A7617" s="20">
        <v>43843</v>
      </c>
      <c r="B7617" s="21">
        <v>1</v>
      </c>
      <c r="C7617" s="21">
        <v>507</v>
      </c>
      <c r="D7617" s="21">
        <v>11442</v>
      </c>
      <c r="E7617" t="s">
        <v>377</v>
      </c>
      <c r="F7617" s="21" t="s">
        <v>38</v>
      </c>
      <c r="G7617" s="21">
        <v>1</v>
      </c>
      <c r="H7617" s="21">
        <v>3</v>
      </c>
      <c r="I7617" s="23" t="s">
        <v>493</v>
      </c>
      <c r="J7617" s="21"/>
      <c r="K7617" s="21" t="s">
        <v>386</v>
      </c>
      <c r="L7617" s="21"/>
      <c r="M7617" s="21"/>
      <c r="N7617" s="21" t="s">
        <v>44</v>
      </c>
      <c r="O7617" s="21">
        <f>60+60+60+24</f>
        <v>204</v>
      </c>
      <c r="P7617" s="21"/>
      <c r="Q7617" s="21">
        <f t="shared" si="145"/>
        <v>1</v>
      </c>
      <c r="R7617" s="21">
        <v>1</v>
      </c>
      <c r="S7617" s="21">
        <v>0</v>
      </c>
      <c r="T7617" s="21">
        <v>0</v>
      </c>
      <c r="U7617" s="21">
        <v>0</v>
      </c>
      <c r="V7617" s="21">
        <v>0</v>
      </c>
      <c r="W7617" s="21">
        <v>0</v>
      </c>
      <c r="X7617" s="21">
        <v>0</v>
      </c>
      <c r="Y7617" s="21">
        <v>0</v>
      </c>
      <c r="Z7617" s="21">
        <v>0</v>
      </c>
      <c r="AA7617" s="21">
        <v>1</v>
      </c>
      <c r="AB7617" s="21">
        <v>0</v>
      </c>
      <c r="AC7617" s="21">
        <v>0</v>
      </c>
      <c r="AD7617" s="21">
        <v>0</v>
      </c>
      <c r="AE7617" s="21">
        <v>0</v>
      </c>
      <c r="AF7617" s="21">
        <v>0</v>
      </c>
      <c r="AG7617" s="21">
        <v>0</v>
      </c>
      <c r="AH7617" s="21">
        <f t="shared" si="146"/>
        <v>0</v>
      </c>
      <c r="AI7617" s="21"/>
      <c r="AJ7617" s="21"/>
      <c r="AK7617" s="21"/>
      <c r="AL7617" s="21" t="s">
        <v>589</v>
      </c>
      <c r="AM7617" s="21" t="s">
        <v>3372</v>
      </c>
      <c r="AN7617" s="21">
        <v>-122.3876696</v>
      </c>
      <c r="AO7617" s="21">
        <v>37.788734016666702</v>
      </c>
      <c r="AP7617" s="21" t="s">
        <v>1915</v>
      </c>
    </row>
    <row r="7618" spans="1:42">
      <c r="A7618" s="20">
        <v>43843</v>
      </c>
      <c r="B7618" s="21">
        <v>1</v>
      </c>
      <c r="C7618" s="21">
        <v>507</v>
      </c>
      <c r="D7618" s="21">
        <v>11442</v>
      </c>
      <c r="E7618" t="s">
        <v>377</v>
      </c>
      <c r="F7618" s="21" t="s">
        <v>38</v>
      </c>
      <c r="G7618" s="21">
        <v>1</v>
      </c>
      <c r="H7618" s="21">
        <v>4</v>
      </c>
      <c r="I7618" s="23" t="s">
        <v>3373</v>
      </c>
      <c r="J7618" s="21"/>
      <c r="K7618" s="21" t="s">
        <v>386</v>
      </c>
      <c r="L7618" s="21"/>
      <c r="M7618" s="21"/>
      <c r="N7618" s="21" t="s">
        <v>44</v>
      </c>
      <c r="O7618" s="21">
        <f>60+60+60+60+60+30</f>
        <v>330</v>
      </c>
      <c r="P7618" s="21"/>
      <c r="Q7618" s="21">
        <f t="shared" si="145"/>
        <v>3</v>
      </c>
      <c r="R7618" s="21">
        <v>1</v>
      </c>
      <c r="S7618" s="21">
        <v>0</v>
      </c>
      <c r="T7618" s="21">
        <v>0</v>
      </c>
      <c r="U7618" s="21">
        <v>0</v>
      </c>
      <c r="V7618" s="21">
        <v>0</v>
      </c>
      <c r="W7618" s="21">
        <v>0</v>
      </c>
      <c r="X7618" s="21">
        <v>0</v>
      </c>
      <c r="Y7618" s="21">
        <v>0</v>
      </c>
      <c r="Z7618" s="21">
        <v>0</v>
      </c>
      <c r="AA7618" s="21">
        <v>0</v>
      </c>
      <c r="AB7618" s="21">
        <v>0</v>
      </c>
      <c r="AC7618" s="21">
        <v>3</v>
      </c>
      <c r="AD7618" s="21">
        <v>0</v>
      </c>
      <c r="AE7618" s="21">
        <v>0</v>
      </c>
      <c r="AF7618" s="21">
        <v>0</v>
      </c>
      <c r="AG7618" s="21">
        <v>0</v>
      </c>
      <c r="AH7618" s="21">
        <f t="shared" si="146"/>
        <v>0</v>
      </c>
      <c r="AI7618" s="21"/>
      <c r="AJ7618" s="21"/>
      <c r="AK7618" s="21"/>
      <c r="AL7618" s="21" t="s">
        <v>3374</v>
      </c>
      <c r="AM7618" s="21" t="s">
        <v>3375</v>
      </c>
      <c r="AN7618" s="21">
        <v>-122.395847516667</v>
      </c>
      <c r="AO7618" s="21">
        <v>37.797621466666698</v>
      </c>
      <c r="AP7618" s="21" t="s">
        <v>1915</v>
      </c>
    </row>
    <row r="7619" spans="1:42">
      <c r="A7619" s="20">
        <v>43843</v>
      </c>
      <c r="B7619" s="21">
        <v>1</v>
      </c>
      <c r="C7619" s="21">
        <v>507</v>
      </c>
      <c r="D7619" s="21">
        <v>11442</v>
      </c>
      <c r="E7619" t="s">
        <v>377</v>
      </c>
      <c r="F7619" s="21" t="s">
        <v>38</v>
      </c>
      <c r="G7619" s="21">
        <v>1</v>
      </c>
      <c r="H7619" s="21">
        <v>5</v>
      </c>
      <c r="I7619" s="23" t="s">
        <v>3376</v>
      </c>
      <c r="J7619" s="21"/>
      <c r="K7619" s="21" t="s">
        <v>386</v>
      </c>
      <c r="L7619" s="21"/>
      <c r="M7619" s="21"/>
      <c r="N7619" s="21" t="s">
        <v>44</v>
      </c>
      <c r="O7619" s="21">
        <v>47</v>
      </c>
      <c r="P7619" s="21"/>
      <c r="Q7619" s="21">
        <f t="shared" si="145"/>
        <v>1</v>
      </c>
      <c r="R7619" s="21">
        <v>1</v>
      </c>
      <c r="S7619" s="21">
        <v>0</v>
      </c>
      <c r="T7619" s="21">
        <v>0</v>
      </c>
      <c r="U7619" s="21">
        <v>0</v>
      </c>
      <c r="V7619" s="21">
        <v>0</v>
      </c>
      <c r="W7619" s="21">
        <v>0</v>
      </c>
      <c r="X7619" s="21">
        <v>0</v>
      </c>
      <c r="Y7619" s="21">
        <v>0</v>
      </c>
      <c r="Z7619" s="21">
        <v>0</v>
      </c>
      <c r="AA7619" s="21">
        <v>0</v>
      </c>
      <c r="AB7619" s="21">
        <v>1</v>
      </c>
      <c r="AC7619" s="21">
        <v>0</v>
      </c>
      <c r="AD7619" s="21">
        <v>0</v>
      </c>
      <c r="AE7619" s="21">
        <v>0</v>
      </c>
      <c r="AF7619" s="21">
        <v>0</v>
      </c>
      <c r="AG7619" s="21">
        <v>0</v>
      </c>
      <c r="AH7619" s="21">
        <f t="shared" si="146"/>
        <v>0</v>
      </c>
      <c r="AI7619" s="21"/>
      <c r="AJ7619" s="21"/>
      <c r="AK7619" s="21"/>
      <c r="AL7619" s="21"/>
      <c r="AM7619" s="21" t="s">
        <v>3377</v>
      </c>
      <c r="AN7619" s="21">
        <v>-122.39802975000001</v>
      </c>
      <c r="AO7619" s="21">
        <v>37.800081533333298</v>
      </c>
      <c r="AP7619" s="21" t="s">
        <v>1915</v>
      </c>
    </row>
    <row r="7620" spans="1:42">
      <c r="A7620" s="20">
        <v>43843</v>
      </c>
      <c r="B7620" s="21">
        <v>1</v>
      </c>
      <c r="C7620" s="21">
        <v>507</v>
      </c>
      <c r="D7620" s="21">
        <v>11442</v>
      </c>
      <c r="E7620" t="s">
        <v>377</v>
      </c>
      <c r="F7620" s="21" t="s">
        <v>38</v>
      </c>
      <c r="G7620" s="21">
        <v>1</v>
      </c>
      <c r="H7620" s="21">
        <v>6</v>
      </c>
      <c r="I7620" s="23" t="s">
        <v>3378</v>
      </c>
      <c r="J7620" s="21"/>
      <c r="K7620" s="21" t="s">
        <v>386</v>
      </c>
      <c r="L7620" s="21"/>
      <c r="M7620" s="21"/>
      <c r="N7620" s="21" t="s">
        <v>40</v>
      </c>
      <c r="O7620" s="21">
        <f>60+20</f>
        <v>80</v>
      </c>
      <c r="P7620" s="21"/>
      <c r="Q7620" s="21">
        <f t="shared" si="145"/>
        <v>1</v>
      </c>
      <c r="R7620" s="21">
        <v>1</v>
      </c>
      <c r="S7620" s="21">
        <v>0</v>
      </c>
      <c r="T7620" s="21">
        <v>0</v>
      </c>
      <c r="U7620" s="21">
        <v>0</v>
      </c>
      <c r="V7620" s="21">
        <v>0</v>
      </c>
      <c r="W7620" s="21">
        <v>0</v>
      </c>
      <c r="X7620" s="21">
        <v>0</v>
      </c>
      <c r="Y7620" s="21">
        <v>0</v>
      </c>
      <c r="Z7620" s="21">
        <v>0</v>
      </c>
      <c r="AA7620" s="21">
        <v>0</v>
      </c>
      <c r="AB7620" s="21">
        <v>0</v>
      </c>
      <c r="AC7620" s="21">
        <v>1</v>
      </c>
      <c r="AD7620" s="21">
        <v>0</v>
      </c>
      <c r="AE7620" s="21">
        <v>0</v>
      </c>
      <c r="AF7620" s="21">
        <v>0</v>
      </c>
      <c r="AG7620" s="21">
        <v>0</v>
      </c>
      <c r="AH7620" s="21">
        <f t="shared" si="146"/>
        <v>0</v>
      </c>
      <c r="AI7620" s="21"/>
      <c r="AJ7620" s="21"/>
      <c r="AK7620" s="21"/>
      <c r="AL7620" s="21"/>
      <c r="AM7620" s="21" t="s">
        <v>3379</v>
      </c>
      <c r="AN7620" s="21">
        <v>-122.399373383333</v>
      </c>
      <c r="AO7620" s="21">
        <v>37.801618849999997</v>
      </c>
      <c r="AP7620" s="21" t="s">
        <v>1915</v>
      </c>
    </row>
    <row r="7621" spans="1:42">
      <c r="A7621" s="20">
        <v>43843</v>
      </c>
      <c r="B7621" s="21">
        <v>1</v>
      </c>
      <c r="C7621" s="21">
        <v>507</v>
      </c>
      <c r="D7621" s="21">
        <v>11442</v>
      </c>
      <c r="E7621" t="s">
        <v>377</v>
      </c>
      <c r="F7621" s="21" t="s">
        <v>38</v>
      </c>
      <c r="G7621" s="21">
        <v>1</v>
      </c>
      <c r="H7621" s="21">
        <v>7</v>
      </c>
      <c r="I7621" s="23" t="s">
        <v>3380</v>
      </c>
      <c r="J7621" s="21"/>
      <c r="K7621" s="21" t="s">
        <v>386</v>
      </c>
      <c r="L7621" s="21"/>
      <c r="M7621" s="21"/>
      <c r="N7621" s="21" t="s">
        <v>40</v>
      </c>
      <c r="O7621" s="21">
        <v>45</v>
      </c>
      <c r="P7621" s="21"/>
      <c r="Q7621" s="21">
        <f t="shared" si="145"/>
        <v>1</v>
      </c>
      <c r="R7621" s="21">
        <v>1</v>
      </c>
      <c r="S7621" s="21">
        <v>0</v>
      </c>
      <c r="T7621" s="21">
        <v>0</v>
      </c>
      <c r="U7621" s="21">
        <v>0</v>
      </c>
      <c r="V7621" s="21">
        <v>0</v>
      </c>
      <c r="W7621" s="21">
        <v>0</v>
      </c>
      <c r="X7621" s="21">
        <v>0</v>
      </c>
      <c r="Y7621" s="21">
        <v>0</v>
      </c>
      <c r="Z7621" s="21">
        <v>0</v>
      </c>
      <c r="AA7621" s="21">
        <v>1</v>
      </c>
      <c r="AB7621" s="21">
        <v>0</v>
      </c>
      <c r="AC7621" s="21">
        <v>0</v>
      </c>
      <c r="AD7621" s="21">
        <v>0</v>
      </c>
      <c r="AE7621" s="21">
        <v>0</v>
      </c>
      <c r="AF7621" s="21">
        <v>0</v>
      </c>
      <c r="AG7621" s="21">
        <v>0</v>
      </c>
      <c r="AH7621" s="21">
        <f t="shared" si="146"/>
        <v>0</v>
      </c>
      <c r="AI7621" s="21"/>
      <c r="AJ7621" s="21"/>
      <c r="AK7621" s="21"/>
      <c r="AL7621" s="21"/>
      <c r="AM7621" s="21" t="s">
        <v>3381</v>
      </c>
      <c r="AN7621" s="21">
        <v>-122.401052366667</v>
      </c>
      <c r="AO7621" s="21">
        <v>37.803390700000001</v>
      </c>
      <c r="AP7621" s="21" t="s">
        <v>1915</v>
      </c>
    </row>
    <row r="7622" spans="1:42">
      <c r="A7622" s="20">
        <v>43843</v>
      </c>
      <c r="B7622" s="21">
        <v>1</v>
      </c>
      <c r="C7622" s="21">
        <v>507</v>
      </c>
      <c r="D7622" s="21">
        <v>11442</v>
      </c>
      <c r="E7622" t="s">
        <v>377</v>
      </c>
      <c r="F7622" s="21" t="s">
        <v>38</v>
      </c>
      <c r="G7622" s="21">
        <v>1</v>
      </c>
      <c r="H7622" s="21">
        <v>8</v>
      </c>
      <c r="I7622" s="23" t="s">
        <v>2102</v>
      </c>
      <c r="J7622" s="21"/>
      <c r="K7622" s="21" t="s">
        <v>386</v>
      </c>
      <c r="L7622" s="21"/>
      <c r="M7622" s="21"/>
      <c r="N7622" s="21" t="s">
        <v>44</v>
      </c>
      <c r="O7622" s="21">
        <f>60+60+60+60+42</f>
        <v>282</v>
      </c>
      <c r="P7622" s="21"/>
      <c r="Q7622" s="21">
        <f t="shared" si="145"/>
        <v>2</v>
      </c>
      <c r="R7622" s="21">
        <v>1</v>
      </c>
      <c r="S7622" s="21">
        <v>0</v>
      </c>
      <c r="T7622" s="21">
        <v>0</v>
      </c>
      <c r="U7622" s="21">
        <v>0</v>
      </c>
      <c r="V7622" s="21">
        <v>0</v>
      </c>
      <c r="W7622" s="21">
        <v>0</v>
      </c>
      <c r="X7622" s="21">
        <v>0</v>
      </c>
      <c r="Y7622" s="21">
        <v>0</v>
      </c>
      <c r="Z7622" s="21">
        <v>0</v>
      </c>
      <c r="AA7622" s="21">
        <v>0</v>
      </c>
      <c r="AB7622" s="21">
        <v>1</v>
      </c>
      <c r="AC7622" s="21">
        <v>1</v>
      </c>
      <c r="AD7622" s="21">
        <v>0</v>
      </c>
      <c r="AE7622" s="21">
        <v>0</v>
      </c>
      <c r="AF7622" s="21">
        <v>0</v>
      </c>
      <c r="AG7622" s="21">
        <v>0</v>
      </c>
      <c r="AH7622" s="21">
        <f t="shared" si="146"/>
        <v>0</v>
      </c>
      <c r="AI7622" s="21"/>
      <c r="AJ7622" s="21"/>
      <c r="AK7622" s="21"/>
      <c r="AL7622" s="21"/>
      <c r="AM7622" s="21" t="s">
        <v>3382</v>
      </c>
      <c r="AN7622" s="21">
        <v>-122.407992990254</v>
      </c>
      <c r="AO7622" s="21">
        <v>37.808745770252798</v>
      </c>
      <c r="AP7622" s="21" t="s">
        <v>1915</v>
      </c>
    </row>
    <row r="7623" spans="1:42">
      <c r="A7623" s="20">
        <v>43843</v>
      </c>
      <c r="B7623" s="21">
        <v>1</v>
      </c>
      <c r="C7623" s="21">
        <v>507</v>
      </c>
      <c r="D7623" s="21">
        <v>11442</v>
      </c>
      <c r="E7623" t="s">
        <v>377</v>
      </c>
      <c r="F7623" s="21" t="s">
        <v>38</v>
      </c>
      <c r="G7623" s="21">
        <v>1</v>
      </c>
      <c r="H7623" s="21">
        <v>9</v>
      </c>
      <c r="I7623" s="23" t="s">
        <v>3383</v>
      </c>
      <c r="J7623" s="21"/>
      <c r="K7623" s="21" t="s">
        <v>3384</v>
      </c>
      <c r="L7623" s="21"/>
      <c r="M7623" s="21"/>
      <c r="N7623" s="21" t="s">
        <v>40</v>
      </c>
      <c r="O7623" s="21">
        <f>60+9</f>
        <v>69</v>
      </c>
      <c r="P7623" s="21"/>
      <c r="Q7623" s="21">
        <f t="shared" si="145"/>
        <v>1</v>
      </c>
      <c r="R7623" s="21">
        <v>1</v>
      </c>
      <c r="S7623" s="21">
        <v>0</v>
      </c>
      <c r="T7623" s="21">
        <v>0</v>
      </c>
      <c r="U7623" s="21">
        <v>0</v>
      </c>
      <c r="V7623" s="21">
        <v>0</v>
      </c>
      <c r="W7623" s="21">
        <v>0</v>
      </c>
      <c r="X7623" s="21">
        <v>0</v>
      </c>
      <c r="Y7623" s="21">
        <v>0</v>
      </c>
      <c r="Z7623" s="21">
        <v>0</v>
      </c>
      <c r="AA7623" s="21">
        <v>1</v>
      </c>
      <c r="AB7623" s="21">
        <v>0</v>
      </c>
      <c r="AC7623" s="21">
        <v>0</v>
      </c>
      <c r="AD7623" s="21">
        <v>0</v>
      </c>
      <c r="AE7623" s="21">
        <v>0</v>
      </c>
      <c r="AF7623" s="21">
        <v>0</v>
      </c>
      <c r="AG7623" s="21">
        <v>0</v>
      </c>
      <c r="AH7623" s="21">
        <f t="shared" si="146"/>
        <v>0</v>
      </c>
      <c r="AI7623" s="21"/>
      <c r="AJ7623" s="21"/>
      <c r="AK7623" s="21"/>
      <c r="AL7623" s="21"/>
      <c r="AM7623" s="21" t="s">
        <v>3385</v>
      </c>
      <c r="AN7623" s="21">
        <v>-122.409574366667</v>
      </c>
      <c r="AO7623" s="21">
        <v>37.808352266666702</v>
      </c>
      <c r="AP7623" s="21" t="s">
        <v>1915</v>
      </c>
    </row>
    <row r="7624" spans="1:42">
      <c r="A7624" s="20">
        <v>43843</v>
      </c>
      <c r="B7624" s="21">
        <v>1</v>
      </c>
      <c r="C7624" s="21">
        <v>507</v>
      </c>
      <c r="D7624" s="21">
        <v>11442</v>
      </c>
      <c r="E7624" t="s">
        <v>377</v>
      </c>
      <c r="F7624" s="21" t="s">
        <v>38</v>
      </c>
      <c r="G7624" s="21">
        <v>1</v>
      </c>
      <c r="H7624" s="21">
        <v>10</v>
      </c>
      <c r="I7624" s="23" t="s">
        <v>3192</v>
      </c>
      <c r="J7624" s="21"/>
      <c r="K7624" s="21" t="s">
        <v>913</v>
      </c>
      <c r="L7624" s="21"/>
      <c r="M7624" s="21"/>
      <c r="N7624" s="21" t="s">
        <v>40</v>
      </c>
      <c r="O7624" s="21">
        <f>60+11</f>
        <v>71</v>
      </c>
      <c r="P7624" s="21"/>
      <c r="Q7624" s="21">
        <f t="shared" si="145"/>
        <v>1</v>
      </c>
      <c r="R7624" s="21">
        <v>1</v>
      </c>
      <c r="S7624" s="21">
        <v>0</v>
      </c>
      <c r="T7624" s="21">
        <v>0</v>
      </c>
      <c r="U7624" s="21">
        <v>0</v>
      </c>
      <c r="V7624" s="21">
        <v>0</v>
      </c>
      <c r="W7624" s="21">
        <v>0</v>
      </c>
      <c r="X7624" s="21">
        <v>0</v>
      </c>
      <c r="Y7624" s="21">
        <v>0</v>
      </c>
      <c r="Z7624" s="21">
        <v>0</v>
      </c>
      <c r="AA7624" s="21">
        <v>1</v>
      </c>
      <c r="AB7624" s="21">
        <v>0</v>
      </c>
      <c r="AC7624" s="21">
        <v>0</v>
      </c>
      <c r="AD7624" s="21">
        <v>0</v>
      </c>
      <c r="AE7624" s="21">
        <v>0</v>
      </c>
      <c r="AF7624" s="21">
        <v>0</v>
      </c>
      <c r="AG7624" s="21">
        <v>0</v>
      </c>
      <c r="AH7624" s="21">
        <f t="shared" si="146"/>
        <v>0</v>
      </c>
      <c r="AI7624" s="21"/>
      <c r="AJ7624" s="21"/>
      <c r="AK7624" s="21"/>
      <c r="AL7624" s="21"/>
      <c r="AM7624" s="21" t="s">
        <v>3386</v>
      </c>
      <c r="AN7624" s="21">
        <v>-122.411692633333</v>
      </c>
      <c r="AO7624" s="21">
        <v>37.808481966666598</v>
      </c>
      <c r="AP7624" s="21" t="s">
        <v>1915</v>
      </c>
    </row>
    <row r="7625" spans="1:42">
      <c r="A7625" s="20">
        <v>43843</v>
      </c>
      <c r="B7625" s="21">
        <v>1</v>
      </c>
      <c r="C7625" s="21">
        <v>507</v>
      </c>
      <c r="D7625" s="21">
        <v>11442</v>
      </c>
      <c r="E7625" t="s">
        <v>377</v>
      </c>
      <c r="F7625" s="21" t="s">
        <v>38</v>
      </c>
      <c r="G7625" s="21">
        <v>1</v>
      </c>
      <c r="H7625" s="21">
        <v>11</v>
      </c>
      <c r="I7625" s="23" t="s">
        <v>3369</v>
      </c>
      <c r="J7625" s="21"/>
      <c r="K7625" s="21" t="s">
        <v>906</v>
      </c>
      <c r="L7625" s="21"/>
      <c r="M7625" s="21"/>
      <c r="N7625" s="21" t="s">
        <v>1703</v>
      </c>
      <c r="O7625" s="21">
        <f>60+37</f>
        <v>97</v>
      </c>
      <c r="P7625" s="21"/>
      <c r="Q7625" s="21">
        <f t="shared" si="145"/>
        <v>1</v>
      </c>
      <c r="R7625" s="21">
        <v>1</v>
      </c>
      <c r="S7625" s="21">
        <v>0</v>
      </c>
      <c r="T7625" s="21">
        <v>0</v>
      </c>
      <c r="U7625" s="21">
        <v>0</v>
      </c>
      <c r="V7625" s="21">
        <v>0</v>
      </c>
      <c r="W7625" s="21">
        <v>0</v>
      </c>
      <c r="X7625" s="21">
        <v>0</v>
      </c>
      <c r="Y7625" s="21">
        <v>0</v>
      </c>
      <c r="Z7625" s="21">
        <v>0</v>
      </c>
      <c r="AA7625" s="21">
        <v>0</v>
      </c>
      <c r="AB7625" s="21">
        <v>1</v>
      </c>
      <c r="AC7625" s="21">
        <v>0</v>
      </c>
      <c r="AD7625" s="21">
        <v>0</v>
      </c>
      <c r="AE7625" s="21">
        <v>0</v>
      </c>
      <c r="AF7625" s="21">
        <v>0</v>
      </c>
      <c r="AG7625" s="21">
        <v>0</v>
      </c>
      <c r="AH7625" s="21">
        <f t="shared" si="146"/>
        <v>0</v>
      </c>
      <c r="AI7625" s="21"/>
      <c r="AJ7625" s="21"/>
      <c r="AK7625" s="21"/>
      <c r="AL7625" s="21" t="s">
        <v>1998</v>
      </c>
      <c r="AM7625" s="21" t="s">
        <v>3387</v>
      </c>
      <c r="AN7625" s="21">
        <v>-122.4140944</v>
      </c>
      <c r="AO7625" s="21">
        <v>37.807888216666697</v>
      </c>
      <c r="AP7625" s="21" t="s">
        <v>1915</v>
      </c>
    </row>
    <row r="7626" spans="1:42">
      <c r="A7626" s="20">
        <v>43843</v>
      </c>
      <c r="B7626" s="21">
        <v>1</v>
      </c>
      <c r="C7626" s="21">
        <v>507</v>
      </c>
      <c r="D7626" s="21">
        <v>11442</v>
      </c>
      <c r="E7626" t="s">
        <v>377</v>
      </c>
      <c r="F7626" s="21" t="s">
        <v>38</v>
      </c>
      <c r="G7626" s="21">
        <v>1</v>
      </c>
      <c r="H7626" s="21">
        <v>12</v>
      </c>
      <c r="I7626" s="23" t="s">
        <v>3388</v>
      </c>
      <c r="J7626" s="21"/>
      <c r="K7626" s="21" t="s">
        <v>101</v>
      </c>
      <c r="L7626" s="21"/>
      <c r="M7626" s="21"/>
      <c r="N7626" s="21" t="s">
        <v>40</v>
      </c>
      <c r="O7626" s="21">
        <v>33</v>
      </c>
      <c r="P7626" s="21"/>
      <c r="Q7626" s="21">
        <f t="shared" si="145"/>
        <v>1</v>
      </c>
      <c r="R7626" s="21">
        <v>1</v>
      </c>
      <c r="S7626" s="21">
        <v>0</v>
      </c>
      <c r="T7626" s="21">
        <v>0</v>
      </c>
      <c r="U7626" s="21">
        <v>0</v>
      </c>
      <c r="V7626" s="21">
        <v>0</v>
      </c>
      <c r="W7626" s="21">
        <v>0</v>
      </c>
      <c r="X7626" s="21">
        <v>0</v>
      </c>
      <c r="Y7626" s="21">
        <v>0</v>
      </c>
      <c r="Z7626" s="21">
        <v>1</v>
      </c>
      <c r="AA7626" s="21">
        <v>0</v>
      </c>
      <c r="AB7626" s="21">
        <v>0</v>
      </c>
      <c r="AC7626" s="21">
        <v>0</v>
      </c>
      <c r="AD7626" s="21">
        <v>0</v>
      </c>
      <c r="AE7626" s="21">
        <v>0</v>
      </c>
      <c r="AF7626" s="21">
        <v>0</v>
      </c>
      <c r="AG7626" s="21">
        <v>0</v>
      </c>
      <c r="AH7626" s="21">
        <f t="shared" si="146"/>
        <v>0</v>
      </c>
      <c r="AI7626" s="21"/>
      <c r="AJ7626" s="21"/>
      <c r="AK7626" s="21"/>
      <c r="AL7626" s="21"/>
      <c r="AM7626" s="21" t="s">
        <v>3389</v>
      </c>
      <c r="AN7626" s="21">
        <v>-122.41581415</v>
      </c>
      <c r="AO7626" s="21">
        <v>37.807650000000002</v>
      </c>
      <c r="AP7626" s="21" t="s">
        <v>1915</v>
      </c>
    </row>
    <row r="7627" spans="1:42">
      <c r="A7627" s="20">
        <v>43843</v>
      </c>
      <c r="B7627" s="21">
        <v>1</v>
      </c>
      <c r="C7627" s="21">
        <v>507</v>
      </c>
      <c r="D7627" s="21">
        <v>11442</v>
      </c>
      <c r="E7627" t="s">
        <v>377</v>
      </c>
      <c r="F7627" s="21" t="s">
        <v>38</v>
      </c>
      <c r="G7627" s="21">
        <v>1</v>
      </c>
      <c r="H7627" s="21">
        <v>13</v>
      </c>
      <c r="I7627" s="23" t="s">
        <v>2095</v>
      </c>
      <c r="J7627" s="21"/>
      <c r="K7627" s="21" t="s">
        <v>3384</v>
      </c>
      <c r="L7627" s="21"/>
      <c r="M7627" s="21"/>
      <c r="N7627" s="21" t="s">
        <v>44</v>
      </c>
      <c r="O7627" s="21">
        <f>60+60+60+60+60+12</f>
        <v>312</v>
      </c>
      <c r="P7627" s="21"/>
      <c r="Q7627" s="21">
        <f t="shared" si="145"/>
        <v>4</v>
      </c>
      <c r="R7627" s="21">
        <v>1</v>
      </c>
      <c r="S7627" s="21">
        <v>0</v>
      </c>
      <c r="T7627" s="21">
        <v>0</v>
      </c>
      <c r="U7627" s="21">
        <v>0</v>
      </c>
      <c r="V7627" s="21">
        <v>0</v>
      </c>
      <c r="W7627" s="21">
        <v>0</v>
      </c>
      <c r="X7627" s="21">
        <v>0</v>
      </c>
      <c r="Y7627" s="21">
        <v>1</v>
      </c>
      <c r="Z7627" s="21">
        <v>0</v>
      </c>
      <c r="AA7627" s="21">
        <v>0</v>
      </c>
      <c r="AB7627" s="21">
        <v>2</v>
      </c>
      <c r="AC7627" s="21">
        <v>1</v>
      </c>
      <c r="AD7627" s="21">
        <v>0</v>
      </c>
      <c r="AE7627" s="21">
        <v>0</v>
      </c>
      <c r="AF7627" s="21">
        <v>0</v>
      </c>
      <c r="AG7627" s="21">
        <v>0</v>
      </c>
      <c r="AH7627" s="21">
        <f t="shared" si="146"/>
        <v>0</v>
      </c>
      <c r="AI7627" s="21"/>
      <c r="AJ7627" s="21"/>
      <c r="AK7627" s="21"/>
      <c r="AL7627" s="21"/>
      <c r="AM7627" s="21" t="s">
        <v>3390</v>
      </c>
      <c r="AN7627" s="21">
        <v>-122.41662076666699</v>
      </c>
      <c r="AO7627" s="21">
        <v>37.809199200000002</v>
      </c>
      <c r="AP7627" s="21" t="s">
        <v>1915</v>
      </c>
    </row>
    <row r="7628" spans="1:42">
      <c r="A7628" s="20">
        <v>43843</v>
      </c>
      <c r="B7628" s="21">
        <v>1</v>
      </c>
      <c r="C7628" s="21">
        <v>507</v>
      </c>
      <c r="D7628" s="21">
        <v>11442</v>
      </c>
      <c r="E7628" t="s">
        <v>377</v>
      </c>
      <c r="F7628" s="21" t="s">
        <v>38</v>
      </c>
      <c r="G7628" s="21">
        <v>1</v>
      </c>
      <c r="H7628" s="21">
        <v>14</v>
      </c>
      <c r="I7628" s="23" t="s">
        <v>3391</v>
      </c>
      <c r="J7628" s="21"/>
      <c r="K7628" s="21" t="s">
        <v>913</v>
      </c>
      <c r="L7628" s="21"/>
      <c r="M7628" s="21"/>
      <c r="N7628" s="21" t="s">
        <v>40</v>
      </c>
      <c r="O7628" s="21">
        <f>60+5</f>
        <v>65</v>
      </c>
      <c r="P7628" s="21"/>
      <c r="Q7628" s="21">
        <f t="shared" si="145"/>
        <v>1</v>
      </c>
      <c r="R7628" s="21">
        <v>1</v>
      </c>
      <c r="S7628" s="21">
        <v>0</v>
      </c>
      <c r="T7628" s="21">
        <v>0</v>
      </c>
      <c r="U7628" s="21">
        <v>0</v>
      </c>
      <c r="V7628" s="21">
        <v>0</v>
      </c>
      <c r="W7628" s="21">
        <v>0</v>
      </c>
      <c r="X7628" s="21">
        <v>0</v>
      </c>
      <c r="Y7628" s="21">
        <v>0</v>
      </c>
      <c r="Z7628" s="21">
        <v>0</v>
      </c>
      <c r="AA7628" s="21">
        <v>1</v>
      </c>
      <c r="AB7628" s="21">
        <v>0</v>
      </c>
      <c r="AC7628" s="21">
        <v>0</v>
      </c>
      <c r="AD7628" s="21">
        <v>0</v>
      </c>
      <c r="AE7628" s="21">
        <v>0</v>
      </c>
      <c r="AF7628" s="21">
        <v>0</v>
      </c>
      <c r="AG7628" s="21">
        <v>0</v>
      </c>
      <c r="AH7628" s="21">
        <f t="shared" si="146"/>
        <v>0</v>
      </c>
      <c r="AI7628" s="21"/>
      <c r="AJ7628" s="21"/>
      <c r="AK7628" s="21"/>
      <c r="AL7628" s="21"/>
      <c r="AM7628" s="21" t="s">
        <v>3392</v>
      </c>
      <c r="AN7628" s="21">
        <v>-122.416678666667</v>
      </c>
      <c r="AO7628" s="21">
        <v>37.808118733333302</v>
      </c>
      <c r="AP7628" s="21" t="s">
        <v>1915</v>
      </c>
    </row>
    <row r="7629" spans="1:42">
      <c r="A7629" s="20">
        <v>43843</v>
      </c>
      <c r="B7629" s="21">
        <v>1</v>
      </c>
      <c r="C7629" s="21">
        <v>507</v>
      </c>
      <c r="D7629" s="21">
        <v>11442</v>
      </c>
      <c r="E7629" t="s">
        <v>377</v>
      </c>
      <c r="F7629" s="21" t="s">
        <v>38</v>
      </c>
      <c r="G7629" s="21">
        <v>1</v>
      </c>
      <c r="H7629" s="21">
        <v>15</v>
      </c>
      <c r="I7629" s="23" t="s">
        <v>3393</v>
      </c>
      <c r="J7629" s="21"/>
      <c r="K7629" s="21" t="s">
        <v>386</v>
      </c>
      <c r="L7629" s="21"/>
      <c r="M7629" s="21"/>
      <c r="N7629" s="21" t="s">
        <v>44</v>
      </c>
      <c r="O7629" s="21">
        <f>60+60+60+60+30</f>
        <v>270</v>
      </c>
      <c r="P7629" s="21"/>
      <c r="Q7629" s="21">
        <f t="shared" si="145"/>
        <v>2</v>
      </c>
      <c r="R7629" s="21">
        <v>1</v>
      </c>
      <c r="S7629" s="21">
        <v>0</v>
      </c>
      <c r="T7629" s="21">
        <v>0</v>
      </c>
      <c r="U7629" s="21">
        <v>0</v>
      </c>
      <c r="V7629" s="21">
        <v>0</v>
      </c>
      <c r="W7629" s="21">
        <v>0</v>
      </c>
      <c r="X7629" s="21">
        <v>0</v>
      </c>
      <c r="Y7629" s="21">
        <v>0</v>
      </c>
      <c r="Z7629" s="21">
        <v>0</v>
      </c>
      <c r="AA7629" s="21">
        <v>0</v>
      </c>
      <c r="AB7629" s="21">
        <v>2</v>
      </c>
      <c r="AC7629" s="21">
        <v>0</v>
      </c>
      <c r="AD7629" s="21">
        <v>0</v>
      </c>
      <c r="AE7629" s="21">
        <v>0</v>
      </c>
      <c r="AF7629" s="21">
        <v>0</v>
      </c>
      <c r="AG7629" s="21">
        <v>0</v>
      </c>
      <c r="AH7629" s="21">
        <f t="shared" si="146"/>
        <v>0</v>
      </c>
      <c r="AI7629" s="21"/>
      <c r="AJ7629" s="21"/>
      <c r="AK7629" s="21"/>
      <c r="AL7629" s="21" t="s">
        <v>379</v>
      </c>
      <c r="AM7629" s="21" t="s">
        <v>3394</v>
      </c>
      <c r="AN7629" s="21">
        <v>-122.417849333333</v>
      </c>
      <c r="AO7629" s="21">
        <v>37.808428300000003</v>
      </c>
      <c r="AP7629" s="21" t="s">
        <v>1915</v>
      </c>
    </row>
    <row r="7630" spans="1:42">
      <c r="A7630" s="20">
        <v>43843</v>
      </c>
      <c r="B7630" s="21">
        <v>1</v>
      </c>
      <c r="C7630" s="21">
        <v>507</v>
      </c>
      <c r="D7630" s="21">
        <v>11442</v>
      </c>
      <c r="E7630" t="s">
        <v>377</v>
      </c>
      <c r="F7630" s="21" t="s">
        <v>38</v>
      </c>
      <c r="G7630" s="21">
        <v>1</v>
      </c>
      <c r="H7630" s="21">
        <v>16</v>
      </c>
      <c r="I7630" s="23" t="s">
        <v>3123</v>
      </c>
      <c r="J7630" s="21"/>
      <c r="K7630" s="21" t="s">
        <v>570</v>
      </c>
      <c r="L7630" s="21"/>
      <c r="M7630" s="21"/>
      <c r="N7630" s="21" t="s">
        <v>44</v>
      </c>
      <c r="O7630" s="21">
        <f>60+60+15</f>
        <v>135</v>
      </c>
      <c r="P7630" s="21"/>
      <c r="Q7630" s="21">
        <f t="shared" si="145"/>
        <v>2</v>
      </c>
      <c r="R7630" s="21">
        <v>1</v>
      </c>
      <c r="S7630" s="21">
        <v>0</v>
      </c>
      <c r="T7630" s="21">
        <v>0</v>
      </c>
      <c r="U7630" s="21">
        <v>0</v>
      </c>
      <c r="V7630" s="21">
        <v>0</v>
      </c>
      <c r="W7630" s="21">
        <v>0</v>
      </c>
      <c r="X7630" s="21">
        <v>0</v>
      </c>
      <c r="Y7630" s="21">
        <v>0</v>
      </c>
      <c r="Z7630" s="21">
        <v>0</v>
      </c>
      <c r="AA7630" s="21">
        <v>0</v>
      </c>
      <c r="AB7630" s="21">
        <v>2</v>
      </c>
      <c r="AC7630" s="21">
        <v>0</v>
      </c>
      <c r="AD7630" s="21">
        <v>0</v>
      </c>
      <c r="AE7630" s="21">
        <v>0</v>
      </c>
      <c r="AF7630" s="21">
        <v>0</v>
      </c>
      <c r="AG7630" s="21">
        <v>0</v>
      </c>
      <c r="AH7630" s="21">
        <f t="shared" si="146"/>
        <v>0</v>
      </c>
      <c r="AI7630" s="21"/>
      <c r="AJ7630" s="21"/>
      <c r="AK7630" s="21"/>
      <c r="AL7630" s="21"/>
      <c r="AM7630" s="21" t="s">
        <v>3395</v>
      </c>
      <c r="AN7630" s="21">
        <v>-122.41863391666701</v>
      </c>
      <c r="AO7630" s="21">
        <v>37.807863133333299</v>
      </c>
      <c r="AP7630" s="21" t="s">
        <v>1915</v>
      </c>
    </row>
    <row r="7631" spans="1:42">
      <c r="A7631" s="20">
        <v>43843</v>
      </c>
      <c r="B7631" s="21">
        <v>1</v>
      </c>
      <c r="C7631" s="21">
        <v>507</v>
      </c>
      <c r="D7631" s="21">
        <v>11442</v>
      </c>
      <c r="E7631" t="s">
        <v>377</v>
      </c>
      <c r="F7631" s="21" t="s">
        <v>38</v>
      </c>
      <c r="G7631" s="21">
        <v>1</v>
      </c>
      <c r="H7631" s="21">
        <v>17</v>
      </c>
      <c r="I7631" s="23" t="s">
        <v>3396</v>
      </c>
      <c r="J7631" s="21"/>
      <c r="K7631" s="21" t="s">
        <v>91</v>
      </c>
      <c r="L7631" s="21"/>
      <c r="M7631" s="21"/>
      <c r="N7631" s="21" t="s">
        <v>1703</v>
      </c>
      <c r="O7631" s="21">
        <f>60+60+17</f>
        <v>137</v>
      </c>
      <c r="P7631" s="21"/>
      <c r="Q7631" s="21">
        <f t="shared" si="145"/>
        <v>1</v>
      </c>
      <c r="R7631" s="21">
        <v>1</v>
      </c>
      <c r="S7631" s="21">
        <v>0</v>
      </c>
      <c r="T7631" s="21">
        <v>0</v>
      </c>
      <c r="U7631" s="21">
        <v>0</v>
      </c>
      <c r="V7631" s="21">
        <v>0</v>
      </c>
      <c r="W7631" s="21">
        <v>0</v>
      </c>
      <c r="X7631" s="21">
        <v>0</v>
      </c>
      <c r="Y7631" s="21">
        <v>0</v>
      </c>
      <c r="Z7631" s="21">
        <v>0</v>
      </c>
      <c r="AA7631" s="21">
        <v>0</v>
      </c>
      <c r="AB7631" s="21">
        <v>0</v>
      </c>
      <c r="AC7631" s="21">
        <v>1</v>
      </c>
      <c r="AD7631" s="21">
        <v>0</v>
      </c>
      <c r="AE7631" s="21">
        <v>0</v>
      </c>
      <c r="AF7631" s="21">
        <v>0</v>
      </c>
      <c r="AG7631" s="21">
        <v>0</v>
      </c>
      <c r="AH7631" s="21">
        <f t="shared" si="146"/>
        <v>0</v>
      </c>
      <c r="AI7631" s="21"/>
      <c r="AJ7631" s="21"/>
      <c r="AK7631" s="21"/>
      <c r="AL7631" s="21" t="s">
        <v>3397</v>
      </c>
      <c r="AM7631" s="21" t="s">
        <v>3398</v>
      </c>
      <c r="AN7631" s="21">
        <v>-122.417781533333</v>
      </c>
      <c r="AO7631" s="21">
        <v>37.807058333333302</v>
      </c>
      <c r="AP7631" s="21" t="s">
        <v>1915</v>
      </c>
    </row>
    <row r="7632" spans="1:42">
      <c r="A7632" s="20">
        <v>43843</v>
      </c>
      <c r="B7632" s="21">
        <v>1</v>
      </c>
      <c r="C7632" s="21">
        <v>507</v>
      </c>
      <c r="D7632" s="21">
        <v>11442</v>
      </c>
      <c r="E7632" t="s">
        <v>377</v>
      </c>
      <c r="F7632" s="21" t="s">
        <v>38</v>
      </c>
      <c r="G7632" s="21">
        <v>1</v>
      </c>
      <c r="H7632" s="21">
        <v>18</v>
      </c>
      <c r="I7632" s="23" t="s">
        <v>3399</v>
      </c>
      <c r="J7632" s="21"/>
      <c r="K7632" s="21" t="s">
        <v>570</v>
      </c>
      <c r="L7632" s="21"/>
      <c r="M7632" s="21"/>
      <c r="N7632" s="21" t="s">
        <v>40</v>
      </c>
      <c r="O7632" s="21">
        <f>60+23</f>
        <v>83</v>
      </c>
      <c r="P7632" s="21"/>
      <c r="Q7632" s="21">
        <f t="shared" si="145"/>
        <v>1</v>
      </c>
      <c r="R7632" s="21">
        <v>1</v>
      </c>
      <c r="S7632" s="21">
        <v>0</v>
      </c>
      <c r="T7632" s="21">
        <v>0</v>
      </c>
      <c r="U7632" s="21">
        <v>0</v>
      </c>
      <c r="V7632" s="21">
        <v>0</v>
      </c>
      <c r="W7632" s="21">
        <v>0</v>
      </c>
      <c r="X7632" s="21">
        <v>0</v>
      </c>
      <c r="Y7632" s="21">
        <v>0</v>
      </c>
      <c r="Z7632" s="21">
        <v>0</v>
      </c>
      <c r="AA7632" s="21">
        <v>0</v>
      </c>
      <c r="AB7632" s="21">
        <v>1</v>
      </c>
      <c r="AC7632" s="21">
        <v>0</v>
      </c>
      <c r="AD7632" s="21">
        <v>0</v>
      </c>
      <c r="AE7632" s="21">
        <v>0</v>
      </c>
      <c r="AF7632" s="21">
        <v>0</v>
      </c>
      <c r="AG7632" s="21">
        <v>0</v>
      </c>
      <c r="AH7632" s="21">
        <f t="shared" si="146"/>
        <v>0</v>
      </c>
      <c r="AI7632" s="21"/>
      <c r="AJ7632" s="21"/>
      <c r="AK7632" s="21"/>
      <c r="AL7632" s="21"/>
      <c r="AM7632" s="21" t="s">
        <v>3400</v>
      </c>
      <c r="AN7632" s="21">
        <v>-122.41641223333301</v>
      </c>
      <c r="AO7632" s="21">
        <v>37.8071150166667</v>
      </c>
      <c r="AP7632" s="21" t="s">
        <v>1915</v>
      </c>
    </row>
    <row r="7633" spans="1:42">
      <c r="A7633" s="20">
        <v>43843</v>
      </c>
      <c r="B7633" s="21">
        <v>1</v>
      </c>
      <c r="C7633" s="21">
        <v>507</v>
      </c>
      <c r="D7633" s="21">
        <v>11442</v>
      </c>
      <c r="E7633" t="s">
        <v>377</v>
      </c>
      <c r="F7633" s="21" t="s">
        <v>38</v>
      </c>
      <c r="G7633" s="21">
        <v>1</v>
      </c>
      <c r="H7633" s="21">
        <v>19</v>
      </c>
      <c r="I7633" s="23" t="s">
        <v>3401</v>
      </c>
      <c r="J7633" s="21"/>
      <c r="K7633" s="21" t="s">
        <v>570</v>
      </c>
      <c r="L7633" s="21"/>
      <c r="M7633" s="21"/>
      <c r="N7633" s="21" t="s">
        <v>40</v>
      </c>
      <c r="O7633" s="21">
        <v>37</v>
      </c>
      <c r="P7633" s="21"/>
      <c r="Q7633" s="21">
        <f t="shared" si="145"/>
        <v>1</v>
      </c>
      <c r="R7633" s="21">
        <v>1</v>
      </c>
      <c r="S7633" s="21">
        <v>0</v>
      </c>
      <c r="T7633" s="21">
        <v>0</v>
      </c>
      <c r="U7633" s="21">
        <v>0</v>
      </c>
      <c r="V7633" s="21">
        <v>0</v>
      </c>
      <c r="W7633" s="21">
        <v>0</v>
      </c>
      <c r="X7633" s="21">
        <v>0</v>
      </c>
      <c r="Y7633" s="21">
        <v>0</v>
      </c>
      <c r="Z7633" s="21">
        <v>0</v>
      </c>
      <c r="AA7633" s="21">
        <v>1</v>
      </c>
      <c r="AB7633" s="21">
        <v>0</v>
      </c>
      <c r="AC7633" s="21">
        <v>0</v>
      </c>
      <c r="AD7633" s="21">
        <v>0</v>
      </c>
      <c r="AE7633" s="21">
        <v>0</v>
      </c>
      <c r="AF7633" s="21">
        <v>0</v>
      </c>
      <c r="AG7633" s="21">
        <v>0</v>
      </c>
      <c r="AH7633" s="21">
        <f t="shared" si="146"/>
        <v>0</v>
      </c>
      <c r="AI7633" s="21"/>
      <c r="AJ7633" s="21"/>
      <c r="AK7633" s="21"/>
      <c r="AL7633" s="21"/>
      <c r="AM7633" s="21" t="s">
        <v>3402</v>
      </c>
      <c r="AN7633" s="21">
        <v>-122.415916083333</v>
      </c>
      <c r="AO7633" s="21">
        <v>37.806389350000003</v>
      </c>
      <c r="AP7633" s="21" t="s">
        <v>1915</v>
      </c>
    </row>
    <row r="7634" spans="1:42">
      <c r="A7634" s="20">
        <v>43843</v>
      </c>
      <c r="B7634" s="21">
        <v>1</v>
      </c>
      <c r="C7634" s="21">
        <v>507</v>
      </c>
      <c r="D7634" s="21">
        <v>11442</v>
      </c>
      <c r="E7634" t="s">
        <v>377</v>
      </c>
      <c r="F7634" s="21" t="s">
        <v>38</v>
      </c>
      <c r="G7634" s="21">
        <v>1</v>
      </c>
      <c r="H7634" s="21">
        <v>20</v>
      </c>
      <c r="I7634" s="23" t="s">
        <v>3305</v>
      </c>
      <c r="J7634" s="21"/>
      <c r="K7634" s="21" t="s">
        <v>3403</v>
      </c>
      <c r="L7634" s="21"/>
      <c r="M7634" s="21"/>
      <c r="N7634" s="21" t="s">
        <v>40</v>
      </c>
      <c r="O7634" s="21">
        <v>44</v>
      </c>
      <c r="P7634" s="21"/>
      <c r="Q7634" s="21">
        <f t="shared" si="145"/>
        <v>1</v>
      </c>
      <c r="R7634" s="21">
        <v>1</v>
      </c>
      <c r="S7634" s="21">
        <v>0</v>
      </c>
      <c r="T7634" s="21">
        <v>0</v>
      </c>
      <c r="U7634" s="21">
        <v>0</v>
      </c>
      <c r="V7634" s="21">
        <v>0</v>
      </c>
      <c r="W7634" s="21">
        <v>0</v>
      </c>
      <c r="X7634" s="21">
        <v>0</v>
      </c>
      <c r="Y7634" s="21">
        <v>0</v>
      </c>
      <c r="Z7634" s="21">
        <v>0</v>
      </c>
      <c r="AA7634" s="21">
        <v>1</v>
      </c>
      <c r="AB7634" s="21">
        <v>0</v>
      </c>
      <c r="AC7634" s="21">
        <v>0</v>
      </c>
      <c r="AD7634" s="21">
        <v>0</v>
      </c>
      <c r="AE7634" s="21">
        <v>0</v>
      </c>
      <c r="AF7634" s="21">
        <v>0</v>
      </c>
      <c r="AG7634" s="21">
        <v>0</v>
      </c>
      <c r="AH7634" s="21">
        <f t="shared" si="146"/>
        <v>0</v>
      </c>
      <c r="AI7634" s="21"/>
      <c r="AJ7634" s="21"/>
      <c r="AK7634" s="21"/>
      <c r="AL7634" s="21" t="s">
        <v>3404</v>
      </c>
      <c r="AM7634" s="21" t="s">
        <v>3405</v>
      </c>
      <c r="AN7634" s="21">
        <v>-122.411649166667</v>
      </c>
      <c r="AO7634" s="21">
        <v>37.806722166666603</v>
      </c>
      <c r="AP7634" s="21" t="s">
        <v>1915</v>
      </c>
    </row>
    <row r="7635" spans="1:42">
      <c r="A7635" s="20">
        <v>43843</v>
      </c>
      <c r="B7635" s="21">
        <v>1</v>
      </c>
      <c r="C7635" s="21">
        <v>507</v>
      </c>
      <c r="D7635" s="21">
        <v>11442</v>
      </c>
      <c r="E7635" t="s">
        <v>377</v>
      </c>
      <c r="F7635" s="21" t="s">
        <v>38</v>
      </c>
      <c r="G7635" s="21">
        <v>1</v>
      </c>
      <c r="H7635" s="21">
        <v>21</v>
      </c>
      <c r="I7635" s="23" t="s">
        <v>3186</v>
      </c>
      <c r="J7635" s="21"/>
      <c r="K7635" s="21" t="s">
        <v>213</v>
      </c>
      <c r="L7635" s="21"/>
      <c r="M7635" s="21"/>
      <c r="N7635" s="21" t="s">
        <v>40</v>
      </c>
      <c r="O7635" s="21">
        <v>41</v>
      </c>
      <c r="P7635" s="21"/>
      <c r="Q7635" s="21">
        <f t="shared" si="145"/>
        <v>1</v>
      </c>
      <c r="R7635" s="21">
        <v>1</v>
      </c>
      <c r="S7635" s="21">
        <v>0</v>
      </c>
      <c r="T7635" s="21">
        <v>0</v>
      </c>
      <c r="U7635" s="21">
        <v>0</v>
      </c>
      <c r="V7635" s="21">
        <v>0</v>
      </c>
      <c r="W7635" s="21">
        <v>0</v>
      </c>
      <c r="X7635" s="21">
        <v>0</v>
      </c>
      <c r="Y7635" s="21">
        <v>0</v>
      </c>
      <c r="Z7635" s="21">
        <v>1</v>
      </c>
      <c r="AA7635" s="21">
        <v>0</v>
      </c>
      <c r="AB7635" s="21">
        <v>0</v>
      </c>
      <c r="AC7635" s="21">
        <v>0</v>
      </c>
      <c r="AD7635" s="21">
        <v>0</v>
      </c>
      <c r="AE7635" s="21">
        <v>0</v>
      </c>
      <c r="AF7635" s="21">
        <v>0</v>
      </c>
      <c r="AG7635" s="21">
        <v>0</v>
      </c>
      <c r="AH7635" s="21">
        <f t="shared" si="146"/>
        <v>0</v>
      </c>
      <c r="AI7635" s="21"/>
      <c r="AJ7635" s="21"/>
      <c r="AK7635" s="21"/>
      <c r="AL7635" s="21"/>
      <c r="AM7635" s="21" t="s">
        <v>3406</v>
      </c>
      <c r="AN7635" s="21">
        <v>-122.40335976666699</v>
      </c>
      <c r="AO7635" s="21">
        <v>37.803669833333302</v>
      </c>
      <c r="AP7635" s="21" t="s">
        <v>1915</v>
      </c>
    </row>
    <row r="7636" spans="1:42">
      <c r="A7636" s="20">
        <v>43843</v>
      </c>
      <c r="B7636" s="21">
        <v>1</v>
      </c>
      <c r="C7636" s="21">
        <v>507</v>
      </c>
      <c r="D7636" s="21">
        <v>11442</v>
      </c>
      <c r="E7636" t="s">
        <v>377</v>
      </c>
      <c r="F7636" s="21" t="s">
        <v>38</v>
      </c>
      <c r="G7636" s="21">
        <v>1</v>
      </c>
      <c r="H7636" s="21">
        <v>22</v>
      </c>
      <c r="I7636" s="23" t="s">
        <v>3407</v>
      </c>
      <c r="J7636" s="21"/>
      <c r="K7636" s="21" t="s">
        <v>60</v>
      </c>
      <c r="L7636" s="21"/>
      <c r="M7636" s="21"/>
      <c r="N7636" s="21" t="s">
        <v>40</v>
      </c>
      <c r="O7636" s="21">
        <v>40</v>
      </c>
      <c r="P7636" s="21"/>
      <c r="Q7636" s="21">
        <f t="shared" si="145"/>
        <v>1</v>
      </c>
      <c r="R7636" s="21">
        <v>1</v>
      </c>
      <c r="S7636" s="21">
        <v>0</v>
      </c>
      <c r="T7636" s="21">
        <v>0</v>
      </c>
      <c r="U7636" s="21">
        <v>0</v>
      </c>
      <c r="V7636" s="21">
        <v>0</v>
      </c>
      <c r="W7636" s="21">
        <v>0</v>
      </c>
      <c r="X7636" s="21">
        <v>0</v>
      </c>
      <c r="Y7636" s="21">
        <v>1</v>
      </c>
      <c r="Z7636" s="21">
        <v>0</v>
      </c>
      <c r="AA7636" s="21">
        <v>0</v>
      </c>
      <c r="AB7636" s="21">
        <v>0</v>
      </c>
      <c r="AC7636" s="21">
        <v>0</v>
      </c>
      <c r="AD7636" s="21">
        <v>0</v>
      </c>
      <c r="AE7636" s="21">
        <v>0</v>
      </c>
      <c r="AF7636" s="21">
        <v>0</v>
      </c>
      <c r="AG7636" s="21">
        <v>0</v>
      </c>
      <c r="AH7636" s="21">
        <f t="shared" si="146"/>
        <v>0</v>
      </c>
      <c r="AI7636" s="21"/>
      <c r="AJ7636" s="21"/>
      <c r="AK7636" s="21"/>
      <c r="AL7636" s="21" t="s">
        <v>3408</v>
      </c>
      <c r="AM7636" s="21" t="s">
        <v>3409</v>
      </c>
      <c r="AN7636" s="21">
        <v>-122.40150319999999</v>
      </c>
      <c r="AO7636" s="21">
        <v>37.801339183333297</v>
      </c>
      <c r="AP7636" s="21" t="s">
        <v>1915</v>
      </c>
    </row>
    <row r="7637" spans="1:42">
      <c r="A7637" s="20">
        <v>43843</v>
      </c>
      <c r="B7637" s="21">
        <v>1</v>
      </c>
      <c r="C7637" s="21">
        <v>507</v>
      </c>
      <c r="D7637" s="21">
        <v>11442</v>
      </c>
      <c r="E7637" t="s">
        <v>377</v>
      </c>
      <c r="F7637" s="21" t="s">
        <v>38</v>
      </c>
      <c r="G7637" s="21">
        <v>1</v>
      </c>
      <c r="H7637" s="21">
        <v>23</v>
      </c>
      <c r="I7637" s="23" t="s">
        <v>3410</v>
      </c>
      <c r="J7637" s="21"/>
      <c r="K7637" s="21" t="s">
        <v>73</v>
      </c>
      <c r="L7637" s="21"/>
      <c r="M7637" s="21"/>
      <c r="N7637" s="21" t="s">
        <v>44</v>
      </c>
      <c r="O7637" s="21">
        <f>60+60+60+60+60+51</f>
        <v>351</v>
      </c>
      <c r="P7637" s="21"/>
      <c r="Q7637" s="21">
        <f t="shared" si="145"/>
        <v>1</v>
      </c>
      <c r="R7637" s="21">
        <v>1</v>
      </c>
      <c r="S7637" s="21">
        <v>0</v>
      </c>
      <c r="T7637" s="21">
        <v>0</v>
      </c>
      <c r="U7637" s="21">
        <v>0</v>
      </c>
      <c r="V7637" s="21">
        <v>0</v>
      </c>
      <c r="W7637" s="21">
        <v>0</v>
      </c>
      <c r="X7637" s="21">
        <v>0</v>
      </c>
      <c r="Y7637" s="21">
        <v>0</v>
      </c>
      <c r="Z7637" s="21">
        <v>0</v>
      </c>
      <c r="AA7637" s="21">
        <v>0</v>
      </c>
      <c r="AB7637" s="21">
        <v>0</v>
      </c>
      <c r="AC7637" s="21">
        <v>1</v>
      </c>
      <c r="AD7637" s="21">
        <v>0</v>
      </c>
      <c r="AE7637" s="21">
        <v>0</v>
      </c>
      <c r="AF7637" s="21">
        <v>0</v>
      </c>
      <c r="AG7637" s="21">
        <v>0</v>
      </c>
      <c r="AH7637" s="21">
        <f t="shared" si="146"/>
        <v>0</v>
      </c>
      <c r="AI7637" s="21"/>
      <c r="AJ7637" s="21"/>
      <c r="AK7637" s="21"/>
      <c r="AL7637" s="21" t="s">
        <v>3411</v>
      </c>
      <c r="AM7637" s="21" t="s">
        <v>3412</v>
      </c>
      <c r="AN7637" s="21">
        <v>-122.41522531666701</v>
      </c>
      <c r="AO7637" s="21">
        <v>37.7778989166667</v>
      </c>
      <c r="AP7637" s="21" t="s">
        <v>1915</v>
      </c>
    </row>
    <row r="7638" spans="1:42">
      <c r="A7638" s="20">
        <v>43843</v>
      </c>
      <c r="B7638" s="21">
        <v>1</v>
      </c>
      <c r="C7638" s="21">
        <v>507</v>
      </c>
      <c r="D7638" s="21">
        <v>11442</v>
      </c>
      <c r="E7638" t="s">
        <v>377</v>
      </c>
      <c r="F7638" s="21" t="s">
        <v>38</v>
      </c>
      <c r="G7638" s="21">
        <v>1</v>
      </c>
      <c r="H7638" s="21">
        <v>24</v>
      </c>
      <c r="I7638" s="23" t="s">
        <v>3413</v>
      </c>
      <c r="J7638" s="21"/>
      <c r="K7638" s="21" t="s">
        <v>415</v>
      </c>
      <c r="L7638" s="21"/>
      <c r="M7638" s="21"/>
      <c r="N7638" s="21" t="s">
        <v>40</v>
      </c>
      <c r="O7638" s="21">
        <f>60+6</f>
        <v>66</v>
      </c>
      <c r="P7638" s="21"/>
      <c r="Q7638" s="21">
        <f t="shared" si="145"/>
        <v>1</v>
      </c>
      <c r="R7638" s="21">
        <v>1</v>
      </c>
      <c r="S7638" s="21">
        <v>0</v>
      </c>
      <c r="T7638" s="21">
        <v>0</v>
      </c>
      <c r="U7638" s="21">
        <v>0</v>
      </c>
      <c r="V7638" s="21">
        <v>0</v>
      </c>
      <c r="W7638" s="21">
        <v>0</v>
      </c>
      <c r="X7638" s="21">
        <v>0</v>
      </c>
      <c r="Y7638" s="21">
        <v>0</v>
      </c>
      <c r="Z7638" s="21">
        <v>0</v>
      </c>
      <c r="AA7638" s="21">
        <v>1</v>
      </c>
      <c r="AB7638" s="21">
        <v>0</v>
      </c>
      <c r="AC7638" s="21">
        <v>0</v>
      </c>
      <c r="AD7638" s="21">
        <v>0</v>
      </c>
      <c r="AE7638" s="21">
        <v>0</v>
      </c>
      <c r="AF7638" s="21">
        <v>0</v>
      </c>
      <c r="AG7638" s="21">
        <v>0</v>
      </c>
      <c r="AH7638" s="21">
        <f t="shared" si="146"/>
        <v>0</v>
      </c>
      <c r="AI7638" s="21"/>
      <c r="AJ7638" s="21"/>
      <c r="AK7638" s="21"/>
      <c r="AL7638" s="21"/>
      <c r="AM7638" s="21" t="s">
        <v>3414</v>
      </c>
      <c r="AN7638" s="21">
        <v>-122.4210118</v>
      </c>
      <c r="AO7638" s="21">
        <v>37.780050000000003</v>
      </c>
      <c r="AP7638" s="21" t="s">
        <v>1915</v>
      </c>
    </row>
    <row r="7639" spans="1:42">
      <c r="A7639" s="20">
        <v>43843</v>
      </c>
      <c r="B7639" s="21">
        <v>1</v>
      </c>
      <c r="C7639" s="21">
        <v>507</v>
      </c>
      <c r="D7639" s="21">
        <v>11442</v>
      </c>
      <c r="E7639" t="s">
        <v>377</v>
      </c>
      <c r="F7639" s="21" t="s">
        <v>38</v>
      </c>
      <c r="G7639" s="21">
        <v>1</v>
      </c>
      <c r="H7639" s="21">
        <v>25</v>
      </c>
      <c r="I7639" s="23" t="s">
        <v>3415</v>
      </c>
      <c r="J7639" s="21"/>
      <c r="K7639" s="21" t="s">
        <v>415</v>
      </c>
      <c r="L7639" s="21"/>
      <c r="M7639" s="21"/>
      <c r="N7639" s="21" t="s">
        <v>44</v>
      </c>
      <c r="O7639" s="21">
        <f>60+60+58</f>
        <v>178</v>
      </c>
      <c r="P7639" s="21"/>
      <c r="Q7639" s="21">
        <f t="shared" si="145"/>
        <v>1</v>
      </c>
      <c r="R7639" s="21">
        <v>1</v>
      </c>
      <c r="S7639" s="21">
        <v>0</v>
      </c>
      <c r="T7639" s="21">
        <v>0</v>
      </c>
      <c r="U7639" s="21">
        <v>0</v>
      </c>
      <c r="V7639" s="21">
        <v>0</v>
      </c>
      <c r="W7639" s="21">
        <v>0</v>
      </c>
      <c r="X7639" s="21">
        <v>0</v>
      </c>
      <c r="Y7639" s="21">
        <v>0</v>
      </c>
      <c r="Z7639" s="21">
        <v>0</v>
      </c>
      <c r="AA7639" s="21">
        <v>1</v>
      </c>
      <c r="AB7639" s="21">
        <v>0</v>
      </c>
      <c r="AC7639" s="21">
        <v>0</v>
      </c>
      <c r="AD7639" s="21">
        <v>0</v>
      </c>
      <c r="AE7639" s="21">
        <v>0</v>
      </c>
      <c r="AF7639" s="21">
        <v>0</v>
      </c>
      <c r="AG7639" s="21">
        <v>0</v>
      </c>
      <c r="AH7639" s="21">
        <f t="shared" si="146"/>
        <v>0</v>
      </c>
      <c r="AI7639" s="21"/>
      <c r="AJ7639" s="21"/>
      <c r="AK7639" s="21"/>
      <c r="AL7639" s="21" t="s">
        <v>379</v>
      </c>
      <c r="AM7639" s="21" t="s">
        <v>3416</v>
      </c>
      <c r="AN7639" s="21">
        <v>-122.423674203028</v>
      </c>
      <c r="AO7639" s="21">
        <v>37.7817208377786</v>
      </c>
      <c r="AP7639" s="21" t="s">
        <v>1915</v>
      </c>
    </row>
    <row r="7640" spans="1:42">
      <c r="A7640" s="20">
        <v>43843</v>
      </c>
      <c r="B7640" s="21">
        <v>1</v>
      </c>
      <c r="C7640" s="21">
        <v>507</v>
      </c>
      <c r="D7640" s="21">
        <v>11442</v>
      </c>
      <c r="E7640" t="s">
        <v>377</v>
      </c>
      <c r="F7640" s="21" t="s">
        <v>38</v>
      </c>
      <c r="G7640" s="21">
        <v>1</v>
      </c>
      <c r="H7640" s="21">
        <v>26</v>
      </c>
      <c r="I7640" s="23" t="s">
        <v>3417</v>
      </c>
      <c r="J7640" s="21"/>
      <c r="K7640" s="21" t="s">
        <v>417</v>
      </c>
      <c r="L7640" s="21"/>
      <c r="M7640" s="21"/>
      <c r="N7640" s="21" t="s">
        <v>44</v>
      </c>
      <c r="O7640" s="21">
        <f>60+39</f>
        <v>99</v>
      </c>
      <c r="P7640" s="21"/>
      <c r="Q7640" s="21">
        <f t="shared" si="145"/>
        <v>1</v>
      </c>
      <c r="R7640" s="21">
        <v>1</v>
      </c>
      <c r="S7640" s="21">
        <v>0</v>
      </c>
      <c r="T7640" s="21">
        <v>0</v>
      </c>
      <c r="U7640" s="21">
        <v>0</v>
      </c>
      <c r="V7640" s="21">
        <v>0</v>
      </c>
      <c r="W7640" s="21">
        <v>0</v>
      </c>
      <c r="X7640" s="21">
        <v>0</v>
      </c>
      <c r="Y7640" s="21">
        <v>0</v>
      </c>
      <c r="Z7640" s="21">
        <v>0</v>
      </c>
      <c r="AA7640" s="21">
        <v>0</v>
      </c>
      <c r="AB7640" s="21">
        <v>1</v>
      </c>
      <c r="AC7640" s="21">
        <v>0</v>
      </c>
      <c r="AD7640" s="21">
        <v>0</v>
      </c>
      <c r="AE7640" s="21">
        <v>0</v>
      </c>
      <c r="AF7640" s="21">
        <v>0</v>
      </c>
      <c r="AG7640" s="21">
        <v>0</v>
      </c>
      <c r="AH7640" s="21">
        <f t="shared" si="146"/>
        <v>0</v>
      </c>
      <c r="AI7640" s="21"/>
      <c r="AJ7640" s="21"/>
      <c r="AK7640" s="21"/>
      <c r="AL7640" s="21" t="s">
        <v>3418</v>
      </c>
      <c r="AM7640" s="21" t="s">
        <v>3419</v>
      </c>
      <c r="AN7640" s="21">
        <v>-122.41940945</v>
      </c>
      <c r="AO7640" s="21">
        <v>37.7810967666666</v>
      </c>
      <c r="AP7640" s="21" t="s">
        <v>1915</v>
      </c>
    </row>
    <row r="7641" spans="1:42">
      <c r="A7641" s="20">
        <v>43843</v>
      </c>
      <c r="B7641" s="21">
        <v>1</v>
      </c>
      <c r="C7641" s="21">
        <v>507</v>
      </c>
      <c r="D7641" s="21">
        <v>11442</v>
      </c>
      <c r="E7641" t="s">
        <v>377</v>
      </c>
      <c r="F7641" s="21" t="s">
        <v>38</v>
      </c>
      <c r="G7641" s="21">
        <v>1</v>
      </c>
      <c r="H7641" s="21">
        <v>27</v>
      </c>
      <c r="I7641" s="23" t="s">
        <v>3214</v>
      </c>
      <c r="J7641" s="21"/>
      <c r="K7641" s="21" t="s">
        <v>420</v>
      </c>
      <c r="L7641" s="21"/>
      <c r="M7641" s="21"/>
      <c r="N7641" s="21" t="s">
        <v>44</v>
      </c>
      <c r="O7641" s="21">
        <f>60+60+60+14</f>
        <v>194</v>
      </c>
      <c r="P7641" s="21"/>
      <c r="Q7641" s="21">
        <f t="shared" si="145"/>
        <v>1</v>
      </c>
      <c r="R7641" s="21">
        <v>1</v>
      </c>
      <c r="S7641" s="21">
        <v>0</v>
      </c>
      <c r="T7641" s="21">
        <v>0</v>
      </c>
      <c r="U7641" s="21">
        <v>0</v>
      </c>
      <c r="V7641" s="21">
        <v>0</v>
      </c>
      <c r="W7641" s="21">
        <v>0</v>
      </c>
      <c r="X7641" s="21">
        <v>0</v>
      </c>
      <c r="Y7641" s="21">
        <v>0</v>
      </c>
      <c r="Z7641" s="21">
        <v>0</v>
      </c>
      <c r="AA7641" s="21">
        <v>0</v>
      </c>
      <c r="AB7641" s="21">
        <v>1</v>
      </c>
      <c r="AC7641" s="21">
        <v>0</v>
      </c>
      <c r="AD7641" s="21">
        <v>0</v>
      </c>
      <c r="AE7641" s="21">
        <v>0</v>
      </c>
      <c r="AF7641" s="21">
        <v>0</v>
      </c>
      <c r="AG7641" s="21">
        <v>0</v>
      </c>
      <c r="AH7641" s="21">
        <f t="shared" si="146"/>
        <v>0</v>
      </c>
      <c r="AI7641" s="21"/>
      <c r="AJ7641" s="21"/>
      <c r="AK7641" s="21"/>
      <c r="AL7641" s="21" t="s">
        <v>3420</v>
      </c>
      <c r="AM7641" s="21" t="s">
        <v>3421</v>
      </c>
      <c r="AN7641" s="21">
        <v>-122.415347916667</v>
      </c>
      <c r="AO7641" s="21">
        <v>37.779881666666597</v>
      </c>
      <c r="AP7641" s="21" t="s">
        <v>1915</v>
      </c>
    </row>
    <row r="7642" spans="1:42">
      <c r="A7642" s="20">
        <v>43843</v>
      </c>
      <c r="B7642" s="21">
        <v>1</v>
      </c>
      <c r="C7642" s="21">
        <v>507</v>
      </c>
      <c r="D7642" s="21">
        <v>11442</v>
      </c>
      <c r="E7642" t="s">
        <v>377</v>
      </c>
      <c r="F7642" s="21" t="s">
        <v>38</v>
      </c>
      <c r="G7642" s="21">
        <v>1</v>
      </c>
      <c r="H7642" s="21">
        <v>28</v>
      </c>
      <c r="I7642" s="23" t="s">
        <v>3225</v>
      </c>
      <c r="J7642" s="21"/>
      <c r="K7642" s="21" t="s">
        <v>415</v>
      </c>
      <c r="L7642" s="21"/>
      <c r="M7642" s="21"/>
      <c r="N7642" s="21" t="s">
        <v>40</v>
      </c>
      <c r="O7642" s="21">
        <f>60+14</f>
        <v>74</v>
      </c>
      <c r="P7642" s="21"/>
      <c r="Q7642" s="21">
        <f t="shared" si="145"/>
        <v>1</v>
      </c>
      <c r="R7642" s="21">
        <v>1</v>
      </c>
      <c r="S7642" s="21">
        <v>0</v>
      </c>
      <c r="T7642" s="21">
        <v>0</v>
      </c>
      <c r="U7642" s="21">
        <v>0</v>
      </c>
      <c r="V7642" s="21">
        <v>0</v>
      </c>
      <c r="W7642" s="21">
        <v>0</v>
      </c>
      <c r="X7642" s="21">
        <v>0</v>
      </c>
      <c r="Y7642" s="21">
        <v>0</v>
      </c>
      <c r="Z7642" s="21">
        <v>0</v>
      </c>
      <c r="AA7642" s="21">
        <v>0</v>
      </c>
      <c r="AB7642" s="21">
        <v>1</v>
      </c>
      <c r="AC7642" s="21">
        <v>0</v>
      </c>
      <c r="AD7642" s="21">
        <v>0</v>
      </c>
      <c r="AE7642" s="21">
        <v>0</v>
      </c>
      <c r="AF7642" s="21">
        <v>0</v>
      </c>
      <c r="AG7642" s="21">
        <v>0</v>
      </c>
      <c r="AH7642" s="21">
        <f t="shared" si="146"/>
        <v>0</v>
      </c>
      <c r="AI7642" s="21"/>
      <c r="AJ7642" s="21"/>
      <c r="AK7642" s="21"/>
      <c r="AL7642" s="21" t="s">
        <v>3422</v>
      </c>
      <c r="AM7642" s="21" t="s">
        <v>3423</v>
      </c>
      <c r="AN7642" s="21">
        <v>-122.419474861515</v>
      </c>
      <c r="AO7642" s="21">
        <v>37.78558220571</v>
      </c>
      <c r="AP7642" s="21" t="s">
        <v>1915</v>
      </c>
    </row>
    <row r="7643" spans="1:42">
      <c r="A7643" s="20">
        <v>43843</v>
      </c>
      <c r="B7643" s="21">
        <v>1</v>
      </c>
      <c r="C7643" s="21">
        <v>507</v>
      </c>
      <c r="D7643" s="21">
        <v>11442</v>
      </c>
      <c r="E7643" t="s">
        <v>377</v>
      </c>
      <c r="F7643" s="21" t="s">
        <v>38</v>
      </c>
      <c r="G7643" s="21">
        <v>1</v>
      </c>
      <c r="H7643" s="21">
        <v>29</v>
      </c>
      <c r="I7643" s="23" t="s">
        <v>3230</v>
      </c>
      <c r="J7643" s="21"/>
      <c r="K7643" s="21" t="s">
        <v>415</v>
      </c>
      <c r="L7643" s="21"/>
      <c r="M7643" s="21"/>
      <c r="N7643" s="21" t="s">
        <v>40</v>
      </c>
      <c r="O7643" s="21">
        <v>52</v>
      </c>
      <c r="P7643" s="21"/>
      <c r="Q7643" s="21">
        <f t="shared" si="145"/>
        <v>1</v>
      </c>
      <c r="R7643" s="21">
        <v>1</v>
      </c>
      <c r="S7643" s="21">
        <v>0</v>
      </c>
      <c r="T7643" s="21">
        <v>0</v>
      </c>
      <c r="U7643" s="21">
        <v>0</v>
      </c>
      <c r="V7643" s="21">
        <v>0</v>
      </c>
      <c r="W7643" s="21">
        <v>0</v>
      </c>
      <c r="X7643" s="21">
        <v>0</v>
      </c>
      <c r="Y7643" s="21">
        <v>0</v>
      </c>
      <c r="Z7643" s="21">
        <v>1</v>
      </c>
      <c r="AA7643" s="21">
        <v>0</v>
      </c>
      <c r="AB7643" s="21">
        <v>0</v>
      </c>
      <c r="AC7643" s="21">
        <v>0</v>
      </c>
      <c r="AD7643" s="21">
        <v>0</v>
      </c>
      <c r="AE7643" s="21">
        <v>0</v>
      </c>
      <c r="AF7643" s="21">
        <v>0</v>
      </c>
      <c r="AG7643" s="21">
        <v>0</v>
      </c>
      <c r="AH7643" s="21">
        <f t="shared" si="146"/>
        <v>0</v>
      </c>
      <c r="AI7643" s="21"/>
      <c r="AJ7643" s="21"/>
      <c r="AK7643" s="21"/>
      <c r="AL7643" s="21"/>
      <c r="AM7643" s="21" t="s">
        <v>3424</v>
      </c>
      <c r="AN7643" s="21">
        <v>-122.420865916667</v>
      </c>
      <c r="AO7643" s="21">
        <v>37.785760516666699</v>
      </c>
      <c r="AP7643" s="21" t="s">
        <v>1915</v>
      </c>
    </row>
    <row r="7644" spans="1:42">
      <c r="A7644" s="20">
        <v>43843</v>
      </c>
      <c r="B7644" s="21">
        <v>1</v>
      </c>
      <c r="C7644" s="21">
        <v>507</v>
      </c>
      <c r="D7644" s="21">
        <v>11442</v>
      </c>
      <c r="E7644" t="s">
        <v>377</v>
      </c>
      <c r="F7644" s="21" t="s">
        <v>38</v>
      </c>
      <c r="G7644" s="21">
        <v>1</v>
      </c>
      <c r="H7644" s="21">
        <v>30</v>
      </c>
      <c r="I7644" s="23" t="s">
        <v>3096</v>
      </c>
      <c r="J7644" s="21"/>
      <c r="K7644" s="21" t="s">
        <v>588</v>
      </c>
      <c r="L7644" s="21"/>
      <c r="M7644" s="21"/>
      <c r="N7644" s="21" t="s">
        <v>44</v>
      </c>
      <c r="O7644" s="21">
        <f>60+60+60+60+60+60+60+60+60+44</f>
        <v>584</v>
      </c>
      <c r="P7644" s="21"/>
      <c r="Q7644" s="21">
        <f t="shared" si="145"/>
        <v>1</v>
      </c>
      <c r="R7644" s="21">
        <v>1</v>
      </c>
      <c r="S7644" s="21">
        <v>0</v>
      </c>
      <c r="T7644" s="21">
        <v>0</v>
      </c>
      <c r="U7644" s="21">
        <v>0</v>
      </c>
      <c r="V7644" s="21">
        <v>0</v>
      </c>
      <c r="W7644" s="21">
        <v>0</v>
      </c>
      <c r="X7644" s="21">
        <v>0</v>
      </c>
      <c r="Y7644" s="21">
        <v>0</v>
      </c>
      <c r="Z7644" s="21">
        <v>0</v>
      </c>
      <c r="AA7644" s="21">
        <v>0</v>
      </c>
      <c r="AB7644" s="21">
        <v>1</v>
      </c>
      <c r="AC7644" s="21">
        <v>0</v>
      </c>
      <c r="AD7644" s="21">
        <v>0</v>
      </c>
      <c r="AE7644" s="21">
        <v>0</v>
      </c>
      <c r="AF7644" s="21">
        <v>0</v>
      </c>
      <c r="AG7644" s="21">
        <v>0</v>
      </c>
      <c r="AH7644" s="21">
        <f t="shared" si="146"/>
        <v>0</v>
      </c>
      <c r="AI7644" s="21"/>
      <c r="AJ7644" s="21"/>
      <c r="AK7644" s="21"/>
      <c r="AL7644" s="21" t="s">
        <v>3425</v>
      </c>
      <c r="AM7644" s="21" t="s">
        <v>3426</v>
      </c>
      <c r="AN7644" s="21">
        <v>-122.427915666667</v>
      </c>
      <c r="AO7644" s="21">
        <v>37.785443399999998</v>
      </c>
      <c r="AP7644" s="21" t="s">
        <v>1915</v>
      </c>
    </row>
    <row r="7645" spans="1:42">
      <c r="A7645" s="20">
        <v>43843</v>
      </c>
      <c r="B7645" s="21">
        <v>1</v>
      </c>
      <c r="C7645" s="21">
        <v>507</v>
      </c>
      <c r="D7645" s="21">
        <v>11442</v>
      </c>
      <c r="E7645" t="s">
        <v>377</v>
      </c>
      <c r="F7645" s="21" t="s">
        <v>38</v>
      </c>
      <c r="G7645" s="21">
        <v>1</v>
      </c>
      <c r="H7645" s="21">
        <v>31</v>
      </c>
      <c r="I7645" s="23" t="s">
        <v>3427</v>
      </c>
      <c r="J7645" s="21"/>
      <c r="K7645" s="21" t="s">
        <v>599</v>
      </c>
      <c r="L7645" s="21"/>
      <c r="M7645" s="21"/>
      <c r="N7645" s="21" t="s">
        <v>44</v>
      </c>
      <c r="O7645" s="21">
        <f>60+60+60+20</f>
        <v>200</v>
      </c>
      <c r="P7645" s="21"/>
      <c r="Q7645" s="21">
        <f t="shared" si="145"/>
        <v>2</v>
      </c>
      <c r="R7645" s="21">
        <v>1</v>
      </c>
      <c r="S7645" s="21">
        <v>0</v>
      </c>
      <c r="T7645" s="21">
        <v>0</v>
      </c>
      <c r="U7645" s="21">
        <v>0</v>
      </c>
      <c r="V7645" s="21">
        <v>0</v>
      </c>
      <c r="W7645" s="21">
        <v>0</v>
      </c>
      <c r="X7645" s="21">
        <v>0</v>
      </c>
      <c r="Y7645" s="21">
        <v>2</v>
      </c>
      <c r="Z7645" s="21">
        <v>0</v>
      </c>
      <c r="AA7645" s="21">
        <v>0</v>
      </c>
      <c r="AB7645" s="21">
        <v>0</v>
      </c>
      <c r="AC7645" s="21">
        <v>0</v>
      </c>
      <c r="AD7645" s="21">
        <v>0</v>
      </c>
      <c r="AE7645" s="21">
        <v>0</v>
      </c>
      <c r="AF7645" s="21">
        <v>0</v>
      </c>
      <c r="AG7645" s="21">
        <v>0</v>
      </c>
      <c r="AH7645" s="21">
        <f t="shared" si="146"/>
        <v>0</v>
      </c>
      <c r="AI7645" s="21"/>
      <c r="AJ7645" s="21"/>
      <c r="AK7645" s="21"/>
      <c r="AL7645" s="21" t="s">
        <v>3428</v>
      </c>
      <c r="AM7645" s="21" t="s">
        <v>3429</v>
      </c>
      <c r="AN7645" s="21">
        <v>-122.432401016667</v>
      </c>
      <c r="AO7645" s="21">
        <v>37.784515849999998</v>
      </c>
      <c r="AP7645" s="21" t="s">
        <v>1915</v>
      </c>
    </row>
    <row r="7646" spans="1:42">
      <c r="A7646" s="20">
        <v>43843</v>
      </c>
      <c r="B7646" s="21">
        <v>1</v>
      </c>
      <c r="C7646" s="21">
        <v>507</v>
      </c>
      <c r="D7646" s="21">
        <v>11442</v>
      </c>
      <c r="E7646" t="s">
        <v>377</v>
      </c>
      <c r="F7646" s="21" t="s">
        <v>38</v>
      </c>
      <c r="G7646" s="21">
        <v>1</v>
      </c>
      <c r="H7646" s="21">
        <v>32</v>
      </c>
      <c r="I7646" s="23" t="s">
        <v>3308</v>
      </c>
      <c r="J7646" s="21"/>
      <c r="K7646" s="21" t="s">
        <v>53</v>
      </c>
      <c r="L7646" s="21"/>
      <c r="M7646" s="21"/>
      <c r="N7646" s="21" t="s">
        <v>44</v>
      </c>
      <c r="O7646" s="21">
        <f>60+60+60+13</f>
        <v>193</v>
      </c>
      <c r="P7646" s="21"/>
      <c r="Q7646" s="21">
        <f t="shared" si="145"/>
        <v>1</v>
      </c>
      <c r="R7646" s="21">
        <v>1</v>
      </c>
      <c r="S7646" s="21">
        <v>0</v>
      </c>
      <c r="T7646" s="21">
        <v>0</v>
      </c>
      <c r="U7646" s="21">
        <v>0</v>
      </c>
      <c r="V7646" s="21">
        <v>0</v>
      </c>
      <c r="W7646" s="21">
        <v>0</v>
      </c>
      <c r="X7646" s="21">
        <v>0</v>
      </c>
      <c r="Y7646" s="21">
        <v>0</v>
      </c>
      <c r="Z7646" s="21">
        <v>0</v>
      </c>
      <c r="AA7646" s="21">
        <v>1</v>
      </c>
      <c r="AB7646" s="21">
        <v>0</v>
      </c>
      <c r="AC7646" s="21">
        <v>0</v>
      </c>
      <c r="AD7646" s="21">
        <v>0</v>
      </c>
      <c r="AE7646" s="21">
        <v>0</v>
      </c>
      <c r="AF7646" s="21">
        <v>0</v>
      </c>
      <c r="AG7646" s="21">
        <v>0</v>
      </c>
      <c r="AH7646" s="21">
        <f t="shared" si="146"/>
        <v>0</v>
      </c>
      <c r="AI7646" s="21"/>
      <c r="AJ7646" s="21"/>
      <c r="AK7646" s="21"/>
      <c r="AL7646" s="21" t="s">
        <v>3430</v>
      </c>
      <c r="AM7646" s="21" t="s">
        <v>3431</v>
      </c>
      <c r="AN7646" s="21">
        <v>-122.432899716667</v>
      </c>
      <c r="AO7646" s="21">
        <v>37.784558983333298</v>
      </c>
      <c r="AP7646" s="21" t="s">
        <v>1915</v>
      </c>
    </row>
    <row r="7647" spans="1:42">
      <c r="A7647" s="20">
        <v>43843</v>
      </c>
      <c r="B7647" s="21">
        <v>1</v>
      </c>
      <c r="C7647" s="21">
        <v>507</v>
      </c>
      <c r="D7647" s="21">
        <v>11442</v>
      </c>
      <c r="E7647" t="s">
        <v>377</v>
      </c>
      <c r="F7647" s="21" t="s">
        <v>38</v>
      </c>
      <c r="G7647" s="21">
        <v>1</v>
      </c>
      <c r="H7647" s="21">
        <v>33</v>
      </c>
      <c r="I7647" s="23" t="s">
        <v>3432</v>
      </c>
      <c r="J7647" s="21"/>
      <c r="K7647" s="21" t="s">
        <v>210</v>
      </c>
      <c r="L7647" s="21"/>
      <c r="M7647" s="21"/>
      <c r="N7647" s="21" t="s">
        <v>44</v>
      </c>
      <c r="O7647" s="21">
        <v>30</v>
      </c>
      <c r="P7647" s="21"/>
      <c r="Q7647" s="21">
        <f t="shared" si="145"/>
        <v>1</v>
      </c>
      <c r="R7647" s="21">
        <v>1</v>
      </c>
      <c r="S7647" s="21">
        <v>0</v>
      </c>
      <c r="T7647" s="21">
        <v>0</v>
      </c>
      <c r="U7647" s="21">
        <v>0</v>
      </c>
      <c r="V7647" s="21">
        <v>0</v>
      </c>
      <c r="W7647" s="21">
        <v>1</v>
      </c>
      <c r="X7647" s="21">
        <v>0</v>
      </c>
      <c r="Y7647" s="21">
        <v>0</v>
      </c>
      <c r="Z7647" s="21">
        <v>0</v>
      </c>
      <c r="AA7647" s="21">
        <v>0</v>
      </c>
      <c r="AB7647" s="21">
        <v>0</v>
      </c>
      <c r="AC7647" s="21">
        <v>0</v>
      </c>
      <c r="AD7647" s="21">
        <v>0</v>
      </c>
      <c r="AE7647" s="21">
        <v>0</v>
      </c>
      <c r="AF7647" s="21">
        <v>0</v>
      </c>
      <c r="AG7647" s="21">
        <v>0</v>
      </c>
      <c r="AH7647" s="21">
        <f t="shared" si="146"/>
        <v>96</v>
      </c>
      <c r="AI7647" s="21"/>
      <c r="AJ7647" s="21"/>
      <c r="AK7647" s="21"/>
      <c r="AL7647" s="21"/>
      <c r="AM7647" s="21" t="s">
        <v>3433</v>
      </c>
      <c r="AN7647" s="21">
        <v>-122.4370509</v>
      </c>
      <c r="AO7647" s="21">
        <v>37.799251816666597</v>
      </c>
      <c r="AP7647" s="21" t="s">
        <v>1915</v>
      </c>
    </row>
    <row r="7648" spans="1:42">
      <c r="A7648" s="20">
        <v>43843</v>
      </c>
      <c r="B7648" s="21">
        <v>1</v>
      </c>
      <c r="C7648" s="21">
        <v>507</v>
      </c>
      <c r="D7648" s="21">
        <v>11442</v>
      </c>
      <c r="E7648" t="s">
        <v>377</v>
      </c>
      <c r="F7648" s="21" t="s">
        <v>38</v>
      </c>
      <c r="G7648" s="21">
        <v>1</v>
      </c>
      <c r="H7648" s="21">
        <v>34</v>
      </c>
      <c r="I7648" s="23" t="s">
        <v>3434</v>
      </c>
      <c r="J7648" s="21"/>
      <c r="K7648" s="21" t="s">
        <v>3435</v>
      </c>
      <c r="L7648" s="21"/>
      <c r="M7648" s="21"/>
      <c r="N7648" s="21" t="s">
        <v>44</v>
      </c>
      <c r="O7648" s="21">
        <f>60+19</f>
        <v>79</v>
      </c>
      <c r="P7648" s="21"/>
      <c r="Q7648" s="21">
        <f t="shared" si="145"/>
        <v>1</v>
      </c>
      <c r="R7648" s="21">
        <v>1</v>
      </c>
      <c r="S7648" s="21">
        <v>0</v>
      </c>
      <c r="T7648" s="21">
        <v>0</v>
      </c>
      <c r="U7648" s="21">
        <v>0</v>
      </c>
      <c r="V7648" s="21">
        <v>0</v>
      </c>
      <c r="W7648" s="21">
        <v>0</v>
      </c>
      <c r="X7648" s="21">
        <v>0</v>
      </c>
      <c r="Y7648" s="21">
        <v>0</v>
      </c>
      <c r="Z7648" s="21">
        <v>0</v>
      </c>
      <c r="AA7648" s="21">
        <v>1</v>
      </c>
      <c r="AB7648" s="21">
        <v>0</v>
      </c>
      <c r="AC7648" s="21">
        <v>0</v>
      </c>
      <c r="AD7648" s="21">
        <v>0</v>
      </c>
      <c r="AE7648" s="21">
        <v>0</v>
      </c>
      <c r="AF7648" s="21">
        <v>0</v>
      </c>
      <c r="AG7648" s="21">
        <v>0</v>
      </c>
      <c r="AH7648" s="21">
        <f t="shared" si="146"/>
        <v>0</v>
      </c>
      <c r="AI7648" s="21"/>
      <c r="AJ7648" s="21"/>
      <c r="AK7648" s="21"/>
      <c r="AL7648" s="21"/>
      <c r="AM7648" s="21" t="s">
        <v>3436</v>
      </c>
      <c r="AN7648" s="21">
        <v>-122.448788133333</v>
      </c>
      <c r="AO7648" s="21">
        <v>37.797334849999999</v>
      </c>
      <c r="AP7648" s="21" t="s">
        <v>1915</v>
      </c>
    </row>
    <row r="7649" spans="1:42">
      <c r="A7649" s="20">
        <v>43843</v>
      </c>
      <c r="B7649" s="21">
        <v>1</v>
      </c>
      <c r="C7649" s="21">
        <v>507</v>
      </c>
      <c r="D7649" s="21">
        <v>11442</v>
      </c>
      <c r="E7649" t="s">
        <v>377</v>
      </c>
      <c r="F7649" s="21" t="s">
        <v>38</v>
      </c>
      <c r="G7649" s="21">
        <v>1</v>
      </c>
      <c r="H7649" s="21">
        <v>35</v>
      </c>
      <c r="I7649" s="23" t="s">
        <v>3437</v>
      </c>
      <c r="J7649" s="21"/>
      <c r="K7649" s="21" t="s">
        <v>3438</v>
      </c>
      <c r="L7649" s="21"/>
      <c r="M7649" s="21"/>
      <c r="N7649" s="21" t="s">
        <v>44</v>
      </c>
      <c r="O7649" s="21">
        <f>60+60+60+60+1</f>
        <v>241</v>
      </c>
      <c r="P7649" s="21"/>
      <c r="Q7649" s="21">
        <f t="shared" si="145"/>
        <v>1</v>
      </c>
      <c r="R7649" s="21">
        <v>1</v>
      </c>
      <c r="S7649" s="21">
        <v>0</v>
      </c>
      <c r="T7649" s="21">
        <v>0</v>
      </c>
      <c r="U7649" s="21">
        <v>0</v>
      </c>
      <c r="V7649" s="21">
        <v>0</v>
      </c>
      <c r="W7649" s="21">
        <v>0</v>
      </c>
      <c r="X7649" s="21">
        <v>0</v>
      </c>
      <c r="Y7649" s="21">
        <v>0</v>
      </c>
      <c r="Z7649" s="21">
        <v>0</v>
      </c>
      <c r="AA7649" s="21">
        <v>0</v>
      </c>
      <c r="AB7649" s="21">
        <v>1</v>
      </c>
      <c r="AC7649" s="21">
        <v>0</v>
      </c>
      <c r="AD7649" s="21">
        <v>0</v>
      </c>
      <c r="AE7649" s="21">
        <v>0</v>
      </c>
      <c r="AF7649" s="21">
        <v>0</v>
      </c>
      <c r="AG7649" s="21">
        <v>0</v>
      </c>
      <c r="AH7649" s="21">
        <f t="shared" si="146"/>
        <v>0</v>
      </c>
      <c r="AI7649" s="21"/>
      <c r="AJ7649" s="21"/>
      <c r="AK7649" s="21"/>
      <c r="AL7649" s="21" t="s">
        <v>2696</v>
      </c>
      <c r="AM7649" s="21" t="s">
        <v>3439</v>
      </c>
      <c r="AN7649" s="21">
        <v>-122.45958425000001</v>
      </c>
      <c r="AO7649" s="21">
        <v>37.797382266666702</v>
      </c>
      <c r="AP7649" s="21" t="s">
        <v>1915</v>
      </c>
    </row>
    <row r="7650" spans="1:42">
      <c r="A7650" s="20">
        <v>43843</v>
      </c>
      <c r="B7650" s="21">
        <v>1</v>
      </c>
      <c r="C7650" s="21">
        <v>507</v>
      </c>
      <c r="D7650" s="21">
        <v>11442</v>
      </c>
      <c r="E7650" t="s">
        <v>377</v>
      </c>
      <c r="F7650" s="21" t="s">
        <v>38</v>
      </c>
      <c r="G7650" s="21">
        <v>1</v>
      </c>
      <c r="H7650" s="21">
        <v>36</v>
      </c>
      <c r="I7650" s="23" t="s">
        <v>3440</v>
      </c>
      <c r="J7650" s="21"/>
      <c r="K7650" s="21" t="s">
        <v>3403</v>
      </c>
      <c r="L7650" s="21"/>
      <c r="M7650" s="21"/>
      <c r="N7650" s="21" t="s">
        <v>44</v>
      </c>
      <c r="O7650" s="21">
        <f>60+57</f>
        <v>117</v>
      </c>
      <c r="P7650" s="21"/>
      <c r="Q7650" s="21">
        <f t="shared" si="145"/>
        <v>1</v>
      </c>
      <c r="R7650" s="21">
        <v>1</v>
      </c>
      <c r="S7650" s="21">
        <v>0</v>
      </c>
      <c r="T7650" s="21">
        <v>0</v>
      </c>
      <c r="U7650" s="21">
        <v>0</v>
      </c>
      <c r="V7650" s="21">
        <v>0</v>
      </c>
      <c r="W7650" s="21">
        <v>0</v>
      </c>
      <c r="X7650" s="21">
        <v>0</v>
      </c>
      <c r="Y7650" s="21">
        <v>1</v>
      </c>
      <c r="Z7650" s="21">
        <v>0</v>
      </c>
      <c r="AA7650" s="21">
        <v>0</v>
      </c>
      <c r="AB7650" s="21">
        <v>0</v>
      </c>
      <c r="AC7650" s="21">
        <v>0</v>
      </c>
      <c r="AD7650" s="21">
        <v>0</v>
      </c>
      <c r="AE7650" s="21">
        <v>0</v>
      </c>
      <c r="AF7650" s="21">
        <v>0</v>
      </c>
      <c r="AG7650" s="21">
        <v>0</v>
      </c>
      <c r="AH7650" s="21">
        <f t="shared" si="146"/>
        <v>0</v>
      </c>
      <c r="AI7650" s="21"/>
      <c r="AJ7650" s="21"/>
      <c r="AK7650" s="21"/>
      <c r="AL7650" s="21" t="s">
        <v>2091</v>
      </c>
      <c r="AM7650" s="21" t="s">
        <v>3441</v>
      </c>
      <c r="AN7650" s="21">
        <v>-122.459233883333</v>
      </c>
      <c r="AO7650" s="21">
        <v>37.8016592166667</v>
      </c>
      <c r="AP7650" s="21" t="s">
        <v>1915</v>
      </c>
    </row>
    <row r="7651" spans="1:42">
      <c r="A7651" s="20">
        <v>43843</v>
      </c>
      <c r="B7651" s="21">
        <v>1</v>
      </c>
      <c r="C7651" s="21">
        <v>507</v>
      </c>
      <c r="D7651" s="21">
        <v>11442</v>
      </c>
      <c r="E7651" t="s">
        <v>377</v>
      </c>
      <c r="F7651" s="21" t="s">
        <v>38</v>
      </c>
      <c r="G7651" s="21">
        <v>1</v>
      </c>
      <c r="H7651" s="21">
        <v>37</v>
      </c>
      <c r="I7651" s="23" t="s">
        <v>3442</v>
      </c>
      <c r="J7651" s="21"/>
      <c r="K7651" s="21" t="s">
        <v>3403</v>
      </c>
      <c r="L7651" s="21"/>
      <c r="M7651" s="21"/>
      <c r="N7651" s="21" t="s">
        <v>44</v>
      </c>
      <c r="O7651" s="21">
        <f>60+57</f>
        <v>117</v>
      </c>
      <c r="P7651" s="21"/>
      <c r="Q7651" s="21">
        <f t="shared" si="145"/>
        <v>1</v>
      </c>
      <c r="R7651" s="21">
        <v>1</v>
      </c>
      <c r="S7651" s="21">
        <v>0</v>
      </c>
      <c r="T7651" s="21">
        <v>0</v>
      </c>
      <c r="U7651" s="21">
        <v>0</v>
      </c>
      <c r="V7651" s="21">
        <v>0</v>
      </c>
      <c r="W7651" s="21">
        <v>0</v>
      </c>
      <c r="X7651" s="21">
        <v>0</v>
      </c>
      <c r="Y7651" s="21">
        <v>0</v>
      </c>
      <c r="Z7651" s="21">
        <v>0</v>
      </c>
      <c r="AA7651" s="21">
        <v>1</v>
      </c>
      <c r="AB7651" s="21">
        <v>0</v>
      </c>
      <c r="AC7651" s="21">
        <v>0</v>
      </c>
      <c r="AD7651" s="21">
        <v>0</v>
      </c>
      <c r="AE7651" s="21">
        <v>0</v>
      </c>
      <c r="AF7651" s="21">
        <v>0</v>
      </c>
      <c r="AG7651" s="21">
        <v>0</v>
      </c>
      <c r="AH7651" s="21">
        <f t="shared" si="146"/>
        <v>0</v>
      </c>
      <c r="AI7651" s="21"/>
      <c r="AJ7651" s="21"/>
      <c r="AK7651" s="21"/>
      <c r="AL7651" s="21" t="s">
        <v>2091</v>
      </c>
      <c r="AM7651" s="21" t="s">
        <v>3443</v>
      </c>
      <c r="AN7651" s="21">
        <v>-122.460142333333</v>
      </c>
      <c r="AO7651" s="21">
        <v>37.8002632166667</v>
      </c>
      <c r="AP7651" s="21" t="s">
        <v>1915</v>
      </c>
    </row>
    <row r="7652" spans="1:42">
      <c r="A7652" s="20">
        <v>43843</v>
      </c>
      <c r="B7652" s="21">
        <v>1</v>
      </c>
      <c r="C7652" s="21">
        <v>507</v>
      </c>
      <c r="D7652" s="21">
        <v>11442</v>
      </c>
      <c r="E7652" t="s">
        <v>377</v>
      </c>
      <c r="F7652" s="21" t="s">
        <v>38</v>
      </c>
      <c r="G7652" s="21">
        <v>1</v>
      </c>
      <c r="H7652" s="21">
        <v>38</v>
      </c>
      <c r="I7652" s="23" t="s">
        <v>3444</v>
      </c>
      <c r="J7652" s="21"/>
      <c r="K7652" s="21" t="s">
        <v>3445</v>
      </c>
      <c r="L7652" s="21"/>
      <c r="M7652" s="21"/>
      <c r="N7652" s="21" t="s">
        <v>44</v>
      </c>
      <c r="O7652" s="21">
        <f>60+44</f>
        <v>104</v>
      </c>
      <c r="P7652" s="21"/>
      <c r="Q7652" s="21">
        <f t="shared" si="145"/>
        <v>1</v>
      </c>
      <c r="R7652" s="21">
        <v>1</v>
      </c>
      <c r="S7652" s="21">
        <v>0</v>
      </c>
      <c r="T7652" s="21">
        <v>0</v>
      </c>
      <c r="U7652" s="21">
        <v>0</v>
      </c>
      <c r="V7652" s="21">
        <v>0</v>
      </c>
      <c r="W7652" s="21">
        <v>0</v>
      </c>
      <c r="X7652" s="21">
        <v>0</v>
      </c>
      <c r="Y7652" s="21">
        <v>1</v>
      </c>
      <c r="Z7652" s="21">
        <v>0</v>
      </c>
      <c r="AA7652" s="21">
        <v>0</v>
      </c>
      <c r="AB7652" s="21">
        <v>0</v>
      </c>
      <c r="AC7652" s="21">
        <v>0</v>
      </c>
      <c r="AD7652" s="21">
        <v>0</v>
      </c>
      <c r="AE7652" s="21">
        <v>0</v>
      </c>
      <c r="AF7652" s="21">
        <v>0</v>
      </c>
      <c r="AG7652" s="21">
        <v>0</v>
      </c>
      <c r="AH7652" s="21">
        <f t="shared" si="146"/>
        <v>0</v>
      </c>
      <c r="AI7652" s="21"/>
      <c r="AJ7652" s="21"/>
      <c r="AK7652" s="21"/>
      <c r="AL7652" s="21" t="s">
        <v>3446</v>
      </c>
      <c r="AM7652" s="21" t="s">
        <v>3447</v>
      </c>
      <c r="AN7652" s="21">
        <v>-122.457653633333</v>
      </c>
      <c r="AO7652" s="21">
        <v>37.797907416666703</v>
      </c>
      <c r="AP7652" s="21" t="s">
        <v>1915</v>
      </c>
    </row>
    <row r="7653" spans="1:42">
      <c r="A7653" s="20">
        <v>43843</v>
      </c>
      <c r="B7653" s="21">
        <v>1</v>
      </c>
      <c r="C7653" s="21">
        <v>507</v>
      </c>
      <c r="D7653" s="21">
        <v>11442</v>
      </c>
      <c r="E7653" t="s">
        <v>377</v>
      </c>
      <c r="F7653" s="21" t="s">
        <v>38</v>
      </c>
      <c r="G7653" s="21">
        <v>1</v>
      </c>
      <c r="H7653" s="21">
        <v>39</v>
      </c>
      <c r="I7653" s="23" t="s">
        <v>3448</v>
      </c>
      <c r="J7653" s="21"/>
      <c r="K7653" s="21" t="s">
        <v>1255</v>
      </c>
      <c r="L7653" s="21"/>
      <c r="M7653" s="21"/>
      <c r="N7653" s="21" t="s">
        <v>44</v>
      </c>
      <c r="O7653" s="21">
        <f>60+60+31</f>
        <v>151</v>
      </c>
      <c r="P7653" s="21"/>
      <c r="Q7653" s="21">
        <f t="shared" si="145"/>
        <v>2</v>
      </c>
      <c r="R7653" s="21">
        <v>1</v>
      </c>
      <c r="S7653" s="21">
        <v>0</v>
      </c>
      <c r="T7653" s="21">
        <v>0</v>
      </c>
      <c r="U7653" s="21">
        <v>0</v>
      </c>
      <c r="V7653" s="21">
        <v>0</v>
      </c>
      <c r="W7653" s="21">
        <v>0</v>
      </c>
      <c r="X7653" s="21">
        <v>0</v>
      </c>
      <c r="Y7653" s="21">
        <v>0</v>
      </c>
      <c r="Z7653" s="21">
        <v>0</v>
      </c>
      <c r="AA7653" s="21">
        <v>0</v>
      </c>
      <c r="AB7653" s="21">
        <v>0</v>
      </c>
      <c r="AC7653" s="21">
        <v>2</v>
      </c>
      <c r="AD7653" s="21">
        <v>0</v>
      </c>
      <c r="AE7653" s="21">
        <v>0</v>
      </c>
      <c r="AF7653" s="21">
        <v>0</v>
      </c>
      <c r="AG7653" s="21">
        <v>0</v>
      </c>
      <c r="AH7653" s="21">
        <f t="shared" si="146"/>
        <v>0</v>
      </c>
      <c r="AI7653" s="21"/>
      <c r="AJ7653" s="21"/>
      <c r="AK7653" s="21"/>
      <c r="AL7653" s="21"/>
      <c r="AM7653" s="21" t="s">
        <v>3449</v>
      </c>
      <c r="AN7653" s="21">
        <v>-122.450038783333</v>
      </c>
      <c r="AO7653" s="21">
        <v>37.8009044</v>
      </c>
      <c r="AP7653" s="21" t="s">
        <v>1915</v>
      </c>
    </row>
    <row r="7654" spans="1:42">
      <c r="A7654" s="20">
        <v>43843</v>
      </c>
      <c r="B7654" s="21">
        <v>1</v>
      </c>
      <c r="C7654" s="21">
        <v>507</v>
      </c>
      <c r="D7654" s="21">
        <v>11442</v>
      </c>
      <c r="E7654" t="s">
        <v>377</v>
      </c>
      <c r="F7654" s="21" t="s">
        <v>38</v>
      </c>
      <c r="G7654" s="21">
        <v>1</v>
      </c>
      <c r="H7654" s="21">
        <v>40</v>
      </c>
      <c r="I7654" s="23" t="s">
        <v>3450</v>
      </c>
      <c r="J7654" s="21"/>
      <c r="K7654" s="21" t="s">
        <v>3451</v>
      </c>
      <c r="L7654" s="21"/>
      <c r="M7654" s="21"/>
      <c r="N7654" s="21" t="s">
        <v>44</v>
      </c>
      <c r="O7654" s="21">
        <f>60+37</f>
        <v>97</v>
      </c>
      <c r="P7654" s="21"/>
      <c r="Q7654" s="21">
        <f t="shared" si="145"/>
        <v>1</v>
      </c>
      <c r="R7654" s="21">
        <v>1</v>
      </c>
      <c r="S7654" s="21">
        <v>0</v>
      </c>
      <c r="T7654" s="21">
        <v>0</v>
      </c>
      <c r="U7654" s="21">
        <v>0</v>
      </c>
      <c r="V7654" s="21">
        <v>0</v>
      </c>
      <c r="W7654" s="21">
        <v>0</v>
      </c>
      <c r="X7654" s="21">
        <v>0</v>
      </c>
      <c r="Y7654" s="21">
        <v>0</v>
      </c>
      <c r="Z7654" s="21">
        <v>0</v>
      </c>
      <c r="AA7654" s="21">
        <v>1</v>
      </c>
      <c r="AB7654" s="21">
        <v>0</v>
      </c>
      <c r="AC7654" s="21">
        <v>0</v>
      </c>
      <c r="AD7654" s="21">
        <v>0</v>
      </c>
      <c r="AE7654" s="21">
        <v>0</v>
      </c>
      <c r="AF7654" s="21">
        <v>0</v>
      </c>
      <c r="AG7654" s="21">
        <v>0</v>
      </c>
      <c r="AH7654" s="21">
        <f t="shared" si="146"/>
        <v>0</v>
      </c>
      <c r="AI7654" s="21"/>
      <c r="AJ7654" s="21"/>
      <c r="AK7654" s="21"/>
      <c r="AL7654" s="21" t="s">
        <v>3452</v>
      </c>
      <c r="AM7654" s="21" t="s">
        <v>3453</v>
      </c>
      <c r="AN7654" s="21">
        <v>-122.44665336666699</v>
      </c>
      <c r="AO7654" s="21">
        <v>37.807007216666598</v>
      </c>
      <c r="AP7654" s="21" t="s">
        <v>1915</v>
      </c>
    </row>
    <row r="7655" spans="1:42">
      <c r="A7655" s="20">
        <v>43843</v>
      </c>
      <c r="B7655" s="21">
        <v>1</v>
      </c>
      <c r="C7655" s="21">
        <v>507</v>
      </c>
      <c r="D7655" s="21">
        <v>11442</v>
      </c>
      <c r="E7655" t="s">
        <v>377</v>
      </c>
      <c r="F7655" s="21" t="s">
        <v>38</v>
      </c>
      <c r="G7655" s="21">
        <v>1</v>
      </c>
      <c r="H7655" s="21">
        <v>41</v>
      </c>
      <c r="I7655" s="23">
        <v>90</v>
      </c>
      <c r="J7655" s="21"/>
      <c r="K7655" s="21" t="s">
        <v>529</v>
      </c>
      <c r="L7655" s="21"/>
      <c r="M7655" s="21"/>
      <c r="N7655" s="21" t="s">
        <v>44</v>
      </c>
      <c r="O7655" s="21">
        <f>60+60+42</f>
        <v>162</v>
      </c>
      <c r="P7655" s="21"/>
      <c r="Q7655" s="21">
        <f t="shared" si="145"/>
        <v>1</v>
      </c>
      <c r="R7655" s="21">
        <v>1</v>
      </c>
      <c r="S7655" s="21">
        <v>0</v>
      </c>
      <c r="T7655" s="21">
        <v>0</v>
      </c>
      <c r="U7655" s="21">
        <v>0</v>
      </c>
      <c r="V7655" s="21">
        <v>0</v>
      </c>
      <c r="W7655" s="21">
        <v>0</v>
      </c>
      <c r="X7655" s="21">
        <v>0</v>
      </c>
      <c r="Y7655" s="21">
        <v>0</v>
      </c>
      <c r="Z7655" s="21">
        <v>0</v>
      </c>
      <c r="AA7655" s="21">
        <v>0</v>
      </c>
      <c r="AB7655" s="21">
        <v>1</v>
      </c>
      <c r="AC7655" s="21">
        <v>0</v>
      </c>
      <c r="AD7655" s="21">
        <v>0</v>
      </c>
      <c r="AE7655" s="21">
        <v>0</v>
      </c>
      <c r="AF7655" s="21">
        <v>0</v>
      </c>
      <c r="AG7655" s="21">
        <v>0</v>
      </c>
      <c r="AH7655" s="21">
        <f t="shared" si="146"/>
        <v>0</v>
      </c>
      <c r="AI7655" s="21"/>
      <c r="AJ7655" s="21"/>
      <c r="AK7655" s="21"/>
      <c r="AL7655" s="21"/>
      <c r="AM7655" s="21" t="s">
        <v>3454</v>
      </c>
      <c r="AN7655" s="21">
        <v>-122.412480883333</v>
      </c>
      <c r="AO7655" s="21">
        <v>37.778762066666701</v>
      </c>
      <c r="AP7655" s="21" t="s">
        <v>1915</v>
      </c>
    </row>
    <row r="7656" spans="1:42">
      <c r="A7656" s="20">
        <v>43843</v>
      </c>
      <c r="B7656" s="21">
        <v>1</v>
      </c>
      <c r="C7656" s="21">
        <v>507</v>
      </c>
      <c r="D7656" s="21">
        <v>11442</v>
      </c>
      <c r="E7656" t="s">
        <v>377</v>
      </c>
      <c r="F7656" s="21" t="s">
        <v>38</v>
      </c>
      <c r="G7656" s="21">
        <v>1</v>
      </c>
      <c r="H7656" s="21">
        <v>42</v>
      </c>
      <c r="I7656" s="23" t="s">
        <v>3311</v>
      </c>
      <c r="J7656" s="21"/>
      <c r="K7656" s="21" t="s">
        <v>1975</v>
      </c>
      <c r="L7656" s="21"/>
      <c r="M7656" s="21"/>
      <c r="N7656" s="21" t="s">
        <v>40</v>
      </c>
      <c r="O7656" s="21">
        <f>60+60+9</f>
        <v>129</v>
      </c>
      <c r="P7656" s="21"/>
      <c r="Q7656" s="21">
        <f t="shared" si="145"/>
        <v>1</v>
      </c>
      <c r="R7656" s="21">
        <v>1</v>
      </c>
      <c r="S7656" s="21">
        <v>0</v>
      </c>
      <c r="T7656" s="21">
        <v>0</v>
      </c>
      <c r="U7656" s="21">
        <v>0</v>
      </c>
      <c r="V7656" s="21">
        <v>0</v>
      </c>
      <c r="W7656" s="21">
        <v>0</v>
      </c>
      <c r="X7656" s="21">
        <v>0</v>
      </c>
      <c r="Y7656" s="21">
        <v>0</v>
      </c>
      <c r="Z7656" s="21">
        <v>0</v>
      </c>
      <c r="AA7656" s="21">
        <v>0</v>
      </c>
      <c r="AB7656" s="21">
        <v>0</v>
      </c>
      <c r="AC7656" s="21">
        <v>1</v>
      </c>
      <c r="AD7656" s="21">
        <v>0</v>
      </c>
      <c r="AE7656" s="21">
        <v>0</v>
      </c>
      <c r="AF7656" s="21">
        <v>0</v>
      </c>
      <c r="AG7656" s="21">
        <v>0</v>
      </c>
      <c r="AH7656" s="21">
        <f t="shared" si="146"/>
        <v>0</v>
      </c>
      <c r="AI7656" s="21"/>
      <c r="AJ7656" s="21"/>
      <c r="AK7656" s="21"/>
      <c r="AL7656" s="21" t="s">
        <v>3455</v>
      </c>
      <c r="AM7656" s="21" t="s">
        <v>3456</v>
      </c>
      <c r="AN7656" s="21">
        <v>-122.395014766667</v>
      </c>
      <c r="AO7656" s="21">
        <v>37.767820700000001</v>
      </c>
      <c r="AP7656" s="21" t="s">
        <v>1915</v>
      </c>
    </row>
    <row r="7657" spans="1:42">
      <c r="A7657" s="20">
        <v>43843</v>
      </c>
      <c r="B7657" s="21">
        <v>1</v>
      </c>
      <c r="C7657" s="21">
        <v>507</v>
      </c>
      <c r="D7657" s="21">
        <v>11442</v>
      </c>
      <c r="E7657" t="s">
        <v>377</v>
      </c>
      <c r="F7657" s="21" t="s">
        <v>38</v>
      </c>
      <c r="G7657" s="21">
        <v>1</v>
      </c>
      <c r="H7657" s="21">
        <v>43</v>
      </c>
      <c r="I7657" s="23" t="s">
        <v>2787</v>
      </c>
      <c r="J7657" s="21"/>
      <c r="K7657" s="21" t="s">
        <v>1975</v>
      </c>
      <c r="L7657" s="21"/>
      <c r="M7657" s="21"/>
      <c r="N7657" s="21" t="s">
        <v>40</v>
      </c>
      <c r="O7657" s="21">
        <v>48</v>
      </c>
      <c r="P7657" s="21"/>
      <c r="Q7657" s="21">
        <f t="shared" si="145"/>
        <v>1</v>
      </c>
      <c r="R7657" s="21">
        <v>1</v>
      </c>
      <c r="S7657" s="21">
        <v>0</v>
      </c>
      <c r="T7657" s="21">
        <v>0</v>
      </c>
      <c r="U7657" s="21">
        <v>0</v>
      </c>
      <c r="V7657" s="21">
        <v>0</v>
      </c>
      <c r="W7657" s="21">
        <v>0</v>
      </c>
      <c r="X7657" s="21">
        <v>0</v>
      </c>
      <c r="Y7657" s="21">
        <v>0</v>
      </c>
      <c r="Z7657" s="21">
        <v>0</v>
      </c>
      <c r="AA7657" s="21">
        <v>1</v>
      </c>
      <c r="AB7657" s="21">
        <v>0</v>
      </c>
      <c r="AC7657" s="21">
        <v>0</v>
      </c>
      <c r="AD7657" s="21">
        <v>0</v>
      </c>
      <c r="AE7657" s="21">
        <v>0</v>
      </c>
      <c r="AF7657" s="21">
        <v>0</v>
      </c>
      <c r="AG7657" s="21">
        <v>0</v>
      </c>
      <c r="AH7657" s="21">
        <f t="shared" si="146"/>
        <v>0</v>
      </c>
      <c r="AI7657" s="21"/>
      <c r="AJ7657" s="21"/>
      <c r="AK7657" s="21"/>
      <c r="AL7657" s="21"/>
      <c r="AM7657" s="21" t="s">
        <v>3457</v>
      </c>
      <c r="AN7657" s="21">
        <v>-122.39431455</v>
      </c>
      <c r="AO7657" s="21">
        <v>37.766803483333298</v>
      </c>
      <c r="AP7657" s="21" t="s">
        <v>1915</v>
      </c>
    </row>
    <row r="7658" spans="1:42">
      <c r="A7658" s="20">
        <v>43843</v>
      </c>
      <c r="B7658" s="21">
        <v>1</v>
      </c>
      <c r="C7658" s="21">
        <v>507</v>
      </c>
      <c r="D7658" s="21">
        <v>11442</v>
      </c>
      <c r="E7658" t="s">
        <v>377</v>
      </c>
      <c r="F7658" s="21" t="s">
        <v>38</v>
      </c>
      <c r="G7658" s="21">
        <v>1</v>
      </c>
      <c r="H7658" s="21">
        <v>44</v>
      </c>
      <c r="I7658" s="23" t="s">
        <v>3096</v>
      </c>
      <c r="J7658" s="21"/>
      <c r="K7658" s="21" t="s">
        <v>1975</v>
      </c>
      <c r="L7658" s="21"/>
      <c r="M7658" s="21"/>
      <c r="N7658" s="21" t="s">
        <v>40</v>
      </c>
      <c r="O7658" s="21">
        <f>60+13</f>
        <v>73</v>
      </c>
      <c r="P7658" s="21"/>
      <c r="Q7658" s="21">
        <f t="shared" si="145"/>
        <v>1</v>
      </c>
      <c r="R7658" s="21">
        <v>1</v>
      </c>
      <c r="S7658" s="21">
        <v>0</v>
      </c>
      <c r="T7658" s="21">
        <v>0</v>
      </c>
      <c r="U7658" s="21">
        <v>0</v>
      </c>
      <c r="V7658" s="21">
        <v>0</v>
      </c>
      <c r="W7658" s="21">
        <v>0</v>
      </c>
      <c r="X7658" s="21">
        <v>0</v>
      </c>
      <c r="Y7658" s="21">
        <v>0</v>
      </c>
      <c r="Z7658" s="21">
        <v>0</v>
      </c>
      <c r="AA7658" s="21">
        <v>1</v>
      </c>
      <c r="AB7658" s="21">
        <v>0</v>
      </c>
      <c r="AC7658" s="21">
        <v>0</v>
      </c>
      <c r="AD7658" s="21">
        <v>0</v>
      </c>
      <c r="AE7658" s="21">
        <v>0</v>
      </c>
      <c r="AF7658" s="21">
        <v>0</v>
      </c>
      <c r="AG7658" s="21">
        <v>0</v>
      </c>
      <c r="AH7658" s="21">
        <f t="shared" si="146"/>
        <v>0</v>
      </c>
      <c r="AI7658" s="21"/>
      <c r="AJ7658" s="21"/>
      <c r="AK7658" s="21"/>
      <c r="AL7658" s="21"/>
      <c r="AM7658" s="21" t="s">
        <v>3458</v>
      </c>
      <c r="AN7658" s="21">
        <v>-122.39622851666699</v>
      </c>
      <c r="AO7658" s="21">
        <v>37.769052266666698</v>
      </c>
      <c r="AP7658" s="21" t="s">
        <v>1915</v>
      </c>
    </row>
    <row r="7659" spans="1:42">
      <c r="A7659" s="20">
        <v>43843</v>
      </c>
      <c r="B7659" s="21">
        <v>1</v>
      </c>
      <c r="C7659" s="21">
        <v>507</v>
      </c>
      <c r="D7659" s="21">
        <v>11442</v>
      </c>
      <c r="E7659" t="s">
        <v>377</v>
      </c>
      <c r="F7659" s="21" t="s">
        <v>38</v>
      </c>
      <c r="G7659" s="21">
        <v>1</v>
      </c>
      <c r="H7659" s="21">
        <v>45</v>
      </c>
      <c r="I7659" s="23" t="s">
        <v>3459</v>
      </c>
      <c r="J7659" s="21"/>
      <c r="K7659" s="21" t="s">
        <v>3460</v>
      </c>
      <c r="L7659" s="21"/>
      <c r="M7659" s="21"/>
      <c r="N7659" s="21" t="s">
        <v>40</v>
      </c>
      <c r="O7659" s="21">
        <f>60+60+15</f>
        <v>135</v>
      </c>
      <c r="P7659" s="21"/>
      <c r="Q7659" s="21">
        <f t="shared" si="145"/>
        <v>2</v>
      </c>
      <c r="R7659" s="21">
        <v>1</v>
      </c>
      <c r="S7659" s="21">
        <v>0</v>
      </c>
      <c r="T7659" s="21">
        <v>0</v>
      </c>
      <c r="U7659" s="21">
        <v>0</v>
      </c>
      <c r="V7659" s="21">
        <v>0</v>
      </c>
      <c r="W7659" s="21">
        <v>0</v>
      </c>
      <c r="X7659" s="21">
        <v>0</v>
      </c>
      <c r="Y7659" s="21">
        <v>0</v>
      </c>
      <c r="Z7659" s="21">
        <v>2</v>
      </c>
      <c r="AA7659" s="21">
        <v>0</v>
      </c>
      <c r="AB7659" s="21">
        <v>0</v>
      </c>
      <c r="AC7659" s="21">
        <v>0</v>
      </c>
      <c r="AD7659" s="21">
        <v>0</v>
      </c>
      <c r="AE7659" s="21">
        <v>0</v>
      </c>
      <c r="AF7659" s="21">
        <v>0</v>
      </c>
      <c r="AG7659" s="21">
        <v>0</v>
      </c>
      <c r="AH7659" s="21">
        <f t="shared" si="146"/>
        <v>0</v>
      </c>
      <c r="AI7659" s="21"/>
      <c r="AJ7659" s="21"/>
      <c r="AK7659" s="21"/>
      <c r="AL7659" s="21"/>
      <c r="AM7659" s="21" t="s">
        <v>3461</v>
      </c>
      <c r="AN7659" s="21">
        <v>-122.393037533333</v>
      </c>
      <c r="AO7659" s="21">
        <v>37.771468249999998</v>
      </c>
      <c r="AP7659" s="21" t="s">
        <v>1915</v>
      </c>
    </row>
    <row r="7660" spans="1:42">
      <c r="A7660" s="20">
        <v>43843</v>
      </c>
      <c r="B7660" s="21">
        <v>1</v>
      </c>
      <c r="C7660" s="21">
        <v>507</v>
      </c>
      <c r="D7660" s="21">
        <v>11442</v>
      </c>
      <c r="E7660" t="s">
        <v>377</v>
      </c>
      <c r="F7660" s="21" t="s">
        <v>38</v>
      </c>
      <c r="G7660" s="21">
        <v>1</v>
      </c>
      <c r="H7660" s="21">
        <v>46</v>
      </c>
      <c r="I7660" s="23" t="s">
        <v>3459</v>
      </c>
      <c r="J7660" s="21"/>
      <c r="K7660" s="21" t="s">
        <v>3462</v>
      </c>
      <c r="L7660" s="21"/>
      <c r="M7660" s="21"/>
      <c r="N7660" s="21" t="s">
        <v>40</v>
      </c>
      <c r="O7660" s="21">
        <v>51</v>
      </c>
      <c r="P7660" s="21"/>
      <c r="Q7660" s="21">
        <f t="shared" si="145"/>
        <v>1</v>
      </c>
      <c r="R7660" s="21">
        <v>1</v>
      </c>
      <c r="S7660" s="21">
        <v>0</v>
      </c>
      <c r="T7660" s="21">
        <v>0</v>
      </c>
      <c r="U7660" s="21">
        <v>0</v>
      </c>
      <c r="V7660" s="21">
        <v>0</v>
      </c>
      <c r="W7660" s="21">
        <v>0</v>
      </c>
      <c r="X7660" s="21">
        <v>0</v>
      </c>
      <c r="Y7660" s="21">
        <v>0</v>
      </c>
      <c r="Z7660" s="21">
        <v>1</v>
      </c>
      <c r="AA7660" s="21">
        <v>0</v>
      </c>
      <c r="AB7660" s="21">
        <v>0</v>
      </c>
      <c r="AC7660" s="21">
        <v>0</v>
      </c>
      <c r="AD7660" s="21">
        <v>0</v>
      </c>
      <c r="AE7660" s="21">
        <v>0</v>
      </c>
      <c r="AF7660" s="21">
        <v>0</v>
      </c>
      <c r="AG7660" s="21">
        <v>0</v>
      </c>
      <c r="AH7660" s="21">
        <f t="shared" si="146"/>
        <v>0</v>
      </c>
      <c r="AI7660" s="21"/>
      <c r="AJ7660" s="21"/>
      <c r="AK7660" s="21"/>
      <c r="AL7660" s="21" t="s">
        <v>3463</v>
      </c>
      <c r="AM7660" s="21" t="s">
        <v>3464</v>
      </c>
      <c r="AN7660" s="21">
        <v>-122.393619983333</v>
      </c>
      <c r="AO7660" s="21">
        <v>37.771722033333297</v>
      </c>
      <c r="AP7660" s="21" t="s">
        <v>1915</v>
      </c>
    </row>
    <row r="7661" spans="1:42">
      <c r="A7661" s="20">
        <v>43843</v>
      </c>
      <c r="B7661" s="21">
        <v>1</v>
      </c>
      <c r="C7661" s="21">
        <v>507</v>
      </c>
      <c r="D7661" s="21">
        <v>11442</v>
      </c>
      <c r="E7661" t="s">
        <v>377</v>
      </c>
      <c r="F7661" s="21" t="s">
        <v>38</v>
      </c>
      <c r="G7661" s="21">
        <v>1</v>
      </c>
      <c r="H7661" s="21">
        <v>47</v>
      </c>
      <c r="I7661" s="23" t="s">
        <v>3465</v>
      </c>
      <c r="J7661" s="21"/>
      <c r="K7661" s="21" t="s">
        <v>2003</v>
      </c>
      <c r="L7661" s="21"/>
      <c r="M7661" s="21"/>
      <c r="N7661" s="21" t="s">
        <v>40</v>
      </c>
      <c r="O7661" s="21">
        <f>60+50</f>
        <v>110</v>
      </c>
      <c r="P7661" s="21"/>
      <c r="Q7661" s="21">
        <f t="shared" si="145"/>
        <v>1</v>
      </c>
      <c r="R7661" s="21">
        <v>1</v>
      </c>
      <c r="S7661" s="21">
        <v>0</v>
      </c>
      <c r="T7661" s="21">
        <v>0</v>
      </c>
      <c r="U7661" s="21">
        <v>0</v>
      </c>
      <c r="V7661" s="21">
        <v>0</v>
      </c>
      <c r="W7661" s="21">
        <v>0</v>
      </c>
      <c r="X7661" s="21">
        <v>0</v>
      </c>
      <c r="Y7661" s="21">
        <v>0</v>
      </c>
      <c r="Z7661" s="21">
        <v>0</v>
      </c>
      <c r="AA7661" s="21">
        <v>1</v>
      </c>
      <c r="AB7661" s="21">
        <v>0</v>
      </c>
      <c r="AC7661" s="21">
        <v>0</v>
      </c>
      <c r="AD7661" s="21">
        <v>0</v>
      </c>
      <c r="AE7661" s="21">
        <v>0</v>
      </c>
      <c r="AF7661" s="21">
        <v>0</v>
      </c>
      <c r="AG7661" s="21">
        <v>0</v>
      </c>
      <c r="AH7661" s="21">
        <f t="shared" si="146"/>
        <v>0</v>
      </c>
      <c r="AI7661" s="21"/>
      <c r="AJ7661" s="21"/>
      <c r="AK7661" s="21"/>
      <c r="AL7661" s="21"/>
      <c r="AM7661" s="21" t="s">
        <v>3466</v>
      </c>
      <c r="AN7661" s="21">
        <v>-122.39420086666701</v>
      </c>
      <c r="AO7661" s="21">
        <v>37.771471083333303</v>
      </c>
      <c r="AP7661" s="21" t="s">
        <v>1915</v>
      </c>
    </row>
    <row r="7662" spans="1:42">
      <c r="A7662" s="20">
        <v>43843</v>
      </c>
      <c r="B7662" s="21">
        <v>1</v>
      </c>
      <c r="C7662" s="21">
        <v>507</v>
      </c>
      <c r="D7662" s="21">
        <v>11442</v>
      </c>
      <c r="E7662" t="s">
        <v>377</v>
      </c>
      <c r="F7662" s="21" t="s">
        <v>38</v>
      </c>
      <c r="G7662" s="21">
        <v>1</v>
      </c>
      <c r="H7662" s="21">
        <v>48</v>
      </c>
      <c r="I7662" s="23" t="s">
        <v>3467</v>
      </c>
      <c r="J7662" s="21"/>
      <c r="K7662" s="21" t="s">
        <v>3468</v>
      </c>
      <c r="L7662" s="21"/>
      <c r="M7662" s="21"/>
      <c r="N7662" s="21" t="s">
        <v>1703</v>
      </c>
      <c r="O7662" s="21">
        <f>60+13</f>
        <v>73</v>
      </c>
      <c r="P7662" s="21"/>
      <c r="Q7662" s="21">
        <f t="shared" si="145"/>
        <v>1</v>
      </c>
      <c r="R7662" s="21">
        <v>1</v>
      </c>
      <c r="S7662" s="21">
        <v>0</v>
      </c>
      <c r="T7662" s="21">
        <v>0</v>
      </c>
      <c r="U7662" s="21">
        <v>0</v>
      </c>
      <c r="V7662" s="21">
        <v>0</v>
      </c>
      <c r="W7662" s="21">
        <v>0</v>
      </c>
      <c r="X7662" s="21">
        <v>0</v>
      </c>
      <c r="Y7662" s="21">
        <v>0</v>
      </c>
      <c r="Z7662" s="21">
        <v>0</v>
      </c>
      <c r="AA7662" s="21">
        <v>1</v>
      </c>
      <c r="AB7662" s="21">
        <v>0</v>
      </c>
      <c r="AC7662" s="21">
        <v>0</v>
      </c>
      <c r="AD7662" s="21">
        <v>0</v>
      </c>
      <c r="AE7662" s="21">
        <v>0</v>
      </c>
      <c r="AF7662" s="21">
        <v>0</v>
      </c>
      <c r="AG7662" s="21">
        <v>0</v>
      </c>
      <c r="AH7662" s="21">
        <f t="shared" si="146"/>
        <v>0</v>
      </c>
      <c r="AI7662" s="21"/>
      <c r="AJ7662" s="21"/>
      <c r="AK7662" s="21"/>
      <c r="AL7662" s="21" t="s">
        <v>3469</v>
      </c>
      <c r="AM7662" s="21" t="s">
        <v>3470</v>
      </c>
      <c r="AN7662" s="21">
        <v>-122.391667583333</v>
      </c>
      <c r="AO7662" s="21">
        <v>37.7718578666667</v>
      </c>
      <c r="AP7662" s="21" t="s">
        <v>1915</v>
      </c>
    </row>
    <row r="7663" spans="1:42">
      <c r="A7663" s="20">
        <v>43843</v>
      </c>
      <c r="B7663" s="21">
        <v>1</v>
      </c>
      <c r="C7663" s="21">
        <v>507</v>
      </c>
      <c r="D7663" s="21">
        <v>11442</v>
      </c>
      <c r="E7663" t="s">
        <v>377</v>
      </c>
      <c r="F7663" s="21" t="s">
        <v>38</v>
      </c>
      <c r="G7663" s="21">
        <v>1</v>
      </c>
      <c r="H7663" s="21">
        <v>49</v>
      </c>
      <c r="I7663" s="23" t="s">
        <v>3471</v>
      </c>
      <c r="J7663" s="21"/>
      <c r="K7663" s="21" t="s">
        <v>2000</v>
      </c>
      <c r="L7663" s="21"/>
      <c r="M7663" s="21"/>
      <c r="N7663" s="21" t="s">
        <v>40</v>
      </c>
      <c r="O7663" s="21">
        <f>60+41</f>
        <v>101</v>
      </c>
      <c r="P7663" s="21"/>
      <c r="Q7663" s="21">
        <f t="shared" si="145"/>
        <v>1</v>
      </c>
      <c r="R7663" s="21">
        <v>1</v>
      </c>
      <c r="S7663" s="21">
        <v>0</v>
      </c>
      <c r="T7663" s="21">
        <v>0</v>
      </c>
      <c r="U7663" s="21">
        <v>0</v>
      </c>
      <c r="V7663" s="21">
        <v>0</v>
      </c>
      <c r="W7663" s="21">
        <v>0</v>
      </c>
      <c r="X7663" s="21">
        <v>0</v>
      </c>
      <c r="Y7663" s="21">
        <v>0</v>
      </c>
      <c r="Z7663" s="21">
        <v>0</v>
      </c>
      <c r="AA7663" s="21">
        <v>1</v>
      </c>
      <c r="AB7663" s="21">
        <v>0</v>
      </c>
      <c r="AC7663" s="21">
        <v>0</v>
      </c>
      <c r="AD7663" s="21">
        <v>0</v>
      </c>
      <c r="AE7663" s="21">
        <v>0</v>
      </c>
      <c r="AF7663" s="21">
        <v>0</v>
      </c>
      <c r="AG7663" s="21">
        <v>0</v>
      </c>
      <c r="AH7663" s="21">
        <f t="shared" si="146"/>
        <v>0</v>
      </c>
      <c r="AI7663" s="21"/>
      <c r="AJ7663" s="21"/>
      <c r="AK7663" s="21"/>
      <c r="AL7663" s="21" t="s">
        <v>3472</v>
      </c>
      <c r="AM7663" s="21" t="s">
        <v>3473</v>
      </c>
      <c r="AN7663" s="21">
        <v>-122.391415616667</v>
      </c>
      <c r="AO7663" s="21">
        <v>37.773503283333298</v>
      </c>
      <c r="AP7663" s="21" t="s">
        <v>1915</v>
      </c>
    </row>
    <row r="7664" spans="1:42">
      <c r="A7664" s="20">
        <v>43843</v>
      </c>
      <c r="B7664" s="21">
        <v>1</v>
      </c>
      <c r="C7664" s="21">
        <v>507</v>
      </c>
      <c r="D7664" s="21">
        <v>11442</v>
      </c>
      <c r="E7664" t="s">
        <v>377</v>
      </c>
      <c r="F7664" s="21" t="s">
        <v>38</v>
      </c>
      <c r="G7664" s="21">
        <v>1</v>
      </c>
      <c r="H7664" s="21">
        <v>50</v>
      </c>
      <c r="I7664" s="23" t="s">
        <v>3005</v>
      </c>
      <c r="J7664" s="21"/>
      <c r="K7664" s="21" t="s">
        <v>406</v>
      </c>
      <c r="L7664" s="21"/>
      <c r="M7664" s="21"/>
      <c r="N7664" s="21" t="s">
        <v>40</v>
      </c>
      <c r="O7664" s="21">
        <f>60+14</f>
        <v>74</v>
      </c>
      <c r="P7664" s="21"/>
      <c r="Q7664" s="21">
        <f t="shared" si="145"/>
        <v>1</v>
      </c>
      <c r="R7664" s="21">
        <v>1</v>
      </c>
      <c r="S7664" s="21">
        <v>0</v>
      </c>
      <c r="T7664" s="21">
        <v>0</v>
      </c>
      <c r="U7664" s="21">
        <v>0</v>
      </c>
      <c r="V7664" s="21">
        <v>0</v>
      </c>
      <c r="W7664" s="21">
        <v>0</v>
      </c>
      <c r="X7664" s="21">
        <v>0</v>
      </c>
      <c r="Y7664" s="21">
        <v>0</v>
      </c>
      <c r="Z7664" s="21">
        <v>0</v>
      </c>
      <c r="AA7664" s="21">
        <v>1</v>
      </c>
      <c r="AB7664" s="21">
        <v>0</v>
      </c>
      <c r="AC7664" s="21">
        <v>0</v>
      </c>
      <c r="AD7664" s="21">
        <v>0</v>
      </c>
      <c r="AE7664" s="21">
        <v>0</v>
      </c>
      <c r="AF7664" s="21">
        <v>0</v>
      </c>
      <c r="AG7664" s="21">
        <v>0</v>
      </c>
      <c r="AH7664" s="21">
        <f t="shared" si="146"/>
        <v>0</v>
      </c>
      <c r="AI7664" s="21"/>
      <c r="AJ7664" s="21"/>
      <c r="AK7664" s="21"/>
      <c r="AL7664" s="21"/>
      <c r="AM7664" s="21" t="s">
        <v>3474</v>
      </c>
      <c r="AN7664" s="21">
        <v>-122.391965233333</v>
      </c>
      <c r="AO7664" s="21">
        <v>37.7730632833333</v>
      </c>
      <c r="AP7664" s="21" t="s">
        <v>1915</v>
      </c>
    </row>
    <row r="7665" spans="1:42">
      <c r="A7665" s="20">
        <v>43843</v>
      </c>
      <c r="B7665" s="21">
        <v>1</v>
      </c>
      <c r="C7665" s="21">
        <v>507</v>
      </c>
      <c r="D7665" s="21">
        <v>11442</v>
      </c>
      <c r="E7665" t="s">
        <v>377</v>
      </c>
      <c r="F7665" s="21" t="s">
        <v>38</v>
      </c>
      <c r="G7665" s="21">
        <v>1</v>
      </c>
      <c r="H7665" s="21">
        <v>51</v>
      </c>
      <c r="I7665" s="23" t="s">
        <v>3475</v>
      </c>
      <c r="J7665" s="21"/>
      <c r="K7665" s="21" t="s">
        <v>406</v>
      </c>
      <c r="L7665" s="21"/>
      <c r="M7665" s="21"/>
      <c r="N7665" s="21" t="s">
        <v>40</v>
      </c>
      <c r="O7665" s="21">
        <f>60+8</f>
        <v>68</v>
      </c>
      <c r="P7665" s="21"/>
      <c r="Q7665" s="21">
        <f t="shared" si="145"/>
        <v>1</v>
      </c>
      <c r="R7665" s="21">
        <v>1</v>
      </c>
      <c r="S7665" s="21">
        <v>0</v>
      </c>
      <c r="T7665" s="21">
        <v>0</v>
      </c>
      <c r="U7665" s="21">
        <v>0</v>
      </c>
      <c r="V7665" s="21">
        <v>0</v>
      </c>
      <c r="W7665" s="21">
        <v>0</v>
      </c>
      <c r="X7665" s="21">
        <v>0</v>
      </c>
      <c r="Y7665" s="21">
        <v>0</v>
      </c>
      <c r="Z7665" s="21">
        <v>0</v>
      </c>
      <c r="AA7665" s="21">
        <v>1</v>
      </c>
      <c r="AB7665" s="21">
        <v>0</v>
      </c>
      <c r="AC7665" s="21">
        <v>0</v>
      </c>
      <c r="AD7665" s="21">
        <v>0</v>
      </c>
      <c r="AE7665" s="21">
        <v>0</v>
      </c>
      <c r="AF7665" s="21">
        <v>0</v>
      </c>
      <c r="AG7665" s="21">
        <v>0</v>
      </c>
      <c r="AH7665" s="21">
        <f t="shared" si="146"/>
        <v>0</v>
      </c>
      <c r="AI7665" s="21"/>
      <c r="AJ7665" s="21"/>
      <c r="AK7665" s="21"/>
      <c r="AL7665" s="21"/>
      <c r="AM7665" s="21" t="s">
        <v>3476</v>
      </c>
      <c r="AN7665" s="21">
        <v>-122.390598783333</v>
      </c>
      <c r="AO7665" s="21">
        <v>37.770582933333301</v>
      </c>
      <c r="AP7665" s="21" t="s">
        <v>1915</v>
      </c>
    </row>
    <row r="7666" spans="1:42">
      <c r="A7666" s="20">
        <v>43843</v>
      </c>
      <c r="B7666" s="21">
        <v>1</v>
      </c>
      <c r="C7666" s="21">
        <v>507</v>
      </c>
      <c r="D7666" s="21">
        <v>11442</v>
      </c>
      <c r="E7666" t="s">
        <v>377</v>
      </c>
      <c r="F7666" s="21" t="s">
        <v>38</v>
      </c>
      <c r="G7666" s="21">
        <v>1</v>
      </c>
      <c r="H7666" s="21">
        <v>52</v>
      </c>
      <c r="I7666" s="23" t="s">
        <v>3399</v>
      </c>
      <c r="J7666" s="21"/>
      <c r="K7666" s="21" t="s">
        <v>1978</v>
      </c>
      <c r="L7666" s="21"/>
      <c r="M7666" s="21"/>
      <c r="N7666" s="21" t="s">
        <v>44</v>
      </c>
      <c r="O7666" s="21">
        <f>60+60+11</f>
        <v>131</v>
      </c>
      <c r="P7666" s="21"/>
      <c r="Q7666" s="21">
        <f t="shared" si="145"/>
        <v>1</v>
      </c>
      <c r="R7666" s="21">
        <v>1</v>
      </c>
      <c r="S7666" s="21">
        <v>0</v>
      </c>
      <c r="T7666" s="21">
        <v>0</v>
      </c>
      <c r="U7666" s="21">
        <v>0</v>
      </c>
      <c r="V7666" s="21">
        <v>0</v>
      </c>
      <c r="W7666" s="21">
        <v>0</v>
      </c>
      <c r="X7666" s="21">
        <v>0</v>
      </c>
      <c r="Y7666" s="21">
        <v>0</v>
      </c>
      <c r="Z7666" s="21">
        <v>0</v>
      </c>
      <c r="AA7666" s="21">
        <v>0</v>
      </c>
      <c r="AB7666" s="21">
        <v>1</v>
      </c>
      <c r="AC7666" s="21">
        <v>0</v>
      </c>
      <c r="AD7666" s="21">
        <v>0</v>
      </c>
      <c r="AE7666" s="21">
        <v>0</v>
      </c>
      <c r="AF7666" s="21">
        <v>0</v>
      </c>
      <c r="AG7666" s="21">
        <v>0</v>
      </c>
      <c r="AH7666" s="21">
        <f t="shared" si="146"/>
        <v>0</v>
      </c>
      <c r="AI7666" s="21"/>
      <c r="AJ7666" s="21"/>
      <c r="AK7666" s="21"/>
      <c r="AL7666" s="21" t="s">
        <v>2788</v>
      </c>
      <c r="AM7666" s="21" t="s">
        <v>3477</v>
      </c>
      <c r="AN7666" s="21">
        <v>-122.38653208333299</v>
      </c>
      <c r="AO7666" s="21">
        <v>37.769056216666698</v>
      </c>
      <c r="AP7666" s="21" t="s">
        <v>1915</v>
      </c>
    </row>
    <row r="7667" spans="1:42">
      <c r="A7667" s="20">
        <v>43843</v>
      </c>
      <c r="B7667" s="21">
        <v>1</v>
      </c>
      <c r="C7667" s="21">
        <v>507</v>
      </c>
      <c r="D7667" s="21">
        <v>11442</v>
      </c>
      <c r="E7667" t="s">
        <v>377</v>
      </c>
      <c r="F7667" s="21" t="s">
        <v>38</v>
      </c>
      <c r="G7667" s="21">
        <v>1</v>
      </c>
      <c r="H7667" s="21">
        <v>53</v>
      </c>
      <c r="I7667" s="23" t="s">
        <v>3200</v>
      </c>
      <c r="J7667" s="21"/>
      <c r="K7667" s="21" t="s">
        <v>2007</v>
      </c>
      <c r="L7667" s="21"/>
      <c r="M7667" s="21"/>
      <c r="N7667" s="21" t="s">
        <v>40</v>
      </c>
      <c r="O7667" s="21">
        <f>60+49</f>
        <v>109</v>
      </c>
      <c r="P7667" s="21"/>
      <c r="Q7667" s="21">
        <f t="shared" si="145"/>
        <v>1</v>
      </c>
      <c r="R7667" s="21">
        <v>1</v>
      </c>
      <c r="S7667" s="21">
        <v>0</v>
      </c>
      <c r="T7667" s="21">
        <v>0</v>
      </c>
      <c r="U7667" s="21">
        <v>0</v>
      </c>
      <c r="V7667" s="21">
        <v>0</v>
      </c>
      <c r="W7667" s="21">
        <v>0</v>
      </c>
      <c r="X7667" s="21">
        <v>0</v>
      </c>
      <c r="Y7667" s="21">
        <v>0</v>
      </c>
      <c r="Z7667" s="21">
        <v>0</v>
      </c>
      <c r="AA7667" s="21">
        <v>1</v>
      </c>
      <c r="AB7667" s="21">
        <v>0</v>
      </c>
      <c r="AC7667" s="21">
        <v>0</v>
      </c>
      <c r="AD7667" s="21">
        <v>0</v>
      </c>
      <c r="AE7667" s="21">
        <v>0</v>
      </c>
      <c r="AF7667" s="21">
        <v>0</v>
      </c>
      <c r="AG7667" s="21">
        <v>0</v>
      </c>
      <c r="AH7667" s="21">
        <f t="shared" si="146"/>
        <v>0</v>
      </c>
      <c r="AI7667" s="21"/>
      <c r="AJ7667" s="21"/>
      <c r="AK7667" s="21"/>
      <c r="AL7667" s="21"/>
      <c r="AM7667" s="21" t="s">
        <v>3478</v>
      </c>
      <c r="AN7667" s="21">
        <v>-122.391823233333</v>
      </c>
      <c r="AO7667" s="21">
        <v>37.770951816666603</v>
      </c>
      <c r="AP7667" s="21" t="s">
        <v>1915</v>
      </c>
    </row>
    <row r="7668" spans="1:42">
      <c r="A7668" s="20">
        <v>43843</v>
      </c>
      <c r="B7668" s="21">
        <v>1</v>
      </c>
      <c r="C7668" s="21">
        <v>507</v>
      </c>
      <c r="D7668" s="21">
        <v>11442</v>
      </c>
      <c r="E7668" t="s">
        <v>377</v>
      </c>
      <c r="F7668" s="21" t="s">
        <v>38</v>
      </c>
      <c r="G7668" s="21">
        <v>1</v>
      </c>
      <c r="H7668" s="21">
        <v>54</v>
      </c>
      <c r="I7668" s="23" t="s">
        <v>3479</v>
      </c>
      <c r="J7668" s="21"/>
      <c r="K7668" s="21" t="s">
        <v>3480</v>
      </c>
      <c r="L7668" s="21"/>
      <c r="M7668" s="21"/>
      <c r="N7668" s="21" t="s">
        <v>40</v>
      </c>
      <c r="O7668" s="21">
        <f>60+15</f>
        <v>75</v>
      </c>
      <c r="P7668" s="21"/>
      <c r="Q7668" s="21">
        <f t="shared" si="145"/>
        <v>1</v>
      </c>
      <c r="R7668" s="21">
        <v>1</v>
      </c>
      <c r="S7668" s="21">
        <v>0</v>
      </c>
      <c r="T7668" s="21">
        <v>0</v>
      </c>
      <c r="U7668" s="21">
        <v>0</v>
      </c>
      <c r="V7668" s="21">
        <v>0</v>
      </c>
      <c r="W7668" s="21">
        <v>0</v>
      </c>
      <c r="X7668" s="21">
        <v>0</v>
      </c>
      <c r="Y7668" s="21">
        <v>0</v>
      </c>
      <c r="Z7668" s="21">
        <v>0</v>
      </c>
      <c r="AA7668" s="21">
        <v>0</v>
      </c>
      <c r="AB7668" s="21">
        <v>0</v>
      </c>
      <c r="AC7668" s="21">
        <v>1</v>
      </c>
      <c r="AD7668" s="21">
        <v>0</v>
      </c>
      <c r="AE7668" s="21">
        <v>0</v>
      </c>
      <c r="AF7668" s="21">
        <v>0</v>
      </c>
      <c r="AG7668" s="21">
        <v>0</v>
      </c>
      <c r="AH7668" s="21">
        <f t="shared" si="146"/>
        <v>0</v>
      </c>
      <c r="AI7668" s="21"/>
      <c r="AJ7668" s="21"/>
      <c r="AK7668" s="21"/>
      <c r="AL7668" s="21"/>
      <c r="AM7668" s="21" t="s">
        <v>3481</v>
      </c>
      <c r="AN7668" s="21">
        <v>-122.39899073333299</v>
      </c>
      <c r="AO7668" s="21">
        <v>37.771347116666703</v>
      </c>
      <c r="AP7668" s="21" t="s">
        <v>1915</v>
      </c>
    </row>
    <row r="7669" spans="1:42">
      <c r="A7669" s="20">
        <v>43843</v>
      </c>
      <c r="B7669" s="21">
        <v>1</v>
      </c>
      <c r="C7669" s="21">
        <v>507</v>
      </c>
      <c r="D7669" s="21">
        <v>11442</v>
      </c>
      <c r="E7669" t="s">
        <v>377</v>
      </c>
      <c r="F7669" s="21" t="s">
        <v>38</v>
      </c>
      <c r="G7669" s="21">
        <v>1</v>
      </c>
      <c r="H7669" s="21">
        <v>55</v>
      </c>
      <c r="I7669" s="23" t="s">
        <v>3479</v>
      </c>
      <c r="J7669" s="21"/>
      <c r="K7669" s="21" t="s">
        <v>3482</v>
      </c>
      <c r="L7669" s="21"/>
      <c r="M7669" s="21"/>
      <c r="N7669" s="21" t="s">
        <v>40</v>
      </c>
      <c r="O7669" s="21">
        <v>42</v>
      </c>
      <c r="P7669" s="21"/>
      <c r="Q7669" s="21">
        <f t="shared" si="145"/>
        <v>1</v>
      </c>
      <c r="R7669" s="21">
        <v>1</v>
      </c>
      <c r="S7669" s="21">
        <v>0</v>
      </c>
      <c r="T7669" s="21">
        <v>0</v>
      </c>
      <c r="U7669" s="21">
        <v>0</v>
      </c>
      <c r="V7669" s="21">
        <v>0</v>
      </c>
      <c r="W7669" s="21">
        <v>0</v>
      </c>
      <c r="X7669" s="21">
        <v>0</v>
      </c>
      <c r="Y7669" s="21">
        <v>0</v>
      </c>
      <c r="Z7669" s="21">
        <v>0</v>
      </c>
      <c r="AA7669" s="21">
        <v>1</v>
      </c>
      <c r="AB7669" s="21">
        <v>0</v>
      </c>
      <c r="AC7669" s="21">
        <v>0</v>
      </c>
      <c r="AD7669" s="21">
        <v>0</v>
      </c>
      <c r="AE7669" s="21">
        <v>0</v>
      </c>
      <c r="AF7669" s="21">
        <v>0</v>
      </c>
      <c r="AG7669" s="21">
        <v>0</v>
      </c>
      <c r="AH7669" s="21">
        <f t="shared" si="146"/>
        <v>0</v>
      </c>
      <c r="AI7669" s="21"/>
      <c r="AJ7669" s="21"/>
      <c r="AK7669" s="21"/>
      <c r="AL7669" s="21"/>
      <c r="AM7669" s="21" t="s">
        <v>3483</v>
      </c>
      <c r="AN7669" s="21">
        <v>-122.393704383333</v>
      </c>
      <c r="AO7669" s="21">
        <v>37.775555033333298</v>
      </c>
      <c r="AP7669" s="21" t="s">
        <v>1915</v>
      </c>
    </row>
    <row r="7670" spans="1:42">
      <c r="A7670" s="20">
        <v>43843</v>
      </c>
      <c r="B7670" s="21">
        <v>1</v>
      </c>
      <c r="C7670" s="21">
        <v>507</v>
      </c>
      <c r="D7670" s="21">
        <v>11442</v>
      </c>
      <c r="E7670" t="s">
        <v>377</v>
      </c>
      <c r="F7670" s="21" t="s">
        <v>38</v>
      </c>
      <c r="G7670" s="21">
        <v>1</v>
      </c>
      <c r="H7670" s="21">
        <v>56</v>
      </c>
      <c r="I7670" s="23" t="s">
        <v>3471</v>
      </c>
      <c r="J7670" s="21"/>
      <c r="K7670" s="21" t="s">
        <v>535</v>
      </c>
      <c r="L7670" s="21"/>
      <c r="M7670" s="21"/>
      <c r="N7670" s="21" t="s">
        <v>40</v>
      </c>
      <c r="O7670" s="21">
        <f>60+35</f>
        <v>95</v>
      </c>
      <c r="P7670" s="21"/>
      <c r="Q7670" s="21">
        <f t="shared" si="145"/>
        <v>1</v>
      </c>
      <c r="R7670" s="21">
        <v>1</v>
      </c>
      <c r="S7670" s="21">
        <v>0</v>
      </c>
      <c r="T7670" s="21">
        <v>0</v>
      </c>
      <c r="U7670" s="21">
        <v>0</v>
      </c>
      <c r="V7670" s="21">
        <v>0</v>
      </c>
      <c r="W7670" s="21">
        <v>0</v>
      </c>
      <c r="X7670" s="21">
        <v>0</v>
      </c>
      <c r="Y7670" s="21">
        <v>0</v>
      </c>
      <c r="Z7670" s="21">
        <v>0</v>
      </c>
      <c r="AA7670" s="21">
        <v>0</v>
      </c>
      <c r="AB7670" s="21">
        <v>0</v>
      </c>
      <c r="AC7670" s="21">
        <v>1</v>
      </c>
      <c r="AD7670" s="21">
        <v>0</v>
      </c>
      <c r="AE7670" s="21">
        <v>0</v>
      </c>
      <c r="AF7670" s="21">
        <v>0</v>
      </c>
      <c r="AG7670" s="21">
        <v>0</v>
      </c>
      <c r="AH7670" s="21">
        <f t="shared" si="146"/>
        <v>0</v>
      </c>
      <c r="AI7670" s="21"/>
      <c r="AJ7670" s="21"/>
      <c r="AK7670" s="21"/>
      <c r="AL7670" s="21"/>
      <c r="AM7670" s="21" t="s">
        <v>3484</v>
      </c>
      <c r="AN7670" s="21">
        <v>-122.392238166667</v>
      </c>
      <c r="AO7670" s="21">
        <v>37.776661883333297</v>
      </c>
      <c r="AP7670" s="21" t="s">
        <v>1915</v>
      </c>
    </row>
    <row r="7671" spans="1:42">
      <c r="A7671" s="20">
        <v>43843</v>
      </c>
      <c r="B7671" s="21">
        <v>1</v>
      </c>
      <c r="C7671" s="21">
        <v>507</v>
      </c>
      <c r="D7671" s="21">
        <v>11442</v>
      </c>
      <c r="E7671" t="s">
        <v>377</v>
      </c>
      <c r="F7671" s="21" t="s">
        <v>38</v>
      </c>
      <c r="G7671" s="21">
        <v>1</v>
      </c>
      <c r="H7671" s="21">
        <v>57</v>
      </c>
      <c r="I7671" s="23" t="s">
        <v>3186</v>
      </c>
      <c r="J7671" s="21"/>
      <c r="K7671" s="21" t="s">
        <v>535</v>
      </c>
      <c r="L7671" s="21"/>
      <c r="M7671" s="21"/>
      <c r="N7671" s="21" t="s">
        <v>44</v>
      </c>
      <c r="O7671" s="21">
        <f>60+60+23</f>
        <v>143</v>
      </c>
      <c r="P7671" s="21"/>
      <c r="Q7671" s="21">
        <f t="shared" si="145"/>
        <v>1</v>
      </c>
      <c r="R7671" s="21">
        <v>1</v>
      </c>
      <c r="S7671" s="21">
        <v>0</v>
      </c>
      <c r="T7671" s="21">
        <v>0</v>
      </c>
      <c r="U7671" s="21">
        <v>0</v>
      </c>
      <c r="V7671" s="21">
        <v>0</v>
      </c>
      <c r="W7671" s="21">
        <v>0</v>
      </c>
      <c r="X7671" s="21">
        <v>0</v>
      </c>
      <c r="Y7671" s="21">
        <v>1</v>
      </c>
      <c r="Z7671" s="21">
        <v>0</v>
      </c>
      <c r="AA7671" s="21">
        <v>0</v>
      </c>
      <c r="AB7671" s="21">
        <v>0</v>
      </c>
      <c r="AC7671" s="21">
        <v>0</v>
      </c>
      <c r="AD7671" s="21">
        <v>0</v>
      </c>
      <c r="AE7671" s="21">
        <v>0</v>
      </c>
      <c r="AF7671" s="21">
        <v>0</v>
      </c>
      <c r="AG7671" s="21">
        <v>0</v>
      </c>
      <c r="AH7671" s="21">
        <f t="shared" si="146"/>
        <v>0</v>
      </c>
      <c r="AI7671" s="21"/>
      <c r="AJ7671" s="21"/>
      <c r="AK7671" s="21"/>
      <c r="AL7671" s="21" t="s">
        <v>3485</v>
      </c>
      <c r="AM7671" s="21" t="s">
        <v>3486</v>
      </c>
      <c r="AN7671" s="21">
        <v>-122.39169313333301</v>
      </c>
      <c r="AO7671" s="21">
        <v>37.7769181166666</v>
      </c>
      <c r="AP7671" s="21" t="s">
        <v>1915</v>
      </c>
    </row>
    <row r="7672" spans="1:42">
      <c r="A7672" s="20">
        <v>43851</v>
      </c>
      <c r="B7672" s="21">
        <v>2</v>
      </c>
      <c r="C7672" s="21">
        <v>532</v>
      </c>
      <c r="D7672" s="21">
        <v>11277</v>
      </c>
      <c r="E7672" t="s">
        <v>377</v>
      </c>
      <c r="F7672" s="21" t="s">
        <v>520</v>
      </c>
      <c r="G7672" s="21">
        <v>1</v>
      </c>
      <c r="H7672" s="21">
        <v>1</v>
      </c>
      <c r="I7672" s="23" t="s">
        <v>3487</v>
      </c>
      <c r="J7672" s="21"/>
      <c r="K7672" s="21" t="s">
        <v>1985</v>
      </c>
      <c r="L7672" s="21"/>
      <c r="M7672" s="21"/>
      <c r="N7672" s="21" t="s">
        <v>44</v>
      </c>
      <c r="O7672" s="21">
        <f>60+60+35</f>
        <v>155</v>
      </c>
      <c r="P7672" s="21"/>
      <c r="Q7672" s="21">
        <f t="shared" si="145"/>
        <v>1</v>
      </c>
      <c r="R7672" s="21">
        <v>1</v>
      </c>
      <c r="S7672" s="21">
        <v>0</v>
      </c>
      <c r="T7672" s="21">
        <v>0</v>
      </c>
      <c r="U7672" s="21">
        <v>0</v>
      </c>
      <c r="V7672" s="21">
        <v>0</v>
      </c>
      <c r="W7672" s="21">
        <v>0</v>
      </c>
      <c r="X7672" s="21">
        <v>0</v>
      </c>
      <c r="Y7672" s="21">
        <v>0</v>
      </c>
      <c r="Z7672" s="21">
        <v>0</v>
      </c>
      <c r="AA7672" s="21">
        <v>0</v>
      </c>
      <c r="AB7672" s="21">
        <v>0</v>
      </c>
      <c r="AC7672" s="21">
        <v>1</v>
      </c>
      <c r="AD7672" s="21">
        <v>0</v>
      </c>
      <c r="AE7672" s="21">
        <v>0</v>
      </c>
      <c r="AF7672" s="21">
        <v>0</v>
      </c>
      <c r="AG7672" s="21">
        <v>0</v>
      </c>
      <c r="AH7672" s="21">
        <f t="shared" si="146"/>
        <v>0</v>
      </c>
      <c r="AI7672" s="21"/>
      <c r="AJ7672" s="21" t="s">
        <v>51</v>
      </c>
      <c r="AK7672" s="21" t="s">
        <v>95</v>
      </c>
      <c r="AL7672" s="21" t="s">
        <v>3488</v>
      </c>
      <c r="AM7672" s="21" t="s">
        <v>3489</v>
      </c>
      <c r="AN7672" s="21">
        <v>-122.40530826666701</v>
      </c>
      <c r="AO7672" s="21">
        <v>37.784932750000003</v>
      </c>
      <c r="AP7672" s="21" t="s">
        <v>1915</v>
      </c>
    </row>
    <row r="7673" spans="1:42">
      <c r="A7673" s="20">
        <v>43851</v>
      </c>
      <c r="B7673" s="21">
        <v>2</v>
      </c>
      <c r="C7673" s="21">
        <v>532</v>
      </c>
      <c r="D7673" s="21">
        <v>11277</v>
      </c>
      <c r="E7673" t="s">
        <v>377</v>
      </c>
      <c r="F7673" s="21" t="s">
        <v>520</v>
      </c>
      <c r="G7673" s="21">
        <v>1</v>
      </c>
      <c r="H7673" s="21">
        <v>2</v>
      </c>
      <c r="I7673" s="23" t="s">
        <v>3490</v>
      </c>
      <c r="J7673" s="21"/>
      <c r="K7673" s="21" t="s">
        <v>73</v>
      </c>
      <c r="L7673" s="21"/>
      <c r="M7673" s="21"/>
      <c r="N7673" s="21" t="s">
        <v>44</v>
      </c>
      <c r="O7673" s="21">
        <f>60+51</f>
        <v>111</v>
      </c>
      <c r="P7673" s="21"/>
      <c r="Q7673" s="21">
        <f t="shared" si="145"/>
        <v>1</v>
      </c>
      <c r="R7673" s="21">
        <v>1</v>
      </c>
      <c r="S7673" s="21">
        <v>0</v>
      </c>
      <c r="T7673" s="21">
        <v>0</v>
      </c>
      <c r="U7673" s="21">
        <v>0</v>
      </c>
      <c r="V7673" s="21">
        <v>0</v>
      </c>
      <c r="W7673" s="21">
        <v>0</v>
      </c>
      <c r="X7673" s="21">
        <v>0</v>
      </c>
      <c r="Y7673" s="21">
        <v>0</v>
      </c>
      <c r="Z7673" s="21">
        <v>0</v>
      </c>
      <c r="AA7673" s="21">
        <v>0</v>
      </c>
      <c r="AB7673" s="21">
        <v>0</v>
      </c>
      <c r="AC7673" s="21">
        <v>1</v>
      </c>
      <c r="AD7673" s="21">
        <v>0</v>
      </c>
      <c r="AE7673" s="21">
        <v>0</v>
      </c>
      <c r="AF7673" s="21">
        <v>0</v>
      </c>
      <c r="AG7673" s="21">
        <v>0</v>
      </c>
      <c r="AH7673" s="21">
        <f t="shared" si="146"/>
        <v>0</v>
      </c>
      <c r="AI7673" s="21"/>
      <c r="AJ7673" s="21"/>
      <c r="AK7673" s="21"/>
      <c r="AL7673" s="21" t="s">
        <v>401</v>
      </c>
      <c r="AM7673" s="21" t="s">
        <v>3491</v>
      </c>
      <c r="AN7673" s="21">
        <v>-122.4052602</v>
      </c>
      <c r="AO7673" s="21">
        <v>37.785040416666703</v>
      </c>
      <c r="AP7673" s="21" t="s">
        <v>1915</v>
      </c>
    </row>
    <row r="7674" spans="1:42">
      <c r="A7674" s="20">
        <v>43851</v>
      </c>
      <c r="B7674" s="21">
        <v>2</v>
      </c>
      <c r="C7674" s="21">
        <v>532</v>
      </c>
      <c r="D7674" s="21">
        <v>11277</v>
      </c>
      <c r="E7674" t="s">
        <v>377</v>
      </c>
      <c r="F7674" s="21" t="s">
        <v>520</v>
      </c>
      <c r="G7674" s="21">
        <v>1</v>
      </c>
      <c r="H7674" s="21">
        <v>3</v>
      </c>
      <c r="I7674" s="23" t="s">
        <v>3492</v>
      </c>
      <c r="J7674" s="21"/>
      <c r="K7674" s="21" t="s">
        <v>406</v>
      </c>
      <c r="L7674" s="21"/>
      <c r="M7674" s="21"/>
      <c r="N7674" s="21" t="s">
        <v>44</v>
      </c>
      <c r="O7674" s="21">
        <v>56</v>
      </c>
      <c r="P7674" s="21"/>
      <c r="Q7674" s="21">
        <f t="shared" si="145"/>
        <v>1</v>
      </c>
      <c r="R7674" s="21">
        <v>1</v>
      </c>
      <c r="S7674" s="21">
        <v>0</v>
      </c>
      <c r="T7674" s="21">
        <v>0</v>
      </c>
      <c r="U7674" s="21">
        <v>0</v>
      </c>
      <c r="V7674" s="21">
        <v>0</v>
      </c>
      <c r="W7674" s="21">
        <v>0</v>
      </c>
      <c r="X7674" s="21">
        <v>0</v>
      </c>
      <c r="Y7674" s="21">
        <v>0</v>
      </c>
      <c r="Z7674" s="21">
        <v>0</v>
      </c>
      <c r="AA7674" s="21">
        <v>0</v>
      </c>
      <c r="AB7674" s="21">
        <v>0</v>
      </c>
      <c r="AC7674" s="21">
        <v>1</v>
      </c>
      <c r="AD7674" s="21">
        <v>0</v>
      </c>
      <c r="AE7674" s="21">
        <v>0</v>
      </c>
      <c r="AF7674" s="21">
        <v>0</v>
      </c>
      <c r="AG7674" s="21">
        <v>0</v>
      </c>
      <c r="AH7674" s="21">
        <f t="shared" si="146"/>
        <v>0</v>
      </c>
      <c r="AI7674" s="21"/>
      <c r="AJ7674" s="21"/>
      <c r="AK7674" s="21"/>
      <c r="AL7674" s="21" t="s">
        <v>379</v>
      </c>
      <c r="AM7674" s="21" t="s">
        <v>3493</v>
      </c>
      <c r="AN7674" s="21">
        <v>-122.405355216667</v>
      </c>
      <c r="AO7674" s="21">
        <v>37.785012950000002</v>
      </c>
      <c r="AP7674" s="21" t="s">
        <v>1915</v>
      </c>
    </row>
    <row r="7675" spans="1:42">
      <c r="A7675" s="20">
        <v>43851</v>
      </c>
      <c r="B7675" s="21">
        <v>2</v>
      </c>
      <c r="C7675" s="21">
        <v>532</v>
      </c>
      <c r="D7675" s="21">
        <v>11277</v>
      </c>
      <c r="E7675" t="s">
        <v>377</v>
      </c>
      <c r="F7675" s="21" t="s">
        <v>520</v>
      </c>
      <c r="G7675" s="21">
        <v>1</v>
      </c>
      <c r="H7675" s="21">
        <v>4</v>
      </c>
      <c r="I7675" s="23">
        <v>22</v>
      </c>
      <c r="J7675" s="21"/>
      <c r="K7675" s="21" t="s">
        <v>406</v>
      </c>
      <c r="L7675" s="21"/>
      <c r="M7675" s="21"/>
      <c r="N7675" s="21" t="s">
        <v>44</v>
      </c>
      <c r="O7675" s="21">
        <f>60+1</f>
        <v>61</v>
      </c>
      <c r="P7675" s="21"/>
      <c r="Q7675" s="21">
        <f t="shared" si="145"/>
        <v>1</v>
      </c>
      <c r="R7675" s="21">
        <v>1</v>
      </c>
      <c r="S7675" s="21">
        <v>0</v>
      </c>
      <c r="T7675" s="21">
        <v>0</v>
      </c>
      <c r="U7675" s="21">
        <v>0</v>
      </c>
      <c r="V7675" s="21">
        <v>0</v>
      </c>
      <c r="W7675" s="21">
        <v>1</v>
      </c>
      <c r="X7675" s="21">
        <v>0</v>
      </c>
      <c r="Y7675" s="21">
        <v>0</v>
      </c>
      <c r="Z7675" s="21">
        <v>0</v>
      </c>
      <c r="AA7675" s="21">
        <v>0</v>
      </c>
      <c r="AB7675" s="21">
        <v>0</v>
      </c>
      <c r="AC7675" s="21">
        <v>0</v>
      </c>
      <c r="AD7675" s="21">
        <v>0</v>
      </c>
      <c r="AE7675" s="21">
        <v>0</v>
      </c>
      <c r="AF7675" s="21">
        <v>0</v>
      </c>
      <c r="AG7675" s="21">
        <v>0</v>
      </c>
      <c r="AH7675" s="21">
        <f t="shared" si="146"/>
        <v>96</v>
      </c>
      <c r="AI7675" s="21"/>
      <c r="AJ7675" s="21"/>
      <c r="AK7675" s="21"/>
      <c r="AL7675" s="21"/>
      <c r="AM7675" s="21" t="s">
        <v>3494</v>
      </c>
      <c r="AN7675" s="21">
        <v>-122.40536985</v>
      </c>
      <c r="AO7675" s="21">
        <v>37.784993633333301</v>
      </c>
      <c r="AP7675" s="21" t="s">
        <v>1915</v>
      </c>
    </row>
    <row r="7676" spans="1:42">
      <c r="A7676" s="20">
        <v>43851</v>
      </c>
      <c r="B7676" s="21">
        <v>2</v>
      </c>
      <c r="C7676" s="21">
        <v>532</v>
      </c>
      <c r="D7676" s="21">
        <v>11277</v>
      </c>
      <c r="E7676" t="s">
        <v>377</v>
      </c>
      <c r="F7676" s="21" t="s">
        <v>520</v>
      </c>
      <c r="G7676" s="21">
        <v>1</v>
      </c>
      <c r="H7676" s="21">
        <v>5</v>
      </c>
      <c r="I7676" s="23" t="s">
        <v>3495</v>
      </c>
      <c r="J7676" s="21"/>
      <c r="K7676" s="21" t="s">
        <v>406</v>
      </c>
      <c r="L7676" s="21"/>
      <c r="M7676" s="21"/>
      <c r="N7676" s="21" t="s">
        <v>44</v>
      </c>
      <c r="O7676" s="21">
        <f>60+21</f>
        <v>81</v>
      </c>
      <c r="P7676" s="21"/>
      <c r="Q7676" s="21">
        <f t="shared" si="145"/>
        <v>1</v>
      </c>
      <c r="R7676" s="21">
        <v>1</v>
      </c>
      <c r="S7676" s="21">
        <v>0</v>
      </c>
      <c r="T7676" s="21">
        <v>0</v>
      </c>
      <c r="U7676" s="21">
        <v>0</v>
      </c>
      <c r="V7676" s="21">
        <v>0</v>
      </c>
      <c r="W7676" s="21">
        <v>1</v>
      </c>
      <c r="X7676" s="21">
        <v>0</v>
      </c>
      <c r="Y7676" s="21">
        <v>0</v>
      </c>
      <c r="Z7676" s="21">
        <v>0</v>
      </c>
      <c r="AA7676" s="21">
        <v>0</v>
      </c>
      <c r="AB7676" s="21">
        <v>0</v>
      </c>
      <c r="AC7676" s="21">
        <v>0</v>
      </c>
      <c r="AD7676" s="21">
        <v>0</v>
      </c>
      <c r="AE7676" s="21">
        <v>0</v>
      </c>
      <c r="AF7676" s="21">
        <v>0</v>
      </c>
      <c r="AG7676" s="21">
        <v>0</v>
      </c>
      <c r="AH7676" s="21">
        <f t="shared" si="146"/>
        <v>96</v>
      </c>
      <c r="AI7676" s="21"/>
      <c r="AJ7676" s="21"/>
      <c r="AK7676" s="21"/>
      <c r="AL7676" s="21" t="s">
        <v>3496</v>
      </c>
      <c r="AM7676" s="21" t="s">
        <v>3497</v>
      </c>
      <c r="AN7676" s="21">
        <v>-122.405283716667</v>
      </c>
      <c r="AO7676" s="21">
        <v>37.784931</v>
      </c>
      <c r="AP7676" s="21" t="s">
        <v>1915</v>
      </c>
    </row>
    <row r="7677" spans="1:42">
      <c r="A7677" s="20">
        <v>43851</v>
      </c>
      <c r="B7677" s="21">
        <v>2</v>
      </c>
      <c r="C7677" s="21">
        <v>532</v>
      </c>
      <c r="D7677" s="21">
        <v>11277</v>
      </c>
      <c r="E7677" t="s">
        <v>377</v>
      </c>
      <c r="F7677" s="21" t="s">
        <v>520</v>
      </c>
      <c r="G7677" s="21">
        <v>1</v>
      </c>
      <c r="H7677" s="21">
        <v>6</v>
      </c>
      <c r="I7677" s="23" t="s">
        <v>3498</v>
      </c>
      <c r="J7677" s="21"/>
      <c r="K7677" s="21" t="s">
        <v>406</v>
      </c>
      <c r="L7677" s="21"/>
      <c r="M7677" s="21"/>
      <c r="N7677" s="21" t="s">
        <v>44</v>
      </c>
      <c r="O7677" s="21">
        <v>121</v>
      </c>
      <c r="P7677" s="21"/>
      <c r="Q7677" s="21">
        <f t="shared" si="145"/>
        <v>1</v>
      </c>
      <c r="R7677" s="21">
        <v>1</v>
      </c>
      <c r="S7677" s="21">
        <v>0</v>
      </c>
      <c r="T7677" s="21">
        <v>0</v>
      </c>
      <c r="U7677" s="21">
        <v>0</v>
      </c>
      <c r="V7677" s="21">
        <v>0</v>
      </c>
      <c r="W7677" s="21">
        <v>0</v>
      </c>
      <c r="X7677" s="21">
        <v>0</v>
      </c>
      <c r="Y7677" s="21">
        <v>0</v>
      </c>
      <c r="Z7677" s="21">
        <v>0</v>
      </c>
      <c r="AA7677" s="21">
        <v>0</v>
      </c>
      <c r="AB7677" s="21">
        <v>1</v>
      </c>
      <c r="AC7677" s="21">
        <v>0</v>
      </c>
      <c r="AD7677" s="21">
        <v>0</v>
      </c>
      <c r="AE7677" s="21">
        <v>0</v>
      </c>
      <c r="AF7677" s="21">
        <v>0</v>
      </c>
      <c r="AG7677" s="21">
        <v>0</v>
      </c>
      <c r="AH7677" s="21">
        <f t="shared" si="146"/>
        <v>0</v>
      </c>
      <c r="AI7677" s="21"/>
      <c r="AJ7677" s="21"/>
      <c r="AK7677" s="21"/>
      <c r="AL7677" s="21" t="s">
        <v>3499</v>
      </c>
      <c r="AM7677" s="21" t="s">
        <v>3500</v>
      </c>
      <c r="AN7677" s="21">
        <v>-122.40511859999999</v>
      </c>
      <c r="AO7677" s="21">
        <v>37.7848507</v>
      </c>
      <c r="AP7677" s="21" t="s">
        <v>1915</v>
      </c>
    </row>
    <row r="7678" spans="1:42">
      <c r="A7678" s="20">
        <v>43851</v>
      </c>
      <c r="B7678" s="21">
        <v>2</v>
      </c>
      <c r="C7678" s="21">
        <v>532</v>
      </c>
      <c r="D7678" s="21">
        <v>11277</v>
      </c>
      <c r="E7678" t="s">
        <v>377</v>
      </c>
      <c r="F7678" s="21" t="s">
        <v>520</v>
      </c>
      <c r="G7678" s="21">
        <v>1</v>
      </c>
      <c r="H7678" s="21">
        <v>7</v>
      </c>
      <c r="I7678" s="23" t="s">
        <v>3501</v>
      </c>
      <c r="J7678" s="21"/>
      <c r="K7678" s="21" t="s">
        <v>501</v>
      </c>
      <c r="L7678" s="21"/>
      <c r="M7678" s="21"/>
      <c r="N7678" s="21" t="s">
        <v>40</v>
      </c>
      <c r="O7678" s="21">
        <f>60+28</f>
        <v>88</v>
      </c>
      <c r="P7678" s="21"/>
      <c r="Q7678" s="21">
        <f t="shared" si="145"/>
        <v>1</v>
      </c>
      <c r="R7678" s="21">
        <v>1</v>
      </c>
      <c r="S7678" s="21">
        <v>0</v>
      </c>
      <c r="T7678" s="21">
        <v>0</v>
      </c>
      <c r="U7678" s="21">
        <v>0</v>
      </c>
      <c r="V7678" s="21">
        <v>0</v>
      </c>
      <c r="W7678" s="21">
        <v>0</v>
      </c>
      <c r="X7678" s="21">
        <v>0</v>
      </c>
      <c r="Y7678" s="21">
        <v>0</v>
      </c>
      <c r="Z7678" s="21">
        <v>0</v>
      </c>
      <c r="AA7678" s="21">
        <v>0</v>
      </c>
      <c r="AB7678" s="21">
        <v>0</v>
      </c>
      <c r="AC7678" s="21">
        <v>1</v>
      </c>
      <c r="AD7678" s="21">
        <v>0</v>
      </c>
      <c r="AE7678" s="21">
        <v>0</v>
      </c>
      <c r="AF7678" s="21">
        <v>0</v>
      </c>
      <c r="AG7678" s="21">
        <v>0</v>
      </c>
      <c r="AH7678" s="21">
        <f t="shared" si="146"/>
        <v>0</v>
      </c>
      <c r="AI7678" s="21"/>
      <c r="AJ7678" s="21"/>
      <c r="AK7678" s="21"/>
      <c r="AL7678" s="21" t="s">
        <v>3502</v>
      </c>
      <c r="AM7678" s="21" t="s">
        <v>3503</v>
      </c>
      <c r="AN7678" s="21">
        <v>-122.409549083333</v>
      </c>
      <c r="AO7678" s="21">
        <v>37.781326766666602</v>
      </c>
      <c r="AP7678" s="21" t="s">
        <v>1915</v>
      </c>
    </row>
    <row r="7679" spans="1:42">
      <c r="A7679" s="20">
        <v>43851</v>
      </c>
      <c r="B7679" s="21">
        <v>2</v>
      </c>
      <c r="C7679" s="21">
        <v>532</v>
      </c>
      <c r="D7679" s="21">
        <v>11277</v>
      </c>
      <c r="E7679" t="s">
        <v>377</v>
      </c>
      <c r="F7679" s="21" t="s">
        <v>520</v>
      </c>
      <c r="G7679" s="21">
        <v>1</v>
      </c>
      <c r="H7679" s="21">
        <v>9</v>
      </c>
      <c r="I7679" s="23" t="s">
        <v>3504</v>
      </c>
      <c r="J7679" s="21"/>
      <c r="K7679" t="s">
        <v>102</v>
      </c>
      <c r="L7679" s="21"/>
      <c r="M7679" s="21"/>
      <c r="N7679" s="21" t="s">
        <v>40</v>
      </c>
      <c r="O7679" s="21">
        <f>60+48</f>
        <v>108</v>
      </c>
      <c r="P7679" s="21"/>
      <c r="Q7679" s="21">
        <f t="shared" si="145"/>
        <v>2</v>
      </c>
      <c r="R7679" s="21">
        <v>1</v>
      </c>
      <c r="S7679" s="21">
        <v>0</v>
      </c>
      <c r="T7679" s="21">
        <v>0</v>
      </c>
      <c r="U7679" s="21">
        <v>0</v>
      </c>
      <c r="V7679" s="21">
        <v>0</v>
      </c>
      <c r="W7679" s="21">
        <v>0</v>
      </c>
      <c r="X7679" s="21">
        <v>0</v>
      </c>
      <c r="Y7679" s="21">
        <v>0</v>
      </c>
      <c r="Z7679" s="21">
        <v>0</v>
      </c>
      <c r="AA7679" s="21">
        <v>0</v>
      </c>
      <c r="AB7679" s="21">
        <v>2</v>
      </c>
      <c r="AC7679" s="21">
        <v>0</v>
      </c>
      <c r="AD7679" s="21">
        <v>0</v>
      </c>
      <c r="AE7679" s="21">
        <v>0</v>
      </c>
      <c r="AF7679" s="21">
        <v>0</v>
      </c>
      <c r="AG7679" s="21">
        <v>0</v>
      </c>
      <c r="AH7679" s="21">
        <f t="shared" si="146"/>
        <v>0</v>
      </c>
      <c r="AI7679" s="21"/>
      <c r="AJ7679" s="21" t="s">
        <v>51</v>
      </c>
      <c r="AK7679" s="21" t="s">
        <v>95</v>
      </c>
      <c r="AL7679" s="21"/>
      <c r="AM7679" s="21" t="s">
        <v>3505</v>
      </c>
      <c r="AN7679" s="21">
        <v>-122.410049283333</v>
      </c>
      <c r="AO7679" s="21">
        <v>37.785964766666702</v>
      </c>
      <c r="AP7679" s="21" t="s">
        <v>1915</v>
      </c>
    </row>
    <row r="7680" spans="1:42">
      <c r="A7680" s="20">
        <v>43851</v>
      </c>
      <c r="B7680" s="21">
        <v>2</v>
      </c>
      <c r="C7680" s="21">
        <v>532</v>
      </c>
      <c r="D7680" s="21">
        <v>11277</v>
      </c>
      <c r="E7680" t="s">
        <v>377</v>
      </c>
      <c r="F7680" s="21" t="s">
        <v>520</v>
      </c>
      <c r="G7680" s="21">
        <v>1</v>
      </c>
      <c r="H7680" s="21">
        <v>10</v>
      </c>
      <c r="I7680" s="23" t="s">
        <v>3235</v>
      </c>
      <c r="J7680" s="21"/>
      <c r="K7680" s="21" t="s">
        <v>394</v>
      </c>
      <c r="L7680" s="21"/>
      <c r="M7680" s="21"/>
      <c r="N7680" s="21" t="s">
        <v>1703</v>
      </c>
      <c r="O7680" s="21">
        <f>60+60+7</f>
        <v>127</v>
      </c>
      <c r="P7680" s="21"/>
      <c r="Q7680" s="21">
        <f t="shared" ref="Q7680:Q7743" si="147">SUM(S7680:AE7680)</f>
        <v>1</v>
      </c>
      <c r="R7680" s="21">
        <v>1</v>
      </c>
      <c r="S7680" s="21">
        <v>0</v>
      </c>
      <c r="T7680" s="21">
        <v>0</v>
      </c>
      <c r="U7680" s="21">
        <v>0</v>
      </c>
      <c r="V7680" s="21">
        <v>0</v>
      </c>
      <c r="W7680" s="21">
        <v>0</v>
      </c>
      <c r="X7680" s="21">
        <v>0</v>
      </c>
      <c r="Y7680" s="21">
        <v>0</v>
      </c>
      <c r="Z7680" s="21">
        <v>0</v>
      </c>
      <c r="AA7680" s="21">
        <v>1</v>
      </c>
      <c r="AB7680" s="21">
        <v>0</v>
      </c>
      <c r="AC7680" s="21">
        <v>0</v>
      </c>
      <c r="AD7680" s="21">
        <v>0</v>
      </c>
      <c r="AE7680" s="21">
        <v>0</v>
      </c>
      <c r="AF7680" s="21">
        <v>0</v>
      </c>
      <c r="AG7680" s="21">
        <v>0</v>
      </c>
      <c r="AH7680" s="21">
        <f t="shared" ref="AH7680:AH7743" si="148">(S7680*16)+(T7680*20)+(U7680*32)+(V7680*64)+(W7680*96)</f>
        <v>0</v>
      </c>
      <c r="AI7680" s="21"/>
      <c r="AJ7680" s="21" t="s">
        <v>51</v>
      </c>
      <c r="AK7680" s="21" t="s">
        <v>95</v>
      </c>
      <c r="AL7680" s="21" t="s">
        <v>3506</v>
      </c>
      <c r="AM7680" s="21" t="s">
        <v>3507</v>
      </c>
      <c r="AN7680" s="21">
        <v>-122.409608816667</v>
      </c>
      <c r="AO7680" s="21">
        <v>37.780295950000003</v>
      </c>
      <c r="AP7680" s="21" t="s">
        <v>1915</v>
      </c>
    </row>
    <row r="7681" spans="1:42">
      <c r="A7681" s="20">
        <v>43851</v>
      </c>
      <c r="B7681" s="21">
        <v>2</v>
      </c>
      <c r="C7681" s="21">
        <v>532</v>
      </c>
      <c r="D7681" s="21">
        <v>11277</v>
      </c>
      <c r="E7681" t="s">
        <v>377</v>
      </c>
      <c r="F7681" s="21" t="s">
        <v>520</v>
      </c>
      <c r="G7681" s="21">
        <v>1</v>
      </c>
      <c r="H7681" s="21">
        <v>11</v>
      </c>
      <c r="I7681" s="23" t="s">
        <v>3508</v>
      </c>
      <c r="J7681" s="21"/>
      <c r="K7681" t="s">
        <v>431</v>
      </c>
      <c r="L7681" s="21"/>
      <c r="M7681" s="21"/>
      <c r="N7681" s="21" t="s">
        <v>40</v>
      </c>
      <c r="O7681" s="21">
        <v>60</v>
      </c>
      <c r="P7681" s="21"/>
      <c r="Q7681" s="21">
        <f t="shared" si="147"/>
        <v>1</v>
      </c>
      <c r="R7681" s="21">
        <v>1</v>
      </c>
      <c r="S7681" s="21">
        <v>0</v>
      </c>
      <c r="T7681" s="21">
        <v>0</v>
      </c>
      <c r="U7681" s="21">
        <v>0</v>
      </c>
      <c r="V7681" s="21">
        <v>0</v>
      </c>
      <c r="W7681" s="21">
        <v>0</v>
      </c>
      <c r="X7681" s="21">
        <v>0</v>
      </c>
      <c r="Y7681" s="21">
        <v>0</v>
      </c>
      <c r="Z7681" s="21">
        <v>0</v>
      </c>
      <c r="AA7681" s="21">
        <v>0</v>
      </c>
      <c r="AB7681" s="21">
        <v>0</v>
      </c>
      <c r="AC7681" s="21">
        <v>1</v>
      </c>
      <c r="AD7681" s="21">
        <v>0</v>
      </c>
      <c r="AE7681" s="21">
        <v>0</v>
      </c>
      <c r="AF7681" s="21">
        <v>0</v>
      </c>
      <c r="AG7681" s="21">
        <v>0</v>
      </c>
      <c r="AH7681" s="21">
        <f t="shared" si="148"/>
        <v>0</v>
      </c>
      <c r="AI7681" s="21"/>
      <c r="AJ7681" s="21" t="s">
        <v>51</v>
      </c>
      <c r="AK7681" s="21" t="s">
        <v>95</v>
      </c>
      <c r="AL7681" s="21" t="s">
        <v>3509</v>
      </c>
      <c r="AM7681" s="21" t="s">
        <v>3510</v>
      </c>
      <c r="AN7681" s="21">
        <v>-122.41609131666701</v>
      </c>
      <c r="AO7681" s="21">
        <v>37.780689933333299</v>
      </c>
      <c r="AP7681" s="21" t="s">
        <v>1915</v>
      </c>
    </row>
    <row r="7682" spans="1:42">
      <c r="A7682" s="20">
        <v>43851</v>
      </c>
      <c r="B7682" s="21">
        <v>2</v>
      </c>
      <c r="C7682" s="21">
        <v>532</v>
      </c>
      <c r="D7682" s="21">
        <v>11277</v>
      </c>
      <c r="E7682" t="s">
        <v>377</v>
      </c>
      <c r="F7682" s="21" t="s">
        <v>520</v>
      </c>
      <c r="G7682" s="21">
        <v>1</v>
      </c>
      <c r="H7682" s="21">
        <v>12</v>
      </c>
      <c r="I7682" s="23" t="s">
        <v>3511</v>
      </c>
      <c r="J7682" s="21"/>
      <c r="K7682" s="21" t="s">
        <v>430</v>
      </c>
      <c r="L7682" s="21"/>
      <c r="M7682" s="21"/>
      <c r="N7682" s="21" t="s">
        <v>44</v>
      </c>
      <c r="O7682" s="21">
        <f>60+60+60+5</f>
        <v>185</v>
      </c>
      <c r="P7682" s="21"/>
      <c r="Q7682" s="21">
        <f t="shared" si="147"/>
        <v>1</v>
      </c>
      <c r="R7682" s="21">
        <v>1</v>
      </c>
      <c r="S7682" s="21">
        <v>0</v>
      </c>
      <c r="T7682" s="21">
        <v>0</v>
      </c>
      <c r="U7682" s="21">
        <v>0</v>
      </c>
      <c r="V7682" s="21">
        <v>0</v>
      </c>
      <c r="W7682" s="21">
        <v>0</v>
      </c>
      <c r="X7682" s="21">
        <v>0</v>
      </c>
      <c r="Y7682" s="21">
        <v>0</v>
      </c>
      <c r="Z7682" s="21">
        <v>0</v>
      </c>
      <c r="AA7682" s="21">
        <v>0</v>
      </c>
      <c r="AB7682" s="21">
        <v>1</v>
      </c>
      <c r="AC7682" s="21">
        <v>0</v>
      </c>
      <c r="AD7682" s="21">
        <v>0</v>
      </c>
      <c r="AE7682" s="21">
        <v>0</v>
      </c>
      <c r="AF7682" s="21">
        <v>0</v>
      </c>
      <c r="AG7682" s="21">
        <v>0</v>
      </c>
      <c r="AH7682" s="21">
        <f t="shared" si="148"/>
        <v>0</v>
      </c>
      <c r="AI7682" s="21"/>
      <c r="AJ7682" s="21"/>
      <c r="AK7682" s="21"/>
      <c r="AL7682" s="21" t="s">
        <v>3512</v>
      </c>
      <c r="AM7682" s="21" t="s">
        <v>3513</v>
      </c>
      <c r="AN7682" s="21">
        <v>-122.415369183333</v>
      </c>
      <c r="AO7682" s="21">
        <v>37.780219733333297</v>
      </c>
      <c r="AP7682" s="21" t="s">
        <v>1915</v>
      </c>
    </row>
    <row r="7683" spans="1:42">
      <c r="A7683" s="20">
        <v>43851</v>
      </c>
      <c r="B7683" s="21">
        <v>2</v>
      </c>
      <c r="C7683" s="21">
        <v>532</v>
      </c>
      <c r="D7683" s="21">
        <v>11277</v>
      </c>
      <c r="E7683" t="s">
        <v>377</v>
      </c>
      <c r="F7683" s="21" t="s">
        <v>520</v>
      </c>
      <c r="G7683" s="21">
        <v>1</v>
      </c>
      <c r="H7683" s="21">
        <v>13</v>
      </c>
      <c r="I7683" s="23" t="s">
        <v>3410</v>
      </c>
      <c r="J7683" s="21"/>
      <c r="K7683" s="21" t="s">
        <v>3514</v>
      </c>
      <c r="L7683" s="21"/>
      <c r="M7683" s="21"/>
      <c r="N7683" s="21" t="s">
        <v>44</v>
      </c>
      <c r="O7683" s="21">
        <f>60+60+60+60+54</f>
        <v>294</v>
      </c>
      <c r="P7683" s="21"/>
      <c r="Q7683" s="21">
        <f t="shared" si="147"/>
        <v>2</v>
      </c>
      <c r="R7683" s="21">
        <v>1</v>
      </c>
      <c r="S7683" s="21">
        <v>0</v>
      </c>
      <c r="T7683" s="21">
        <v>0</v>
      </c>
      <c r="U7683" s="21">
        <v>0</v>
      </c>
      <c r="V7683" s="21">
        <v>0</v>
      </c>
      <c r="W7683" s="21">
        <v>0</v>
      </c>
      <c r="X7683" s="21">
        <v>0</v>
      </c>
      <c r="Y7683" s="21">
        <v>0</v>
      </c>
      <c r="Z7683" s="21">
        <v>0</v>
      </c>
      <c r="AA7683" s="21">
        <v>1</v>
      </c>
      <c r="AB7683" s="21">
        <v>0</v>
      </c>
      <c r="AC7683" s="21">
        <v>1</v>
      </c>
      <c r="AD7683" s="21">
        <v>0</v>
      </c>
      <c r="AE7683" s="21">
        <v>0</v>
      </c>
      <c r="AF7683" s="21">
        <v>0</v>
      </c>
      <c r="AG7683" s="21">
        <v>0</v>
      </c>
      <c r="AH7683" s="21">
        <f t="shared" si="148"/>
        <v>0</v>
      </c>
      <c r="AI7683" s="21"/>
      <c r="AJ7683" s="21"/>
      <c r="AK7683" s="21"/>
      <c r="AL7683" s="21" t="s">
        <v>3515</v>
      </c>
      <c r="AM7683" s="21" t="s">
        <v>3516</v>
      </c>
      <c r="AN7683" s="21">
        <v>-122.41526596666699</v>
      </c>
      <c r="AO7683" s="21">
        <v>37.7770984666667</v>
      </c>
      <c r="AP7683" s="21" t="s">
        <v>1915</v>
      </c>
    </row>
    <row r="7684" spans="1:42">
      <c r="A7684" s="20">
        <v>43851</v>
      </c>
      <c r="B7684" s="21">
        <v>2</v>
      </c>
      <c r="C7684" s="21">
        <v>532</v>
      </c>
      <c r="D7684" s="21">
        <v>11277</v>
      </c>
      <c r="E7684" t="s">
        <v>377</v>
      </c>
      <c r="F7684" s="21" t="s">
        <v>520</v>
      </c>
      <c r="G7684" s="21">
        <v>1</v>
      </c>
      <c r="H7684" s="21">
        <v>14</v>
      </c>
      <c r="I7684" s="23" t="s">
        <v>3186</v>
      </c>
      <c r="J7684" s="21"/>
      <c r="K7684" s="21" t="s">
        <v>415</v>
      </c>
      <c r="L7684" s="21"/>
      <c r="M7684" s="21"/>
      <c r="N7684" s="21" t="s">
        <v>1703</v>
      </c>
      <c r="O7684" s="21">
        <f>60+60+60+60+58</f>
        <v>298</v>
      </c>
      <c r="P7684" s="21"/>
      <c r="Q7684" s="21">
        <f t="shared" si="147"/>
        <v>3</v>
      </c>
      <c r="R7684" s="21">
        <v>1</v>
      </c>
      <c r="S7684" s="21">
        <v>0</v>
      </c>
      <c r="T7684" s="21">
        <v>0</v>
      </c>
      <c r="U7684" s="21">
        <v>0</v>
      </c>
      <c r="V7684" s="21">
        <v>0</v>
      </c>
      <c r="W7684" s="21">
        <v>0</v>
      </c>
      <c r="X7684" s="21">
        <v>0</v>
      </c>
      <c r="Y7684" s="21">
        <v>0</v>
      </c>
      <c r="Z7684" s="21">
        <v>0</v>
      </c>
      <c r="AA7684" s="21">
        <v>3</v>
      </c>
      <c r="AB7684" s="21">
        <v>0</v>
      </c>
      <c r="AC7684" s="21">
        <v>0</v>
      </c>
      <c r="AD7684" s="21">
        <v>0</v>
      </c>
      <c r="AE7684" s="21">
        <v>0</v>
      </c>
      <c r="AF7684" s="21">
        <v>0</v>
      </c>
      <c r="AG7684" s="21">
        <v>0</v>
      </c>
      <c r="AH7684" s="21">
        <f t="shared" si="148"/>
        <v>0</v>
      </c>
      <c r="AI7684" s="21"/>
      <c r="AJ7684" s="21" t="s">
        <v>51</v>
      </c>
      <c r="AK7684" s="21" t="s">
        <v>95</v>
      </c>
      <c r="AL7684" s="21" t="s">
        <v>3517</v>
      </c>
      <c r="AM7684" s="21" t="s">
        <v>3518</v>
      </c>
      <c r="AN7684" s="21">
        <v>-122.419414166667</v>
      </c>
      <c r="AO7684" s="21">
        <v>37.777628933333297</v>
      </c>
      <c r="AP7684" s="21" t="s">
        <v>1915</v>
      </c>
    </row>
    <row r="7685" spans="1:42">
      <c r="A7685" s="20">
        <v>43851</v>
      </c>
      <c r="B7685" s="21">
        <v>2</v>
      </c>
      <c r="C7685" s="21">
        <v>532</v>
      </c>
      <c r="D7685" s="21">
        <v>11277</v>
      </c>
      <c r="E7685" t="s">
        <v>377</v>
      </c>
      <c r="F7685" s="21" t="s">
        <v>520</v>
      </c>
      <c r="G7685" s="21">
        <v>1</v>
      </c>
      <c r="H7685" s="21">
        <v>15</v>
      </c>
      <c r="I7685" s="23" t="s">
        <v>3519</v>
      </c>
      <c r="J7685" s="21"/>
      <c r="K7685" s="21" t="s">
        <v>415</v>
      </c>
      <c r="L7685" s="21"/>
      <c r="M7685" s="21"/>
      <c r="N7685" s="21" t="s">
        <v>40</v>
      </c>
      <c r="O7685" s="21">
        <f>60+45</f>
        <v>105</v>
      </c>
      <c r="P7685" s="21"/>
      <c r="Q7685" s="21">
        <f t="shared" si="147"/>
        <v>1</v>
      </c>
      <c r="R7685" s="21">
        <v>1</v>
      </c>
      <c r="S7685" s="21">
        <v>0</v>
      </c>
      <c r="T7685" s="21">
        <v>0</v>
      </c>
      <c r="U7685" s="21">
        <v>0</v>
      </c>
      <c r="V7685" s="21">
        <v>0</v>
      </c>
      <c r="W7685" s="21">
        <v>0</v>
      </c>
      <c r="X7685" s="21">
        <v>0</v>
      </c>
      <c r="Y7685" s="21">
        <v>0</v>
      </c>
      <c r="Z7685" s="21">
        <v>0</v>
      </c>
      <c r="AA7685" s="21">
        <v>1</v>
      </c>
      <c r="AB7685" s="21">
        <v>0</v>
      </c>
      <c r="AC7685" s="21">
        <v>0</v>
      </c>
      <c r="AD7685" s="21">
        <v>0</v>
      </c>
      <c r="AE7685" s="21">
        <v>0</v>
      </c>
      <c r="AF7685" s="21">
        <v>0</v>
      </c>
      <c r="AG7685" s="21">
        <v>0</v>
      </c>
      <c r="AH7685" s="21">
        <f t="shared" si="148"/>
        <v>0</v>
      </c>
      <c r="AI7685" s="21"/>
      <c r="AJ7685" s="21"/>
      <c r="AK7685" s="21"/>
      <c r="AL7685" s="21" t="s">
        <v>379</v>
      </c>
      <c r="AM7685" s="21" t="s">
        <v>3520</v>
      </c>
      <c r="AN7685" s="21">
        <v>-122.420156116667</v>
      </c>
      <c r="AO7685" s="21">
        <v>37.7758689333333</v>
      </c>
      <c r="AP7685" s="21" t="s">
        <v>1915</v>
      </c>
    </row>
    <row r="7686" spans="1:42">
      <c r="A7686" s="20">
        <v>43851</v>
      </c>
      <c r="B7686" s="21">
        <v>2</v>
      </c>
      <c r="C7686" s="21">
        <v>532</v>
      </c>
      <c r="D7686" s="21">
        <v>11277</v>
      </c>
      <c r="E7686" t="s">
        <v>377</v>
      </c>
      <c r="F7686" s="21" t="s">
        <v>520</v>
      </c>
      <c r="G7686" s="21">
        <v>1</v>
      </c>
      <c r="H7686" s="21">
        <v>16</v>
      </c>
      <c r="I7686" s="23" t="s">
        <v>3521</v>
      </c>
      <c r="J7686" s="21"/>
      <c r="K7686" s="21" t="s">
        <v>100</v>
      </c>
      <c r="L7686" s="21"/>
      <c r="M7686" s="21"/>
      <c r="N7686" s="21" t="s">
        <v>44</v>
      </c>
      <c r="O7686" s="21">
        <f>60+60+4</f>
        <v>124</v>
      </c>
      <c r="P7686" s="21"/>
      <c r="Q7686" s="21">
        <f t="shared" si="147"/>
        <v>1</v>
      </c>
      <c r="R7686" s="21">
        <v>1</v>
      </c>
      <c r="S7686" s="21">
        <v>0</v>
      </c>
      <c r="T7686" s="21">
        <v>0</v>
      </c>
      <c r="U7686" s="21">
        <v>0</v>
      </c>
      <c r="V7686" s="21">
        <v>0</v>
      </c>
      <c r="W7686" s="21">
        <v>0</v>
      </c>
      <c r="X7686" s="21">
        <v>0</v>
      </c>
      <c r="Y7686" s="21">
        <v>0</v>
      </c>
      <c r="Z7686" s="21">
        <v>0</v>
      </c>
      <c r="AA7686" s="21">
        <v>0</v>
      </c>
      <c r="AB7686" s="21">
        <v>0</v>
      </c>
      <c r="AC7686" s="21">
        <v>1</v>
      </c>
      <c r="AD7686" s="21">
        <v>0</v>
      </c>
      <c r="AE7686" s="21">
        <v>0</v>
      </c>
      <c r="AF7686" s="21">
        <v>0</v>
      </c>
      <c r="AG7686" s="21">
        <v>0</v>
      </c>
      <c r="AH7686" s="21">
        <f t="shared" si="148"/>
        <v>0</v>
      </c>
      <c r="AI7686" s="21"/>
      <c r="AJ7686" s="21"/>
      <c r="AK7686" s="21"/>
      <c r="AL7686" s="21" t="s">
        <v>3522</v>
      </c>
      <c r="AM7686" s="21" t="s">
        <v>3523</v>
      </c>
      <c r="AN7686" s="21">
        <v>-122.42077063333301</v>
      </c>
      <c r="AO7686" s="21">
        <v>37.777280666666698</v>
      </c>
      <c r="AP7686" s="21" t="s">
        <v>1915</v>
      </c>
    </row>
    <row r="7687" spans="1:42">
      <c r="A7687" s="20">
        <v>43851</v>
      </c>
      <c r="B7687" s="21">
        <v>2</v>
      </c>
      <c r="C7687" s="21">
        <v>532</v>
      </c>
      <c r="D7687" s="21">
        <v>11277</v>
      </c>
      <c r="E7687" t="s">
        <v>377</v>
      </c>
      <c r="F7687" s="21" t="s">
        <v>520</v>
      </c>
      <c r="G7687" s="21">
        <v>1</v>
      </c>
      <c r="H7687" s="21">
        <v>18</v>
      </c>
      <c r="I7687" s="23" t="s">
        <v>3521</v>
      </c>
      <c r="J7687" s="21"/>
      <c r="K7687" s="21" t="s">
        <v>100</v>
      </c>
      <c r="L7687" s="21"/>
      <c r="M7687" s="21"/>
      <c r="N7687" s="21" t="s">
        <v>40</v>
      </c>
      <c r="O7687" s="21">
        <f>60+53</f>
        <v>113</v>
      </c>
      <c r="P7687" s="21"/>
      <c r="Q7687" s="21">
        <f t="shared" si="147"/>
        <v>1</v>
      </c>
      <c r="R7687" s="21">
        <v>1</v>
      </c>
      <c r="S7687" s="21">
        <v>0</v>
      </c>
      <c r="T7687" s="21">
        <v>0</v>
      </c>
      <c r="U7687" s="21">
        <v>0</v>
      </c>
      <c r="V7687" s="21">
        <v>0</v>
      </c>
      <c r="W7687" s="21">
        <v>0</v>
      </c>
      <c r="X7687" s="21">
        <v>0</v>
      </c>
      <c r="Y7687" s="21">
        <v>0</v>
      </c>
      <c r="Z7687" s="21">
        <v>0</v>
      </c>
      <c r="AA7687" s="21">
        <v>1</v>
      </c>
      <c r="AB7687" s="21">
        <v>0</v>
      </c>
      <c r="AC7687" s="21">
        <v>0</v>
      </c>
      <c r="AD7687" s="21">
        <v>0</v>
      </c>
      <c r="AE7687" s="21">
        <v>0</v>
      </c>
      <c r="AF7687" s="21">
        <v>0</v>
      </c>
      <c r="AG7687" s="21">
        <v>0</v>
      </c>
      <c r="AH7687" s="21">
        <f t="shared" si="148"/>
        <v>0</v>
      </c>
      <c r="AI7687" s="21"/>
      <c r="AJ7687" s="21" t="s">
        <v>51</v>
      </c>
      <c r="AK7687" s="21" t="s">
        <v>95</v>
      </c>
      <c r="AL7687" s="21" t="s">
        <v>3524</v>
      </c>
      <c r="AM7687" s="21" t="s">
        <v>3525</v>
      </c>
      <c r="AN7687" s="21">
        <v>-122.4170791</v>
      </c>
      <c r="AO7687" s="21">
        <v>37.784343450000001</v>
      </c>
      <c r="AP7687" s="21" t="s">
        <v>1915</v>
      </c>
    </row>
    <row r="7688" spans="1:42">
      <c r="A7688" s="20">
        <v>43851</v>
      </c>
      <c r="B7688" s="21">
        <v>2</v>
      </c>
      <c r="C7688" s="21">
        <v>532</v>
      </c>
      <c r="D7688" s="21">
        <v>11277</v>
      </c>
      <c r="E7688" t="s">
        <v>377</v>
      </c>
      <c r="F7688" s="21" t="s">
        <v>520</v>
      </c>
      <c r="G7688" s="21">
        <v>1</v>
      </c>
      <c r="H7688" s="21">
        <v>19</v>
      </c>
      <c r="I7688" s="23" t="s">
        <v>3096</v>
      </c>
      <c r="J7688" s="21"/>
      <c r="K7688" s="21" t="s">
        <v>588</v>
      </c>
      <c r="L7688" s="21"/>
      <c r="M7688" s="21"/>
      <c r="N7688" s="21" t="s">
        <v>44</v>
      </c>
      <c r="O7688" s="21">
        <f>60+60+60+30</f>
        <v>210</v>
      </c>
      <c r="P7688" s="21"/>
      <c r="Q7688" s="21">
        <f t="shared" si="147"/>
        <v>2</v>
      </c>
      <c r="R7688" s="21">
        <v>1</v>
      </c>
      <c r="S7688" s="21">
        <v>0</v>
      </c>
      <c r="T7688" s="21">
        <v>0</v>
      </c>
      <c r="U7688" s="21">
        <v>0</v>
      </c>
      <c r="V7688" s="21">
        <v>0</v>
      </c>
      <c r="W7688" s="21">
        <v>0</v>
      </c>
      <c r="X7688" s="21">
        <v>0</v>
      </c>
      <c r="Y7688" s="21">
        <v>0</v>
      </c>
      <c r="Z7688" s="21">
        <v>0</v>
      </c>
      <c r="AA7688" s="21">
        <v>0</v>
      </c>
      <c r="AB7688" s="21">
        <v>0</v>
      </c>
      <c r="AC7688" s="21">
        <v>2</v>
      </c>
      <c r="AD7688" s="21">
        <v>0</v>
      </c>
      <c r="AE7688" s="21">
        <v>0</v>
      </c>
      <c r="AF7688" s="21">
        <v>0</v>
      </c>
      <c r="AG7688" s="21">
        <v>0</v>
      </c>
      <c r="AH7688" s="21">
        <f t="shared" si="148"/>
        <v>0</v>
      </c>
      <c r="AI7688" s="21"/>
      <c r="AJ7688" s="21" t="s">
        <v>51</v>
      </c>
      <c r="AK7688" s="21" t="s">
        <v>95</v>
      </c>
      <c r="AL7688" s="21" t="s">
        <v>2110</v>
      </c>
      <c r="AM7688" s="21" t="s">
        <v>3526</v>
      </c>
      <c r="AN7688" s="21">
        <v>-122.428265183333</v>
      </c>
      <c r="AO7688" s="21">
        <v>37.78520245</v>
      </c>
      <c r="AP7688" s="21" t="s">
        <v>1915</v>
      </c>
    </row>
    <row r="7689" spans="1:42">
      <c r="A7689" s="20">
        <v>43851</v>
      </c>
      <c r="B7689" s="21">
        <v>2</v>
      </c>
      <c r="C7689" s="21">
        <v>532</v>
      </c>
      <c r="D7689" s="21">
        <v>11277</v>
      </c>
      <c r="E7689" t="s">
        <v>377</v>
      </c>
      <c r="F7689" s="21" t="s">
        <v>520</v>
      </c>
      <c r="G7689" s="21">
        <v>1</v>
      </c>
      <c r="H7689" s="21">
        <v>20</v>
      </c>
      <c r="I7689" s="23" t="s">
        <v>3527</v>
      </c>
      <c r="J7689" s="21"/>
      <c r="K7689" s="21" t="s">
        <v>53</v>
      </c>
      <c r="L7689" s="21"/>
      <c r="M7689" s="21"/>
      <c r="N7689" s="21" t="s">
        <v>44</v>
      </c>
      <c r="O7689" s="21">
        <f>60+60+60+30</f>
        <v>210</v>
      </c>
      <c r="P7689" s="21"/>
      <c r="Q7689" s="21">
        <f t="shared" si="147"/>
        <v>1</v>
      </c>
      <c r="R7689" s="21">
        <v>1</v>
      </c>
      <c r="S7689" s="21">
        <v>0</v>
      </c>
      <c r="T7689" s="21">
        <v>0</v>
      </c>
      <c r="U7689" s="21">
        <v>0</v>
      </c>
      <c r="V7689" s="21">
        <v>0</v>
      </c>
      <c r="W7689" s="21">
        <v>0</v>
      </c>
      <c r="X7689" s="21">
        <v>0</v>
      </c>
      <c r="Y7689" s="21">
        <v>0</v>
      </c>
      <c r="Z7689" s="21">
        <v>0</v>
      </c>
      <c r="AA7689" s="21">
        <v>0</v>
      </c>
      <c r="AB7689" s="21">
        <v>0</v>
      </c>
      <c r="AC7689" s="21">
        <v>1</v>
      </c>
      <c r="AD7689" s="21">
        <v>0</v>
      </c>
      <c r="AE7689" s="21">
        <v>0</v>
      </c>
      <c r="AF7689" s="21">
        <v>0</v>
      </c>
      <c r="AG7689" s="21">
        <v>0</v>
      </c>
      <c r="AH7689" s="21">
        <f t="shared" si="148"/>
        <v>0</v>
      </c>
      <c r="AI7689" s="21"/>
      <c r="AJ7689" s="21" t="s">
        <v>51</v>
      </c>
      <c r="AK7689" s="21" t="s">
        <v>95</v>
      </c>
      <c r="AL7689" s="21" t="s">
        <v>3528</v>
      </c>
      <c r="AM7689" s="21" t="s">
        <v>3529</v>
      </c>
      <c r="AN7689" s="21">
        <v>-122.428650116667</v>
      </c>
      <c r="AO7689" s="21">
        <v>37.785034216666702</v>
      </c>
      <c r="AP7689" s="21" t="s">
        <v>1915</v>
      </c>
    </row>
    <row r="7690" spans="1:42">
      <c r="A7690" s="20">
        <v>43851</v>
      </c>
      <c r="B7690" s="21">
        <v>2</v>
      </c>
      <c r="C7690" s="21">
        <v>532</v>
      </c>
      <c r="D7690" s="21">
        <v>11277</v>
      </c>
      <c r="E7690" t="s">
        <v>377</v>
      </c>
      <c r="F7690" s="21" t="s">
        <v>520</v>
      </c>
      <c r="G7690" s="21">
        <v>1</v>
      </c>
      <c r="H7690" s="21">
        <v>21</v>
      </c>
      <c r="I7690" s="23" t="s">
        <v>3530</v>
      </c>
      <c r="J7690" s="21"/>
      <c r="K7690" s="21" t="s">
        <v>599</v>
      </c>
      <c r="L7690" s="21"/>
      <c r="M7690" s="21"/>
      <c r="N7690" s="21" t="s">
        <v>44</v>
      </c>
      <c r="O7690" s="21">
        <f>60+60+60+60+21</f>
        <v>261</v>
      </c>
      <c r="P7690" s="21"/>
      <c r="Q7690" s="21">
        <f t="shared" si="147"/>
        <v>2</v>
      </c>
      <c r="R7690" s="21">
        <v>1</v>
      </c>
      <c r="S7690" s="21">
        <v>0</v>
      </c>
      <c r="T7690" s="21">
        <v>0</v>
      </c>
      <c r="U7690" s="21">
        <v>0</v>
      </c>
      <c r="V7690" s="21">
        <v>0</v>
      </c>
      <c r="W7690" s="21">
        <v>0</v>
      </c>
      <c r="X7690" s="21">
        <v>0</v>
      </c>
      <c r="Y7690" s="21">
        <v>0</v>
      </c>
      <c r="Z7690" s="21">
        <v>0</v>
      </c>
      <c r="AA7690" s="21">
        <v>0</v>
      </c>
      <c r="AB7690" s="21">
        <v>2</v>
      </c>
      <c r="AC7690" s="21">
        <v>0</v>
      </c>
      <c r="AD7690" s="21">
        <v>0</v>
      </c>
      <c r="AE7690" s="21">
        <v>0</v>
      </c>
      <c r="AF7690" s="21">
        <v>0</v>
      </c>
      <c r="AG7690" s="21">
        <v>0</v>
      </c>
      <c r="AH7690" s="21">
        <f t="shared" si="148"/>
        <v>0</v>
      </c>
      <c r="AI7690" s="21"/>
      <c r="AJ7690" s="21"/>
      <c r="AK7690" s="21"/>
      <c r="AL7690" s="21" t="s">
        <v>3531</v>
      </c>
      <c r="AM7690" s="21" t="s">
        <v>3532</v>
      </c>
      <c r="AN7690" s="21">
        <v>-122.429735033333</v>
      </c>
      <c r="AO7690" s="21">
        <v>37.784917633333301</v>
      </c>
      <c r="AP7690" s="21" t="s">
        <v>1915</v>
      </c>
    </row>
    <row r="7691" spans="1:42">
      <c r="A7691" s="20">
        <v>43851</v>
      </c>
      <c r="B7691" s="21">
        <v>2</v>
      </c>
      <c r="C7691" s="21">
        <v>532</v>
      </c>
      <c r="D7691" s="21">
        <v>11277</v>
      </c>
      <c r="E7691" t="s">
        <v>377</v>
      </c>
      <c r="F7691" s="21" t="s">
        <v>520</v>
      </c>
      <c r="G7691" s="21">
        <v>1</v>
      </c>
      <c r="H7691" s="21">
        <v>22</v>
      </c>
      <c r="I7691" s="23" t="s">
        <v>3055</v>
      </c>
      <c r="J7691" s="21"/>
      <c r="K7691" s="21" t="s">
        <v>1274</v>
      </c>
      <c r="L7691" s="21"/>
      <c r="M7691" s="21"/>
      <c r="N7691" s="21" t="s">
        <v>44</v>
      </c>
      <c r="O7691" s="21">
        <v>54</v>
      </c>
      <c r="P7691" s="21"/>
      <c r="Q7691" s="21">
        <f t="shared" si="147"/>
        <v>2</v>
      </c>
      <c r="R7691" s="21">
        <v>1</v>
      </c>
      <c r="S7691" s="21">
        <v>0</v>
      </c>
      <c r="T7691" s="21">
        <v>0</v>
      </c>
      <c r="U7691" s="21">
        <v>0</v>
      </c>
      <c r="V7691" s="21">
        <v>0</v>
      </c>
      <c r="W7691" s="21">
        <v>1</v>
      </c>
      <c r="X7691" s="21">
        <v>0</v>
      </c>
      <c r="Y7691" s="21">
        <v>0</v>
      </c>
      <c r="Z7691" s="21">
        <v>0</v>
      </c>
      <c r="AA7691" s="21">
        <v>0</v>
      </c>
      <c r="AB7691" s="21">
        <v>0</v>
      </c>
      <c r="AC7691" s="21">
        <v>0</v>
      </c>
      <c r="AD7691" s="21">
        <v>0</v>
      </c>
      <c r="AE7691" s="21">
        <v>1</v>
      </c>
      <c r="AF7691" s="21">
        <v>0</v>
      </c>
      <c r="AG7691" s="21">
        <v>0</v>
      </c>
      <c r="AH7691" s="21">
        <f t="shared" si="148"/>
        <v>96</v>
      </c>
      <c r="AI7691" s="21"/>
      <c r="AJ7691" s="21"/>
      <c r="AK7691" s="21"/>
      <c r="AL7691" s="21"/>
      <c r="AM7691" s="21" t="s">
        <v>3533</v>
      </c>
      <c r="AN7691" s="21">
        <v>-122.427744816667</v>
      </c>
      <c r="AO7691" s="21">
        <v>37.805745649999999</v>
      </c>
      <c r="AP7691" s="21" t="s">
        <v>1915</v>
      </c>
    </row>
    <row r="7692" spans="1:42">
      <c r="A7692" s="20">
        <v>43851</v>
      </c>
      <c r="B7692" s="21">
        <v>2</v>
      </c>
      <c r="C7692" s="21">
        <v>532</v>
      </c>
      <c r="D7692" s="21">
        <v>11277</v>
      </c>
      <c r="E7692" t="s">
        <v>377</v>
      </c>
      <c r="F7692" s="21" t="s">
        <v>520</v>
      </c>
      <c r="G7692" s="21">
        <v>1</v>
      </c>
      <c r="H7692" s="21">
        <v>23</v>
      </c>
      <c r="I7692" s="23" t="s">
        <v>3055</v>
      </c>
      <c r="J7692" s="21"/>
      <c r="K7692" s="21" t="s">
        <v>1274</v>
      </c>
      <c r="L7692" s="21"/>
      <c r="M7692" s="21"/>
      <c r="N7692" s="21" t="s">
        <v>44</v>
      </c>
      <c r="O7692" s="21">
        <f>60+50</f>
        <v>110</v>
      </c>
      <c r="P7692" s="21"/>
      <c r="Q7692" s="21">
        <f t="shared" si="147"/>
        <v>2</v>
      </c>
      <c r="R7692" s="21">
        <v>1</v>
      </c>
      <c r="S7692" s="21">
        <v>0</v>
      </c>
      <c r="T7692" s="21">
        <v>0</v>
      </c>
      <c r="U7692" s="21">
        <v>0</v>
      </c>
      <c r="V7692" s="21">
        <v>0</v>
      </c>
      <c r="W7692" s="21">
        <v>0</v>
      </c>
      <c r="X7692" s="21">
        <v>0</v>
      </c>
      <c r="Y7692" s="21">
        <v>0</v>
      </c>
      <c r="Z7692" s="21">
        <v>0</v>
      </c>
      <c r="AA7692" s="21">
        <v>0</v>
      </c>
      <c r="AB7692" s="21">
        <v>1</v>
      </c>
      <c r="AC7692" s="21">
        <v>0</v>
      </c>
      <c r="AD7692" s="21">
        <v>0</v>
      </c>
      <c r="AE7692" s="21">
        <v>1</v>
      </c>
      <c r="AF7692" s="21">
        <v>0</v>
      </c>
      <c r="AG7692" s="21">
        <v>0</v>
      </c>
      <c r="AH7692" s="21">
        <f t="shared" si="148"/>
        <v>0</v>
      </c>
      <c r="AI7692" s="21"/>
      <c r="AJ7692" s="21"/>
      <c r="AK7692" s="21"/>
      <c r="AL7692" s="21" t="s">
        <v>3534</v>
      </c>
      <c r="AM7692" s="21" t="s">
        <v>3535</v>
      </c>
      <c r="AN7692" s="21">
        <v>-122.4292526</v>
      </c>
      <c r="AO7692" s="21">
        <v>37.804449116666703</v>
      </c>
      <c r="AP7692" s="21" t="s">
        <v>1915</v>
      </c>
    </row>
    <row r="7693" spans="1:42">
      <c r="A7693" s="20">
        <v>43851</v>
      </c>
      <c r="B7693" s="21">
        <v>2</v>
      </c>
      <c r="C7693" s="21">
        <v>532</v>
      </c>
      <c r="D7693" s="21">
        <v>11277</v>
      </c>
      <c r="E7693" t="s">
        <v>377</v>
      </c>
      <c r="F7693" s="21" t="s">
        <v>520</v>
      </c>
      <c r="G7693" s="21">
        <v>1</v>
      </c>
      <c r="H7693" s="21">
        <v>24</v>
      </c>
      <c r="I7693" s="23" t="s">
        <v>3055</v>
      </c>
      <c r="J7693" s="21"/>
      <c r="K7693" s="21" t="s">
        <v>1274</v>
      </c>
      <c r="L7693" s="21"/>
      <c r="M7693" s="21"/>
      <c r="N7693" s="21" t="s">
        <v>44</v>
      </c>
      <c r="O7693" s="21">
        <f>60+52</f>
        <v>112</v>
      </c>
      <c r="P7693" s="21"/>
      <c r="Q7693" s="21">
        <f t="shared" si="147"/>
        <v>2</v>
      </c>
      <c r="R7693" s="21">
        <v>1</v>
      </c>
      <c r="S7693" s="21">
        <v>0</v>
      </c>
      <c r="T7693" s="21">
        <v>0</v>
      </c>
      <c r="U7693" s="21">
        <v>0</v>
      </c>
      <c r="V7693" s="21">
        <v>0</v>
      </c>
      <c r="W7693" s="21">
        <v>0</v>
      </c>
      <c r="X7693" s="21">
        <v>0</v>
      </c>
      <c r="Y7693" s="21">
        <v>0</v>
      </c>
      <c r="Z7693" s="21">
        <v>0</v>
      </c>
      <c r="AA7693" s="21">
        <v>0</v>
      </c>
      <c r="AB7693" s="21">
        <v>0</v>
      </c>
      <c r="AC7693" s="21">
        <v>2</v>
      </c>
      <c r="AD7693" s="21">
        <v>0</v>
      </c>
      <c r="AE7693" s="21">
        <v>0</v>
      </c>
      <c r="AF7693" s="21">
        <v>0</v>
      </c>
      <c r="AG7693" s="21">
        <v>0</v>
      </c>
      <c r="AH7693" s="21">
        <f t="shared" si="148"/>
        <v>0</v>
      </c>
      <c r="AI7693" s="21"/>
      <c r="AJ7693" s="21"/>
      <c r="AK7693" s="21"/>
      <c r="AL7693" s="21"/>
      <c r="AM7693" s="21" t="s">
        <v>3536</v>
      </c>
      <c r="AN7693" s="21">
        <v>-122.432199516667</v>
      </c>
      <c r="AO7693" s="21">
        <v>37.807009066666602</v>
      </c>
      <c r="AP7693" s="21" t="s">
        <v>1915</v>
      </c>
    </row>
    <row r="7694" spans="1:42">
      <c r="A7694" s="20">
        <v>43851</v>
      </c>
      <c r="B7694" s="21">
        <v>2</v>
      </c>
      <c r="C7694" s="21">
        <v>532</v>
      </c>
      <c r="D7694" s="21">
        <v>11277</v>
      </c>
      <c r="E7694" t="s">
        <v>377</v>
      </c>
      <c r="F7694" s="21" t="s">
        <v>520</v>
      </c>
      <c r="G7694" s="21">
        <v>1</v>
      </c>
      <c r="H7694" s="21">
        <v>25</v>
      </c>
      <c r="I7694" s="23" t="s">
        <v>3537</v>
      </c>
      <c r="J7694" s="21"/>
      <c r="K7694" s="21" t="s">
        <v>319</v>
      </c>
      <c r="L7694" s="21"/>
      <c r="M7694" s="21"/>
      <c r="N7694" s="21" t="s">
        <v>44</v>
      </c>
      <c r="O7694" s="21">
        <v>36</v>
      </c>
      <c r="P7694" s="21"/>
      <c r="Q7694" s="21">
        <f t="shared" si="147"/>
        <v>1</v>
      </c>
      <c r="R7694" s="21">
        <v>1</v>
      </c>
      <c r="S7694" s="21">
        <v>0</v>
      </c>
      <c r="T7694" s="21">
        <v>0</v>
      </c>
      <c r="U7694" s="21">
        <v>0</v>
      </c>
      <c r="V7694" s="21">
        <v>0</v>
      </c>
      <c r="W7694" s="21">
        <v>0</v>
      </c>
      <c r="X7694" s="21">
        <v>0</v>
      </c>
      <c r="Y7694" s="21">
        <v>0</v>
      </c>
      <c r="Z7694" s="21">
        <v>0</v>
      </c>
      <c r="AA7694" s="21">
        <v>0</v>
      </c>
      <c r="AB7694" s="21">
        <v>1</v>
      </c>
      <c r="AC7694" s="21">
        <v>0</v>
      </c>
      <c r="AD7694" s="21">
        <v>0</v>
      </c>
      <c r="AE7694" s="21">
        <v>0</v>
      </c>
      <c r="AF7694" s="21">
        <v>0</v>
      </c>
      <c r="AG7694" s="21">
        <v>0</v>
      </c>
      <c r="AH7694" s="21">
        <f t="shared" si="148"/>
        <v>0</v>
      </c>
      <c r="AI7694" s="21"/>
      <c r="AJ7694" s="21"/>
      <c r="AK7694" s="21"/>
      <c r="AL7694" s="21"/>
      <c r="AM7694" s="21" t="s">
        <v>3538</v>
      </c>
      <c r="AN7694" s="21">
        <v>-122.44913668333299</v>
      </c>
      <c r="AO7694" s="21">
        <v>37.803758783333301</v>
      </c>
      <c r="AP7694" s="21" t="s">
        <v>1915</v>
      </c>
    </row>
    <row r="7695" spans="1:42">
      <c r="A7695" s="20">
        <v>43851</v>
      </c>
      <c r="B7695" s="21">
        <v>2</v>
      </c>
      <c r="C7695" s="21">
        <v>532</v>
      </c>
      <c r="D7695" s="21">
        <v>11277</v>
      </c>
      <c r="E7695" t="s">
        <v>377</v>
      </c>
      <c r="F7695" s="21" t="s">
        <v>520</v>
      </c>
      <c r="G7695" s="21">
        <v>1</v>
      </c>
      <c r="H7695" s="21">
        <v>26</v>
      </c>
      <c r="I7695" s="23" t="s">
        <v>3537</v>
      </c>
      <c r="J7695" s="21"/>
      <c r="K7695" s="21" t="s">
        <v>319</v>
      </c>
      <c r="L7695" s="21"/>
      <c r="M7695" s="21"/>
      <c r="N7695" s="21" t="s">
        <v>44</v>
      </c>
      <c r="O7695" s="21">
        <f>60+60+60+1</f>
        <v>181</v>
      </c>
      <c r="P7695" s="21"/>
      <c r="Q7695" s="21">
        <f t="shared" si="147"/>
        <v>1</v>
      </c>
      <c r="R7695" s="21">
        <v>1</v>
      </c>
      <c r="S7695" s="21">
        <v>0</v>
      </c>
      <c r="T7695" s="21">
        <v>0</v>
      </c>
      <c r="U7695" s="21">
        <v>0</v>
      </c>
      <c r="V7695" s="21">
        <v>0</v>
      </c>
      <c r="W7695" s="21">
        <v>0</v>
      </c>
      <c r="X7695" s="21">
        <v>0</v>
      </c>
      <c r="Y7695" s="21">
        <v>0</v>
      </c>
      <c r="Z7695" s="21">
        <v>0</v>
      </c>
      <c r="AA7695" s="21">
        <v>0</v>
      </c>
      <c r="AB7695" s="21">
        <v>1</v>
      </c>
      <c r="AC7695" s="21">
        <v>0</v>
      </c>
      <c r="AD7695" s="21">
        <v>0</v>
      </c>
      <c r="AE7695" s="21">
        <v>0</v>
      </c>
      <c r="AF7695" s="21">
        <v>0</v>
      </c>
      <c r="AG7695" s="21">
        <v>0</v>
      </c>
      <c r="AH7695" s="21">
        <f t="shared" si="148"/>
        <v>0</v>
      </c>
      <c r="AI7695" s="21"/>
      <c r="AJ7695" s="21"/>
      <c r="AK7695" s="21"/>
      <c r="AL7695" s="21" t="s">
        <v>3539</v>
      </c>
      <c r="AM7695" s="21" t="s">
        <v>3540</v>
      </c>
      <c r="AN7695" s="21">
        <v>-122.448616933333</v>
      </c>
      <c r="AO7695" s="21">
        <v>37.8017081333333</v>
      </c>
      <c r="AP7695" s="21" t="s">
        <v>1915</v>
      </c>
    </row>
    <row r="7696" spans="1:42">
      <c r="A7696" s="20">
        <v>43851</v>
      </c>
      <c r="B7696" s="21">
        <v>2</v>
      </c>
      <c r="C7696" s="21">
        <v>532</v>
      </c>
      <c r="D7696" s="21">
        <v>11277</v>
      </c>
      <c r="E7696" t="s">
        <v>377</v>
      </c>
      <c r="F7696" s="21" t="s">
        <v>520</v>
      </c>
      <c r="G7696" s="21">
        <v>1</v>
      </c>
      <c r="H7696" s="21">
        <v>27</v>
      </c>
      <c r="I7696" s="23" t="s">
        <v>3541</v>
      </c>
      <c r="J7696" s="21"/>
      <c r="K7696" s="21" t="s">
        <v>417</v>
      </c>
      <c r="L7696" s="21"/>
      <c r="M7696" s="21"/>
      <c r="N7696" s="21" t="s">
        <v>44</v>
      </c>
      <c r="O7696" s="21">
        <f>60+60+38</f>
        <v>158</v>
      </c>
      <c r="P7696" s="21"/>
      <c r="Q7696" s="21">
        <f t="shared" si="147"/>
        <v>1</v>
      </c>
      <c r="R7696" s="21">
        <v>1</v>
      </c>
      <c r="S7696" s="21">
        <v>0</v>
      </c>
      <c r="T7696" s="21">
        <v>0</v>
      </c>
      <c r="U7696" s="21">
        <v>0</v>
      </c>
      <c r="V7696" s="21">
        <v>0</v>
      </c>
      <c r="W7696" s="21">
        <v>0</v>
      </c>
      <c r="X7696" s="21">
        <v>0</v>
      </c>
      <c r="Y7696" s="21">
        <v>0</v>
      </c>
      <c r="Z7696" s="21">
        <v>0</v>
      </c>
      <c r="AA7696" s="21">
        <v>1</v>
      </c>
      <c r="AB7696" s="21">
        <v>0</v>
      </c>
      <c r="AC7696" s="21">
        <v>0</v>
      </c>
      <c r="AD7696" s="21">
        <v>0</v>
      </c>
      <c r="AE7696" s="21">
        <v>0</v>
      </c>
      <c r="AF7696" s="21">
        <v>0</v>
      </c>
      <c r="AG7696" s="21">
        <v>0</v>
      </c>
      <c r="AH7696" s="21">
        <f t="shared" si="148"/>
        <v>0</v>
      </c>
      <c r="AI7696" s="21"/>
      <c r="AJ7696" s="21"/>
      <c r="AK7696" s="21"/>
      <c r="AL7696" s="21" t="s">
        <v>3542</v>
      </c>
      <c r="AM7696" s="21" t="s">
        <v>3543</v>
      </c>
      <c r="AN7696" s="21">
        <v>-122.44949870000001</v>
      </c>
      <c r="AO7696" s="21">
        <v>37.801929833333297</v>
      </c>
      <c r="AP7696" s="21" t="s">
        <v>1915</v>
      </c>
    </row>
    <row r="7697" spans="1:42">
      <c r="A7697" s="20">
        <v>43851</v>
      </c>
      <c r="B7697" s="21">
        <v>2</v>
      </c>
      <c r="C7697" s="21">
        <v>532</v>
      </c>
      <c r="D7697" s="21">
        <v>11277</v>
      </c>
      <c r="E7697" t="s">
        <v>377</v>
      </c>
      <c r="F7697" s="21" t="s">
        <v>520</v>
      </c>
      <c r="G7697" s="21">
        <v>1</v>
      </c>
      <c r="H7697" s="21">
        <v>28</v>
      </c>
      <c r="I7697" s="23" t="s">
        <v>3544</v>
      </c>
      <c r="J7697" s="21"/>
      <c r="K7697" s="21" t="s">
        <v>417</v>
      </c>
      <c r="L7697" s="21"/>
      <c r="M7697" s="21"/>
      <c r="N7697" s="21" t="s">
        <v>44</v>
      </c>
      <c r="O7697" s="21">
        <f>60+60+1</f>
        <v>121</v>
      </c>
      <c r="P7697" s="21"/>
      <c r="Q7697" s="21">
        <f t="shared" si="147"/>
        <v>1</v>
      </c>
      <c r="R7697" s="21">
        <v>1</v>
      </c>
      <c r="S7697" s="21">
        <v>0</v>
      </c>
      <c r="T7697" s="21">
        <v>0</v>
      </c>
      <c r="U7697" s="21">
        <v>0</v>
      </c>
      <c r="V7697" s="21">
        <v>0</v>
      </c>
      <c r="W7697" s="21">
        <v>0</v>
      </c>
      <c r="X7697" s="21">
        <v>0</v>
      </c>
      <c r="Y7697" s="21">
        <v>0</v>
      </c>
      <c r="Z7697" s="21">
        <v>0</v>
      </c>
      <c r="AA7697" s="21">
        <v>1</v>
      </c>
      <c r="AB7697" s="21">
        <v>0</v>
      </c>
      <c r="AC7697" s="21">
        <v>0</v>
      </c>
      <c r="AD7697" s="21">
        <v>0</v>
      </c>
      <c r="AE7697" s="21">
        <v>0</v>
      </c>
      <c r="AF7697" s="21">
        <v>0</v>
      </c>
      <c r="AG7697" s="21">
        <v>0</v>
      </c>
      <c r="AH7697" s="21">
        <f t="shared" si="148"/>
        <v>0</v>
      </c>
      <c r="AI7697" s="21"/>
      <c r="AJ7697" s="21"/>
      <c r="AK7697" s="21"/>
      <c r="AL7697" s="21" t="s">
        <v>3545</v>
      </c>
      <c r="AM7697" s="21" t="s">
        <v>3546</v>
      </c>
      <c r="AN7697" s="21">
        <v>-122.44977335</v>
      </c>
      <c r="AO7697" s="21">
        <v>37.802127616666702</v>
      </c>
      <c r="AP7697" s="21" t="s">
        <v>1915</v>
      </c>
    </row>
    <row r="7698" spans="1:42">
      <c r="A7698" s="20">
        <v>43851</v>
      </c>
      <c r="B7698" s="21">
        <v>2</v>
      </c>
      <c r="C7698" s="21">
        <v>532</v>
      </c>
      <c r="D7698" s="21">
        <v>11277</v>
      </c>
      <c r="E7698" t="s">
        <v>377</v>
      </c>
      <c r="F7698" s="21" t="s">
        <v>520</v>
      </c>
      <c r="G7698" s="21">
        <v>1</v>
      </c>
      <c r="H7698" s="21">
        <v>29</v>
      </c>
      <c r="I7698" s="23" t="s">
        <v>3547</v>
      </c>
      <c r="J7698" s="21"/>
      <c r="K7698" s="21" t="s">
        <v>3548</v>
      </c>
      <c r="L7698" s="21"/>
      <c r="M7698" s="21"/>
      <c r="N7698" s="21" t="s">
        <v>44</v>
      </c>
      <c r="O7698" s="21">
        <f>60+60+3</f>
        <v>123</v>
      </c>
      <c r="P7698" s="21"/>
      <c r="Q7698" s="21">
        <f t="shared" si="147"/>
        <v>2</v>
      </c>
      <c r="R7698" s="21">
        <v>1</v>
      </c>
      <c r="S7698" s="21">
        <v>0</v>
      </c>
      <c r="T7698" s="21">
        <v>0</v>
      </c>
      <c r="U7698" s="21">
        <v>0</v>
      </c>
      <c r="V7698" s="21">
        <v>0</v>
      </c>
      <c r="W7698" s="21">
        <v>0</v>
      </c>
      <c r="X7698" s="21">
        <v>0</v>
      </c>
      <c r="Y7698" s="21">
        <v>0</v>
      </c>
      <c r="Z7698" s="21">
        <v>0</v>
      </c>
      <c r="AA7698" s="21">
        <v>0</v>
      </c>
      <c r="AB7698" s="21">
        <v>1</v>
      </c>
      <c r="AC7698" s="21">
        <v>1</v>
      </c>
      <c r="AD7698" s="21">
        <v>0</v>
      </c>
      <c r="AE7698" s="21">
        <v>0</v>
      </c>
      <c r="AF7698" s="21">
        <v>0</v>
      </c>
      <c r="AG7698" s="21">
        <v>0</v>
      </c>
      <c r="AH7698" s="21">
        <f t="shared" si="148"/>
        <v>0</v>
      </c>
      <c r="AI7698" s="21"/>
      <c r="AJ7698" s="21"/>
      <c r="AK7698" s="21"/>
      <c r="AL7698" s="21" t="s">
        <v>3549</v>
      </c>
      <c r="AM7698" s="21" t="s">
        <v>3550</v>
      </c>
      <c r="AN7698" s="21">
        <v>-122.456678416667</v>
      </c>
      <c r="AO7698" s="21">
        <v>37.801752800000003</v>
      </c>
      <c r="AP7698" s="21" t="s">
        <v>1915</v>
      </c>
    </row>
    <row r="7699" spans="1:42">
      <c r="A7699" s="20">
        <v>43851</v>
      </c>
      <c r="B7699" s="21">
        <v>2</v>
      </c>
      <c r="C7699" s="21">
        <v>532</v>
      </c>
      <c r="D7699" s="21">
        <v>11277</v>
      </c>
      <c r="E7699" t="s">
        <v>377</v>
      </c>
      <c r="F7699" s="21" t="s">
        <v>520</v>
      </c>
      <c r="G7699" s="21">
        <v>1</v>
      </c>
      <c r="H7699" s="21">
        <v>30</v>
      </c>
      <c r="I7699" s="23" t="s">
        <v>3511</v>
      </c>
      <c r="J7699" s="21"/>
      <c r="K7699" s="21" t="s">
        <v>3551</v>
      </c>
      <c r="L7699" s="21"/>
      <c r="M7699" s="21"/>
      <c r="N7699" s="21" t="s">
        <v>44</v>
      </c>
      <c r="O7699" s="21">
        <f>60+42</f>
        <v>102</v>
      </c>
      <c r="P7699" s="21"/>
      <c r="Q7699" s="21">
        <f t="shared" si="147"/>
        <v>2</v>
      </c>
      <c r="R7699" s="21">
        <v>1</v>
      </c>
      <c r="S7699" s="21">
        <v>0</v>
      </c>
      <c r="T7699" s="21">
        <v>0</v>
      </c>
      <c r="U7699" s="21">
        <v>0</v>
      </c>
      <c r="V7699" s="21">
        <v>0</v>
      </c>
      <c r="W7699" s="21">
        <v>2</v>
      </c>
      <c r="X7699" s="21">
        <v>0</v>
      </c>
      <c r="Y7699" s="21">
        <v>0</v>
      </c>
      <c r="Z7699" s="21">
        <v>0</v>
      </c>
      <c r="AA7699" s="21">
        <v>0</v>
      </c>
      <c r="AB7699" s="21">
        <v>0</v>
      </c>
      <c r="AC7699" s="21">
        <v>0</v>
      </c>
      <c r="AD7699" s="21">
        <v>0</v>
      </c>
      <c r="AE7699" s="21">
        <v>0</v>
      </c>
      <c r="AF7699" s="21">
        <v>0</v>
      </c>
      <c r="AG7699" s="21">
        <v>0</v>
      </c>
      <c r="AH7699" s="21">
        <f t="shared" si="148"/>
        <v>192</v>
      </c>
      <c r="AI7699" s="21"/>
      <c r="AJ7699" s="21"/>
      <c r="AK7699" s="21"/>
      <c r="AL7699" s="21" t="s">
        <v>3552</v>
      </c>
      <c r="AM7699" s="21" t="s">
        <v>3553</v>
      </c>
      <c r="AN7699" s="21">
        <v>-122.460092083333</v>
      </c>
      <c r="AO7699" s="21">
        <v>37.800218616666697</v>
      </c>
      <c r="AP7699" s="21" t="s">
        <v>1915</v>
      </c>
    </row>
    <row r="7700" spans="1:42">
      <c r="A7700" s="20">
        <v>43851</v>
      </c>
      <c r="B7700" s="21">
        <v>2</v>
      </c>
      <c r="C7700" s="21">
        <v>532</v>
      </c>
      <c r="D7700" s="21">
        <v>11277</v>
      </c>
      <c r="E7700" t="s">
        <v>377</v>
      </c>
      <c r="F7700" s="21" t="s">
        <v>520</v>
      </c>
      <c r="G7700" s="21">
        <v>1</v>
      </c>
      <c r="H7700" s="21">
        <v>31</v>
      </c>
      <c r="I7700" s="23" t="s">
        <v>3554</v>
      </c>
      <c r="J7700" s="21"/>
      <c r="K7700" s="21" t="s">
        <v>3551</v>
      </c>
      <c r="L7700" s="21"/>
      <c r="M7700" s="21"/>
      <c r="N7700" s="21" t="s">
        <v>44</v>
      </c>
      <c r="O7700" s="21">
        <f>60+60+45</f>
        <v>165</v>
      </c>
      <c r="P7700" s="21"/>
      <c r="Q7700" s="21">
        <f t="shared" si="147"/>
        <v>1</v>
      </c>
      <c r="R7700" s="21">
        <v>1</v>
      </c>
      <c r="S7700" s="21">
        <v>0</v>
      </c>
      <c r="T7700" s="21">
        <v>0</v>
      </c>
      <c r="U7700" s="21">
        <v>0</v>
      </c>
      <c r="V7700" s="21">
        <v>0</v>
      </c>
      <c r="W7700" s="21">
        <v>0</v>
      </c>
      <c r="X7700" s="21">
        <v>0</v>
      </c>
      <c r="Y7700" s="21">
        <v>0</v>
      </c>
      <c r="Z7700" s="21">
        <v>0</v>
      </c>
      <c r="AA7700" s="21">
        <v>1</v>
      </c>
      <c r="AB7700" s="21">
        <v>0</v>
      </c>
      <c r="AC7700" s="21">
        <v>0</v>
      </c>
      <c r="AD7700" s="21">
        <v>0</v>
      </c>
      <c r="AE7700" s="21">
        <v>0</v>
      </c>
      <c r="AF7700" s="21">
        <v>0</v>
      </c>
      <c r="AG7700" s="21">
        <v>0</v>
      </c>
      <c r="AH7700" s="21">
        <f t="shared" si="148"/>
        <v>0</v>
      </c>
      <c r="AI7700" s="21"/>
      <c r="AJ7700" s="21"/>
      <c r="AK7700" s="21"/>
      <c r="AL7700" s="21" t="s">
        <v>3555</v>
      </c>
      <c r="AM7700" s="21" t="s">
        <v>3556</v>
      </c>
      <c r="AN7700" s="21">
        <v>-122.461018616667</v>
      </c>
      <c r="AO7700" s="21">
        <v>37.799522483333298</v>
      </c>
      <c r="AP7700" s="21" t="s">
        <v>1915</v>
      </c>
    </row>
    <row r="7701" spans="1:42">
      <c r="A7701" s="20">
        <v>43851</v>
      </c>
      <c r="B7701" s="21">
        <v>2</v>
      </c>
      <c r="C7701" s="21">
        <v>532</v>
      </c>
      <c r="D7701" s="21">
        <v>11277</v>
      </c>
      <c r="E7701" t="s">
        <v>377</v>
      </c>
      <c r="F7701" s="21" t="s">
        <v>520</v>
      </c>
      <c r="G7701" s="21">
        <v>1</v>
      </c>
      <c r="H7701" s="21">
        <v>32</v>
      </c>
      <c r="I7701" s="23" t="s">
        <v>3557</v>
      </c>
      <c r="J7701" s="21"/>
      <c r="K7701" s="21" t="s">
        <v>3551</v>
      </c>
      <c r="L7701" s="21"/>
      <c r="M7701" s="21"/>
      <c r="N7701" s="21" t="s">
        <v>44</v>
      </c>
      <c r="O7701" s="21">
        <f>60+41</f>
        <v>101</v>
      </c>
      <c r="P7701" s="21"/>
      <c r="Q7701" s="21">
        <f t="shared" si="147"/>
        <v>1</v>
      </c>
      <c r="R7701" s="21">
        <v>1</v>
      </c>
      <c r="S7701" s="21">
        <v>0</v>
      </c>
      <c r="T7701" s="21">
        <v>0</v>
      </c>
      <c r="U7701" s="21">
        <v>0</v>
      </c>
      <c r="V7701" s="21">
        <v>0</v>
      </c>
      <c r="W7701" s="21">
        <v>0</v>
      </c>
      <c r="X7701" s="21">
        <v>0</v>
      </c>
      <c r="Y7701" s="21">
        <v>0</v>
      </c>
      <c r="Z7701" s="21">
        <v>0</v>
      </c>
      <c r="AA7701" s="21">
        <v>1</v>
      </c>
      <c r="AB7701" s="21">
        <v>0</v>
      </c>
      <c r="AC7701" s="21">
        <v>0</v>
      </c>
      <c r="AD7701" s="21">
        <v>0</v>
      </c>
      <c r="AE7701" s="21">
        <v>0</v>
      </c>
      <c r="AF7701" s="21">
        <v>0</v>
      </c>
      <c r="AG7701" s="21">
        <v>0</v>
      </c>
      <c r="AH7701" s="21">
        <f t="shared" si="148"/>
        <v>0</v>
      </c>
      <c r="AI7701" s="21"/>
      <c r="AJ7701" s="21"/>
      <c r="AK7701" s="21"/>
      <c r="AL7701" s="21"/>
      <c r="AM7701" s="21" t="s">
        <v>3558</v>
      </c>
      <c r="AN7701" s="21">
        <v>-122.461267866667</v>
      </c>
      <c r="AO7701" s="21">
        <v>37.797955183333301</v>
      </c>
      <c r="AP7701" s="21" t="s">
        <v>1915</v>
      </c>
    </row>
    <row r="7702" spans="1:42">
      <c r="A7702" s="20">
        <v>43851</v>
      </c>
      <c r="B7702" s="21">
        <v>2</v>
      </c>
      <c r="C7702" s="21">
        <v>532</v>
      </c>
      <c r="D7702" s="21">
        <v>11277</v>
      </c>
      <c r="E7702" t="s">
        <v>377</v>
      </c>
      <c r="F7702" s="21" t="s">
        <v>520</v>
      </c>
      <c r="G7702" s="21">
        <v>1</v>
      </c>
      <c r="H7702" s="21">
        <v>33</v>
      </c>
      <c r="I7702" s="23" t="s">
        <v>3559</v>
      </c>
      <c r="J7702" s="21"/>
      <c r="K7702" s="21" t="s">
        <v>3560</v>
      </c>
      <c r="L7702" s="21"/>
      <c r="M7702" s="21"/>
      <c r="N7702" s="21" t="s">
        <v>40</v>
      </c>
      <c r="O7702" s="21">
        <f>60+60+60+60+26</f>
        <v>266</v>
      </c>
      <c r="P7702" s="21"/>
      <c r="Q7702" s="21">
        <f t="shared" si="147"/>
        <v>5</v>
      </c>
      <c r="R7702" s="21">
        <v>1</v>
      </c>
      <c r="S7702" s="21">
        <v>0</v>
      </c>
      <c r="T7702" s="21">
        <v>0</v>
      </c>
      <c r="U7702" s="21">
        <v>0</v>
      </c>
      <c r="V7702" s="21">
        <v>1</v>
      </c>
      <c r="W7702" s="21">
        <v>2</v>
      </c>
      <c r="X7702" s="21">
        <v>0</v>
      </c>
      <c r="Y7702" s="21">
        <v>0</v>
      </c>
      <c r="Z7702" s="21">
        <v>0</v>
      </c>
      <c r="AA7702" s="21">
        <v>0</v>
      </c>
      <c r="AB7702" s="21">
        <v>0</v>
      </c>
      <c r="AC7702" s="21">
        <v>0</v>
      </c>
      <c r="AD7702" s="21">
        <v>2</v>
      </c>
      <c r="AE7702" s="21">
        <v>0</v>
      </c>
      <c r="AF7702" s="21">
        <v>0</v>
      </c>
      <c r="AG7702" s="21">
        <v>0</v>
      </c>
      <c r="AH7702" s="21">
        <f t="shared" si="148"/>
        <v>256</v>
      </c>
      <c r="AI7702" s="21"/>
      <c r="AJ7702" s="21" t="s">
        <v>51</v>
      </c>
      <c r="AK7702" s="21" t="s">
        <v>95</v>
      </c>
      <c r="AL7702" s="21" t="s">
        <v>3561</v>
      </c>
      <c r="AM7702" s="21" t="s">
        <v>3562</v>
      </c>
      <c r="AN7702" s="21">
        <v>-122.419111633333</v>
      </c>
      <c r="AO7702" s="21">
        <v>37.783580700000002</v>
      </c>
      <c r="AP7702" s="21" t="s">
        <v>1915</v>
      </c>
    </row>
    <row r="7703" spans="1:42">
      <c r="A7703" s="20">
        <v>43851</v>
      </c>
      <c r="B7703" s="21">
        <v>2</v>
      </c>
      <c r="C7703" s="21">
        <v>532</v>
      </c>
      <c r="D7703" s="21">
        <v>11277</v>
      </c>
      <c r="E7703" t="s">
        <v>377</v>
      </c>
      <c r="F7703" s="21" t="s">
        <v>520</v>
      </c>
      <c r="G7703" s="21">
        <v>1</v>
      </c>
      <c r="H7703" s="21">
        <v>34</v>
      </c>
      <c r="I7703" s="23" t="s">
        <v>3563</v>
      </c>
      <c r="J7703" s="21"/>
      <c r="K7703" s="21" t="s">
        <v>414</v>
      </c>
      <c r="L7703" s="21"/>
      <c r="M7703" s="21"/>
      <c r="N7703" s="21" t="s">
        <v>40</v>
      </c>
      <c r="O7703" s="21">
        <f>60+60+35</f>
        <v>155</v>
      </c>
      <c r="P7703" s="21"/>
      <c r="Q7703" s="21">
        <f t="shared" si="147"/>
        <v>1</v>
      </c>
      <c r="R7703" s="21">
        <v>1</v>
      </c>
      <c r="S7703" s="21">
        <v>0</v>
      </c>
      <c r="T7703" s="21">
        <v>0</v>
      </c>
      <c r="U7703" s="21">
        <v>0</v>
      </c>
      <c r="V7703" s="21">
        <v>0</v>
      </c>
      <c r="W7703" s="21">
        <v>0</v>
      </c>
      <c r="X7703" s="21">
        <v>0</v>
      </c>
      <c r="Y7703" s="21">
        <v>0</v>
      </c>
      <c r="Z7703" s="21">
        <v>0</v>
      </c>
      <c r="AA7703" s="21">
        <v>0</v>
      </c>
      <c r="AB7703" s="21">
        <v>0</v>
      </c>
      <c r="AC7703" s="21">
        <v>1</v>
      </c>
      <c r="AD7703" s="21">
        <v>0</v>
      </c>
      <c r="AE7703" s="21">
        <v>0</v>
      </c>
      <c r="AF7703" s="21">
        <v>0</v>
      </c>
      <c r="AG7703" s="21">
        <v>0</v>
      </c>
      <c r="AH7703" s="21">
        <f t="shared" si="148"/>
        <v>0</v>
      </c>
      <c r="AI7703" s="21"/>
      <c r="AJ7703" s="21" t="s">
        <v>51</v>
      </c>
      <c r="AK7703" s="21" t="s">
        <v>95</v>
      </c>
      <c r="AL7703" s="21" t="s">
        <v>3564</v>
      </c>
      <c r="AM7703" s="21" t="s">
        <v>3565</v>
      </c>
      <c r="AN7703" s="21">
        <v>-122.419185183333</v>
      </c>
      <c r="AO7703" s="21">
        <v>37.777977</v>
      </c>
      <c r="AP7703" s="21" t="s">
        <v>1915</v>
      </c>
    </row>
    <row r="7704" spans="1:42">
      <c r="A7704" s="20">
        <v>43851</v>
      </c>
      <c r="B7704" s="21">
        <v>2</v>
      </c>
      <c r="C7704" s="21">
        <v>532</v>
      </c>
      <c r="D7704" s="21">
        <v>11277</v>
      </c>
      <c r="E7704" t="s">
        <v>377</v>
      </c>
      <c r="F7704" s="21" t="s">
        <v>520</v>
      </c>
      <c r="G7704" s="21">
        <v>1</v>
      </c>
      <c r="H7704" s="21">
        <v>35</v>
      </c>
      <c r="I7704" s="23" t="s">
        <v>3566</v>
      </c>
      <c r="J7704" s="21"/>
      <c r="K7704" s="21" t="s">
        <v>3001</v>
      </c>
      <c r="L7704" s="21"/>
      <c r="M7704" s="21"/>
      <c r="N7704" s="21" t="s">
        <v>40</v>
      </c>
      <c r="O7704" s="21">
        <f>60+60+60+60</f>
        <v>240</v>
      </c>
      <c r="P7704" s="21"/>
      <c r="Q7704" s="21">
        <f t="shared" si="147"/>
        <v>2</v>
      </c>
      <c r="R7704" s="21">
        <v>1</v>
      </c>
      <c r="S7704" s="21">
        <v>0</v>
      </c>
      <c r="T7704" s="21">
        <v>0</v>
      </c>
      <c r="U7704" s="21">
        <v>0</v>
      </c>
      <c r="V7704" s="21">
        <v>0</v>
      </c>
      <c r="W7704" s="21">
        <v>0</v>
      </c>
      <c r="X7704" s="21">
        <v>0</v>
      </c>
      <c r="Y7704" s="21">
        <v>0</v>
      </c>
      <c r="Z7704" s="21">
        <v>0</v>
      </c>
      <c r="AA7704" s="21">
        <v>0</v>
      </c>
      <c r="AB7704" s="21">
        <v>0</v>
      </c>
      <c r="AC7704" s="21">
        <v>2</v>
      </c>
      <c r="AD7704" s="21">
        <v>0</v>
      </c>
      <c r="AE7704" s="21">
        <v>0</v>
      </c>
      <c r="AF7704" s="21">
        <v>0</v>
      </c>
      <c r="AG7704" s="21">
        <v>0</v>
      </c>
      <c r="AH7704" s="21">
        <f t="shared" si="148"/>
        <v>0</v>
      </c>
      <c r="AI7704" s="21"/>
      <c r="AJ7704" s="21"/>
      <c r="AK7704" s="21"/>
      <c r="AL7704" s="21" t="s">
        <v>379</v>
      </c>
      <c r="AM7704" s="21" t="s">
        <v>3567</v>
      </c>
      <c r="AN7704" s="21">
        <v>-122.42001018379</v>
      </c>
      <c r="AO7704" s="21">
        <v>37.778980091763501</v>
      </c>
      <c r="AP7704" s="21" t="s">
        <v>1915</v>
      </c>
    </row>
    <row r="7705" spans="1:42">
      <c r="A7705" s="20">
        <v>43851</v>
      </c>
      <c r="B7705" s="21">
        <v>2</v>
      </c>
      <c r="C7705" s="21">
        <v>532</v>
      </c>
      <c r="D7705" s="21">
        <v>11277</v>
      </c>
      <c r="E7705" t="s">
        <v>377</v>
      </c>
      <c r="F7705" s="21" t="s">
        <v>520</v>
      </c>
      <c r="G7705" s="21">
        <v>1</v>
      </c>
      <c r="H7705" s="21">
        <v>36</v>
      </c>
      <c r="I7705" s="23" t="s">
        <v>3568</v>
      </c>
      <c r="J7705" s="21"/>
      <c r="K7705" s="21" t="s">
        <v>529</v>
      </c>
      <c r="L7705" s="21"/>
      <c r="M7705" s="21"/>
      <c r="N7705" s="21" t="s">
        <v>40</v>
      </c>
      <c r="O7705" s="21">
        <f>60+60+56</f>
        <v>176</v>
      </c>
      <c r="P7705" s="21"/>
      <c r="Q7705" s="21">
        <f t="shared" si="147"/>
        <v>2</v>
      </c>
      <c r="R7705" s="21">
        <v>1</v>
      </c>
      <c r="S7705" s="21">
        <v>0</v>
      </c>
      <c r="T7705" s="21">
        <v>0</v>
      </c>
      <c r="U7705" s="21">
        <v>0</v>
      </c>
      <c r="V7705" s="21">
        <v>0</v>
      </c>
      <c r="W7705" s="21">
        <v>0</v>
      </c>
      <c r="X7705" s="21">
        <v>0</v>
      </c>
      <c r="Y7705" s="21">
        <v>0</v>
      </c>
      <c r="Z7705" s="21">
        <v>0</v>
      </c>
      <c r="AA7705" s="21">
        <v>0</v>
      </c>
      <c r="AB7705" s="21">
        <v>0</v>
      </c>
      <c r="AC7705" s="21">
        <v>2</v>
      </c>
      <c r="AD7705" s="21">
        <v>0</v>
      </c>
      <c r="AE7705" s="21">
        <v>0</v>
      </c>
      <c r="AF7705" s="21">
        <v>0</v>
      </c>
      <c r="AG7705" s="21">
        <v>0</v>
      </c>
      <c r="AH7705" s="21">
        <f t="shared" si="148"/>
        <v>0</v>
      </c>
      <c r="AI7705" s="21"/>
      <c r="AJ7705" s="21" t="s">
        <v>51</v>
      </c>
      <c r="AK7705" s="21" t="s">
        <v>95</v>
      </c>
      <c r="AL7705" s="21"/>
      <c r="AM7705" s="21" t="s">
        <v>3569</v>
      </c>
      <c r="AN7705" s="21">
        <v>-122.417952833333</v>
      </c>
      <c r="AO7705" s="21">
        <v>37.7774261666667</v>
      </c>
      <c r="AP7705" s="21" t="s">
        <v>1915</v>
      </c>
    </row>
    <row r="7706" spans="1:42">
      <c r="A7706" s="20">
        <v>43851</v>
      </c>
      <c r="B7706" s="21">
        <v>2</v>
      </c>
      <c r="C7706" s="21">
        <v>532</v>
      </c>
      <c r="D7706" s="21">
        <v>11277</v>
      </c>
      <c r="E7706" t="s">
        <v>377</v>
      </c>
      <c r="F7706" s="21" t="s">
        <v>520</v>
      </c>
      <c r="G7706" s="21">
        <v>1</v>
      </c>
      <c r="H7706" s="21">
        <v>37</v>
      </c>
      <c r="I7706" s="23" t="s">
        <v>3563</v>
      </c>
      <c r="J7706" s="21"/>
      <c r="K7706" s="21" t="s">
        <v>414</v>
      </c>
      <c r="L7706" s="21"/>
      <c r="M7706" s="21"/>
      <c r="N7706" s="21" t="s">
        <v>44</v>
      </c>
      <c r="O7706" s="21">
        <f>60+60+60+60+60+60+1</f>
        <v>361</v>
      </c>
      <c r="P7706" s="21"/>
      <c r="Q7706" s="21">
        <f t="shared" si="147"/>
        <v>1</v>
      </c>
      <c r="R7706" s="21">
        <v>1</v>
      </c>
      <c r="S7706" s="21">
        <v>0</v>
      </c>
      <c r="T7706" s="21">
        <v>0</v>
      </c>
      <c r="U7706" s="21">
        <v>0</v>
      </c>
      <c r="V7706" s="21">
        <v>0</v>
      </c>
      <c r="W7706" s="21">
        <v>0</v>
      </c>
      <c r="X7706" s="21">
        <v>0</v>
      </c>
      <c r="Y7706" s="21">
        <v>0</v>
      </c>
      <c r="Z7706" s="21">
        <v>0</v>
      </c>
      <c r="AA7706" s="21">
        <v>0</v>
      </c>
      <c r="AB7706" s="21">
        <v>1</v>
      </c>
      <c r="AC7706" s="21">
        <v>0</v>
      </c>
      <c r="AD7706" s="21">
        <v>0</v>
      </c>
      <c r="AE7706" s="21">
        <v>0</v>
      </c>
      <c r="AF7706" s="21">
        <v>0</v>
      </c>
      <c r="AG7706" s="21">
        <v>0</v>
      </c>
      <c r="AH7706" s="21">
        <f t="shared" si="148"/>
        <v>0</v>
      </c>
      <c r="AI7706" s="21"/>
      <c r="AJ7706" s="21"/>
      <c r="AK7706" s="21"/>
      <c r="AL7706" s="21" t="s">
        <v>3570</v>
      </c>
      <c r="AM7706" s="21" t="s">
        <v>3571</v>
      </c>
      <c r="AN7706" s="21">
        <v>-122.41184226666699</v>
      </c>
      <c r="AO7706" s="21">
        <v>37.778418166666697</v>
      </c>
      <c r="AP7706" s="21" t="s">
        <v>1915</v>
      </c>
    </row>
    <row r="7707" spans="1:42">
      <c r="A7707" s="20">
        <v>43851</v>
      </c>
      <c r="B7707" s="21">
        <v>2</v>
      </c>
      <c r="C7707" s="21">
        <v>532</v>
      </c>
      <c r="D7707" s="21">
        <v>11277</v>
      </c>
      <c r="E7707" t="s">
        <v>377</v>
      </c>
      <c r="F7707" s="21" t="s">
        <v>520</v>
      </c>
      <c r="G7707" s="21">
        <v>1</v>
      </c>
      <c r="H7707" s="21">
        <v>38</v>
      </c>
      <c r="I7707" s="23" t="s">
        <v>3572</v>
      </c>
      <c r="J7707" s="21"/>
      <c r="K7707" s="21" t="s">
        <v>69</v>
      </c>
      <c r="L7707" s="21"/>
      <c r="M7707" s="21"/>
      <c r="N7707" s="21" t="s">
        <v>40</v>
      </c>
      <c r="O7707" s="21">
        <f>60+60+31</f>
        <v>151</v>
      </c>
      <c r="P7707" s="21"/>
      <c r="Q7707" s="21">
        <f t="shared" si="147"/>
        <v>2</v>
      </c>
      <c r="R7707" s="21">
        <v>1</v>
      </c>
      <c r="S7707" s="21">
        <v>0</v>
      </c>
      <c r="T7707" s="21">
        <v>0</v>
      </c>
      <c r="U7707" s="21">
        <v>0</v>
      </c>
      <c r="V7707" s="21">
        <v>0</v>
      </c>
      <c r="W7707" s="21">
        <v>0</v>
      </c>
      <c r="X7707" s="21">
        <v>0</v>
      </c>
      <c r="Y7707" s="21">
        <v>0</v>
      </c>
      <c r="Z7707" s="21">
        <v>0</v>
      </c>
      <c r="AA7707" s="21">
        <v>0</v>
      </c>
      <c r="AB7707" s="21">
        <v>0</v>
      </c>
      <c r="AC7707" s="21">
        <v>1</v>
      </c>
      <c r="AD7707" s="21">
        <v>1</v>
      </c>
      <c r="AE7707" s="21">
        <v>0</v>
      </c>
      <c r="AF7707" s="21">
        <v>0</v>
      </c>
      <c r="AG7707" s="21">
        <v>0</v>
      </c>
      <c r="AH7707" s="21">
        <f t="shared" si="148"/>
        <v>0</v>
      </c>
      <c r="AI7707" s="21"/>
      <c r="AJ7707" s="21" t="s">
        <v>54</v>
      </c>
      <c r="AK7707" s="21" t="s">
        <v>95</v>
      </c>
      <c r="AL7707" s="21" t="s">
        <v>379</v>
      </c>
      <c r="AM7707" s="21" t="s">
        <v>3573</v>
      </c>
      <c r="AN7707" s="21">
        <v>-122.422564616667</v>
      </c>
      <c r="AO7707" s="21">
        <v>37.788937033333298</v>
      </c>
      <c r="AP7707" s="21" t="s">
        <v>1915</v>
      </c>
    </row>
    <row r="7708" spans="1:42">
      <c r="A7708" s="20">
        <v>43851</v>
      </c>
      <c r="B7708" s="21">
        <v>2</v>
      </c>
      <c r="C7708" s="21">
        <v>532</v>
      </c>
      <c r="D7708" s="21">
        <v>11277</v>
      </c>
      <c r="E7708" t="s">
        <v>377</v>
      </c>
      <c r="F7708" s="21" t="s">
        <v>520</v>
      </c>
      <c r="G7708" s="21">
        <v>1</v>
      </c>
      <c r="H7708" s="21">
        <v>39</v>
      </c>
      <c r="I7708" s="23" t="s">
        <v>3100</v>
      </c>
      <c r="J7708" s="21"/>
      <c r="K7708" s="21" t="s">
        <v>49</v>
      </c>
      <c r="L7708" s="21"/>
      <c r="M7708" s="21"/>
      <c r="N7708" s="21" t="s">
        <v>44</v>
      </c>
      <c r="O7708" s="21">
        <f>60+60+40</f>
        <v>160</v>
      </c>
      <c r="P7708" s="21"/>
      <c r="Q7708" s="21">
        <f t="shared" si="147"/>
        <v>1</v>
      </c>
      <c r="R7708" s="21">
        <v>1</v>
      </c>
      <c r="S7708" s="21">
        <v>0</v>
      </c>
      <c r="T7708" s="21">
        <v>0</v>
      </c>
      <c r="U7708" s="21">
        <v>0</v>
      </c>
      <c r="V7708" s="21">
        <v>0</v>
      </c>
      <c r="W7708" s="21">
        <v>0</v>
      </c>
      <c r="X7708" s="21">
        <v>0</v>
      </c>
      <c r="Y7708" s="21">
        <v>0</v>
      </c>
      <c r="Z7708" s="21">
        <v>0</v>
      </c>
      <c r="AA7708" s="21">
        <v>0</v>
      </c>
      <c r="AB7708" s="21">
        <v>1</v>
      </c>
      <c r="AC7708" s="21">
        <v>0</v>
      </c>
      <c r="AD7708" s="21">
        <v>0</v>
      </c>
      <c r="AE7708" s="21">
        <v>0</v>
      </c>
      <c r="AF7708" s="21">
        <v>0</v>
      </c>
      <c r="AG7708" s="21">
        <v>0</v>
      </c>
      <c r="AH7708" s="21">
        <f t="shared" si="148"/>
        <v>0</v>
      </c>
      <c r="AI7708" s="21"/>
      <c r="AJ7708" s="21" t="s">
        <v>54</v>
      </c>
      <c r="AK7708" s="21" t="s">
        <v>95</v>
      </c>
      <c r="AL7708" s="21" t="s">
        <v>3574</v>
      </c>
      <c r="AM7708" s="21" t="s">
        <v>3575</v>
      </c>
      <c r="AN7708" s="21">
        <v>-122.422318866667</v>
      </c>
      <c r="AO7708" s="21">
        <v>37.788191783333303</v>
      </c>
      <c r="AP7708" s="21" t="s">
        <v>1915</v>
      </c>
    </row>
    <row r="7709" spans="1:42">
      <c r="A7709" s="20">
        <v>43851</v>
      </c>
      <c r="B7709" s="21">
        <v>2</v>
      </c>
      <c r="C7709" s="21">
        <v>532</v>
      </c>
      <c r="D7709" s="21">
        <v>11277</v>
      </c>
      <c r="E7709" t="s">
        <v>377</v>
      </c>
      <c r="F7709" s="21" t="s">
        <v>520</v>
      </c>
      <c r="G7709" s="21">
        <v>1</v>
      </c>
      <c r="H7709" s="21">
        <v>40</v>
      </c>
      <c r="I7709" s="23" t="s">
        <v>3576</v>
      </c>
      <c r="J7709" s="21"/>
      <c r="K7709" s="21" t="s">
        <v>49</v>
      </c>
      <c r="L7709" s="21"/>
      <c r="M7709" s="21"/>
      <c r="N7709" s="21" t="s">
        <v>44</v>
      </c>
      <c r="O7709" s="21">
        <f>60+60+11</f>
        <v>131</v>
      </c>
      <c r="P7709" s="21"/>
      <c r="Q7709" s="21">
        <f t="shared" si="147"/>
        <v>3</v>
      </c>
      <c r="R7709" s="21">
        <v>1</v>
      </c>
      <c r="S7709" s="21">
        <v>0</v>
      </c>
      <c r="T7709" s="21">
        <v>0</v>
      </c>
      <c r="U7709" s="21">
        <v>0</v>
      </c>
      <c r="V7709" s="21">
        <v>0</v>
      </c>
      <c r="W7709" s="21">
        <v>2</v>
      </c>
      <c r="X7709" s="21">
        <v>0</v>
      </c>
      <c r="Y7709" s="21">
        <v>0</v>
      </c>
      <c r="Z7709" s="21">
        <v>0</v>
      </c>
      <c r="AA7709" s="21">
        <v>0</v>
      </c>
      <c r="AB7709" s="21">
        <v>0</v>
      </c>
      <c r="AC7709" s="21">
        <v>0</v>
      </c>
      <c r="AD7709" s="21">
        <v>0</v>
      </c>
      <c r="AE7709" s="21">
        <v>1</v>
      </c>
      <c r="AF7709" s="21">
        <v>0</v>
      </c>
      <c r="AG7709" s="21">
        <v>0</v>
      </c>
      <c r="AH7709" s="21">
        <f t="shared" si="148"/>
        <v>192</v>
      </c>
      <c r="AI7709" s="21"/>
      <c r="AJ7709" s="21" t="s">
        <v>54</v>
      </c>
      <c r="AK7709" s="21" t="s">
        <v>52</v>
      </c>
      <c r="AL7709" s="21" t="s">
        <v>3577</v>
      </c>
      <c r="AM7709" s="21" t="s">
        <v>3578</v>
      </c>
      <c r="AN7709" s="21">
        <v>-122.423090633333</v>
      </c>
      <c r="AO7709" s="21">
        <v>37.790480233333298</v>
      </c>
      <c r="AP7709" s="21" t="s">
        <v>1915</v>
      </c>
    </row>
    <row r="7710" spans="1:42">
      <c r="A7710" s="20">
        <v>43851</v>
      </c>
      <c r="B7710" s="21">
        <v>2</v>
      </c>
      <c r="C7710" s="21">
        <v>532</v>
      </c>
      <c r="D7710" s="21">
        <v>11277</v>
      </c>
      <c r="E7710" t="s">
        <v>377</v>
      </c>
      <c r="F7710" s="21" t="s">
        <v>520</v>
      </c>
      <c r="G7710" s="21">
        <v>1</v>
      </c>
      <c r="H7710" s="21">
        <v>41</v>
      </c>
      <c r="I7710" s="23" t="s">
        <v>3055</v>
      </c>
      <c r="J7710" s="21"/>
      <c r="K7710" s="21" t="s">
        <v>1274</v>
      </c>
      <c r="L7710" s="21"/>
      <c r="M7710" s="21"/>
      <c r="N7710" s="21" t="s">
        <v>44</v>
      </c>
      <c r="O7710" s="21">
        <f>60+60+1</f>
        <v>121</v>
      </c>
      <c r="P7710" s="21"/>
      <c r="Q7710" s="21">
        <f t="shared" si="147"/>
        <v>1</v>
      </c>
      <c r="R7710" s="21">
        <v>1</v>
      </c>
      <c r="S7710" s="21">
        <v>0</v>
      </c>
      <c r="T7710" s="21">
        <v>0</v>
      </c>
      <c r="U7710" s="21">
        <v>0</v>
      </c>
      <c r="V7710" s="21">
        <v>0</v>
      </c>
      <c r="W7710" s="21">
        <v>0</v>
      </c>
      <c r="X7710" s="21">
        <v>0</v>
      </c>
      <c r="Y7710" s="21">
        <v>0</v>
      </c>
      <c r="Z7710" s="21">
        <v>0</v>
      </c>
      <c r="AA7710" s="21">
        <v>0</v>
      </c>
      <c r="AB7710" s="21">
        <v>1</v>
      </c>
      <c r="AC7710" s="21">
        <v>0</v>
      </c>
      <c r="AD7710" s="21">
        <v>0</v>
      </c>
      <c r="AE7710" s="21">
        <v>0</v>
      </c>
      <c r="AF7710" s="21">
        <v>0</v>
      </c>
      <c r="AG7710" s="21">
        <v>0</v>
      </c>
      <c r="AH7710" s="21">
        <f t="shared" si="148"/>
        <v>0</v>
      </c>
      <c r="AI7710" s="21"/>
      <c r="AJ7710" s="21" t="s">
        <v>51</v>
      </c>
      <c r="AK7710" s="21" t="s">
        <v>95</v>
      </c>
      <c r="AL7710" s="21" t="s">
        <v>3579</v>
      </c>
      <c r="AM7710" s="21" t="s">
        <v>3580</v>
      </c>
      <c r="AN7710" s="21">
        <v>-122.449022483333</v>
      </c>
      <c r="AO7710" s="21">
        <v>37.806210849999999</v>
      </c>
      <c r="AP7710" s="21" t="s">
        <v>1915</v>
      </c>
    </row>
    <row r="7711" spans="1:42">
      <c r="A7711" s="20">
        <v>43851</v>
      </c>
      <c r="B7711" s="21">
        <v>2</v>
      </c>
      <c r="C7711" s="21">
        <v>532</v>
      </c>
      <c r="D7711" s="21">
        <v>11277</v>
      </c>
      <c r="E7711" t="s">
        <v>377</v>
      </c>
      <c r="F7711" s="21" t="s">
        <v>520</v>
      </c>
      <c r="G7711" s="21">
        <v>1</v>
      </c>
      <c r="H7711" s="21">
        <v>42</v>
      </c>
      <c r="I7711" s="23" t="s">
        <v>3055</v>
      </c>
      <c r="J7711" s="21"/>
      <c r="K7711" s="21" t="s">
        <v>3581</v>
      </c>
      <c r="L7711" s="21"/>
      <c r="M7711" s="21"/>
      <c r="N7711" s="21" t="s">
        <v>44</v>
      </c>
      <c r="O7711" s="21">
        <v>50</v>
      </c>
      <c r="P7711" s="21"/>
      <c r="Q7711" s="21">
        <f t="shared" si="147"/>
        <v>1</v>
      </c>
      <c r="R7711" s="21">
        <v>1</v>
      </c>
      <c r="S7711" s="21">
        <v>0</v>
      </c>
      <c r="T7711" s="21">
        <v>0</v>
      </c>
      <c r="U7711" s="21">
        <v>0</v>
      </c>
      <c r="V7711" s="21">
        <v>0</v>
      </c>
      <c r="W7711" s="21">
        <v>0</v>
      </c>
      <c r="X7711" s="21">
        <v>0</v>
      </c>
      <c r="Y7711" s="21">
        <v>0</v>
      </c>
      <c r="Z7711" s="21">
        <v>0</v>
      </c>
      <c r="AA7711" s="21">
        <v>0</v>
      </c>
      <c r="AB7711" s="21">
        <v>0</v>
      </c>
      <c r="AC7711" s="21">
        <v>1</v>
      </c>
      <c r="AD7711" s="21">
        <v>0</v>
      </c>
      <c r="AE7711" s="21">
        <v>0</v>
      </c>
      <c r="AF7711" s="21">
        <v>0</v>
      </c>
      <c r="AG7711" s="21">
        <v>0</v>
      </c>
      <c r="AH7711" s="21">
        <f t="shared" si="148"/>
        <v>0</v>
      </c>
      <c r="AI7711" s="21"/>
      <c r="AJ7711" s="21" t="s">
        <v>51</v>
      </c>
      <c r="AK7711" s="21" t="s">
        <v>95</v>
      </c>
      <c r="AL7711" s="21" t="s">
        <v>3582</v>
      </c>
      <c r="AM7711" s="21" t="s">
        <v>3583</v>
      </c>
      <c r="AN7711" s="21">
        <v>-122.45211399999999</v>
      </c>
      <c r="AO7711" s="21">
        <v>37.805430549999997</v>
      </c>
      <c r="AP7711" s="21" t="s">
        <v>1915</v>
      </c>
    </row>
    <row r="7712" spans="1:42">
      <c r="A7712" s="20">
        <v>43851</v>
      </c>
      <c r="B7712" s="21">
        <v>2</v>
      </c>
      <c r="C7712" s="21">
        <v>532</v>
      </c>
      <c r="D7712" s="21">
        <v>11277</v>
      </c>
      <c r="E7712" t="s">
        <v>377</v>
      </c>
      <c r="F7712" s="21" t="s">
        <v>520</v>
      </c>
      <c r="G7712" s="21">
        <v>1</v>
      </c>
      <c r="H7712" s="21">
        <v>43</v>
      </c>
      <c r="I7712" s="23" t="s">
        <v>3584</v>
      </c>
      <c r="J7712" s="21"/>
      <c r="K7712" s="21" t="s">
        <v>1274</v>
      </c>
      <c r="L7712" s="21"/>
      <c r="M7712" s="21"/>
      <c r="N7712" s="21" t="s">
        <v>44</v>
      </c>
      <c r="O7712" s="21">
        <f>60+23</f>
        <v>83</v>
      </c>
      <c r="P7712" s="21"/>
      <c r="Q7712" s="21">
        <f t="shared" si="147"/>
        <v>2</v>
      </c>
      <c r="R7712" s="21">
        <v>1</v>
      </c>
      <c r="S7712" s="21">
        <v>0</v>
      </c>
      <c r="T7712" s="21">
        <v>0</v>
      </c>
      <c r="U7712" s="21">
        <v>0</v>
      </c>
      <c r="V7712" s="21">
        <v>0</v>
      </c>
      <c r="W7712" s="21">
        <v>1</v>
      </c>
      <c r="X7712" s="21">
        <v>0</v>
      </c>
      <c r="Y7712" s="21">
        <v>0</v>
      </c>
      <c r="Z7712" s="21">
        <v>0</v>
      </c>
      <c r="AA7712" s="21">
        <v>0</v>
      </c>
      <c r="AB7712" s="21">
        <v>0</v>
      </c>
      <c r="AC7712" s="21">
        <v>0</v>
      </c>
      <c r="AD7712" s="21">
        <v>1</v>
      </c>
      <c r="AE7712" s="21">
        <v>0</v>
      </c>
      <c r="AF7712" s="21">
        <v>0</v>
      </c>
      <c r="AG7712" s="21">
        <v>0</v>
      </c>
      <c r="AH7712" s="21">
        <f t="shared" si="148"/>
        <v>96</v>
      </c>
      <c r="AI7712" s="21"/>
      <c r="AJ7712" s="21"/>
      <c r="AK7712" s="21"/>
      <c r="AL7712" s="21" t="s">
        <v>3585</v>
      </c>
      <c r="AM7712" s="21" t="s">
        <v>3586</v>
      </c>
      <c r="AN7712" s="21">
        <v>-122.4645526</v>
      </c>
      <c r="AO7712" s="21">
        <v>37.803007683333298</v>
      </c>
      <c r="AP7712" s="21" t="s">
        <v>1915</v>
      </c>
    </row>
    <row r="7713" spans="1:42">
      <c r="A7713" s="20">
        <v>43851</v>
      </c>
      <c r="B7713" s="21">
        <v>2</v>
      </c>
      <c r="C7713" s="21">
        <v>532</v>
      </c>
      <c r="D7713" s="21">
        <v>11277</v>
      </c>
      <c r="E7713" t="s">
        <v>377</v>
      </c>
      <c r="F7713" s="21" t="s">
        <v>520</v>
      </c>
      <c r="G7713" s="21">
        <v>1</v>
      </c>
      <c r="H7713" s="21">
        <v>44</v>
      </c>
      <c r="I7713" s="23" t="s">
        <v>3587</v>
      </c>
      <c r="J7713" s="21"/>
      <c r="K7713" s="21" t="s">
        <v>3588</v>
      </c>
      <c r="L7713" s="21"/>
      <c r="M7713" s="21"/>
      <c r="N7713" s="21" t="s">
        <v>44</v>
      </c>
      <c r="O7713" s="21">
        <f>60+28</f>
        <v>88</v>
      </c>
      <c r="P7713" s="21"/>
      <c r="Q7713" s="21">
        <f t="shared" si="147"/>
        <v>1</v>
      </c>
      <c r="R7713" s="21">
        <v>1</v>
      </c>
      <c r="S7713" s="21">
        <v>0</v>
      </c>
      <c r="T7713" s="21">
        <v>0</v>
      </c>
      <c r="U7713" s="21">
        <v>0</v>
      </c>
      <c r="V7713" s="21">
        <v>0</v>
      </c>
      <c r="W7713" s="21">
        <v>1</v>
      </c>
      <c r="X7713" s="21">
        <v>0</v>
      </c>
      <c r="Y7713" s="21">
        <v>0</v>
      </c>
      <c r="Z7713" s="21">
        <v>0</v>
      </c>
      <c r="AA7713" s="21">
        <v>0</v>
      </c>
      <c r="AB7713" s="21">
        <v>0</v>
      </c>
      <c r="AC7713" s="21">
        <v>0</v>
      </c>
      <c r="AD7713" s="21">
        <v>0</v>
      </c>
      <c r="AE7713" s="21">
        <v>0</v>
      </c>
      <c r="AF7713" s="21">
        <v>0</v>
      </c>
      <c r="AG7713" s="21">
        <v>0</v>
      </c>
      <c r="AH7713" s="21">
        <f t="shared" si="148"/>
        <v>96</v>
      </c>
      <c r="AI7713" s="21"/>
      <c r="AJ7713" s="21" t="s">
        <v>51</v>
      </c>
      <c r="AK7713" s="21"/>
      <c r="AL7713" s="21" t="s">
        <v>3589</v>
      </c>
      <c r="AM7713" s="21" t="s">
        <v>3590</v>
      </c>
      <c r="AN7713" s="21">
        <v>-122.465951783333</v>
      </c>
      <c r="AO7713" s="21">
        <v>37.801601633333298</v>
      </c>
      <c r="AP7713" s="21" t="s">
        <v>1915</v>
      </c>
    </row>
    <row r="7714" spans="1:42">
      <c r="A7714" s="20">
        <v>43851</v>
      </c>
      <c r="B7714" s="21">
        <v>2</v>
      </c>
      <c r="C7714" s="21">
        <v>532</v>
      </c>
      <c r="D7714" s="21">
        <v>11277</v>
      </c>
      <c r="E7714" t="s">
        <v>377</v>
      </c>
      <c r="F7714" s="21" t="s">
        <v>520</v>
      </c>
      <c r="G7714" s="21">
        <v>1</v>
      </c>
      <c r="H7714" s="21">
        <v>45</v>
      </c>
      <c r="I7714" s="23" t="s">
        <v>3591</v>
      </c>
      <c r="J7714" s="21"/>
      <c r="K7714" s="21" t="s">
        <v>2100</v>
      </c>
      <c r="L7714" s="21"/>
      <c r="M7714" s="21"/>
      <c r="N7714" s="21" t="s">
        <v>44</v>
      </c>
      <c r="O7714" s="21">
        <f>60+60+55</f>
        <v>175</v>
      </c>
      <c r="P7714" s="21"/>
      <c r="Q7714" s="21">
        <f t="shared" si="147"/>
        <v>1</v>
      </c>
      <c r="R7714" s="21">
        <v>1</v>
      </c>
      <c r="S7714" s="21">
        <v>0</v>
      </c>
      <c r="T7714" s="21">
        <v>0</v>
      </c>
      <c r="U7714" s="21">
        <v>0</v>
      </c>
      <c r="V7714" s="21">
        <v>0</v>
      </c>
      <c r="W7714" s="21">
        <v>0</v>
      </c>
      <c r="X7714" s="21">
        <v>0</v>
      </c>
      <c r="Y7714" s="21">
        <v>0</v>
      </c>
      <c r="Z7714" s="21">
        <v>0</v>
      </c>
      <c r="AA7714" s="21">
        <v>0</v>
      </c>
      <c r="AB7714" s="21">
        <v>1</v>
      </c>
      <c r="AC7714" s="21">
        <v>0</v>
      </c>
      <c r="AD7714" s="21">
        <v>0</v>
      </c>
      <c r="AE7714" s="21">
        <v>0</v>
      </c>
      <c r="AF7714" s="21">
        <v>0</v>
      </c>
      <c r="AG7714" s="21">
        <v>0</v>
      </c>
      <c r="AH7714" s="21">
        <f t="shared" si="148"/>
        <v>0</v>
      </c>
      <c r="AI7714" s="21"/>
      <c r="AJ7714" s="21" t="s">
        <v>51</v>
      </c>
      <c r="AK7714" s="21"/>
      <c r="AL7714" s="21" t="s">
        <v>3592</v>
      </c>
      <c r="AM7714" s="21" t="s">
        <v>3593</v>
      </c>
      <c r="AN7714" s="21">
        <v>-122.469192616667</v>
      </c>
      <c r="AO7714" s="21">
        <v>37.800206783333302</v>
      </c>
      <c r="AP7714" s="21" t="s">
        <v>1915</v>
      </c>
    </row>
    <row r="7715" spans="1:42">
      <c r="A7715" s="20">
        <v>43851</v>
      </c>
      <c r="B7715" s="21">
        <v>2</v>
      </c>
      <c r="C7715" s="21">
        <v>532</v>
      </c>
      <c r="D7715" s="21">
        <v>11277</v>
      </c>
      <c r="E7715" t="s">
        <v>377</v>
      </c>
      <c r="F7715" s="21" t="s">
        <v>520</v>
      </c>
      <c r="G7715" s="21">
        <v>1</v>
      </c>
      <c r="H7715" s="21">
        <v>46</v>
      </c>
      <c r="I7715" s="23" t="s">
        <v>3144</v>
      </c>
      <c r="J7715" s="21"/>
      <c r="K7715" s="21" t="s">
        <v>553</v>
      </c>
      <c r="L7715" s="21"/>
      <c r="M7715" s="21"/>
      <c r="N7715" s="21" t="s">
        <v>44</v>
      </c>
      <c r="O7715" s="21">
        <f>60+60+14</f>
        <v>134</v>
      </c>
      <c r="P7715" s="21"/>
      <c r="Q7715" s="21">
        <f t="shared" si="147"/>
        <v>1</v>
      </c>
      <c r="R7715" s="21">
        <v>1</v>
      </c>
      <c r="S7715" s="21">
        <v>0</v>
      </c>
      <c r="T7715" s="21">
        <v>0</v>
      </c>
      <c r="U7715" s="21">
        <v>0</v>
      </c>
      <c r="V7715" s="21">
        <v>0</v>
      </c>
      <c r="W7715" s="21">
        <v>0</v>
      </c>
      <c r="X7715" s="21">
        <v>0</v>
      </c>
      <c r="Y7715" s="21">
        <v>0</v>
      </c>
      <c r="Z7715" s="21">
        <v>0</v>
      </c>
      <c r="AA7715" s="21">
        <v>0</v>
      </c>
      <c r="AB7715" s="21">
        <v>1</v>
      </c>
      <c r="AC7715" s="21">
        <v>0</v>
      </c>
      <c r="AD7715" s="21">
        <v>0</v>
      </c>
      <c r="AE7715" s="21">
        <v>0</v>
      </c>
      <c r="AF7715" s="21">
        <v>0</v>
      </c>
      <c r="AG7715" s="21">
        <v>0</v>
      </c>
      <c r="AH7715" s="21">
        <f t="shared" si="148"/>
        <v>0</v>
      </c>
      <c r="AI7715" s="21"/>
      <c r="AJ7715" s="21" t="s">
        <v>51</v>
      </c>
      <c r="AK7715" s="21"/>
      <c r="AL7715" s="21" t="s">
        <v>3594</v>
      </c>
      <c r="AM7715" s="21" t="s">
        <v>3595</v>
      </c>
      <c r="AN7715" s="21">
        <v>-122.47347986666701</v>
      </c>
      <c r="AO7715" s="21">
        <v>37.804075266666601</v>
      </c>
      <c r="AP7715" s="21" t="s">
        <v>1915</v>
      </c>
    </row>
    <row r="7716" spans="1:42">
      <c r="A7716" s="20">
        <v>43851</v>
      </c>
      <c r="B7716" s="21">
        <v>2</v>
      </c>
      <c r="C7716" s="21">
        <v>532</v>
      </c>
      <c r="D7716" s="21">
        <v>11277</v>
      </c>
      <c r="E7716" t="s">
        <v>377</v>
      </c>
      <c r="F7716" s="21" t="s">
        <v>520</v>
      </c>
      <c r="G7716" s="21">
        <v>1</v>
      </c>
      <c r="H7716" s="21">
        <v>47</v>
      </c>
      <c r="I7716" s="23" t="s">
        <v>3596</v>
      </c>
      <c r="J7716" s="21"/>
      <c r="K7716" s="21" t="s">
        <v>2099</v>
      </c>
      <c r="L7716" s="21"/>
      <c r="M7716" s="21"/>
      <c r="N7716" s="21" t="s">
        <v>44</v>
      </c>
      <c r="O7716" s="21">
        <f>60+5</f>
        <v>65</v>
      </c>
      <c r="P7716" s="21"/>
      <c r="Q7716" s="21">
        <f t="shared" si="147"/>
        <v>1</v>
      </c>
      <c r="R7716" s="21">
        <v>1</v>
      </c>
      <c r="S7716" s="21">
        <v>0</v>
      </c>
      <c r="T7716" s="21">
        <v>0</v>
      </c>
      <c r="U7716" s="21">
        <v>0</v>
      </c>
      <c r="V7716" s="21">
        <v>0</v>
      </c>
      <c r="W7716" s="21">
        <v>0</v>
      </c>
      <c r="X7716" s="21">
        <v>0</v>
      </c>
      <c r="Y7716" s="21">
        <v>0</v>
      </c>
      <c r="Z7716" s="21">
        <v>0</v>
      </c>
      <c r="AA7716" s="21">
        <v>0</v>
      </c>
      <c r="AB7716" s="21">
        <v>1</v>
      </c>
      <c r="AC7716" s="21">
        <v>0</v>
      </c>
      <c r="AD7716" s="21">
        <v>0</v>
      </c>
      <c r="AE7716" s="21">
        <v>0</v>
      </c>
      <c r="AF7716" s="21">
        <v>0</v>
      </c>
      <c r="AG7716" s="21">
        <v>0</v>
      </c>
      <c r="AH7716" s="21">
        <f t="shared" si="148"/>
        <v>0</v>
      </c>
      <c r="AI7716" s="21"/>
      <c r="AJ7716" s="21"/>
      <c r="AK7716" s="21"/>
      <c r="AL7716" s="21" t="s">
        <v>3597</v>
      </c>
      <c r="AM7716" s="21" t="s">
        <v>3598</v>
      </c>
      <c r="AN7716" s="21">
        <v>-122.478932016667</v>
      </c>
      <c r="AO7716" s="21">
        <v>37.794180349999998</v>
      </c>
      <c r="AP7716" s="21" t="s">
        <v>1915</v>
      </c>
    </row>
    <row r="7717" spans="1:42">
      <c r="A7717" s="20">
        <v>43851</v>
      </c>
      <c r="B7717" s="21">
        <v>2</v>
      </c>
      <c r="C7717" s="21">
        <v>532</v>
      </c>
      <c r="D7717" s="21">
        <v>11277</v>
      </c>
      <c r="E7717" t="s">
        <v>377</v>
      </c>
      <c r="F7717" s="21" t="s">
        <v>520</v>
      </c>
      <c r="G7717" s="21">
        <v>1</v>
      </c>
      <c r="H7717" s="21">
        <v>48</v>
      </c>
      <c r="I7717" s="23" t="s">
        <v>3599</v>
      </c>
      <c r="J7717" s="21"/>
      <c r="K7717" s="21" t="s">
        <v>2099</v>
      </c>
      <c r="L7717" s="21"/>
      <c r="M7717" s="21"/>
      <c r="N7717" s="21" t="s">
        <v>44</v>
      </c>
      <c r="O7717" s="21">
        <f>60+13</f>
        <v>73</v>
      </c>
      <c r="P7717" s="21"/>
      <c r="Q7717" s="21">
        <f t="shared" si="147"/>
        <v>1</v>
      </c>
      <c r="R7717" s="21">
        <v>1</v>
      </c>
      <c r="S7717" s="21">
        <v>0</v>
      </c>
      <c r="T7717" s="21">
        <v>0</v>
      </c>
      <c r="U7717" s="21">
        <v>0</v>
      </c>
      <c r="V7717" s="21">
        <v>0</v>
      </c>
      <c r="W7717" s="21">
        <v>1</v>
      </c>
      <c r="X7717" s="21">
        <v>0</v>
      </c>
      <c r="Y7717" s="21">
        <v>0</v>
      </c>
      <c r="Z7717" s="21">
        <v>0</v>
      </c>
      <c r="AA7717" s="21">
        <v>0</v>
      </c>
      <c r="AB7717" s="21">
        <v>0</v>
      </c>
      <c r="AC7717" s="21">
        <v>0</v>
      </c>
      <c r="AD7717" s="21">
        <v>0</v>
      </c>
      <c r="AE7717" s="21">
        <v>0</v>
      </c>
      <c r="AF7717" s="21">
        <v>0</v>
      </c>
      <c r="AG7717" s="21">
        <v>0</v>
      </c>
      <c r="AH7717" s="21">
        <f t="shared" si="148"/>
        <v>96</v>
      </c>
      <c r="AI7717" s="21"/>
      <c r="AJ7717" s="21"/>
      <c r="AK7717" s="21"/>
      <c r="AL7717" s="21" t="s">
        <v>3600</v>
      </c>
      <c r="AM7717" s="21" t="s">
        <v>3601</v>
      </c>
      <c r="AN7717" s="21">
        <v>-122.47865295</v>
      </c>
      <c r="AO7717" s="21">
        <v>37.7935886333333</v>
      </c>
      <c r="AP7717" s="21" t="s">
        <v>1915</v>
      </c>
    </row>
    <row r="7718" spans="1:42">
      <c r="A7718" s="20">
        <v>43851</v>
      </c>
      <c r="B7718" s="21">
        <v>2</v>
      </c>
      <c r="C7718" s="21">
        <v>532</v>
      </c>
      <c r="D7718" s="21">
        <v>11277</v>
      </c>
      <c r="E7718" t="s">
        <v>377</v>
      </c>
      <c r="F7718" s="21" t="s">
        <v>520</v>
      </c>
      <c r="G7718" s="21">
        <v>1</v>
      </c>
      <c r="H7718" s="21">
        <v>49</v>
      </c>
      <c r="I7718" s="23" t="s">
        <v>3317</v>
      </c>
      <c r="J7718" s="21"/>
      <c r="K7718" s="21" t="s">
        <v>2099</v>
      </c>
      <c r="L7718" s="21"/>
      <c r="M7718" s="21"/>
      <c r="N7718" s="21" t="s">
        <v>44</v>
      </c>
      <c r="O7718" s="21">
        <f>60+37</f>
        <v>97</v>
      </c>
      <c r="P7718" s="21"/>
      <c r="Q7718" s="21">
        <f t="shared" si="147"/>
        <v>1</v>
      </c>
      <c r="R7718" s="21">
        <v>1</v>
      </c>
      <c r="S7718" s="21">
        <v>0</v>
      </c>
      <c r="T7718" s="21">
        <v>0</v>
      </c>
      <c r="U7718" s="21">
        <v>0</v>
      </c>
      <c r="V7718" s="21">
        <v>0</v>
      </c>
      <c r="W7718" s="21">
        <v>0</v>
      </c>
      <c r="X7718" s="21">
        <v>0</v>
      </c>
      <c r="Y7718" s="21">
        <v>0</v>
      </c>
      <c r="Z7718" s="21">
        <v>0</v>
      </c>
      <c r="AA7718" s="21">
        <v>0</v>
      </c>
      <c r="AB7718" s="21">
        <v>0</v>
      </c>
      <c r="AC7718" s="21">
        <v>1</v>
      </c>
      <c r="AD7718" s="21">
        <v>0</v>
      </c>
      <c r="AE7718" s="21">
        <v>0</v>
      </c>
      <c r="AF7718" s="21">
        <v>0</v>
      </c>
      <c r="AG7718" s="21">
        <v>0</v>
      </c>
      <c r="AH7718" s="21">
        <f t="shared" si="148"/>
        <v>0</v>
      </c>
      <c r="AI7718" s="21"/>
      <c r="AJ7718" s="21"/>
      <c r="AK7718" s="21"/>
      <c r="AL7718" s="21" t="s">
        <v>3600</v>
      </c>
      <c r="AM7718" s="21" t="s">
        <v>3602</v>
      </c>
      <c r="AN7718" s="21">
        <v>-122.47792288333299</v>
      </c>
      <c r="AO7718" s="21">
        <v>37.793508416666697</v>
      </c>
      <c r="AP7718" s="21" t="s">
        <v>1915</v>
      </c>
    </row>
    <row r="7719" spans="1:42">
      <c r="A7719" s="20">
        <v>43851</v>
      </c>
      <c r="B7719" s="21">
        <v>2</v>
      </c>
      <c r="C7719" s="21">
        <v>532</v>
      </c>
      <c r="D7719" s="21">
        <v>11277</v>
      </c>
      <c r="E7719" t="s">
        <v>377</v>
      </c>
      <c r="F7719" s="21" t="s">
        <v>520</v>
      </c>
      <c r="G7719" s="21">
        <v>1</v>
      </c>
      <c r="H7719" s="21">
        <v>50</v>
      </c>
      <c r="I7719" s="23" t="s">
        <v>3603</v>
      </c>
      <c r="J7719" s="21"/>
      <c r="K7719" s="21" t="s">
        <v>2099</v>
      </c>
      <c r="L7719" s="21"/>
      <c r="M7719" s="21"/>
      <c r="N7719" s="21" t="s">
        <v>44</v>
      </c>
      <c r="O7719" s="21">
        <v>60</v>
      </c>
      <c r="P7719" s="21"/>
      <c r="Q7719" s="21">
        <f t="shared" si="147"/>
        <v>1</v>
      </c>
      <c r="R7719" s="21">
        <v>1</v>
      </c>
      <c r="S7719" s="21">
        <v>0</v>
      </c>
      <c r="T7719" s="21">
        <v>0</v>
      </c>
      <c r="U7719" s="21">
        <v>0</v>
      </c>
      <c r="V7719" s="21">
        <v>0</v>
      </c>
      <c r="W7719" s="21">
        <v>0</v>
      </c>
      <c r="X7719" s="21">
        <v>0</v>
      </c>
      <c r="Y7719" s="21">
        <v>0</v>
      </c>
      <c r="Z7719" s="21">
        <v>0</v>
      </c>
      <c r="AA7719" s="21">
        <v>0</v>
      </c>
      <c r="AB7719" s="21">
        <v>1</v>
      </c>
      <c r="AC7719" s="21">
        <v>0</v>
      </c>
      <c r="AD7719" s="21">
        <v>0</v>
      </c>
      <c r="AE7719" s="21">
        <v>0</v>
      </c>
      <c r="AF7719" s="21">
        <v>0</v>
      </c>
      <c r="AG7719" s="21">
        <v>0</v>
      </c>
      <c r="AH7719" s="21">
        <f t="shared" si="148"/>
        <v>0</v>
      </c>
      <c r="AI7719" s="21"/>
      <c r="AJ7719" s="21"/>
      <c r="AK7719" s="21"/>
      <c r="AL7719" s="21" t="s">
        <v>3600</v>
      </c>
      <c r="AM7719" s="21" t="s">
        <v>3604</v>
      </c>
      <c r="AN7719" s="21">
        <v>-122.47827858333299</v>
      </c>
      <c r="AO7719" s="21">
        <v>37.793068750000003</v>
      </c>
      <c r="AP7719" s="21" t="s">
        <v>1915</v>
      </c>
    </row>
    <row r="7720" spans="1:42">
      <c r="A7720" s="20">
        <v>43851</v>
      </c>
      <c r="B7720" s="21">
        <v>2</v>
      </c>
      <c r="C7720" s="21">
        <v>532</v>
      </c>
      <c r="D7720" s="21">
        <v>11277</v>
      </c>
      <c r="E7720" t="s">
        <v>377</v>
      </c>
      <c r="F7720" s="21" t="s">
        <v>520</v>
      </c>
      <c r="G7720" s="21">
        <v>1</v>
      </c>
      <c r="H7720" s="21">
        <v>51</v>
      </c>
      <c r="I7720" s="23" t="s">
        <v>3605</v>
      </c>
      <c r="J7720" s="21"/>
      <c r="K7720" s="21" t="s">
        <v>2099</v>
      </c>
      <c r="L7720" s="21"/>
      <c r="M7720" s="21"/>
      <c r="N7720" s="21"/>
      <c r="O7720" s="21">
        <f>60+11</f>
        <v>71</v>
      </c>
      <c r="P7720" s="21"/>
      <c r="Q7720" s="21">
        <f t="shared" si="147"/>
        <v>1</v>
      </c>
      <c r="R7720" s="21">
        <v>1</v>
      </c>
      <c r="S7720" s="21">
        <v>0</v>
      </c>
      <c r="T7720" s="21">
        <v>0</v>
      </c>
      <c r="U7720" s="21">
        <v>0</v>
      </c>
      <c r="V7720" s="21">
        <v>0</v>
      </c>
      <c r="W7720" s="21">
        <v>0</v>
      </c>
      <c r="X7720" s="21">
        <v>0</v>
      </c>
      <c r="Y7720" s="21">
        <v>0</v>
      </c>
      <c r="Z7720" s="21">
        <v>0</v>
      </c>
      <c r="AA7720" s="21">
        <v>0</v>
      </c>
      <c r="AB7720" s="21">
        <v>1</v>
      </c>
      <c r="AC7720" s="21">
        <v>0</v>
      </c>
      <c r="AD7720" s="21">
        <v>0</v>
      </c>
      <c r="AE7720" s="21">
        <v>0</v>
      </c>
      <c r="AF7720" s="21">
        <v>0</v>
      </c>
      <c r="AG7720" s="21">
        <v>0</v>
      </c>
      <c r="AH7720" s="21">
        <f t="shared" si="148"/>
        <v>0</v>
      </c>
      <c r="AI7720" s="21"/>
      <c r="AJ7720" s="21"/>
      <c r="AK7720" s="21"/>
      <c r="AL7720" s="21" t="s">
        <v>3606</v>
      </c>
      <c r="AM7720" s="21" t="s">
        <v>3607</v>
      </c>
      <c r="AN7720" s="21">
        <v>-122.476780433333</v>
      </c>
      <c r="AO7720" s="21">
        <v>37.792505783333297</v>
      </c>
      <c r="AP7720" s="21" t="s">
        <v>1915</v>
      </c>
    </row>
    <row r="7721" spans="1:42">
      <c r="A7721" s="20">
        <v>43851</v>
      </c>
      <c r="B7721" s="21">
        <v>2</v>
      </c>
      <c r="C7721" s="21">
        <v>532</v>
      </c>
      <c r="D7721" s="21">
        <v>11277</v>
      </c>
      <c r="E7721" t="s">
        <v>377</v>
      </c>
      <c r="F7721" s="21" t="s">
        <v>520</v>
      </c>
      <c r="G7721" s="21">
        <v>1</v>
      </c>
      <c r="H7721" s="21">
        <v>52</v>
      </c>
      <c r="I7721" s="23" t="s">
        <v>3608</v>
      </c>
      <c r="J7721" s="21"/>
      <c r="K7721" s="21" t="s">
        <v>2099</v>
      </c>
      <c r="L7721" s="21"/>
      <c r="M7721" s="21"/>
      <c r="N7721" s="21" t="s">
        <v>44</v>
      </c>
      <c r="O7721" s="21">
        <f>60+3</f>
        <v>63</v>
      </c>
      <c r="P7721" s="21"/>
      <c r="Q7721" s="21">
        <f t="shared" si="147"/>
        <v>1</v>
      </c>
      <c r="R7721" s="21">
        <v>1</v>
      </c>
      <c r="S7721" s="21">
        <v>0</v>
      </c>
      <c r="T7721" s="21">
        <v>0</v>
      </c>
      <c r="U7721" s="21">
        <v>0</v>
      </c>
      <c r="V7721" s="21">
        <v>0</v>
      </c>
      <c r="W7721" s="21">
        <v>0</v>
      </c>
      <c r="X7721" s="21">
        <v>0</v>
      </c>
      <c r="Y7721" s="21">
        <v>0</v>
      </c>
      <c r="Z7721" s="21">
        <v>0</v>
      </c>
      <c r="AA7721" s="21">
        <v>0</v>
      </c>
      <c r="AB7721" s="21">
        <v>1</v>
      </c>
      <c r="AC7721" s="21">
        <v>0</v>
      </c>
      <c r="AD7721" s="21">
        <v>0</v>
      </c>
      <c r="AE7721" s="21">
        <v>0</v>
      </c>
      <c r="AF7721" s="21">
        <v>0</v>
      </c>
      <c r="AG7721" s="21">
        <v>0</v>
      </c>
      <c r="AH7721" s="21">
        <f t="shared" si="148"/>
        <v>0</v>
      </c>
      <c r="AI7721" s="21"/>
      <c r="AJ7721" s="21"/>
      <c r="AK7721" s="21"/>
      <c r="AL7721" s="21" t="s">
        <v>3609</v>
      </c>
      <c r="AM7721" s="21" t="s">
        <v>3610</v>
      </c>
      <c r="AN7721" s="21">
        <v>-122.47643858333301</v>
      </c>
      <c r="AO7721" s="21">
        <v>37.791735600000003</v>
      </c>
      <c r="AP7721" s="21" t="s">
        <v>1915</v>
      </c>
    </row>
    <row r="7722" spans="1:42">
      <c r="A7722" s="20">
        <v>43851</v>
      </c>
      <c r="B7722" s="21">
        <v>2</v>
      </c>
      <c r="C7722" s="21">
        <v>532</v>
      </c>
      <c r="D7722" s="21">
        <v>11277</v>
      </c>
      <c r="E7722" t="s">
        <v>377</v>
      </c>
      <c r="F7722" s="21" t="s">
        <v>520</v>
      </c>
      <c r="G7722" s="21">
        <v>1</v>
      </c>
      <c r="H7722" s="21">
        <v>53</v>
      </c>
      <c r="I7722" s="23" t="s">
        <v>3611</v>
      </c>
      <c r="J7722" s="21"/>
      <c r="K7722" s="21" t="s">
        <v>2099</v>
      </c>
      <c r="L7722" s="21"/>
      <c r="M7722" s="21"/>
      <c r="N7722" s="21" t="s">
        <v>44</v>
      </c>
      <c r="O7722" s="21">
        <v>44</v>
      </c>
      <c r="P7722" s="21"/>
      <c r="Q7722" s="21">
        <f t="shared" si="147"/>
        <v>1</v>
      </c>
      <c r="R7722" s="21">
        <v>1</v>
      </c>
      <c r="S7722" s="21">
        <v>0</v>
      </c>
      <c r="T7722" s="21">
        <v>0</v>
      </c>
      <c r="U7722" s="21">
        <v>0</v>
      </c>
      <c r="V7722" s="21">
        <v>0</v>
      </c>
      <c r="W7722" s="21">
        <v>1</v>
      </c>
      <c r="X7722" s="21">
        <v>0</v>
      </c>
      <c r="Y7722" s="21">
        <v>0</v>
      </c>
      <c r="Z7722" s="21">
        <v>0</v>
      </c>
      <c r="AA7722" s="21">
        <v>0</v>
      </c>
      <c r="AB7722" s="21">
        <v>0</v>
      </c>
      <c r="AC7722" s="21">
        <v>0</v>
      </c>
      <c r="AD7722" s="21">
        <v>0</v>
      </c>
      <c r="AE7722" s="21">
        <v>0</v>
      </c>
      <c r="AF7722" s="21">
        <v>0</v>
      </c>
      <c r="AG7722" s="21">
        <v>0</v>
      </c>
      <c r="AH7722" s="21">
        <f t="shared" si="148"/>
        <v>96</v>
      </c>
      <c r="AI7722" s="21"/>
      <c r="AJ7722" s="21"/>
      <c r="AK7722" s="21"/>
      <c r="AL7722" s="21" t="s">
        <v>3612</v>
      </c>
      <c r="AM7722" s="21" t="s">
        <v>3613</v>
      </c>
      <c r="AN7722" s="21">
        <v>-122.47723088333299</v>
      </c>
      <c r="AO7722" s="21">
        <v>37.792354150000001</v>
      </c>
      <c r="AP7722" s="21" t="s">
        <v>1915</v>
      </c>
    </row>
    <row r="7723" spans="1:42">
      <c r="A7723" s="20">
        <v>43851</v>
      </c>
      <c r="B7723" s="21">
        <v>2</v>
      </c>
      <c r="C7723" s="21">
        <v>532</v>
      </c>
      <c r="D7723" s="21">
        <v>11277</v>
      </c>
      <c r="E7723" t="s">
        <v>377</v>
      </c>
      <c r="F7723" s="21" t="s">
        <v>520</v>
      </c>
      <c r="G7723" s="21">
        <v>1</v>
      </c>
      <c r="H7723" s="21">
        <v>54</v>
      </c>
      <c r="I7723" s="23" t="s">
        <v>3614</v>
      </c>
      <c r="J7723" s="21"/>
      <c r="K7723" s="21" t="s">
        <v>2099</v>
      </c>
      <c r="L7723" s="21"/>
      <c r="M7723" s="21"/>
      <c r="N7723" s="21" t="s">
        <v>44</v>
      </c>
      <c r="O7723" s="21">
        <v>41</v>
      </c>
      <c r="P7723" s="21"/>
      <c r="Q7723" s="21">
        <f t="shared" si="147"/>
        <v>1</v>
      </c>
      <c r="R7723" s="21">
        <v>1</v>
      </c>
      <c r="S7723" s="21">
        <v>0</v>
      </c>
      <c r="T7723" s="21">
        <v>0</v>
      </c>
      <c r="U7723" s="21">
        <v>0</v>
      </c>
      <c r="V7723" s="21">
        <v>0</v>
      </c>
      <c r="W7723" s="21">
        <v>0</v>
      </c>
      <c r="X7723" s="21">
        <v>0</v>
      </c>
      <c r="Y7723" s="21">
        <v>0</v>
      </c>
      <c r="Z7723" s="21">
        <v>0</v>
      </c>
      <c r="AA7723" s="21">
        <v>0</v>
      </c>
      <c r="AB7723" s="21">
        <v>1</v>
      </c>
      <c r="AC7723" s="21">
        <v>0</v>
      </c>
      <c r="AD7723" s="21">
        <v>0</v>
      </c>
      <c r="AE7723" s="21">
        <v>0</v>
      </c>
      <c r="AF7723" s="21">
        <v>0</v>
      </c>
      <c r="AG7723" s="21">
        <v>0</v>
      </c>
      <c r="AH7723" s="21">
        <f t="shared" si="148"/>
        <v>0</v>
      </c>
      <c r="AI7723" s="21"/>
      <c r="AJ7723" s="21"/>
      <c r="AK7723" s="21"/>
      <c r="AL7723" s="21" t="s">
        <v>3612</v>
      </c>
      <c r="AM7723" s="21" t="s">
        <v>3615</v>
      </c>
      <c r="AN7723" s="21">
        <v>-122.47768498333301</v>
      </c>
      <c r="AO7723" s="21">
        <v>37.792250299999999</v>
      </c>
      <c r="AP7723" s="21" t="s">
        <v>1915</v>
      </c>
    </row>
    <row r="7724" spans="1:42">
      <c r="A7724" s="20">
        <v>43851</v>
      </c>
      <c r="B7724" s="21">
        <v>2</v>
      </c>
      <c r="C7724" s="21">
        <v>532</v>
      </c>
      <c r="D7724" s="21">
        <v>11277</v>
      </c>
      <c r="E7724" t="s">
        <v>377</v>
      </c>
      <c r="F7724" s="21" t="s">
        <v>520</v>
      </c>
      <c r="G7724" s="21">
        <v>1</v>
      </c>
      <c r="H7724" s="21">
        <v>55</v>
      </c>
      <c r="I7724" s="23" t="s">
        <v>3337</v>
      </c>
      <c r="J7724" s="21"/>
      <c r="K7724" s="21" t="s">
        <v>2099</v>
      </c>
      <c r="L7724" s="21"/>
      <c r="M7724" s="21"/>
      <c r="N7724" s="21" t="s">
        <v>44</v>
      </c>
      <c r="O7724" s="21">
        <v>33</v>
      </c>
      <c r="P7724" s="21"/>
      <c r="Q7724" s="21">
        <f t="shared" si="147"/>
        <v>1</v>
      </c>
      <c r="R7724" s="21">
        <v>1</v>
      </c>
      <c r="S7724" s="21">
        <v>0</v>
      </c>
      <c r="T7724" s="21">
        <v>0</v>
      </c>
      <c r="U7724" s="21">
        <v>0</v>
      </c>
      <c r="V7724" s="21">
        <v>0</v>
      </c>
      <c r="W7724" s="21">
        <v>0</v>
      </c>
      <c r="X7724" s="21">
        <v>0</v>
      </c>
      <c r="Y7724" s="21">
        <v>0</v>
      </c>
      <c r="Z7724" s="21">
        <v>0</v>
      </c>
      <c r="AA7724" s="21">
        <v>0</v>
      </c>
      <c r="AB7724" s="21">
        <v>1</v>
      </c>
      <c r="AC7724" s="21">
        <v>0</v>
      </c>
      <c r="AD7724" s="21">
        <v>0</v>
      </c>
      <c r="AE7724" s="21">
        <v>0</v>
      </c>
      <c r="AF7724" s="21">
        <v>0</v>
      </c>
      <c r="AG7724" s="21">
        <v>0</v>
      </c>
      <c r="AH7724" s="21">
        <f t="shared" si="148"/>
        <v>0</v>
      </c>
      <c r="AI7724" s="21"/>
      <c r="AJ7724" s="21"/>
      <c r="AK7724" s="21"/>
      <c r="AL7724" s="21" t="s">
        <v>3597</v>
      </c>
      <c r="AM7724" s="21" t="s">
        <v>3616</v>
      </c>
      <c r="AN7724" s="21">
        <v>-122.47706436666699</v>
      </c>
      <c r="AO7724" s="21">
        <v>37.7910023833333</v>
      </c>
      <c r="AP7724" s="21" t="s">
        <v>1915</v>
      </c>
    </row>
    <row r="7725" spans="1:42">
      <c r="A7725" s="20">
        <v>43851</v>
      </c>
      <c r="B7725" s="21">
        <v>2</v>
      </c>
      <c r="C7725" s="21">
        <v>532</v>
      </c>
      <c r="D7725" s="21">
        <v>11277</v>
      </c>
      <c r="E7725" t="s">
        <v>377</v>
      </c>
      <c r="F7725" s="21" t="s">
        <v>520</v>
      </c>
      <c r="G7725" s="21">
        <v>1</v>
      </c>
      <c r="H7725" s="21">
        <v>56</v>
      </c>
      <c r="I7725" s="23">
        <v>1521</v>
      </c>
      <c r="J7725" s="21"/>
      <c r="K7725" s="21" t="s">
        <v>2099</v>
      </c>
      <c r="L7725" s="21"/>
      <c r="M7725" s="21"/>
      <c r="N7725" s="21" t="s">
        <v>44</v>
      </c>
      <c r="O7725" s="21">
        <v>50</v>
      </c>
      <c r="P7725" s="21"/>
      <c r="Q7725" s="21">
        <f t="shared" si="147"/>
        <v>1</v>
      </c>
      <c r="R7725" s="21">
        <v>1</v>
      </c>
      <c r="S7725" s="21">
        <v>0</v>
      </c>
      <c r="T7725" s="21">
        <v>0</v>
      </c>
      <c r="U7725" s="21">
        <v>0</v>
      </c>
      <c r="V7725" s="21">
        <v>0</v>
      </c>
      <c r="W7725" s="21">
        <v>0</v>
      </c>
      <c r="X7725" s="21">
        <v>0</v>
      </c>
      <c r="Y7725" s="21">
        <v>0</v>
      </c>
      <c r="Z7725" s="21">
        <v>0</v>
      </c>
      <c r="AA7725" s="21">
        <v>0</v>
      </c>
      <c r="AB7725" s="21">
        <v>1</v>
      </c>
      <c r="AC7725" s="21">
        <v>0</v>
      </c>
      <c r="AD7725" s="21">
        <v>0</v>
      </c>
      <c r="AE7725" s="21">
        <v>0</v>
      </c>
      <c r="AF7725" s="21">
        <v>0</v>
      </c>
      <c r="AG7725" s="21">
        <v>0</v>
      </c>
      <c r="AH7725" s="21">
        <f t="shared" si="148"/>
        <v>0</v>
      </c>
      <c r="AI7725" s="21"/>
      <c r="AJ7725" s="21"/>
      <c r="AK7725" s="21"/>
      <c r="AL7725" s="21" t="s">
        <v>3597</v>
      </c>
      <c r="AM7725" s="21" t="s">
        <v>3617</v>
      </c>
      <c r="AN7725" s="21">
        <v>-122.47756586666701</v>
      </c>
      <c r="AO7725" s="21">
        <v>37.7910617</v>
      </c>
      <c r="AP7725" s="21" t="s">
        <v>1915</v>
      </c>
    </row>
    <row r="7726" spans="1:42">
      <c r="A7726" s="20">
        <v>43851</v>
      </c>
      <c r="B7726" s="21">
        <v>2</v>
      </c>
      <c r="C7726" s="21">
        <v>532</v>
      </c>
      <c r="D7726" s="21">
        <v>11277</v>
      </c>
      <c r="E7726" t="s">
        <v>377</v>
      </c>
      <c r="F7726" s="21" t="s">
        <v>520</v>
      </c>
      <c r="G7726" s="21">
        <v>1</v>
      </c>
      <c r="H7726" s="21">
        <v>57</v>
      </c>
      <c r="I7726" s="23" t="s">
        <v>3618</v>
      </c>
      <c r="J7726" s="21"/>
      <c r="K7726" s="21" t="s">
        <v>2099</v>
      </c>
      <c r="L7726" s="21"/>
      <c r="M7726" s="21"/>
      <c r="N7726" s="21" t="s">
        <v>44</v>
      </c>
      <c r="O7726" s="21">
        <v>46</v>
      </c>
      <c r="P7726" s="21"/>
      <c r="Q7726" s="21">
        <f t="shared" si="147"/>
        <v>1</v>
      </c>
      <c r="R7726" s="21">
        <v>1</v>
      </c>
      <c r="S7726" s="21">
        <v>0</v>
      </c>
      <c r="T7726" s="21">
        <v>0</v>
      </c>
      <c r="U7726" s="21">
        <v>0</v>
      </c>
      <c r="V7726" s="21">
        <v>0</v>
      </c>
      <c r="W7726" s="21">
        <v>0</v>
      </c>
      <c r="X7726" s="21">
        <v>0</v>
      </c>
      <c r="Y7726" s="21">
        <v>0</v>
      </c>
      <c r="Z7726" s="21">
        <v>0</v>
      </c>
      <c r="AA7726" s="21">
        <v>0</v>
      </c>
      <c r="AB7726" s="21">
        <v>1</v>
      </c>
      <c r="AC7726" s="21">
        <v>0</v>
      </c>
      <c r="AD7726" s="21">
        <v>0</v>
      </c>
      <c r="AE7726" s="21">
        <v>0</v>
      </c>
      <c r="AF7726" s="21">
        <v>0</v>
      </c>
      <c r="AG7726" s="21">
        <v>0</v>
      </c>
      <c r="AH7726" s="21">
        <f t="shared" si="148"/>
        <v>0</v>
      </c>
      <c r="AI7726" s="21"/>
      <c r="AJ7726" s="21"/>
      <c r="AK7726" s="21"/>
      <c r="AL7726" s="21" t="s">
        <v>3597</v>
      </c>
      <c r="AM7726" s="21" t="s">
        <v>3619</v>
      </c>
      <c r="AN7726" s="21">
        <v>-122.477613366667</v>
      </c>
      <c r="AO7726" s="21">
        <v>37.791536466666599</v>
      </c>
      <c r="AP7726" s="21" t="s">
        <v>1915</v>
      </c>
    </row>
    <row r="7727" spans="1:42">
      <c r="A7727" s="20">
        <v>43851</v>
      </c>
      <c r="B7727" s="21">
        <v>2</v>
      </c>
      <c r="C7727" s="21">
        <v>532</v>
      </c>
      <c r="D7727" s="21">
        <v>11277</v>
      </c>
      <c r="E7727" t="s">
        <v>377</v>
      </c>
      <c r="F7727" s="21" t="s">
        <v>520</v>
      </c>
      <c r="G7727" s="21">
        <v>1</v>
      </c>
      <c r="H7727" s="21">
        <v>58</v>
      </c>
      <c r="I7727" s="23" t="s">
        <v>3618</v>
      </c>
      <c r="J7727" s="21"/>
      <c r="K7727" s="21" t="s">
        <v>2099</v>
      </c>
      <c r="L7727" s="21"/>
      <c r="M7727" s="21"/>
      <c r="N7727" s="21" t="s">
        <v>44</v>
      </c>
      <c r="O7727" s="21">
        <v>50</v>
      </c>
      <c r="P7727" s="21"/>
      <c r="Q7727" s="21">
        <f t="shared" si="147"/>
        <v>1</v>
      </c>
      <c r="R7727" s="21">
        <v>1</v>
      </c>
      <c r="S7727" s="21">
        <v>0</v>
      </c>
      <c r="T7727" s="21">
        <v>0</v>
      </c>
      <c r="U7727" s="21">
        <v>0</v>
      </c>
      <c r="V7727" s="21">
        <v>0</v>
      </c>
      <c r="W7727" s="21">
        <v>0</v>
      </c>
      <c r="X7727" s="21">
        <v>0</v>
      </c>
      <c r="Y7727" s="21">
        <v>0</v>
      </c>
      <c r="Z7727" s="21">
        <v>0</v>
      </c>
      <c r="AA7727" s="21">
        <v>0</v>
      </c>
      <c r="AB7727" s="21">
        <v>1</v>
      </c>
      <c r="AC7727" s="21">
        <v>0</v>
      </c>
      <c r="AD7727" s="21">
        <v>0</v>
      </c>
      <c r="AE7727" s="21">
        <v>0</v>
      </c>
      <c r="AF7727" s="21">
        <v>0</v>
      </c>
      <c r="AG7727" s="21">
        <v>0</v>
      </c>
      <c r="AH7727" s="21">
        <f t="shared" si="148"/>
        <v>0</v>
      </c>
      <c r="AI7727" s="21"/>
      <c r="AJ7727" s="21"/>
      <c r="AK7727" s="21"/>
      <c r="AL7727" s="21" t="s">
        <v>3597</v>
      </c>
      <c r="AM7727" s="21" t="s">
        <v>3620</v>
      </c>
      <c r="AN7727" s="21">
        <v>-122.47784761666701</v>
      </c>
      <c r="AO7727" s="21">
        <v>37.791081216666697</v>
      </c>
      <c r="AP7727" s="21" t="s">
        <v>1915</v>
      </c>
    </row>
    <row r="7728" spans="1:42">
      <c r="A7728" s="20">
        <v>43851</v>
      </c>
      <c r="B7728" s="21">
        <v>2</v>
      </c>
      <c r="C7728" s="21">
        <v>532</v>
      </c>
      <c r="D7728" s="21">
        <v>11277</v>
      </c>
      <c r="E7728" t="s">
        <v>377</v>
      </c>
      <c r="F7728" s="21" t="s">
        <v>520</v>
      </c>
      <c r="G7728" s="21">
        <v>1</v>
      </c>
      <c r="H7728" s="21">
        <v>59</v>
      </c>
      <c r="I7728" s="23" t="s">
        <v>3621</v>
      </c>
      <c r="J7728" s="21"/>
      <c r="K7728" s="21" t="s">
        <v>2099</v>
      </c>
      <c r="L7728" s="21"/>
      <c r="M7728" s="21"/>
      <c r="N7728" s="21" t="s">
        <v>44</v>
      </c>
      <c r="O7728" s="21">
        <v>60</v>
      </c>
      <c r="P7728" s="21"/>
      <c r="Q7728" s="21">
        <f t="shared" si="147"/>
        <v>1</v>
      </c>
      <c r="R7728" s="21">
        <v>1</v>
      </c>
      <c r="S7728" s="21">
        <v>0</v>
      </c>
      <c r="T7728" s="21">
        <v>0</v>
      </c>
      <c r="U7728" s="21">
        <v>0</v>
      </c>
      <c r="V7728" s="21">
        <v>0</v>
      </c>
      <c r="W7728" s="21">
        <v>1</v>
      </c>
      <c r="X7728" s="21">
        <v>0</v>
      </c>
      <c r="Y7728" s="21">
        <v>0</v>
      </c>
      <c r="Z7728" s="21">
        <v>0</v>
      </c>
      <c r="AA7728" s="21">
        <v>0</v>
      </c>
      <c r="AB7728" s="21">
        <v>0</v>
      </c>
      <c r="AC7728" s="21">
        <v>0</v>
      </c>
      <c r="AD7728" s="21">
        <v>0</v>
      </c>
      <c r="AE7728" s="21">
        <v>0</v>
      </c>
      <c r="AF7728" s="21">
        <v>0</v>
      </c>
      <c r="AG7728" s="21">
        <v>0</v>
      </c>
      <c r="AH7728" s="21">
        <f t="shared" si="148"/>
        <v>96</v>
      </c>
      <c r="AI7728" s="21"/>
      <c r="AJ7728" s="21"/>
      <c r="AK7728" s="21"/>
      <c r="AL7728" s="21" t="s">
        <v>3597</v>
      </c>
      <c r="AM7728" s="21" t="s">
        <v>3622</v>
      </c>
      <c r="AN7728" s="21">
        <v>-122.47790076666701</v>
      </c>
      <c r="AO7728" s="21">
        <v>37.791535683333301</v>
      </c>
      <c r="AP7728" s="21" t="s">
        <v>1915</v>
      </c>
    </row>
    <row r="7729" spans="1:42">
      <c r="A7729" s="20">
        <v>43851</v>
      </c>
      <c r="B7729" s="21">
        <v>2</v>
      </c>
      <c r="C7729" s="21">
        <v>532</v>
      </c>
      <c r="D7729" s="21">
        <v>11277</v>
      </c>
      <c r="E7729" t="s">
        <v>377</v>
      </c>
      <c r="F7729" s="21" t="s">
        <v>520</v>
      </c>
      <c r="G7729" s="21">
        <v>1</v>
      </c>
      <c r="H7729" s="21">
        <v>60</v>
      </c>
      <c r="I7729" s="23" t="s">
        <v>3623</v>
      </c>
      <c r="J7729" s="21"/>
      <c r="K7729" s="21" t="s">
        <v>2099</v>
      </c>
      <c r="L7729" s="21"/>
      <c r="M7729" s="21"/>
      <c r="N7729" s="21" t="s">
        <v>44</v>
      </c>
      <c r="O7729" s="21">
        <v>55</v>
      </c>
      <c r="P7729" s="21"/>
      <c r="Q7729" s="21">
        <f t="shared" si="147"/>
        <v>1</v>
      </c>
      <c r="R7729" s="21">
        <v>1</v>
      </c>
      <c r="S7729" s="21">
        <v>0</v>
      </c>
      <c r="T7729" s="21">
        <v>0</v>
      </c>
      <c r="U7729" s="21">
        <v>0</v>
      </c>
      <c r="V7729" s="21">
        <v>0</v>
      </c>
      <c r="W7729" s="21">
        <v>0</v>
      </c>
      <c r="X7729" s="21">
        <v>0</v>
      </c>
      <c r="Y7729" s="21">
        <v>0</v>
      </c>
      <c r="Z7729" s="21">
        <v>0</v>
      </c>
      <c r="AA7729" s="21">
        <v>0</v>
      </c>
      <c r="AB7729" s="21">
        <v>1</v>
      </c>
      <c r="AC7729" s="21">
        <v>0</v>
      </c>
      <c r="AD7729" s="21">
        <v>0</v>
      </c>
      <c r="AE7729" s="21">
        <v>0</v>
      </c>
      <c r="AF7729" s="21">
        <v>0</v>
      </c>
      <c r="AG7729" s="21">
        <v>0</v>
      </c>
      <c r="AH7729" s="21">
        <f t="shared" si="148"/>
        <v>0</v>
      </c>
      <c r="AI7729" s="21"/>
      <c r="AJ7729" s="21"/>
      <c r="AK7729" s="21"/>
      <c r="AL7729" s="21" t="s">
        <v>3597</v>
      </c>
      <c r="AM7729" s="21" t="s">
        <v>3624</v>
      </c>
      <c r="AN7729" s="21">
        <v>-122.478329633333</v>
      </c>
      <c r="AO7729" s="21">
        <v>37.791229066666602</v>
      </c>
      <c r="AP7729" s="21" t="s">
        <v>1915</v>
      </c>
    </row>
    <row r="7730" spans="1:42">
      <c r="A7730" s="20">
        <v>43851</v>
      </c>
      <c r="B7730" s="21">
        <v>2</v>
      </c>
      <c r="C7730" s="21">
        <v>532</v>
      </c>
      <c r="D7730" s="21">
        <v>11277</v>
      </c>
      <c r="E7730" t="s">
        <v>377</v>
      </c>
      <c r="F7730" s="21" t="s">
        <v>520</v>
      </c>
      <c r="G7730" s="21">
        <v>1</v>
      </c>
      <c r="H7730" s="21">
        <v>61</v>
      </c>
      <c r="I7730" s="23" t="s">
        <v>3625</v>
      </c>
      <c r="J7730" s="21"/>
      <c r="K7730" s="21" t="s">
        <v>3626</v>
      </c>
      <c r="L7730" s="21"/>
      <c r="M7730" s="21"/>
      <c r="N7730" s="21" t="s">
        <v>44</v>
      </c>
      <c r="O7730" s="21">
        <v>56</v>
      </c>
      <c r="P7730" s="21"/>
      <c r="Q7730" s="21">
        <f t="shared" si="147"/>
        <v>1</v>
      </c>
      <c r="R7730" s="21">
        <v>1</v>
      </c>
      <c r="S7730" s="21">
        <v>0</v>
      </c>
      <c r="T7730" s="21">
        <v>0</v>
      </c>
      <c r="U7730" s="21">
        <v>0</v>
      </c>
      <c r="V7730" s="21">
        <v>0</v>
      </c>
      <c r="W7730" s="21">
        <v>0</v>
      </c>
      <c r="X7730" s="21">
        <v>0</v>
      </c>
      <c r="Y7730" s="21">
        <v>0</v>
      </c>
      <c r="Z7730" s="21">
        <v>0</v>
      </c>
      <c r="AA7730" s="21">
        <v>0</v>
      </c>
      <c r="AB7730" s="21">
        <v>1</v>
      </c>
      <c r="AC7730" s="21">
        <v>0</v>
      </c>
      <c r="AD7730" s="21">
        <v>0</v>
      </c>
      <c r="AE7730" s="21">
        <v>0</v>
      </c>
      <c r="AF7730" s="21">
        <v>0</v>
      </c>
      <c r="AG7730" s="21">
        <v>0</v>
      </c>
      <c r="AH7730" s="21">
        <f t="shared" si="148"/>
        <v>0</v>
      </c>
      <c r="AI7730" s="21"/>
      <c r="AJ7730" s="21"/>
      <c r="AK7730" s="21"/>
      <c r="AL7730" s="21" t="s">
        <v>3597</v>
      </c>
      <c r="AM7730" s="21" t="s">
        <v>3627</v>
      </c>
      <c r="AN7730" s="21">
        <v>-122.478926283333</v>
      </c>
      <c r="AO7730" s="21">
        <v>37.7929666333333</v>
      </c>
      <c r="AP7730" s="21" t="s">
        <v>1915</v>
      </c>
    </row>
    <row r="7731" spans="1:42">
      <c r="A7731" s="20">
        <v>43851</v>
      </c>
      <c r="B7731" s="21">
        <v>2</v>
      </c>
      <c r="C7731" s="21">
        <v>532</v>
      </c>
      <c r="D7731" s="21">
        <v>11277</v>
      </c>
      <c r="E7731" t="s">
        <v>377</v>
      </c>
      <c r="F7731" s="21" t="s">
        <v>520</v>
      </c>
      <c r="G7731" s="21">
        <v>1</v>
      </c>
      <c r="H7731" s="21">
        <v>62</v>
      </c>
      <c r="I7731" s="23" t="s">
        <v>3628</v>
      </c>
      <c r="J7731" s="21"/>
      <c r="K7731" s="21" t="s">
        <v>3626</v>
      </c>
      <c r="L7731" s="21"/>
      <c r="M7731" s="21"/>
      <c r="N7731" s="21" t="s">
        <v>44</v>
      </c>
      <c r="O7731" s="21">
        <f>60+8</f>
        <v>68</v>
      </c>
      <c r="P7731" s="21"/>
      <c r="Q7731" s="21">
        <f t="shared" si="147"/>
        <v>1</v>
      </c>
      <c r="R7731" s="21">
        <v>1</v>
      </c>
      <c r="S7731" s="21">
        <v>0</v>
      </c>
      <c r="T7731" s="21">
        <v>0</v>
      </c>
      <c r="U7731" s="21">
        <v>0</v>
      </c>
      <c r="V7731" s="21">
        <v>0</v>
      </c>
      <c r="W7731" s="21">
        <v>0</v>
      </c>
      <c r="X7731" s="21">
        <v>0</v>
      </c>
      <c r="Y7731" s="21">
        <v>0</v>
      </c>
      <c r="Z7731" s="21">
        <v>0</v>
      </c>
      <c r="AA7731" s="21">
        <v>0</v>
      </c>
      <c r="AB7731" s="21">
        <v>1</v>
      </c>
      <c r="AC7731" s="21">
        <v>0</v>
      </c>
      <c r="AD7731" s="21">
        <v>0</v>
      </c>
      <c r="AE7731" s="21">
        <v>0</v>
      </c>
      <c r="AF7731" s="21">
        <v>0</v>
      </c>
      <c r="AG7731" s="21">
        <v>0</v>
      </c>
      <c r="AH7731" s="21">
        <f t="shared" si="148"/>
        <v>0</v>
      </c>
      <c r="AI7731" s="21"/>
      <c r="AJ7731" s="21"/>
      <c r="AK7731" s="21"/>
      <c r="AL7731" s="21" t="s">
        <v>3629</v>
      </c>
      <c r="AM7731" s="21" t="s">
        <v>3630</v>
      </c>
      <c r="AN7731" s="21">
        <v>-122.47901368333299</v>
      </c>
      <c r="AO7731" s="21">
        <v>37.793292583333297</v>
      </c>
      <c r="AP7731" s="21" t="s">
        <v>1915</v>
      </c>
    </row>
    <row r="7732" spans="1:42">
      <c r="A7732" s="20">
        <v>43851</v>
      </c>
      <c r="B7732" s="21">
        <v>2</v>
      </c>
      <c r="C7732" s="21">
        <v>532</v>
      </c>
      <c r="D7732" s="21">
        <v>11277</v>
      </c>
      <c r="E7732" t="s">
        <v>377</v>
      </c>
      <c r="F7732" s="21" t="s">
        <v>520</v>
      </c>
      <c r="G7732" s="21">
        <v>1</v>
      </c>
      <c r="H7732" s="21">
        <v>63</v>
      </c>
      <c r="I7732" s="23" t="s">
        <v>3631</v>
      </c>
      <c r="J7732" s="21"/>
      <c r="K7732" s="21" t="s">
        <v>3626</v>
      </c>
      <c r="L7732" s="21"/>
      <c r="M7732" s="21"/>
      <c r="N7732" s="21" t="s">
        <v>44</v>
      </c>
      <c r="O7732" s="21">
        <f>60+28</f>
        <v>88</v>
      </c>
      <c r="P7732" s="21"/>
      <c r="Q7732" s="21">
        <f t="shared" si="147"/>
        <v>1</v>
      </c>
      <c r="R7732" s="21">
        <v>1</v>
      </c>
      <c r="S7732" s="21">
        <v>0</v>
      </c>
      <c r="T7732" s="21">
        <v>0</v>
      </c>
      <c r="U7732" s="21">
        <v>0</v>
      </c>
      <c r="V7732" s="21">
        <v>0</v>
      </c>
      <c r="W7732" s="21">
        <v>1</v>
      </c>
      <c r="X7732" s="21">
        <v>0</v>
      </c>
      <c r="Y7732" s="21">
        <v>0</v>
      </c>
      <c r="Z7732" s="21">
        <v>0</v>
      </c>
      <c r="AA7732" s="21">
        <v>0</v>
      </c>
      <c r="AB7732" s="21">
        <v>0</v>
      </c>
      <c r="AC7732" s="21">
        <v>0</v>
      </c>
      <c r="AD7732" s="21">
        <v>0</v>
      </c>
      <c r="AE7732" s="21">
        <v>0</v>
      </c>
      <c r="AF7732" s="21">
        <v>0</v>
      </c>
      <c r="AG7732" s="21">
        <v>0</v>
      </c>
      <c r="AH7732" s="21">
        <f t="shared" si="148"/>
        <v>96</v>
      </c>
      <c r="AI7732" s="21"/>
      <c r="AJ7732" s="21"/>
      <c r="AK7732" s="21"/>
      <c r="AL7732" s="21" t="s">
        <v>3629</v>
      </c>
      <c r="AM7732" s="21" t="s">
        <v>3632</v>
      </c>
      <c r="AN7732" s="21">
        <v>-122.4797725</v>
      </c>
      <c r="AO7732" s="21">
        <v>37.793415883333303</v>
      </c>
      <c r="AP7732" s="21" t="s">
        <v>1915</v>
      </c>
    </row>
    <row r="7733" spans="1:42">
      <c r="A7733" s="20">
        <v>43851</v>
      </c>
      <c r="B7733" s="21">
        <v>2</v>
      </c>
      <c r="C7733" s="21">
        <v>532</v>
      </c>
      <c r="D7733" s="21">
        <v>11277</v>
      </c>
      <c r="E7733" t="s">
        <v>377</v>
      </c>
      <c r="F7733" s="21" t="s">
        <v>520</v>
      </c>
      <c r="G7733" s="21">
        <v>1</v>
      </c>
      <c r="H7733" s="21">
        <v>64</v>
      </c>
      <c r="I7733" s="23" t="s">
        <v>3633</v>
      </c>
      <c r="J7733" s="21"/>
      <c r="K7733" s="21" t="s">
        <v>3626</v>
      </c>
      <c r="L7733" s="21"/>
      <c r="M7733" s="21"/>
      <c r="N7733" s="21" t="s">
        <v>44</v>
      </c>
      <c r="O7733" s="21">
        <v>70</v>
      </c>
      <c r="P7733" s="21"/>
      <c r="Q7733" s="21">
        <f t="shared" si="147"/>
        <v>1</v>
      </c>
      <c r="R7733" s="21">
        <v>1</v>
      </c>
      <c r="S7733" s="21">
        <v>0</v>
      </c>
      <c r="T7733" s="21">
        <v>0</v>
      </c>
      <c r="U7733" s="21">
        <v>0</v>
      </c>
      <c r="V7733" s="21">
        <v>0</v>
      </c>
      <c r="W7733" s="21">
        <v>0</v>
      </c>
      <c r="X7733" s="21">
        <v>0</v>
      </c>
      <c r="Y7733" s="21">
        <v>0</v>
      </c>
      <c r="Z7733" s="21">
        <v>0</v>
      </c>
      <c r="AA7733" s="21">
        <v>0</v>
      </c>
      <c r="AB7733" s="21">
        <v>1</v>
      </c>
      <c r="AC7733" s="21">
        <v>0</v>
      </c>
      <c r="AD7733" s="21">
        <v>0</v>
      </c>
      <c r="AE7733" s="21">
        <v>0</v>
      </c>
      <c r="AF7733" s="21">
        <v>0</v>
      </c>
      <c r="AG7733" s="21">
        <v>0</v>
      </c>
      <c r="AH7733" s="21">
        <f t="shared" si="148"/>
        <v>0</v>
      </c>
      <c r="AI7733" s="21"/>
      <c r="AJ7733" s="21"/>
      <c r="AK7733" s="21"/>
      <c r="AL7733" s="21" t="s">
        <v>3629</v>
      </c>
      <c r="AM7733" s="21" t="s">
        <v>3634</v>
      </c>
      <c r="AN7733" s="21">
        <v>-122.480373316667</v>
      </c>
      <c r="AO7733" s="21">
        <v>37.793103933333299</v>
      </c>
      <c r="AP7733" s="21" t="s">
        <v>1915</v>
      </c>
    </row>
    <row r="7734" spans="1:42">
      <c r="A7734" s="20">
        <v>43851</v>
      </c>
      <c r="B7734" s="21">
        <v>2</v>
      </c>
      <c r="C7734" s="21">
        <v>532</v>
      </c>
      <c r="D7734" s="21">
        <v>11277</v>
      </c>
      <c r="E7734" t="s">
        <v>377</v>
      </c>
      <c r="F7734" s="21" t="s">
        <v>520</v>
      </c>
      <c r="G7734" s="21">
        <v>1</v>
      </c>
      <c r="H7734" s="21">
        <v>65</v>
      </c>
      <c r="I7734" s="23" t="s">
        <v>3635</v>
      </c>
      <c r="J7734" s="21"/>
      <c r="K7734" s="21" t="s">
        <v>3626</v>
      </c>
      <c r="L7734" s="21"/>
      <c r="M7734" s="21"/>
      <c r="N7734" s="21" t="s">
        <v>44</v>
      </c>
      <c r="O7734" s="21">
        <v>53</v>
      </c>
      <c r="P7734" s="21"/>
      <c r="Q7734" s="21">
        <f t="shared" si="147"/>
        <v>1</v>
      </c>
      <c r="R7734" s="21">
        <v>1</v>
      </c>
      <c r="S7734" s="21">
        <v>0</v>
      </c>
      <c r="T7734" s="21">
        <v>0</v>
      </c>
      <c r="U7734" s="21">
        <v>0</v>
      </c>
      <c r="V7734" s="21">
        <v>0</v>
      </c>
      <c r="W7734" s="21">
        <v>1</v>
      </c>
      <c r="X7734" s="21">
        <v>0</v>
      </c>
      <c r="Y7734" s="21">
        <v>0</v>
      </c>
      <c r="Z7734" s="21">
        <v>0</v>
      </c>
      <c r="AA7734" s="21">
        <v>0</v>
      </c>
      <c r="AB7734" s="21">
        <v>0</v>
      </c>
      <c r="AC7734" s="21">
        <v>0</v>
      </c>
      <c r="AD7734" s="21">
        <v>0</v>
      </c>
      <c r="AE7734" s="21">
        <v>0</v>
      </c>
      <c r="AF7734" s="21">
        <v>0</v>
      </c>
      <c r="AG7734" s="21">
        <v>0</v>
      </c>
      <c r="AH7734" s="21">
        <f t="shared" si="148"/>
        <v>96</v>
      </c>
      <c r="AI7734" s="21"/>
      <c r="AJ7734" s="21"/>
      <c r="AK7734" s="21"/>
      <c r="AL7734" s="21" t="s">
        <v>3629</v>
      </c>
      <c r="AM7734" s="21" t="s">
        <v>3636</v>
      </c>
      <c r="AN7734" s="21">
        <v>-122.479958783333</v>
      </c>
      <c r="AO7734" s="21">
        <v>37.79262095</v>
      </c>
      <c r="AP7734" s="21" t="s">
        <v>1915</v>
      </c>
    </row>
    <row r="7735" spans="1:42">
      <c r="A7735" s="20">
        <v>43851</v>
      </c>
      <c r="B7735" s="21">
        <v>2</v>
      </c>
      <c r="C7735" s="21">
        <v>532</v>
      </c>
      <c r="D7735" s="21">
        <v>11277</v>
      </c>
      <c r="E7735" t="s">
        <v>377</v>
      </c>
      <c r="F7735" s="21" t="s">
        <v>520</v>
      </c>
      <c r="G7735" s="21">
        <v>1</v>
      </c>
      <c r="H7735" s="21">
        <v>66</v>
      </c>
      <c r="I7735" s="23" t="s">
        <v>3635</v>
      </c>
      <c r="J7735" s="21"/>
      <c r="K7735" s="21" t="s">
        <v>3626</v>
      </c>
      <c r="L7735" s="21"/>
      <c r="M7735" s="21"/>
      <c r="N7735" s="21" t="s">
        <v>44</v>
      </c>
      <c r="O7735" s="21">
        <v>50</v>
      </c>
      <c r="P7735" s="21"/>
      <c r="Q7735" s="21">
        <f t="shared" si="147"/>
        <v>1</v>
      </c>
      <c r="R7735" s="21">
        <v>1</v>
      </c>
      <c r="S7735" s="21">
        <v>0</v>
      </c>
      <c r="T7735" s="21">
        <v>0</v>
      </c>
      <c r="U7735" s="21">
        <v>0</v>
      </c>
      <c r="V7735" s="21">
        <v>0</v>
      </c>
      <c r="W7735" s="21">
        <v>0</v>
      </c>
      <c r="X7735" s="21">
        <v>0</v>
      </c>
      <c r="Y7735" s="21">
        <v>0</v>
      </c>
      <c r="Z7735" s="21">
        <v>0</v>
      </c>
      <c r="AA7735" s="21">
        <v>0</v>
      </c>
      <c r="AB7735" s="21">
        <v>1</v>
      </c>
      <c r="AC7735" s="21">
        <v>0</v>
      </c>
      <c r="AD7735" s="21">
        <v>0</v>
      </c>
      <c r="AE7735" s="21">
        <v>0</v>
      </c>
      <c r="AF7735" s="21">
        <v>0</v>
      </c>
      <c r="AG7735" s="21">
        <v>0</v>
      </c>
      <c r="AH7735" s="21">
        <f t="shared" si="148"/>
        <v>0</v>
      </c>
      <c r="AI7735" s="21"/>
      <c r="AJ7735" s="21"/>
      <c r="AK7735" s="21"/>
      <c r="AL7735" s="21" t="s">
        <v>3629</v>
      </c>
      <c r="AM7735" s="21" t="s">
        <v>3637</v>
      </c>
      <c r="AN7735" s="21">
        <v>-122.479401833333</v>
      </c>
      <c r="AO7735" s="21">
        <v>37.792446166666601</v>
      </c>
      <c r="AP7735" s="21" t="s">
        <v>1915</v>
      </c>
    </row>
    <row r="7736" spans="1:42">
      <c r="A7736" s="20">
        <v>43851</v>
      </c>
      <c r="B7736" s="21">
        <v>2</v>
      </c>
      <c r="C7736" s="21">
        <v>532</v>
      </c>
      <c r="D7736" s="21">
        <v>11277</v>
      </c>
      <c r="E7736" t="s">
        <v>377</v>
      </c>
      <c r="F7736" s="21" t="s">
        <v>520</v>
      </c>
      <c r="G7736" s="21">
        <v>1</v>
      </c>
      <c r="H7736" s="21">
        <v>67</v>
      </c>
      <c r="I7736" s="23" t="s">
        <v>3638</v>
      </c>
      <c r="J7736" s="21"/>
      <c r="K7736" s="21" t="s">
        <v>3626</v>
      </c>
      <c r="L7736" s="21"/>
      <c r="M7736" s="21"/>
      <c r="N7736" s="21" t="s">
        <v>44</v>
      </c>
      <c r="O7736" s="21">
        <v>44</v>
      </c>
      <c r="P7736" s="21"/>
      <c r="Q7736" s="21">
        <f t="shared" si="147"/>
        <v>1</v>
      </c>
      <c r="R7736" s="21">
        <v>1</v>
      </c>
      <c r="S7736" s="21">
        <v>0</v>
      </c>
      <c r="T7736" s="21">
        <v>0</v>
      </c>
      <c r="U7736" s="21">
        <v>0</v>
      </c>
      <c r="V7736" s="21">
        <v>0</v>
      </c>
      <c r="W7736" s="21">
        <v>0</v>
      </c>
      <c r="X7736" s="21">
        <v>0</v>
      </c>
      <c r="Y7736" s="21">
        <v>0</v>
      </c>
      <c r="Z7736" s="21">
        <v>0</v>
      </c>
      <c r="AA7736" s="21">
        <v>0</v>
      </c>
      <c r="AB7736" s="21">
        <v>0</v>
      </c>
      <c r="AC7736" s="21">
        <v>1</v>
      </c>
      <c r="AD7736" s="21">
        <v>0</v>
      </c>
      <c r="AE7736" s="21">
        <v>0</v>
      </c>
      <c r="AF7736" s="21">
        <v>0</v>
      </c>
      <c r="AG7736" s="21">
        <v>0</v>
      </c>
      <c r="AH7736" s="21">
        <f t="shared" si="148"/>
        <v>0</v>
      </c>
      <c r="AI7736" s="21"/>
      <c r="AJ7736" s="21"/>
      <c r="AK7736" s="21"/>
      <c r="AL7736" s="21" t="s">
        <v>3629</v>
      </c>
      <c r="AM7736" s="21" t="s">
        <v>3639</v>
      </c>
      <c r="AN7736" s="21">
        <v>-122.47869075</v>
      </c>
      <c r="AO7736" s="21">
        <v>37.792264983333297</v>
      </c>
      <c r="AP7736" s="21" t="s">
        <v>1915</v>
      </c>
    </row>
    <row r="7737" spans="1:42">
      <c r="A7737" s="20">
        <v>43851</v>
      </c>
      <c r="B7737" s="21">
        <v>2</v>
      </c>
      <c r="C7737" s="21">
        <v>532</v>
      </c>
      <c r="D7737" s="21">
        <v>11277</v>
      </c>
      <c r="E7737" t="s">
        <v>377</v>
      </c>
      <c r="F7737" s="21" t="s">
        <v>520</v>
      </c>
      <c r="G7737" s="21">
        <v>1</v>
      </c>
      <c r="H7737" s="21">
        <v>68</v>
      </c>
      <c r="I7737" s="23" t="s">
        <v>3640</v>
      </c>
      <c r="J7737" s="21"/>
      <c r="K7737" s="21" t="s">
        <v>3641</v>
      </c>
      <c r="L7737" s="21"/>
      <c r="M7737" s="21"/>
      <c r="N7737" s="21" t="s">
        <v>44</v>
      </c>
      <c r="O7737" s="21">
        <v>36</v>
      </c>
      <c r="P7737" s="21"/>
      <c r="Q7737" s="21">
        <f t="shared" si="147"/>
        <v>1</v>
      </c>
      <c r="R7737" s="21">
        <v>1</v>
      </c>
      <c r="S7737" s="21">
        <v>0</v>
      </c>
      <c r="T7737" s="21">
        <v>0</v>
      </c>
      <c r="U7737" s="21">
        <v>0</v>
      </c>
      <c r="V7737" s="21">
        <v>0</v>
      </c>
      <c r="W7737" s="21">
        <v>0</v>
      </c>
      <c r="X7737" s="21">
        <v>0</v>
      </c>
      <c r="Y7737" s="21">
        <v>0</v>
      </c>
      <c r="Z7737" s="21">
        <v>0</v>
      </c>
      <c r="AA7737" s="21">
        <v>0</v>
      </c>
      <c r="AB7737" s="21">
        <v>1</v>
      </c>
      <c r="AC7737" s="21">
        <v>0</v>
      </c>
      <c r="AD7737" s="21">
        <v>0</v>
      </c>
      <c r="AE7737" s="21">
        <v>0</v>
      </c>
      <c r="AF7737" s="21">
        <v>0</v>
      </c>
      <c r="AG7737" s="21">
        <v>0</v>
      </c>
      <c r="AH7737" s="21">
        <f t="shared" si="148"/>
        <v>0</v>
      </c>
      <c r="AI7737" s="21"/>
      <c r="AJ7737" s="21"/>
      <c r="AK7737" s="21"/>
      <c r="AL7737" s="21" t="s">
        <v>3629</v>
      </c>
      <c r="AM7737" s="21" t="s">
        <v>3642</v>
      </c>
      <c r="AN7737" s="21">
        <v>-122.47891250000001</v>
      </c>
      <c r="AO7737" s="21">
        <v>37.79108695</v>
      </c>
      <c r="AP7737" s="21" t="s">
        <v>1915</v>
      </c>
    </row>
    <row r="7738" spans="1:42">
      <c r="A7738" s="20">
        <v>43851</v>
      </c>
      <c r="B7738" s="21">
        <v>2</v>
      </c>
      <c r="C7738" s="21">
        <v>532</v>
      </c>
      <c r="D7738" s="21">
        <v>11277</v>
      </c>
      <c r="E7738" t="s">
        <v>377</v>
      </c>
      <c r="F7738" s="21" t="s">
        <v>520</v>
      </c>
      <c r="G7738" s="21">
        <v>1</v>
      </c>
      <c r="H7738" s="21">
        <v>69</v>
      </c>
      <c r="I7738" s="23" t="s">
        <v>3643</v>
      </c>
      <c r="J7738" s="21"/>
      <c r="K7738" s="21" t="s">
        <v>3641</v>
      </c>
      <c r="L7738" s="21"/>
      <c r="M7738" s="21"/>
      <c r="N7738" s="21" t="s">
        <v>44</v>
      </c>
      <c r="O7738" s="21">
        <v>46</v>
      </c>
      <c r="P7738" s="21"/>
      <c r="Q7738" s="21">
        <f t="shared" si="147"/>
        <v>1</v>
      </c>
      <c r="R7738" s="21">
        <v>1</v>
      </c>
      <c r="S7738" s="21">
        <v>0</v>
      </c>
      <c r="T7738" s="21">
        <v>0</v>
      </c>
      <c r="U7738" s="21">
        <v>0</v>
      </c>
      <c r="V7738" s="21">
        <v>0</v>
      </c>
      <c r="W7738" s="21">
        <v>0</v>
      </c>
      <c r="X7738" s="21">
        <v>0</v>
      </c>
      <c r="Y7738" s="21">
        <v>0</v>
      </c>
      <c r="Z7738" s="21">
        <v>0</v>
      </c>
      <c r="AA7738" s="21">
        <v>0</v>
      </c>
      <c r="AB7738" s="21">
        <v>0</v>
      </c>
      <c r="AC7738" s="21">
        <v>1</v>
      </c>
      <c r="AD7738" s="21">
        <v>0</v>
      </c>
      <c r="AE7738" s="21">
        <v>0</v>
      </c>
      <c r="AF7738" s="21">
        <v>0</v>
      </c>
      <c r="AG7738" s="21">
        <v>0</v>
      </c>
      <c r="AH7738" s="21">
        <f t="shared" si="148"/>
        <v>0</v>
      </c>
      <c r="AI7738" s="21"/>
      <c r="AJ7738" s="21"/>
      <c r="AK7738" s="21"/>
      <c r="AL7738" s="21" t="s">
        <v>3629</v>
      </c>
      <c r="AM7738" s="21" t="s">
        <v>3644</v>
      </c>
      <c r="AN7738" s="21">
        <v>-122.47944056666699</v>
      </c>
      <c r="AO7738" s="21">
        <v>37.792196099999998</v>
      </c>
      <c r="AP7738" s="21" t="s">
        <v>1915</v>
      </c>
    </row>
    <row r="7739" spans="1:42">
      <c r="A7739" s="20">
        <v>43851</v>
      </c>
      <c r="B7739" s="21">
        <v>2</v>
      </c>
      <c r="C7739" s="21">
        <v>532</v>
      </c>
      <c r="D7739" s="21">
        <v>11277</v>
      </c>
      <c r="E7739" t="s">
        <v>377</v>
      </c>
      <c r="F7739" s="21" t="s">
        <v>520</v>
      </c>
      <c r="G7739" s="21">
        <v>1</v>
      </c>
      <c r="H7739" s="21">
        <v>70</v>
      </c>
      <c r="I7739" s="23" t="s">
        <v>3645</v>
      </c>
      <c r="J7739" s="21"/>
      <c r="K7739" s="21" t="s">
        <v>3641</v>
      </c>
      <c r="L7739" s="21"/>
      <c r="M7739" s="21"/>
      <c r="N7739" s="21" t="s">
        <v>44</v>
      </c>
      <c r="O7739" s="21">
        <v>38</v>
      </c>
      <c r="P7739" s="21"/>
      <c r="Q7739" s="21">
        <f t="shared" si="147"/>
        <v>1</v>
      </c>
      <c r="R7739" s="21">
        <v>1</v>
      </c>
      <c r="S7739" s="21">
        <v>0</v>
      </c>
      <c r="T7739" s="21">
        <v>0</v>
      </c>
      <c r="U7739" s="21">
        <v>0</v>
      </c>
      <c r="V7739" s="21">
        <v>0</v>
      </c>
      <c r="W7739" s="21">
        <v>0</v>
      </c>
      <c r="X7739" s="21">
        <v>0</v>
      </c>
      <c r="Y7739" s="21">
        <v>0</v>
      </c>
      <c r="Z7739" s="21">
        <v>0</v>
      </c>
      <c r="AA7739" s="21">
        <v>0</v>
      </c>
      <c r="AB7739" s="21">
        <v>0</v>
      </c>
      <c r="AC7739" s="21">
        <v>1</v>
      </c>
      <c r="AD7739" s="21">
        <v>0</v>
      </c>
      <c r="AE7739" s="21">
        <v>0</v>
      </c>
      <c r="AF7739" s="21">
        <v>0</v>
      </c>
      <c r="AG7739" s="21">
        <v>0</v>
      </c>
      <c r="AH7739" s="21">
        <f t="shared" si="148"/>
        <v>0</v>
      </c>
      <c r="AI7739" s="21"/>
      <c r="AJ7739" s="21"/>
      <c r="AK7739" s="21"/>
      <c r="AL7739" s="21" t="s">
        <v>3629</v>
      </c>
      <c r="AM7739" s="21" t="s">
        <v>3646</v>
      </c>
      <c r="AN7739" s="21">
        <v>-122.479592016667</v>
      </c>
      <c r="AO7739" s="21">
        <v>37.7912851166667</v>
      </c>
      <c r="AP7739" s="21" t="s">
        <v>1915</v>
      </c>
    </row>
    <row r="7740" spans="1:42">
      <c r="A7740" s="20">
        <v>43851</v>
      </c>
      <c r="B7740" s="21">
        <v>2</v>
      </c>
      <c r="C7740" s="21">
        <v>532</v>
      </c>
      <c r="D7740" s="21">
        <v>11277</v>
      </c>
      <c r="E7740" t="s">
        <v>377</v>
      </c>
      <c r="F7740" s="21" t="s">
        <v>520</v>
      </c>
      <c r="G7740" s="21">
        <v>1</v>
      </c>
      <c r="H7740" s="21">
        <v>71</v>
      </c>
      <c r="I7740" s="23" t="s">
        <v>3647</v>
      </c>
      <c r="J7740" s="21"/>
      <c r="K7740" s="21" t="s">
        <v>3641</v>
      </c>
      <c r="L7740" s="21"/>
      <c r="M7740" s="21"/>
      <c r="N7740" s="21" t="s">
        <v>44</v>
      </c>
      <c r="O7740" s="21">
        <f>60+2</f>
        <v>62</v>
      </c>
      <c r="P7740" s="21"/>
      <c r="Q7740" s="21">
        <f t="shared" si="147"/>
        <v>1</v>
      </c>
      <c r="R7740" s="21">
        <v>1</v>
      </c>
      <c r="S7740" s="21">
        <v>0</v>
      </c>
      <c r="T7740" s="21">
        <v>0</v>
      </c>
      <c r="U7740" s="21">
        <v>0</v>
      </c>
      <c r="V7740" s="21">
        <v>0</v>
      </c>
      <c r="W7740" s="21">
        <v>0</v>
      </c>
      <c r="X7740" s="21">
        <v>0</v>
      </c>
      <c r="Y7740" s="21">
        <v>0</v>
      </c>
      <c r="Z7740" s="21">
        <v>0</v>
      </c>
      <c r="AA7740" s="21">
        <v>0</v>
      </c>
      <c r="AB7740" s="21">
        <v>0</v>
      </c>
      <c r="AC7740" s="21">
        <v>1</v>
      </c>
      <c r="AD7740" s="21">
        <v>0</v>
      </c>
      <c r="AE7740" s="21">
        <v>0</v>
      </c>
      <c r="AF7740" s="21">
        <v>0</v>
      </c>
      <c r="AG7740" s="21">
        <v>0</v>
      </c>
      <c r="AH7740" s="21">
        <f t="shared" si="148"/>
        <v>0</v>
      </c>
      <c r="AI7740" s="21"/>
      <c r="AJ7740" s="21"/>
      <c r="AK7740" s="21"/>
      <c r="AL7740" s="21" t="s">
        <v>3629</v>
      </c>
      <c r="AM7740" s="21" t="s">
        <v>3648</v>
      </c>
      <c r="AN7740" s="21">
        <v>-122.479856916667</v>
      </c>
      <c r="AO7740" s="21">
        <v>37.792201533333298</v>
      </c>
      <c r="AP7740" s="21" t="s">
        <v>1915</v>
      </c>
    </row>
    <row r="7741" spans="1:42">
      <c r="A7741" s="20">
        <v>43851</v>
      </c>
      <c r="B7741" s="21">
        <v>2</v>
      </c>
      <c r="C7741" s="21">
        <v>532</v>
      </c>
      <c r="D7741" s="21">
        <v>11277</v>
      </c>
      <c r="E7741" t="s">
        <v>377</v>
      </c>
      <c r="F7741" s="21" t="s">
        <v>520</v>
      </c>
      <c r="G7741" s="21">
        <v>1</v>
      </c>
      <c r="H7741" s="21">
        <v>72</v>
      </c>
      <c r="I7741" s="23" t="s">
        <v>3649</v>
      </c>
      <c r="J7741" s="21"/>
      <c r="K7741" s="21" t="s">
        <v>3641</v>
      </c>
      <c r="L7741" s="21"/>
      <c r="M7741" s="21"/>
      <c r="N7741" s="21" t="s">
        <v>44</v>
      </c>
      <c r="O7741" s="21">
        <v>45</v>
      </c>
      <c r="P7741" s="21"/>
      <c r="Q7741" s="21">
        <f t="shared" si="147"/>
        <v>1</v>
      </c>
      <c r="R7741" s="21">
        <v>1</v>
      </c>
      <c r="S7741" s="21">
        <v>0</v>
      </c>
      <c r="T7741" s="21">
        <v>0</v>
      </c>
      <c r="U7741" s="21">
        <v>0</v>
      </c>
      <c r="V7741" s="21">
        <v>0</v>
      </c>
      <c r="W7741" s="21">
        <v>0</v>
      </c>
      <c r="X7741" s="21">
        <v>0</v>
      </c>
      <c r="Y7741" s="21">
        <v>0</v>
      </c>
      <c r="Z7741" s="21">
        <v>0</v>
      </c>
      <c r="AA7741" s="21">
        <v>0</v>
      </c>
      <c r="AB7741" s="21">
        <v>1</v>
      </c>
      <c r="AC7741" s="21">
        <v>0</v>
      </c>
      <c r="AD7741" s="21">
        <v>0</v>
      </c>
      <c r="AE7741" s="21">
        <v>0</v>
      </c>
      <c r="AF7741" s="21">
        <v>0</v>
      </c>
      <c r="AG7741" s="21">
        <v>0</v>
      </c>
      <c r="AH7741" s="21">
        <f t="shared" si="148"/>
        <v>0</v>
      </c>
      <c r="AI7741" s="21"/>
      <c r="AJ7741" s="21"/>
      <c r="AK7741" s="21"/>
      <c r="AL7741" s="21" t="s">
        <v>3629</v>
      </c>
      <c r="AM7741" s="21" t="s">
        <v>3650</v>
      </c>
      <c r="AN7741" s="21">
        <v>-122.48019056666701</v>
      </c>
      <c r="AO7741" s="21">
        <v>37.791865100000003</v>
      </c>
      <c r="AP7741" s="21" t="s">
        <v>1915</v>
      </c>
    </row>
    <row r="7742" spans="1:42">
      <c r="A7742" s="20">
        <v>43851</v>
      </c>
      <c r="B7742" s="21">
        <v>2</v>
      </c>
      <c r="C7742" s="21">
        <v>532</v>
      </c>
      <c r="D7742" s="21">
        <v>11277</v>
      </c>
      <c r="E7742" t="s">
        <v>377</v>
      </c>
      <c r="F7742" s="21" t="s">
        <v>520</v>
      </c>
      <c r="G7742" s="21">
        <v>1</v>
      </c>
      <c r="H7742" s="21">
        <v>73</v>
      </c>
      <c r="I7742" s="23" t="s">
        <v>3651</v>
      </c>
      <c r="J7742" s="21"/>
      <c r="K7742" s="21" t="s">
        <v>3641</v>
      </c>
      <c r="L7742" s="21"/>
      <c r="M7742" s="21"/>
      <c r="N7742" s="21" t="s">
        <v>44</v>
      </c>
      <c r="O7742" s="21">
        <v>58</v>
      </c>
      <c r="P7742" s="21"/>
      <c r="Q7742" s="21">
        <f t="shared" si="147"/>
        <v>2</v>
      </c>
      <c r="R7742" s="21">
        <v>1</v>
      </c>
      <c r="S7742" s="21">
        <v>0</v>
      </c>
      <c r="T7742" s="21">
        <v>0</v>
      </c>
      <c r="U7742" s="21">
        <v>0</v>
      </c>
      <c r="V7742" s="21">
        <v>0</v>
      </c>
      <c r="W7742" s="21">
        <v>1</v>
      </c>
      <c r="X7742" s="21">
        <v>0</v>
      </c>
      <c r="Y7742" s="21">
        <v>0</v>
      </c>
      <c r="Z7742" s="21">
        <v>0</v>
      </c>
      <c r="AA7742" s="21">
        <v>0</v>
      </c>
      <c r="AB7742" s="21">
        <v>0</v>
      </c>
      <c r="AC7742" s="21">
        <v>0</v>
      </c>
      <c r="AD7742" s="21">
        <v>1</v>
      </c>
      <c r="AE7742" s="21">
        <v>0</v>
      </c>
      <c r="AF7742" s="21">
        <v>0</v>
      </c>
      <c r="AG7742" s="21">
        <v>0</v>
      </c>
      <c r="AH7742" s="21">
        <f t="shared" si="148"/>
        <v>96</v>
      </c>
      <c r="AI7742" s="21"/>
      <c r="AJ7742" s="21"/>
      <c r="AK7742" s="21"/>
      <c r="AL7742" s="21" t="s">
        <v>3629</v>
      </c>
      <c r="AM7742" s="21" t="s">
        <v>3652</v>
      </c>
      <c r="AN7742" s="21">
        <v>-122.48083751666699</v>
      </c>
      <c r="AO7742" s="21">
        <v>37.792114949999998</v>
      </c>
      <c r="AP7742" s="21" t="s">
        <v>1915</v>
      </c>
    </row>
    <row r="7743" spans="1:42">
      <c r="A7743" s="20">
        <v>43851</v>
      </c>
      <c r="B7743" s="21">
        <v>2</v>
      </c>
      <c r="C7743" s="21">
        <v>532</v>
      </c>
      <c r="D7743" s="21">
        <v>11277</v>
      </c>
      <c r="E7743" t="s">
        <v>377</v>
      </c>
      <c r="F7743" s="21" t="s">
        <v>520</v>
      </c>
      <c r="G7743" s="21">
        <v>1</v>
      </c>
      <c r="H7743" s="21">
        <v>74</v>
      </c>
      <c r="I7743" s="23" t="s">
        <v>3653</v>
      </c>
      <c r="J7743" s="21"/>
      <c r="K7743" s="21" t="s">
        <v>329</v>
      </c>
      <c r="L7743" s="21"/>
      <c r="M7743" s="21"/>
      <c r="N7743" s="21" t="s">
        <v>44</v>
      </c>
      <c r="O7743" s="21">
        <v>37</v>
      </c>
      <c r="P7743" s="21"/>
      <c r="Q7743" s="21">
        <f t="shared" si="147"/>
        <v>1</v>
      </c>
      <c r="R7743" s="21">
        <v>1</v>
      </c>
      <c r="S7743" s="21">
        <v>0</v>
      </c>
      <c r="T7743" s="21">
        <v>0</v>
      </c>
      <c r="U7743" s="21">
        <v>0</v>
      </c>
      <c r="V7743" s="21">
        <v>0</v>
      </c>
      <c r="W7743" s="21">
        <v>0</v>
      </c>
      <c r="X7743" s="21">
        <v>0</v>
      </c>
      <c r="Y7743" s="21">
        <v>0</v>
      </c>
      <c r="Z7743" s="21">
        <v>0</v>
      </c>
      <c r="AA7743" s="21">
        <v>0</v>
      </c>
      <c r="AB7743" s="21">
        <v>0</v>
      </c>
      <c r="AC7743" s="21">
        <v>1</v>
      </c>
      <c r="AD7743" s="21">
        <v>0</v>
      </c>
      <c r="AE7743" s="21">
        <v>0</v>
      </c>
      <c r="AF7743" s="21">
        <v>0</v>
      </c>
      <c r="AG7743" s="21">
        <v>0</v>
      </c>
      <c r="AH7743" s="21">
        <f t="shared" si="148"/>
        <v>0</v>
      </c>
      <c r="AI7743" s="21"/>
      <c r="AJ7743" s="21"/>
      <c r="AK7743" s="21"/>
      <c r="AL7743" s="21" t="s">
        <v>3629</v>
      </c>
      <c r="AM7743" s="21" t="s">
        <v>3654</v>
      </c>
      <c r="AN7743" s="21">
        <v>-122.481071733333</v>
      </c>
      <c r="AO7743" s="21">
        <v>37.790063183333302</v>
      </c>
      <c r="AP7743" s="21" t="s">
        <v>1915</v>
      </c>
    </row>
    <row r="7744" spans="1:42">
      <c r="A7744" s="20">
        <v>43851</v>
      </c>
      <c r="B7744" s="21">
        <v>2</v>
      </c>
      <c r="C7744" s="21">
        <v>532</v>
      </c>
      <c r="D7744" s="21">
        <v>11277</v>
      </c>
      <c r="E7744" t="s">
        <v>377</v>
      </c>
      <c r="F7744" s="21" t="s">
        <v>520</v>
      </c>
      <c r="G7744" s="21">
        <v>1</v>
      </c>
      <c r="H7744" s="21">
        <v>75</v>
      </c>
      <c r="I7744" s="23" t="s">
        <v>3653</v>
      </c>
      <c r="J7744" s="21"/>
      <c r="K7744" s="21" t="s">
        <v>329</v>
      </c>
      <c r="L7744" s="21"/>
      <c r="M7744" s="21"/>
      <c r="N7744" s="21" t="s">
        <v>44</v>
      </c>
      <c r="O7744" s="21">
        <f>60+60+60+60+51</f>
        <v>291</v>
      </c>
      <c r="P7744" s="21"/>
      <c r="Q7744" s="21">
        <f t="shared" ref="Q7744:Q7807" si="149">SUM(S7744:AE7744)</f>
        <v>1</v>
      </c>
      <c r="R7744" s="21">
        <v>1</v>
      </c>
      <c r="S7744" s="21">
        <v>0</v>
      </c>
      <c r="T7744" s="21">
        <v>0</v>
      </c>
      <c r="U7744" s="21">
        <v>0</v>
      </c>
      <c r="V7744" s="21">
        <v>0</v>
      </c>
      <c r="W7744" s="21">
        <v>1</v>
      </c>
      <c r="X7744" s="21">
        <v>0</v>
      </c>
      <c r="Y7744" s="21">
        <v>0</v>
      </c>
      <c r="Z7744" s="21">
        <v>0</v>
      </c>
      <c r="AA7744" s="21">
        <v>0</v>
      </c>
      <c r="AB7744" s="21">
        <v>0</v>
      </c>
      <c r="AC7744" s="21">
        <v>0</v>
      </c>
      <c r="AD7744" s="21">
        <v>0</v>
      </c>
      <c r="AE7744" s="21">
        <v>0</v>
      </c>
      <c r="AF7744" s="21">
        <v>0</v>
      </c>
      <c r="AG7744" s="21">
        <v>0</v>
      </c>
      <c r="AH7744" s="21">
        <f t="shared" ref="AH7744:AH7807" si="150">(S7744*16)+(T7744*20)+(U7744*32)+(V7744*64)+(W7744*96)</f>
        <v>96</v>
      </c>
      <c r="AI7744" s="21"/>
      <c r="AJ7744" s="21"/>
      <c r="AK7744" s="21"/>
      <c r="AL7744" s="21" t="s">
        <v>3655</v>
      </c>
      <c r="AM7744" s="21" t="s">
        <v>3656</v>
      </c>
      <c r="AN7744" s="21">
        <v>-122.480275416667</v>
      </c>
      <c r="AO7744" s="21">
        <v>37.790874266666698</v>
      </c>
      <c r="AP7744" s="21" t="s">
        <v>1915</v>
      </c>
    </row>
    <row r="7745" spans="1:42">
      <c r="A7745" s="20">
        <v>43851</v>
      </c>
      <c r="B7745" s="21">
        <v>2</v>
      </c>
      <c r="C7745" s="21">
        <v>532</v>
      </c>
      <c r="D7745" s="21">
        <v>11277</v>
      </c>
      <c r="E7745" t="s">
        <v>377</v>
      </c>
      <c r="F7745" s="21" t="s">
        <v>520</v>
      </c>
      <c r="G7745" s="21">
        <v>1</v>
      </c>
      <c r="H7745" s="21">
        <v>76</v>
      </c>
      <c r="I7745" s="23" t="s">
        <v>3657</v>
      </c>
      <c r="J7745" s="21"/>
      <c r="K7745" s="21" t="s">
        <v>329</v>
      </c>
      <c r="L7745" s="21"/>
      <c r="M7745" s="21"/>
      <c r="N7745" s="21" t="s">
        <v>44</v>
      </c>
      <c r="O7745" s="21">
        <v>46</v>
      </c>
      <c r="P7745" s="21"/>
      <c r="Q7745" s="21">
        <f t="shared" si="149"/>
        <v>1</v>
      </c>
      <c r="R7745" s="21">
        <v>1</v>
      </c>
      <c r="S7745" s="21">
        <v>0</v>
      </c>
      <c r="T7745" s="21">
        <v>0</v>
      </c>
      <c r="U7745" s="21">
        <v>0</v>
      </c>
      <c r="V7745" s="21">
        <v>0</v>
      </c>
      <c r="W7745" s="21">
        <v>0</v>
      </c>
      <c r="X7745" s="21">
        <v>0</v>
      </c>
      <c r="Y7745" s="21">
        <v>0</v>
      </c>
      <c r="Z7745" s="21">
        <v>0</v>
      </c>
      <c r="AA7745" s="21">
        <v>0</v>
      </c>
      <c r="AB7745" s="21">
        <v>1</v>
      </c>
      <c r="AC7745" s="21">
        <v>0</v>
      </c>
      <c r="AD7745" s="21">
        <v>0</v>
      </c>
      <c r="AE7745" s="21">
        <v>0</v>
      </c>
      <c r="AF7745" s="21">
        <v>0</v>
      </c>
      <c r="AG7745" s="21">
        <v>0</v>
      </c>
      <c r="AH7745" s="21">
        <f t="shared" si="150"/>
        <v>0</v>
      </c>
      <c r="AI7745" s="21"/>
      <c r="AJ7745" s="21"/>
      <c r="AK7745" s="21"/>
      <c r="AL7745" s="21" t="s">
        <v>3629</v>
      </c>
      <c r="AM7745" s="21" t="s">
        <v>3658</v>
      </c>
      <c r="AN7745" s="21">
        <v>-122.480838933333</v>
      </c>
      <c r="AO7745" s="21">
        <v>37.790695550000002</v>
      </c>
      <c r="AP7745" s="21" t="s">
        <v>1915</v>
      </c>
    </row>
    <row r="7746" spans="1:42">
      <c r="A7746" s="20">
        <v>43851</v>
      </c>
      <c r="B7746" s="21">
        <v>2</v>
      </c>
      <c r="C7746" s="21">
        <v>532</v>
      </c>
      <c r="D7746" s="21">
        <v>11277</v>
      </c>
      <c r="E7746" t="s">
        <v>377</v>
      </c>
      <c r="F7746" s="21" t="s">
        <v>520</v>
      </c>
      <c r="G7746" s="21">
        <v>1</v>
      </c>
      <c r="H7746" s="21">
        <v>77</v>
      </c>
      <c r="I7746" s="23"/>
      <c r="J7746" s="21"/>
      <c r="K7746" s="21" t="s">
        <v>3659</v>
      </c>
      <c r="L7746" s="21"/>
      <c r="M7746" s="21"/>
      <c r="N7746" s="21" t="s">
        <v>44</v>
      </c>
      <c r="O7746" s="21">
        <f>60+60+19</f>
        <v>139</v>
      </c>
      <c r="P7746" s="21"/>
      <c r="Q7746" s="21">
        <f t="shared" si="149"/>
        <v>1</v>
      </c>
      <c r="R7746" s="21">
        <v>1</v>
      </c>
      <c r="S7746" s="21">
        <v>0</v>
      </c>
      <c r="T7746" s="21">
        <v>0</v>
      </c>
      <c r="U7746" s="21">
        <v>0</v>
      </c>
      <c r="V7746" s="21">
        <v>0</v>
      </c>
      <c r="W7746" s="21">
        <v>0</v>
      </c>
      <c r="X7746" s="21">
        <v>0</v>
      </c>
      <c r="Y7746" s="21">
        <v>0</v>
      </c>
      <c r="Z7746" s="21">
        <v>0</v>
      </c>
      <c r="AA7746" s="21">
        <v>0</v>
      </c>
      <c r="AB7746" s="21">
        <v>0</v>
      </c>
      <c r="AC7746" s="21">
        <v>1</v>
      </c>
      <c r="AD7746" s="21">
        <v>0</v>
      </c>
      <c r="AE7746" s="21">
        <v>0</v>
      </c>
      <c r="AF7746" s="21">
        <v>0</v>
      </c>
      <c r="AG7746" s="21">
        <v>0</v>
      </c>
      <c r="AH7746" s="21">
        <f t="shared" si="150"/>
        <v>0</v>
      </c>
      <c r="AI7746" s="21"/>
      <c r="AJ7746" s="21" t="s">
        <v>51</v>
      </c>
      <c r="AK7746" s="21"/>
      <c r="AL7746" s="21" t="s">
        <v>3660</v>
      </c>
      <c r="AM7746" s="21" t="s">
        <v>3661</v>
      </c>
      <c r="AN7746" s="21">
        <v>-122.482963383333</v>
      </c>
      <c r="AO7746" s="21">
        <v>37.793172483333301</v>
      </c>
      <c r="AP7746" s="21" t="s">
        <v>1915</v>
      </c>
    </row>
    <row r="7747" spans="1:42">
      <c r="A7747" s="20">
        <v>43851</v>
      </c>
      <c r="B7747" s="21">
        <v>2</v>
      </c>
      <c r="C7747" s="21">
        <v>532</v>
      </c>
      <c r="D7747" s="21">
        <v>11277</v>
      </c>
      <c r="E7747" t="s">
        <v>377</v>
      </c>
      <c r="F7747" s="21" t="s">
        <v>520</v>
      </c>
      <c r="G7747" s="21">
        <v>1</v>
      </c>
      <c r="H7747" s="21">
        <v>78</v>
      </c>
      <c r="I7747" s="23" t="s">
        <v>3662</v>
      </c>
      <c r="J7747" s="21"/>
      <c r="K7747" s="21" t="s">
        <v>3663</v>
      </c>
      <c r="L7747" s="21"/>
      <c r="M7747" s="21"/>
      <c r="N7747" s="21" t="s">
        <v>44</v>
      </c>
      <c r="O7747" s="21">
        <v>32</v>
      </c>
      <c r="P7747" s="21"/>
      <c r="Q7747" s="21">
        <f t="shared" si="149"/>
        <v>1</v>
      </c>
      <c r="R7747" s="21">
        <v>1</v>
      </c>
      <c r="S7747" s="21">
        <v>0</v>
      </c>
      <c r="T7747" s="21">
        <v>0</v>
      </c>
      <c r="U7747" s="21">
        <v>0</v>
      </c>
      <c r="V7747" s="21">
        <v>0</v>
      </c>
      <c r="W7747" s="21">
        <v>1</v>
      </c>
      <c r="X7747" s="21">
        <v>0</v>
      </c>
      <c r="Y7747" s="21">
        <v>0</v>
      </c>
      <c r="Z7747" s="21">
        <v>0</v>
      </c>
      <c r="AA7747" s="21">
        <v>0</v>
      </c>
      <c r="AB7747" s="21">
        <v>0</v>
      </c>
      <c r="AC7747" s="21">
        <v>0</v>
      </c>
      <c r="AD7747" s="21">
        <v>0</v>
      </c>
      <c r="AE7747" s="21">
        <v>0</v>
      </c>
      <c r="AF7747" s="21">
        <v>0</v>
      </c>
      <c r="AG7747" s="21">
        <v>0</v>
      </c>
      <c r="AH7747" s="21">
        <f t="shared" si="150"/>
        <v>96</v>
      </c>
      <c r="AI7747" s="21"/>
      <c r="AJ7747" s="21"/>
      <c r="AK7747" s="21"/>
      <c r="AL7747" s="21"/>
      <c r="AM7747" s="21" t="s">
        <v>3664</v>
      </c>
      <c r="AN7747" s="21">
        <v>-122.484050283333</v>
      </c>
      <c r="AO7747" s="21">
        <v>37.791018966666698</v>
      </c>
      <c r="AP7747" s="21" t="s">
        <v>1915</v>
      </c>
    </row>
    <row r="7748" spans="1:42">
      <c r="A7748" s="20">
        <v>43851</v>
      </c>
      <c r="B7748" s="21">
        <v>2</v>
      </c>
      <c r="C7748" s="21">
        <v>532</v>
      </c>
      <c r="D7748" s="21">
        <v>11277</v>
      </c>
      <c r="E7748" t="s">
        <v>377</v>
      </c>
      <c r="F7748" s="21" t="s">
        <v>520</v>
      </c>
      <c r="G7748" s="21">
        <v>1</v>
      </c>
      <c r="H7748" s="21">
        <v>79</v>
      </c>
      <c r="I7748" s="23"/>
      <c r="J7748" s="21"/>
      <c r="K7748" s="21"/>
      <c r="L7748" s="21"/>
      <c r="M7748" s="21"/>
      <c r="N7748" s="21" t="s">
        <v>44</v>
      </c>
      <c r="O7748" s="21">
        <f>60+60+13</f>
        <v>133</v>
      </c>
      <c r="P7748" s="21"/>
      <c r="Q7748" s="21">
        <f t="shared" si="149"/>
        <v>1</v>
      </c>
      <c r="R7748" s="21">
        <v>1</v>
      </c>
      <c r="S7748" s="21">
        <v>0</v>
      </c>
      <c r="T7748" s="21">
        <v>0</v>
      </c>
      <c r="U7748" s="21">
        <v>0</v>
      </c>
      <c r="V7748" s="21">
        <v>0</v>
      </c>
      <c r="W7748" s="21">
        <v>0</v>
      </c>
      <c r="X7748" s="21">
        <v>0</v>
      </c>
      <c r="Y7748" s="21">
        <v>0</v>
      </c>
      <c r="Z7748" s="21">
        <v>0</v>
      </c>
      <c r="AA7748" s="21">
        <v>1</v>
      </c>
      <c r="AB7748" s="21">
        <v>0</v>
      </c>
      <c r="AC7748" s="21">
        <v>0</v>
      </c>
      <c r="AD7748" s="21">
        <v>0</v>
      </c>
      <c r="AE7748" s="21">
        <v>0</v>
      </c>
      <c r="AF7748" s="21">
        <v>0</v>
      </c>
      <c r="AG7748" s="21">
        <v>0</v>
      </c>
      <c r="AH7748" s="21">
        <f t="shared" si="150"/>
        <v>0</v>
      </c>
      <c r="AI7748" s="21"/>
      <c r="AJ7748" s="21"/>
      <c r="AK7748" s="21"/>
      <c r="AL7748" s="21" t="s">
        <v>3665</v>
      </c>
      <c r="AM7748" s="21" t="s">
        <v>3666</v>
      </c>
      <c r="AN7748" s="21">
        <v>-122.48431796666701</v>
      </c>
      <c r="AO7748" s="21">
        <v>37.7902922166667</v>
      </c>
      <c r="AP7748" s="21" t="s">
        <v>1915</v>
      </c>
    </row>
    <row r="7749" spans="1:42">
      <c r="A7749" s="20">
        <v>43851</v>
      </c>
      <c r="B7749" s="21">
        <v>2</v>
      </c>
      <c r="C7749" s="21">
        <v>532</v>
      </c>
      <c r="D7749" s="21">
        <v>11277</v>
      </c>
      <c r="E7749" t="s">
        <v>377</v>
      </c>
      <c r="F7749" s="21" t="s">
        <v>520</v>
      </c>
      <c r="G7749" s="21">
        <v>1</v>
      </c>
      <c r="H7749" s="21">
        <v>80</v>
      </c>
      <c r="I7749" s="23" t="s">
        <v>3667</v>
      </c>
      <c r="J7749" s="21"/>
      <c r="K7749" s="21" t="s">
        <v>3668</v>
      </c>
      <c r="L7749" s="21"/>
      <c r="M7749" s="21"/>
      <c r="N7749" s="21" t="s">
        <v>44</v>
      </c>
      <c r="O7749" s="21">
        <f>60+60+44</f>
        <v>164</v>
      </c>
      <c r="P7749" s="21"/>
      <c r="Q7749" s="21">
        <f t="shared" si="149"/>
        <v>2</v>
      </c>
      <c r="R7749" s="21">
        <v>1</v>
      </c>
      <c r="S7749" s="21">
        <v>0</v>
      </c>
      <c r="T7749" s="21">
        <v>0</v>
      </c>
      <c r="U7749" s="21">
        <v>0</v>
      </c>
      <c r="V7749" s="21">
        <v>0</v>
      </c>
      <c r="W7749" s="21">
        <v>0</v>
      </c>
      <c r="X7749" s="21">
        <v>0</v>
      </c>
      <c r="Y7749" s="21">
        <v>0</v>
      </c>
      <c r="Z7749" s="21">
        <v>0</v>
      </c>
      <c r="AA7749" s="21">
        <v>0</v>
      </c>
      <c r="AB7749" s="21">
        <v>0</v>
      </c>
      <c r="AC7749" s="21">
        <v>2</v>
      </c>
      <c r="AD7749" s="21">
        <v>0</v>
      </c>
      <c r="AE7749" s="21">
        <v>0</v>
      </c>
      <c r="AF7749" s="21">
        <v>0</v>
      </c>
      <c r="AG7749" s="21">
        <v>0</v>
      </c>
      <c r="AH7749" s="21">
        <f t="shared" si="150"/>
        <v>0</v>
      </c>
      <c r="AI7749" s="21"/>
      <c r="AJ7749" s="21"/>
      <c r="AK7749" s="21"/>
      <c r="AL7749" s="21" t="s">
        <v>3669</v>
      </c>
      <c r="AM7749" s="21" t="s">
        <v>3670</v>
      </c>
      <c r="AN7749" s="21">
        <v>-122.480524283333</v>
      </c>
      <c r="AO7749" s="21">
        <v>37.788820883333301</v>
      </c>
      <c r="AP7749" s="21" t="s">
        <v>1915</v>
      </c>
    </row>
    <row r="7750" spans="1:42">
      <c r="A7750" s="20">
        <v>43851</v>
      </c>
      <c r="B7750" s="21">
        <v>2</v>
      </c>
      <c r="C7750" s="21">
        <v>532</v>
      </c>
      <c r="D7750" s="21">
        <v>11277</v>
      </c>
      <c r="E7750" t="s">
        <v>377</v>
      </c>
      <c r="F7750" s="21" t="s">
        <v>520</v>
      </c>
      <c r="G7750" s="21">
        <v>1</v>
      </c>
      <c r="H7750" s="21">
        <v>81</v>
      </c>
      <c r="I7750" s="23" t="s">
        <v>3671</v>
      </c>
      <c r="J7750" s="21"/>
      <c r="K7750" s="21" t="s">
        <v>417</v>
      </c>
      <c r="L7750" s="21"/>
      <c r="M7750" s="21"/>
      <c r="N7750" s="21" t="s">
        <v>40</v>
      </c>
      <c r="O7750" s="21">
        <v>35</v>
      </c>
      <c r="P7750" s="21"/>
      <c r="Q7750" s="21">
        <f t="shared" si="149"/>
        <v>1</v>
      </c>
      <c r="R7750" s="21">
        <v>1</v>
      </c>
      <c r="S7750" s="21">
        <v>0</v>
      </c>
      <c r="T7750" s="21">
        <v>0</v>
      </c>
      <c r="U7750" s="21">
        <v>0</v>
      </c>
      <c r="V7750" s="21">
        <v>0</v>
      </c>
      <c r="W7750" s="21">
        <v>0</v>
      </c>
      <c r="X7750" s="21">
        <v>0</v>
      </c>
      <c r="Y7750" s="21">
        <v>0</v>
      </c>
      <c r="Z7750" s="21">
        <v>0</v>
      </c>
      <c r="AA7750" s="21">
        <v>1</v>
      </c>
      <c r="AB7750" s="21">
        <v>0</v>
      </c>
      <c r="AC7750" s="21">
        <v>0</v>
      </c>
      <c r="AD7750" s="21">
        <v>0</v>
      </c>
      <c r="AE7750" s="21">
        <v>0</v>
      </c>
      <c r="AF7750" s="21">
        <v>0</v>
      </c>
      <c r="AG7750" s="21">
        <v>0</v>
      </c>
      <c r="AH7750" s="21">
        <f t="shared" si="150"/>
        <v>0</v>
      </c>
      <c r="AI7750" s="21"/>
      <c r="AJ7750" s="21" t="s">
        <v>51</v>
      </c>
      <c r="AK7750" s="21" t="s">
        <v>95</v>
      </c>
      <c r="AL7750" s="21" t="s">
        <v>3162</v>
      </c>
      <c r="AM7750" s="21" t="s">
        <v>3672</v>
      </c>
      <c r="AN7750" s="21">
        <v>-122.414628033333</v>
      </c>
      <c r="AO7750" s="21">
        <v>37.781842216666703</v>
      </c>
      <c r="AP7750" s="21" t="s">
        <v>1915</v>
      </c>
    </row>
    <row r="7751" spans="1:42">
      <c r="A7751" s="20">
        <v>43851</v>
      </c>
      <c r="B7751" s="21">
        <v>2</v>
      </c>
      <c r="C7751" s="21">
        <v>532</v>
      </c>
      <c r="D7751" s="21">
        <v>11277</v>
      </c>
      <c r="E7751" t="s">
        <v>377</v>
      </c>
      <c r="F7751" s="21" t="s">
        <v>520</v>
      </c>
      <c r="G7751" s="21">
        <v>1</v>
      </c>
      <c r="H7751" s="21">
        <v>82</v>
      </c>
      <c r="I7751" s="23" t="s">
        <v>3673</v>
      </c>
      <c r="J7751" s="21"/>
      <c r="K7751" s="21" t="s">
        <v>417</v>
      </c>
      <c r="L7751" s="21"/>
      <c r="M7751" s="21"/>
      <c r="N7751" s="21" t="s">
        <v>40</v>
      </c>
      <c r="O7751" s="21">
        <f>60+55</f>
        <v>115</v>
      </c>
      <c r="P7751" s="21"/>
      <c r="Q7751" s="21">
        <f t="shared" si="149"/>
        <v>1</v>
      </c>
      <c r="R7751" s="21">
        <v>1</v>
      </c>
      <c r="S7751" s="21">
        <v>0</v>
      </c>
      <c r="T7751" s="21">
        <v>0</v>
      </c>
      <c r="U7751" s="21">
        <v>0</v>
      </c>
      <c r="V7751" s="21">
        <v>0</v>
      </c>
      <c r="W7751" s="21">
        <v>0</v>
      </c>
      <c r="X7751" s="21">
        <v>0</v>
      </c>
      <c r="Y7751" s="21">
        <v>0</v>
      </c>
      <c r="Z7751" s="21">
        <v>0</v>
      </c>
      <c r="AA7751" s="21">
        <v>1</v>
      </c>
      <c r="AB7751" s="21">
        <v>0</v>
      </c>
      <c r="AC7751" s="21">
        <v>0</v>
      </c>
      <c r="AD7751" s="21">
        <v>0</v>
      </c>
      <c r="AE7751" s="21">
        <v>0</v>
      </c>
      <c r="AF7751" s="21">
        <v>0</v>
      </c>
      <c r="AG7751" s="21">
        <v>0</v>
      </c>
      <c r="AH7751" s="21">
        <f t="shared" si="150"/>
        <v>0</v>
      </c>
      <c r="AI7751" s="21"/>
      <c r="AJ7751" s="21" t="s">
        <v>51</v>
      </c>
      <c r="AK7751" s="21" t="s">
        <v>95</v>
      </c>
      <c r="AL7751" s="21" t="s">
        <v>3674</v>
      </c>
      <c r="AM7751" s="21" t="s">
        <v>3675</v>
      </c>
      <c r="AN7751" s="21">
        <v>-122.413920483333</v>
      </c>
      <c r="AO7751" s="21">
        <v>37.782262783333302</v>
      </c>
      <c r="AP7751" s="21" t="s">
        <v>1915</v>
      </c>
    </row>
    <row r="7752" spans="1:42">
      <c r="A7752" s="20">
        <v>43852</v>
      </c>
      <c r="B7752" s="21">
        <v>3</v>
      </c>
      <c r="C7752" s="21">
        <v>532</v>
      </c>
      <c r="D7752" s="21">
        <v>11277</v>
      </c>
      <c r="E7752" s="21" t="s">
        <v>3676</v>
      </c>
      <c r="F7752" s="21" t="s">
        <v>520</v>
      </c>
      <c r="G7752" s="21">
        <v>1</v>
      </c>
      <c r="H7752" s="21">
        <v>1</v>
      </c>
      <c r="I7752" s="23" t="s">
        <v>3677</v>
      </c>
      <c r="J7752" s="21"/>
      <c r="K7752" s="21" t="s">
        <v>1985</v>
      </c>
      <c r="L7752" s="21"/>
      <c r="M7752" s="21"/>
      <c r="N7752" s="21" t="s">
        <v>40</v>
      </c>
      <c r="O7752" s="21">
        <v>32</v>
      </c>
      <c r="P7752" s="21"/>
      <c r="Q7752" s="21">
        <f t="shared" si="149"/>
        <v>1</v>
      </c>
      <c r="R7752" s="21">
        <v>1</v>
      </c>
      <c r="S7752" s="21">
        <v>0</v>
      </c>
      <c r="T7752" s="21">
        <v>0</v>
      </c>
      <c r="U7752" s="21">
        <v>0</v>
      </c>
      <c r="V7752" s="21">
        <v>0</v>
      </c>
      <c r="W7752" s="21">
        <v>0</v>
      </c>
      <c r="X7752" s="21">
        <v>0</v>
      </c>
      <c r="Y7752" s="21">
        <v>0</v>
      </c>
      <c r="Z7752" s="21">
        <v>0</v>
      </c>
      <c r="AA7752" s="21">
        <v>0</v>
      </c>
      <c r="AB7752" s="21">
        <v>0</v>
      </c>
      <c r="AC7752" s="21">
        <v>1</v>
      </c>
      <c r="AD7752" s="21">
        <v>0</v>
      </c>
      <c r="AE7752" s="21">
        <v>0</v>
      </c>
      <c r="AF7752" s="21">
        <v>0</v>
      </c>
      <c r="AG7752" s="21">
        <v>0</v>
      </c>
      <c r="AH7752" s="21">
        <f t="shared" si="150"/>
        <v>0</v>
      </c>
      <c r="AI7752" s="21"/>
      <c r="AJ7752" s="21" t="s">
        <v>51</v>
      </c>
      <c r="AK7752" s="21" t="s">
        <v>95</v>
      </c>
      <c r="AL7752" s="21" t="s">
        <v>379</v>
      </c>
      <c r="AM7752" s="21" t="s">
        <v>3678</v>
      </c>
      <c r="AN7752" s="21">
        <v>-122.406565883333</v>
      </c>
      <c r="AO7752" s="21">
        <v>37.783383950000001</v>
      </c>
      <c r="AP7752" s="21" t="s">
        <v>1915</v>
      </c>
    </row>
    <row r="7753" spans="1:42">
      <c r="A7753" s="20">
        <v>43852</v>
      </c>
      <c r="B7753" s="21">
        <v>3</v>
      </c>
      <c r="C7753" s="21">
        <v>532</v>
      </c>
      <c r="D7753" s="21">
        <v>11277</v>
      </c>
      <c r="E7753" s="21" t="s">
        <v>3676</v>
      </c>
      <c r="F7753" s="21" t="s">
        <v>520</v>
      </c>
      <c r="G7753" s="21">
        <v>1</v>
      </c>
      <c r="H7753" s="21">
        <v>2</v>
      </c>
      <c r="I7753" s="23" t="s">
        <v>3487</v>
      </c>
      <c r="J7753" s="21"/>
      <c r="K7753" s="21" t="s">
        <v>1985</v>
      </c>
      <c r="L7753" s="21"/>
      <c r="M7753" s="21"/>
      <c r="N7753" s="21" t="s">
        <v>44</v>
      </c>
      <c r="O7753" s="21">
        <f>60+60+32</f>
        <v>152</v>
      </c>
      <c r="P7753" s="21"/>
      <c r="Q7753" s="21">
        <f t="shared" si="149"/>
        <v>1</v>
      </c>
      <c r="R7753" s="21">
        <v>1</v>
      </c>
      <c r="S7753" s="21">
        <v>0</v>
      </c>
      <c r="T7753" s="21">
        <v>0</v>
      </c>
      <c r="U7753" s="21">
        <v>0</v>
      </c>
      <c r="V7753" s="21">
        <v>0</v>
      </c>
      <c r="W7753" s="21">
        <v>0</v>
      </c>
      <c r="X7753" s="21">
        <v>0</v>
      </c>
      <c r="Y7753" s="21">
        <v>0</v>
      </c>
      <c r="Z7753" s="21">
        <v>0</v>
      </c>
      <c r="AA7753" s="21">
        <v>0</v>
      </c>
      <c r="AB7753" s="21">
        <v>0</v>
      </c>
      <c r="AC7753" s="21">
        <v>1</v>
      </c>
      <c r="AD7753" s="21">
        <v>0</v>
      </c>
      <c r="AE7753" s="21">
        <v>0</v>
      </c>
      <c r="AF7753" s="21">
        <v>0</v>
      </c>
      <c r="AG7753" s="21">
        <v>0</v>
      </c>
      <c r="AH7753" s="21">
        <f t="shared" si="150"/>
        <v>0</v>
      </c>
      <c r="AI7753" s="21"/>
      <c r="AJ7753" s="21"/>
      <c r="AK7753" s="21"/>
      <c r="AL7753" s="21" t="s">
        <v>3679</v>
      </c>
      <c r="AM7753" s="21" t="s">
        <v>3680</v>
      </c>
      <c r="AN7753" s="21">
        <v>-122.4067118</v>
      </c>
      <c r="AO7753" s="21">
        <v>37.783519099999999</v>
      </c>
      <c r="AP7753" s="21" t="s">
        <v>1915</v>
      </c>
    </row>
    <row r="7754" spans="1:42">
      <c r="A7754" s="20">
        <v>43852</v>
      </c>
      <c r="B7754" s="21">
        <v>3</v>
      </c>
      <c r="C7754" s="21">
        <v>532</v>
      </c>
      <c r="D7754" s="21">
        <v>11277</v>
      </c>
      <c r="E7754" s="21" t="s">
        <v>3676</v>
      </c>
      <c r="F7754" s="21" t="s">
        <v>520</v>
      </c>
      <c r="G7754" s="21">
        <v>1</v>
      </c>
      <c r="H7754" s="21">
        <v>3</v>
      </c>
      <c r="I7754" s="23" t="s">
        <v>3557</v>
      </c>
      <c r="J7754" s="21"/>
      <c r="K7754" s="21" t="s">
        <v>501</v>
      </c>
      <c r="L7754" s="21"/>
      <c r="M7754" s="21"/>
      <c r="N7754" s="21" t="s">
        <v>1703</v>
      </c>
      <c r="O7754" s="21">
        <f>60+19</f>
        <v>79</v>
      </c>
      <c r="P7754" s="21"/>
      <c r="Q7754" s="21">
        <f t="shared" si="149"/>
        <v>1</v>
      </c>
      <c r="R7754" s="21">
        <v>1</v>
      </c>
      <c r="S7754" s="21">
        <v>0</v>
      </c>
      <c r="T7754" s="21">
        <v>0</v>
      </c>
      <c r="U7754" s="21">
        <v>0</v>
      </c>
      <c r="V7754" s="21">
        <v>0</v>
      </c>
      <c r="W7754" s="21">
        <v>0</v>
      </c>
      <c r="X7754" s="21">
        <v>0</v>
      </c>
      <c r="Y7754" s="21">
        <v>0</v>
      </c>
      <c r="Z7754" s="21">
        <v>0</v>
      </c>
      <c r="AA7754" s="21">
        <v>0</v>
      </c>
      <c r="AB7754" s="21">
        <v>0</v>
      </c>
      <c r="AC7754" s="21">
        <v>1</v>
      </c>
      <c r="AD7754" s="21">
        <v>0</v>
      </c>
      <c r="AE7754" s="21">
        <v>0</v>
      </c>
      <c r="AF7754" s="21">
        <v>0</v>
      </c>
      <c r="AG7754" s="21">
        <v>0</v>
      </c>
      <c r="AH7754" s="21">
        <f t="shared" si="150"/>
        <v>0</v>
      </c>
      <c r="AI7754" s="21"/>
      <c r="AJ7754" s="21"/>
      <c r="AK7754" s="21"/>
      <c r="AL7754" s="21" t="s">
        <v>3681</v>
      </c>
      <c r="AM7754" s="21" t="s">
        <v>3682</v>
      </c>
      <c r="AN7754" s="21">
        <v>-122.4067489</v>
      </c>
      <c r="AO7754" s="21">
        <v>37.783340633333303</v>
      </c>
      <c r="AP7754" s="21" t="s">
        <v>1915</v>
      </c>
    </row>
    <row r="7755" spans="1:42">
      <c r="A7755" s="20">
        <v>43852</v>
      </c>
      <c r="B7755" s="21">
        <v>3</v>
      </c>
      <c r="C7755" s="21">
        <v>532</v>
      </c>
      <c r="D7755" s="21">
        <v>11277</v>
      </c>
      <c r="E7755" s="21" t="s">
        <v>3676</v>
      </c>
      <c r="F7755" s="21" t="s">
        <v>520</v>
      </c>
      <c r="G7755" s="21">
        <v>1</v>
      </c>
      <c r="H7755" s="21">
        <v>4</v>
      </c>
      <c r="I7755" s="23" t="s">
        <v>3490</v>
      </c>
      <c r="J7755" s="21"/>
      <c r="K7755" s="21" t="s">
        <v>73</v>
      </c>
      <c r="L7755" s="21"/>
      <c r="M7755" s="21"/>
      <c r="N7755" s="21" t="s">
        <v>40</v>
      </c>
      <c r="O7755" s="21">
        <f>60+60+60+42</f>
        <v>222</v>
      </c>
      <c r="P7755" s="21"/>
      <c r="Q7755" s="21">
        <f t="shared" si="149"/>
        <v>1</v>
      </c>
      <c r="R7755" s="21">
        <v>1</v>
      </c>
      <c r="S7755" s="21">
        <v>0</v>
      </c>
      <c r="T7755" s="21">
        <v>0</v>
      </c>
      <c r="U7755" s="21">
        <v>0</v>
      </c>
      <c r="V7755" s="21">
        <v>0</v>
      </c>
      <c r="W7755" s="21">
        <v>0</v>
      </c>
      <c r="X7755" s="21">
        <v>0</v>
      </c>
      <c r="Y7755" s="21">
        <v>0</v>
      </c>
      <c r="Z7755" s="21">
        <v>0</v>
      </c>
      <c r="AA7755" s="21">
        <v>0</v>
      </c>
      <c r="AB7755" s="21">
        <v>0</v>
      </c>
      <c r="AC7755" s="21">
        <v>1</v>
      </c>
      <c r="AD7755" s="21">
        <v>0</v>
      </c>
      <c r="AE7755" s="21">
        <v>0</v>
      </c>
      <c r="AF7755" s="21">
        <v>0</v>
      </c>
      <c r="AG7755" s="21">
        <v>0</v>
      </c>
      <c r="AH7755" s="21">
        <f t="shared" si="150"/>
        <v>0</v>
      </c>
      <c r="AI7755" s="21"/>
      <c r="AJ7755" s="21" t="s">
        <v>51</v>
      </c>
      <c r="AK7755" s="21" t="s">
        <v>95</v>
      </c>
      <c r="AL7755" s="21" t="s">
        <v>379</v>
      </c>
      <c r="AM7755" s="21" t="s">
        <v>3683</v>
      </c>
      <c r="AN7755" s="21">
        <v>-122.405166866667</v>
      </c>
      <c r="AO7755" s="21">
        <v>37.784967166666597</v>
      </c>
      <c r="AP7755" s="21" t="s">
        <v>1915</v>
      </c>
    </row>
    <row r="7756" spans="1:42">
      <c r="A7756" s="20">
        <v>43852</v>
      </c>
      <c r="B7756" s="21">
        <v>3</v>
      </c>
      <c r="C7756" s="21">
        <v>532</v>
      </c>
      <c r="D7756" s="21">
        <v>11277</v>
      </c>
      <c r="E7756" s="21" t="s">
        <v>3676</v>
      </c>
      <c r="F7756" s="21" t="s">
        <v>520</v>
      </c>
      <c r="G7756" s="21">
        <v>1</v>
      </c>
      <c r="H7756" s="21">
        <v>5</v>
      </c>
      <c r="I7756" s="23" t="s">
        <v>3684</v>
      </c>
      <c r="J7756" s="21"/>
      <c r="K7756" s="21" t="s">
        <v>394</v>
      </c>
      <c r="L7756" s="21"/>
      <c r="M7756" s="21"/>
      <c r="N7756" s="21" t="s">
        <v>40</v>
      </c>
      <c r="O7756" s="21">
        <v>30</v>
      </c>
      <c r="P7756" s="21"/>
      <c r="Q7756" s="21">
        <f t="shared" si="149"/>
        <v>1</v>
      </c>
      <c r="R7756" s="21">
        <v>1</v>
      </c>
      <c r="S7756" s="21">
        <v>0</v>
      </c>
      <c r="T7756" s="21">
        <v>0</v>
      </c>
      <c r="U7756" s="21">
        <v>0</v>
      </c>
      <c r="V7756" s="21">
        <v>0</v>
      </c>
      <c r="W7756" s="21">
        <v>0</v>
      </c>
      <c r="X7756" s="21">
        <v>0</v>
      </c>
      <c r="Y7756" s="21">
        <v>0</v>
      </c>
      <c r="Z7756" s="21">
        <v>0</v>
      </c>
      <c r="AA7756" s="21">
        <v>0</v>
      </c>
      <c r="AB7756" s="21">
        <v>0</v>
      </c>
      <c r="AC7756" s="21">
        <v>1</v>
      </c>
      <c r="AD7756" s="21">
        <v>0</v>
      </c>
      <c r="AE7756" s="21">
        <v>0</v>
      </c>
      <c r="AF7756" s="21">
        <v>0</v>
      </c>
      <c r="AG7756" s="21">
        <v>0</v>
      </c>
      <c r="AH7756" s="21">
        <f t="shared" si="150"/>
        <v>0</v>
      </c>
      <c r="AI7756" s="21"/>
      <c r="AJ7756" s="21" t="s">
        <v>51</v>
      </c>
      <c r="AK7756" s="21" t="s">
        <v>95</v>
      </c>
      <c r="AL7756" s="21"/>
      <c r="AM7756" s="21" t="s">
        <v>3685</v>
      </c>
      <c r="AN7756" s="21">
        <v>-122.40509116666701</v>
      </c>
      <c r="AO7756" s="21">
        <v>37.7847720166667</v>
      </c>
      <c r="AP7756" s="21" t="s">
        <v>1915</v>
      </c>
    </row>
    <row r="7757" spans="1:42">
      <c r="A7757" s="20">
        <v>43852</v>
      </c>
      <c r="B7757" s="21">
        <v>3</v>
      </c>
      <c r="C7757" s="21">
        <v>532</v>
      </c>
      <c r="D7757" s="21">
        <v>11277</v>
      </c>
      <c r="E7757" s="21" t="s">
        <v>3676</v>
      </c>
      <c r="F7757" s="21" t="s">
        <v>520</v>
      </c>
      <c r="G7757" s="21">
        <v>1</v>
      </c>
      <c r="H7757" s="21">
        <v>7</v>
      </c>
      <c r="I7757" s="23" t="s">
        <v>3495</v>
      </c>
      <c r="J7757" s="21"/>
      <c r="K7757" s="21" t="s">
        <v>406</v>
      </c>
      <c r="L7757" s="21"/>
      <c r="M7757" s="21"/>
      <c r="N7757" s="21" t="s">
        <v>40</v>
      </c>
      <c r="O7757" s="21">
        <f>60+22</f>
        <v>82</v>
      </c>
      <c r="P7757" s="21"/>
      <c r="Q7757" s="21">
        <f t="shared" si="149"/>
        <v>2</v>
      </c>
      <c r="R7757" s="21">
        <v>1</v>
      </c>
      <c r="S7757" s="21">
        <v>0</v>
      </c>
      <c r="T7757" s="21">
        <v>0</v>
      </c>
      <c r="U7757" s="21">
        <v>0</v>
      </c>
      <c r="V7757" s="21">
        <v>0</v>
      </c>
      <c r="W7757" s="21">
        <v>0</v>
      </c>
      <c r="X7757" s="21">
        <v>0</v>
      </c>
      <c r="Y7757" s="21">
        <v>0</v>
      </c>
      <c r="Z7757" s="21">
        <v>0</v>
      </c>
      <c r="AA7757" s="21">
        <v>0</v>
      </c>
      <c r="AB7757" s="21">
        <v>0</v>
      </c>
      <c r="AC7757" s="21">
        <v>2</v>
      </c>
      <c r="AD7757" s="21">
        <v>0</v>
      </c>
      <c r="AE7757" s="21">
        <v>0</v>
      </c>
      <c r="AF7757" s="21">
        <v>0</v>
      </c>
      <c r="AG7757" s="21">
        <v>0</v>
      </c>
      <c r="AH7757" s="21">
        <f t="shared" si="150"/>
        <v>0</v>
      </c>
      <c r="AI7757" s="21"/>
      <c r="AJ7757" s="21"/>
      <c r="AK7757" s="21"/>
      <c r="AL7757" s="21"/>
      <c r="AM7757" s="21" t="s">
        <v>3686</v>
      </c>
      <c r="AN7757" s="21">
        <v>-122.405026216667</v>
      </c>
      <c r="AO7757" s="21">
        <v>37.785138600000003</v>
      </c>
      <c r="AP7757" s="21" t="s">
        <v>1915</v>
      </c>
    </row>
    <row r="7758" spans="1:42">
      <c r="A7758" s="20">
        <v>43852</v>
      </c>
      <c r="B7758" s="21">
        <v>3</v>
      </c>
      <c r="C7758" s="21">
        <v>532</v>
      </c>
      <c r="D7758" s="21">
        <v>11277</v>
      </c>
      <c r="E7758" s="21" t="s">
        <v>3676</v>
      </c>
      <c r="F7758" s="21" t="s">
        <v>520</v>
      </c>
      <c r="G7758" s="21">
        <v>1</v>
      </c>
      <c r="H7758" s="21">
        <v>8</v>
      </c>
      <c r="I7758" s="23" t="s">
        <v>3495</v>
      </c>
      <c r="J7758" s="21"/>
      <c r="K7758" s="21" t="s">
        <v>406</v>
      </c>
      <c r="L7758" s="21"/>
      <c r="M7758" s="21"/>
      <c r="N7758" s="21" t="s">
        <v>44</v>
      </c>
      <c r="O7758" s="21">
        <f>60+60+24</f>
        <v>144</v>
      </c>
      <c r="P7758" s="21"/>
      <c r="Q7758" s="21">
        <f t="shared" si="149"/>
        <v>2</v>
      </c>
      <c r="R7758" s="21">
        <v>1</v>
      </c>
      <c r="S7758" s="21">
        <v>0</v>
      </c>
      <c r="T7758" s="21">
        <v>0</v>
      </c>
      <c r="U7758" s="21">
        <v>0</v>
      </c>
      <c r="V7758" s="21">
        <v>0</v>
      </c>
      <c r="W7758" s="21">
        <v>0</v>
      </c>
      <c r="X7758" s="21">
        <v>0</v>
      </c>
      <c r="Y7758" s="21">
        <v>0</v>
      </c>
      <c r="Z7758" s="21">
        <v>0</v>
      </c>
      <c r="AA7758" s="21">
        <v>1</v>
      </c>
      <c r="AB7758" s="21">
        <v>0</v>
      </c>
      <c r="AC7758" s="21">
        <v>1</v>
      </c>
      <c r="AD7758" s="21">
        <v>0</v>
      </c>
      <c r="AE7758" s="21">
        <v>0</v>
      </c>
      <c r="AF7758" s="21">
        <v>0</v>
      </c>
      <c r="AG7758" s="21">
        <v>0</v>
      </c>
      <c r="AH7758" s="21">
        <f t="shared" si="150"/>
        <v>0</v>
      </c>
      <c r="AI7758" s="21"/>
      <c r="AJ7758" s="21"/>
      <c r="AK7758" s="21"/>
      <c r="AL7758" s="21" t="s">
        <v>3687</v>
      </c>
      <c r="AM7758" s="21" t="s">
        <v>3688</v>
      </c>
      <c r="AN7758" s="21">
        <v>-122.40504033333301</v>
      </c>
      <c r="AO7758" s="21">
        <v>37.785158899999999</v>
      </c>
      <c r="AP7758" s="21" t="s">
        <v>1915</v>
      </c>
    </row>
    <row r="7759" spans="1:42">
      <c r="A7759" s="20">
        <v>43852</v>
      </c>
      <c r="B7759" s="21">
        <v>3</v>
      </c>
      <c r="C7759" s="21">
        <v>532</v>
      </c>
      <c r="D7759" s="21">
        <v>11277</v>
      </c>
      <c r="E7759" s="21" t="s">
        <v>3676</v>
      </c>
      <c r="F7759" s="21" t="s">
        <v>520</v>
      </c>
      <c r="G7759" s="21">
        <v>1</v>
      </c>
      <c r="H7759" s="21">
        <v>9</v>
      </c>
      <c r="I7759" s="23" t="s">
        <v>3501</v>
      </c>
      <c r="J7759" s="21"/>
      <c r="K7759" s="21" t="s">
        <v>3689</v>
      </c>
      <c r="L7759" s="21"/>
      <c r="M7759" s="21"/>
      <c r="N7759" s="21" t="s">
        <v>40</v>
      </c>
      <c r="O7759" s="21">
        <f>60+9</f>
        <v>69</v>
      </c>
      <c r="P7759" s="21"/>
      <c r="Q7759" s="21">
        <f t="shared" si="149"/>
        <v>1</v>
      </c>
      <c r="R7759" s="21">
        <v>1</v>
      </c>
      <c r="S7759" s="21">
        <v>0</v>
      </c>
      <c r="T7759" s="21">
        <v>0</v>
      </c>
      <c r="U7759" s="21">
        <v>0</v>
      </c>
      <c r="V7759" s="21">
        <v>0</v>
      </c>
      <c r="W7759" s="21">
        <v>0</v>
      </c>
      <c r="X7759" s="21">
        <v>0</v>
      </c>
      <c r="Y7759" s="21">
        <v>0</v>
      </c>
      <c r="Z7759" s="21">
        <v>0</v>
      </c>
      <c r="AA7759" s="21">
        <v>0</v>
      </c>
      <c r="AB7759" s="21">
        <v>0</v>
      </c>
      <c r="AC7759" s="21">
        <v>1</v>
      </c>
      <c r="AD7759" s="21">
        <v>0</v>
      </c>
      <c r="AE7759" s="21">
        <v>0</v>
      </c>
      <c r="AF7759" s="21">
        <v>0</v>
      </c>
      <c r="AG7759" s="21">
        <v>0</v>
      </c>
      <c r="AH7759" s="21">
        <f t="shared" si="150"/>
        <v>0</v>
      </c>
      <c r="AI7759" s="21"/>
      <c r="AJ7759" s="21"/>
      <c r="AK7759" s="21"/>
      <c r="AL7759" s="21" t="s">
        <v>379</v>
      </c>
      <c r="AM7759" s="21" t="s">
        <v>3690</v>
      </c>
      <c r="AN7759" s="21">
        <v>-122.409995616667</v>
      </c>
      <c r="AO7759" s="21">
        <v>37.780747183333297</v>
      </c>
      <c r="AP7759" s="21" t="s">
        <v>1915</v>
      </c>
    </row>
    <row r="7760" spans="1:42">
      <c r="A7760" s="20">
        <v>43852</v>
      </c>
      <c r="B7760" s="21">
        <v>3</v>
      </c>
      <c r="C7760" s="21">
        <v>532</v>
      </c>
      <c r="D7760" s="21">
        <v>11277</v>
      </c>
      <c r="E7760" s="21" t="s">
        <v>3676</v>
      </c>
      <c r="F7760" s="21" t="s">
        <v>520</v>
      </c>
      <c r="G7760" s="21">
        <v>1</v>
      </c>
      <c r="H7760" s="21">
        <v>10</v>
      </c>
      <c r="I7760" s="23" t="s">
        <v>3501</v>
      </c>
      <c r="J7760" s="21"/>
      <c r="K7760" s="21" t="s">
        <v>3689</v>
      </c>
      <c r="L7760" s="21"/>
      <c r="M7760" s="21"/>
      <c r="N7760" s="21" t="s">
        <v>44</v>
      </c>
      <c r="O7760" s="21">
        <f>60+60+60+53</f>
        <v>233</v>
      </c>
      <c r="P7760" s="21"/>
      <c r="Q7760" s="21">
        <f t="shared" si="149"/>
        <v>1</v>
      </c>
      <c r="R7760" s="21">
        <v>1</v>
      </c>
      <c r="S7760" s="21">
        <v>0</v>
      </c>
      <c r="T7760" s="21">
        <v>0</v>
      </c>
      <c r="U7760" s="21">
        <v>0</v>
      </c>
      <c r="V7760" s="21">
        <v>0</v>
      </c>
      <c r="W7760" s="21">
        <v>0</v>
      </c>
      <c r="X7760" s="21">
        <v>0</v>
      </c>
      <c r="Y7760" s="21">
        <v>0</v>
      </c>
      <c r="Z7760" s="21">
        <v>0</v>
      </c>
      <c r="AA7760" s="21">
        <v>1</v>
      </c>
      <c r="AB7760" s="21">
        <v>0</v>
      </c>
      <c r="AC7760" s="21">
        <v>0</v>
      </c>
      <c r="AD7760" s="21">
        <v>0</v>
      </c>
      <c r="AE7760" s="21">
        <v>0</v>
      </c>
      <c r="AF7760" s="21">
        <v>0</v>
      </c>
      <c r="AG7760" s="21">
        <v>0</v>
      </c>
      <c r="AH7760" s="21">
        <f t="shared" si="150"/>
        <v>0</v>
      </c>
      <c r="AI7760" s="21"/>
      <c r="AJ7760" s="21" t="s">
        <v>51</v>
      </c>
      <c r="AK7760" s="21" t="s">
        <v>95</v>
      </c>
      <c r="AL7760" s="21" t="s">
        <v>3691</v>
      </c>
      <c r="AM7760" s="21" t="s">
        <v>3692</v>
      </c>
      <c r="AN7760" s="21">
        <v>-122.409971183333</v>
      </c>
      <c r="AO7760" s="21">
        <v>37.780910149999997</v>
      </c>
      <c r="AP7760" s="21" t="s">
        <v>1915</v>
      </c>
    </row>
    <row r="7761" spans="1:42">
      <c r="A7761" s="20">
        <v>43852</v>
      </c>
      <c r="B7761" s="21">
        <v>3</v>
      </c>
      <c r="C7761" s="21">
        <v>532</v>
      </c>
      <c r="D7761" s="21">
        <v>11277</v>
      </c>
      <c r="E7761" s="21" t="s">
        <v>3676</v>
      </c>
      <c r="F7761" s="21" t="s">
        <v>520</v>
      </c>
      <c r="G7761" s="21">
        <v>1</v>
      </c>
      <c r="H7761" s="21">
        <v>11</v>
      </c>
      <c r="I7761" s="23" t="s">
        <v>3504</v>
      </c>
      <c r="J7761" s="21"/>
      <c r="K7761" t="s">
        <v>102</v>
      </c>
      <c r="L7761" s="21"/>
      <c r="M7761" s="21"/>
      <c r="N7761" s="21" t="s">
        <v>40</v>
      </c>
      <c r="O7761" s="21">
        <v>58</v>
      </c>
      <c r="P7761" s="21"/>
      <c r="Q7761" s="21">
        <f t="shared" si="149"/>
        <v>1</v>
      </c>
      <c r="R7761" s="21">
        <v>1</v>
      </c>
      <c r="S7761" s="21">
        <v>0</v>
      </c>
      <c r="T7761" s="21">
        <v>0</v>
      </c>
      <c r="U7761" s="21">
        <v>0</v>
      </c>
      <c r="V7761" s="21">
        <v>0</v>
      </c>
      <c r="W7761" s="21">
        <v>0</v>
      </c>
      <c r="X7761" s="21">
        <v>0</v>
      </c>
      <c r="Y7761" s="21">
        <v>0</v>
      </c>
      <c r="Z7761" s="21">
        <v>0</v>
      </c>
      <c r="AA7761" s="21">
        <v>0</v>
      </c>
      <c r="AB7761" s="21">
        <v>1</v>
      </c>
      <c r="AC7761" s="21">
        <v>0</v>
      </c>
      <c r="AD7761" s="21">
        <v>0</v>
      </c>
      <c r="AE7761" s="21">
        <v>0</v>
      </c>
      <c r="AF7761" s="21">
        <v>0</v>
      </c>
      <c r="AG7761" s="21">
        <v>0</v>
      </c>
      <c r="AH7761" s="21">
        <f t="shared" si="150"/>
        <v>0</v>
      </c>
      <c r="AI7761" s="21"/>
      <c r="AJ7761" s="21" t="s">
        <v>51</v>
      </c>
      <c r="AK7761" s="21" t="s">
        <v>95</v>
      </c>
      <c r="AL7761" s="21"/>
      <c r="AM7761" s="21" t="s">
        <v>3693</v>
      </c>
      <c r="AN7761" s="21">
        <v>-122.410193533333</v>
      </c>
      <c r="AO7761" s="21">
        <v>37.785565699999999</v>
      </c>
      <c r="AP7761" s="21" t="s">
        <v>1915</v>
      </c>
    </row>
    <row r="7762" spans="1:42">
      <c r="A7762" s="20">
        <v>43852</v>
      </c>
      <c r="B7762" s="21">
        <v>3</v>
      </c>
      <c r="C7762" s="21">
        <v>532</v>
      </c>
      <c r="D7762" s="21">
        <v>11277</v>
      </c>
      <c r="E7762" s="21" t="s">
        <v>3676</v>
      </c>
      <c r="F7762" s="21" t="s">
        <v>520</v>
      </c>
      <c r="G7762" s="21">
        <v>1</v>
      </c>
      <c r="H7762" s="21">
        <v>12</v>
      </c>
      <c r="I7762" s="23" t="s">
        <v>3232</v>
      </c>
      <c r="J7762" s="21"/>
      <c r="K7762" s="21" t="s">
        <v>73</v>
      </c>
      <c r="L7762" s="21"/>
      <c r="M7762" s="21"/>
      <c r="N7762" s="21" t="s">
        <v>1703</v>
      </c>
      <c r="O7762" s="21">
        <f>60+51</f>
        <v>111</v>
      </c>
      <c r="P7762" s="21"/>
      <c r="Q7762" s="21">
        <f t="shared" si="149"/>
        <v>1</v>
      </c>
      <c r="R7762" s="21">
        <v>1</v>
      </c>
      <c r="S7762" s="21">
        <v>0</v>
      </c>
      <c r="T7762" s="21">
        <v>0</v>
      </c>
      <c r="U7762" s="21">
        <v>0</v>
      </c>
      <c r="V7762" s="21">
        <v>0</v>
      </c>
      <c r="W7762" s="21">
        <v>0</v>
      </c>
      <c r="X7762" s="21">
        <v>0</v>
      </c>
      <c r="Y7762" s="21">
        <v>0</v>
      </c>
      <c r="Z7762" s="21">
        <v>0</v>
      </c>
      <c r="AA7762" s="21">
        <v>1</v>
      </c>
      <c r="AB7762" s="21">
        <v>0</v>
      </c>
      <c r="AC7762" s="21">
        <v>0</v>
      </c>
      <c r="AD7762" s="21">
        <v>0</v>
      </c>
      <c r="AE7762" s="21">
        <v>0</v>
      </c>
      <c r="AF7762" s="21">
        <v>0</v>
      </c>
      <c r="AG7762" s="21">
        <v>0</v>
      </c>
      <c r="AH7762" s="21">
        <f t="shared" si="150"/>
        <v>0</v>
      </c>
      <c r="AI7762" s="21"/>
      <c r="AJ7762" s="21" t="s">
        <v>51</v>
      </c>
      <c r="AK7762" s="21" t="s">
        <v>95</v>
      </c>
      <c r="AL7762" s="21" t="s">
        <v>3694</v>
      </c>
      <c r="AM7762" s="21" t="s">
        <v>3695</v>
      </c>
      <c r="AN7762" s="21">
        <v>-122.411531783333</v>
      </c>
      <c r="AO7762" s="21">
        <v>37.780786216666698</v>
      </c>
      <c r="AP7762" s="21" t="s">
        <v>1915</v>
      </c>
    </row>
    <row r="7763" spans="1:42">
      <c r="A7763" s="20">
        <v>43852</v>
      </c>
      <c r="B7763" s="21">
        <v>3</v>
      </c>
      <c r="C7763" s="21">
        <v>532</v>
      </c>
      <c r="D7763" s="21">
        <v>11277</v>
      </c>
      <c r="E7763" s="21" t="s">
        <v>3676</v>
      </c>
      <c r="F7763" s="21" t="s">
        <v>520</v>
      </c>
      <c r="G7763" s="21">
        <v>1</v>
      </c>
      <c r="H7763" s="21">
        <v>13</v>
      </c>
      <c r="I7763" s="23" t="s">
        <v>3696</v>
      </c>
      <c r="J7763" s="21"/>
      <c r="K7763" s="21" t="s">
        <v>73</v>
      </c>
      <c r="L7763" s="21"/>
      <c r="M7763" s="21"/>
      <c r="N7763" s="21" t="s">
        <v>40</v>
      </c>
      <c r="O7763" s="21">
        <f>60+60+60+27</f>
        <v>207</v>
      </c>
      <c r="P7763" s="21"/>
      <c r="Q7763" s="21">
        <f t="shared" si="149"/>
        <v>3</v>
      </c>
      <c r="R7763" s="21">
        <v>1</v>
      </c>
      <c r="S7763" s="21">
        <v>0</v>
      </c>
      <c r="T7763" s="21">
        <v>0</v>
      </c>
      <c r="U7763" s="21">
        <v>0</v>
      </c>
      <c r="V7763" s="21">
        <v>0</v>
      </c>
      <c r="W7763" s="21">
        <v>0</v>
      </c>
      <c r="X7763" s="21">
        <v>0</v>
      </c>
      <c r="Y7763" s="21">
        <v>0</v>
      </c>
      <c r="Z7763" s="21">
        <v>0</v>
      </c>
      <c r="AA7763" s="21">
        <v>1</v>
      </c>
      <c r="AB7763" s="21">
        <v>2</v>
      </c>
      <c r="AC7763" s="21">
        <v>0</v>
      </c>
      <c r="AD7763" s="21">
        <v>0</v>
      </c>
      <c r="AE7763" s="21">
        <v>0</v>
      </c>
      <c r="AF7763" s="21">
        <v>0</v>
      </c>
      <c r="AG7763" s="21">
        <v>0</v>
      </c>
      <c r="AH7763" s="21">
        <f t="shared" si="150"/>
        <v>0</v>
      </c>
      <c r="AI7763" s="21"/>
      <c r="AJ7763" s="21" t="s">
        <v>51</v>
      </c>
      <c r="AK7763" s="21" t="s">
        <v>95</v>
      </c>
      <c r="AL7763" s="21" t="s">
        <v>3697</v>
      </c>
      <c r="AM7763" s="21" t="s">
        <v>3698</v>
      </c>
      <c r="AN7763" s="21">
        <v>-122.413243866667</v>
      </c>
      <c r="AO7763" s="21">
        <v>37.778988366666702</v>
      </c>
      <c r="AP7763" s="21" t="s">
        <v>1915</v>
      </c>
    </row>
    <row r="7764" spans="1:42">
      <c r="A7764" s="20">
        <v>43852</v>
      </c>
      <c r="B7764" s="21">
        <v>3</v>
      </c>
      <c r="C7764" s="21">
        <v>532</v>
      </c>
      <c r="D7764" s="21">
        <v>11277</v>
      </c>
      <c r="E7764" s="21" t="s">
        <v>3676</v>
      </c>
      <c r="F7764" s="21" t="s">
        <v>520</v>
      </c>
      <c r="G7764" s="21">
        <v>1</v>
      </c>
      <c r="H7764" s="21">
        <v>14</v>
      </c>
      <c r="I7764" s="23" t="s">
        <v>3000</v>
      </c>
      <c r="J7764" s="21"/>
      <c r="K7764" s="21" t="s">
        <v>73</v>
      </c>
      <c r="L7764" s="21"/>
      <c r="M7764" s="21"/>
      <c r="N7764" s="21" t="s">
        <v>40</v>
      </c>
      <c r="O7764" s="21">
        <f>60+60+27</f>
        <v>147</v>
      </c>
      <c r="P7764" s="21"/>
      <c r="Q7764" s="21">
        <f t="shared" si="149"/>
        <v>2</v>
      </c>
      <c r="R7764" s="21">
        <v>1</v>
      </c>
      <c r="S7764" s="21">
        <v>0</v>
      </c>
      <c r="T7764" s="21">
        <v>0</v>
      </c>
      <c r="U7764" s="21">
        <v>0</v>
      </c>
      <c r="V7764" s="21">
        <v>0</v>
      </c>
      <c r="W7764" s="21">
        <v>0</v>
      </c>
      <c r="X7764" s="21">
        <v>0</v>
      </c>
      <c r="Y7764" s="21">
        <v>0</v>
      </c>
      <c r="Z7764" s="21">
        <v>0</v>
      </c>
      <c r="AA7764" s="21">
        <v>0</v>
      </c>
      <c r="AB7764" s="21">
        <v>2</v>
      </c>
      <c r="AC7764" s="21">
        <v>0</v>
      </c>
      <c r="AD7764" s="21">
        <v>0</v>
      </c>
      <c r="AE7764" s="21">
        <v>0</v>
      </c>
      <c r="AF7764" s="21">
        <v>0</v>
      </c>
      <c r="AG7764" s="21">
        <v>0</v>
      </c>
      <c r="AH7764" s="21">
        <f t="shared" si="150"/>
        <v>0</v>
      </c>
      <c r="AI7764" s="21"/>
      <c r="AJ7764" s="21" t="s">
        <v>51</v>
      </c>
      <c r="AK7764" s="21" t="s">
        <v>95</v>
      </c>
      <c r="AL7764" s="21" t="s">
        <v>3699</v>
      </c>
      <c r="AM7764" s="21" t="s">
        <v>3700</v>
      </c>
      <c r="AN7764" s="21">
        <v>-122.413031283333</v>
      </c>
      <c r="AO7764" s="21">
        <v>37.780945416666697</v>
      </c>
      <c r="AP7764" s="21" t="s">
        <v>1915</v>
      </c>
    </row>
    <row r="7765" spans="1:42">
      <c r="A7765" s="20">
        <v>43852</v>
      </c>
      <c r="B7765" s="21">
        <v>3</v>
      </c>
      <c r="C7765" s="21">
        <v>532</v>
      </c>
      <c r="D7765" s="21">
        <v>11277</v>
      </c>
      <c r="E7765" s="21" t="s">
        <v>3676</v>
      </c>
      <c r="F7765" s="21" t="s">
        <v>520</v>
      </c>
      <c r="G7765" s="21">
        <v>1</v>
      </c>
      <c r="H7765" s="21">
        <v>15</v>
      </c>
      <c r="I7765" s="23" t="s">
        <v>3214</v>
      </c>
      <c r="J7765" s="21"/>
      <c r="K7765" s="21" t="s">
        <v>420</v>
      </c>
      <c r="L7765" s="21"/>
      <c r="M7765" s="21"/>
      <c r="N7765" s="21" t="s">
        <v>44</v>
      </c>
      <c r="O7765" s="21">
        <f>60+60+41</f>
        <v>161</v>
      </c>
      <c r="P7765" s="21"/>
      <c r="Q7765" s="21">
        <f t="shared" si="149"/>
        <v>1</v>
      </c>
      <c r="R7765" s="21">
        <v>1</v>
      </c>
      <c r="S7765" s="21">
        <v>0</v>
      </c>
      <c r="T7765" s="21">
        <v>0</v>
      </c>
      <c r="U7765" s="21">
        <v>0</v>
      </c>
      <c r="V7765" s="21">
        <v>0</v>
      </c>
      <c r="W7765" s="21">
        <v>0</v>
      </c>
      <c r="X7765" s="21">
        <v>0</v>
      </c>
      <c r="Y7765" s="21">
        <v>0</v>
      </c>
      <c r="Z7765" s="21">
        <v>0</v>
      </c>
      <c r="AA7765" s="21">
        <v>0</v>
      </c>
      <c r="AB7765" s="21">
        <v>1</v>
      </c>
      <c r="AC7765" s="21">
        <v>0</v>
      </c>
      <c r="AD7765" s="21">
        <v>0</v>
      </c>
      <c r="AE7765" s="21">
        <v>0</v>
      </c>
      <c r="AF7765" s="21">
        <v>0</v>
      </c>
      <c r="AG7765" s="21">
        <v>0</v>
      </c>
      <c r="AH7765" s="21">
        <f t="shared" si="150"/>
        <v>0</v>
      </c>
      <c r="AI7765" s="21"/>
      <c r="AJ7765" s="21" t="s">
        <v>51</v>
      </c>
      <c r="AK7765" s="21"/>
      <c r="AL7765" s="21" t="s">
        <v>3701</v>
      </c>
      <c r="AM7765" s="21" t="s">
        <v>3702</v>
      </c>
      <c r="AN7765" s="21">
        <v>-122.415005016667</v>
      </c>
      <c r="AO7765" s="21">
        <v>37.779761616666697</v>
      </c>
      <c r="AP7765" s="21" t="s">
        <v>1915</v>
      </c>
    </row>
    <row r="7766" spans="1:42">
      <c r="A7766" s="20">
        <v>43852</v>
      </c>
      <c r="B7766" s="21">
        <v>3</v>
      </c>
      <c r="C7766" s="21">
        <v>532</v>
      </c>
      <c r="D7766" s="21">
        <v>11277</v>
      </c>
      <c r="E7766" s="21" t="s">
        <v>3676</v>
      </c>
      <c r="F7766" s="21" t="s">
        <v>520</v>
      </c>
      <c r="G7766" s="21">
        <v>1</v>
      </c>
      <c r="H7766" s="21">
        <v>16</v>
      </c>
      <c r="I7766" s="23" t="s">
        <v>3410</v>
      </c>
      <c r="J7766" s="21"/>
      <c r="K7766" s="21" t="s">
        <v>73</v>
      </c>
      <c r="L7766" s="21"/>
      <c r="M7766" s="21"/>
      <c r="N7766" s="21" t="s">
        <v>44</v>
      </c>
      <c r="O7766" s="21">
        <f>60+60+60+1</f>
        <v>181</v>
      </c>
      <c r="P7766" s="21"/>
      <c r="Q7766" s="21">
        <f t="shared" si="149"/>
        <v>2</v>
      </c>
      <c r="R7766" s="21">
        <v>1</v>
      </c>
      <c r="S7766" s="21">
        <v>0</v>
      </c>
      <c r="T7766" s="21">
        <v>0</v>
      </c>
      <c r="U7766" s="21">
        <v>0</v>
      </c>
      <c r="V7766" s="21">
        <v>0</v>
      </c>
      <c r="W7766" s="21">
        <v>0</v>
      </c>
      <c r="X7766" s="21">
        <v>0</v>
      </c>
      <c r="Y7766" s="21">
        <v>0</v>
      </c>
      <c r="Z7766" s="21">
        <v>0</v>
      </c>
      <c r="AA7766" s="21">
        <v>1</v>
      </c>
      <c r="AB7766" s="21">
        <v>0</v>
      </c>
      <c r="AC7766" s="21">
        <v>1</v>
      </c>
      <c r="AD7766" s="21">
        <v>0</v>
      </c>
      <c r="AE7766" s="21">
        <v>0</v>
      </c>
      <c r="AF7766" s="21">
        <v>0</v>
      </c>
      <c r="AG7766" s="21">
        <v>0</v>
      </c>
      <c r="AH7766" s="21">
        <f t="shared" si="150"/>
        <v>0</v>
      </c>
      <c r="AI7766" s="21"/>
      <c r="AJ7766" s="21" t="s">
        <v>51</v>
      </c>
      <c r="AK7766" s="21"/>
      <c r="AL7766" s="21" t="s">
        <v>3703</v>
      </c>
      <c r="AM7766" s="21" t="s">
        <v>3704</v>
      </c>
      <c r="AN7766" s="21">
        <v>-122.414778666667</v>
      </c>
      <c r="AO7766" s="21">
        <v>37.777453033333302</v>
      </c>
      <c r="AP7766" s="21" t="s">
        <v>1915</v>
      </c>
    </row>
    <row r="7767" spans="1:42">
      <c r="A7767" s="20">
        <v>43852</v>
      </c>
      <c r="B7767" s="21">
        <v>3</v>
      </c>
      <c r="C7767" s="21">
        <v>532</v>
      </c>
      <c r="D7767" s="21">
        <v>11277</v>
      </c>
      <c r="E7767" s="21" t="s">
        <v>3676</v>
      </c>
      <c r="F7767" s="21" t="s">
        <v>520</v>
      </c>
      <c r="G7767" s="21">
        <v>1</v>
      </c>
      <c r="H7767" s="21">
        <v>17</v>
      </c>
      <c r="I7767" s="23" t="s">
        <v>3074</v>
      </c>
      <c r="J7767" s="21"/>
      <c r="K7767" s="21" t="s">
        <v>394</v>
      </c>
      <c r="L7767" s="21"/>
      <c r="M7767" s="21"/>
      <c r="N7767" s="21" t="s">
        <v>40</v>
      </c>
      <c r="O7767" s="21">
        <f>60+60+55</f>
        <v>175</v>
      </c>
      <c r="P7767" s="21"/>
      <c r="Q7767" s="21">
        <f t="shared" si="149"/>
        <v>2</v>
      </c>
      <c r="R7767" s="21">
        <v>1</v>
      </c>
      <c r="S7767" s="21">
        <v>0</v>
      </c>
      <c r="T7767" s="21">
        <v>0</v>
      </c>
      <c r="U7767" s="21">
        <v>0</v>
      </c>
      <c r="V7767" s="21">
        <v>0</v>
      </c>
      <c r="W7767" s="21">
        <v>0</v>
      </c>
      <c r="X7767" s="21">
        <v>0</v>
      </c>
      <c r="Y7767" s="21">
        <v>0</v>
      </c>
      <c r="Z7767" s="21">
        <v>0</v>
      </c>
      <c r="AA7767" s="21">
        <v>0</v>
      </c>
      <c r="AB7767" s="21">
        <v>2</v>
      </c>
      <c r="AC7767" s="21">
        <v>0</v>
      </c>
      <c r="AD7767" s="21">
        <v>0</v>
      </c>
      <c r="AE7767" s="21">
        <v>0</v>
      </c>
      <c r="AF7767" s="21">
        <v>0</v>
      </c>
      <c r="AG7767" s="21">
        <v>0</v>
      </c>
      <c r="AH7767" s="21">
        <f t="shared" si="150"/>
        <v>0</v>
      </c>
      <c r="AI7767" s="21"/>
      <c r="AJ7767" s="21" t="s">
        <v>51</v>
      </c>
      <c r="AK7767" s="21" t="s">
        <v>95</v>
      </c>
      <c r="AL7767" s="21" t="s">
        <v>3705</v>
      </c>
      <c r="AM7767" s="21" t="s">
        <v>3706</v>
      </c>
      <c r="AN7767" s="21">
        <v>-122.416105383333</v>
      </c>
      <c r="AO7767" s="21">
        <v>37.7762411</v>
      </c>
      <c r="AP7767" s="21" t="s">
        <v>1915</v>
      </c>
    </row>
    <row r="7768" spans="1:42">
      <c r="A7768" s="20">
        <v>43852</v>
      </c>
      <c r="B7768" s="21">
        <v>3</v>
      </c>
      <c r="C7768" s="21">
        <v>532</v>
      </c>
      <c r="D7768" s="21">
        <v>11277</v>
      </c>
      <c r="E7768" s="21" t="s">
        <v>3676</v>
      </c>
      <c r="F7768" s="21" t="s">
        <v>520</v>
      </c>
      <c r="G7768" s="21">
        <v>1</v>
      </c>
      <c r="H7768" s="21">
        <v>18</v>
      </c>
      <c r="I7768" s="23" t="s">
        <v>3707</v>
      </c>
      <c r="J7768" s="21"/>
      <c r="K7768" s="21" t="s">
        <v>415</v>
      </c>
      <c r="L7768" s="21"/>
      <c r="M7768" s="21"/>
      <c r="N7768" s="21" t="s">
        <v>1703</v>
      </c>
      <c r="O7768" s="21">
        <f>60+60+49</f>
        <v>169</v>
      </c>
      <c r="P7768" s="21"/>
      <c r="Q7768" s="21">
        <f t="shared" si="149"/>
        <v>1</v>
      </c>
      <c r="R7768" s="21">
        <v>1</v>
      </c>
      <c r="S7768" s="21">
        <v>0</v>
      </c>
      <c r="T7768" s="21">
        <v>0</v>
      </c>
      <c r="U7768" s="21">
        <v>0</v>
      </c>
      <c r="V7768" s="21">
        <v>0</v>
      </c>
      <c r="W7768" s="21">
        <v>0</v>
      </c>
      <c r="X7768" s="21">
        <v>0</v>
      </c>
      <c r="Y7768" s="21">
        <v>0</v>
      </c>
      <c r="Z7768" s="21">
        <v>0</v>
      </c>
      <c r="AA7768" s="21">
        <v>1</v>
      </c>
      <c r="AB7768" s="21">
        <v>0</v>
      </c>
      <c r="AC7768" s="21">
        <v>0</v>
      </c>
      <c r="AD7768" s="21">
        <v>0</v>
      </c>
      <c r="AE7768" s="21">
        <v>0</v>
      </c>
      <c r="AF7768" s="21">
        <v>0</v>
      </c>
      <c r="AG7768" s="21">
        <v>0</v>
      </c>
      <c r="AH7768" s="21">
        <f t="shared" si="150"/>
        <v>0</v>
      </c>
      <c r="AI7768" s="21"/>
      <c r="AJ7768" s="21" t="s">
        <v>51</v>
      </c>
      <c r="AK7768" s="21" t="s">
        <v>95</v>
      </c>
      <c r="AL7768" s="21" t="s">
        <v>3708</v>
      </c>
      <c r="AM7768" s="21" t="s">
        <v>3709</v>
      </c>
      <c r="AN7768" s="21">
        <v>-122.419904866667</v>
      </c>
      <c r="AO7768" s="21">
        <v>37.775751783333298</v>
      </c>
      <c r="AP7768" s="21" t="s">
        <v>1915</v>
      </c>
    </row>
    <row r="7769" spans="1:42">
      <c r="A7769" s="20">
        <v>43852</v>
      </c>
      <c r="B7769" s="21">
        <v>3</v>
      </c>
      <c r="C7769" s="21">
        <v>532</v>
      </c>
      <c r="D7769" s="21">
        <v>11277</v>
      </c>
      <c r="E7769" s="21" t="s">
        <v>3676</v>
      </c>
      <c r="F7769" s="21" t="s">
        <v>520</v>
      </c>
      <c r="G7769" s="21">
        <v>1</v>
      </c>
      <c r="H7769" s="21">
        <v>19</v>
      </c>
      <c r="I7769" s="23" t="s">
        <v>3519</v>
      </c>
      <c r="J7769" s="21"/>
      <c r="K7769" s="21" t="s">
        <v>415</v>
      </c>
      <c r="L7769" s="21"/>
      <c r="M7769" s="21"/>
      <c r="N7769" s="21" t="s">
        <v>44</v>
      </c>
      <c r="O7769" s="21">
        <f>120+15</f>
        <v>135</v>
      </c>
      <c r="P7769" s="21"/>
      <c r="Q7769" s="21">
        <f t="shared" si="149"/>
        <v>1</v>
      </c>
      <c r="R7769" s="21">
        <v>1</v>
      </c>
      <c r="S7769" s="21">
        <v>0</v>
      </c>
      <c r="T7769" s="21">
        <v>0</v>
      </c>
      <c r="U7769" s="21">
        <v>0</v>
      </c>
      <c r="V7769" s="21">
        <v>0</v>
      </c>
      <c r="W7769" s="21">
        <v>0</v>
      </c>
      <c r="X7769" s="21">
        <v>0</v>
      </c>
      <c r="Y7769" s="21">
        <v>0</v>
      </c>
      <c r="Z7769" s="21">
        <v>0</v>
      </c>
      <c r="AA7769" s="21">
        <v>0</v>
      </c>
      <c r="AB7769" s="21">
        <v>1</v>
      </c>
      <c r="AC7769" s="21">
        <v>0</v>
      </c>
      <c r="AD7769" s="21">
        <v>0</v>
      </c>
      <c r="AE7769" s="21">
        <v>0</v>
      </c>
      <c r="AF7769" s="21">
        <v>0</v>
      </c>
      <c r="AG7769" s="21">
        <v>0</v>
      </c>
      <c r="AH7769" s="21">
        <f t="shared" si="150"/>
        <v>0</v>
      </c>
      <c r="AI7769" s="21"/>
      <c r="AJ7769" s="21"/>
      <c r="AK7769" s="21"/>
      <c r="AL7769" s="21" t="s">
        <v>3710</v>
      </c>
      <c r="AM7769" s="21" t="s">
        <v>3711</v>
      </c>
      <c r="AN7769" s="21">
        <v>-122.420947066667</v>
      </c>
      <c r="AO7769" s="21">
        <v>37.7772279333333</v>
      </c>
      <c r="AP7769" s="21" t="s">
        <v>1915</v>
      </c>
    </row>
    <row r="7770" spans="1:42">
      <c r="A7770" s="20">
        <v>43852</v>
      </c>
      <c r="B7770" s="21">
        <v>3</v>
      </c>
      <c r="C7770" s="21">
        <v>532</v>
      </c>
      <c r="D7770" s="21">
        <v>11277</v>
      </c>
      <c r="E7770" s="21" t="s">
        <v>3676</v>
      </c>
      <c r="F7770" s="21" t="s">
        <v>520</v>
      </c>
      <c r="G7770" s="21">
        <v>1</v>
      </c>
      <c r="H7770" s="21">
        <v>20</v>
      </c>
      <c r="I7770" s="23" t="s">
        <v>3479</v>
      </c>
      <c r="J7770" s="21"/>
      <c r="K7770" s="21" t="s">
        <v>415</v>
      </c>
      <c r="L7770" s="21"/>
      <c r="M7770" s="21"/>
      <c r="N7770" s="21" t="s">
        <v>40</v>
      </c>
      <c r="O7770" s="21">
        <f>120+13</f>
        <v>133</v>
      </c>
      <c r="P7770" s="21"/>
      <c r="Q7770" s="21">
        <f t="shared" si="149"/>
        <v>3</v>
      </c>
      <c r="R7770" s="21">
        <v>1</v>
      </c>
      <c r="S7770" s="21">
        <v>0</v>
      </c>
      <c r="T7770" s="21">
        <v>0</v>
      </c>
      <c r="U7770" s="21">
        <v>0</v>
      </c>
      <c r="V7770" s="21">
        <v>0</v>
      </c>
      <c r="W7770" s="21">
        <v>0</v>
      </c>
      <c r="X7770" s="21">
        <v>0</v>
      </c>
      <c r="Y7770" s="21">
        <v>0</v>
      </c>
      <c r="Z7770" s="21">
        <v>0</v>
      </c>
      <c r="AA7770" s="21">
        <v>3</v>
      </c>
      <c r="AB7770" s="21">
        <v>0</v>
      </c>
      <c r="AC7770" s="21">
        <v>0</v>
      </c>
      <c r="AD7770" s="21">
        <v>0</v>
      </c>
      <c r="AE7770" s="21">
        <v>0</v>
      </c>
      <c r="AF7770" s="21">
        <v>0</v>
      </c>
      <c r="AG7770" s="21">
        <v>0</v>
      </c>
      <c r="AH7770" s="21">
        <f t="shared" si="150"/>
        <v>0</v>
      </c>
      <c r="AI7770" s="21"/>
      <c r="AJ7770" s="21" t="s">
        <v>51</v>
      </c>
      <c r="AK7770" s="21" t="s">
        <v>95</v>
      </c>
      <c r="AL7770" s="21" t="s">
        <v>3712</v>
      </c>
      <c r="AM7770" s="21" t="s">
        <v>3713</v>
      </c>
      <c r="AN7770" s="21">
        <v>-122.421045116667</v>
      </c>
      <c r="AO7770" s="21">
        <v>37.779020416666597</v>
      </c>
      <c r="AP7770" s="21" t="s">
        <v>1915</v>
      </c>
    </row>
    <row r="7771" spans="1:42">
      <c r="A7771" s="20">
        <v>43852</v>
      </c>
      <c r="B7771" s="21">
        <v>3</v>
      </c>
      <c r="C7771" s="21">
        <v>532</v>
      </c>
      <c r="D7771" s="21">
        <v>11277</v>
      </c>
      <c r="E7771" s="21" t="s">
        <v>3676</v>
      </c>
      <c r="F7771" s="21" t="s">
        <v>520</v>
      </c>
      <c r="G7771" s="21">
        <v>1</v>
      </c>
      <c r="H7771" s="21">
        <v>21</v>
      </c>
      <c r="I7771" s="23" t="s">
        <v>3413</v>
      </c>
      <c r="J7771" s="21"/>
      <c r="K7771" s="21" t="s">
        <v>415</v>
      </c>
      <c r="L7771" s="21"/>
      <c r="M7771" s="21"/>
      <c r="N7771" s="21" t="s">
        <v>40</v>
      </c>
      <c r="O7771" s="21">
        <v>53</v>
      </c>
      <c r="P7771" s="21"/>
      <c r="Q7771" s="21">
        <f t="shared" si="149"/>
        <v>1</v>
      </c>
      <c r="R7771" s="21">
        <v>1</v>
      </c>
      <c r="S7771" s="21">
        <v>0</v>
      </c>
      <c r="T7771" s="21">
        <v>0</v>
      </c>
      <c r="U7771" s="21">
        <v>0</v>
      </c>
      <c r="V7771" s="21">
        <v>0</v>
      </c>
      <c r="W7771" s="21">
        <v>0</v>
      </c>
      <c r="X7771" s="21">
        <v>0</v>
      </c>
      <c r="Y7771" s="21">
        <v>0</v>
      </c>
      <c r="Z7771" s="21">
        <v>0</v>
      </c>
      <c r="AA7771" s="21">
        <v>1</v>
      </c>
      <c r="AB7771" s="21">
        <v>0</v>
      </c>
      <c r="AC7771" s="21">
        <v>0</v>
      </c>
      <c r="AD7771" s="21">
        <v>0</v>
      </c>
      <c r="AE7771" s="21">
        <v>0</v>
      </c>
      <c r="AF7771" s="21">
        <v>0</v>
      </c>
      <c r="AG7771" s="21">
        <v>0</v>
      </c>
      <c r="AH7771" s="21">
        <f t="shared" si="150"/>
        <v>0</v>
      </c>
      <c r="AI7771" s="21"/>
      <c r="AJ7771" s="21" t="s">
        <v>51</v>
      </c>
      <c r="AK7771" s="21" t="s">
        <v>95</v>
      </c>
      <c r="AL7771" s="21"/>
      <c r="AM7771" s="21" t="s">
        <v>3714</v>
      </c>
      <c r="AN7771" s="21">
        <v>-122.420964416667</v>
      </c>
      <c r="AO7771" s="21">
        <v>37.779950416666701</v>
      </c>
      <c r="AP7771" s="21" t="s">
        <v>1915</v>
      </c>
    </row>
    <row r="7772" spans="1:42">
      <c r="A7772" s="20">
        <v>43852</v>
      </c>
      <c r="B7772" s="21">
        <v>3</v>
      </c>
      <c r="C7772" s="21">
        <v>532</v>
      </c>
      <c r="D7772" s="21">
        <v>11277</v>
      </c>
      <c r="E7772" s="21" t="s">
        <v>3676</v>
      </c>
      <c r="F7772" s="21" t="s">
        <v>520</v>
      </c>
      <c r="G7772" s="21">
        <v>1</v>
      </c>
      <c r="H7772" s="21">
        <v>22</v>
      </c>
      <c r="I7772" s="23" t="s">
        <v>3230</v>
      </c>
      <c r="J7772" s="21"/>
      <c r="K7772" s="21" t="s">
        <v>415</v>
      </c>
      <c r="L7772" s="21"/>
      <c r="M7772" s="21"/>
      <c r="N7772" s="21" t="s">
        <v>44</v>
      </c>
      <c r="O7772" s="21">
        <f>130+48</f>
        <v>178</v>
      </c>
      <c r="P7772" s="21"/>
      <c r="Q7772" s="21">
        <f t="shared" si="149"/>
        <v>1</v>
      </c>
      <c r="R7772" s="21">
        <v>1</v>
      </c>
      <c r="S7772" s="21">
        <v>0</v>
      </c>
      <c r="T7772" s="21">
        <v>0</v>
      </c>
      <c r="U7772" s="21">
        <v>0</v>
      </c>
      <c r="V7772" s="21">
        <v>0</v>
      </c>
      <c r="W7772" s="21">
        <v>0</v>
      </c>
      <c r="X7772" s="21">
        <v>0</v>
      </c>
      <c r="Y7772" s="21">
        <v>0</v>
      </c>
      <c r="Z7772" s="21">
        <v>0</v>
      </c>
      <c r="AA7772" s="21">
        <v>0</v>
      </c>
      <c r="AB7772" s="21">
        <v>1</v>
      </c>
      <c r="AC7772" s="21">
        <v>0</v>
      </c>
      <c r="AD7772" s="21">
        <v>0</v>
      </c>
      <c r="AE7772" s="21">
        <v>0</v>
      </c>
      <c r="AF7772" s="21">
        <v>0</v>
      </c>
      <c r="AG7772" s="21">
        <v>0</v>
      </c>
      <c r="AH7772" s="21">
        <f t="shared" si="150"/>
        <v>0</v>
      </c>
      <c r="AI7772" s="21"/>
      <c r="AJ7772" s="21" t="s">
        <v>51</v>
      </c>
      <c r="AK7772" s="21" t="s">
        <v>95</v>
      </c>
      <c r="AL7772" s="21" t="s">
        <v>3715</v>
      </c>
      <c r="AM7772" s="21" t="s">
        <v>3716</v>
      </c>
      <c r="AN7772" s="21">
        <v>-122.418615816667</v>
      </c>
      <c r="AO7772" s="21">
        <v>37.783055283333297</v>
      </c>
      <c r="AP7772" s="21" t="s">
        <v>1915</v>
      </c>
    </row>
    <row r="7773" spans="1:42">
      <c r="A7773" s="20">
        <v>43852</v>
      </c>
      <c r="B7773" s="21">
        <v>3</v>
      </c>
      <c r="C7773" s="21">
        <v>532</v>
      </c>
      <c r="D7773" s="21">
        <v>11277</v>
      </c>
      <c r="E7773" s="21" t="s">
        <v>3676</v>
      </c>
      <c r="F7773" s="21" t="s">
        <v>520</v>
      </c>
      <c r="G7773" s="21">
        <v>1</v>
      </c>
      <c r="H7773" s="21">
        <v>23</v>
      </c>
      <c r="I7773" s="23" t="s">
        <v>3230</v>
      </c>
      <c r="J7773" s="21"/>
      <c r="K7773" s="21" t="s">
        <v>415</v>
      </c>
      <c r="L7773" s="21"/>
      <c r="M7773" s="21"/>
      <c r="N7773" s="21" t="s">
        <v>1703</v>
      </c>
      <c r="O7773" s="21">
        <f>60+10</f>
        <v>70</v>
      </c>
      <c r="P7773" s="21"/>
      <c r="Q7773" s="21">
        <f t="shared" si="149"/>
        <v>1</v>
      </c>
      <c r="R7773" s="21">
        <v>1</v>
      </c>
      <c r="S7773" s="21">
        <v>0</v>
      </c>
      <c r="T7773" s="21">
        <v>0</v>
      </c>
      <c r="U7773" s="21">
        <v>0</v>
      </c>
      <c r="V7773" s="21">
        <v>0</v>
      </c>
      <c r="W7773" s="21">
        <v>0</v>
      </c>
      <c r="X7773" s="21">
        <v>0</v>
      </c>
      <c r="Y7773" s="21">
        <v>0</v>
      </c>
      <c r="Z7773" s="21">
        <v>0</v>
      </c>
      <c r="AA7773" s="21">
        <v>0</v>
      </c>
      <c r="AB7773" s="21">
        <v>1</v>
      </c>
      <c r="AC7773" s="21">
        <v>0</v>
      </c>
      <c r="AD7773" s="21">
        <v>0</v>
      </c>
      <c r="AE7773" s="21">
        <v>0</v>
      </c>
      <c r="AF7773" s="21">
        <v>0</v>
      </c>
      <c r="AG7773" s="21">
        <v>0</v>
      </c>
      <c r="AH7773" s="21">
        <f t="shared" si="150"/>
        <v>0</v>
      </c>
      <c r="AI7773" s="21"/>
      <c r="AJ7773" s="21" t="s">
        <v>54</v>
      </c>
      <c r="AK7773" s="21" t="s">
        <v>95</v>
      </c>
      <c r="AL7773" s="21" t="s">
        <v>3469</v>
      </c>
      <c r="AM7773" s="21" t="s">
        <v>3717</v>
      </c>
      <c r="AN7773" s="21">
        <v>-122.42063225</v>
      </c>
      <c r="AO7773" s="21">
        <v>37.785552066666703</v>
      </c>
      <c r="AP7773" s="21" t="s">
        <v>1915</v>
      </c>
    </row>
    <row r="7774" spans="1:42">
      <c r="A7774" s="20">
        <v>43852</v>
      </c>
      <c r="B7774" s="21">
        <v>3</v>
      </c>
      <c r="C7774" s="21">
        <v>532</v>
      </c>
      <c r="D7774" s="21">
        <v>11277</v>
      </c>
      <c r="E7774" s="21" t="s">
        <v>3676</v>
      </c>
      <c r="F7774" s="21" t="s">
        <v>520</v>
      </c>
      <c r="G7774" s="21">
        <v>1</v>
      </c>
      <c r="H7774" s="21">
        <v>24</v>
      </c>
      <c r="I7774" s="23" t="s">
        <v>3096</v>
      </c>
      <c r="J7774" s="21"/>
      <c r="K7774" s="21" t="s">
        <v>588</v>
      </c>
      <c r="L7774" s="21"/>
      <c r="M7774" s="21"/>
      <c r="N7774" s="21" t="s">
        <v>44</v>
      </c>
      <c r="O7774" s="21">
        <f>60+60+60+10</f>
        <v>190</v>
      </c>
      <c r="P7774" s="21"/>
      <c r="Q7774" s="21">
        <f t="shared" si="149"/>
        <v>2</v>
      </c>
      <c r="R7774" s="21">
        <v>1</v>
      </c>
      <c r="S7774" s="21">
        <v>0</v>
      </c>
      <c r="T7774" s="21">
        <v>0</v>
      </c>
      <c r="U7774" s="21">
        <v>0</v>
      </c>
      <c r="V7774" s="21">
        <v>0</v>
      </c>
      <c r="W7774" s="21">
        <v>0</v>
      </c>
      <c r="X7774" s="21">
        <v>0</v>
      </c>
      <c r="Y7774" s="21">
        <v>0</v>
      </c>
      <c r="Z7774" s="21">
        <v>0</v>
      </c>
      <c r="AA7774" s="21">
        <v>0</v>
      </c>
      <c r="AB7774" s="21">
        <v>0</v>
      </c>
      <c r="AC7774" s="21">
        <v>2</v>
      </c>
      <c r="AD7774" s="21">
        <v>0</v>
      </c>
      <c r="AE7774" s="21">
        <v>0</v>
      </c>
      <c r="AF7774" s="21">
        <v>0</v>
      </c>
      <c r="AG7774" s="21">
        <v>0</v>
      </c>
      <c r="AH7774" s="21">
        <f t="shared" si="150"/>
        <v>0</v>
      </c>
      <c r="AI7774" s="21"/>
      <c r="AJ7774" s="21" t="s">
        <v>51</v>
      </c>
      <c r="AK7774" s="21" t="s">
        <v>95</v>
      </c>
      <c r="AL7774" s="21" t="s">
        <v>3718</v>
      </c>
      <c r="AM7774" s="21" t="s">
        <v>3719</v>
      </c>
      <c r="AN7774" s="21">
        <v>-122.428130866667</v>
      </c>
      <c r="AO7774" s="21">
        <v>37.785348883333299</v>
      </c>
      <c r="AP7774" s="21" t="s">
        <v>1915</v>
      </c>
    </row>
    <row r="7775" spans="1:42">
      <c r="A7775" s="20">
        <v>43852</v>
      </c>
      <c r="B7775" s="21">
        <v>3</v>
      </c>
      <c r="C7775" s="21">
        <v>532</v>
      </c>
      <c r="D7775" s="21">
        <v>11277</v>
      </c>
      <c r="E7775" s="21" t="s">
        <v>3676</v>
      </c>
      <c r="F7775" s="21" t="s">
        <v>520</v>
      </c>
      <c r="G7775" s="21">
        <v>1</v>
      </c>
      <c r="H7775" s="21">
        <v>25</v>
      </c>
      <c r="I7775" s="23" t="s">
        <v>3720</v>
      </c>
      <c r="J7775" s="21"/>
      <c r="K7775" s="21" t="s">
        <v>599</v>
      </c>
      <c r="L7775" s="21"/>
      <c r="M7775" s="21"/>
      <c r="N7775" s="21" t="s">
        <v>44</v>
      </c>
      <c r="O7775" s="21">
        <f>60+60+60+60+60+4</f>
        <v>304</v>
      </c>
      <c r="P7775" s="21"/>
      <c r="Q7775" s="21">
        <f t="shared" si="149"/>
        <v>2</v>
      </c>
      <c r="R7775" s="21">
        <v>1</v>
      </c>
      <c r="S7775" s="21">
        <v>0</v>
      </c>
      <c r="T7775" s="21">
        <v>0</v>
      </c>
      <c r="U7775" s="21">
        <v>0</v>
      </c>
      <c r="V7775" s="21">
        <v>0</v>
      </c>
      <c r="W7775" s="21">
        <v>0</v>
      </c>
      <c r="X7775" s="21">
        <v>0</v>
      </c>
      <c r="Y7775" s="21">
        <v>0</v>
      </c>
      <c r="Z7775" s="21">
        <v>0</v>
      </c>
      <c r="AA7775" s="21">
        <v>0</v>
      </c>
      <c r="AB7775" s="21">
        <v>2</v>
      </c>
      <c r="AC7775" s="21">
        <v>0</v>
      </c>
      <c r="AD7775" s="21">
        <v>0</v>
      </c>
      <c r="AE7775" s="21">
        <v>0</v>
      </c>
      <c r="AF7775" s="21">
        <v>0</v>
      </c>
      <c r="AG7775" s="21">
        <v>0</v>
      </c>
      <c r="AH7775" s="21">
        <f t="shared" si="150"/>
        <v>0</v>
      </c>
      <c r="AI7775" s="21"/>
      <c r="AJ7775" s="21" t="s">
        <v>51</v>
      </c>
      <c r="AK7775" s="21"/>
      <c r="AL7775" s="21" t="s">
        <v>3721</v>
      </c>
      <c r="AM7775" s="21" t="s">
        <v>3722</v>
      </c>
      <c r="AN7775" s="21">
        <v>-122.43220605</v>
      </c>
      <c r="AO7775" s="21">
        <v>37.784630733333302</v>
      </c>
      <c r="AP7775" s="21" t="s">
        <v>1915</v>
      </c>
    </row>
    <row r="7776" spans="1:42">
      <c r="A7776" s="20">
        <v>43852</v>
      </c>
      <c r="B7776" s="21">
        <v>3</v>
      </c>
      <c r="C7776" s="21">
        <v>532</v>
      </c>
      <c r="D7776" s="21">
        <v>11277</v>
      </c>
      <c r="E7776" s="21" t="s">
        <v>3676</v>
      </c>
      <c r="F7776" s="21" t="s">
        <v>520</v>
      </c>
      <c r="G7776" s="21">
        <v>1</v>
      </c>
      <c r="H7776" s="21">
        <v>26</v>
      </c>
      <c r="I7776" s="23" t="s">
        <v>3432</v>
      </c>
      <c r="J7776" s="21"/>
      <c r="K7776" s="21" t="s">
        <v>210</v>
      </c>
      <c r="L7776" s="21"/>
      <c r="M7776" s="21"/>
      <c r="N7776" s="21" t="s">
        <v>44</v>
      </c>
      <c r="O7776" s="21">
        <v>53</v>
      </c>
      <c r="P7776" s="21"/>
      <c r="Q7776" s="21">
        <f t="shared" si="149"/>
        <v>1</v>
      </c>
      <c r="R7776" s="21">
        <v>1</v>
      </c>
      <c r="S7776" s="21">
        <v>0</v>
      </c>
      <c r="T7776" s="21">
        <v>0</v>
      </c>
      <c r="U7776" s="21">
        <v>0</v>
      </c>
      <c r="V7776" s="21">
        <v>0</v>
      </c>
      <c r="W7776" s="21">
        <v>0</v>
      </c>
      <c r="X7776" s="21">
        <v>0</v>
      </c>
      <c r="Y7776" s="21">
        <v>0</v>
      </c>
      <c r="Z7776" s="21">
        <v>0</v>
      </c>
      <c r="AA7776" s="21">
        <v>0</v>
      </c>
      <c r="AB7776" s="21">
        <v>0</v>
      </c>
      <c r="AC7776" s="21">
        <v>1</v>
      </c>
      <c r="AD7776" s="21">
        <v>0</v>
      </c>
      <c r="AE7776" s="21">
        <v>0</v>
      </c>
      <c r="AF7776" s="21">
        <v>0</v>
      </c>
      <c r="AG7776" s="21">
        <v>0</v>
      </c>
      <c r="AH7776" s="21">
        <f t="shared" si="150"/>
        <v>0</v>
      </c>
      <c r="AI7776" s="21"/>
      <c r="AJ7776" s="21" t="s">
        <v>51</v>
      </c>
      <c r="AK7776" s="21"/>
      <c r="AL7776" s="21"/>
      <c r="AM7776" s="21" t="s">
        <v>3723</v>
      </c>
      <c r="AN7776" s="21">
        <v>-122.43706621666701</v>
      </c>
      <c r="AO7776" s="21">
        <v>37.799345250000002</v>
      </c>
      <c r="AP7776" s="21" t="s">
        <v>1915</v>
      </c>
    </row>
    <row r="7777" spans="1:42">
      <c r="A7777" s="20">
        <v>43852</v>
      </c>
      <c r="B7777" s="21">
        <v>3</v>
      </c>
      <c r="C7777" s="21">
        <v>532</v>
      </c>
      <c r="D7777" s="21">
        <v>11277</v>
      </c>
      <c r="E7777" s="21" t="s">
        <v>3676</v>
      </c>
      <c r="F7777" s="21" t="s">
        <v>520</v>
      </c>
      <c r="G7777" s="21">
        <v>1</v>
      </c>
      <c r="H7777" s="21">
        <v>27</v>
      </c>
      <c r="I7777" s="23" t="s">
        <v>3055</v>
      </c>
      <c r="J7777" s="21"/>
      <c r="K7777" s="21" t="s">
        <v>1274</v>
      </c>
      <c r="L7777" s="21"/>
      <c r="M7777" s="21"/>
      <c r="N7777" s="21" t="s">
        <v>44</v>
      </c>
      <c r="O7777" s="21">
        <f>60+16</f>
        <v>76</v>
      </c>
      <c r="P7777" s="21"/>
      <c r="Q7777" s="21">
        <f t="shared" si="149"/>
        <v>2</v>
      </c>
      <c r="R7777" s="21">
        <v>1</v>
      </c>
      <c r="S7777" s="21">
        <v>0</v>
      </c>
      <c r="T7777" s="21">
        <v>0</v>
      </c>
      <c r="U7777" s="21">
        <v>0</v>
      </c>
      <c r="V7777" s="21">
        <v>0</v>
      </c>
      <c r="W7777" s="21">
        <v>0</v>
      </c>
      <c r="X7777" s="21">
        <v>0</v>
      </c>
      <c r="Y7777" s="21">
        <v>0</v>
      </c>
      <c r="Z7777" s="21">
        <v>0</v>
      </c>
      <c r="AA7777" s="21">
        <v>0</v>
      </c>
      <c r="AB7777" s="21">
        <v>0</v>
      </c>
      <c r="AC7777" s="21">
        <v>2</v>
      </c>
      <c r="AD7777" s="21">
        <v>0</v>
      </c>
      <c r="AE7777" s="21">
        <v>0</v>
      </c>
      <c r="AF7777" s="21">
        <v>0</v>
      </c>
      <c r="AG7777" s="21">
        <v>0</v>
      </c>
      <c r="AH7777" s="21">
        <f t="shared" si="150"/>
        <v>0</v>
      </c>
      <c r="AI7777" s="21"/>
      <c r="AJ7777" s="21" t="s">
        <v>51</v>
      </c>
      <c r="AK7777" s="21"/>
      <c r="AL7777" s="21" t="s">
        <v>3724</v>
      </c>
      <c r="AM7777" s="21" t="s">
        <v>3725</v>
      </c>
      <c r="AN7777" s="21">
        <v>-122.432206366667</v>
      </c>
      <c r="AO7777" s="21">
        <v>37.8070272</v>
      </c>
      <c r="AP7777" s="21" t="s">
        <v>1915</v>
      </c>
    </row>
    <row r="7778" spans="1:42">
      <c r="A7778" s="20">
        <v>43852</v>
      </c>
      <c r="B7778" s="21">
        <v>3</v>
      </c>
      <c r="C7778" s="21">
        <v>532</v>
      </c>
      <c r="D7778" s="21">
        <v>11277</v>
      </c>
      <c r="E7778" s="21" t="s">
        <v>3676</v>
      </c>
      <c r="F7778" s="21" t="s">
        <v>520</v>
      </c>
      <c r="G7778" s="21">
        <v>1</v>
      </c>
      <c r="H7778" s="21">
        <v>28</v>
      </c>
      <c r="I7778" s="23" t="s">
        <v>3726</v>
      </c>
      <c r="J7778" s="21"/>
      <c r="K7778" s="21" t="s">
        <v>3435</v>
      </c>
      <c r="L7778" s="21"/>
      <c r="M7778" s="21"/>
      <c r="N7778" s="21" t="s">
        <v>44</v>
      </c>
      <c r="O7778" s="21">
        <v>54</v>
      </c>
      <c r="P7778" s="21"/>
      <c r="Q7778" s="21">
        <f t="shared" si="149"/>
        <v>1</v>
      </c>
      <c r="R7778" s="21">
        <v>1</v>
      </c>
      <c r="S7778" s="21">
        <v>0</v>
      </c>
      <c r="T7778" s="21">
        <v>0</v>
      </c>
      <c r="U7778" s="21">
        <v>0</v>
      </c>
      <c r="V7778" s="21">
        <v>0</v>
      </c>
      <c r="W7778" s="21">
        <v>0</v>
      </c>
      <c r="X7778" s="21">
        <v>0</v>
      </c>
      <c r="Y7778" s="21">
        <v>0</v>
      </c>
      <c r="Z7778" s="21">
        <v>0</v>
      </c>
      <c r="AA7778" s="21">
        <v>0</v>
      </c>
      <c r="AB7778" s="21">
        <v>0</v>
      </c>
      <c r="AC7778" s="21">
        <v>1</v>
      </c>
      <c r="AD7778" s="21">
        <v>0</v>
      </c>
      <c r="AE7778" s="21">
        <v>0</v>
      </c>
      <c r="AF7778" s="21">
        <v>0</v>
      </c>
      <c r="AG7778" s="21">
        <v>0</v>
      </c>
      <c r="AH7778" s="21">
        <f t="shared" si="150"/>
        <v>0</v>
      </c>
      <c r="AI7778" s="21"/>
      <c r="AJ7778" s="21" t="s">
        <v>51</v>
      </c>
      <c r="AK7778" s="21"/>
      <c r="AL7778" s="21"/>
      <c r="AM7778" s="21" t="s">
        <v>3727</v>
      </c>
      <c r="AN7778" s="21">
        <v>-122.448701516667</v>
      </c>
      <c r="AO7778" s="21">
        <v>37.797214150000002</v>
      </c>
      <c r="AP7778" s="21" t="s">
        <v>1915</v>
      </c>
    </row>
    <row r="7779" spans="1:42">
      <c r="A7779" s="20">
        <v>43852</v>
      </c>
      <c r="B7779" s="21">
        <v>3</v>
      </c>
      <c r="C7779" s="21">
        <v>532</v>
      </c>
      <c r="D7779" s="21">
        <v>11277</v>
      </c>
      <c r="E7779" s="21" t="s">
        <v>3676</v>
      </c>
      <c r="F7779" s="21" t="s">
        <v>520</v>
      </c>
      <c r="G7779" s="21">
        <v>1</v>
      </c>
      <c r="H7779" s="21">
        <v>29</v>
      </c>
      <c r="I7779" s="23" t="s">
        <v>3728</v>
      </c>
      <c r="J7779" s="21"/>
      <c r="K7779" s="21" t="s">
        <v>3729</v>
      </c>
      <c r="L7779" s="21"/>
      <c r="M7779" s="21"/>
      <c r="N7779" s="21" t="s">
        <v>44</v>
      </c>
      <c r="O7779" s="21">
        <v>41</v>
      </c>
      <c r="P7779" s="21"/>
      <c r="Q7779" s="21">
        <f t="shared" si="149"/>
        <v>1</v>
      </c>
      <c r="R7779" s="21">
        <v>1</v>
      </c>
      <c r="S7779" s="21">
        <v>0</v>
      </c>
      <c r="T7779" s="21">
        <v>0</v>
      </c>
      <c r="U7779" s="21">
        <v>0</v>
      </c>
      <c r="V7779" s="21">
        <v>0</v>
      </c>
      <c r="W7779" s="21">
        <v>0</v>
      </c>
      <c r="X7779" s="21">
        <v>0</v>
      </c>
      <c r="Y7779" s="21">
        <v>0</v>
      </c>
      <c r="Z7779" s="21">
        <v>0</v>
      </c>
      <c r="AA7779" s="21">
        <v>0</v>
      </c>
      <c r="AB7779" s="21">
        <v>1</v>
      </c>
      <c r="AC7779" s="21">
        <v>0</v>
      </c>
      <c r="AD7779" s="21">
        <v>0</v>
      </c>
      <c r="AE7779" s="21">
        <v>0</v>
      </c>
      <c r="AF7779" s="21">
        <v>0</v>
      </c>
      <c r="AG7779" s="21">
        <v>0</v>
      </c>
      <c r="AH7779" s="21">
        <f t="shared" si="150"/>
        <v>0</v>
      </c>
      <c r="AI7779" s="21"/>
      <c r="AJ7779" s="21" t="s">
        <v>51</v>
      </c>
      <c r="AK7779" s="21"/>
      <c r="AL7779" s="21" t="s">
        <v>3730</v>
      </c>
      <c r="AM7779" s="21" t="s">
        <v>3731</v>
      </c>
      <c r="AN7779" s="21">
        <v>-122.454802383333</v>
      </c>
      <c r="AO7779" s="21">
        <v>37.799292683333299</v>
      </c>
      <c r="AP7779" s="21" t="s">
        <v>1915</v>
      </c>
    </row>
    <row r="7780" spans="1:42">
      <c r="A7780" s="20">
        <v>43852</v>
      </c>
      <c r="B7780" s="21">
        <v>3</v>
      </c>
      <c r="C7780" s="21">
        <v>532</v>
      </c>
      <c r="D7780" s="21">
        <v>11277</v>
      </c>
      <c r="E7780" s="21" t="s">
        <v>3676</v>
      </c>
      <c r="F7780" s="21" t="s">
        <v>520</v>
      </c>
      <c r="G7780" s="21">
        <v>1</v>
      </c>
      <c r="H7780" s="21">
        <v>30</v>
      </c>
      <c r="I7780" s="23" t="s">
        <v>3732</v>
      </c>
      <c r="J7780" s="21"/>
      <c r="K7780" s="21" t="s">
        <v>3733</v>
      </c>
      <c r="L7780" s="21"/>
      <c r="M7780" s="21"/>
      <c r="N7780" s="21" t="s">
        <v>44</v>
      </c>
      <c r="O7780" s="21">
        <f>60+60+34</f>
        <v>154</v>
      </c>
      <c r="P7780" s="21"/>
      <c r="Q7780" s="21">
        <f t="shared" si="149"/>
        <v>0</v>
      </c>
      <c r="R7780" s="21">
        <v>1</v>
      </c>
      <c r="S7780" s="21">
        <v>0</v>
      </c>
      <c r="T7780" s="21">
        <v>0</v>
      </c>
      <c r="U7780" s="21">
        <v>0</v>
      </c>
      <c r="V7780" s="21">
        <v>0</v>
      </c>
      <c r="W7780" s="21">
        <v>0</v>
      </c>
      <c r="X7780" s="21">
        <v>0</v>
      </c>
      <c r="Y7780" s="21">
        <v>0</v>
      </c>
      <c r="Z7780" s="21">
        <v>0</v>
      </c>
      <c r="AA7780" s="21">
        <v>0</v>
      </c>
      <c r="AB7780" s="21">
        <v>0</v>
      </c>
      <c r="AC7780" s="21">
        <v>0</v>
      </c>
      <c r="AD7780" s="21">
        <v>0</v>
      </c>
      <c r="AE7780" s="21">
        <v>0</v>
      </c>
      <c r="AF7780" s="21">
        <v>0</v>
      </c>
      <c r="AG7780" s="21">
        <v>0</v>
      </c>
      <c r="AH7780" s="21">
        <f t="shared" si="150"/>
        <v>0</v>
      </c>
      <c r="AI7780" s="21"/>
      <c r="AJ7780" s="21" t="s">
        <v>51</v>
      </c>
      <c r="AK7780" s="21" t="s">
        <v>95</v>
      </c>
      <c r="AL7780" s="21" t="s">
        <v>3734</v>
      </c>
      <c r="AM7780" s="21" t="s">
        <v>3735</v>
      </c>
      <c r="AN7780" s="21">
        <v>-122.45634996666701</v>
      </c>
      <c r="AO7780" s="21">
        <v>37.799489199999996</v>
      </c>
      <c r="AP7780" s="21" t="s">
        <v>1915</v>
      </c>
    </row>
    <row r="7781" spans="1:42">
      <c r="A7781" s="20">
        <v>43852</v>
      </c>
      <c r="B7781" s="21">
        <v>3</v>
      </c>
      <c r="C7781" s="21">
        <v>532</v>
      </c>
      <c r="D7781" s="21">
        <v>11277</v>
      </c>
      <c r="E7781" s="21" t="s">
        <v>3676</v>
      </c>
      <c r="F7781" s="21" t="s">
        <v>520</v>
      </c>
      <c r="G7781" s="21">
        <v>1</v>
      </c>
      <c r="H7781" s="21">
        <v>31</v>
      </c>
      <c r="I7781" s="23" t="s">
        <v>3736</v>
      </c>
      <c r="J7781" s="21"/>
      <c r="K7781" s="21" t="s">
        <v>3737</v>
      </c>
      <c r="L7781" s="21"/>
      <c r="M7781" s="21"/>
      <c r="N7781" s="21" t="s">
        <v>44</v>
      </c>
      <c r="O7781" s="21">
        <f>60+60+19</f>
        <v>139</v>
      </c>
      <c r="P7781" s="21"/>
      <c r="Q7781" s="21">
        <f t="shared" si="149"/>
        <v>1</v>
      </c>
      <c r="R7781" s="21">
        <v>1</v>
      </c>
      <c r="S7781" s="21">
        <v>0</v>
      </c>
      <c r="T7781" s="21">
        <v>0</v>
      </c>
      <c r="U7781" s="21">
        <v>0</v>
      </c>
      <c r="V7781" s="21">
        <v>0</v>
      </c>
      <c r="W7781" s="21">
        <v>0</v>
      </c>
      <c r="X7781" s="21">
        <v>0</v>
      </c>
      <c r="Y7781" s="21">
        <v>0</v>
      </c>
      <c r="Z7781" s="21">
        <v>0</v>
      </c>
      <c r="AA7781" s="21">
        <v>0</v>
      </c>
      <c r="AB7781" s="21">
        <v>1</v>
      </c>
      <c r="AC7781" s="21">
        <v>0</v>
      </c>
      <c r="AD7781" s="21">
        <v>0</v>
      </c>
      <c r="AE7781" s="21">
        <v>0</v>
      </c>
      <c r="AF7781" s="21">
        <v>0</v>
      </c>
      <c r="AG7781" s="21">
        <v>0</v>
      </c>
      <c r="AH7781" s="21">
        <f t="shared" si="150"/>
        <v>0</v>
      </c>
      <c r="AI7781" s="21"/>
      <c r="AJ7781" s="21" t="s">
        <v>51</v>
      </c>
      <c r="AK7781" s="21" t="s">
        <v>95</v>
      </c>
      <c r="AL7781" s="21" t="s">
        <v>3738</v>
      </c>
      <c r="AM7781" s="21" t="s">
        <v>3739</v>
      </c>
      <c r="AN7781" s="21">
        <v>-122.45564013333301</v>
      </c>
      <c r="AO7781" s="21">
        <v>37.800381883333301</v>
      </c>
      <c r="AP7781" s="21" t="s">
        <v>1915</v>
      </c>
    </row>
    <row r="7782" spans="1:42">
      <c r="A7782" s="20">
        <v>43852</v>
      </c>
      <c r="B7782" s="21">
        <v>3</v>
      </c>
      <c r="C7782" s="21">
        <v>532</v>
      </c>
      <c r="D7782" s="21">
        <v>11277</v>
      </c>
      <c r="E7782" s="21" t="s">
        <v>3676</v>
      </c>
      <c r="F7782" s="21" t="s">
        <v>520</v>
      </c>
      <c r="G7782" s="21">
        <v>1</v>
      </c>
      <c r="H7782" s="21">
        <v>32</v>
      </c>
      <c r="I7782" s="23">
        <v>220</v>
      </c>
      <c r="J7782" s="21"/>
      <c r="K7782" s="21" t="s">
        <v>1008</v>
      </c>
      <c r="L7782" s="21"/>
      <c r="M7782" s="21"/>
      <c r="N7782" s="21" t="s">
        <v>44</v>
      </c>
      <c r="O7782" s="21">
        <v>54</v>
      </c>
      <c r="P7782" s="21"/>
      <c r="Q7782" s="21">
        <f t="shared" si="149"/>
        <v>1</v>
      </c>
      <c r="R7782" s="21">
        <v>1</v>
      </c>
      <c r="S7782" s="21">
        <v>0</v>
      </c>
      <c r="T7782" s="21">
        <v>0</v>
      </c>
      <c r="U7782" s="21">
        <v>0</v>
      </c>
      <c r="V7782" s="21">
        <v>0</v>
      </c>
      <c r="W7782" s="21">
        <v>0</v>
      </c>
      <c r="X7782" s="21">
        <v>0</v>
      </c>
      <c r="Y7782" s="21">
        <v>0</v>
      </c>
      <c r="Z7782" s="21">
        <v>0</v>
      </c>
      <c r="AA7782" s="21">
        <v>0</v>
      </c>
      <c r="AB7782" s="21">
        <v>1</v>
      </c>
      <c r="AC7782" s="21">
        <v>0</v>
      </c>
      <c r="AD7782" s="21">
        <v>0</v>
      </c>
      <c r="AE7782" s="21">
        <v>0</v>
      </c>
      <c r="AF7782" s="21">
        <v>0</v>
      </c>
      <c r="AG7782" s="21">
        <v>0</v>
      </c>
      <c r="AH7782" s="21">
        <f t="shared" si="150"/>
        <v>0</v>
      </c>
      <c r="AI7782" s="21"/>
      <c r="AJ7782" s="21" t="s">
        <v>51</v>
      </c>
      <c r="AK7782" s="21"/>
      <c r="AL7782" s="21" t="s">
        <v>3600</v>
      </c>
      <c r="AM7782" s="21" t="s">
        <v>3740</v>
      </c>
      <c r="AN7782" s="21">
        <v>-122.455356866667</v>
      </c>
      <c r="AO7782" s="21">
        <v>37.801792416666601</v>
      </c>
      <c r="AP7782" s="21" t="s">
        <v>1915</v>
      </c>
    </row>
    <row r="7783" spans="1:42">
      <c r="A7783" s="20">
        <v>43852</v>
      </c>
      <c r="B7783" s="21">
        <v>3</v>
      </c>
      <c r="C7783" s="21">
        <v>532</v>
      </c>
      <c r="D7783" s="21">
        <v>11277</v>
      </c>
      <c r="E7783" s="21" t="s">
        <v>3676</v>
      </c>
      <c r="F7783" s="21" t="s">
        <v>520</v>
      </c>
      <c r="G7783" s="21">
        <v>1</v>
      </c>
      <c r="H7783" s="21">
        <v>33</v>
      </c>
      <c r="I7783" s="23" t="s">
        <v>3584</v>
      </c>
      <c r="J7783" s="21"/>
      <c r="K7783" t="s">
        <v>102</v>
      </c>
      <c r="L7783" s="21"/>
      <c r="M7783" s="21"/>
      <c r="N7783" s="21" t="s">
        <v>44</v>
      </c>
      <c r="O7783" s="21">
        <f>60+7</f>
        <v>67</v>
      </c>
      <c r="P7783" s="21"/>
      <c r="Q7783" s="21">
        <f t="shared" si="149"/>
        <v>0</v>
      </c>
      <c r="R7783" s="21">
        <v>1</v>
      </c>
      <c r="S7783" s="21">
        <v>0</v>
      </c>
      <c r="T7783" s="21">
        <v>0</v>
      </c>
      <c r="U7783" s="21">
        <v>0</v>
      </c>
      <c r="V7783" s="21">
        <v>0</v>
      </c>
      <c r="W7783" s="21">
        <v>0</v>
      </c>
      <c r="X7783" s="21">
        <v>0</v>
      </c>
      <c r="Y7783" s="21">
        <v>0</v>
      </c>
      <c r="Z7783" s="21">
        <v>0</v>
      </c>
      <c r="AA7783" s="21">
        <v>0</v>
      </c>
      <c r="AB7783" s="21">
        <v>0</v>
      </c>
      <c r="AC7783" s="21">
        <v>0</v>
      </c>
      <c r="AD7783" s="21">
        <v>0</v>
      </c>
      <c r="AE7783" s="21">
        <v>0</v>
      </c>
      <c r="AF7783" s="21">
        <v>0</v>
      </c>
      <c r="AG7783" s="21">
        <v>0</v>
      </c>
      <c r="AH7783" s="21">
        <f t="shared" si="150"/>
        <v>0</v>
      </c>
      <c r="AI7783" s="21"/>
      <c r="AJ7783" s="21" t="s">
        <v>51</v>
      </c>
      <c r="AK7783" s="21"/>
      <c r="AL7783" s="21"/>
      <c r="AM7783" s="21" t="s">
        <v>3741</v>
      </c>
      <c r="AN7783" s="21">
        <v>-122.464595116667</v>
      </c>
      <c r="AO7783" s="21">
        <v>37.803001033333302</v>
      </c>
      <c r="AP7783" s="21" t="s">
        <v>1915</v>
      </c>
    </row>
    <row r="7784" spans="1:42">
      <c r="A7784" s="20">
        <v>43852</v>
      </c>
      <c r="B7784" s="21">
        <v>3</v>
      </c>
      <c r="C7784" s="21">
        <v>532</v>
      </c>
      <c r="D7784" s="21">
        <v>11277</v>
      </c>
      <c r="E7784" s="21" t="s">
        <v>3676</v>
      </c>
      <c r="F7784" s="21" t="s">
        <v>520</v>
      </c>
      <c r="G7784" s="21">
        <v>1</v>
      </c>
      <c r="H7784" s="21">
        <v>34</v>
      </c>
      <c r="I7784" s="23" t="s">
        <v>3442</v>
      </c>
      <c r="J7784" s="21"/>
      <c r="K7784" s="21" t="s">
        <v>3403</v>
      </c>
      <c r="L7784" s="21"/>
      <c r="M7784" s="21"/>
      <c r="N7784" s="21" t="s">
        <v>44</v>
      </c>
      <c r="O7784" s="21">
        <f>60+60+11</f>
        <v>131</v>
      </c>
      <c r="P7784" s="21"/>
      <c r="Q7784" s="21">
        <f t="shared" si="149"/>
        <v>1</v>
      </c>
      <c r="R7784" s="21">
        <v>1</v>
      </c>
      <c r="S7784" s="21">
        <v>0</v>
      </c>
      <c r="T7784" s="21">
        <v>0</v>
      </c>
      <c r="U7784" s="21">
        <v>0</v>
      </c>
      <c r="V7784" s="21">
        <v>0</v>
      </c>
      <c r="W7784" s="21">
        <v>0</v>
      </c>
      <c r="X7784" s="21">
        <v>0</v>
      </c>
      <c r="Y7784" s="21">
        <v>0</v>
      </c>
      <c r="Z7784" s="21">
        <v>0</v>
      </c>
      <c r="AA7784" s="21">
        <v>0</v>
      </c>
      <c r="AB7784" s="21">
        <v>1</v>
      </c>
      <c r="AC7784" s="21">
        <v>0</v>
      </c>
      <c r="AD7784" s="21">
        <v>0</v>
      </c>
      <c r="AE7784" s="21">
        <v>0</v>
      </c>
      <c r="AF7784" s="21">
        <v>0</v>
      </c>
      <c r="AG7784" s="21">
        <v>0</v>
      </c>
      <c r="AH7784" s="21">
        <f t="shared" si="150"/>
        <v>0</v>
      </c>
      <c r="AI7784" s="21"/>
      <c r="AJ7784" s="21" t="s">
        <v>51</v>
      </c>
      <c r="AK7784" s="21"/>
      <c r="AL7784" s="21" t="s">
        <v>3742</v>
      </c>
      <c r="AM7784" s="21" t="s">
        <v>3743</v>
      </c>
      <c r="AN7784" s="21">
        <v>-122.459869566667</v>
      </c>
      <c r="AO7784" s="21">
        <v>37.800869533333298</v>
      </c>
      <c r="AP7784" s="21" t="s">
        <v>1915</v>
      </c>
    </row>
    <row r="7785" spans="1:42">
      <c r="A7785" s="20">
        <v>43852</v>
      </c>
      <c r="B7785" s="21">
        <v>3</v>
      </c>
      <c r="C7785" s="21">
        <v>532</v>
      </c>
      <c r="D7785" s="21">
        <v>11277</v>
      </c>
      <c r="E7785" s="21" t="s">
        <v>3676</v>
      </c>
      <c r="F7785" s="21" t="s">
        <v>520</v>
      </c>
      <c r="G7785" s="21">
        <v>1</v>
      </c>
      <c r="H7785" s="21">
        <v>35</v>
      </c>
      <c r="I7785" s="23" t="s">
        <v>3744</v>
      </c>
      <c r="J7785" s="21"/>
      <c r="K7785" s="21" t="s">
        <v>3403</v>
      </c>
      <c r="L7785" s="21"/>
      <c r="M7785" s="21"/>
      <c r="N7785" s="21" t="s">
        <v>44</v>
      </c>
      <c r="O7785" s="21">
        <f>60+60+44</f>
        <v>164</v>
      </c>
      <c r="P7785" s="21"/>
      <c r="Q7785" s="21">
        <f t="shared" si="149"/>
        <v>1</v>
      </c>
      <c r="R7785" s="21">
        <v>1</v>
      </c>
      <c r="S7785" s="21">
        <v>0</v>
      </c>
      <c r="T7785" s="21">
        <v>0</v>
      </c>
      <c r="U7785" s="21">
        <v>0</v>
      </c>
      <c r="V7785" s="21">
        <v>0</v>
      </c>
      <c r="W7785" s="21">
        <v>0</v>
      </c>
      <c r="X7785" s="21">
        <v>0</v>
      </c>
      <c r="Y7785" s="21">
        <v>0</v>
      </c>
      <c r="Z7785" s="21">
        <v>0</v>
      </c>
      <c r="AA7785" s="21">
        <v>0</v>
      </c>
      <c r="AB7785" s="21">
        <v>0</v>
      </c>
      <c r="AC7785" s="21">
        <v>1</v>
      </c>
      <c r="AD7785" s="21">
        <v>0</v>
      </c>
      <c r="AE7785" s="21">
        <v>0</v>
      </c>
      <c r="AF7785" s="21">
        <v>0</v>
      </c>
      <c r="AG7785" s="21">
        <v>0</v>
      </c>
      <c r="AH7785" s="21">
        <f t="shared" si="150"/>
        <v>0</v>
      </c>
      <c r="AI7785" s="21"/>
      <c r="AJ7785" s="21" t="s">
        <v>51</v>
      </c>
      <c r="AK7785" s="21"/>
      <c r="AL7785" s="21" t="s">
        <v>3745</v>
      </c>
      <c r="AM7785" s="21" t="s">
        <v>3746</v>
      </c>
      <c r="AN7785" s="21">
        <v>-122.460085466667</v>
      </c>
      <c r="AO7785" s="21">
        <v>37.8002179333333</v>
      </c>
      <c r="AP7785" s="21" t="s">
        <v>1915</v>
      </c>
    </row>
    <row r="7786" spans="1:42">
      <c r="A7786" s="20">
        <v>43852</v>
      </c>
      <c r="B7786" s="21">
        <v>3</v>
      </c>
      <c r="C7786" s="21">
        <v>532</v>
      </c>
      <c r="D7786" s="21">
        <v>11277</v>
      </c>
      <c r="E7786" s="21" t="s">
        <v>3676</v>
      </c>
      <c r="F7786" s="21" t="s">
        <v>520</v>
      </c>
      <c r="G7786" s="21">
        <v>1</v>
      </c>
      <c r="H7786" s="21">
        <v>36</v>
      </c>
      <c r="I7786" s="23" t="s">
        <v>3747</v>
      </c>
      <c r="J7786" s="21"/>
      <c r="K7786" s="21" t="s">
        <v>3551</v>
      </c>
      <c r="L7786" s="21"/>
      <c r="M7786" s="21"/>
      <c r="N7786" s="21" t="s">
        <v>44</v>
      </c>
      <c r="O7786" s="21">
        <f>60+45</f>
        <v>105</v>
      </c>
      <c r="P7786" s="21"/>
      <c r="Q7786" s="21">
        <f t="shared" si="149"/>
        <v>0</v>
      </c>
      <c r="R7786" s="21">
        <v>1</v>
      </c>
      <c r="S7786" s="21">
        <v>0</v>
      </c>
      <c r="T7786" s="21">
        <v>0</v>
      </c>
      <c r="U7786" s="21">
        <v>0</v>
      </c>
      <c r="V7786" s="21">
        <v>0</v>
      </c>
      <c r="W7786" s="21">
        <v>0</v>
      </c>
      <c r="X7786" s="21">
        <v>0</v>
      </c>
      <c r="Y7786" s="21">
        <v>0</v>
      </c>
      <c r="Z7786" s="21">
        <v>0</v>
      </c>
      <c r="AA7786" s="21">
        <v>0</v>
      </c>
      <c r="AB7786" s="21">
        <v>0</v>
      </c>
      <c r="AC7786" s="21">
        <v>0</v>
      </c>
      <c r="AD7786" s="21">
        <v>0</v>
      </c>
      <c r="AE7786" s="21">
        <v>0</v>
      </c>
      <c r="AF7786" s="21">
        <v>0</v>
      </c>
      <c r="AG7786" s="21">
        <v>0</v>
      </c>
      <c r="AH7786" s="21">
        <f t="shared" si="150"/>
        <v>0</v>
      </c>
      <c r="AI7786" s="21"/>
      <c r="AJ7786" s="21" t="s">
        <v>54</v>
      </c>
      <c r="AK7786" s="21"/>
      <c r="AL7786" s="21" t="s">
        <v>3748</v>
      </c>
      <c r="AM7786" s="21" t="s">
        <v>3749</v>
      </c>
      <c r="AN7786" s="21">
        <v>-122.459257633333</v>
      </c>
      <c r="AO7786" s="21">
        <v>37.798909766666704</v>
      </c>
      <c r="AP7786" s="21" t="s">
        <v>1915</v>
      </c>
    </row>
    <row r="7787" spans="1:42">
      <c r="A7787" s="20">
        <v>43852</v>
      </c>
      <c r="B7787" s="21">
        <v>3</v>
      </c>
      <c r="C7787" s="21">
        <v>532</v>
      </c>
      <c r="D7787" s="21">
        <v>11277</v>
      </c>
      <c r="E7787" s="21" t="s">
        <v>3676</v>
      </c>
      <c r="F7787" s="21" t="s">
        <v>520</v>
      </c>
      <c r="G7787" s="21">
        <v>1</v>
      </c>
      <c r="H7787" s="21">
        <v>37</v>
      </c>
      <c r="I7787" s="23" t="s">
        <v>3437</v>
      </c>
      <c r="J7787" s="21"/>
      <c r="K7787" s="21" t="s">
        <v>3551</v>
      </c>
      <c r="L7787" s="21"/>
      <c r="M7787" s="21"/>
      <c r="N7787" s="21" t="s">
        <v>44</v>
      </c>
      <c r="O7787" s="21">
        <v>120</v>
      </c>
      <c r="P7787" s="21"/>
      <c r="Q7787" s="21">
        <f t="shared" si="149"/>
        <v>1</v>
      </c>
      <c r="R7787" s="21">
        <v>1</v>
      </c>
      <c r="S7787" s="21">
        <v>0</v>
      </c>
      <c r="T7787" s="21">
        <v>0</v>
      </c>
      <c r="U7787" s="21">
        <v>0</v>
      </c>
      <c r="V7787" s="21">
        <v>0</v>
      </c>
      <c r="W7787" s="21">
        <v>0</v>
      </c>
      <c r="X7787" s="21">
        <v>0</v>
      </c>
      <c r="Y7787" s="21">
        <v>0</v>
      </c>
      <c r="Z7787" s="21">
        <v>0</v>
      </c>
      <c r="AA7787" s="21">
        <v>0</v>
      </c>
      <c r="AB7787" s="21">
        <v>0</v>
      </c>
      <c r="AC7787" s="21">
        <v>1</v>
      </c>
      <c r="AD7787" s="21">
        <v>0</v>
      </c>
      <c r="AE7787" s="21">
        <v>0</v>
      </c>
      <c r="AF7787" s="21">
        <v>0</v>
      </c>
      <c r="AG7787" s="21">
        <v>0</v>
      </c>
      <c r="AH7787" s="21">
        <f t="shared" si="150"/>
        <v>0</v>
      </c>
      <c r="AI7787" s="21"/>
      <c r="AJ7787" s="21" t="s">
        <v>51</v>
      </c>
      <c r="AK7787" s="21"/>
      <c r="AL7787" s="21" t="s">
        <v>3750</v>
      </c>
      <c r="AM7787" s="21" t="s">
        <v>3751</v>
      </c>
      <c r="AN7787" s="21">
        <v>-122.459522816667</v>
      </c>
      <c r="AO7787" s="21">
        <v>37.797412916666602</v>
      </c>
      <c r="AP7787" s="21" t="s">
        <v>1915</v>
      </c>
    </row>
    <row r="7788" spans="1:42">
      <c r="A7788" s="20">
        <v>43852</v>
      </c>
      <c r="B7788" s="21">
        <v>3</v>
      </c>
      <c r="C7788" s="21">
        <v>532</v>
      </c>
      <c r="D7788" s="21">
        <v>11277</v>
      </c>
      <c r="E7788" s="21" t="s">
        <v>3676</v>
      </c>
      <c r="F7788" s="21" t="s">
        <v>520</v>
      </c>
      <c r="G7788" s="21">
        <v>1</v>
      </c>
      <c r="H7788" s="21">
        <v>38</v>
      </c>
      <c r="I7788" s="23" t="s">
        <v>3752</v>
      </c>
      <c r="J7788" s="21"/>
      <c r="K7788" s="21" t="s">
        <v>3753</v>
      </c>
      <c r="L7788" s="21"/>
      <c r="M7788" s="21"/>
      <c r="N7788" s="21" t="s">
        <v>44</v>
      </c>
      <c r="O7788" s="21">
        <v>36</v>
      </c>
      <c r="P7788" s="21"/>
      <c r="Q7788" s="21">
        <f t="shared" si="149"/>
        <v>1</v>
      </c>
      <c r="R7788" s="21">
        <v>1</v>
      </c>
      <c r="S7788" s="21">
        <v>0</v>
      </c>
      <c r="T7788" s="21">
        <v>0</v>
      </c>
      <c r="U7788" s="21">
        <v>0</v>
      </c>
      <c r="V7788" s="21">
        <v>0</v>
      </c>
      <c r="W7788" s="21">
        <v>0</v>
      </c>
      <c r="X7788" s="21">
        <v>0</v>
      </c>
      <c r="Y7788" s="21">
        <v>0</v>
      </c>
      <c r="Z7788" s="21">
        <v>0</v>
      </c>
      <c r="AA7788" s="21">
        <v>0</v>
      </c>
      <c r="AB7788" s="21">
        <v>0</v>
      </c>
      <c r="AC7788" s="21">
        <v>1</v>
      </c>
      <c r="AD7788" s="21">
        <v>0</v>
      </c>
      <c r="AE7788" s="21">
        <v>0</v>
      </c>
      <c r="AF7788" s="21">
        <v>0</v>
      </c>
      <c r="AG7788" s="21">
        <v>0</v>
      </c>
      <c r="AH7788" s="21">
        <f t="shared" si="150"/>
        <v>0</v>
      </c>
      <c r="AI7788" s="21"/>
      <c r="AJ7788" s="21"/>
      <c r="AK7788" s="21"/>
      <c r="AL7788" s="21" t="s">
        <v>3606</v>
      </c>
      <c r="AM7788" s="21" t="s">
        <v>3754</v>
      </c>
      <c r="AN7788" s="21">
        <v>-122.459603516667</v>
      </c>
      <c r="AO7788" s="21">
        <v>37.790925866666598</v>
      </c>
      <c r="AP7788" s="21" t="s">
        <v>1915</v>
      </c>
    </row>
    <row r="7789" spans="1:42">
      <c r="A7789" s="20">
        <v>43852</v>
      </c>
      <c r="B7789" s="21">
        <v>3</v>
      </c>
      <c r="C7789" s="21">
        <v>532</v>
      </c>
      <c r="D7789" s="21">
        <v>11277</v>
      </c>
      <c r="E7789" s="21" t="s">
        <v>3676</v>
      </c>
      <c r="F7789" s="21" t="s">
        <v>520</v>
      </c>
      <c r="G7789" s="21">
        <v>1</v>
      </c>
      <c r="H7789" s="21">
        <v>39</v>
      </c>
      <c r="I7789" s="23" t="s">
        <v>3755</v>
      </c>
      <c r="J7789" s="21"/>
      <c r="K7789" s="21" t="s">
        <v>2829</v>
      </c>
      <c r="L7789" s="21"/>
      <c r="M7789" s="21"/>
      <c r="N7789" s="21" t="s">
        <v>40</v>
      </c>
      <c r="O7789" s="21">
        <f>60+38</f>
        <v>98</v>
      </c>
      <c r="P7789" s="21"/>
      <c r="Q7789" s="21">
        <f t="shared" si="149"/>
        <v>0</v>
      </c>
      <c r="R7789" s="21">
        <v>1</v>
      </c>
      <c r="S7789" s="21">
        <v>0</v>
      </c>
      <c r="T7789" s="21">
        <v>0</v>
      </c>
      <c r="U7789" s="21">
        <v>0</v>
      </c>
      <c r="V7789" s="21">
        <v>0</v>
      </c>
      <c r="W7789" s="21">
        <v>0</v>
      </c>
      <c r="X7789" s="21">
        <v>0</v>
      </c>
      <c r="Y7789" s="21">
        <v>0</v>
      </c>
      <c r="Z7789" s="21">
        <v>0</v>
      </c>
      <c r="AA7789" s="21">
        <v>0</v>
      </c>
      <c r="AB7789" s="21">
        <v>0</v>
      </c>
      <c r="AC7789" s="21">
        <v>0</v>
      </c>
      <c r="AD7789" s="21">
        <v>0</v>
      </c>
      <c r="AE7789" s="21">
        <v>0</v>
      </c>
      <c r="AF7789" s="21">
        <v>0</v>
      </c>
      <c r="AG7789" s="21">
        <v>0</v>
      </c>
      <c r="AH7789" s="21">
        <f t="shared" si="150"/>
        <v>0</v>
      </c>
      <c r="AI7789" s="21"/>
      <c r="AJ7789" s="21" t="s">
        <v>54</v>
      </c>
      <c r="AK7789" s="21" t="s">
        <v>95</v>
      </c>
      <c r="AL7789" s="21" t="s">
        <v>3756</v>
      </c>
      <c r="AM7789" s="21" t="s">
        <v>3757</v>
      </c>
      <c r="AN7789" s="21">
        <v>-122.42294194999999</v>
      </c>
      <c r="AO7789" s="21">
        <v>37.789227933333301</v>
      </c>
      <c r="AP7789" s="21" t="s">
        <v>1915</v>
      </c>
    </row>
    <row r="7790" spans="1:42">
      <c r="A7790" s="20">
        <v>43852</v>
      </c>
      <c r="B7790" s="21">
        <v>3</v>
      </c>
      <c r="C7790" s="21">
        <v>532</v>
      </c>
      <c r="D7790" s="21">
        <v>11277</v>
      </c>
      <c r="E7790" s="21" t="s">
        <v>3676</v>
      </c>
      <c r="F7790" s="21" t="s">
        <v>520</v>
      </c>
      <c r="G7790" s="21">
        <v>1</v>
      </c>
      <c r="H7790" s="21">
        <v>40</v>
      </c>
      <c r="I7790" s="23" t="s">
        <v>3758</v>
      </c>
      <c r="J7790" s="21"/>
      <c r="K7790" s="21" t="s">
        <v>68</v>
      </c>
      <c r="L7790" s="21"/>
      <c r="M7790" s="21"/>
      <c r="N7790" s="21" t="s">
        <v>40</v>
      </c>
      <c r="O7790" s="21">
        <f>60+55</f>
        <v>115</v>
      </c>
      <c r="P7790" s="21"/>
      <c r="Q7790" s="21">
        <f t="shared" si="149"/>
        <v>1</v>
      </c>
      <c r="R7790" s="21">
        <v>1</v>
      </c>
      <c r="S7790" s="21">
        <v>0</v>
      </c>
      <c r="T7790" s="21">
        <v>0</v>
      </c>
      <c r="U7790" s="21">
        <v>0</v>
      </c>
      <c r="V7790" s="21">
        <v>0</v>
      </c>
      <c r="W7790" s="21">
        <v>0</v>
      </c>
      <c r="X7790" s="21">
        <v>0</v>
      </c>
      <c r="Y7790" s="21">
        <v>0</v>
      </c>
      <c r="Z7790" s="21">
        <v>0</v>
      </c>
      <c r="AA7790" s="21">
        <v>0</v>
      </c>
      <c r="AB7790" s="21">
        <v>0</v>
      </c>
      <c r="AC7790" s="21">
        <v>1</v>
      </c>
      <c r="AD7790" s="21">
        <v>0</v>
      </c>
      <c r="AE7790" s="21">
        <v>0</v>
      </c>
      <c r="AF7790" s="21">
        <v>0</v>
      </c>
      <c r="AG7790" s="21">
        <v>0</v>
      </c>
      <c r="AH7790" s="21">
        <f t="shared" si="150"/>
        <v>0</v>
      </c>
      <c r="AI7790" s="21"/>
      <c r="AJ7790" s="21" t="s">
        <v>51</v>
      </c>
      <c r="AK7790" s="21" t="s">
        <v>95</v>
      </c>
      <c r="AL7790" s="21" t="s">
        <v>3759</v>
      </c>
      <c r="AM7790" s="21" t="s">
        <v>3760</v>
      </c>
      <c r="AN7790" s="21">
        <v>-122.422128433333</v>
      </c>
      <c r="AO7790" s="21">
        <v>37.792288783333298</v>
      </c>
      <c r="AP7790" s="21" t="s">
        <v>1915</v>
      </c>
    </row>
    <row r="7791" spans="1:42">
      <c r="A7791" s="20">
        <v>43852</v>
      </c>
      <c r="B7791" s="21">
        <v>3</v>
      </c>
      <c r="C7791" s="21">
        <v>532</v>
      </c>
      <c r="D7791" s="21">
        <v>11277</v>
      </c>
      <c r="E7791" s="21" t="s">
        <v>3676</v>
      </c>
      <c r="F7791" s="21" t="s">
        <v>520</v>
      </c>
      <c r="G7791" s="21">
        <v>1</v>
      </c>
      <c r="H7791" s="21">
        <v>41</v>
      </c>
      <c r="I7791" s="23" t="s">
        <v>3761</v>
      </c>
      <c r="J7791" s="21"/>
      <c r="K7791" t="s">
        <v>605</v>
      </c>
      <c r="L7791" s="21"/>
      <c r="M7791" s="21"/>
      <c r="N7791" s="21" t="s">
        <v>40</v>
      </c>
      <c r="O7791" s="21">
        <v>66</v>
      </c>
      <c r="P7791" s="21"/>
      <c r="Q7791" s="21">
        <f t="shared" si="149"/>
        <v>1</v>
      </c>
      <c r="R7791" s="21">
        <v>1</v>
      </c>
      <c r="S7791" s="21">
        <v>0</v>
      </c>
      <c r="T7791" s="21">
        <v>0</v>
      </c>
      <c r="U7791" s="21">
        <v>0</v>
      </c>
      <c r="V7791" s="21">
        <v>0</v>
      </c>
      <c r="W7791" s="21">
        <v>0</v>
      </c>
      <c r="X7791" s="21">
        <v>0</v>
      </c>
      <c r="Y7791" s="21">
        <v>0</v>
      </c>
      <c r="Z7791" s="21">
        <v>0</v>
      </c>
      <c r="AA7791" s="21">
        <v>0</v>
      </c>
      <c r="AB7791" s="21">
        <v>1</v>
      </c>
      <c r="AC7791" s="21">
        <v>0</v>
      </c>
      <c r="AD7791" s="21">
        <v>0</v>
      </c>
      <c r="AE7791" s="21">
        <v>0</v>
      </c>
      <c r="AF7791" s="21">
        <v>0</v>
      </c>
      <c r="AG7791" s="21">
        <v>0</v>
      </c>
      <c r="AH7791" s="21">
        <f t="shared" si="150"/>
        <v>0</v>
      </c>
      <c r="AI7791" s="21"/>
      <c r="AJ7791" s="21" t="s">
        <v>54</v>
      </c>
      <c r="AK7791" s="21" t="s">
        <v>95</v>
      </c>
      <c r="AL7791" s="21"/>
      <c r="AM7791" s="21" t="s">
        <v>3762</v>
      </c>
      <c r="AN7791" s="21">
        <v>-122.420714433333</v>
      </c>
      <c r="AO7791" s="21">
        <v>37.795107166666703</v>
      </c>
      <c r="AP7791" s="21" t="s">
        <v>1915</v>
      </c>
    </row>
    <row r="7792" spans="1:42">
      <c r="A7792" s="20">
        <v>43852</v>
      </c>
      <c r="B7792" s="21">
        <v>3</v>
      </c>
      <c r="C7792" s="21">
        <v>532</v>
      </c>
      <c r="D7792" s="21">
        <v>11277</v>
      </c>
      <c r="E7792" s="21" t="s">
        <v>3676</v>
      </c>
      <c r="F7792" s="21" t="s">
        <v>520</v>
      </c>
      <c r="G7792" s="21">
        <v>1</v>
      </c>
      <c r="H7792" s="21">
        <v>42</v>
      </c>
      <c r="I7792" s="23" t="s">
        <v>3563</v>
      </c>
      <c r="J7792" s="21"/>
      <c r="K7792" s="21" t="s">
        <v>414</v>
      </c>
      <c r="L7792" s="21"/>
      <c r="M7792" s="21"/>
      <c r="N7792" s="21" t="s">
        <v>40</v>
      </c>
      <c r="O7792" s="21">
        <f>60+60+60+35</f>
        <v>215</v>
      </c>
      <c r="P7792" s="21"/>
      <c r="Q7792" s="21">
        <f t="shared" si="149"/>
        <v>2</v>
      </c>
      <c r="R7792" s="21">
        <v>1</v>
      </c>
      <c r="S7792" s="21">
        <v>0</v>
      </c>
      <c r="T7792" s="21">
        <v>0</v>
      </c>
      <c r="U7792" s="21">
        <v>0</v>
      </c>
      <c r="V7792" s="21">
        <v>0</v>
      </c>
      <c r="W7792" s="21">
        <v>0</v>
      </c>
      <c r="X7792" s="21">
        <v>0</v>
      </c>
      <c r="Y7792" s="21">
        <v>0</v>
      </c>
      <c r="Z7792" s="21">
        <v>0</v>
      </c>
      <c r="AA7792" s="21">
        <v>0</v>
      </c>
      <c r="AB7792" s="21">
        <v>0</v>
      </c>
      <c r="AC7792" s="21">
        <v>0</v>
      </c>
      <c r="AD7792" s="21">
        <v>2</v>
      </c>
      <c r="AE7792" s="21">
        <v>0</v>
      </c>
      <c r="AF7792" s="21">
        <v>0</v>
      </c>
      <c r="AG7792" s="21">
        <v>0</v>
      </c>
      <c r="AH7792" s="21">
        <f t="shared" si="150"/>
        <v>0</v>
      </c>
      <c r="AI7792" s="21"/>
      <c r="AJ7792" s="21" t="s">
        <v>51</v>
      </c>
      <c r="AK7792" s="21" t="s">
        <v>52</v>
      </c>
      <c r="AL7792" s="21" t="s">
        <v>3763</v>
      </c>
      <c r="AM7792" s="21" t="s">
        <v>3764</v>
      </c>
      <c r="AN7792" s="21">
        <v>-122.4188879</v>
      </c>
      <c r="AO7792" s="21">
        <v>37.783664583333298</v>
      </c>
      <c r="AP7792" s="21" t="s">
        <v>1915</v>
      </c>
    </row>
    <row r="7793" spans="1:42">
      <c r="A7793" s="20">
        <v>43852</v>
      </c>
      <c r="B7793" s="21">
        <v>3</v>
      </c>
      <c r="C7793" s="21">
        <v>532</v>
      </c>
      <c r="D7793" s="21">
        <v>11277</v>
      </c>
      <c r="E7793" s="21" t="s">
        <v>3676</v>
      </c>
      <c r="F7793" s="21" t="s">
        <v>520</v>
      </c>
      <c r="G7793" s="21">
        <v>1</v>
      </c>
      <c r="H7793" s="21">
        <v>43</v>
      </c>
      <c r="I7793" s="23" t="s">
        <v>3487</v>
      </c>
      <c r="J7793" s="21"/>
      <c r="K7793" s="21" t="s">
        <v>509</v>
      </c>
      <c r="L7793" s="21"/>
      <c r="M7793" s="21"/>
      <c r="N7793" s="21" t="s">
        <v>40</v>
      </c>
      <c r="O7793" s="21">
        <f>60+60+60+60+32</f>
        <v>272</v>
      </c>
      <c r="P7793" s="21"/>
      <c r="Q7793" s="21">
        <f t="shared" si="149"/>
        <v>4</v>
      </c>
      <c r="R7793" s="21">
        <v>1</v>
      </c>
      <c r="S7793" s="21">
        <v>0</v>
      </c>
      <c r="T7793" s="21">
        <v>0</v>
      </c>
      <c r="U7793" s="21">
        <v>0</v>
      </c>
      <c r="V7793" s="21">
        <v>0</v>
      </c>
      <c r="W7793" s="21">
        <v>0</v>
      </c>
      <c r="X7793" s="21">
        <v>0</v>
      </c>
      <c r="Y7793" s="21">
        <v>0</v>
      </c>
      <c r="Z7793" s="21">
        <v>0</v>
      </c>
      <c r="AA7793" s="21">
        <v>0</v>
      </c>
      <c r="AB7793" s="21">
        <v>4</v>
      </c>
      <c r="AC7793" s="21">
        <v>0</v>
      </c>
      <c r="AD7793" s="21">
        <v>0</v>
      </c>
      <c r="AE7793" s="21">
        <v>0</v>
      </c>
      <c r="AF7793" s="21">
        <v>0</v>
      </c>
      <c r="AG7793" s="21">
        <v>0</v>
      </c>
      <c r="AH7793" s="21">
        <f t="shared" si="150"/>
        <v>0</v>
      </c>
      <c r="AI7793" s="21"/>
      <c r="AJ7793" s="21" t="s">
        <v>51</v>
      </c>
      <c r="AK7793" s="21" t="s">
        <v>95</v>
      </c>
      <c r="AL7793" s="21" t="s">
        <v>3765</v>
      </c>
      <c r="AM7793" s="21" t="s">
        <v>3766</v>
      </c>
      <c r="AN7793" s="21">
        <v>-122.414324483333</v>
      </c>
      <c r="AO7793" s="21">
        <v>37.776871183333299</v>
      </c>
      <c r="AP7793" s="21" t="s">
        <v>1915</v>
      </c>
    </row>
    <row r="7794" spans="1:42">
      <c r="A7794" s="20">
        <v>43852</v>
      </c>
      <c r="B7794" s="21">
        <v>3</v>
      </c>
      <c r="C7794" s="21">
        <v>532</v>
      </c>
      <c r="D7794" s="21">
        <v>11277</v>
      </c>
      <c r="E7794" s="21" t="s">
        <v>3676</v>
      </c>
      <c r="F7794" s="21" t="s">
        <v>520</v>
      </c>
      <c r="G7794" s="21">
        <v>1</v>
      </c>
      <c r="H7794" s="21">
        <v>44</v>
      </c>
      <c r="I7794" s="23" t="s">
        <v>3767</v>
      </c>
      <c r="J7794" s="21"/>
      <c r="K7794" s="21" t="s">
        <v>394</v>
      </c>
      <c r="L7794" s="21"/>
      <c r="M7794" s="21"/>
      <c r="N7794" s="21" t="s">
        <v>40</v>
      </c>
      <c r="O7794" s="21">
        <v>45</v>
      </c>
      <c r="P7794" s="21"/>
      <c r="Q7794" s="21">
        <f t="shared" si="149"/>
        <v>1</v>
      </c>
      <c r="R7794" s="21">
        <v>1</v>
      </c>
      <c r="S7794" s="21">
        <v>0</v>
      </c>
      <c r="T7794" s="21">
        <v>0</v>
      </c>
      <c r="U7794" s="21">
        <v>0</v>
      </c>
      <c r="V7794" s="21">
        <v>0</v>
      </c>
      <c r="W7794" s="21">
        <v>0</v>
      </c>
      <c r="X7794" s="21">
        <v>0</v>
      </c>
      <c r="Y7794" s="21">
        <v>0</v>
      </c>
      <c r="Z7794" s="21">
        <v>0</v>
      </c>
      <c r="AA7794" s="21">
        <v>0</v>
      </c>
      <c r="AB7794" s="21">
        <v>0</v>
      </c>
      <c r="AC7794" s="21">
        <v>1</v>
      </c>
      <c r="AD7794" s="21">
        <v>0</v>
      </c>
      <c r="AE7794" s="21">
        <v>0</v>
      </c>
      <c r="AF7794" s="21">
        <v>0</v>
      </c>
      <c r="AG7794" s="21">
        <v>0</v>
      </c>
      <c r="AH7794" s="21">
        <f t="shared" si="150"/>
        <v>0</v>
      </c>
      <c r="AI7794" s="21"/>
      <c r="AJ7794" s="21" t="s">
        <v>51</v>
      </c>
      <c r="AK7794" s="21" t="s">
        <v>95</v>
      </c>
      <c r="AL7794" s="21"/>
      <c r="AM7794" s="21" t="s">
        <v>3768</v>
      </c>
      <c r="AN7794" s="21">
        <v>-122.410460566667</v>
      </c>
      <c r="AO7794" s="21">
        <v>37.779640966666697</v>
      </c>
      <c r="AP7794" s="21" t="s">
        <v>1915</v>
      </c>
    </row>
    <row r="7795" spans="1:42">
      <c r="A7795" s="20">
        <v>43852</v>
      </c>
      <c r="B7795" s="21">
        <v>3</v>
      </c>
      <c r="C7795" s="21">
        <v>532</v>
      </c>
      <c r="D7795" s="21">
        <v>11277</v>
      </c>
      <c r="E7795" s="21" t="s">
        <v>3676</v>
      </c>
      <c r="F7795" s="21" t="s">
        <v>520</v>
      </c>
      <c r="G7795" s="21">
        <v>1</v>
      </c>
      <c r="H7795" s="21">
        <v>45</v>
      </c>
      <c r="I7795" s="23" t="s">
        <v>3769</v>
      </c>
      <c r="J7795" s="21"/>
      <c r="K7795" s="21" t="s">
        <v>394</v>
      </c>
      <c r="L7795" s="21"/>
      <c r="M7795" s="21"/>
      <c r="N7795" s="21" t="s">
        <v>40</v>
      </c>
      <c r="O7795" s="21">
        <v>51</v>
      </c>
      <c r="P7795" s="21"/>
      <c r="Q7795" s="21">
        <f t="shared" si="149"/>
        <v>1</v>
      </c>
      <c r="R7795" s="21">
        <v>1</v>
      </c>
      <c r="S7795" s="21">
        <v>0</v>
      </c>
      <c r="T7795" s="21">
        <v>0</v>
      </c>
      <c r="U7795" s="21">
        <v>0</v>
      </c>
      <c r="V7795" s="21">
        <v>0</v>
      </c>
      <c r="W7795" s="21">
        <v>0</v>
      </c>
      <c r="X7795" s="21">
        <v>0</v>
      </c>
      <c r="Y7795" s="21">
        <v>0</v>
      </c>
      <c r="Z7795" s="21">
        <v>0</v>
      </c>
      <c r="AA7795" s="21">
        <v>0</v>
      </c>
      <c r="AB7795" s="21">
        <v>0</v>
      </c>
      <c r="AC7795" s="21">
        <v>1</v>
      </c>
      <c r="AD7795" s="21">
        <v>0</v>
      </c>
      <c r="AE7795" s="21">
        <v>0</v>
      </c>
      <c r="AF7795" s="21">
        <v>0</v>
      </c>
      <c r="AG7795" s="21">
        <v>0</v>
      </c>
      <c r="AH7795" s="21">
        <f t="shared" si="150"/>
        <v>0</v>
      </c>
      <c r="AI7795" s="21"/>
      <c r="AJ7795" s="21" t="s">
        <v>51</v>
      </c>
      <c r="AK7795" s="21" t="s">
        <v>95</v>
      </c>
      <c r="AL7795" s="21"/>
      <c r="AM7795" s="21" t="s">
        <v>3770</v>
      </c>
      <c r="AN7795" s="21">
        <v>-122.41050541666699</v>
      </c>
      <c r="AO7795" s="21">
        <v>37.779620033333302</v>
      </c>
      <c r="AP7795" s="21" t="s">
        <v>1915</v>
      </c>
    </row>
    <row r="7796" spans="1:42">
      <c r="A7796" s="20">
        <v>43852</v>
      </c>
      <c r="B7796" s="21">
        <v>3</v>
      </c>
      <c r="C7796" s="21">
        <v>532</v>
      </c>
      <c r="D7796" s="21">
        <v>11277</v>
      </c>
      <c r="E7796" s="21" t="s">
        <v>3676</v>
      </c>
      <c r="F7796" s="21" t="s">
        <v>520</v>
      </c>
      <c r="G7796" s="21">
        <v>1</v>
      </c>
      <c r="H7796" s="21">
        <v>46</v>
      </c>
      <c r="I7796" s="23" t="s">
        <v>3572</v>
      </c>
      <c r="J7796" s="21"/>
      <c r="K7796" s="21" t="s">
        <v>69</v>
      </c>
      <c r="L7796" s="21"/>
      <c r="M7796" s="21"/>
      <c r="N7796" s="21" t="s">
        <v>40</v>
      </c>
      <c r="O7796" s="21">
        <f>60+55</f>
        <v>115</v>
      </c>
      <c r="P7796" s="21"/>
      <c r="Q7796" s="21">
        <f t="shared" si="149"/>
        <v>1</v>
      </c>
      <c r="R7796" s="21">
        <v>1</v>
      </c>
      <c r="S7796" s="21">
        <v>0</v>
      </c>
      <c r="T7796" s="21">
        <v>0</v>
      </c>
      <c r="U7796" s="21">
        <v>0</v>
      </c>
      <c r="V7796" s="21">
        <v>0</v>
      </c>
      <c r="W7796" s="21">
        <v>0</v>
      </c>
      <c r="X7796" s="21">
        <v>0</v>
      </c>
      <c r="Y7796" s="21">
        <v>0</v>
      </c>
      <c r="Z7796" s="21">
        <v>0</v>
      </c>
      <c r="AA7796" s="21">
        <v>0</v>
      </c>
      <c r="AB7796" s="21">
        <v>0</v>
      </c>
      <c r="AC7796" s="21">
        <v>0</v>
      </c>
      <c r="AD7796" s="21">
        <v>1</v>
      </c>
      <c r="AE7796" s="21">
        <v>0</v>
      </c>
      <c r="AF7796" s="21">
        <v>0</v>
      </c>
      <c r="AG7796" s="21">
        <v>0</v>
      </c>
      <c r="AH7796" s="21">
        <f t="shared" si="150"/>
        <v>0</v>
      </c>
      <c r="AI7796" s="21"/>
      <c r="AJ7796" s="21" t="s">
        <v>54</v>
      </c>
      <c r="AK7796" s="21" t="s">
        <v>95</v>
      </c>
      <c r="AL7796" s="21" t="s">
        <v>3771</v>
      </c>
      <c r="AM7796" s="21" t="s">
        <v>3772</v>
      </c>
      <c r="AN7796" s="21">
        <v>-122.422543616667</v>
      </c>
      <c r="AO7796" s="21">
        <v>37.789069499999997</v>
      </c>
      <c r="AP7796" s="21" t="s">
        <v>1915</v>
      </c>
    </row>
    <row r="7797" spans="1:42">
      <c r="A7797" s="20">
        <v>43852</v>
      </c>
      <c r="B7797" s="21">
        <v>3</v>
      </c>
      <c r="C7797" s="21">
        <v>532</v>
      </c>
      <c r="D7797" s="21">
        <v>11277</v>
      </c>
      <c r="E7797" s="21" t="s">
        <v>3676</v>
      </c>
      <c r="F7797" s="21" t="s">
        <v>520</v>
      </c>
      <c r="G7797" s="21">
        <v>1</v>
      </c>
      <c r="H7797" s="21">
        <v>47</v>
      </c>
      <c r="I7797" s="23" t="s">
        <v>3239</v>
      </c>
      <c r="J7797" s="21"/>
      <c r="K7797" s="21" t="s">
        <v>49</v>
      </c>
      <c r="L7797" s="21"/>
      <c r="M7797" s="21"/>
      <c r="N7797" s="21" t="s">
        <v>44</v>
      </c>
      <c r="O7797" s="21">
        <f>120+32</f>
        <v>152</v>
      </c>
      <c r="P7797" s="21"/>
      <c r="Q7797" s="21">
        <f t="shared" si="149"/>
        <v>1</v>
      </c>
      <c r="R7797" s="21">
        <v>1</v>
      </c>
      <c r="S7797" s="21">
        <v>0</v>
      </c>
      <c r="T7797" s="21">
        <v>0</v>
      </c>
      <c r="U7797" s="21">
        <v>0</v>
      </c>
      <c r="V7797" s="21">
        <v>0</v>
      </c>
      <c r="W7797" s="21">
        <v>0</v>
      </c>
      <c r="X7797" s="21">
        <v>0</v>
      </c>
      <c r="Y7797" s="21">
        <v>0</v>
      </c>
      <c r="Z7797" s="21">
        <v>0</v>
      </c>
      <c r="AA7797" s="21">
        <v>0</v>
      </c>
      <c r="AB7797" s="21">
        <v>1</v>
      </c>
      <c r="AC7797" s="21">
        <v>0</v>
      </c>
      <c r="AD7797" s="21">
        <v>0</v>
      </c>
      <c r="AE7797" s="21">
        <v>0</v>
      </c>
      <c r="AF7797" s="21">
        <v>0</v>
      </c>
      <c r="AG7797" s="21">
        <v>0</v>
      </c>
      <c r="AH7797" s="21">
        <f t="shared" si="150"/>
        <v>0</v>
      </c>
      <c r="AI7797" s="21"/>
      <c r="AJ7797" s="21"/>
      <c r="AK7797" s="21"/>
      <c r="AL7797" s="21" t="s">
        <v>3773</v>
      </c>
      <c r="AM7797" s="21" t="s">
        <v>3774</v>
      </c>
      <c r="AN7797" s="21">
        <v>-122.422929</v>
      </c>
      <c r="AO7797" s="21">
        <v>37.788099816666701</v>
      </c>
      <c r="AP7797" s="21" t="s">
        <v>1915</v>
      </c>
    </row>
    <row r="7798" spans="1:42">
      <c r="A7798" s="20">
        <v>43852</v>
      </c>
      <c r="B7798" s="21">
        <v>3</v>
      </c>
      <c r="C7798" s="21">
        <v>532</v>
      </c>
      <c r="D7798" s="21">
        <v>11277</v>
      </c>
      <c r="E7798" s="21" t="s">
        <v>3676</v>
      </c>
      <c r="F7798" s="21" t="s">
        <v>520</v>
      </c>
      <c r="G7798" s="21">
        <v>1</v>
      </c>
      <c r="H7798" s="21">
        <v>48</v>
      </c>
      <c r="I7798" s="23">
        <v>1765</v>
      </c>
      <c r="J7798" s="21"/>
      <c r="K7798" s="21" t="s">
        <v>2125</v>
      </c>
      <c r="L7798" s="21"/>
      <c r="M7798" s="21"/>
      <c r="N7798" s="21" t="s">
        <v>40</v>
      </c>
      <c r="O7798" s="21">
        <v>51</v>
      </c>
      <c r="P7798" s="21"/>
      <c r="Q7798" s="21">
        <f t="shared" si="149"/>
        <v>1</v>
      </c>
      <c r="R7798" s="21">
        <v>1</v>
      </c>
      <c r="S7798" s="21">
        <v>0</v>
      </c>
      <c r="T7798" s="21">
        <v>0</v>
      </c>
      <c r="U7798" s="21">
        <v>0</v>
      </c>
      <c r="V7798" s="21">
        <v>0</v>
      </c>
      <c r="W7798" s="21">
        <v>0</v>
      </c>
      <c r="X7798" s="21">
        <v>0</v>
      </c>
      <c r="Y7798" s="21">
        <v>0</v>
      </c>
      <c r="Z7798" s="21">
        <v>0</v>
      </c>
      <c r="AA7798" s="21">
        <v>0</v>
      </c>
      <c r="AB7798" s="21">
        <v>0</v>
      </c>
      <c r="AC7798" s="21">
        <v>1</v>
      </c>
      <c r="AD7798" s="21">
        <v>0</v>
      </c>
      <c r="AE7798" s="21">
        <v>0</v>
      </c>
      <c r="AF7798" s="21">
        <v>0</v>
      </c>
      <c r="AG7798" s="21">
        <v>0</v>
      </c>
      <c r="AH7798" s="21">
        <f t="shared" si="150"/>
        <v>0</v>
      </c>
      <c r="AI7798" s="21"/>
      <c r="AJ7798" s="21" t="s">
        <v>51</v>
      </c>
      <c r="AK7798" s="21" t="s">
        <v>95</v>
      </c>
      <c r="AL7798" s="21"/>
      <c r="AM7798" s="21" t="s">
        <v>3775</v>
      </c>
      <c r="AN7798" s="21">
        <v>-122.423059216667</v>
      </c>
      <c r="AO7798" s="21">
        <v>37.790298833333303</v>
      </c>
      <c r="AP7798" s="21" t="s">
        <v>1915</v>
      </c>
    </row>
    <row r="7799" spans="1:42">
      <c r="A7799" s="20">
        <v>43852</v>
      </c>
      <c r="B7799" s="21">
        <v>3</v>
      </c>
      <c r="C7799" s="21">
        <v>532</v>
      </c>
      <c r="D7799" s="21">
        <v>11277</v>
      </c>
      <c r="E7799" s="21" t="s">
        <v>3676</v>
      </c>
      <c r="F7799" s="21" t="s">
        <v>520</v>
      </c>
      <c r="G7799" s="21">
        <v>1</v>
      </c>
      <c r="H7799" s="21">
        <v>49</v>
      </c>
      <c r="I7799" s="23" t="s">
        <v>3776</v>
      </c>
      <c r="J7799" s="21"/>
      <c r="K7799" s="21" t="s">
        <v>2125</v>
      </c>
      <c r="L7799" s="21"/>
      <c r="M7799" s="21"/>
      <c r="N7799" s="21" t="s">
        <v>44</v>
      </c>
      <c r="O7799" s="21">
        <v>246</v>
      </c>
      <c r="P7799" s="21"/>
      <c r="Q7799" s="21">
        <f t="shared" si="149"/>
        <v>1</v>
      </c>
      <c r="R7799" s="21">
        <v>1</v>
      </c>
      <c r="S7799" s="21">
        <v>0</v>
      </c>
      <c r="T7799" s="21">
        <v>0</v>
      </c>
      <c r="U7799" s="21">
        <v>0</v>
      </c>
      <c r="V7799" s="21">
        <v>0</v>
      </c>
      <c r="W7799" s="21">
        <v>0</v>
      </c>
      <c r="X7799" s="21">
        <v>0</v>
      </c>
      <c r="Y7799" s="21">
        <v>0</v>
      </c>
      <c r="Z7799" s="21">
        <v>0</v>
      </c>
      <c r="AA7799" s="21">
        <v>0</v>
      </c>
      <c r="AB7799" s="21">
        <v>1</v>
      </c>
      <c r="AC7799" s="21">
        <v>0</v>
      </c>
      <c r="AD7799" s="21">
        <v>0</v>
      </c>
      <c r="AE7799" s="21">
        <v>0</v>
      </c>
      <c r="AF7799" s="21">
        <v>0</v>
      </c>
      <c r="AG7799" s="21">
        <v>0</v>
      </c>
      <c r="AH7799" s="21">
        <f t="shared" si="150"/>
        <v>0</v>
      </c>
      <c r="AI7799" s="21"/>
      <c r="AJ7799" s="21" t="s">
        <v>54</v>
      </c>
      <c r="AK7799" s="21" t="s">
        <v>52</v>
      </c>
      <c r="AL7799" s="21" t="s">
        <v>3777</v>
      </c>
      <c r="AM7799" s="21" t="s">
        <v>3778</v>
      </c>
      <c r="AN7799" s="21">
        <v>-122.41347881666699</v>
      </c>
      <c r="AO7799" s="21">
        <v>37.790591466666697</v>
      </c>
      <c r="AP7799" s="21" t="s">
        <v>1915</v>
      </c>
    </row>
    <row r="7800" spans="1:42">
      <c r="A7800" s="20">
        <v>43852</v>
      </c>
      <c r="B7800" s="21">
        <v>3</v>
      </c>
      <c r="C7800" s="21">
        <v>532</v>
      </c>
      <c r="D7800" s="21">
        <v>11277</v>
      </c>
      <c r="E7800" s="21" t="s">
        <v>3676</v>
      </c>
      <c r="F7800" s="21" t="s">
        <v>520</v>
      </c>
      <c r="G7800" s="21">
        <v>1</v>
      </c>
      <c r="H7800" s="21">
        <v>50</v>
      </c>
      <c r="I7800" s="23" t="s">
        <v>3779</v>
      </c>
      <c r="J7800" s="21"/>
      <c r="K7800" s="21" t="s">
        <v>96</v>
      </c>
      <c r="L7800" s="21"/>
      <c r="M7800" s="21"/>
      <c r="N7800" s="21" t="s">
        <v>40</v>
      </c>
      <c r="O7800" s="21">
        <v>56</v>
      </c>
      <c r="P7800" s="21"/>
      <c r="Q7800" s="21">
        <f t="shared" si="149"/>
        <v>1</v>
      </c>
      <c r="R7800" s="21">
        <v>1</v>
      </c>
      <c r="S7800" s="21">
        <v>0</v>
      </c>
      <c r="T7800" s="21">
        <v>0</v>
      </c>
      <c r="U7800" s="21">
        <v>0</v>
      </c>
      <c r="V7800" s="21">
        <v>0</v>
      </c>
      <c r="W7800" s="21">
        <v>0</v>
      </c>
      <c r="X7800" s="21">
        <v>0</v>
      </c>
      <c r="Y7800" s="21">
        <v>0</v>
      </c>
      <c r="Z7800" s="21">
        <v>0</v>
      </c>
      <c r="AA7800" s="21">
        <v>0</v>
      </c>
      <c r="AB7800" s="21">
        <v>1</v>
      </c>
      <c r="AC7800" s="21">
        <v>0</v>
      </c>
      <c r="AD7800" s="21">
        <v>0</v>
      </c>
      <c r="AE7800" s="21">
        <v>0</v>
      </c>
      <c r="AF7800" s="21">
        <v>0</v>
      </c>
      <c r="AG7800" s="21">
        <v>0</v>
      </c>
      <c r="AH7800" s="21">
        <f t="shared" si="150"/>
        <v>0</v>
      </c>
      <c r="AI7800" s="21"/>
      <c r="AJ7800" s="21" t="s">
        <v>51</v>
      </c>
      <c r="AK7800" s="21" t="s">
        <v>95</v>
      </c>
      <c r="AL7800" s="21"/>
      <c r="AM7800" s="21" t="s">
        <v>3780</v>
      </c>
      <c r="AN7800" s="21">
        <v>-122.41466458891701</v>
      </c>
      <c r="AO7800" s="21">
        <v>37.784895576916099</v>
      </c>
      <c r="AP7800" s="21" t="s">
        <v>1915</v>
      </c>
    </row>
    <row r="7801" spans="1:42">
      <c r="A7801" s="20">
        <v>43852</v>
      </c>
      <c r="B7801" s="21">
        <v>3</v>
      </c>
      <c r="C7801" s="21">
        <v>532</v>
      </c>
      <c r="D7801" s="21">
        <v>11277</v>
      </c>
      <c r="E7801" s="21" t="s">
        <v>3676</v>
      </c>
      <c r="F7801" s="21" t="s">
        <v>520</v>
      </c>
      <c r="G7801" s="21">
        <v>1</v>
      </c>
      <c r="H7801" s="21">
        <v>51</v>
      </c>
      <c r="I7801" s="23" t="s">
        <v>3781</v>
      </c>
      <c r="J7801" s="21"/>
      <c r="K7801" s="21" t="s">
        <v>96</v>
      </c>
      <c r="L7801" s="21"/>
      <c r="M7801" s="21"/>
      <c r="N7801" s="21" t="s">
        <v>1703</v>
      </c>
      <c r="O7801" s="21">
        <f>120+33</f>
        <v>153</v>
      </c>
      <c r="P7801" s="21"/>
      <c r="Q7801" s="21">
        <f t="shared" si="149"/>
        <v>1</v>
      </c>
      <c r="R7801" s="21">
        <v>1</v>
      </c>
      <c r="S7801" s="21">
        <v>0</v>
      </c>
      <c r="T7801" s="21">
        <v>0</v>
      </c>
      <c r="U7801" s="21">
        <v>0</v>
      </c>
      <c r="V7801" s="21">
        <v>0</v>
      </c>
      <c r="W7801" s="21">
        <v>0</v>
      </c>
      <c r="X7801" s="21">
        <v>0</v>
      </c>
      <c r="Y7801" s="21">
        <v>0</v>
      </c>
      <c r="Z7801" s="21">
        <v>0</v>
      </c>
      <c r="AA7801" s="21">
        <v>1</v>
      </c>
      <c r="AB7801" s="21">
        <v>0</v>
      </c>
      <c r="AC7801" s="21">
        <v>0</v>
      </c>
      <c r="AD7801" s="21">
        <v>0</v>
      </c>
      <c r="AE7801" s="21">
        <v>0</v>
      </c>
      <c r="AF7801" s="21">
        <v>0</v>
      </c>
      <c r="AG7801" s="21">
        <v>0</v>
      </c>
      <c r="AH7801" s="21">
        <f t="shared" si="150"/>
        <v>0</v>
      </c>
      <c r="AI7801" s="21"/>
      <c r="AJ7801" s="21" t="s">
        <v>51</v>
      </c>
      <c r="AK7801" s="21" t="s">
        <v>95</v>
      </c>
      <c r="AL7801" s="21" t="s">
        <v>3782</v>
      </c>
      <c r="AM7801" s="21" t="s">
        <v>3783</v>
      </c>
      <c r="AN7801" s="21">
        <v>-122.41613685</v>
      </c>
      <c r="AO7801" s="21">
        <v>37.7825341666667</v>
      </c>
      <c r="AP7801" s="21" t="s">
        <v>1915</v>
      </c>
    </row>
    <row r="7802" spans="1:42">
      <c r="A7802" s="20">
        <v>43867.493321759299</v>
      </c>
      <c r="B7802" s="21">
        <v>4</v>
      </c>
      <c r="C7802" s="21">
        <v>228</v>
      </c>
      <c r="D7802" s="21">
        <v>14470</v>
      </c>
      <c r="E7802" t="s">
        <v>112</v>
      </c>
      <c r="F7802" s="21" t="s">
        <v>104</v>
      </c>
      <c r="G7802" s="21">
        <v>2</v>
      </c>
      <c r="H7802" s="21">
        <v>1</v>
      </c>
      <c r="I7802" s="23" t="s">
        <v>3096</v>
      </c>
      <c r="J7802" s="21"/>
      <c r="K7802" s="21" t="s">
        <v>73</v>
      </c>
      <c r="L7802" s="21"/>
      <c r="M7802" s="21"/>
      <c r="N7802" s="21" t="s">
        <v>40</v>
      </c>
      <c r="O7802" s="21">
        <f>60+26</f>
        <v>86</v>
      </c>
      <c r="P7802" s="21"/>
      <c r="Q7802" s="21">
        <f t="shared" si="149"/>
        <v>3</v>
      </c>
      <c r="R7802" s="21">
        <v>1</v>
      </c>
      <c r="S7802" s="21">
        <v>0</v>
      </c>
      <c r="T7802" s="21">
        <v>0</v>
      </c>
      <c r="U7802" s="21">
        <v>0</v>
      </c>
      <c r="V7802" s="21">
        <v>1</v>
      </c>
      <c r="W7802" s="21">
        <v>1</v>
      </c>
      <c r="X7802" s="21">
        <v>1</v>
      </c>
      <c r="Y7802" s="21">
        <v>0</v>
      </c>
      <c r="Z7802" s="21">
        <v>0</v>
      </c>
      <c r="AA7802" s="21">
        <v>0</v>
      </c>
      <c r="AB7802" s="21">
        <v>0</v>
      </c>
      <c r="AC7802" s="21">
        <v>0</v>
      </c>
      <c r="AD7802" s="21">
        <v>0</v>
      </c>
      <c r="AE7802" s="21">
        <v>0</v>
      </c>
      <c r="AF7802" s="21">
        <v>0</v>
      </c>
      <c r="AG7802" s="21">
        <v>0</v>
      </c>
      <c r="AH7802" s="21">
        <f t="shared" si="150"/>
        <v>160</v>
      </c>
      <c r="AI7802" s="21"/>
      <c r="AJ7802" s="21" t="s">
        <v>51</v>
      </c>
      <c r="AK7802" s="21" t="s">
        <v>52</v>
      </c>
      <c r="AL7802" s="21" t="s">
        <v>3784</v>
      </c>
      <c r="AM7802" s="21" t="s">
        <v>3785</v>
      </c>
      <c r="AN7802" s="21">
        <v>-122.419679633333</v>
      </c>
      <c r="AO7802" s="21">
        <v>37.775183083333303</v>
      </c>
      <c r="AP7802" s="21" t="s">
        <v>1915</v>
      </c>
    </row>
    <row r="7803" spans="1:42">
      <c r="A7803" s="20">
        <v>43867.493321759299</v>
      </c>
      <c r="B7803" s="21">
        <v>4</v>
      </c>
      <c r="C7803" s="21">
        <v>228</v>
      </c>
      <c r="D7803" s="21">
        <v>14470</v>
      </c>
      <c r="E7803" t="s">
        <v>112</v>
      </c>
      <c r="F7803" s="21" t="s">
        <v>104</v>
      </c>
      <c r="G7803" s="21">
        <v>2</v>
      </c>
      <c r="H7803" s="21">
        <v>2</v>
      </c>
      <c r="I7803" s="23" t="s">
        <v>3786</v>
      </c>
      <c r="J7803" s="21"/>
      <c r="K7803" s="21" t="s">
        <v>73</v>
      </c>
      <c r="L7803" s="21"/>
      <c r="M7803" s="21"/>
      <c r="N7803" s="21" t="s">
        <v>40</v>
      </c>
      <c r="O7803" s="21">
        <v>53</v>
      </c>
      <c r="P7803" s="21"/>
      <c r="Q7803" s="21">
        <f t="shared" si="149"/>
        <v>2</v>
      </c>
      <c r="R7803" s="21">
        <v>1</v>
      </c>
      <c r="S7803" s="21">
        <v>0</v>
      </c>
      <c r="T7803" s="21">
        <v>0</v>
      </c>
      <c r="U7803" s="21">
        <v>0</v>
      </c>
      <c r="V7803" s="21">
        <v>0</v>
      </c>
      <c r="W7803" s="21">
        <v>2</v>
      </c>
      <c r="X7803" s="21">
        <v>0</v>
      </c>
      <c r="Y7803" s="21">
        <v>0</v>
      </c>
      <c r="Z7803" s="21">
        <v>0</v>
      </c>
      <c r="AA7803" s="21">
        <v>0</v>
      </c>
      <c r="AB7803" s="21">
        <v>0</v>
      </c>
      <c r="AC7803" s="21">
        <v>0</v>
      </c>
      <c r="AD7803" s="21">
        <v>0</v>
      </c>
      <c r="AE7803" s="21">
        <v>0</v>
      </c>
      <c r="AF7803" s="21">
        <v>0</v>
      </c>
      <c r="AG7803" s="21">
        <v>0</v>
      </c>
      <c r="AH7803" s="21">
        <f t="shared" si="150"/>
        <v>192</v>
      </c>
      <c r="AI7803" s="21"/>
      <c r="AJ7803" s="21" t="s">
        <v>51</v>
      </c>
      <c r="AK7803" s="21" t="s">
        <v>52</v>
      </c>
      <c r="AL7803" s="21" t="s">
        <v>3787</v>
      </c>
      <c r="AM7803" s="21" t="s">
        <v>3788</v>
      </c>
      <c r="AN7803" s="21">
        <v>-122.420211183333</v>
      </c>
      <c r="AO7803" s="21">
        <v>37.775372283333297</v>
      </c>
      <c r="AP7803" s="21" t="s">
        <v>1915</v>
      </c>
    </row>
    <row r="7804" spans="1:42">
      <c r="A7804" s="20">
        <v>43867.493321759299</v>
      </c>
      <c r="B7804" s="21">
        <v>4</v>
      </c>
      <c r="C7804" s="21">
        <v>228</v>
      </c>
      <c r="D7804" s="21">
        <v>14470</v>
      </c>
      <c r="E7804" t="s">
        <v>112</v>
      </c>
      <c r="F7804" s="21" t="s">
        <v>104</v>
      </c>
      <c r="G7804" s="21">
        <v>2</v>
      </c>
      <c r="H7804" s="21">
        <v>3</v>
      </c>
      <c r="I7804" s="23" t="s">
        <v>3437</v>
      </c>
      <c r="J7804" s="21"/>
      <c r="K7804" s="21" t="s">
        <v>3183</v>
      </c>
      <c r="L7804" s="21"/>
      <c r="M7804" s="21"/>
      <c r="N7804" s="21" t="s">
        <v>1703</v>
      </c>
      <c r="O7804" s="21">
        <f>60+16</f>
        <v>76</v>
      </c>
      <c r="P7804" s="21"/>
      <c r="Q7804" s="21">
        <f t="shared" si="149"/>
        <v>2</v>
      </c>
      <c r="R7804" s="21">
        <v>1</v>
      </c>
      <c r="S7804" s="21">
        <v>0</v>
      </c>
      <c r="T7804" s="21">
        <v>0</v>
      </c>
      <c r="U7804" s="21">
        <v>0</v>
      </c>
      <c r="V7804" s="21">
        <v>0</v>
      </c>
      <c r="W7804" s="21">
        <v>2</v>
      </c>
      <c r="X7804" s="21">
        <v>0</v>
      </c>
      <c r="Y7804" s="21">
        <v>0</v>
      </c>
      <c r="Z7804" s="21">
        <v>0</v>
      </c>
      <c r="AA7804" s="21">
        <v>0</v>
      </c>
      <c r="AB7804" s="21">
        <v>0</v>
      </c>
      <c r="AC7804" s="21">
        <v>0</v>
      </c>
      <c r="AD7804" s="21">
        <v>0</v>
      </c>
      <c r="AE7804" s="21">
        <v>0</v>
      </c>
      <c r="AF7804" s="21">
        <v>0</v>
      </c>
      <c r="AG7804" s="21">
        <v>0</v>
      </c>
      <c r="AH7804" s="21">
        <f t="shared" si="150"/>
        <v>192</v>
      </c>
      <c r="AI7804" s="21"/>
      <c r="AJ7804" s="21" t="s">
        <v>51</v>
      </c>
      <c r="AK7804" s="21" t="s">
        <v>95</v>
      </c>
      <c r="AL7804" s="21" t="s">
        <v>3789</v>
      </c>
      <c r="AM7804" s="21" t="s">
        <v>3790</v>
      </c>
      <c r="AN7804" s="21">
        <v>-122.42060625000001</v>
      </c>
      <c r="AO7804" s="21">
        <v>37.775776483333303</v>
      </c>
      <c r="AP7804" s="21" t="s">
        <v>1915</v>
      </c>
    </row>
    <row r="7805" spans="1:42">
      <c r="A7805" s="20">
        <v>43867.493321759299</v>
      </c>
      <c r="B7805" s="21">
        <v>4</v>
      </c>
      <c r="C7805" s="21">
        <v>228</v>
      </c>
      <c r="D7805" s="21">
        <v>14470</v>
      </c>
      <c r="E7805" t="s">
        <v>112</v>
      </c>
      <c r="F7805" s="21" t="s">
        <v>104</v>
      </c>
      <c r="G7805" s="21">
        <v>2</v>
      </c>
      <c r="H7805" s="21">
        <v>4</v>
      </c>
      <c r="I7805" s="23" t="s">
        <v>3791</v>
      </c>
      <c r="J7805" s="21"/>
      <c r="K7805" s="21" t="s">
        <v>3193</v>
      </c>
      <c r="L7805" s="21"/>
      <c r="M7805" s="21"/>
      <c r="N7805" s="21" t="s">
        <v>40</v>
      </c>
      <c r="O7805" s="21">
        <f>60+58</f>
        <v>118</v>
      </c>
      <c r="P7805" s="21"/>
      <c r="Q7805" s="21">
        <f t="shared" si="149"/>
        <v>3</v>
      </c>
      <c r="R7805" s="21">
        <v>1</v>
      </c>
      <c r="S7805" s="21">
        <v>0</v>
      </c>
      <c r="T7805" s="21">
        <v>0</v>
      </c>
      <c r="U7805" s="21">
        <v>0</v>
      </c>
      <c r="V7805" s="21">
        <v>3</v>
      </c>
      <c r="W7805" s="21">
        <v>0</v>
      </c>
      <c r="X7805" s="21">
        <v>0</v>
      </c>
      <c r="Y7805" s="21">
        <v>0</v>
      </c>
      <c r="Z7805" s="21">
        <v>0</v>
      </c>
      <c r="AA7805" s="21">
        <v>0</v>
      </c>
      <c r="AB7805" s="21">
        <v>0</v>
      </c>
      <c r="AC7805" s="21">
        <v>0</v>
      </c>
      <c r="AD7805" s="21">
        <v>0</v>
      </c>
      <c r="AE7805" s="21">
        <v>0</v>
      </c>
      <c r="AF7805" s="21">
        <v>0</v>
      </c>
      <c r="AG7805" s="21">
        <v>0</v>
      </c>
      <c r="AH7805" s="21">
        <f t="shared" si="150"/>
        <v>192</v>
      </c>
      <c r="AI7805" s="21"/>
      <c r="AJ7805" s="21" t="s">
        <v>51</v>
      </c>
      <c r="AK7805" s="21" t="s">
        <v>95</v>
      </c>
      <c r="AL7805" s="21" t="s">
        <v>3792</v>
      </c>
      <c r="AM7805" s="21" t="s">
        <v>3793</v>
      </c>
      <c r="AN7805" s="21">
        <v>-122.42044844999999</v>
      </c>
      <c r="AO7805" s="21">
        <v>37.775858533333299</v>
      </c>
      <c r="AP7805" s="21" t="s">
        <v>1915</v>
      </c>
    </row>
    <row r="7806" spans="1:42">
      <c r="A7806" s="20">
        <v>43867.493321759299</v>
      </c>
      <c r="B7806" s="21">
        <v>4</v>
      </c>
      <c r="C7806" s="21">
        <v>228</v>
      </c>
      <c r="D7806" s="21">
        <v>14470</v>
      </c>
      <c r="E7806" t="s">
        <v>112</v>
      </c>
      <c r="F7806" s="21" t="s">
        <v>104</v>
      </c>
      <c r="G7806" s="21">
        <v>2</v>
      </c>
      <c r="H7806" s="21">
        <v>5</v>
      </c>
      <c r="I7806" s="23" t="s">
        <v>3707</v>
      </c>
      <c r="J7806" s="21"/>
      <c r="K7806" s="21" t="s">
        <v>415</v>
      </c>
      <c r="L7806" s="21"/>
      <c r="M7806" s="21"/>
      <c r="N7806" s="21" t="s">
        <v>40</v>
      </c>
      <c r="O7806" s="21">
        <f>60+32</f>
        <v>92</v>
      </c>
      <c r="P7806" s="21"/>
      <c r="Q7806" s="21">
        <f t="shared" si="149"/>
        <v>3</v>
      </c>
      <c r="R7806" s="21">
        <v>1</v>
      </c>
      <c r="S7806" s="21">
        <v>0</v>
      </c>
      <c r="T7806" s="21">
        <v>0</v>
      </c>
      <c r="U7806" s="21">
        <v>0</v>
      </c>
      <c r="V7806" s="21">
        <v>3</v>
      </c>
      <c r="W7806" s="21">
        <v>0</v>
      </c>
      <c r="X7806" s="21">
        <v>0</v>
      </c>
      <c r="Y7806" s="21">
        <v>0</v>
      </c>
      <c r="Z7806" s="21">
        <v>0</v>
      </c>
      <c r="AA7806" s="21">
        <v>0</v>
      </c>
      <c r="AB7806" s="21">
        <v>0</v>
      </c>
      <c r="AC7806" s="21">
        <v>0</v>
      </c>
      <c r="AD7806" s="21">
        <v>0</v>
      </c>
      <c r="AE7806" s="21">
        <v>0</v>
      </c>
      <c r="AF7806" s="21">
        <v>0</v>
      </c>
      <c r="AG7806" s="21">
        <v>0</v>
      </c>
      <c r="AH7806" s="21">
        <f t="shared" si="150"/>
        <v>192</v>
      </c>
      <c r="AI7806" s="21"/>
      <c r="AJ7806" s="21" t="s">
        <v>51</v>
      </c>
      <c r="AK7806" s="21" t="s">
        <v>95</v>
      </c>
      <c r="AL7806" s="21"/>
      <c r="AM7806" s="21" t="s">
        <v>3794</v>
      </c>
      <c r="AN7806" s="21">
        <v>-122.420057733333</v>
      </c>
      <c r="AO7806" s="21">
        <v>37.7758495666667</v>
      </c>
      <c r="AP7806" s="21" t="s">
        <v>1915</v>
      </c>
    </row>
    <row r="7807" spans="1:42">
      <c r="A7807" s="20">
        <v>43867.493321759299</v>
      </c>
      <c r="B7807" s="21">
        <v>4</v>
      </c>
      <c r="C7807" s="21">
        <v>228</v>
      </c>
      <c r="D7807" s="21">
        <v>14470</v>
      </c>
      <c r="E7807" t="s">
        <v>112</v>
      </c>
      <c r="F7807" s="21" t="s">
        <v>104</v>
      </c>
      <c r="G7807" s="21">
        <v>2</v>
      </c>
      <c r="H7807" s="21">
        <v>6</v>
      </c>
      <c r="I7807" s="23" t="s">
        <v>3795</v>
      </c>
      <c r="J7807" s="21"/>
      <c r="K7807" s="21" t="s">
        <v>430</v>
      </c>
      <c r="L7807" s="21"/>
      <c r="M7807" s="21"/>
      <c r="N7807" s="21" t="s">
        <v>40</v>
      </c>
      <c r="O7807" s="21">
        <v>17</v>
      </c>
      <c r="P7807" s="21"/>
      <c r="Q7807" s="21">
        <f t="shared" si="149"/>
        <v>1</v>
      </c>
      <c r="R7807" s="21">
        <v>1</v>
      </c>
      <c r="S7807" s="21">
        <v>0</v>
      </c>
      <c r="T7807" s="21">
        <v>0</v>
      </c>
      <c r="U7807" s="21">
        <v>0</v>
      </c>
      <c r="V7807" s="21">
        <v>0</v>
      </c>
      <c r="W7807" s="21">
        <v>0</v>
      </c>
      <c r="X7807" s="21">
        <v>1</v>
      </c>
      <c r="Y7807" s="21">
        <v>0</v>
      </c>
      <c r="Z7807" s="21">
        <v>0</v>
      </c>
      <c r="AA7807" s="21">
        <v>0</v>
      </c>
      <c r="AB7807" s="21">
        <v>0</v>
      </c>
      <c r="AC7807" s="21">
        <v>0</v>
      </c>
      <c r="AD7807" s="21">
        <v>0</v>
      </c>
      <c r="AE7807" s="21">
        <v>0</v>
      </c>
      <c r="AF7807" s="21">
        <v>0</v>
      </c>
      <c r="AG7807" s="21">
        <v>0</v>
      </c>
      <c r="AH7807" s="21">
        <f t="shared" si="150"/>
        <v>0</v>
      </c>
      <c r="AI7807" s="21"/>
      <c r="AJ7807" s="21" t="s">
        <v>51</v>
      </c>
      <c r="AK7807" s="21" t="s">
        <v>95</v>
      </c>
      <c r="AL7807" s="21" t="s">
        <v>470</v>
      </c>
      <c r="AM7807" s="21" t="s">
        <v>3796</v>
      </c>
      <c r="AN7807" s="21">
        <v>-122.421175533333</v>
      </c>
      <c r="AO7807" s="21">
        <v>37.7780116666667</v>
      </c>
      <c r="AP7807" s="21" t="s">
        <v>1915</v>
      </c>
    </row>
    <row r="7808" spans="1:42">
      <c r="A7808" s="20">
        <v>43867</v>
      </c>
      <c r="B7808" s="21">
        <v>4</v>
      </c>
      <c r="C7808" s="21">
        <v>228</v>
      </c>
      <c r="D7808" s="21">
        <v>14470</v>
      </c>
      <c r="E7808" t="s">
        <v>112</v>
      </c>
      <c r="F7808" s="21" t="s">
        <v>104</v>
      </c>
      <c r="G7808" s="21">
        <v>2</v>
      </c>
      <c r="H7808" s="21">
        <v>7</v>
      </c>
      <c r="I7808" s="23" t="s">
        <v>3198</v>
      </c>
      <c r="J7808" s="21"/>
      <c r="K7808" s="21" t="s">
        <v>430</v>
      </c>
      <c r="L7808" s="21"/>
      <c r="M7808" s="21"/>
      <c r="N7808" s="21" t="s">
        <v>40</v>
      </c>
      <c r="O7808" s="21">
        <v>22</v>
      </c>
      <c r="P7808" s="21"/>
      <c r="Q7808" s="21">
        <f t="shared" ref="Q7808:Q7871" si="151">SUM(S7808:AE7808)</f>
        <v>1</v>
      </c>
      <c r="R7808" s="21">
        <v>1</v>
      </c>
      <c r="S7808" s="21">
        <v>0</v>
      </c>
      <c r="T7808" s="21">
        <v>0</v>
      </c>
      <c r="U7808" s="21">
        <v>0</v>
      </c>
      <c r="V7808" s="21">
        <v>0</v>
      </c>
      <c r="W7808" s="21">
        <v>0</v>
      </c>
      <c r="X7808" s="21">
        <v>1</v>
      </c>
      <c r="Y7808" s="21">
        <v>0</v>
      </c>
      <c r="Z7808" s="21">
        <v>0</v>
      </c>
      <c r="AA7808" s="21">
        <v>0</v>
      </c>
      <c r="AB7808" s="21">
        <v>0</v>
      </c>
      <c r="AC7808" s="21">
        <v>0</v>
      </c>
      <c r="AD7808" s="21">
        <v>0</v>
      </c>
      <c r="AE7808" s="21">
        <v>0</v>
      </c>
      <c r="AF7808" s="21">
        <v>0</v>
      </c>
      <c r="AG7808" s="21">
        <v>0</v>
      </c>
      <c r="AH7808" s="21">
        <f t="shared" ref="AH7808:AH7871" si="152">(S7808*16)+(T7808*20)+(U7808*32)+(V7808*64)+(W7808*96)</f>
        <v>0</v>
      </c>
      <c r="AI7808" s="21"/>
      <c r="AJ7808" s="21" t="s">
        <v>51</v>
      </c>
      <c r="AK7808" s="21" t="s">
        <v>95</v>
      </c>
      <c r="AL7808" s="21" t="s">
        <v>470</v>
      </c>
      <c r="AM7808" s="21" t="s">
        <v>3797</v>
      </c>
      <c r="AN7808" s="21">
        <v>-122.42064923333299</v>
      </c>
      <c r="AO7808" s="21">
        <v>37.778081016666697</v>
      </c>
      <c r="AP7808" s="21" t="s">
        <v>1915</v>
      </c>
    </row>
    <row r="7809" spans="1:42">
      <c r="A7809" s="20">
        <v>43867</v>
      </c>
      <c r="B7809" s="21">
        <v>4</v>
      </c>
      <c r="C7809" s="21">
        <v>228</v>
      </c>
      <c r="D7809" s="21">
        <v>14470</v>
      </c>
      <c r="E7809" t="s">
        <v>112</v>
      </c>
      <c r="F7809" s="21" t="s">
        <v>104</v>
      </c>
      <c r="G7809" s="21">
        <v>2</v>
      </c>
      <c r="H7809" s="21">
        <v>8</v>
      </c>
      <c r="I7809" s="23" t="s">
        <v>3798</v>
      </c>
      <c r="J7809" s="21"/>
      <c r="K7809" t="s">
        <v>431</v>
      </c>
      <c r="L7809" s="21"/>
      <c r="M7809" s="21"/>
      <c r="N7809" s="21" t="s">
        <v>40</v>
      </c>
      <c r="O7809" s="21">
        <v>49</v>
      </c>
      <c r="P7809" s="21"/>
      <c r="Q7809" s="21">
        <f t="shared" si="151"/>
        <v>1</v>
      </c>
      <c r="R7809" s="21">
        <v>1</v>
      </c>
      <c r="S7809" s="21">
        <v>0</v>
      </c>
      <c r="T7809" s="21">
        <v>0</v>
      </c>
      <c r="U7809" s="21">
        <v>0</v>
      </c>
      <c r="V7809" s="21">
        <v>0</v>
      </c>
      <c r="W7809" s="21">
        <v>0</v>
      </c>
      <c r="X7809" s="21">
        <v>1</v>
      </c>
      <c r="Y7809" s="21">
        <v>0</v>
      </c>
      <c r="Z7809" s="21">
        <v>0</v>
      </c>
      <c r="AA7809" s="21">
        <v>0</v>
      </c>
      <c r="AB7809" s="21">
        <v>0</v>
      </c>
      <c r="AC7809" s="21">
        <v>0</v>
      </c>
      <c r="AD7809" s="21">
        <v>0</v>
      </c>
      <c r="AE7809" s="21">
        <v>0</v>
      </c>
      <c r="AF7809" s="21">
        <v>0</v>
      </c>
      <c r="AG7809" s="21">
        <v>0</v>
      </c>
      <c r="AH7809" s="21">
        <f t="shared" si="152"/>
        <v>0</v>
      </c>
      <c r="AI7809" s="21"/>
      <c r="AJ7809" s="21" t="s">
        <v>51</v>
      </c>
      <c r="AK7809" s="21" t="s">
        <v>95</v>
      </c>
      <c r="AL7809" s="21" t="s">
        <v>470</v>
      </c>
      <c r="AM7809" s="21" t="s">
        <v>3799</v>
      </c>
      <c r="AN7809" s="21">
        <v>-122.420781333333</v>
      </c>
      <c r="AO7809" s="21">
        <v>37.7800762166667</v>
      </c>
      <c r="AP7809" s="21" t="s">
        <v>1915</v>
      </c>
    </row>
    <row r="7810" spans="1:42">
      <c r="A7810" s="20">
        <v>43867</v>
      </c>
      <c r="B7810" s="21">
        <v>4</v>
      </c>
      <c r="C7810" s="21">
        <v>228</v>
      </c>
      <c r="D7810" s="21">
        <v>14470</v>
      </c>
      <c r="E7810" t="s">
        <v>112</v>
      </c>
      <c r="F7810" s="21" t="s">
        <v>104</v>
      </c>
      <c r="G7810" s="21">
        <v>2</v>
      </c>
      <c r="H7810" s="21">
        <v>9</v>
      </c>
      <c r="I7810" s="23" t="s">
        <v>3800</v>
      </c>
      <c r="J7810" s="21"/>
      <c r="K7810" s="21" t="s">
        <v>415</v>
      </c>
      <c r="L7810" s="21"/>
      <c r="M7810" s="21"/>
      <c r="N7810" s="21" t="s">
        <v>40</v>
      </c>
      <c r="O7810" s="21">
        <v>56</v>
      </c>
      <c r="P7810" s="21"/>
      <c r="Q7810" s="21">
        <f t="shared" si="151"/>
        <v>2</v>
      </c>
      <c r="R7810" s="21">
        <v>1</v>
      </c>
      <c r="S7810" s="21">
        <v>0</v>
      </c>
      <c r="T7810" s="21">
        <v>0</v>
      </c>
      <c r="U7810" s="21">
        <v>0</v>
      </c>
      <c r="V7810" s="21">
        <v>2</v>
      </c>
      <c r="W7810" s="21">
        <v>0</v>
      </c>
      <c r="X7810" s="21">
        <v>0</v>
      </c>
      <c r="Y7810" s="21">
        <v>0</v>
      </c>
      <c r="Z7810" s="21">
        <v>0</v>
      </c>
      <c r="AA7810" s="21">
        <v>0</v>
      </c>
      <c r="AB7810" s="21">
        <v>0</v>
      </c>
      <c r="AC7810" s="21">
        <v>0</v>
      </c>
      <c r="AD7810" s="21">
        <v>0</v>
      </c>
      <c r="AE7810" s="21">
        <v>0</v>
      </c>
      <c r="AF7810" s="21">
        <v>0</v>
      </c>
      <c r="AG7810" s="21">
        <v>0</v>
      </c>
      <c r="AH7810" s="21">
        <f t="shared" si="152"/>
        <v>128</v>
      </c>
      <c r="AI7810" s="21"/>
      <c r="AJ7810" s="21" t="s">
        <v>51</v>
      </c>
      <c r="AK7810" s="21" t="s">
        <v>95</v>
      </c>
      <c r="AL7810" s="21"/>
      <c r="AM7810" s="21" t="s">
        <v>3801</v>
      </c>
      <c r="AN7810" s="21">
        <v>-122.421060066667</v>
      </c>
      <c r="AO7810" s="21">
        <v>37.780023516666702</v>
      </c>
      <c r="AP7810" s="21" t="s">
        <v>1915</v>
      </c>
    </row>
    <row r="7811" spans="1:42">
      <c r="A7811" s="20">
        <v>43867</v>
      </c>
      <c r="B7811" s="21">
        <v>4</v>
      </c>
      <c r="C7811" s="21">
        <v>228</v>
      </c>
      <c r="D7811" s="21">
        <v>14470</v>
      </c>
      <c r="E7811" t="s">
        <v>112</v>
      </c>
      <c r="F7811" s="21" t="s">
        <v>104</v>
      </c>
      <c r="G7811" s="21">
        <v>2</v>
      </c>
      <c r="H7811" s="21">
        <v>10</v>
      </c>
      <c r="I7811" s="23" t="s">
        <v>3802</v>
      </c>
      <c r="J7811" s="21"/>
      <c r="K7811" s="21" t="s">
        <v>415</v>
      </c>
      <c r="L7811" s="21"/>
      <c r="M7811" s="21"/>
      <c r="N7811" s="21" t="s">
        <v>44</v>
      </c>
      <c r="O7811" s="21">
        <f>(60*6)+16</f>
        <v>376</v>
      </c>
      <c r="P7811" s="21"/>
      <c r="Q7811" s="21">
        <f t="shared" si="151"/>
        <v>12</v>
      </c>
      <c r="R7811" s="21">
        <v>1</v>
      </c>
      <c r="S7811" s="21">
        <v>0</v>
      </c>
      <c r="T7811" s="21">
        <v>0</v>
      </c>
      <c r="U7811" s="21">
        <v>0</v>
      </c>
      <c r="V7811" s="21">
        <v>12</v>
      </c>
      <c r="W7811" s="21">
        <v>0</v>
      </c>
      <c r="X7811" s="21">
        <v>0</v>
      </c>
      <c r="Y7811" s="21">
        <v>0</v>
      </c>
      <c r="Z7811" s="21">
        <v>0</v>
      </c>
      <c r="AA7811" s="21">
        <v>0</v>
      </c>
      <c r="AB7811" s="21">
        <v>0</v>
      </c>
      <c r="AC7811" s="21">
        <v>0</v>
      </c>
      <c r="AD7811" s="21">
        <v>0</v>
      </c>
      <c r="AE7811" s="21">
        <v>0</v>
      </c>
      <c r="AF7811" s="21">
        <v>0</v>
      </c>
      <c r="AG7811" s="21">
        <v>0</v>
      </c>
      <c r="AH7811" s="21">
        <f t="shared" si="152"/>
        <v>768</v>
      </c>
      <c r="AI7811" s="21"/>
      <c r="AJ7811" s="21" t="s">
        <v>51</v>
      </c>
      <c r="AK7811" s="21" t="s">
        <v>95</v>
      </c>
      <c r="AL7811" s="21" t="s">
        <v>2292</v>
      </c>
      <c r="AM7811" s="21" t="s">
        <v>3803</v>
      </c>
      <c r="AN7811" s="21">
        <v>-122.422169716667</v>
      </c>
      <c r="AO7811" s="21">
        <v>37.781185116666599</v>
      </c>
      <c r="AP7811" s="21" t="s">
        <v>1915</v>
      </c>
    </row>
    <row r="7812" spans="1:42">
      <c r="A7812" s="20">
        <v>43867</v>
      </c>
      <c r="B7812" s="21">
        <v>4</v>
      </c>
      <c r="C7812" s="21">
        <v>228</v>
      </c>
      <c r="D7812" s="21">
        <v>14470</v>
      </c>
      <c r="E7812" t="s">
        <v>112</v>
      </c>
      <c r="F7812" s="21" t="s">
        <v>104</v>
      </c>
      <c r="G7812" s="21">
        <v>2</v>
      </c>
      <c r="H7812" s="21">
        <v>11</v>
      </c>
      <c r="I7812" s="23" t="s">
        <v>3209</v>
      </c>
      <c r="J7812" s="21"/>
      <c r="K7812" s="21" t="s">
        <v>415</v>
      </c>
      <c r="L7812" s="21"/>
      <c r="M7812" s="21"/>
      <c r="N7812" s="21" t="s">
        <v>40</v>
      </c>
      <c r="O7812" s="21">
        <v>22</v>
      </c>
      <c r="P7812" s="21"/>
      <c r="Q7812" s="21">
        <f t="shared" si="151"/>
        <v>1</v>
      </c>
      <c r="R7812" s="21">
        <v>1</v>
      </c>
      <c r="S7812" s="21">
        <v>0</v>
      </c>
      <c r="T7812" s="21">
        <v>0</v>
      </c>
      <c r="U7812" s="21">
        <v>0</v>
      </c>
      <c r="V7812" s="21">
        <v>0</v>
      </c>
      <c r="W7812" s="21">
        <v>0</v>
      </c>
      <c r="X7812" s="21">
        <v>1</v>
      </c>
      <c r="Y7812" s="21">
        <v>0</v>
      </c>
      <c r="Z7812" s="21">
        <v>0</v>
      </c>
      <c r="AA7812" s="21">
        <v>0</v>
      </c>
      <c r="AB7812" s="21">
        <v>0</v>
      </c>
      <c r="AC7812" s="21">
        <v>0</v>
      </c>
      <c r="AD7812" s="21">
        <v>0</v>
      </c>
      <c r="AE7812" s="21">
        <v>0</v>
      </c>
      <c r="AF7812" s="21">
        <v>0</v>
      </c>
      <c r="AG7812" s="21">
        <v>0</v>
      </c>
      <c r="AH7812" s="21">
        <f t="shared" si="152"/>
        <v>0</v>
      </c>
      <c r="AI7812" s="21"/>
      <c r="AJ7812" s="21" t="s">
        <v>54</v>
      </c>
      <c r="AK7812" s="21" t="s">
        <v>95</v>
      </c>
      <c r="AL7812" s="21" t="s">
        <v>470</v>
      </c>
      <c r="AM7812" s="21" t="s">
        <v>3804</v>
      </c>
      <c r="AN7812" s="21">
        <v>-122.42094335</v>
      </c>
      <c r="AO7812" s="21">
        <v>37.782709650000001</v>
      </c>
      <c r="AP7812" s="21" t="s">
        <v>1915</v>
      </c>
    </row>
    <row r="7813" spans="1:42">
      <c r="A7813" s="20">
        <v>43867</v>
      </c>
      <c r="B7813" s="21">
        <v>4</v>
      </c>
      <c r="C7813" s="21">
        <v>228</v>
      </c>
      <c r="D7813" s="21">
        <v>14470</v>
      </c>
      <c r="E7813" t="s">
        <v>112</v>
      </c>
      <c r="F7813" s="21" t="s">
        <v>104</v>
      </c>
      <c r="G7813" s="21">
        <v>2</v>
      </c>
      <c r="H7813" s="21">
        <v>12</v>
      </c>
      <c r="I7813" s="23" t="s">
        <v>3413</v>
      </c>
      <c r="J7813" s="21"/>
      <c r="K7813" s="21" t="s">
        <v>415</v>
      </c>
      <c r="L7813" s="21"/>
      <c r="M7813" s="21"/>
      <c r="N7813" s="21" t="s">
        <v>40</v>
      </c>
      <c r="O7813" s="21">
        <f>60+13</f>
        <v>73</v>
      </c>
      <c r="P7813" s="21"/>
      <c r="Q7813" s="21">
        <f t="shared" si="151"/>
        <v>3</v>
      </c>
      <c r="R7813" s="21">
        <v>1</v>
      </c>
      <c r="S7813" s="21">
        <v>0</v>
      </c>
      <c r="T7813" s="21">
        <v>0</v>
      </c>
      <c r="U7813" s="21">
        <v>0</v>
      </c>
      <c r="V7813" s="21">
        <v>2</v>
      </c>
      <c r="W7813" s="21">
        <v>0</v>
      </c>
      <c r="X7813" s="21">
        <v>1</v>
      </c>
      <c r="Y7813" s="21">
        <v>0</v>
      </c>
      <c r="Z7813" s="21">
        <v>0</v>
      </c>
      <c r="AA7813" s="21">
        <v>0</v>
      </c>
      <c r="AB7813" s="21">
        <v>0</v>
      </c>
      <c r="AC7813" s="21">
        <v>0</v>
      </c>
      <c r="AD7813" s="21">
        <v>0</v>
      </c>
      <c r="AE7813" s="21">
        <v>0</v>
      </c>
      <c r="AF7813" s="21">
        <v>0</v>
      </c>
      <c r="AG7813" s="21">
        <v>0</v>
      </c>
      <c r="AH7813" s="21">
        <f t="shared" si="152"/>
        <v>128</v>
      </c>
      <c r="AI7813" s="21"/>
      <c r="AJ7813" s="21" t="s">
        <v>51</v>
      </c>
      <c r="AK7813" s="21" t="s">
        <v>95</v>
      </c>
      <c r="AL7813" s="21" t="s">
        <v>3805</v>
      </c>
      <c r="AM7813" s="21" t="s">
        <v>3806</v>
      </c>
      <c r="AN7813" s="21">
        <v>-122.420972533333</v>
      </c>
      <c r="AO7813" s="21">
        <v>37.781854883333303</v>
      </c>
      <c r="AP7813" s="21" t="s">
        <v>1915</v>
      </c>
    </row>
    <row r="7814" spans="1:42">
      <c r="A7814" s="20">
        <v>43867</v>
      </c>
      <c r="B7814" s="21">
        <v>4</v>
      </c>
      <c r="C7814" s="21">
        <v>228</v>
      </c>
      <c r="D7814" s="21">
        <v>14470</v>
      </c>
      <c r="E7814" t="s">
        <v>112</v>
      </c>
      <c r="F7814" s="21" t="s">
        <v>104</v>
      </c>
      <c r="G7814" s="21">
        <v>2</v>
      </c>
      <c r="H7814" s="21">
        <v>13</v>
      </c>
      <c r="I7814" s="23" t="s">
        <v>3807</v>
      </c>
      <c r="J7814" s="21"/>
      <c r="K7814" s="21" t="s">
        <v>3181</v>
      </c>
      <c r="L7814" s="21"/>
      <c r="M7814" s="21"/>
      <c r="N7814" s="21" t="s">
        <v>44</v>
      </c>
      <c r="O7814" s="21">
        <f>60+60+60+45</f>
        <v>225</v>
      </c>
      <c r="P7814" s="21"/>
      <c r="Q7814" s="21">
        <f t="shared" si="151"/>
        <v>4</v>
      </c>
      <c r="R7814" s="21">
        <v>1</v>
      </c>
      <c r="S7814" s="21">
        <v>0</v>
      </c>
      <c r="T7814" s="21">
        <v>0</v>
      </c>
      <c r="U7814" s="21">
        <v>0</v>
      </c>
      <c r="V7814" s="21">
        <v>1</v>
      </c>
      <c r="W7814" s="21">
        <v>3</v>
      </c>
      <c r="X7814" s="21">
        <v>0</v>
      </c>
      <c r="Y7814" s="21">
        <v>0</v>
      </c>
      <c r="Z7814" s="21">
        <v>0</v>
      </c>
      <c r="AA7814" s="21">
        <v>0</v>
      </c>
      <c r="AB7814" s="21">
        <v>0</v>
      </c>
      <c r="AC7814" s="21">
        <v>0</v>
      </c>
      <c r="AD7814" s="21">
        <v>0</v>
      </c>
      <c r="AE7814" s="21">
        <v>0</v>
      </c>
      <c r="AF7814" s="21">
        <v>0</v>
      </c>
      <c r="AG7814" s="21">
        <v>0</v>
      </c>
      <c r="AH7814" s="21">
        <f t="shared" si="152"/>
        <v>352</v>
      </c>
      <c r="AI7814" s="21"/>
      <c r="AJ7814" s="21" t="s">
        <v>54</v>
      </c>
      <c r="AK7814" s="21" t="s">
        <v>95</v>
      </c>
      <c r="AL7814" s="21" t="s">
        <v>3808</v>
      </c>
      <c r="AM7814" s="21" t="s">
        <v>3809</v>
      </c>
      <c r="AN7814" s="21">
        <v>-122.42224306666699</v>
      </c>
      <c r="AO7814" s="21">
        <v>37.783174216666701</v>
      </c>
      <c r="AP7814" s="21" t="s">
        <v>1915</v>
      </c>
    </row>
    <row r="7815" spans="1:42">
      <c r="A7815" s="20">
        <v>43867</v>
      </c>
      <c r="B7815" s="21">
        <v>4</v>
      </c>
      <c r="C7815" s="21">
        <v>228</v>
      </c>
      <c r="D7815" s="21">
        <v>14470</v>
      </c>
      <c r="E7815" t="s">
        <v>112</v>
      </c>
      <c r="F7815" s="21" t="s">
        <v>104</v>
      </c>
      <c r="G7815" s="21">
        <v>2</v>
      </c>
      <c r="H7815" s="21">
        <v>14</v>
      </c>
      <c r="I7815" s="23" t="s">
        <v>3221</v>
      </c>
      <c r="J7815" s="21"/>
      <c r="K7815" s="21" t="s">
        <v>94</v>
      </c>
      <c r="L7815" s="21"/>
      <c r="M7815" s="21"/>
      <c r="N7815" s="21" t="s">
        <v>44</v>
      </c>
      <c r="O7815" s="21">
        <f>60+55</f>
        <v>115</v>
      </c>
      <c r="P7815" s="21"/>
      <c r="Q7815" s="21">
        <f t="shared" si="151"/>
        <v>1</v>
      </c>
      <c r="R7815" s="21">
        <v>1</v>
      </c>
      <c r="S7815" s="21">
        <v>0</v>
      </c>
      <c r="T7815" s="21">
        <v>0</v>
      </c>
      <c r="U7815" s="21">
        <v>0</v>
      </c>
      <c r="V7815" s="21">
        <v>0</v>
      </c>
      <c r="W7815" s="21">
        <v>1</v>
      </c>
      <c r="X7815" s="21">
        <v>0</v>
      </c>
      <c r="Y7815" s="21">
        <v>0</v>
      </c>
      <c r="Z7815" s="21">
        <v>0</v>
      </c>
      <c r="AA7815" s="21">
        <v>0</v>
      </c>
      <c r="AB7815" s="21">
        <v>0</v>
      </c>
      <c r="AC7815" s="21">
        <v>0</v>
      </c>
      <c r="AD7815" s="21">
        <v>0</v>
      </c>
      <c r="AE7815" s="21">
        <v>0</v>
      </c>
      <c r="AF7815" s="21">
        <v>0</v>
      </c>
      <c r="AG7815" s="21">
        <v>0</v>
      </c>
      <c r="AH7815" s="21">
        <f t="shared" si="152"/>
        <v>96</v>
      </c>
      <c r="AI7815" s="21"/>
      <c r="AJ7815" s="21" t="s">
        <v>54</v>
      </c>
      <c r="AK7815" s="21" t="s">
        <v>95</v>
      </c>
      <c r="AL7815" s="21" t="s">
        <v>3810</v>
      </c>
      <c r="AM7815" s="21" t="s">
        <v>3811</v>
      </c>
      <c r="AN7815" s="21">
        <v>-122.421381683333</v>
      </c>
      <c r="AO7815" s="21">
        <v>37.782863483333301</v>
      </c>
      <c r="AP7815" s="21" t="s">
        <v>1915</v>
      </c>
    </row>
    <row r="7816" spans="1:42">
      <c r="A7816" s="20">
        <v>43867</v>
      </c>
      <c r="B7816" s="21">
        <v>4</v>
      </c>
      <c r="C7816" s="21">
        <v>228</v>
      </c>
      <c r="D7816" s="21">
        <v>14470</v>
      </c>
      <c r="E7816" t="s">
        <v>112</v>
      </c>
      <c r="F7816" s="21" t="s">
        <v>104</v>
      </c>
      <c r="G7816" s="21">
        <v>2</v>
      </c>
      <c r="H7816" s="21">
        <v>15</v>
      </c>
      <c r="I7816" s="23">
        <v>900</v>
      </c>
      <c r="J7816" s="21"/>
      <c r="K7816" s="21" t="s">
        <v>100</v>
      </c>
      <c r="L7816" s="21"/>
      <c r="M7816" s="21"/>
      <c r="N7816" s="21" t="s">
        <v>40</v>
      </c>
      <c r="O7816" s="21">
        <v>26</v>
      </c>
      <c r="P7816" s="21"/>
      <c r="Q7816" s="21">
        <f t="shared" si="151"/>
        <v>1</v>
      </c>
      <c r="R7816" s="21">
        <v>1</v>
      </c>
      <c r="S7816" s="21">
        <v>0</v>
      </c>
      <c r="T7816" s="21">
        <v>0</v>
      </c>
      <c r="U7816" s="21">
        <v>0</v>
      </c>
      <c r="V7816" s="21">
        <v>0</v>
      </c>
      <c r="W7816" s="21">
        <v>0</v>
      </c>
      <c r="X7816" s="21">
        <v>1</v>
      </c>
      <c r="Y7816" s="21">
        <v>0</v>
      </c>
      <c r="Z7816" s="21">
        <v>0</v>
      </c>
      <c r="AA7816" s="21">
        <v>0</v>
      </c>
      <c r="AB7816" s="21">
        <v>0</v>
      </c>
      <c r="AC7816" s="21">
        <v>0</v>
      </c>
      <c r="AD7816" s="21">
        <v>0</v>
      </c>
      <c r="AE7816" s="21">
        <v>0</v>
      </c>
      <c r="AF7816" s="21">
        <v>0</v>
      </c>
      <c r="AG7816" s="21">
        <v>0</v>
      </c>
      <c r="AH7816" s="21">
        <f t="shared" si="152"/>
        <v>0</v>
      </c>
      <c r="AI7816" s="21"/>
      <c r="AJ7816" s="21" t="s">
        <v>54</v>
      </c>
      <c r="AK7816" s="21" t="s">
        <v>95</v>
      </c>
      <c r="AL7816" s="21" t="s">
        <v>3812</v>
      </c>
      <c r="AM7816" s="21" t="s">
        <v>3813</v>
      </c>
      <c r="AN7816" s="21">
        <v>-122.422652483333</v>
      </c>
      <c r="AO7816" s="21">
        <v>37.783604816666703</v>
      </c>
      <c r="AP7816" s="21" t="s">
        <v>1915</v>
      </c>
    </row>
    <row r="7817" spans="1:42">
      <c r="A7817" s="20">
        <v>43867</v>
      </c>
      <c r="B7817" s="21">
        <v>4</v>
      </c>
      <c r="C7817" s="21">
        <v>228</v>
      </c>
      <c r="D7817" s="21">
        <v>14470</v>
      </c>
      <c r="E7817" t="s">
        <v>112</v>
      </c>
      <c r="F7817" s="21" t="s">
        <v>104</v>
      </c>
      <c r="G7817" s="21">
        <v>2</v>
      </c>
      <c r="H7817" s="21">
        <v>16</v>
      </c>
      <c r="I7817" s="23" t="s">
        <v>3814</v>
      </c>
      <c r="J7817" s="21"/>
      <c r="K7817" s="21" t="s">
        <v>3815</v>
      </c>
      <c r="L7817" s="21"/>
      <c r="M7817" s="21"/>
      <c r="N7817" s="21" t="s">
        <v>40</v>
      </c>
      <c r="O7817" s="21">
        <v>38</v>
      </c>
      <c r="P7817" s="21"/>
      <c r="Q7817" s="21">
        <f t="shared" si="151"/>
        <v>2</v>
      </c>
      <c r="R7817" s="21">
        <v>1</v>
      </c>
      <c r="S7817" s="21">
        <v>1</v>
      </c>
      <c r="T7817" s="21">
        <v>0</v>
      </c>
      <c r="U7817" s="21">
        <v>1</v>
      </c>
      <c r="V7817" s="21">
        <v>0</v>
      </c>
      <c r="W7817" s="21">
        <v>0</v>
      </c>
      <c r="X7817" s="21">
        <v>0</v>
      </c>
      <c r="Y7817" s="21">
        <v>0</v>
      </c>
      <c r="Z7817" s="21">
        <v>0</v>
      </c>
      <c r="AA7817" s="21">
        <v>0</v>
      </c>
      <c r="AB7817" s="21">
        <v>0</v>
      </c>
      <c r="AC7817" s="21">
        <v>0</v>
      </c>
      <c r="AD7817" s="21">
        <v>0</v>
      </c>
      <c r="AE7817" s="21">
        <v>0</v>
      </c>
      <c r="AF7817" s="21">
        <v>0</v>
      </c>
      <c r="AG7817" s="21">
        <v>0</v>
      </c>
      <c r="AH7817" s="21">
        <f t="shared" si="152"/>
        <v>48</v>
      </c>
      <c r="AI7817" s="21"/>
      <c r="AJ7817" s="21" t="s">
        <v>54</v>
      </c>
      <c r="AK7817" s="21" t="s">
        <v>52</v>
      </c>
      <c r="AL7817" s="21" t="s">
        <v>379</v>
      </c>
      <c r="AM7817" s="21" t="s">
        <v>3816</v>
      </c>
      <c r="AN7817" s="21">
        <v>-122.422195366667</v>
      </c>
      <c r="AO7817" s="21">
        <v>37.784246833333299</v>
      </c>
      <c r="AP7817" s="21" t="s">
        <v>1915</v>
      </c>
    </row>
    <row r="7818" spans="1:42">
      <c r="A7818" s="20">
        <v>43867</v>
      </c>
      <c r="B7818" s="21">
        <v>4</v>
      </c>
      <c r="C7818" s="21">
        <v>228</v>
      </c>
      <c r="D7818" s="21">
        <v>14470</v>
      </c>
      <c r="E7818" t="s">
        <v>112</v>
      </c>
      <c r="F7818" s="21" t="s">
        <v>104</v>
      </c>
      <c r="G7818" s="21">
        <v>2</v>
      </c>
      <c r="H7818" s="21">
        <v>17</v>
      </c>
      <c r="I7818" s="23" t="s">
        <v>3817</v>
      </c>
      <c r="J7818" s="21"/>
      <c r="K7818" s="21" t="s">
        <v>3815</v>
      </c>
      <c r="L7818" s="21"/>
      <c r="M7818" s="21"/>
      <c r="N7818" s="21" t="s">
        <v>44</v>
      </c>
      <c r="O7818" s="21">
        <f>60+23</f>
        <v>83</v>
      </c>
      <c r="P7818" s="21"/>
      <c r="Q7818" s="21">
        <f t="shared" si="151"/>
        <v>2</v>
      </c>
      <c r="R7818" s="21">
        <v>1</v>
      </c>
      <c r="S7818" s="21">
        <v>0</v>
      </c>
      <c r="T7818" s="21">
        <v>0</v>
      </c>
      <c r="U7818" s="21">
        <v>0</v>
      </c>
      <c r="V7818" s="21">
        <v>0</v>
      </c>
      <c r="W7818" s="21">
        <v>2</v>
      </c>
      <c r="X7818" s="21">
        <v>0</v>
      </c>
      <c r="Y7818" s="21">
        <v>0</v>
      </c>
      <c r="Z7818" s="21">
        <v>0</v>
      </c>
      <c r="AA7818" s="21">
        <v>0</v>
      </c>
      <c r="AB7818" s="21">
        <v>0</v>
      </c>
      <c r="AC7818" s="21">
        <v>0</v>
      </c>
      <c r="AD7818" s="21">
        <v>0</v>
      </c>
      <c r="AE7818" s="21">
        <v>0</v>
      </c>
      <c r="AF7818" s="21">
        <v>0</v>
      </c>
      <c r="AG7818" s="21">
        <v>0</v>
      </c>
      <c r="AH7818" s="21">
        <f t="shared" si="152"/>
        <v>192</v>
      </c>
      <c r="AI7818" s="21"/>
      <c r="AJ7818" s="21" t="s">
        <v>54</v>
      </c>
      <c r="AK7818" s="21" t="s">
        <v>52</v>
      </c>
      <c r="AL7818" s="21" t="s">
        <v>3818</v>
      </c>
      <c r="AM7818" s="21" t="s">
        <v>3819</v>
      </c>
      <c r="AN7818" s="21">
        <v>-122.422255166667</v>
      </c>
      <c r="AO7818" s="21">
        <v>37.784216899999997</v>
      </c>
      <c r="AP7818" s="21" t="s">
        <v>1915</v>
      </c>
    </row>
    <row r="7819" spans="1:42">
      <c r="A7819" s="20">
        <v>43867</v>
      </c>
      <c r="B7819" s="21">
        <v>4</v>
      </c>
      <c r="C7819" s="21">
        <v>228</v>
      </c>
      <c r="D7819" s="21">
        <v>14470</v>
      </c>
      <c r="E7819" t="s">
        <v>112</v>
      </c>
      <c r="F7819" s="21" t="s">
        <v>104</v>
      </c>
      <c r="G7819" s="21">
        <v>2</v>
      </c>
      <c r="H7819" s="21">
        <v>18</v>
      </c>
      <c r="I7819" s="23" t="s">
        <v>3225</v>
      </c>
      <c r="J7819" s="21"/>
      <c r="K7819" s="21" t="s">
        <v>631</v>
      </c>
      <c r="L7819" s="21"/>
      <c r="M7819" s="21"/>
      <c r="N7819" s="21" t="s">
        <v>44</v>
      </c>
      <c r="O7819" s="21">
        <f>60+60+4</f>
        <v>124</v>
      </c>
      <c r="P7819" s="21"/>
      <c r="Q7819" s="21">
        <f t="shared" si="151"/>
        <v>2</v>
      </c>
      <c r="R7819" s="21">
        <v>1</v>
      </c>
      <c r="S7819" s="21">
        <v>0</v>
      </c>
      <c r="T7819" s="21">
        <v>0</v>
      </c>
      <c r="U7819" s="21">
        <v>0</v>
      </c>
      <c r="V7819" s="21">
        <v>2</v>
      </c>
      <c r="W7819" s="21">
        <v>0</v>
      </c>
      <c r="X7819" s="21">
        <v>0</v>
      </c>
      <c r="Y7819" s="21">
        <v>0</v>
      </c>
      <c r="Z7819" s="21">
        <v>0</v>
      </c>
      <c r="AA7819" s="21">
        <v>0</v>
      </c>
      <c r="AB7819" s="21">
        <v>0</v>
      </c>
      <c r="AC7819" s="21">
        <v>0</v>
      </c>
      <c r="AD7819" s="21">
        <v>0</v>
      </c>
      <c r="AE7819" s="21">
        <v>0</v>
      </c>
      <c r="AF7819" s="21">
        <v>0</v>
      </c>
      <c r="AG7819" s="21">
        <v>0</v>
      </c>
      <c r="AH7819" s="21">
        <f t="shared" si="152"/>
        <v>128</v>
      </c>
      <c r="AI7819" s="21"/>
      <c r="AJ7819" s="21" t="s">
        <v>54</v>
      </c>
      <c r="AK7819" s="21" t="s">
        <v>95</v>
      </c>
      <c r="AL7819" s="21" t="s">
        <v>1957</v>
      </c>
      <c r="AM7819" s="21" t="s">
        <v>3820</v>
      </c>
      <c r="AN7819" s="21">
        <v>-122.422330283333</v>
      </c>
      <c r="AO7819" s="21">
        <v>37.783705666666599</v>
      </c>
      <c r="AP7819" s="21" t="s">
        <v>1915</v>
      </c>
    </row>
    <row r="7820" spans="1:42">
      <c r="A7820" s="20">
        <v>43867</v>
      </c>
      <c r="B7820" s="21">
        <v>4</v>
      </c>
      <c r="C7820" s="21">
        <v>228</v>
      </c>
      <c r="D7820" s="21">
        <v>14470</v>
      </c>
      <c r="E7820" t="s">
        <v>112</v>
      </c>
      <c r="F7820" s="21" t="s">
        <v>104</v>
      </c>
      <c r="G7820" s="21">
        <v>2</v>
      </c>
      <c r="H7820" s="21">
        <v>19</v>
      </c>
      <c r="I7820" s="23" t="s">
        <v>3000</v>
      </c>
      <c r="J7820" s="21"/>
      <c r="K7820" s="21" t="s">
        <v>631</v>
      </c>
      <c r="L7820" s="21"/>
      <c r="M7820" s="21"/>
      <c r="N7820" s="21" t="s">
        <v>44</v>
      </c>
      <c r="O7820" s="21">
        <f>60+60+24</f>
        <v>144</v>
      </c>
      <c r="P7820" s="21"/>
      <c r="Q7820" s="21">
        <f t="shared" si="151"/>
        <v>2</v>
      </c>
      <c r="R7820" s="21">
        <v>1</v>
      </c>
      <c r="S7820" s="21">
        <v>0</v>
      </c>
      <c r="T7820" s="21">
        <v>0</v>
      </c>
      <c r="U7820" s="21">
        <v>0</v>
      </c>
      <c r="V7820" s="21">
        <v>0</v>
      </c>
      <c r="W7820" s="21">
        <v>2</v>
      </c>
      <c r="X7820" s="21">
        <v>0</v>
      </c>
      <c r="Y7820" s="21">
        <v>0</v>
      </c>
      <c r="Z7820" s="21">
        <v>0</v>
      </c>
      <c r="AA7820" s="21">
        <v>0</v>
      </c>
      <c r="AB7820" s="21">
        <v>0</v>
      </c>
      <c r="AC7820" s="21">
        <v>0</v>
      </c>
      <c r="AD7820" s="21">
        <v>0</v>
      </c>
      <c r="AE7820" s="21">
        <v>0</v>
      </c>
      <c r="AF7820" s="21">
        <v>0</v>
      </c>
      <c r="AG7820" s="21">
        <v>0</v>
      </c>
      <c r="AH7820" s="21">
        <f t="shared" si="152"/>
        <v>192</v>
      </c>
      <c r="AI7820" s="21"/>
      <c r="AJ7820" s="21" t="s">
        <v>54</v>
      </c>
      <c r="AK7820" s="21" t="s">
        <v>52</v>
      </c>
      <c r="AL7820" s="21" t="s">
        <v>3821</v>
      </c>
      <c r="AM7820" s="21" t="s">
        <v>3822</v>
      </c>
      <c r="AN7820" s="21">
        <v>-122.422457383333</v>
      </c>
      <c r="AO7820" s="21">
        <v>37.7851307166667</v>
      </c>
      <c r="AP7820" s="21" t="s">
        <v>1915</v>
      </c>
    </row>
    <row r="7821" spans="1:42">
      <c r="A7821" s="20">
        <v>43867</v>
      </c>
      <c r="B7821" s="21">
        <v>4</v>
      </c>
      <c r="C7821" s="21">
        <v>228</v>
      </c>
      <c r="D7821" s="21">
        <v>14470</v>
      </c>
      <c r="E7821" t="s">
        <v>112</v>
      </c>
      <c r="F7821" s="21" t="s">
        <v>104</v>
      </c>
      <c r="G7821" s="21">
        <v>2</v>
      </c>
      <c r="H7821" s="21">
        <v>20</v>
      </c>
      <c r="I7821" s="23" t="s">
        <v>3823</v>
      </c>
      <c r="J7821" s="21"/>
      <c r="K7821" s="21" t="s">
        <v>3181</v>
      </c>
      <c r="L7821" s="21"/>
      <c r="M7821" s="21"/>
      <c r="N7821" s="21" t="s">
        <v>44</v>
      </c>
      <c r="O7821" s="21">
        <f>60+45</f>
        <v>105</v>
      </c>
      <c r="P7821" s="21"/>
      <c r="Q7821" s="21">
        <f t="shared" si="151"/>
        <v>2</v>
      </c>
      <c r="R7821" s="21">
        <v>1</v>
      </c>
      <c r="S7821" s="21">
        <v>0</v>
      </c>
      <c r="T7821" s="21">
        <v>0</v>
      </c>
      <c r="U7821" s="21">
        <v>0</v>
      </c>
      <c r="V7821" s="21">
        <v>2</v>
      </c>
      <c r="W7821" s="21">
        <v>0</v>
      </c>
      <c r="X7821" s="21">
        <v>0</v>
      </c>
      <c r="Y7821" s="21">
        <v>0</v>
      </c>
      <c r="Z7821" s="21">
        <v>0</v>
      </c>
      <c r="AA7821" s="21">
        <v>0</v>
      </c>
      <c r="AB7821" s="21">
        <v>0</v>
      </c>
      <c r="AC7821" s="21">
        <v>0</v>
      </c>
      <c r="AD7821" s="21">
        <v>0</v>
      </c>
      <c r="AE7821" s="21">
        <v>0</v>
      </c>
      <c r="AF7821" s="21">
        <v>0</v>
      </c>
      <c r="AG7821" s="21">
        <v>0</v>
      </c>
      <c r="AH7821" s="21">
        <f t="shared" si="152"/>
        <v>128</v>
      </c>
      <c r="AI7821" s="21"/>
      <c r="AJ7821" s="21" t="s">
        <v>54</v>
      </c>
      <c r="AK7821" s="21" t="s">
        <v>52</v>
      </c>
      <c r="AL7821" s="21" t="s">
        <v>3824</v>
      </c>
      <c r="AM7821" s="21" t="s">
        <v>3825</v>
      </c>
      <c r="AN7821" s="21">
        <v>-122.422347633333</v>
      </c>
      <c r="AO7821" s="21">
        <v>37.785168033333299</v>
      </c>
      <c r="AP7821" s="21" t="s">
        <v>1915</v>
      </c>
    </row>
    <row r="7822" spans="1:42">
      <c r="A7822" s="20">
        <v>43867</v>
      </c>
      <c r="B7822" s="21">
        <v>4</v>
      </c>
      <c r="C7822" s="21">
        <v>228</v>
      </c>
      <c r="D7822" s="21">
        <v>14470</v>
      </c>
      <c r="E7822" t="s">
        <v>112</v>
      </c>
      <c r="F7822" s="21" t="s">
        <v>104</v>
      </c>
      <c r="G7822" s="21">
        <v>2</v>
      </c>
      <c r="H7822" s="21">
        <v>21</v>
      </c>
      <c r="I7822" s="23" t="s">
        <v>3826</v>
      </c>
      <c r="J7822" s="21"/>
      <c r="K7822" s="21" t="s">
        <v>3827</v>
      </c>
      <c r="L7822" s="21"/>
      <c r="M7822" s="21"/>
      <c r="N7822" s="21" t="s">
        <v>44</v>
      </c>
      <c r="O7822" s="21">
        <f>60</f>
        <v>60</v>
      </c>
      <c r="P7822" s="21"/>
      <c r="Q7822" s="21">
        <f t="shared" si="151"/>
        <v>2</v>
      </c>
      <c r="R7822" s="21">
        <v>1</v>
      </c>
      <c r="S7822" s="21">
        <v>0</v>
      </c>
      <c r="T7822" s="21">
        <v>0</v>
      </c>
      <c r="U7822" s="21">
        <v>1</v>
      </c>
      <c r="V7822" s="21">
        <v>1</v>
      </c>
      <c r="W7822" s="21">
        <v>0</v>
      </c>
      <c r="X7822" s="21">
        <v>0</v>
      </c>
      <c r="Y7822" s="21">
        <v>0</v>
      </c>
      <c r="Z7822" s="21">
        <v>0</v>
      </c>
      <c r="AA7822" s="21">
        <v>0</v>
      </c>
      <c r="AB7822" s="21">
        <v>0</v>
      </c>
      <c r="AC7822" s="21">
        <v>0</v>
      </c>
      <c r="AD7822" s="21">
        <v>0</v>
      </c>
      <c r="AE7822" s="21">
        <v>0</v>
      </c>
      <c r="AF7822" s="21">
        <v>0</v>
      </c>
      <c r="AG7822" s="21">
        <v>0</v>
      </c>
      <c r="AH7822" s="21">
        <f t="shared" si="152"/>
        <v>96</v>
      </c>
      <c r="AI7822" s="21"/>
      <c r="AJ7822" s="21" t="s">
        <v>54</v>
      </c>
      <c r="AK7822" s="21" t="s">
        <v>95</v>
      </c>
      <c r="AL7822" s="21" t="s">
        <v>3828</v>
      </c>
      <c r="AM7822" s="21" t="s">
        <v>3829</v>
      </c>
      <c r="AN7822" s="21">
        <v>-122.42218244999999</v>
      </c>
      <c r="AO7822" s="21">
        <v>37.7851818166667</v>
      </c>
      <c r="AP7822" s="21" t="s">
        <v>1915</v>
      </c>
    </row>
    <row r="7823" spans="1:42">
      <c r="A7823" s="20">
        <v>43867</v>
      </c>
      <c r="B7823" s="21">
        <v>4</v>
      </c>
      <c r="C7823" s="21">
        <v>228</v>
      </c>
      <c r="D7823" s="21">
        <v>14470</v>
      </c>
      <c r="E7823" t="s">
        <v>112</v>
      </c>
      <c r="F7823" s="21" t="s">
        <v>104</v>
      </c>
      <c r="G7823" s="21">
        <v>2</v>
      </c>
      <c r="H7823" s="21">
        <v>22</v>
      </c>
      <c r="I7823" s="23"/>
      <c r="J7823" s="21"/>
      <c r="K7823" s="21" t="s">
        <v>3830</v>
      </c>
      <c r="L7823" s="21"/>
      <c r="M7823" s="21"/>
      <c r="N7823" s="21" t="s">
        <v>40</v>
      </c>
      <c r="O7823" s="21">
        <f>60+13</f>
        <v>73</v>
      </c>
      <c r="P7823" s="21"/>
      <c r="Q7823" s="21">
        <f t="shared" si="151"/>
        <v>1</v>
      </c>
      <c r="R7823" s="21">
        <v>1</v>
      </c>
      <c r="S7823" s="21">
        <v>0</v>
      </c>
      <c r="T7823" s="21">
        <v>0</v>
      </c>
      <c r="U7823" s="21">
        <v>0</v>
      </c>
      <c r="V7823" s="21">
        <v>0</v>
      </c>
      <c r="W7823" s="21">
        <v>0</v>
      </c>
      <c r="X7823" s="21">
        <v>1</v>
      </c>
      <c r="Y7823" s="21">
        <v>0</v>
      </c>
      <c r="Z7823" s="21">
        <v>0</v>
      </c>
      <c r="AA7823" s="21">
        <v>0</v>
      </c>
      <c r="AB7823" s="21">
        <v>0</v>
      </c>
      <c r="AC7823" s="21">
        <v>0</v>
      </c>
      <c r="AD7823" s="21">
        <v>0</v>
      </c>
      <c r="AE7823" s="21">
        <v>0</v>
      </c>
      <c r="AF7823" s="21">
        <v>0</v>
      </c>
      <c r="AG7823" s="21">
        <v>0</v>
      </c>
      <c r="AH7823" s="21">
        <f t="shared" si="152"/>
        <v>0</v>
      </c>
      <c r="AI7823" s="21"/>
      <c r="AJ7823" s="21" t="s">
        <v>54</v>
      </c>
      <c r="AK7823" s="21" t="s">
        <v>52</v>
      </c>
      <c r="AL7823" s="21" t="s">
        <v>470</v>
      </c>
      <c r="AM7823" s="21" t="s">
        <v>3831</v>
      </c>
      <c r="AN7823" s="21">
        <v>-122.42176378333301</v>
      </c>
      <c r="AO7823" s="21">
        <v>37.785665066666702</v>
      </c>
      <c r="AP7823" s="21" t="s">
        <v>1915</v>
      </c>
    </row>
    <row r="7824" spans="1:42">
      <c r="A7824" s="20">
        <v>43867</v>
      </c>
      <c r="B7824" s="21">
        <v>4</v>
      </c>
      <c r="C7824" s="21">
        <v>228</v>
      </c>
      <c r="D7824" s="21">
        <v>14470</v>
      </c>
      <c r="E7824" t="s">
        <v>112</v>
      </c>
      <c r="F7824" s="21" t="s">
        <v>104</v>
      </c>
      <c r="G7824" s="21">
        <v>2</v>
      </c>
      <c r="H7824" s="21">
        <v>23</v>
      </c>
      <c r="I7824" s="23" t="s">
        <v>3239</v>
      </c>
      <c r="J7824" s="21"/>
      <c r="K7824" s="21" t="s">
        <v>638</v>
      </c>
      <c r="L7824" s="21"/>
      <c r="M7824" s="21"/>
      <c r="N7824" s="21" t="s">
        <v>44</v>
      </c>
      <c r="O7824" s="21">
        <f>60+17</f>
        <v>77</v>
      </c>
      <c r="P7824" s="21"/>
      <c r="Q7824" s="21">
        <f t="shared" si="151"/>
        <v>2</v>
      </c>
      <c r="R7824" s="21">
        <v>1</v>
      </c>
      <c r="S7824" s="21">
        <v>0</v>
      </c>
      <c r="T7824" s="21">
        <v>0</v>
      </c>
      <c r="U7824" s="21">
        <v>0</v>
      </c>
      <c r="V7824" s="21">
        <v>0</v>
      </c>
      <c r="W7824" s="21">
        <v>2</v>
      </c>
      <c r="X7824" s="21">
        <v>0</v>
      </c>
      <c r="Y7824" s="21">
        <v>0</v>
      </c>
      <c r="Z7824" s="21">
        <v>0</v>
      </c>
      <c r="AA7824" s="21">
        <v>0</v>
      </c>
      <c r="AB7824" s="21">
        <v>0</v>
      </c>
      <c r="AC7824" s="21">
        <v>0</v>
      </c>
      <c r="AD7824" s="21">
        <v>0</v>
      </c>
      <c r="AE7824" s="21">
        <v>0</v>
      </c>
      <c r="AF7824" s="21">
        <v>0</v>
      </c>
      <c r="AG7824" s="21">
        <v>0</v>
      </c>
      <c r="AH7824" s="21">
        <f t="shared" si="152"/>
        <v>192</v>
      </c>
      <c r="AI7824" s="21"/>
      <c r="AJ7824" s="21" t="s">
        <v>51</v>
      </c>
      <c r="AK7824" s="21" t="s">
        <v>52</v>
      </c>
      <c r="AL7824" s="21"/>
      <c r="AM7824" s="21" t="s">
        <v>3832</v>
      </c>
      <c r="AN7824" s="21">
        <v>-122.424851283333</v>
      </c>
      <c r="AO7824" s="21">
        <v>37.786036266666599</v>
      </c>
      <c r="AP7824" s="21" t="s">
        <v>1915</v>
      </c>
    </row>
    <row r="7825" spans="1:42">
      <c r="A7825" s="20">
        <v>43867</v>
      </c>
      <c r="B7825" s="21">
        <v>4</v>
      </c>
      <c r="C7825" s="21">
        <v>228</v>
      </c>
      <c r="D7825" s="21">
        <v>14470</v>
      </c>
      <c r="E7825" t="s">
        <v>112</v>
      </c>
      <c r="F7825" s="21" t="s">
        <v>104</v>
      </c>
      <c r="G7825" s="21">
        <v>2</v>
      </c>
      <c r="H7825" s="21">
        <v>24</v>
      </c>
      <c r="I7825" s="23" t="s">
        <v>3013</v>
      </c>
      <c r="J7825" s="21"/>
      <c r="K7825" s="21" t="s">
        <v>638</v>
      </c>
      <c r="L7825" s="21"/>
      <c r="M7825" s="21"/>
      <c r="N7825" s="21" t="s">
        <v>40</v>
      </c>
      <c r="O7825" s="21">
        <v>24</v>
      </c>
      <c r="P7825" s="21"/>
      <c r="Q7825" s="21">
        <f t="shared" si="151"/>
        <v>1</v>
      </c>
      <c r="R7825" s="21">
        <v>1</v>
      </c>
      <c r="S7825" s="21">
        <v>0</v>
      </c>
      <c r="T7825" s="21">
        <v>0</v>
      </c>
      <c r="U7825" s="21">
        <v>0</v>
      </c>
      <c r="V7825" s="21">
        <v>0</v>
      </c>
      <c r="W7825" s="21">
        <v>0</v>
      </c>
      <c r="X7825" s="21">
        <v>1</v>
      </c>
      <c r="Y7825" s="21">
        <v>0</v>
      </c>
      <c r="Z7825" s="21">
        <v>0</v>
      </c>
      <c r="AA7825" s="21">
        <v>0</v>
      </c>
      <c r="AB7825" s="21">
        <v>0</v>
      </c>
      <c r="AC7825" s="21">
        <v>0</v>
      </c>
      <c r="AD7825" s="21">
        <v>0</v>
      </c>
      <c r="AE7825" s="21">
        <v>0</v>
      </c>
      <c r="AF7825" s="21">
        <v>0</v>
      </c>
      <c r="AG7825" s="21">
        <v>0</v>
      </c>
      <c r="AH7825" s="21">
        <f t="shared" si="152"/>
        <v>0</v>
      </c>
      <c r="AI7825" s="21"/>
      <c r="AJ7825" s="21" t="s">
        <v>54</v>
      </c>
      <c r="AK7825" s="21" t="s">
        <v>52</v>
      </c>
      <c r="AL7825" s="21" t="s">
        <v>470</v>
      </c>
      <c r="AM7825" s="21" t="s">
        <v>3833</v>
      </c>
      <c r="AN7825" s="21">
        <v>-122.42534714999999</v>
      </c>
      <c r="AO7825" s="21">
        <v>37.7854328833333</v>
      </c>
      <c r="AP7825" s="21" t="s">
        <v>1915</v>
      </c>
    </row>
    <row r="7826" spans="1:42">
      <c r="A7826" s="20">
        <v>43867</v>
      </c>
      <c r="B7826" s="21">
        <v>4</v>
      </c>
      <c r="C7826" s="21">
        <v>228</v>
      </c>
      <c r="D7826" s="21">
        <v>14470</v>
      </c>
      <c r="E7826" t="s">
        <v>112</v>
      </c>
      <c r="F7826" s="21" t="s">
        <v>104</v>
      </c>
      <c r="G7826" s="21">
        <v>2</v>
      </c>
      <c r="H7826" s="21">
        <v>25</v>
      </c>
      <c r="I7826" s="23" t="s">
        <v>3834</v>
      </c>
      <c r="J7826" s="21"/>
      <c r="K7826" s="21" t="s">
        <v>74</v>
      </c>
      <c r="L7826" s="21"/>
      <c r="M7826" s="21"/>
      <c r="N7826" s="21" t="s">
        <v>40</v>
      </c>
      <c r="O7826" s="21">
        <v>19</v>
      </c>
      <c r="P7826" s="21"/>
      <c r="Q7826" s="21">
        <f t="shared" si="151"/>
        <v>1</v>
      </c>
      <c r="R7826" s="21">
        <v>1</v>
      </c>
      <c r="S7826" s="21">
        <v>0</v>
      </c>
      <c r="T7826" s="21">
        <v>0</v>
      </c>
      <c r="U7826" s="21">
        <v>0</v>
      </c>
      <c r="V7826" s="21">
        <v>0</v>
      </c>
      <c r="W7826" s="21">
        <v>0</v>
      </c>
      <c r="X7826" s="21">
        <v>1</v>
      </c>
      <c r="Y7826" s="21">
        <v>0</v>
      </c>
      <c r="Z7826" s="21">
        <v>0</v>
      </c>
      <c r="AA7826" s="21">
        <v>0</v>
      </c>
      <c r="AB7826" s="21">
        <v>0</v>
      </c>
      <c r="AC7826" s="21">
        <v>0</v>
      </c>
      <c r="AD7826" s="21">
        <v>0</v>
      </c>
      <c r="AE7826" s="21">
        <v>0</v>
      </c>
      <c r="AF7826" s="21">
        <v>0</v>
      </c>
      <c r="AG7826" s="21">
        <v>0</v>
      </c>
      <c r="AH7826" s="21">
        <f t="shared" si="152"/>
        <v>0</v>
      </c>
      <c r="AI7826" s="21"/>
      <c r="AJ7826" s="21" t="s">
        <v>54</v>
      </c>
      <c r="AK7826" s="21" t="s">
        <v>95</v>
      </c>
      <c r="AL7826" s="21" t="s">
        <v>470</v>
      </c>
      <c r="AM7826" s="21" t="s">
        <v>3835</v>
      </c>
      <c r="AN7826" s="21">
        <v>-122.42777623333301</v>
      </c>
      <c r="AO7826" s="21">
        <v>37.785205300000001</v>
      </c>
      <c r="AP7826" s="21" t="s">
        <v>1915</v>
      </c>
    </row>
    <row r="7827" spans="1:42">
      <c r="A7827" s="20">
        <v>43867</v>
      </c>
      <c r="B7827" s="21">
        <v>4</v>
      </c>
      <c r="C7827" s="21">
        <v>228</v>
      </c>
      <c r="D7827" s="21">
        <v>14470</v>
      </c>
      <c r="E7827" t="s">
        <v>112</v>
      </c>
      <c r="F7827" s="21" t="s">
        <v>104</v>
      </c>
      <c r="G7827" s="21">
        <v>2</v>
      </c>
      <c r="H7827" s="21">
        <v>26</v>
      </c>
      <c r="I7827" s="23" t="s">
        <v>3527</v>
      </c>
      <c r="J7827" s="21"/>
      <c r="K7827" s="21" t="s">
        <v>53</v>
      </c>
      <c r="L7827" s="21"/>
      <c r="M7827" s="21"/>
      <c r="N7827" s="21" t="s">
        <v>40</v>
      </c>
      <c r="O7827" s="21">
        <f>60+60+50</f>
        <v>170</v>
      </c>
      <c r="P7827" s="21"/>
      <c r="Q7827" s="21">
        <f t="shared" si="151"/>
        <v>8</v>
      </c>
      <c r="R7827" s="21">
        <v>1</v>
      </c>
      <c r="S7827" s="21">
        <v>0</v>
      </c>
      <c r="T7827" s="21">
        <v>0</v>
      </c>
      <c r="U7827" s="21">
        <v>0</v>
      </c>
      <c r="V7827" s="21">
        <v>3</v>
      </c>
      <c r="W7827" s="21">
        <v>5</v>
      </c>
      <c r="X7827" s="21">
        <v>0</v>
      </c>
      <c r="Y7827" s="21">
        <v>0</v>
      </c>
      <c r="Z7827" s="21">
        <v>0</v>
      </c>
      <c r="AA7827" s="21">
        <v>0</v>
      </c>
      <c r="AB7827" s="21">
        <v>0</v>
      </c>
      <c r="AC7827" s="21">
        <v>0</v>
      </c>
      <c r="AD7827" s="21">
        <v>0</v>
      </c>
      <c r="AE7827" s="21">
        <v>0</v>
      </c>
      <c r="AF7827" s="21">
        <v>0</v>
      </c>
      <c r="AG7827" s="21">
        <v>0</v>
      </c>
      <c r="AH7827" s="21">
        <f t="shared" si="152"/>
        <v>672</v>
      </c>
      <c r="AI7827" s="21"/>
      <c r="AJ7827" s="21" t="s">
        <v>54</v>
      </c>
      <c r="AK7827" s="21" t="s">
        <v>95</v>
      </c>
      <c r="AL7827" s="21"/>
      <c r="AM7827" s="21" t="s">
        <v>3836</v>
      </c>
      <c r="AN7827" s="21">
        <v>-122.42890635000001</v>
      </c>
      <c r="AO7827" s="21">
        <v>37.7850471333333</v>
      </c>
      <c r="AP7827" s="21" t="s">
        <v>1915</v>
      </c>
    </row>
    <row r="7828" spans="1:42">
      <c r="A7828" s="20">
        <v>43867</v>
      </c>
      <c r="B7828" s="21">
        <v>4</v>
      </c>
      <c r="C7828" s="21">
        <v>228</v>
      </c>
      <c r="D7828" s="21">
        <v>14470</v>
      </c>
      <c r="E7828" t="s">
        <v>112</v>
      </c>
      <c r="F7828" s="21" t="s">
        <v>104</v>
      </c>
      <c r="G7828" s="21">
        <v>2</v>
      </c>
      <c r="H7828" s="21">
        <v>27</v>
      </c>
      <c r="I7828" s="23" t="s">
        <v>3337</v>
      </c>
      <c r="J7828" s="21"/>
      <c r="K7828" s="21" t="s">
        <v>588</v>
      </c>
      <c r="L7828" s="21"/>
      <c r="M7828" s="21"/>
      <c r="N7828" s="21" t="s">
        <v>40</v>
      </c>
      <c r="O7828" s="21">
        <f>60+20</f>
        <v>80</v>
      </c>
      <c r="P7828" s="21"/>
      <c r="Q7828" s="21">
        <f t="shared" si="151"/>
        <v>2</v>
      </c>
      <c r="R7828" s="21">
        <v>1</v>
      </c>
      <c r="S7828" s="21">
        <v>0</v>
      </c>
      <c r="T7828" s="21">
        <v>0</v>
      </c>
      <c r="U7828" s="21">
        <v>0</v>
      </c>
      <c r="V7828" s="21">
        <v>0</v>
      </c>
      <c r="W7828" s="21">
        <v>2</v>
      </c>
      <c r="X7828" s="21">
        <v>0</v>
      </c>
      <c r="Y7828" s="21">
        <v>0</v>
      </c>
      <c r="Z7828" s="21">
        <v>0</v>
      </c>
      <c r="AA7828" s="21">
        <v>0</v>
      </c>
      <c r="AB7828" s="21">
        <v>0</v>
      </c>
      <c r="AC7828" s="21">
        <v>0</v>
      </c>
      <c r="AD7828" s="21">
        <v>0</v>
      </c>
      <c r="AE7828" s="21">
        <v>0</v>
      </c>
      <c r="AF7828" s="21">
        <v>0</v>
      </c>
      <c r="AG7828" s="21">
        <v>0</v>
      </c>
      <c r="AH7828" s="21">
        <f t="shared" si="152"/>
        <v>192</v>
      </c>
      <c r="AI7828" s="21"/>
      <c r="AJ7828" s="21" t="s">
        <v>54</v>
      </c>
      <c r="AK7828" s="21" t="s">
        <v>95</v>
      </c>
      <c r="AL7828" s="21"/>
      <c r="AM7828" s="21" t="s">
        <v>3837</v>
      </c>
      <c r="AN7828" s="21">
        <v>-122.42907105</v>
      </c>
      <c r="AO7828" s="21">
        <v>37.785049416666602</v>
      </c>
      <c r="AP7828" s="21" t="s">
        <v>1915</v>
      </c>
    </row>
    <row r="7829" spans="1:42">
      <c r="A7829" s="20">
        <v>43867</v>
      </c>
      <c r="B7829" s="21">
        <v>4</v>
      </c>
      <c r="C7829" s="21">
        <v>228</v>
      </c>
      <c r="D7829" s="21">
        <v>14470</v>
      </c>
      <c r="E7829" t="s">
        <v>112</v>
      </c>
      <c r="F7829" s="21" t="s">
        <v>104</v>
      </c>
      <c r="G7829" s="21">
        <v>2</v>
      </c>
      <c r="H7829" s="21">
        <v>28</v>
      </c>
      <c r="I7829" s="23" t="s">
        <v>3838</v>
      </c>
      <c r="J7829" s="21"/>
      <c r="K7829" s="21" t="s">
        <v>74</v>
      </c>
      <c r="L7829" s="21"/>
      <c r="M7829" s="21"/>
      <c r="N7829" s="21" t="s">
        <v>40</v>
      </c>
      <c r="O7829" s="21">
        <v>27</v>
      </c>
      <c r="P7829" s="21"/>
      <c r="Q7829" s="21">
        <f t="shared" si="151"/>
        <v>1</v>
      </c>
      <c r="R7829" s="21">
        <v>1</v>
      </c>
      <c r="S7829" s="21">
        <v>0</v>
      </c>
      <c r="T7829" s="21">
        <v>0</v>
      </c>
      <c r="U7829" s="21">
        <v>0</v>
      </c>
      <c r="V7829" s="21">
        <v>0</v>
      </c>
      <c r="W7829" s="21">
        <v>0</v>
      </c>
      <c r="X7829" s="21">
        <v>1</v>
      </c>
      <c r="Y7829" s="21">
        <v>0</v>
      </c>
      <c r="Z7829" s="21">
        <v>0</v>
      </c>
      <c r="AA7829" s="21">
        <v>0</v>
      </c>
      <c r="AB7829" s="21">
        <v>0</v>
      </c>
      <c r="AC7829" s="21">
        <v>0</v>
      </c>
      <c r="AD7829" s="21">
        <v>0</v>
      </c>
      <c r="AE7829" s="21">
        <v>0</v>
      </c>
      <c r="AF7829" s="21">
        <v>0</v>
      </c>
      <c r="AG7829" s="21">
        <v>0</v>
      </c>
      <c r="AH7829" s="21">
        <f t="shared" si="152"/>
        <v>0</v>
      </c>
      <c r="AI7829" s="21"/>
      <c r="AJ7829" s="21" t="s">
        <v>51</v>
      </c>
      <c r="AK7829" s="21" t="s">
        <v>95</v>
      </c>
      <c r="AL7829" s="21" t="s">
        <v>470</v>
      </c>
      <c r="AM7829" s="21" t="s">
        <v>3839</v>
      </c>
      <c r="AN7829" s="21">
        <v>-122.430470325798</v>
      </c>
      <c r="AO7829" s="21">
        <v>37.784132650804501</v>
      </c>
      <c r="AP7829" s="21" t="s">
        <v>1915</v>
      </c>
    </row>
    <row r="7830" spans="1:42">
      <c r="A7830" s="20">
        <v>43867</v>
      </c>
      <c r="B7830" s="21">
        <v>4</v>
      </c>
      <c r="C7830" s="21">
        <v>228</v>
      </c>
      <c r="D7830" s="21">
        <v>14470</v>
      </c>
      <c r="E7830" t="s">
        <v>112</v>
      </c>
      <c r="F7830" s="21" t="s">
        <v>104</v>
      </c>
      <c r="G7830" s="21">
        <v>2</v>
      </c>
      <c r="H7830" s="21">
        <v>29</v>
      </c>
      <c r="I7830" s="23" t="s">
        <v>3337</v>
      </c>
      <c r="J7830" s="21"/>
      <c r="K7830" s="21" t="s">
        <v>599</v>
      </c>
      <c r="L7830" s="21"/>
      <c r="M7830" s="21"/>
      <c r="N7830" s="21" t="s">
        <v>40</v>
      </c>
      <c r="O7830" s="21">
        <f>60+60+60+7</f>
        <v>187</v>
      </c>
      <c r="P7830" s="21"/>
      <c r="Q7830" s="21">
        <f t="shared" si="151"/>
        <v>4</v>
      </c>
      <c r="R7830" s="21">
        <v>1</v>
      </c>
      <c r="S7830" s="21">
        <v>0</v>
      </c>
      <c r="T7830" s="21">
        <v>0</v>
      </c>
      <c r="U7830" s="21">
        <v>0</v>
      </c>
      <c r="V7830" s="21">
        <v>0</v>
      </c>
      <c r="W7830" s="21">
        <v>4</v>
      </c>
      <c r="X7830" s="21">
        <v>0</v>
      </c>
      <c r="Y7830" s="21">
        <v>0</v>
      </c>
      <c r="Z7830" s="21">
        <v>0</v>
      </c>
      <c r="AA7830" s="21">
        <v>0</v>
      </c>
      <c r="AB7830" s="21">
        <v>0</v>
      </c>
      <c r="AC7830" s="21">
        <v>0</v>
      </c>
      <c r="AD7830" s="21">
        <v>0</v>
      </c>
      <c r="AE7830" s="21">
        <v>0</v>
      </c>
      <c r="AF7830" s="21">
        <v>0</v>
      </c>
      <c r="AG7830" s="21">
        <v>0</v>
      </c>
      <c r="AH7830" s="21">
        <f t="shared" si="152"/>
        <v>384</v>
      </c>
      <c r="AI7830" s="21"/>
      <c r="AJ7830" s="21" t="s">
        <v>54</v>
      </c>
      <c r="AK7830" s="21" t="s">
        <v>95</v>
      </c>
      <c r="AL7830" s="21"/>
      <c r="AM7830" s="21" t="s">
        <v>3840</v>
      </c>
      <c r="AN7830" s="21">
        <v>-122.4312194</v>
      </c>
      <c r="AO7830" s="21">
        <v>37.785096500000002</v>
      </c>
      <c r="AP7830" s="21" t="s">
        <v>1915</v>
      </c>
    </row>
    <row r="7831" spans="1:42">
      <c r="A7831" s="20">
        <v>43867</v>
      </c>
      <c r="B7831" s="21">
        <v>4</v>
      </c>
      <c r="C7831" s="21">
        <v>228</v>
      </c>
      <c r="D7831" s="21">
        <v>14470</v>
      </c>
      <c r="E7831" t="s">
        <v>112</v>
      </c>
      <c r="F7831" s="21" t="s">
        <v>104</v>
      </c>
      <c r="G7831" s="21">
        <v>2</v>
      </c>
      <c r="H7831" s="21">
        <v>30</v>
      </c>
      <c r="I7831" s="23" t="s">
        <v>3841</v>
      </c>
      <c r="J7831" s="21"/>
      <c r="K7831" s="21" t="s">
        <v>53</v>
      </c>
      <c r="L7831" s="21"/>
      <c r="M7831" s="21"/>
      <c r="N7831" s="21" t="s">
        <v>44</v>
      </c>
      <c r="O7831" s="21">
        <f>60+48</f>
        <v>108</v>
      </c>
      <c r="P7831" s="21"/>
      <c r="Q7831" s="21">
        <f t="shared" si="151"/>
        <v>2</v>
      </c>
      <c r="R7831" s="21">
        <v>1</v>
      </c>
      <c r="S7831" s="21">
        <v>0</v>
      </c>
      <c r="T7831" s="21">
        <v>0</v>
      </c>
      <c r="U7831" s="21">
        <v>0</v>
      </c>
      <c r="V7831" s="21">
        <v>2</v>
      </c>
      <c r="W7831" s="21">
        <v>0</v>
      </c>
      <c r="X7831" s="21">
        <v>0</v>
      </c>
      <c r="Y7831" s="21">
        <v>0</v>
      </c>
      <c r="Z7831" s="21">
        <v>0</v>
      </c>
      <c r="AA7831" s="21">
        <v>0</v>
      </c>
      <c r="AB7831" s="21">
        <v>0</v>
      </c>
      <c r="AC7831" s="21">
        <v>0</v>
      </c>
      <c r="AD7831" s="21">
        <v>0</v>
      </c>
      <c r="AE7831" s="21">
        <v>0</v>
      </c>
      <c r="AF7831" s="21">
        <v>0</v>
      </c>
      <c r="AG7831" s="21">
        <v>0</v>
      </c>
      <c r="AH7831" s="21">
        <f t="shared" si="152"/>
        <v>128</v>
      </c>
      <c r="AI7831" s="21"/>
      <c r="AJ7831" s="21" t="s">
        <v>51</v>
      </c>
      <c r="AK7831" s="21" t="s">
        <v>95</v>
      </c>
      <c r="AL7831" s="21"/>
      <c r="AM7831" s="21" t="s">
        <v>3842</v>
      </c>
      <c r="AN7831" s="21">
        <v>-122.432640666667</v>
      </c>
      <c r="AO7831" s="21">
        <v>37.785345816666698</v>
      </c>
      <c r="AP7831" s="21" t="s">
        <v>1915</v>
      </c>
    </row>
    <row r="7832" spans="1:42">
      <c r="A7832" s="20">
        <v>43867</v>
      </c>
      <c r="B7832" s="21">
        <v>4</v>
      </c>
      <c r="C7832" s="21">
        <v>228</v>
      </c>
      <c r="D7832" s="21">
        <v>14470</v>
      </c>
      <c r="E7832" t="s">
        <v>112</v>
      </c>
      <c r="F7832" s="21" t="s">
        <v>104</v>
      </c>
      <c r="G7832" s="21">
        <v>2</v>
      </c>
      <c r="H7832" s="21">
        <v>31</v>
      </c>
      <c r="I7832" s="23" t="s">
        <v>2787</v>
      </c>
      <c r="J7832" s="21"/>
      <c r="K7832" s="21" t="s">
        <v>909</v>
      </c>
      <c r="L7832" s="21"/>
      <c r="M7832" s="21"/>
      <c r="N7832" s="21" t="s">
        <v>40</v>
      </c>
      <c r="O7832" s="21">
        <f>60+38</f>
        <v>98</v>
      </c>
      <c r="P7832" s="21"/>
      <c r="Q7832" s="21">
        <f t="shared" si="151"/>
        <v>5</v>
      </c>
      <c r="R7832" s="21">
        <v>1</v>
      </c>
      <c r="S7832" s="21">
        <v>0</v>
      </c>
      <c r="T7832" s="21">
        <v>0</v>
      </c>
      <c r="U7832" s="21">
        <v>1</v>
      </c>
      <c r="V7832" s="21">
        <v>2</v>
      </c>
      <c r="W7832" s="21">
        <v>2</v>
      </c>
      <c r="X7832" s="21">
        <v>0</v>
      </c>
      <c r="Y7832" s="21">
        <v>0</v>
      </c>
      <c r="Z7832" s="21">
        <v>0</v>
      </c>
      <c r="AA7832" s="21">
        <v>0</v>
      </c>
      <c r="AB7832" s="21">
        <v>0</v>
      </c>
      <c r="AC7832" s="21">
        <v>0</v>
      </c>
      <c r="AD7832" s="21">
        <v>0</v>
      </c>
      <c r="AE7832" s="21">
        <v>0</v>
      </c>
      <c r="AF7832" s="21">
        <v>0</v>
      </c>
      <c r="AG7832" s="21">
        <v>0</v>
      </c>
      <c r="AH7832" s="21">
        <f t="shared" si="152"/>
        <v>352</v>
      </c>
      <c r="AI7832" s="21"/>
      <c r="AJ7832" s="21"/>
      <c r="AK7832" s="21"/>
      <c r="AL7832" s="21"/>
      <c r="AM7832" s="21" t="s">
        <v>3843</v>
      </c>
      <c r="AN7832" s="21">
        <v>-122.4328083</v>
      </c>
      <c r="AO7832" s="21">
        <v>37.785268666666603</v>
      </c>
      <c r="AP7832" s="21" t="s">
        <v>1915</v>
      </c>
    </row>
    <row r="7833" spans="1:42">
      <c r="A7833" s="20">
        <v>43867</v>
      </c>
      <c r="B7833" s="21">
        <v>4</v>
      </c>
      <c r="C7833" s="21">
        <v>228</v>
      </c>
      <c r="D7833" s="21">
        <v>14470</v>
      </c>
      <c r="E7833" t="s">
        <v>112</v>
      </c>
      <c r="F7833" s="21" t="s">
        <v>104</v>
      </c>
      <c r="G7833" s="21">
        <v>2</v>
      </c>
      <c r="H7833" s="21">
        <v>33</v>
      </c>
      <c r="I7833" s="23" t="s">
        <v>3844</v>
      </c>
      <c r="J7833" s="21"/>
      <c r="K7833" s="21" t="s">
        <v>49</v>
      </c>
      <c r="L7833" s="21"/>
      <c r="M7833" s="21"/>
      <c r="N7833" s="21" t="s">
        <v>44</v>
      </c>
      <c r="O7833" s="21">
        <f>60+36</f>
        <v>96</v>
      </c>
      <c r="P7833" s="21"/>
      <c r="Q7833" s="21">
        <f t="shared" si="151"/>
        <v>2</v>
      </c>
      <c r="R7833" s="21">
        <v>1</v>
      </c>
      <c r="S7833" s="21">
        <v>0</v>
      </c>
      <c r="T7833" s="21">
        <v>0</v>
      </c>
      <c r="U7833" s="21">
        <v>0</v>
      </c>
      <c r="V7833" s="21">
        <v>2</v>
      </c>
      <c r="W7833" s="21">
        <v>0</v>
      </c>
      <c r="X7833" s="21">
        <v>0</v>
      </c>
      <c r="Y7833" s="21">
        <v>0</v>
      </c>
      <c r="Z7833" s="21">
        <v>0</v>
      </c>
      <c r="AA7833" s="21">
        <v>0</v>
      </c>
      <c r="AB7833" s="21">
        <v>0</v>
      </c>
      <c r="AC7833" s="21">
        <v>0</v>
      </c>
      <c r="AD7833" s="21">
        <v>0</v>
      </c>
      <c r="AE7833" s="21">
        <v>0</v>
      </c>
      <c r="AF7833" s="21">
        <v>0</v>
      </c>
      <c r="AG7833" s="21">
        <v>0</v>
      </c>
      <c r="AH7833" s="21">
        <f t="shared" si="152"/>
        <v>128</v>
      </c>
      <c r="AI7833" s="21"/>
      <c r="AJ7833" s="21" t="s">
        <v>51</v>
      </c>
      <c r="AK7833" s="21" t="s">
        <v>52</v>
      </c>
      <c r="AL7833" s="21" t="s">
        <v>2292</v>
      </c>
      <c r="AM7833" s="21" t="s">
        <v>3845</v>
      </c>
      <c r="AN7833" s="21">
        <v>-122.432306633333</v>
      </c>
      <c r="AO7833" s="21">
        <v>37.786146483333297</v>
      </c>
      <c r="AP7833" s="21" t="s">
        <v>1915</v>
      </c>
    </row>
    <row r="7834" spans="1:42">
      <c r="A7834" s="20">
        <v>43867</v>
      </c>
      <c r="B7834" s="21">
        <v>4</v>
      </c>
      <c r="C7834" s="21">
        <v>228</v>
      </c>
      <c r="D7834" s="21">
        <v>14470</v>
      </c>
      <c r="E7834" t="s">
        <v>112</v>
      </c>
      <c r="F7834" s="21" t="s">
        <v>104</v>
      </c>
      <c r="G7834" s="21">
        <v>2</v>
      </c>
      <c r="H7834" s="21">
        <v>34</v>
      </c>
      <c r="I7834" s="23" t="s">
        <v>2787</v>
      </c>
      <c r="J7834" s="21"/>
      <c r="K7834" s="21" t="s">
        <v>53</v>
      </c>
      <c r="L7834" s="21"/>
      <c r="M7834" s="21"/>
      <c r="N7834" s="21" t="s">
        <v>40</v>
      </c>
      <c r="O7834" s="21">
        <v>29</v>
      </c>
      <c r="P7834" s="21"/>
      <c r="Q7834" s="21">
        <f t="shared" si="151"/>
        <v>1</v>
      </c>
      <c r="R7834" s="21">
        <v>1</v>
      </c>
      <c r="S7834" s="21">
        <v>0</v>
      </c>
      <c r="T7834" s="21">
        <v>0</v>
      </c>
      <c r="U7834" s="21">
        <v>0</v>
      </c>
      <c r="V7834" s="21">
        <v>0</v>
      </c>
      <c r="W7834" s="21">
        <v>0</v>
      </c>
      <c r="X7834" s="21">
        <v>1</v>
      </c>
      <c r="Y7834" s="21">
        <v>0</v>
      </c>
      <c r="Z7834" s="21">
        <v>0</v>
      </c>
      <c r="AA7834" s="21">
        <v>0</v>
      </c>
      <c r="AB7834" s="21">
        <v>0</v>
      </c>
      <c r="AC7834" s="21">
        <v>0</v>
      </c>
      <c r="AD7834" s="21">
        <v>0</v>
      </c>
      <c r="AE7834" s="21">
        <v>0</v>
      </c>
      <c r="AF7834" s="21">
        <v>0</v>
      </c>
      <c r="AG7834" s="21">
        <v>0</v>
      </c>
      <c r="AH7834" s="21">
        <f t="shared" si="152"/>
        <v>0</v>
      </c>
      <c r="AI7834" s="21"/>
      <c r="AJ7834" s="21" t="s">
        <v>51</v>
      </c>
      <c r="AK7834" s="21" t="s">
        <v>95</v>
      </c>
      <c r="AL7834" s="21" t="s">
        <v>3006</v>
      </c>
      <c r="AM7834" s="21" t="s">
        <v>3846</v>
      </c>
      <c r="AN7834" s="21">
        <v>-122.431144983333</v>
      </c>
      <c r="AO7834" s="21">
        <v>37.7853653833333</v>
      </c>
      <c r="AP7834" s="21" t="s">
        <v>1915</v>
      </c>
    </row>
    <row r="7835" spans="1:42">
      <c r="A7835" s="20">
        <v>43867</v>
      </c>
      <c r="B7835" s="21">
        <v>4</v>
      </c>
      <c r="C7835" s="21">
        <v>228</v>
      </c>
      <c r="D7835" s="21">
        <v>14470</v>
      </c>
      <c r="E7835" t="s">
        <v>112</v>
      </c>
      <c r="F7835" s="21" t="s">
        <v>104</v>
      </c>
      <c r="G7835" s="21">
        <v>2</v>
      </c>
      <c r="H7835" s="21">
        <v>35</v>
      </c>
      <c r="I7835" s="23" t="s">
        <v>2787</v>
      </c>
      <c r="J7835" s="21"/>
      <c r="K7835" s="21" t="s">
        <v>53</v>
      </c>
      <c r="L7835" s="21"/>
      <c r="M7835" s="21"/>
      <c r="N7835" s="21" t="s">
        <v>40</v>
      </c>
      <c r="O7835" s="21">
        <v>33</v>
      </c>
      <c r="P7835" s="21"/>
      <c r="Q7835" s="21">
        <f t="shared" si="151"/>
        <v>1</v>
      </c>
      <c r="R7835" s="21">
        <v>1</v>
      </c>
      <c r="S7835" s="21">
        <v>0</v>
      </c>
      <c r="T7835" s="21">
        <v>0</v>
      </c>
      <c r="U7835" s="21">
        <v>0</v>
      </c>
      <c r="V7835" s="21">
        <v>0</v>
      </c>
      <c r="W7835" s="21">
        <v>0</v>
      </c>
      <c r="X7835" s="21">
        <v>1</v>
      </c>
      <c r="Y7835" s="21">
        <v>0</v>
      </c>
      <c r="Z7835" s="21">
        <v>0</v>
      </c>
      <c r="AA7835" s="21">
        <v>0</v>
      </c>
      <c r="AB7835" s="21">
        <v>0</v>
      </c>
      <c r="AC7835" s="21">
        <v>0</v>
      </c>
      <c r="AD7835" s="21">
        <v>0</v>
      </c>
      <c r="AE7835" s="21">
        <v>0</v>
      </c>
      <c r="AF7835" s="21">
        <v>0</v>
      </c>
      <c r="AG7835" s="21">
        <v>0</v>
      </c>
      <c r="AH7835" s="21">
        <f t="shared" si="152"/>
        <v>0</v>
      </c>
      <c r="AI7835" s="21"/>
      <c r="AJ7835" s="21" t="s">
        <v>51</v>
      </c>
      <c r="AK7835" s="21" t="s">
        <v>95</v>
      </c>
      <c r="AL7835" s="21" t="s">
        <v>3006</v>
      </c>
      <c r="AM7835" s="21" t="s">
        <v>3847</v>
      </c>
      <c r="AN7835" s="21">
        <v>-122.4299769</v>
      </c>
      <c r="AO7835" s="21">
        <v>37.785618466666698</v>
      </c>
      <c r="AP7835" s="21" t="s">
        <v>1915</v>
      </c>
    </row>
    <row r="7836" spans="1:42">
      <c r="A7836" s="20">
        <v>43867</v>
      </c>
      <c r="B7836" s="21">
        <v>4</v>
      </c>
      <c r="C7836" s="21">
        <v>228</v>
      </c>
      <c r="D7836" s="21">
        <v>14470</v>
      </c>
      <c r="E7836" t="s">
        <v>112</v>
      </c>
      <c r="F7836" s="21" t="s">
        <v>104</v>
      </c>
      <c r="G7836" s="21">
        <v>2</v>
      </c>
      <c r="H7836" s="21">
        <v>36</v>
      </c>
      <c r="I7836" s="23" t="s">
        <v>2787</v>
      </c>
      <c r="J7836" s="21"/>
      <c r="K7836" s="21" t="s">
        <v>53</v>
      </c>
      <c r="L7836" s="21"/>
      <c r="M7836" s="21"/>
      <c r="N7836" s="21" t="s">
        <v>40</v>
      </c>
      <c r="O7836" s="21">
        <v>29</v>
      </c>
      <c r="P7836" s="21"/>
      <c r="Q7836" s="21">
        <f t="shared" si="151"/>
        <v>1</v>
      </c>
      <c r="R7836" s="21">
        <v>1</v>
      </c>
      <c r="S7836" s="21">
        <v>0</v>
      </c>
      <c r="T7836" s="21">
        <v>0</v>
      </c>
      <c r="U7836" s="21">
        <v>0</v>
      </c>
      <c r="V7836" s="21">
        <v>0</v>
      </c>
      <c r="W7836" s="21">
        <v>0</v>
      </c>
      <c r="X7836" s="21">
        <v>1</v>
      </c>
      <c r="Y7836" s="21">
        <v>0</v>
      </c>
      <c r="Z7836" s="21">
        <v>0</v>
      </c>
      <c r="AA7836" s="21">
        <v>0</v>
      </c>
      <c r="AB7836" s="21">
        <v>0</v>
      </c>
      <c r="AC7836" s="21">
        <v>0</v>
      </c>
      <c r="AD7836" s="21">
        <v>0</v>
      </c>
      <c r="AE7836" s="21">
        <v>0</v>
      </c>
      <c r="AF7836" s="21">
        <v>0</v>
      </c>
      <c r="AG7836" s="21">
        <v>0</v>
      </c>
      <c r="AH7836" s="21">
        <f t="shared" si="152"/>
        <v>0</v>
      </c>
      <c r="AI7836" s="21"/>
      <c r="AJ7836" s="21" t="s">
        <v>51</v>
      </c>
      <c r="AK7836" s="21" t="s">
        <v>95</v>
      </c>
      <c r="AL7836" s="21" t="s">
        <v>3006</v>
      </c>
      <c r="AM7836" s="21" t="s">
        <v>3848</v>
      </c>
      <c r="AN7836" s="21">
        <v>-122.42972013333301</v>
      </c>
      <c r="AO7836" s="21">
        <v>37.7855791666667</v>
      </c>
      <c r="AP7836" s="21" t="s">
        <v>1915</v>
      </c>
    </row>
    <row r="7837" spans="1:42">
      <c r="A7837" s="20">
        <v>43867</v>
      </c>
      <c r="B7837" s="21">
        <v>4</v>
      </c>
      <c r="C7837" s="21">
        <v>228</v>
      </c>
      <c r="D7837" s="21">
        <v>14470</v>
      </c>
      <c r="E7837" t="s">
        <v>112</v>
      </c>
      <c r="F7837" s="21" t="s">
        <v>104</v>
      </c>
      <c r="G7837" s="21">
        <v>2</v>
      </c>
      <c r="H7837" s="21">
        <v>37</v>
      </c>
      <c r="I7837" s="23" t="s">
        <v>3849</v>
      </c>
      <c r="J7837" s="21"/>
      <c r="K7837" s="21" t="s">
        <v>53</v>
      </c>
      <c r="L7837" s="21"/>
      <c r="M7837" s="21"/>
      <c r="N7837" s="21" t="s">
        <v>40</v>
      </c>
      <c r="O7837" s="21">
        <v>32</v>
      </c>
      <c r="P7837" s="21"/>
      <c r="Q7837" s="21">
        <f t="shared" si="151"/>
        <v>1</v>
      </c>
      <c r="R7837" s="21">
        <v>1</v>
      </c>
      <c r="S7837" s="21">
        <v>0</v>
      </c>
      <c r="T7837" s="21">
        <v>0</v>
      </c>
      <c r="U7837" s="21">
        <v>0</v>
      </c>
      <c r="V7837" s="21">
        <v>0</v>
      </c>
      <c r="W7837" s="21">
        <v>0</v>
      </c>
      <c r="X7837" s="21">
        <v>1</v>
      </c>
      <c r="Y7837" s="21">
        <v>0</v>
      </c>
      <c r="Z7837" s="21">
        <v>0</v>
      </c>
      <c r="AA7837" s="21">
        <v>0</v>
      </c>
      <c r="AB7837" s="21">
        <v>0</v>
      </c>
      <c r="AC7837" s="21">
        <v>0</v>
      </c>
      <c r="AD7837" s="21">
        <v>0</v>
      </c>
      <c r="AE7837" s="21">
        <v>0</v>
      </c>
      <c r="AF7837" s="21">
        <v>0</v>
      </c>
      <c r="AG7837" s="21">
        <v>0</v>
      </c>
      <c r="AH7837" s="21">
        <f t="shared" si="152"/>
        <v>0</v>
      </c>
      <c r="AI7837" s="21"/>
      <c r="AJ7837" s="21" t="s">
        <v>54</v>
      </c>
      <c r="AK7837" s="21" t="s">
        <v>95</v>
      </c>
      <c r="AL7837" s="21" t="s">
        <v>470</v>
      </c>
      <c r="AM7837" s="21" t="s">
        <v>3850</v>
      </c>
      <c r="AN7837" s="21">
        <v>-122.427708166667</v>
      </c>
      <c r="AO7837" s="21">
        <v>37.785835233333302</v>
      </c>
      <c r="AP7837" s="21" t="s">
        <v>1915</v>
      </c>
    </row>
    <row r="7838" spans="1:42">
      <c r="A7838" s="20">
        <v>43867</v>
      </c>
      <c r="B7838" s="21">
        <v>4</v>
      </c>
      <c r="C7838" s="21">
        <v>228</v>
      </c>
      <c r="D7838" s="21">
        <v>14470</v>
      </c>
      <c r="E7838" t="s">
        <v>112</v>
      </c>
      <c r="F7838" s="21" t="s">
        <v>104</v>
      </c>
      <c r="G7838" s="21">
        <v>2</v>
      </c>
      <c r="H7838" s="21">
        <v>38</v>
      </c>
      <c r="I7838" s="23" t="s">
        <v>3329</v>
      </c>
      <c r="J7838" s="21"/>
      <c r="K7838" s="21" t="s">
        <v>53</v>
      </c>
      <c r="L7838" s="21"/>
      <c r="M7838" s="21"/>
      <c r="N7838" s="21" t="s">
        <v>40</v>
      </c>
      <c r="O7838" s="21">
        <v>23</v>
      </c>
      <c r="P7838" s="21"/>
      <c r="Q7838" s="21">
        <f t="shared" si="151"/>
        <v>1</v>
      </c>
      <c r="R7838" s="21">
        <v>1</v>
      </c>
      <c r="S7838" s="21">
        <v>0</v>
      </c>
      <c r="T7838" s="21">
        <v>0</v>
      </c>
      <c r="U7838" s="21">
        <v>0</v>
      </c>
      <c r="V7838" s="21">
        <v>0</v>
      </c>
      <c r="W7838" s="21">
        <v>0</v>
      </c>
      <c r="X7838" s="21">
        <v>1</v>
      </c>
      <c r="Y7838" s="21">
        <v>0</v>
      </c>
      <c r="Z7838" s="21">
        <v>0</v>
      </c>
      <c r="AA7838" s="21">
        <v>0</v>
      </c>
      <c r="AB7838" s="21">
        <v>0</v>
      </c>
      <c r="AC7838" s="21">
        <v>0</v>
      </c>
      <c r="AD7838" s="21">
        <v>0</v>
      </c>
      <c r="AE7838" s="21">
        <v>0</v>
      </c>
      <c r="AF7838" s="21">
        <v>0</v>
      </c>
      <c r="AG7838" s="21">
        <v>0</v>
      </c>
      <c r="AH7838" s="21">
        <f t="shared" si="152"/>
        <v>0</v>
      </c>
      <c r="AI7838" s="21"/>
      <c r="AJ7838" s="21" t="s">
        <v>54</v>
      </c>
      <c r="AK7838" s="21" t="s">
        <v>95</v>
      </c>
      <c r="AL7838" s="21" t="s">
        <v>470</v>
      </c>
      <c r="AM7838" s="21" t="s">
        <v>3851</v>
      </c>
      <c r="AN7838" s="21">
        <v>-122.426715266667</v>
      </c>
      <c r="AO7838" s="21">
        <v>37.786004783333297</v>
      </c>
      <c r="AP7838" s="21" t="s">
        <v>1915</v>
      </c>
    </row>
    <row r="7839" spans="1:42">
      <c r="A7839" s="20">
        <v>43867</v>
      </c>
      <c r="B7839" s="21">
        <v>4</v>
      </c>
      <c r="C7839" s="21">
        <v>228</v>
      </c>
      <c r="D7839" s="21">
        <v>14470</v>
      </c>
      <c r="E7839" t="s">
        <v>112</v>
      </c>
      <c r="F7839" s="21" t="s">
        <v>104</v>
      </c>
      <c r="G7839" s="21">
        <v>2</v>
      </c>
      <c r="H7839" s="21">
        <v>39</v>
      </c>
      <c r="I7839" s="23" t="s">
        <v>3852</v>
      </c>
      <c r="J7839" s="21"/>
      <c r="K7839" s="21" t="s">
        <v>53</v>
      </c>
      <c r="L7839" s="21"/>
      <c r="M7839" s="21"/>
      <c r="N7839" s="21" t="s">
        <v>40</v>
      </c>
      <c r="O7839" s="21">
        <v>42</v>
      </c>
      <c r="P7839" s="21"/>
      <c r="Q7839" s="21">
        <f t="shared" si="151"/>
        <v>1</v>
      </c>
      <c r="R7839" s="21">
        <v>1</v>
      </c>
      <c r="S7839" s="21">
        <v>0</v>
      </c>
      <c r="T7839" s="21">
        <v>0</v>
      </c>
      <c r="U7839" s="21">
        <v>0</v>
      </c>
      <c r="V7839" s="21">
        <v>1</v>
      </c>
      <c r="W7839" s="21">
        <v>0</v>
      </c>
      <c r="X7839" s="21">
        <v>0</v>
      </c>
      <c r="Y7839" s="21">
        <v>0</v>
      </c>
      <c r="Z7839" s="21">
        <v>0</v>
      </c>
      <c r="AA7839" s="21">
        <v>0</v>
      </c>
      <c r="AB7839" s="21">
        <v>0</v>
      </c>
      <c r="AC7839" s="21">
        <v>0</v>
      </c>
      <c r="AD7839" s="21">
        <v>0</v>
      </c>
      <c r="AE7839" s="21">
        <v>0</v>
      </c>
      <c r="AF7839" s="21">
        <v>0</v>
      </c>
      <c r="AG7839" s="21">
        <v>0</v>
      </c>
      <c r="AH7839" s="21">
        <f t="shared" si="152"/>
        <v>64</v>
      </c>
      <c r="AI7839" s="21"/>
      <c r="AJ7839" s="21" t="s">
        <v>51</v>
      </c>
      <c r="AK7839" s="21" t="s">
        <v>95</v>
      </c>
      <c r="AL7839" s="21"/>
      <c r="AM7839" s="21" t="s">
        <v>3853</v>
      </c>
      <c r="AN7839" s="21">
        <v>-122.426052316667</v>
      </c>
      <c r="AO7839" s="21">
        <v>37.786109199999999</v>
      </c>
      <c r="AP7839" s="21" t="s">
        <v>1915</v>
      </c>
    </row>
    <row r="7840" spans="1:42">
      <c r="A7840" s="20">
        <v>43867</v>
      </c>
      <c r="B7840" s="21">
        <v>4</v>
      </c>
      <c r="C7840" s="21">
        <v>228</v>
      </c>
      <c r="D7840" s="21">
        <v>14470</v>
      </c>
      <c r="E7840" t="s">
        <v>112</v>
      </c>
      <c r="F7840" s="21" t="s">
        <v>104</v>
      </c>
      <c r="G7840" s="21">
        <v>2</v>
      </c>
      <c r="H7840" s="21">
        <v>40</v>
      </c>
      <c r="I7840" s="23" t="s">
        <v>3854</v>
      </c>
      <c r="J7840" s="21"/>
      <c r="K7840" s="21" t="s">
        <v>638</v>
      </c>
      <c r="L7840" s="21"/>
      <c r="M7840" s="21"/>
      <c r="N7840" s="21" t="s">
        <v>44</v>
      </c>
      <c r="O7840" s="21">
        <f>60+60+4</f>
        <v>124</v>
      </c>
      <c r="P7840" s="21"/>
      <c r="Q7840" s="21">
        <f t="shared" si="151"/>
        <v>6</v>
      </c>
      <c r="R7840" s="21">
        <v>1</v>
      </c>
      <c r="S7840" s="21">
        <v>0</v>
      </c>
      <c r="T7840" s="21">
        <v>0</v>
      </c>
      <c r="U7840" s="21">
        <v>2</v>
      </c>
      <c r="V7840" s="21">
        <v>0</v>
      </c>
      <c r="W7840" s="21">
        <v>4</v>
      </c>
      <c r="X7840" s="21">
        <v>0</v>
      </c>
      <c r="Y7840" s="21">
        <v>0</v>
      </c>
      <c r="Z7840" s="21">
        <v>0</v>
      </c>
      <c r="AA7840" s="21">
        <v>0</v>
      </c>
      <c r="AB7840" s="21">
        <v>0</v>
      </c>
      <c r="AC7840" s="21">
        <v>0</v>
      </c>
      <c r="AD7840" s="21">
        <v>0</v>
      </c>
      <c r="AE7840" s="21">
        <v>0</v>
      </c>
      <c r="AF7840" s="21">
        <v>0</v>
      </c>
      <c r="AG7840" s="21">
        <v>0</v>
      </c>
      <c r="AH7840" s="21">
        <f t="shared" si="152"/>
        <v>448</v>
      </c>
      <c r="AI7840" s="21"/>
      <c r="AJ7840" s="21" t="s">
        <v>54</v>
      </c>
      <c r="AK7840" s="21" t="s">
        <v>95</v>
      </c>
      <c r="AL7840" s="21" t="s">
        <v>3855</v>
      </c>
      <c r="AM7840" s="21" t="s">
        <v>3856</v>
      </c>
      <c r="AN7840" s="21">
        <v>-122.424291466667</v>
      </c>
      <c r="AO7840" s="21">
        <v>37.786417149999998</v>
      </c>
      <c r="AP7840" s="21" t="s">
        <v>1915</v>
      </c>
    </row>
    <row r="7841" spans="1:42">
      <c r="A7841" s="20">
        <v>43867</v>
      </c>
      <c r="B7841" s="21">
        <v>4</v>
      </c>
      <c r="C7841" s="21">
        <v>228</v>
      </c>
      <c r="D7841" s="21">
        <v>14470</v>
      </c>
      <c r="E7841" t="s">
        <v>112</v>
      </c>
      <c r="F7841" s="21" t="s">
        <v>104</v>
      </c>
      <c r="G7841" s="21">
        <v>2</v>
      </c>
      <c r="H7841" s="21">
        <v>41</v>
      </c>
      <c r="I7841" s="23" t="s">
        <v>3857</v>
      </c>
      <c r="J7841" s="21"/>
      <c r="K7841" s="21" t="s">
        <v>415</v>
      </c>
      <c r="L7841" s="21"/>
      <c r="M7841" s="21"/>
      <c r="N7841" s="21" t="s">
        <v>44</v>
      </c>
      <c r="O7841" s="21">
        <f>60+60+15</f>
        <v>135</v>
      </c>
      <c r="P7841" s="21"/>
      <c r="Q7841" s="21">
        <f t="shared" si="151"/>
        <v>4</v>
      </c>
      <c r="R7841" s="21">
        <v>1</v>
      </c>
      <c r="S7841" s="21">
        <v>0</v>
      </c>
      <c r="T7841" s="21">
        <v>0</v>
      </c>
      <c r="U7841" s="21">
        <v>0</v>
      </c>
      <c r="V7841" s="21">
        <v>2</v>
      </c>
      <c r="W7841" s="21">
        <v>2</v>
      </c>
      <c r="X7841" s="21">
        <v>0</v>
      </c>
      <c r="Y7841" s="21">
        <v>0</v>
      </c>
      <c r="Z7841" s="21">
        <v>0</v>
      </c>
      <c r="AA7841" s="21">
        <v>0</v>
      </c>
      <c r="AB7841" s="21">
        <v>0</v>
      </c>
      <c r="AC7841" s="21">
        <v>0</v>
      </c>
      <c r="AD7841" s="21">
        <v>0</v>
      </c>
      <c r="AE7841" s="21">
        <v>0</v>
      </c>
      <c r="AF7841" s="21">
        <v>0</v>
      </c>
      <c r="AG7841" s="21">
        <v>0</v>
      </c>
      <c r="AH7841" s="21">
        <f t="shared" si="152"/>
        <v>320</v>
      </c>
      <c r="AI7841" s="21"/>
      <c r="AJ7841" s="21" t="s">
        <v>51</v>
      </c>
      <c r="AK7841" s="21" t="s">
        <v>95</v>
      </c>
      <c r="AL7841" s="21" t="s">
        <v>3858</v>
      </c>
      <c r="AM7841" s="21" t="s">
        <v>3859</v>
      </c>
      <c r="AN7841" s="21">
        <v>-122.42374615</v>
      </c>
      <c r="AO7841" s="21">
        <v>37.78677055</v>
      </c>
      <c r="AP7841" s="21" t="s">
        <v>1915</v>
      </c>
    </row>
    <row r="7842" spans="1:42">
      <c r="A7842" s="20">
        <v>43867</v>
      </c>
      <c r="B7842" s="21">
        <v>4</v>
      </c>
      <c r="C7842" s="21">
        <v>228</v>
      </c>
      <c r="D7842" s="21">
        <v>14470</v>
      </c>
      <c r="E7842" t="s">
        <v>112</v>
      </c>
      <c r="F7842" s="21" t="s">
        <v>104</v>
      </c>
      <c r="G7842" s="21">
        <v>2</v>
      </c>
      <c r="H7842" s="21">
        <v>42</v>
      </c>
      <c r="I7842" s="23">
        <v>1628</v>
      </c>
      <c r="J7842" s="21"/>
      <c r="K7842" s="21" t="s">
        <v>46</v>
      </c>
      <c r="L7842" s="21"/>
      <c r="M7842" s="21"/>
      <c r="N7842" s="21" t="s">
        <v>44</v>
      </c>
      <c r="O7842" s="21">
        <f>60+60+60+60+53</f>
        <v>293</v>
      </c>
      <c r="P7842" s="21"/>
      <c r="Q7842" s="21">
        <f t="shared" si="151"/>
        <v>7</v>
      </c>
      <c r="R7842" s="21">
        <v>1</v>
      </c>
      <c r="S7842" s="21">
        <v>0</v>
      </c>
      <c r="T7842" s="21">
        <v>0</v>
      </c>
      <c r="U7842" s="21">
        <v>0</v>
      </c>
      <c r="V7842" s="21">
        <v>0</v>
      </c>
      <c r="W7842" s="21">
        <v>7</v>
      </c>
      <c r="X7842" s="21">
        <v>0</v>
      </c>
      <c r="Y7842" s="21">
        <v>0</v>
      </c>
      <c r="Z7842" s="21">
        <v>0</v>
      </c>
      <c r="AA7842" s="21">
        <v>0</v>
      </c>
      <c r="AB7842" s="21">
        <v>0</v>
      </c>
      <c r="AC7842" s="21">
        <v>0</v>
      </c>
      <c r="AD7842" s="21">
        <v>0</v>
      </c>
      <c r="AE7842" s="21">
        <v>0</v>
      </c>
      <c r="AF7842" s="21">
        <v>0</v>
      </c>
      <c r="AG7842" s="21">
        <v>0</v>
      </c>
      <c r="AH7842" s="21">
        <f t="shared" si="152"/>
        <v>672</v>
      </c>
      <c r="AI7842" s="21"/>
      <c r="AJ7842" s="21" t="s">
        <v>54</v>
      </c>
      <c r="AK7842" s="21" t="s">
        <v>95</v>
      </c>
      <c r="AL7842" s="21"/>
      <c r="AM7842" s="21" t="s">
        <v>3860</v>
      </c>
      <c r="AN7842" s="21">
        <v>-122.42273703333299</v>
      </c>
      <c r="AO7842" s="21">
        <v>37.786803366666597</v>
      </c>
      <c r="AP7842" s="21" t="s">
        <v>1915</v>
      </c>
    </row>
    <row r="7843" spans="1:42">
      <c r="A7843" s="20">
        <v>43867</v>
      </c>
      <c r="B7843" s="21">
        <v>4</v>
      </c>
      <c r="C7843" s="21">
        <v>228</v>
      </c>
      <c r="D7843" s="21">
        <v>14470</v>
      </c>
      <c r="E7843" t="s">
        <v>112</v>
      </c>
      <c r="F7843" s="21" t="s">
        <v>104</v>
      </c>
      <c r="G7843" s="21">
        <v>2</v>
      </c>
      <c r="H7843" s="21">
        <v>43</v>
      </c>
      <c r="I7843" s="23">
        <v>1663</v>
      </c>
      <c r="J7843" s="21"/>
      <c r="K7843" s="21" t="s">
        <v>46</v>
      </c>
      <c r="L7843" s="21"/>
      <c r="M7843" s="21"/>
      <c r="N7843" s="21" t="s">
        <v>44</v>
      </c>
      <c r="O7843" s="21">
        <f>60+60+60+17</f>
        <v>197</v>
      </c>
      <c r="P7843" s="21"/>
      <c r="Q7843" s="21">
        <f t="shared" si="151"/>
        <v>5</v>
      </c>
      <c r="R7843" s="21">
        <v>1</v>
      </c>
      <c r="S7843" s="21">
        <v>0</v>
      </c>
      <c r="T7843" s="21">
        <v>0</v>
      </c>
      <c r="U7843" s="21">
        <v>0</v>
      </c>
      <c r="V7843" s="21">
        <v>2</v>
      </c>
      <c r="W7843" s="21">
        <v>3</v>
      </c>
      <c r="X7843" s="21">
        <v>0</v>
      </c>
      <c r="Y7843" s="21">
        <v>0</v>
      </c>
      <c r="Z7843" s="21">
        <v>0</v>
      </c>
      <c r="AA7843" s="21">
        <v>0</v>
      </c>
      <c r="AB7843" s="21">
        <v>0</v>
      </c>
      <c r="AC7843" s="21">
        <v>0</v>
      </c>
      <c r="AD7843" s="21">
        <v>0</v>
      </c>
      <c r="AE7843" s="21">
        <v>0</v>
      </c>
      <c r="AF7843" s="21">
        <v>0</v>
      </c>
      <c r="AG7843" s="21">
        <v>0</v>
      </c>
      <c r="AH7843" s="21">
        <f t="shared" si="152"/>
        <v>416</v>
      </c>
      <c r="AI7843" s="21"/>
      <c r="AJ7843" s="21" t="s">
        <v>54</v>
      </c>
      <c r="AK7843" s="21" t="s">
        <v>95</v>
      </c>
      <c r="AL7843" s="21"/>
      <c r="AM7843" s="21" t="s">
        <v>3861</v>
      </c>
      <c r="AN7843" s="21">
        <v>-122.4223612</v>
      </c>
      <c r="AO7843" s="21">
        <v>37.788296649999999</v>
      </c>
      <c r="AP7843" s="21" t="s">
        <v>1915</v>
      </c>
    </row>
    <row r="7844" spans="1:42">
      <c r="A7844" s="20">
        <v>43867</v>
      </c>
      <c r="B7844" s="21">
        <v>4</v>
      </c>
      <c r="C7844" s="21">
        <v>228</v>
      </c>
      <c r="D7844" s="21">
        <v>14470</v>
      </c>
      <c r="E7844" t="s">
        <v>112</v>
      </c>
      <c r="F7844" s="21" t="s">
        <v>104</v>
      </c>
      <c r="G7844" s="21">
        <v>2</v>
      </c>
      <c r="H7844" s="21">
        <v>44</v>
      </c>
      <c r="I7844" s="23" t="s">
        <v>3862</v>
      </c>
      <c r="J7844" s="21"/>
      <c r="K7844" s="21" t="s">
        <v>631</v>
      </c>
      <c r="L7844" s="21"/>
      <c r="M7844" s="21"/>
      <c r="N7844" s="21" t="s">
        <v>42</v>
      </c>
      <c r="O7844" s="21">
        <f>60+60+60+60+28</f>
        <v>268</v>
      </c>
      <c r="P7844" s="21"/>
      <c r="Q7844" s="21">
        <f t="shared" si="151"/>
        <v>5</v>
      </c>
      <c r="R7844" s="21">
        <v>1</v>
      </c>
      <c r="S7844" s="21">
        <v>0</v>
      </c>
      <c r="T7844" s="21">
        <v>0</v>
      </c>
      <c r="U7844" s="21">
        <v>0</v>
      </c>
      <c r="V7844" s="21">
        <v>2</v>
      </c>
      <c r="W7844" s="21">
        <v>3</v>
      </c>
      <c r="X7844" s="21">
        <v>0</v>
      </c>
      <c r="Y7844" s="21">
        <v>0</v>
      </c>
      <c r="Z7844" s="21">
        <v>0</v>
      </c>
      <c r="AA7844" s="21">
        <v>0</v>
      </c>
      <c r="AB7844" s="21">
        <v>0</v>
      </c>
      <c r="AC7844" s="21">
        <v>0</v>
      </c>
      <c r="AD7844" s="21">
        <v>0</v>
      </c>
      <c r="AE7844" s="21">
        <v>0</v>
      </c>
      <c r="AF7844" s="21">
        <v>0</v>
      </c>
      <c r="AG7844" s="21">
        <v>0</v>
      </c>
      <c r="AH7844" s="21">
        <f t="shared" si="152"/>
        <v>416</v>
      </c>
      <c r="AI7844" s="21"/>
      <c r="AJ7844" s="21" t="s">
        <v>54</v>
      </c>
      <c r="AK7844" s="21" t="s">
        <v>95</v>
      </c>
      <c r="AL7844" s="21" t="s">
        <v>3863</v>
      </c>
      <c r="AM7844" s="21" t="s">
        <v>3864</v>
      </c>
      <c r="AN7844" s="21">
        <v>-122.42381835</v>
      </c>
      <c r="AO7844" s="21">
        <v>37.787279833333301</v>
      </c>
      <c r="AP7844" s="21" t="s">
        <v>1915</v>
      </c>
    </row>
    <row r="7845" spans="1:42">
      <c r="A7845" s="20">
        <v>43867</v>
      </c>
      <c r="B7845" s="21">
        <v>4</v>
      </c>
      <c r="C7845" s="21">
        <v>228</v>
      </c>
      <c r="D7845" s="21">
        <v>14470</v>
      </c>
      <c r="E7845" t="s">
        <v>112</v>
      </c>
      <c r="F7845" s="21" t="s">
        <v>104</v>
      </c>
      <c r="G7845" s="21">
        <v>2</v>
      </c>
      <c r="H7845" s="21">
        <v>45</v>
      </c>
      <c r="I7845" s="23" t="s">
        <v>3865</v>
      </c>
      <c r="J7845" s="21"/>
      <c r="K7845" s="21" t="s">
        <v>631</v>
      </c>
      <c r="L7845" s="21"/>
      <c r="M7845" s="21"/>
      <c r="N7845" s="21" t="s">
        <v>44</v>
      </c>
      <c r="O7845" s="21">
        <f>60+2</f>
        <v>62</v>
      </c>
      <c r="P7845" s="21"/>
      <c r="Q7845" s="21">
        <f t="shared" si="151"/>
        <v>2</v>
      </c>
      <c r="R7845" s="21">
        <v>1</v>
      </c>
      <c r="S7845" s="21">
        <v>0</v>
      </c>
      <c r="T7845" s="21">
        <v>0</v>
      </c>
      <c r="U7845" s="21">
        <v>2</v>
      </c>
      <c r="V7845" s="21">
        <v>0</v>
      </c>
      <c r="W7845" s="21">
        <v>0</v>
      </c>
      <c r="X7845" s="21">
        <v>0</v>
      </c>
      <c r="Y7845" s="21">
        <v>0</v>
      </c>
      <c r="Z7845" s="21">
        <v>0</v>
      </c>
      <c r="AA7845" s="21">
        <v>0</v>
      </c>
      <c r="AB7845" s="21">
        <v>0</v>
      </c>
      <c r="AC7845" s="21">
        <v>0</v>
      </c>
      <c r="AD7845" s="21">
        <v>0</v>
      </c>
      <c r="AE7845" s="21">
        <v>0</v>
      </c>
      <c r="AF7845" s="21">
        <v>0</v>
      </c>
      <c r="AG7845" s="21">
        <v>0</v>
      </c>
      <c r="AH7845" s="21">
        <f t="shared" si="152"/>
        <v>64</v>
      </c>
      <c r="AI7845" s="21"/>
      <c r="AJ7845" s="21" t="s">
        <v>54</v>
      </c>
      <c r="AK7845" s="21" t="s">
        <v>95</v>
      </c>
      <c r="AL7845" s="21" t="s">
        <v>3866</v>
      </c>
      <c r="AM7845" s="21" t="s">
        <v>3867</v>
      </c>
      <c r="AN7845" s="21">
        <v>-122.425075841848</v>
      </c>
      <c r="AO7845" s="21">
        <v>37.788104259189097</v>
      </c>
      <c r="AP7845" s="21" t="s">
        <v>1915</v>
      </c>
    </row>
    <row r="7846" spans="1:42">
      <c r="A7846" s="20">
        <v>43867</v>
      </c>
      <c r="B7846" s="21">
        <v>4</v>
      </c>
      <c r="C7846" s="21">
        <v>228</v>
      </c>
      <c r="D7846" s="21">
        <v>14470</v>
      </c>
      <c r="E7846" t="s">
        <v>112</v>
      </c>
      <c r="F7846" s="21" t="s">
        <v>104</v>
      </c>
      <c r="G7846" s="21">
        <v>2</v>
      </c>
      <c r="H7846" s="21">
        <v>46</v>
      </c>
      <c r="I7846" s="23" t="s">
        <v>3868</v>
      </c>
      <c r="J7846" s="21"/>
      <c r="K7846" s="21" t="s">
        <v>49</v>
      </c>
      <c r="L7846" s="21"/>
      <c r="M7846" s="21"/>
      <c r="N7846" s="21" t="s">
        <v>44</v>
      </c>
      <c r="O7846" s="21">
        <f>60+60+21</f>
        <v>141</v>
      </c>
      <c r="P7846" s="21"/>
      <c r="Q7846" s="21">
        <f t="shared" si="151"/>
        <v>1</v>
      </c>
      <c r="R7846" s="21">
        <v>1</v>
      </c>
      <c r="S7846" s="21">
        <v>0</v>
      </c>
      <c r="T7846" s="21">
        <v>0</v>
      </c>
      <c r="U7846" s="21">
        <v>1</v>
      </c>
      <c r="V7846" s="21">
        <v>0</v>
      </c>
      <c r="W7846" s="21">
        <v>0</v>
      </c>
      <c r="X7846" s="21">
        <v>0</v>
      </c>
      <c r="Y7846" s="21">
        <v>0</v>
      </c>
      <c r="Z7846" s="21">
        <v>0</v>
      </c>
      <c r="AA7846" s="21">
        <v>0</v>
      </c>
      <c r="AB7846" s="21">
        <v>0</v>
      </c>
      <c r="AC7846" s="21">
        <v>0</v>
      </c>
      <c r="AD7846" s="21">
        <v>0</v>
      </c>
      <c r="AE7846" s="21">
        <v>0</v>
      </c>
      <c r="AF7846" s="21">
        <v>0</v>
      </c>
      <c r="AG7846" s="21">
        <v>0</v>
      </c>
      <c r="AH7846" s="21">
        <f t="shared" si="152"/>
        <v>32</v>
      </c>
      <c r="AI7846" s="21"/>
      <c r="AJ7846" s="21" t="s">
        <v>54</v>
      </c>
      <c r="AK7846" s="21" t="s">
        <v>95</v>
      </c>
      <c r="AL7846" s="21" t="s">
        <v>2788</v>
      </c>
      <c r="AM7846" s="21" t="s">
        <v>3869</v>
      </c>
      <c r="AN7846" s="21">
        <v>-122.424384416667</v>
      </c>
      <c r="AO7846" s="21">
        <v>37.787186666666699</v>
      </c>
      <c r="AP7846" s="21" t="s">
        <v>1915</v>
      </c>
    </row>
    <row r="7847" spans="1:42">
      <c r="A7847" s="20">
        <v>43867</v>
      </c>
      <c r="B7847" s="21">
        <v>4</v>
      </c>
      <c r="C7847" s="21">
        <v>228</v>
      </c>
      <c r="D7847" s="21">
        <v>14470</v>
      </c>
      <c r="E7847" t="s">
        <v>112</v>
      </c>
      <c r="F7847" s="21" t="s">
        <v>104</v>
      </c>
      <c r="G7847" s="21">
        <v>2</v>
      </c>
      <c r="H7847" s="21">
        <v>47</v>
      </c>
      <c r="I7847" s="23">
        <v>1500</v>
      </c>
      <c r="J7847" s="21"/>
      <c r="K7847" s="21" t="s">
        <v>49</v>
      </c>
      <c r="L7847" s="21"/>
      <c r="M7847" s="21"/>
      <c r="N7847" s="21" t="s">
        <v>40</v>
      </c>
      <c r="O7847" s="21">
        <v>25</v>
      </c>
      <c r="P7847" s="21"/>
      <c r="Q7847" s="21">
        <f t="shared" si="151"/>
        <v>1</v>
      </c>
      <c r="R7847" s="21">
        <v>1</v>
      </c>
      <c r="S7847" s="21">
        <v>0</v>
      </c>
      <c r="T7847" s="21">
        <v>0</v>
      </c>
      <c r="U7847" s="21">
        <v>0</v>
      </c>
      <c r="V7847" s="21">
        <v>0</v>
      </c>
      <c r="W7847" s="21">
        <v>0</v>
      </c>
      <c r="X7847" s="21">
        <v>1</v>
      </c>
      <c r="Y7847" s="21">
        <v>0</v>
      </c>
      <c r="Z7847" s="21">
        <v>0</v>
      </c>
      <c r="AA7847" s="21">
        <v>0</v>
      </c>
      <c r="AB7847" s="21">
        <v>0</v>
      </c>
      <c r="AC7847" s="21">
        <v>0</v>
      </c>
      <c r="AD7847" s="21">
        <v>0</v>
      </c>
      <c r="AE7847" s="21">
        <v>0</v>
      </c>
      <c r="AF7847" s="21">
        <v>0</v>
      </c>
      <c r="AG7847" s="21">
        <v>0</v>
      </c>
      <c r="AH7847" s="21">
        <f t="shared" si="152"/>
        <v>0</v>
      </c>
      <c r="AI7847" s="21"/>
      <c r="AJ7847" s="21" t="s">
        <v>54</v>
      </c>
      <c r="AK7847" s="21" t="s">
        <v>95</v>
      </c>
      <c r="AL7847" s="21" t="s">
        <v>470</v>
      </c>
      <c r="AM7847" s="21" t="s">
        <v>3870</v>
      </c>
      <c r="AN7847" s="21">
        <v>-122.42473193333301</v>
      </c>
      <c r="AO7847" s="21">
        <v>37.787223849999997</v>
      </c>
      <c r="AP7847" s="21" t="s">
        <v>1915</v>
      </c>
    </row>
    <row r="7848" spans="1:42">
      <c r="A7848" s="20">
        <v>43867</v>
      </c>
      <c r="B7848" s="21">
        <v>4</v>
      </c>
      <c r="C7848" s="21">
        <v>228</v>
      </c>
      <c r="D7848" s="21">
        <v>14470</v>
      </c>
      <c r="E7848" t="s">
        <v>112</v>
      </c>
      <c r="F7848" s="21" t="s">
        <v>104</v>
      </c>
      <c r="G7848" s="21">
        <v>2</v>
      </c>
      <c r="H7848" s="21">
        <v>48</v>
      </c>
      <c r="I7848" s="23" t="s">
        <v>3871</v>
      </c>
      <c r="J7848" s="21"/>
      <c r="K7848" s="21" t="s">
        <v>49</v>
      </c>
      <c r="L7848" s="21"/>
      <c r="M7848" s="21"/>
      <c r="N7848" s="21" t="s">
        <v>40</v>
      </c>
      <c r="O7848" s="21">
        <f>60+54</f>
        <v>114</v>
      </c>
      <c r="P7848" s="21"/>
      <c r="Q7848" s="21">
        <f t="shared" si="151"/>
        <v>5</v>
      </c>
      <c r="R7848" s="21">
        <v>1</v>
      </c>
      <c r="S7848" s="21">
        <v>0</v>
      </c>
      <c r="T7848" s="21">
        <v>0</v>
      </c>
      <c r="U7848" s="21">
        <v>0</v>
      </c>
      <c r="V7848" s="21">
        <v>3</v>
      </c>
      <c r="W7848" s="21">
        <v>2</v>
      </c>
      <c r="X7848" s="21">
        <v>0</v>
      </c>
      <c r="Y7848" s="21">
        <v>0</v>
      </c>
      <c r="Z7848" s="21">
        <v>0</v>
      </c>
      <c r="AA7848" s="21">
        <v>0</v>
      </c>
      <c r="AB7848" s="21">
        <v>0</v>
      </c>
      <c r="AC7848" s="21">
        <v>0</v>
      </c>
      <c r="AD7848" s="21">
        <v>0</v>
      </c>
      <c r="AE7848" s="21">
        <v>0</v>
      </c>
      <c r="AF7848" s="21">
        <v>0</v>
      </c>
      <c r="AG7848" s="21">
        <v>0</v>
      </c>
      <c r="AH7848" s="21">
        <f t="shared" si="152"/>
        <v>384</v>
      </c>
      <c r="AI7848" s="21"/>
      <c r="AJ7848" s="21" t="s">
        <v>54</v>
      </c>
      <c r="AK7848" s="21" t="s">
        <v>52</v>
      </c>
      <c r="AL7848" s="21"/>
      <c r="AM7848" s="21" t="s">
        <v>3872</v>
      </c>
      <c r="AN7848" s="21">
        <v>-122.426430166667</v>
      </c>
      <c r="AO7848" s="21">
        <v>37.786999450000003</v>
      </c>
      <c r="AP7848" s="21" t="s">
        <v>1915</v>
      </c>
    </row>
    <row r="7849" spans="1:42">
      <c r="A7849" s="20">
        <v>43867</v>
      </c>
      <c r="B7849" s="21">
        <v>4</v>
      </c>
      <c r="C7849" s="21">
        <v>228</v>
      </c>
      <c r="D7849" s="21">
        <v>14470</v>
      </c>
      <c r="E7849" t="s">
        <v>112</v>
      </c>
      <c r="F7849" s="21" t="s">
        <v>104</v>
      </c>
      <c r="G7849" s="21">
        <v>2</v>
      </c>
      <c r="H7849" s="21">
        <v>49</v>
      </c>
      <c r="I7849" s="23" t="s">
        <v>3295</v>
      </c>
      <c r="J7849" s="21"/>
      <c r="K7849" s="21" t="s">
        <v>49</v>
      </c>
      <c r="L7849" s="21"/>
      <c r="M7849" s="21"/>
      <c r="N7849" s="21" t="s">
        <v>44</v>
      </c>
      <c r="O7849" s="21">
        <f>60+35</f>
        <v>95</v>
      </c>
      <c r="P7849" s="21"/>
      <c r="Q7849" s="21">
        <f t="shared" si="151"/>
        <v>1</v>
      </c>
      <c r="R7849" s="21">
        <v>1</v>
      </c>
      <c r="S7849" s="21">
        <v>0</v>
      </c>
      <c r="T7849" s="21">
        <v>0</v>
      </c>
      <c r="U7849" s="21">
        <v>0</v>
      </c>
      <c r="V7849" s="21">
        <v>0</v>
      </c>
      <c r="W7849" s="21">
        <v>1</v>
      </c>
      <c r="X7849" s="21">
        <v>0</v>
      </c>
      <c r="Y7849" s="21">
        <v>0</v>
      </c>
      <c r="Z7849" s="21">
        <v>0</v>
      </c>
      <c r="AA7849" s="21">
        <v>0</v>
      </c>
      <c r="AB7849" s="21">
        <v>0</v>
      </c>
      <c r="AC7849" s="21">
        <v>0</v>
      </c>
      <c r="AD7849" s="21">
        <v>0</v>
      </c>
      <c r="AE7849" s="21">
        <v>0</v>
      </c>
      <c r="AF7849" s="21">
        <v>0</v>
      </c>
      <c r="AG7849" s="21">
        <v>0</v>
      </c>
      <c r="AH7849" s="21">
        <f t="shared" si="152"/>
        <v>96</v>
      </c>
      <c r="AI7849" s="21"/>
      <c r="AJ7849" s="21" t="s">
        <v>54</v>
      </c>
      <c r="AK7849" s="21" t="s">
        <v>95</v>
      </c>
      <c r="AL7849" s="21"/>
      <c r="AM7849" s="21" t="s">
        <v>3873</v>
      </c>
      <c r="AN7849" s="21">
        <v>-122.42730918333299</v>
      </c>
      <c r="AO7849" s="21">
        <v>37.786897566666703</v>
      </c>
      <c r="AP7849" s="21" t="s">
        <v>1915</v>
      </c>
    </row>
    <row r="7850" spans="1:42">
      <c r="A7850" s="20">
        <v>43867</v>
      </c>
      <c r="B7850" s="21">
        <v>4</v>
      </c>
      <c r="C7850" s="21">
        <v>228</v>
      </c>
      <c r="D7850" s="21">
        <v>14470</v>
      </c>
      <c r="E7850" t="s">
        <v>112</v>
      </c>
      <c r="F7850" s="21" t="s">
        <v>104</v>
      </c>
      <c r="G7850" s="21">
        <v>2</v>
      </c>
      <c r="H7850" s="21">
        <v>50</v>
      </c>
      <c r="I7850" s="23" t="s">
        <v>3874</v>
      </c>
      <c r="J7850" s="21"/>
      <c r="K7850" s="21" t="s">
        <v>49</v>
      </c>
      <c r="L7850" s="21"/>
      <c r="M7850" s="21"/>
      <c r="N7850" s="21" t="s">
        <v>44</v>
      </c>
      <c r="O7850" s="21">
        <f>60+60+3</f>
        <v>123</v>
      </c>
      <c r="P7850" s="21"/>
      <c r="Q7850" s="21">
        <f t="shared" si="151"/>
        <v>2</v>
      </c>
      <c r="R7850" s="21">
        <v>1</v>
      </c>
      <c r="S7850" s="21">
        <v>0</v>
      </c>
      <c r="T7850" s="21">
        <v>0</v>
      </c>
      <c r="U7850" s="21">
        <v>0</v>
      </c>
      <c r="V7850" s="21">
        <v>0</v>
      </c>
      <c r="W7850" s="21">
        <v>2</v>
      </c>
      <c r="X7850" s="21">
        <v>0</v>
      </c>
      <c r="Y7850" s="21">
        <v>0</v>
      </c>
      <c r="Z7850" s="21">
        <v>0</v>
      </c>
      <c r="AA7850" s="21">
        <v>0</v>
      </c>
      <c r="AB7850" s="21">
        <v>0</v>
      </c>
      <c r="AC7850" s="21">
        <v>0</v>
      </c>
      <c r="AD7850" s="21">
        <v>0</v>
      </c>
      <c r="AE7850" s="21">
        <v>0</v>
      </c>
      <c r="AF7850" s="21">
        <v>0</v>
      </c>
      <c r="AG7850" s="21">
        <v>0</v>
      </c>
      <c r="AH7850" s="21">
        <f t="shared" si="152"/>
        <v>192</v>
      </c>
      <c r="AI7850" s="21"/>
      <c r="AJ7850" s="21" t="s">
        <v>54</v>
      </c>
      <c r="AK7850" s="21" t="s">
        <v>52</v>
      </c>
      <c r="AL7850" s="21" t="s">
        <v>2651</v>
      </c>
      <c r="AM7850" s="21" t="s">
        <v>3875</v>
      </c>
      <c r="AN7850" s="21">
        <v>-122.42800695</v>
      </c>
      <c r="AO7850" s="21">
        <v>37.786783083333297</v>
      </c>
      <c r="AP7850" s="21" t="s">
        <v>1915</v>
      </c>
    </row>
    <row r="7851" spans="1:42">
      <c r="A7851" s="20">
        <v>43867</v>
      </c>
      <c r="B7851" s="21">
        <v>4</v>
      </c>
      <c r="C7851" s="21">
        <v>228</v>
      </c>
      <c r="D7851" s="21">
        <v>14470</v>
      </c>
      <c r="E7851" t="s">
        <v>112</v>
      </c>
      <c r="F7851" s="21" t="s">
        <v>104</v>
      </c>
      <c r="G7851" s="21">
        <v>2</v>
      </c>
      <c r="H7851" s="21">
        <v>51</v>
      </c>
      <c r="I7851" s="23" t="s">
        <v>3876</v>
      </c>
      <c r="J7851" s="21"/>
      <c r="K7851" s="21" t="s">
        <v>49</v>
      </c>
      <c r="L7851" s="21"/>
      <c r="M7851" s="21"/>
      <c r="N7851" s="21" t="s">
        <v>44</v>
      </c>
      <c r="O7851" s="21">
        <f>60+60+2</f>
        <v>122</v>
      </c>
      <c r="P7851" s="21"/>
      <c r="Q7851" s="21">
        <f t="shared" si="151"/>
        <v>2</v>
      </c>
      <c r="R7851" s="21">
        <v>1</v>
      </c>
      <c r="S7851" s="21">
        <v>0</v>
      </c>
      <c r="T7851" s="21">
        <v>0</v>
      </c>
      <c r="U7851" s="21">
        <v>0</v>
      </c>
      <c r="V7851" s="21">
        <v>0</v>
      </c>
      <c r="W7851" s="21">
        <v>2</v>
      </c>
      <c r="X7851" s="21">
        <v>0</v>
      </c>
      <c r="Y7851" s="21">
        <v>0</v>
      </c>
      <c r="Z7851" s="21">
        <v>0</v>
      </c>
      <c r="AA7851" s="21">
        <v>0</v>
      </c>
      <c r="AB7851" s="21">
        <v>0</v>
      </c>
      <c r="AC7851" s="21">
        <v>0</v>
      </c>
      <c r="AD7851" s="21">
        <v>0</v>
      </c>
      <c r="AE7851" s="21">
        <v>0</v>
      </c>
      <c r="AF7851" s="21">
        <v>0</v>
      </c>
      <c r="AG7851" s="21">
        <v>0</v>
      </c>
      <c r="AH7851" s="21">
        <f t="shared" si="152"/>
        <v>192</v>
      </c>
      <c r="AI7851" s="21"/>
      <c r="AJ7851" s="21" t="s">
        <v>54</v>
      </c>
      <c r="AK7851" s="21" t="s">
        <v>95</v>
      </c>
      <c r="AL7851" s="21" t="s">
        <v>2788</v>
      </c>
      <c r="AM7851" s="21" t="s">
        <v>3877</v>
      </c>
      <c r="AN7851" s="21">
        <v>-122.42793505</v>
      </c>
      <c r="AO7851" s="21">
        <v>37.786807433333301</v>
      </c>
      <c r="AP7851" s="21" t="s">
        <v>1915</v>
      </c>
    </row>
    <row r="7852" spans="1:42">
      <c r="A7852" s="20">
        <v>43867</v>
      </c>
      <c r="B7852" s="21">
        <v>4</v>
      </c>
      <c r="C7852" s="21">
        <v>228</v>
      </c>
      <c r="D7852" s="21">
        <v>14470</v>
      </c>
      <c r="E7852" t="s">
        <v>112</v>
      </c>
      <c r="F7852" s="21" t="s">
        <v>104</v>
      </c>
      <c r="G7852" s="21">
        <v>2</v>
      </c>
      <c r="H7852" s="21">
        <v>52</v>
      </c>
      <c r="I7852" s="23" t="s">
        <v>3878</v>
      </c>
      <c r="J7852" s="21"/>
      <c r="K7852" s="21" t="s">
        <v>588</v>
      </c>
      <c r="L7852" s="21"/>
      <c r="M7852" s="21"/>
      <c r="N7852" s="21" t="s">
        <v>44</v>
      </c>
      <c r="O7852" s="21">
        <f>60+34</f>
        <v>94</v>
      </c>
      <c r="P7852" s="21"/>
      <c r="Q7852" s="21">
        <f t="shared" si="151"/>
        <v>1</v>
      </c>
      <c r="R7852" s="21">
        <v>1</v>
      </c>
      <c r="S7852" s="21">
        <v>0</v>
      </c>
      <c r="T7852" s="21">
        <v>0</v>
      </c>
      <c r="U7852" s="21">
        <v>0</v>
      </c>
      <c r="V7852" s="21">
        <v>0</v>
      </c>
      <c r="W7852" s="21">
        <v>1</v>
      </c>
      <c r="X7852" s="21">
        <v>0</v>
      </c>
      <c r="Y7852" s="21">
        <v>0</v>
      </c>
      <c r="Z7852" s="21">
        <v>0</v>
      </c>
      <c r="AA7852" s="21">
        <v>0</v>
      </c>
      <c r="AB7852" s="21">
        <v>0</v>
      </c>
      <c r="AC7852" s="21">
        <v>0</v>
      </c>
      <c r="AD7852" s="21">
        <v>0</v>
      </c>
      <c r="AE7852" s="21">
        <v>0</v>
      </c>
      <c r="AF7852" s="21">
        <v>0</v>
      </c>
      <c r="AG7852" s="21">
        <v>0</v>
      </c>
      <c r="AH7852" s="21">
        <f t="shared" si="152"/>
        <v>96</v>
      </c>
      <c r="AI7852" s="21"/>
      <c r="AJ7852" s="21" t="s">
        <v>54</v>
      </c>
      <c r="AK7852" s="21" t="s">
        <v>52</v>
      </c>
      <c r="AL7852" s="21"/>
      <c r="AM7852" s="21" t="s">
        <v>3879</v>
      </c>
      <c r="AN7852" s="21">
        <v>-122.4282018</v>
      </c>
      <c r="AO7852" s="21">
        <v>37.786773966666701</v>
      </c>
      <c r="AP7852" s="21" t="s">
        <v>1915</v>
      </c>
    </row>
    <row r="7853" spans="1:42">
      <c r="A7853" s="20">
        <v>43867</v>
      </c>
      <c r="B7853" s="21">
        <v>4</v>
      </c>
      <c r="C7853" s="21">
        <v>228</v>
      </c>
      <c r="D7853" s="21">
        <v>14470</v>
      </c>
      <c r="E7853" t="s">
        <v>112</v>
      </c>
      <c r="F7853" s="21" t="s">
        <v>104</v>
      </c>
      <c r="G7853" s="21">
        <v>2</v>
      </c>
      <c r="H7853" s="21">
        <v>53</v>
      </c>
      <c r="I7853" s="23" t="s">
        <v>2787</v>
      </c>
      <c r="J7853" s="21"/>
      <c r="K7853" s="21" t="s">
        <v>49</v>
      </c>
      <c r="L7853" s="21"/>
      <c r="M7853" s="21"/>
      <c r="N7853" s="21" t="s">
        <v>40</v>
      </c>
      <c r="O7853" s="21">
        <v>30</v>
      </c>
      <c r="P7853" s="21"/>
      <c r="Q7853" s="21">
        <f t="shared" si="151"/>
        <v>1</v>
      </c>
      <c r="R7853" s="21">
        <v>1</v>
      </c>
      <c r="S7853" s="21">
        <v>0</v>
      </c>
      <c r="T7853" s="21">
        <v>0</v>
      </c>
      <c r="U7853" s="21">
        <v>0</v>
      </c>
      <c r="V7853" s="21">
        <v>0</v>
      </c>
      <c r="W7853" s="21">
        <v>0</v>
      </c>
      <c r="X7853" s="21">
        <v>1</v>
      </c>
      <c r="Y7853" s="21">
        <v>0</v>
      </c>
      <c r="Z7853" s="21">
        <v>0</v>
      </c>
      <c r="AA7853" s="21">
        <v>0</v>
      </c>
      <c r="AB7853" s="21">
        <v>0</v>
      </c>
      <c r="AC7853" s="21">
        <v>0</v>
      </c>
      <c r="AD7853" s="21">
        <v>0</v>
      </c>
      <c r="AE7853" s="21">
        <v>0</v>
      </c>
      <c r="AF7853" s="21">
        <v>0</v>
      </c>
      <c r="AG7853" s="21">
        <v>0</v>
      </c>
      <c r="AH7853" s="21">
        <f t="shared" si="152"/>
        <v>0</v>
      </c>
      <c r="AI7853" s="21"/>
      <c r="AJ7853" s="21" t="s">
        <v>54</v>
      </c>
      <c r="AK7853" s="21" t="s">
        <v>95</v>
      </c>
      <c r="AL7853" s="21" t="s">
        <v>470</v>
      </c>
      <c r="AM7853" s="21" t="s">
        <v>3880</v>
      </c>
      <c r="AN7853" s="21">
        <v>-122.428527766667</v>
      </c>
      <c r="AO7853" s="21">
        <v>37.786746383333302</v>
      </c>
      <c r="AP7853" s="21" t="s">
        <v>1915</v>
      </c>
    </row>
    <row r="7854" spans="1:42">
      <c r="A7854" s="20">
        <v>43867</v>
      </c>
      <c r="B7854" s="21">
        <v>4</v>
      </c>
      <c r="C7854" s="21">
        <v>228</v>
      </c>
      <c r="D7854" s="21">
        <v>14470</v>
      </c>
      <c r="E7854" t="s">
        <v>112</v>
      </c>
      <c r="F7854" s="21" t="s">
        <v>104</v>
      </c>
      <c r="G7854" s="21">
        <v>2</v>
      </c>
      <c r="H7854" s="21">
        <v>54</v>
      </c>
      <c r="I7854" s="23" t="s">
        <v>3301</v>
      </c>
      <c r="J7854" s="21"/>
      <c r="K7854" s="21" t="s">
        <v>49</v>
      </c>
      <c r="L7854" s="21"/>
      <c r="M7854" s="21"/>
      <c r="N7854" s="21" t="s">
        <v>44</v>
      </c>
      <c r="O7854" s="21">
        <f>60+45</f>
        <v>105</v>
      </c>
      <c r="P7854" s="21"/>
      <c r="Q7854" s="21">
        <f t="shared" si="151"/>
        <v>2</v>
      </c>
      <c r="R7854" s="21">
        <v>1</v>
      </c>
      <c r="S7854" s="21">
        <v>0</v>
      </c>
      <c r="T7854" s="21">
        <v>0</v>
      </c>
      <c r="U7854" s="21">
        <v>0</v>
      </c>
      <c r="V7854" s="21">
        <v>1</v>
      </c>
      <c r="W7854" s="21">
        <v>1</v>
      </c>
      <c r="X7854" s="21">
        <v>0</v>
      </c>
      <c r="Y7854" s="21">
        <v>0</v>
      </c>
      <c r="Z7854" s="21">
        <v>0</v>
      </c>
      <c r="AA7854" s="21">
        <v>0</v>
      </c>
      <c r="AB7854" s="21">
        <v>0</v>
      </c>
      <c r="AC7854" s="21">
        <v>0</v>
      </c>
      <c r="AD7854" s="21">
        <v>0</v>
      </c>
      <c r="AE7854" s="21">
        <v>0</v>
      </c>
      <c r="AF7854" s="21">
        <v>0</v>
      </c>
      <c r="AG7854" s="21">
        <v>0</v>
      </c>
      <c r="AH7854" s="21">
        <f t="shared" si="152"/>
        <v>160</v>
      </c>
      <c r="AI7854" s="21"/>
      <c r="AJ7854" s="21" t="s">
        <v>54</v>
      </c>
      <c r="AK7854" s="21" t="s">
        <v>95</v>
      </c>
      <c r="AL7854" s="21"/>
      <c r="AM7854" s="21" t="s">
        <v>3881</v>
      </c>
      <c r="AN7854" s="21">
        <v>-122.42942171666699</v>
      </c>
      <c r="AO7854" s="21">
        <v>37.786633933333299</v>
      </c>
      <c r="AP7854" s="21" t="s">
        <v>1915</v>
      </c>
    </row>
    <row r="7855" spans="1:42">
      <c r="A7855" s="20">
        <v>43867</v>
      </c>
      <c r="B7855" s="21">
        <v>4</v>
      </c>
      <c r="C7855" s="21">
        <v>228</v>
      </c>
      <c r="D7855" s="21">
        <v>14470</v>
      </c>
      <c r="E7855" t="s">
        <v>112</v>
      </c>
      <c r="F7855" s="21" t="s">
        <v>104</v>
      </c>
      <c r="G7855" s="21">
        <v>2</v>
      </c>
      <c r="H7855" s="21">
        <v>55</v>
      </c>
      <c r="I7855" s="23" t="s">
        <v>2787</v>
      </c>
      <c r="J7855" s="21"/>
      <c r="K7855" s="21" t="s">
        <v>49</v>
      </c>
      <c r="L7855" s="21"/>
      <c r="M7855" s="21"/>
      <c r="N7855" s="21" t="s">
        <v>40</v>
      </c>
      <c r="O7855" s="21">
        <v>27</v>
      </c>
      <c r="P7855" s="21"/>
      <c r="Q7855" s="21">
        <f t="shared" si="151"/>
        <v>1</v>
      </c>
      <c r="R7855" s="21">
        <v>1</v>
      </c>
      <c r="S7855" s="21">
        <v>0</v>
      </c>
      <c r="T7855" s="21">
        <v>0</v>
      </c>
      <c r="U7855" s="21">
        <v>0</v>
      </c>
      <c r="V7855" s="21">
        <v>0</v>
      </c>
      <c r="W7855" s="21">
        <v>0</v>
      </c>
      <c r="X7855" s="21">
        <v>1</v>
      </c>
      <c r="Y7855" s="21">
        <v>0</v>
      </c>
      <c r="Z7855" s="21">
        <v>0</v>
      </c>
      <c r="AA7855" s="21">
        <v>0</v>
      </c>
      <c r="AB7855" s="21">
        <v>0</v>
      </c>
      <c r="AC7855" s="21">
        <v>0</v>
      </c>
      <c r="AD7855" s="21">
        <v>0</v>
      </c>
      <c r="AE7855" s="21">
        <v>0</v>
      </c>
      <c r="AF7855" s="21">
        <v>0</v>
      </c>
      <c r="AG7855" s="21">
        <v>0</v>
      </c>
      <c r="AH7855" s="21">
        <f t="shared" si="152"/>
        <v>0</v>
      </c>
      <c r="AI7855" s="21"/>
      <c r="AJ7855" s="21" t="s">
        <v>54</v>
      </c>
      <c r="AK7855" s="21" t="s">
        <v>95</v>
      </c>
      <c r="AL7855" s="21" t="s">
        <v>3006</v>
      </c>
      <c r="AM7855" s="21" t="s">
        <v>3882</v>
      </c>
      <c r="AN7855" s="21">
        <v>-122.429888283333</v>
      </c>
      <c r="AO7855" s="21">
        <v>37.786573433333302</v>
      </c>
      <c r="AP7855" s="21" t="s">
        <v>1915</v>
      </c>
    </row>
    <row r="7856" spans="1:42">
      <c r="A7856" s="20">
        <v>43867</v>
      </c>
      <c r="B7856" s="21">
        <v>4</v>
      </c>
      <c r="C7856" s="21">
        <v>228</v>
      </c>
      <c r="D7856" s="21">
        <v>14470</v>
      </c>
      <c r="E7856" t="s">
        <v>112</v>
      </c>
      <c r="F7856" s="21" t="s">
        <v>104</v>
      </c>
      <c r="G7856" s="21">
        <v>2</v>
      </c>
      <c r="H7856" s="21">
        <v>56</v>
      </c>
      <c r="I7856" s="23" t="s">
        <v>2787</v>
      </c>
      <c r="J7856" s="21"/>
      <c r="K7856" s="21" t="s">
        <v>49</v>
      </c>
      <c r="L7856" s="21"/>
      <c r="M7856" s="21"/>
      <c r="N7856" s="21" t="s">
        <v>40</v>
      </c>
      <c r="O7856" s="21">
        <v>20</v>
      </c>
      <c r="P7856" s="21"/>
      <c r="Q7856" s="21">
        <f t="shared" si="151"/>
        <v>1</v>
      </c>
      <c r="R7856" s="21">
        <v>1</v>
      </c>
      <c r="S7856" s="21">
        <v>0</v>
      </c>
      <c r="T7856" s="21">
        <v>0</v>
      </c>
      <c r="U7856" s="21">
        <v>0</v>
      </c>
      <c r="V7856" s="21">
        <v>0</v>
      </c>
      <c r="W7856" s="21">
        <v>0</v>
      </c>
      <c r="X7856" s="21">
        <v>1</v>
      </c>
      <c r="Y7856" s="21">
        <v>0</v>
      </c>
      <c r="Z7856" s="21">
        <v>0</v>
      </c>
      <c r="AA7856" s="21">
        <v>0</v>
      </c>
      <c r="AB7856" s="21">
        <v>0</v>
      </c>
      <c r="AC7856" s="21">
        <v>0</v>
      </c>
      <c r="AD7856" s="21">
        <v>0</v>
      </c>
      <c r="AE7856" s="21">
        <v>0</v>
      </c>
      <c r="AF7856" s="21">
        <v>0</v>
      </c>
      <c r="AG7856" s="21">
        <v>0</v>
      </c>
      <c r="AH7856" s="21">
        <f t="shared" si="152"/>
        <v>0</v>
      </c>
      <c r="AI7856" s="21"/>
      <c r="AJ7856" s="21" t="s">
        <v>54</v>
      </c>
      <c r="AK7856" s="21" t="s">
        <v>95</v>
      </c>
      <c r="AL7856" s="21" t="s">
        <v>470</v>
      </c>
      <c r="AM7856" s="21" t="s">
        <v>3883</v>
      </c>
      <c r="AN7856" s="21">
        <v>-122.429728216667</v>
      </c>
      <c r="AO7856" s="21">
        <v>37.786539916666598</v>
      </c>
      <c r="AP7856" s="21" t="s">
        <v>1915</v>
      </c>
    </row>
    <row r="7857" spans="1:42">
      <c r="A7857" s="20">
        <v>43867</v>
      </c>
      <c r="B7857" s="21">
        <v>4</v>
      </c>
      <c r="C7857" s="21">
        <v>228</v>
      </c>
      <c r="D7857" s="21">
        <v>14470</v>
      </c>
      <c r="E7857" t="s">
        <v>112</v>
      </c>
      <c r="F7857" s="21" t="s">
        <v>104</v>
      </c>
      <c r="G7857" s="21">
        <v>2</v>
      </c>
      <c r="H7857" s="21">
        <v>57</v>
      </c>
      <c r="I7857" s="23">
        <v>1701</v>
      </c>
      <c r="J7857" s="21"/>
      <c r="K7857" s="21" t="s">
        <v>49</v>
      </c>
      <c r="L7857" s="21"/>
      <c r="M7857" s="21"/>
      <c r="N7857" s="21" t="s">
        <v>44</v>
      </c>
      <c r="O7857" s="21">
        <f>60+18</f>
        <v>78</v>
      </c>
      <c r="P7857" s="21"/>
      <c r="Q7857" s="21">
        <f t="shared" si="151"/>
        <v>1</v>
      </c>
      <c r="R7857" s="21">
        <v>1</v>
      </c>
      <c r="S7857" s="21">
        <v>0</v>
      </c>
      <c r="T7857" s="21">
        <v>0</v>
      </c>
      <c r="U7857" s="21">
        <v>0</v>
      </c>
      <c r="V7857" s="21">
        <v>0</v>
      </c>
      <c r="W7857" s="21">
        <v>1</v>
      </c>
      <c r="X7857" s="21">
        <v>0</v>
      </c>
      <c r="Y7857" s="21">
        <v>0</v>
      </c>
      <c r="Z7857" s="21">
        <v>0</v>
      </c>
      <c r="AA7857" s="21">
        <v>0</v>
      </c>
      <c r="AB7857" s="21">
        <v>0</v>
      </c>
      <c r="AC7857" s="21">
        <v>0</v>
      </c>
      <c r="AD7857" s="21">
        <v>0</v>
      </c>
      <c r="AE7857" s="21">
        <v>0</v>
      </c>
      <c r="AF7857" s="21">
        <v>0</v>
      </c>
      <c r="AG7857" s="21">
        <v>0</v>
      </c>
      <c r="AH7857" s="21">
        <f t="shared" si="152"/>
        <v>96</v>
      </c>
      <c r="AI7857" s="21"/>
      <c r="AJ7857" s="21" t="s">
        <v>54</v>
      </c>
      <c r="AK7857" s="21" t="s">
        <v>95</v>
      </c>
      <c r="AL7857" s="21"/>
      <c r="AM7857" s="21" t="s">
        <v>3884</v>
      </c>
      <c r="AN7857" s="21">
        <v>-122.42779558333299</v>
      </c>
      <c r="AO7857" s="21">
        <v>37.786304316666701</v>
      </c>
      <c r="AP7857" s="21" t="s">
        <v>1915</v>
      </c>
    </row>
    <row r="7858" spans="1:42">
      <c r="A7858" s="20">
        <v>43867</v>
      </c>
      <c r="B7858" s="21">
        <v>4</v>
      </c>
      <c r="C7858" s="21">
        <v>228</v>
      </c>
      <c r="D7858" s="21">
        <v>14470</v>
      </c>
      <c r="E7858" t="s">
        <v>112</v>
      </c>
      <c r="F7858" s="21" t="s">
        <v>104</v>
      </c>
      <c r="G7858" s="21">
        <v>2</v>
      </c>
      <c r="H7858" s="21">
        <v>58</v>
      </c>
      <c r="I7858" s="23" t="s">
        <v>3878</v>
      </c>
      <c r="J7858" s="21"/>
      <c r="K7858" s="21" t="s">
        <v>588</v>
      </c>
      <c r="L7858" s="21"/>
      <c r="M7858" s="21"/>
      <c r="N7858" s="21" t="s">
        <v>44</v>
      </c>
      <c r="O7858" s="21">
        <v>44</v>
      </c>
      <c r="P7858" s="21"/>
      <c r="Q7858" s="21">
        <f t="shared" si="151"/>
        <v>1</v>
      </c>
      <c r="R7858" s="21">
        <v>1</v>
      </c>
      <c r="S7858" s="21">
        <v>0</v>
      </c>
      <c r="T7858" s="21">
        <v>0</v>
      </c>
      <c r="U7858" s="21">
        <v>1</v>
      </c>
      <c r="V7858" s="21">
        <v>0</v>
      </c>
      <c r="W7858" s="21">
        <v>0</v>
      </c>
      <c r="X7858" s="21">
        <v>0</v>
      </c>
      <c r="Y7858" s="21">
        <v>0</v>
      </c>
      <c r="Z7858" s="21">
        <v>0</v>
      </c>
      <c r="AA7858" s="21">
        <v>0</v>
      </c>
      <c r="AB7858" s="21">
        <v>0</v>
      </c>
      <c r="AC7858" s="21">
        <v>0</v>
      </c>
      <c r="AD7858" s="21">
        <v>0</v>
      </c>
      <c r="AE7858" s="21">
        <v>0</v>
      </c>
      <c r="AF7858" s="21">
        <v>0</v>
      </c>
      <c r="AG7858" s="21">
        <v>0</v>
      </c>
      <c r="AH7858" s="21">
        <f t="shared" si="152"/>
        <v>32</v>
      </c>
      <c r="AI7858" s="21"/>
      <c r="AJ7858" s="21" t="s">
        <v>51</v>
      </c>
      <c r="AK7858" s="21" t="s">
        <v>95</v>
      </c>
      <c r="AL7858" s="21"/>
      <c r="AM7858" s="21" t="s">
        <v>3885</v>
      </c>
      <c r="AN7858" s="21">
        <v>-122.428812336614</v>
      </c>
      <c r="AO7858" s="21">
        <v>37.787316818441802</v>
      </c>
      <c r="AP7858" s="21" t="s">
        <v>1915</v>
      </c>
    </row>
    <row r="7859" spans="1:42">
      <c r="A7859" s="20">
        <v>43867</v>
      </c>
      <c r="B7859" s="21">
        <v>4</v>
      </c>
      <c r="C7859" s="21">
        <v>228</v>
      </c>
      <c r="D7859" s="21">
        <v>14470</v>
      </c>
      <c r="E7859" t="s">
        <v>112</v>
      </c>
      <c r="F7859" s="21" t="s">
        <v>104</v>
      </c>
      <c r="G7859" s="21">
        <v>2</v>
      </c>
      <c r="H7859" s="21">
        <v>59</v>
      </c>
      <c r="I7859" s="23" t="s">
        <v>3886</v>
      </c>
      <c r="J7859" s="21"/>
      <c r="K7859" s="21" t="s">
        <v>49</v>
      </c>
      <c r="L7859" s="21"/>
      <c r="M7859" s="21"/>
      <c r="N7859" s="21" t="s">
        <v>44</v>
      </c>
      <c r="O7859" s="21">
        <f>60+60+60+3</f>
        <v>183</v>
      </c>
      <c r="P7859" s="21"/>
      <c r="Q7859" s="21">
        <f t="shared" si="151"/>
        <v>5</v>
      </c>
      <c r="R7859" s="21">
        <v>1</v>
      </c>
      <c r="S7859" s="21">
        <v>0</v>
      </c>
      <c r="T7859" s="21">
        <v>0</v>
      </c>
      <c r="U7859" s="21">
        <v>0</v>
      </c>
      <c r="V7859" s="21">
        <v>5</v>
      </c>
      <c r="W7859" s="21">
        <v>0</v>
      </c>
      <c r="X7859" s="21">
        <v>0</v>
      </c>
      <c r="Y7859" s="21">
        <v>0</v>
      </c>
      <c r="Z7859" s="21">
        <v>0</v>
      </c>
      <c r="AA7859" s="21">
        <v>0</v>
      </c>
      <c r="AB7859" s="21">
        <v>0</v>
      </c>
      <c r="AC7859" s="21">
        <v>0</v>
      </c>
      <c r="AD7859" s="21">
        <v>0</v>
      </c>
      <c r="AE7859" s="21">
        <v>0</v>
      </c>
      <c r="AF7859" s="21">
        <v>0</v>
      </c>
      <c r="AG7859" s="21">
        <v>0</v>
      </c>
      <c r="AH7859" s="21">
        <f t="shared" si="152"/>
        <v>320</v>
      </c>
      <c r="AI7859" s="21"/>
      <c r="AJ7859" s="21"/>
      <c r="AK7859" s="21"/>
      <c r="AL7859" s="21" t="s">
        <v>3887</v>
      </c>
      <c r="AM7859" s="21" t="s">
        <v>3888</v>
      </c>
      <c r="AN7859" s="21">
        <v>-122.426868883333</v>
      </c>
      <c r="AO7859" s="21">
        <v>37.786599883333302</v>
      </c>
      <c r="AP7859" s="21" t="s">
        <v>1915</v>
      </c>
    </row>
    <row r="7860" spans="1:42">
      <c r="A7860" s="20">
        <v>43867</v>
      </c>
      <c r="B7860" s="21">
        <v>4</v>
      </c>
      <c r="C7860" s="21">
        <v>228</v>
      </c>
      <c r="D7860" s="21">
        <v>14470</v>
      </c>
      <c r="E7860" t="s">
        <v>112</v>
      </c>
      <c r="F7860" s="21" t="s">
        <v>104</v>
      </c>
      <c r="G7860" s="21">
        <v>2</v>
      </c>
      <c r="H7860" s="21">
        <v>60</v>
      </c>
      <c r="I7860" s="23" t="s">
        <v>3614</v>
      </c>
      <c r="J7860" s="21"/>
      <c r="K7860" s="21" t="s">
        <v>49</v>
      </c>
      <c r="L7860" s="21"/>
      <c r="M7860" s="21"/>
      <c r="N7860" s="21" t="s">
        <v>40</v>
      </c>
      <c r="O7860" s="21">
        <f>60+4</f>
        <v>64</v>
      </c>
      <c r="P7860" s="21"/>
      <c r="Q7860" s="21">
        <f t="shared" si="151"/>
        <v>6</v>
      </c>
      <c r="R7860" s="21">
        <v>1</v>
      </c>
      <c r="S7860" s="21">
        <v>1</v>
      </c>
      <c r="T7860" s="21">
        <v>0</v>
      </c>
      <c r="U7860" s="21">
        <v>3</v>
      </c>
      <c r="V7860" s="21">
        <v>2</v>
      </c>
      <c r="W7860" s="21">
        <v>0</v>
      </c>
      <c r="X7860" s="21">
        <v>0</v>
      </c>
      <c r="Y7860" s="21">
        <v>0</v>
      </c>
      <c r="Z7860" s="21">
        <v>0</v>
      </c>
      <c r="AA7860" s="21">
        <v>0</v>
      </c>
      <c r="AB7860" s="21">
        <v>0</v>
      </c>
      <c r="AC7860" s="21">
        <v>0</v>
      </c>
      <c r="AD7860" s="21">
        <v>0</v>
      </c>
      <c r="AE7860" s="21">
        <v>0</v>
      </c>
      <c r="AF7860" s="21">
        <v>0</v>
      </c>
      <c r="AG7860" s="21">
        <v>0</v>
      </c>
      <c r="AH7860" s="21">
        <f t="shared" si="152"/>
        <v>240</v>
      </c>
      <c r="AI7860" s="21"/>
      <c r="AJ7860" s="21" t="s">
        <v>54</v>
      </c>
      <c r="AK7860" s="21" t="s">
        <v>52</v>
      </c>
      <c r="AL7860" s="21"/>
      <c r="AM7860" s="21" t="s">
        <v>3889</v>
      </c>
      <c r="AN7860" s="21">
        <v>-122.42630818333301</v>
      </c>
      <c r="AO7860" s="21">
        <v>37.7869761166667</v>
      </c>
      <c r="AP7860" s="21" t="s">
        <v>1915</v>
      </c>
    </row>
    <row r="7861" spans="1:42">
      <c r="A7861" s="20">
        <v>43867</v>
      </c>
      <c r="B7861" s="21">
        <v>4</v>
      </c>
      <c r="C7861" s="21">
        <v>228</v>
      </c>
      <c r="D7861" s="21">
        <v>14470</v>
      </c>
      <c r="E7861" t="s">
        <v>112</v>
      </c>
      <c r="F7861" s="21" t="s">
        <v>104</v>
      </c>
      <c r="G7861" s="21">
        <v>2</v>
      </c>
      <c r="H7861" s="21">
        <v>61</v>
      </c>
      <c r="I7861" s="23" t="s">
        <v>3890</v>
      </c>
      <c r="J7861" s="21"/>
      <c r="K7861" s="21" t="s">
        <v>49</v>
      </c>
      <c r="L7861" s="21"/>
      <c r="M7861" s="21"/>
      <c r="N7861" s="21" t="s">
        <v>44</v>
      </c>
      <c r="O7861" s="21">
        <f>60+40</f>
        <v>100</v>
      </c>
      <c r="P7861" s="21"/>
      <c r="Q7861" s="21">
        <f t="shared" si="151"/>
        <v>2</v>
      </c>
      <c r="R7861" s="21">
        <v>1</v>
      </c>
      <c r="S7861" s="21">
        <v>0</v>
      </c>
      <c r="T7861" s="21">
        <v>0</v>
      </c>
      <c r="U7861" s="21">
        <v>0</v>
      </c>
      <c r="V7861" s="21">
        <v>1</v>
      </c>
      <c r="W7861" s="21">
        <v>1</v>
      </c>
      <c r="X7861" s="21">
        <v>0</v>
      </c>
      <c r="Y7861" s="21">
        <v>0</v>
      </c>
      <c r="Z7861" s="21">
        <v>0</v>
      </c>
      <c r="AA7861" s="21">
        <v>0</v>
      </c>
      <c r="AB7861" s="21">
        <v>0</v>
      </c>
      <c r="AC7861" s="21">
        <v>0</v>
      </c>
      <c r="AD7861" s="21">
        <v>0</v>
      </c>
      <c r="AE7861" s="21">
        <v>0</v>
      </c>
      <c r="AF7861" s="21">
        <v>0</v>
      </c>
      <c r="AG7861" s="21">
        <v>0</v>
      </c>
      <c r="AH7861" s="21">
        <f t="shared" si="152"/>
        <v>160</v>
      </c>
      <c r="AI7861" s="21"/>
      <c r="AJ7861" s="21" t="s">
        <v>51</v>
      </c>
      <c r="AK7861" s="21" t="s">
        <v>52</v>
      </c>
      <c r="AL7861" s="21" t="s">
        <v>2788</v>
      </c>
      <c r="AM7861" s="21" t="s">
        <v>3891</v>
      </c>
      <c r="AN7861" s="21">
        <v>-122.4261291</v>
      </c>
      <c r="AO7861" s="21">
        <v>37.787052033333303</v>
      </c>
      <c r="AP7861" s="21" t="s">
        <v>1915</v>
      </c>
    </row>
    <row r="7862" spans="1:42">
      <c r="A7862" s="20">
        <v>43867</v>
      </c>
      <c r="B7862" s="21">
        <v>4</v>
      </c>
      <c r="C7862" s="21">
        <v>228</v>
      </c>
      <c r="D7862" s="21">
        <v>14470</v>
      </c>
      <c r="E7862" t="s">
        <v>112</v>
      </c>
      <c r="F7862" s="21" t="s">
        <v>104</v>
      </c>
      <c r="G7862" s="21">
        <v>2</v>
      </c>
      <c r="H7862" s="21">
        <v>62</v>
      </c>
      <c r="I7862" s="23" t="s">
        <v>3892</v>
      </c>
      <c r="J7862" s="21"/>
      <c r="K7862" s="21" t="s">
        <v>49</v>
      </c>
      <c r="L7862" s="21"/>
      <c r="M7862" s="21"/>
      <c r="N7862" s="21" t="s">
        <v>44</v>
      </c>
      <c r="O7862" s="21">
        <f>60+42</f>
        <v>102</v>
      </c>
      <c r="P7862" s="21"/>
      <c r="Q7862" s="21">
        <f t="shared" si="151"/>
        <v>2</v>
      </c>
      <c r="R7862" s="21">
        <v>1</v>
      </c>
      <c r="S7862" s="21">
        <v>0</v>
      </c>
      <c r="T7862" s="21">
        <v>0</v>
      </c>
      <c r="U7862" s="21">
        <v>0</v>
      </c>
      <c r="V7862" s="21">
        <v>1</v>
      </c>
      <c r="W7862" s="21">
        <v>1</v>
      </c>
      <c r="X7862" s="21">
        <v>0</v>
      </c>
      <c r="Y7862" s="21">
        <v>0</v>
      </c>
      <c r="Z7862" s="21">
        <v>0</v>
      </c>
      <c r="AA7862" s="21">
        <v>0</v>
      </c>
      <c r="AB7862" s="21">
        <v>0</v>
      </c>
      <c r="AC7862" s="21">
        <v>0</v>
      </c>
      <c r="AD7862" s="21">
        <v>0</v>
      </c>
      <c r="AE7862" s="21">
        <v>0</v>
      </c>
      <c r="AF7862" s="21">
        <v>0</v>
      </c>
      <c r="AG7862" s="21">
        <v>0</v>
      </c>
      <c r="AH7862" s="21">
        <f t="shared" si="152"/>
        <v>160</v>
      </c>
      <c r="AI7862" s="21"/>
      <c r="AJ7862" s="21" t="s">
        <v>51</v>
      </c>
      <c r="AK7862" s="21" t="s">
        <v>52</v>
      </c>
      <c r="AL7862" s="21"/>
      <c r="AM7862" s="21" t="s">
        <v>3893</v>
      </c>
      <c r="AN7862" s="21">
        <v>-122.425932066667</v>
      </c>
      <c r="AO7862" s="21">
        <v>37.787117566666701</v>
      </c>
      <c r="AP7862" s="21" t="s">
        <v>1915</v>
      </c>
    </row>
    <row r="7863" spans="1:42">
      <c r="A7863" s="20">
        <v>43867</v>
      </c>
      <c r="B7863" s="21">
        <v>4</v>
      </c>
      <c r="C7863" s="21">
        <v>228</v>
      </c>
      <c r="D7863" s="21">
        <v>14470</v>
      </c>
      <c r="E7863" t="s">
        <v>112</v>
      </c>
      <c r="F7863" s="21" t="s">
        <v>104</v>
      </c>
      <c r="G7863" s="21">
        <v>2</v>
      </c>
      <c r="H7863" s="21">
        <v>63</v>
      </c>
      <c r="I7863" s="23" t="s">
        <v>3171</v>
      </c>
      <c r="J7863" s="21"/>
      <c r="K7863" s="21" t="s">
        <v>49</v>
      </c>
      <c r="L7863" s="21"/>
      <c r="M7863" s="21"/>
      <c r="N7863" s="21" t="s">
        <v>44</v>
      </c>
      <c r="O7863" s="21">
        <f>60+60+60+60+42</f>
        <v>282</v>
      </c>
      <c r="P7863" s="21"/>
      <c r="Q7863" s="21">
        <f t="shared" si="151"/>
        <v>3</v>
      </c>
      <c r="R7863" s="21">
        <v>1</v>
      </c>
      <c r="S7863" s="21">
        <v>0</v>
      </c>
      <c r="T7863" s="21">
        <v>0</v>
      </c>
      <c r="U7863" s="21">
        <v>0</v>
      </c>
      <c r="V7863" s="21">
        <v>1</v>
      </c>
      <c r="W7863" s="21">
        <v>2</v>
      </c>
      <c r="X7863" s="21">
        <v>0</v>
      </c>
      <c r="Y7863" s="21">
        <v>0</v>
      </c>
      <c r="Z7863" s="21">
        <v>0</v>
      </c>
      <c r="AA7863" s="21">
        <v>0</v>
      </c>
      <c r="AB7863" s="21">
        <v>0</v>
      </c>
      <c r="AC7863" s="21">
        <v>0</v>
      </c>
      <c r="AD7863" s="21">
        <v>0</v>
      </c>
      <c r="AE7863" s="21">
        <v>0</v>
      </c>
      <c r="AF7863" s="21">
        <v>0</v>
      </c>
      <c r="AG7863" s="21">
        <v>0</v>
      </c>
      <c r="AH7863" s="21">
        <f t="shared" si="152"/>
        <v>256</v>
      </c>
      <c r="AI7863" s="21"/>
      <c r="AJ7863" s="21" t="s">
        <v>54</v>
      </c>
      <c r="AK7863" s="21" t="s">
        <v>52</v>
      </c>
      <c r="AL7863" s="21" t="s">
        <v>2190</v>
      </c>
      <c r="AM7863" s="21" t="s">
        <v>3894</v>
      </c>
      <c r="AN7863" s="21">
        <v>-122.425491666667</v>
      </c>
      <c r="AO7863" s="21">
        <v>37.7871845833333</v>
      </c>
      <c r="AP7863" s="21" t="s">
        <v>1915</v>
      </c>
    </row>
    <row r="7864" spans="1:42">
      <c r="A7864" s="20">
        <v>43867</v>
      </c>
      <c r="B7864" s="21">
        <v>4</v>
      </c>
      <c r="C7864" s="21">
        <v>228</v>
      </c>
      <c r="D7864" s="21">
        <v>14470</v>
      </c>
      <c r="E7864" t="s">
        <v>112</v>
      </c>
      <c r="F7864" s="21" t="s">
        <v>104</v>
      </c>
      <c r="G7864" s="21">
        <v>2</v>
      </c>
      <c r="H7864" s="21">
        <v>64</v>
      </c>
      <c r="I7864" s="23" t="s">
        <v>3895</v>
      </c>
      <c r="J7864" s="21"/>
      <c r="K7864" s="21" t="s">
        <v>53</v>
      </c>
      <c r="L7864" s="21"/>
      <c r="M7864" s="21"/>
      <c r="N7864" s="21" t="s">
        <v>40</v>
      </c>
      <c r="O7864" s="21">
        <f>60+60+21</f>
        <v>141</v>
      </c>
      <c r="P7864" s="21"/>
      <c r="Q7864" s="21">
        <f t="shared" si="151"/>
        <v>4</v>
      </c>
      <c r="R7864" s="21">
        <v>1</v>
      </c>
      <c r="S7864" s="21">
        <v>0</v>
      </c>
      <c r="T7864" s="21">
        <v>0</v>
      </c>
      <c r="U7864" s="21">
        <v>0</v>
      </c>
      <c r="V7864" s="21">
        <v>3</v>
      </c>
      <c r="W7864" s="21">
        <v>1</v>
      </c>
      <c r="X7864" s="21">
        <v>0</v>
      </c>
      <c r="Y7864" s="21">
        <v>0</v>
      </c>
      <c r="Z7864" s="21">
        <v>0</v>
      </c>
      <c r="AA7864" s="21">
        <v>0</v>
      </c>
      <c r="AB7864" s="21">
        <v>0</v>
      </c>
      <c r="AC7864" s="21">
        <v>0</v>
      </c>
      <c r="AD7864" s="21">
        <v>0</v>
      </c>
      <c r="AE7864" s="21">
        <v>0</v>
      </c>
      <c r="AF7864" s="21">
        <v>0</v>
      </c>
      <c r="AG7864" s="21">
        <v>0</v>
      </c>
      <c r="AH7864" s="21">
        <f t="shared" si="152"/>
        <v>288</v>
      </c>
      <c r="AI7864" s="21"/>
      <c r="AJ7864" s="21" t="s">
        <v>54</v>
      </c>
      <c r="AK7864" s="21" t="s">
        <v>95</v>
      </c>
      <c r="AL7864" s="21" t="s">
        <v>1937</v>
      </c>
      <c r="AM7864" s="21" t="s">
        <v>3896</v>
      </c>
      <c r="AN7864" s="21">
        <v>-122.42868765</v>
      </c>
      <c r="AO7864" s="21">
        <v>37.786194733333303</v>
      </c>
      <c r="AP7864" s="21" t="s">
        <v>1915</v>
      </c>
    </row>
    <row r="7865" spans="1:42">
      <c r="A7865" s="20">
        <v>43867</v>
      </c>
      <c r="B7865" s="21">
        <v>4</v>
      </c>
      <c r="C7865" s="21">
        <v>228</v>
      </c>
      <c r="D7865" s="21">
        <v>14470</v>
      </c>
      <c r="E7865" t="s">
        <v>112</v>
      </c>
      <c r="F7865" s="21" t="s">
        <v>104</v>
      </c>
      <c r="G7865" s="21">
        <v>2</v>
      </c>
      <c r="H7865" s="21">
        <v>65</v>
      </c>
      <c r="I7865" s="23" t="s">
        <v>3897</v>
      </c>
      <c r="J7865" s="21"/>
      <c r="K7865" s="21" t="s">
        <v>53</v>
      </c>
      <c r="L7865" s="21"/>
      <c r="M7865" s="21"/>
      <c r="N7865" s="21" t="s">
        <v>40</v>
      </c>
      <c r="O7865" s="21">
        <f>60+3</f>
        <v>63</v>
      </c>
      <c r="P7865" s="21"/>
      <c r="Q7865" s="21">
        <f t="shared" si="151"/>
        <v>2</v>
      </c>
      <c r="R7865" s="21">
        <v>1</v>
      </c>
      <c r="S7865" s="21">
        <v>0</v>
      </c>
      <c r="T7865" s="21">
        <v>0</v>
      </c>
      <c r="U7865" s="21">
        <v>0</v>
      </c>
      <c r="V7865" s="21">
        <v>2</v>
      </c>
      <c r="W7865" s="21">
        <v>0</v>
      </c>
      <c r="X7865" s="21">
        <v>0</v>
      </c>
      <c r="Y7865" s="21">
        <v>0</v>
      </c>
      <c r="Z7865" s="21">
        <v>0</v>
      </c>
      <c r="AA7865" s="21">
        <v>0</v>
      </c>
      <c r="AB7865" s="21">
        <v>0</v>
      </c>
      <c r="AC7865" s="21">
        <v>0</v>
      </c>
      <c r="AD7865" s="21">
        <v>0</v>
      </c>
      <c r="AE7865" s="21">
        <v>0</v>
      </c>
      <c r="AF7865" s="21">
        <v>0</v>
      </c>
      <c r="AG7865" s="21">
        <v>0</v>
      </c>
      <c r="AH7865" s="21">
        <f t="shared" si="152"/>
        <v>128</v>
      </c>
      <c r="AI7865" s="21"/>
      <c r="AJ7865" s="21" t="s">
        <v>54</v>
      </c>
      <c r="AK7865" s="21" t="s">
        <v>95</v>
      </c>
      <c r="AL7865" s="21"/>
      <c r="AM7865" s="21" t="s">
        <v>3898</v>
      </c>
      <c r="AN7865" s="21">
        <v>-122.42892658333299</v>
      </c>
      <c r="AO7865" s="21">
        <v>37.786178483333302</v>
      </c>
      <c r="AP7865" s="21" t="s">
        <v>1915</v>
      </c>
    </row>
    <row r="7866" spans="1:42">
      <c r="A7866" s="20">
        <v>43867</v>
      </c>
      <c r="B7866" s="21">
        <v>4</v>
      </c>
      <c r="C7866" s="21">
        <v>228</v>
      </c>
      <c r="D7866" s="21">
        <v>14470</v>
      </c>
      <c r="E7866" t="s">
        <v>112</v>
      </c>
      <c r="F7866" s="21" t="s">
        <v>104</v>
      </c>
      <c r="G7866" s="21">
        <v>2</v>
      </c>
      <c r="H7866" s="21">
        <v>66</v>
      </c>
      <c r="I7866" s="23">
        <v>140</v>
      </c>
      <c r="J7866" s="21"/>
      <c r="K7866" s="21" t="s">
        <v>1092</v>
      </c>
      <c r="L7866" s="21"/>
      <c r="M7866" s="21"/>
      <c r="N7866" s="21" t="s">
        <v>44</v>
      </c>
      <c r="O7866" s="21">
        <v>170</v>
      </c>
      <c r="P7866" s="21"/>
      <c r="Q7866" s="21">
        <f t="shared" si="151"/>
        <v>5</v>
      </c>
      <c r="R7866" s="21">
        <v>1</v>
      </c>
      <c r="S7866" s="21">
        <v>0</v>
      </c>
      <c r="T7866" s="21">
        <v>0</v>
      </c>
      <c r="U7866" s="21">
        <v>0</v>
      </c>
      <c r="V7866" s="21">
        <v>3</v>
      </c>
      <c r="W7866" s="21">
        <v>2</v>
      </c>
      <c r="X7866" s="21">
        <v>0</v>
      </c>
      <c r="Y7866" s="21">
        <v>0</v>
      </c>
      <c r="Z7866" s="21">
        <v>0</v>
      </c>
      <c r="AA7866" s="21">
        <v>0</v>
      </c>
      <c r="AB7866" s="21">
        <v>0</v>
      </c>
      <c r="AC7866" s="21">
        <v>0</v>
      </c>
      <c r="AD7866" s="21">
        <v>0</v>
      </c>
      <c r="AE7866" s="21">
        <v>0</v>
      </c>
      <c r="AF7866" s="21">
        <v>0</v>
      </c>
      <c r="AG7866" s="21">
        <v>0</v>
      </c>
      <c r="AH7866" s="21">
        <f t="shared" si="152"/>
        <v>384</v>
      </c>
      <c r="AI7866" s="21"/>
      <c r="AJ7866" s="21"/>
      <c r="AK7866" s="21"/>
      <c r="AL7866" s="21" t="s">
        <v>3899</v>
      </c>
      <c r="AM7866" s="21" t="s">
        <v>3900</v>
      </c>
      <c r="AN7866" s="21">
        <v>-122.429515533333</v>
      </c>
      <c r="AO7866" s="21">
        <v>37.786095783333302</v>
      </c>
      <c r="AP7866" s="21" t="s">
        <v>1915</v>
      </c>
    </row>
    <row r="7867" spans="1:42">
      <c r="A7867" s="20">
        <v>43867</v>
      </c>
      <c r="B7867" s="21">
        <v>4</v>
      </c>
      <c r="C7867" s="21">
        <v>228</v>
      </c>
      <c r="D7867" s="21">
        <v>14470</v>
      </c>
      <c r="E7867" t="s">
        <v>112</v>
      </c>
      <c r="F7867" s="21" t="s">
        <v>104</v>
      </c>
      <c r="G7867" s="21">
        <v>2</v>
      </c>
      <c r="H7867" s="21">
        <v>66</v>
      </c>
      <c r="I7867" s="23">
        <v>128</v>
      </c>
      <c r="J7867" s="21"/>
      <c r="K7867" s="21" t="s">
        <v>1092</v>
      </c>
      <c r="L7867" s="21"/>
      <c r="M7867" s="21"/>
      <c r="N7867" s="21" t="s">
        <v>44</v>
      </c>
      <c r="O7867" s="21">
        <f>340/2</f>
        <v>170</v>
      </c>
      <c r="P7867" s="21"/>
      <c r="Q7867" s="21">
        <f t="shared" si="151"/>
        <v>5</v>
      </c>
      <c r="R7867" s="21">
        <v>1</v>
      </c>
      <c r="S7867" s="21">
        <v>0</v>
      </c>
      <c r="T7867" s="21">
        <v>0</v>
      </c>
      <c r="U7867" s="21">
        <v>0</v>
      </c>
      <c r="V7867" s="21">
        <v>3</v>
      </c>
      <c r="W7867" s="21">
        <v>2</v>
      </c>
      <c r="X7867" s="21">
        <v>0</v>
      </c>
      <c r="Y7867" s="21">
        <v>0</v>
      </c>
      <c r="Z7867" s="21">
        <v>0</v>
      </c>
      <c r="AA7867" s="21">
        <v>0</v>
      </c>
      <c r="AB7867" s="21">
        <v>0</v>
      </c>
      <c r="AC7867" s="21">
        <v>0</v>
      </c>
      <c r="AD7867" s="21">
        <v>0</v>
      </c>
      <c r="AE7867" s="21">
        <v>0</v>
      </c>
      <c r="AF7867" s="21">
        <v>0</v>
      </c>
      <c r="AG7867" s="21">
        <v>0</v>
      </c>
      <c r="AH7867" s="21">
        <f t="shared" si="152"/>
        <v>384</v>
      </c>
      <c r="AI7867" s="21"/>
      <c r="AJ7867" s="21"/>
      <c r="AK7867" s="21"/>
      <c r="AL7867" s="21" t="s">
        <v>3899</v>
      </c>
      <c r="AM7867" s="21" t="s">
        <v>3900</v>
      </c>
      <c r="AN7867" s="21">
        <v>-122.429515533333</v>
      </c>
      <c r="AO7867" s="21">
        <v>37.786095783333302</v>
      </c>
      <c r="AP7867" s="21" t="s">
        <v>1915</v>
      </c>
    </row>
    <row r="7868" spans="1:42">
      <c r="A7868" s="20">
        <v>43867</v>
      </c>
      <c r="B7868" s="21">
        <v>4</v>
      </c>
      <c r="C7868" s="21">
        <v>228</v>
      </c>
      <c r="D7868" s="21">
        <v>14470</v>
      </c>
      <c r="E7868" t="s">
        <v>112</v>
      </c>
      <c r="F7868" s="21" t="s">
        <v>104</v>
      </c>
      <c r="G7868" s="21">
        <v>2</v>
      </c>
      <c r="H7868" s="21">
        <v>67</v>
      </c>
      <c r="I7868" s="23">
        <v>100</v>
      </c>
      <c r="J7868" s="21"/>
      <c r="K7868" s="21" t="s">
        <v>1092</v>
      </c>
      <c r="L7868" s="21"/>
      <c r="M7868" s="21"/>
      <c r="N7868" s="21" t="s">
        <v>1703</v>
      </c>
      <c r="O7868" s="21">
        <f>60+39</f>
        <v>99</v>
      </c>
      <c r="P7868" s="21"/>
      <c r="Q7868" s="21">
        <f t="shared" si="151"/>
        <v>3</v>
      </c>
      <c r="R7868" s="21">
        <v>1</v>
      </c>
      <c r="S7868" s="21">
        <v>0</v>
      </c>
      <c r="T7868" s="21">
        <v>0</v>
      </c>
      <c r="U7868" s="21">
        <v>0</v>
      </c>
      <c r="V7868" s="21">
        <v>2</v>
      </c>
      <c r="W7868" s="21">
        <v>1</v>
      </c>
      <c r="X7868" s="21">
        <v>0</v>
      </c>
      <c r="Y7868" s="21">
        <v>0</v>
      </c>
      <c r="Z7868" s="21">
        <v>0</v>
      </c>
      <c r="AA7868" s="21">
        <v>0</v>
      </c>
      <c r="AB7868" s="21">
        <v>0</v>
      </c>
      <c r="AC7868" s="21">
        <v>0</v>
      </c>
      <c r="AD7868" s="21">
        <v>0</v>
      </c>
      <c r="AE7868" s="21">
        <v>0</v>
      </c>
      <c r="AF7868" s="21">
        <v>0</v>
      </c>
      <c r="AG7868" s="21">
        <v>0</v>
      </c>
      <c r="AH7868" s="21">
        <f t="shared" si="152"/>
        <v>224</v>
      </c>
      <c r="AI7868" s="21"/>
      <c r="AJ7868" s="21" t="s">
        <v>51</v>
      </c>
      <c r="AK7868" s="21" t="s">
        <v>52</v>
      </c>
      <c r="AL7868" s="21" t="s">
        <v>2567</v>
      </c>
      <c r="AM7868" s="21" t="s">
        <v>3901</v>
      </c>
      <c r="AN7868" s="21">
        <v>-122.426754116667</v>
      </c>
      <c r="AO7868" s="21">
        <v>37.78727825</v>
      </c>
      <c r="AP7868" s="21" t="s">
        <v>1915</v>
      </c>
    </row>
    <row r="7869" spans="1:42">
      <c r="A7869" s="20">
        <v>43867</v>
      </c>
      <c r="B7869" s="21">
        <v>4</v>
      </c>
      <c r="C7869" s="21">
        <v>228</v>
      </c>
      <c r="D7869" s="21">
        <v>14470</v>
      </c>
      <c r="E7869" t="s">
        <v>112</v>
      </c>
      <c r="F7869" s="21" t="s">
        <v>104</v>
      </c>
      <c r="G7869" s="21">
        <v>2</v>
      </c>
      <c r="H7869" s="21">
        <v>68</v>
      </c>
      <c r="I7869" s="23" t="s">
        <v>3902</v>
      </c>
      <c r="J7869" s="21"/>
      <c r="K7869" s="21" t="s">
        <v>595</v>
      </c>
      <c r="L7869" s="21"/>
      <c r="M7869" s="21"/>
      <c r="N7869" s="21" t="s">
        <v>44</v>
      </c>
      <c r="O7869" s="21">
        <f>60+41</f>
        <v>101</v>
      </c>
      <c r="P7869" s="21"/>
      <c r="Q7869" s="21">
        <f t="shared" si="151"/>
        <v>1</v>
      </c>
      <c r="R7869" s="21">
        <v>1</v>
      </c>
      <c r="S7869" s="21">
        <v>0</v>
      </c>
      <c r="T7869" s="21">
        <v>0</v>
      </c>
      <c r="U7869" s="21">
        <v>0</v>
      </c>
      <c r="V7869" s="21">
        <v>0</v>
      </c>
      <c r="W7869" s="21">
        <v>1</v>
      </c>
      <c r="X7869" s="21">
        <v>0</v>
      </c>
      <c r="Y7869" s="21">
        <v>0</v>
      </c>
      <c r="Z7869" s="21">
        <v>0</v>
      </c>
      <c r="AA7869" s="21">
        <v>0</v>
      </c>
      <c r="AB7869" s="21">
        <v>0</v>
      </c>
      <c r="AC7869" s="21">
        <v>0</v>
      </c>
      <c r="AD7869" s="21">
        <v>0</v>
      </c>
      <c r="AE7869" s="21">
        <v>0</v>
      </c>
      <c r="AF7869" s="21">
        <v>0</v>
      </c>
      <c r="AG7869" s="21">
        <v>0</v>
      </c>
      <c r="AH7869" s="21">
        <f t="shared" si="152"/>
        <v>96</v>
      </c>
      <c r="AI7869" s="21"/>
      <c r="AJ7869" s="21" t="s">
        <v>51</v>
      </c>
      <c r="AK7869" s="21" t="s">
        <v>52</v>
      </c>
      <c r="AL7869" s="21"/>
      <c r="AM7869" s="21" t="s">
        <v>3903</v>
      </c>
      <c r="AN7869" s="21">
        <v>-122.426757916667</v>
      </c>
      <c r="AO7869" s="21">
        <v>37.7872800833333</v>
      </c>
      <c r="AP7869" s="21" t="s">
        <v>1915</v>
      </c>
    </row>
    <row r="7870" spans="1:42">
      <c r="A7870" s="20">
        <v>43867</v>
      </c>
      <c r="B7870" s="21">
        <v>4</v>
      </c>
      <c r="C7870" s="21">
        <v>228</v>
      </c>
      <c r="D7870" s="21">
        <v>14470</v>
      </c>
      <c r="E7870" t="s">
        <v>112</v>
      </c>
      <c r="F7870" s="21" t="s">
        <v>104</v>
      </c>
      <c r="G7870" s="21">
        <v>2</v>
      </c>
      <c r="H7870" s="21">
        <v>69</v>
      </c>
      <c r="I7870" s="23" t="s">
        <v>3311</v>
      </c>
      <c r="J7870" s="21"/>
      <c r="K7870" s="21" t="s">
        <v>595</v>
      </c>
      <c r="L7870" s="21"/>
      <c r="M7870" s="21"/>
      <c r="N7870" s="21" t="s">
        <v>44</v>
      </c>
      <c r="O7870" s="21">
        <f>60+56</f>
        <v>116</v>
      </c>
      <c r="P7870" s="21"/>
      <c r="Q7870" s="21">
        <f t="shared" si="151"/>
        <v>3</v>
      </c>
      <c r="R7870" s="21">
        <v>1</v>
      </c>
      <c r="S7870" s="21">
        <v>0</v>
      </c>
      <c r="T7870" s="21">
        <v>0</v>
      </c>
      <c r="U7870" s="21">
        <v>0</v>
      </c>
      <c r="V7870" s="21">
        <v>0</v>
      </c>
      <c r="W7870" s="21">
        <v>3</v>
      </c>
      <c r="X7870" s="21">
        <v>0</v>
      </c>
      <c r="Y7870" s="21">
        <v>0</v>
      </c>
      <c r="Z7870" s="21">
        <v>0</v>
      </c>
      <c r="AA7870" s="21">
        <v>0</v>
      </c>
      <c r="AB7870" s="21">
        <v>0</v>
      </c>
      <c r="AC7870" s="21">
        <v>0</v>
      </c>
      <c r="AD7870" s="21">
        <v>0</v>
      </c>
      <c r="AE7870" s="21">
        <v>0</v>
      </c>
      <c r="AF7870" s="21">
        <v>0</v>
      </c>
      <c r="AG7870" s="21">
        <v>0</v>
      </c>
      <c r="AH7870" s="21">
        <f t="shared" si="152"/>
        <v>288</v>
      </c>
      <c r="AI7870" s="21"/>
      <c r="AJ7870" s="21" t="s">
        <v>51</v>
      </c>
      <c r="AK7870" s="21" t="s">
        <v>52</v>
      </c>
      <c r="AL7870" s="21"/>
      <c r="AM7870" s="21" t="s">
        <v>3904</v>
      </c>
      <c r="AN7870" s="21">
        <v>-122.42682853333299</v>
      </c>
      <c r="AO7870" s="21">
        <v>37.7876555666667</v>
      </c>
      <c r="AP7870" s="21" t="s">
        <v>1915</v>
      </c>
    </row>
    <row r="7871" spans="1:42">
      <c r="A7871" s="20">
        <v>43867</v>
      </c>
      <c r="B7871" s="21">
        <v>4</v>
      </c>
      <c r="C7871" s="21">
        <v>228</v>
      </c>
      <c r="D7871" s="21">
        <v>14470</v>
      </c>
      <c r="E7871" t="s">
        <v>112</v>
      </c>
      <c r="F7871" s="21" t="s">
        <v>104</v>
      </c>
      <c r="G7871" s="21">
        <v>2</v>
      </c>
      <c r="H7871" s="21">
        <v>70</v>
      </c>
      <c r="I7871" s="23" t="s">
        <v>3098</v>
      </c>
      <c r="J7871" s="21"/>
      <c r="K7871" s="21" t="s">
        <v>49</v>
      </c>
      <c r="L7871" s="21"/>
      <c r="M7871" s="21"/>
      <c r="N7871" s="21" t="s">
        <v>40</v>
      </c>
      <c r="O7871" s="21">
        <v>34</v>
      </c>
      <c r="P7871" s="21"/>
      <c r="Q7871" s="21">
        <f t="shared" si="151"/>
        <v>1</v>
      </c>
      <c r="R7871" s="21">
        <v>1</v>
      </c>
      <c r="S7871" s="21">
        <v>0</v>
      </c>
      <c r="T7871" s="21">
        <v>0</v>
      </c>
      <c r="U7871" s="21">
        <v>0</v>
      </c>
      <c r="V7871" s="21">
        <v>1</v>
      </c>
      <c r="W7871" s="21">
        <v>0</v>
      </c>
      <c r="X7871" s="21">
        <v>0</v>
      </c>
      <c r="Y7871" s="21">
        <v>0</v>
      </c>
      <c r="Z7871" s="21">
        <v>0</v>
      </c>
      <c r="AA7871" s="21">
        <v>0</v>
      </c>
      <c r="AB7871" s="21">
        <v>0</v>
      </c>
      <c r="AC7871" s="21">
        <v>0</v>
      </c>
      <c r="AD7871" s="21">
        <v>0</v>
      </c>
      <c r="AE7871" s="21">
        <v>0</v>
      </c>
      <c r="AF7871" s="21">
        <v>0</v>
      </c>
      <c r="AG7871" s="21">
        <v>0</v>
      </c>
      <c r="AH7871" s="21">
        <f t="shared" si="152"/>
        <v>64</v>
      </c>
      <c r="AI7871" s="21"/>
      <c r="AJ7871" s="21" t="s">
        <v>51</v>
      </c>
      <c r="AK7871" s="21" t="s">
        <v>52</v>
      </c>
      <c r="AL7871" s="21"/>
      <c r="AM7871" s="21" t="s">
        <v>3905</v>
      </c>
      <c r="AN7871" s="21">
        <v>-122.425873433333</v>
      </c>
      <c r="AO7871" s="21">
        <v>37.787973866666697</v>
      </c>
      <c r="AP7871" s="21" t="s">
        <v>1915</v>
      </c>
    </row>
    <row r="7872" spans="1:42">
      <c r="A7872" s="20">
        <v>43867</v>
      </c>
      <c r="B7872" s="21">
        <v>4</v>
      </c>
      <c r="C7872" s="21">
        <v>228</v>
      </c>
      <c r="D7872" s="21">
        <v>14470</v>
      </c>
      <c r="E7872" t="s">
        <v>112</v>
      </c>
      <c r="F7872" s="21" t="s">
        <v>104</v>
      </c>
      <c r="G7872" s="21">
        <v>2</v>
      </c>
      <c r="H7872" s="21">
        <v>71</v>
      </c>
      <c r="I7872" s="23" t="s">
        <v>3317</v>
      </c>
      <c r="J7872" s="21"/>
      <c r="K7872" s="21" t="s">
        <v>638</v>
      </c>
      <c r="L7872" s="21"/>
      <c r="M7872" s="21"/>
      <c r="N7872" s="21" t="s">
        <v>44</v>
      </c>
      <c r="O7872" s="21">
        <f>60+24</f>
        <v>84</v>
      </c>
      <c r="P7872" s="21"/>
      <c r="Q7872" s="21">
        <f t="shared" ref="Q7872:Q7935" si="153">SUM(S7872:AE7872)</f>
        <v>1</v>
      </c>
      <c r="R7872" s="21">
        <v>1</v>
      </c>
      <c r="S7872" s="21">
        <v>0</v>
      </c>
      <c r="T7872" s="21">
        <v>0</v>
      </c>
      <c r="U7872" s="21">
        <v>0</v>
      </c>
      <c r="V7872" s="21">
        <v>0</v>
      </c>
      <c r="W7872" s="21">
        <v>1</v>
      </c>
      <c r="X7872" s="21">
        <v>0</v>
      </c>
      <c r="Y7872" s="21">
        <v>0</v>
      </c>
      <c r="Z7872" s="21">
        <v>0</v>
      </c>
      <c r="AA7872" s="21">
        <v>0</v>
      </c>
      <c r="AB7872" s="21">
        <v>0</v>
      </c>
      <c r="AC7872" s="21">
        <v>0</v>
      </c>
      <c r="AD7872" s="21">
        <v>0</v>
      </c>
      <c r="AE7872" s="21">
        <v>0</v>
      </c>
      <c r="AF7872" s="21">
        <v>0</v>
      </c>
      <c r="AG7872" s="21">
        <v>0</v>
      </c>
      <c r="AH7872" s="21">
        <f t="shared" ref="AH7872:AH7935" si="154">(S7872*16)+(T7872*20)+(U7872*32)+(V7872*64)+(W7872*96)</f>
        <v>96</v>
      </c>
      <c r="AI7872" s="21"/>
      <c r="AJ7872" s="21" t="s">
        <v>54</v>
      </c>
      <c r="AK7872" s="21" t="s">
        <v>52</v>
      </c>
      <c r="AL7872" s="21" t="s">
        <v>3906</v>
      </c>
      <c r="AM7872" s="21" t="s">
        <v>3907</v>
      </c>
      <c r="AN7872" s="21">
        <v>-122.424946566667</v>
      </c>
      <c r="AO7872" s="21">
        <v>37.788077016666698</v>
      </c>
      <c r="AP7872" s="21" t="s">
        <v>1915</v>
      </c>
    </row>
    <row r="7873" spans="1:42">
      <c r="A7873" s="20">
        <v>43867</v>
      </c>
      <c r="B7873" s="21">
        <v>4</v>
      </c>
      <c r="C7873" s="21">
        <v>228</v>
      </c>
      <c r="D7873" s="21">
        <v>14470</v>
      </c>
      <c r="E7873" t="s">
        <v>112</v>
      </c>
      <c r="F7873" s="21" t="s">
        <v>104</v>
      </c>
      <c r="G7873" s="21">
        <v>2</v>
      </c>
      <c r="H7873" s="21">
        <v>72</v>
      </c>
      <c r="I7873" s="23" t="s">
        <v>3908</v>
      </c>
      <c r="J7873" s="21"/>
      <c r="K7873" s="21" t="s">
        <v>46</v>
      </c>
      <c r="L7873" s="21"/>
      <c r="M7873" s="21"/>
      <c r="N7873" s="21" t="s">
        <v>40</v>
      </c>
      <c r="O7873" s="21">
        <v>39</v>
      </c>
      <c r="P7873" s="21"/>
      <c r="Q7873" s="21">
        <f t="shared" si="153"/>
        <v>1</v>
      </c>
      <c r="R7873" s="21">
        <v>1</v>
      </c>
      <c r="S7873" s="21">
        <v>0</v>
      </c>
      <c r="T7873" s="21">
        <v>0</v>
      </c>
      <c r="U7873" s="21">
        <v>1</v>
      </c>
      <c r="V7873" s="21">
        <v>0</v>
      </c>
      <c r="W7873" s="21">
        <v>0</v>
      </c>
      <c r="X7873" s="21">
        <v>0</v>
      </c>
      <c r="Y7873" s="21">
        <v>0</v>
      </c>
      <c r="Z7873" s="21">
        <v>0</v>
      </c>
      <c r="AA7873" s="21">
        <v>0</v>
      </c>
      <c r="AB7873" s="21">
        <v>0</v>
      </c>
      <c r="AC7873" s="21">
        <v>0</v>
      </c>
      <c r="AD7873" s="21">
        <v>0</v>
      </c>
      <c r="AE7873" s="21">
        <v>0</v>
      </c>
      <c r="AF7873" s="21">
        <v>0</v>
      </c>
      <c r="AG7873" s="21">
        <v>0</v>
      </c>
      <c r="AH7873" s="21">
        <f t="shared" si="154"/>
        <v>32</v>
      </c>
      <c r="AI7873" s="21"/>
      <c r="AJ7873" s="21" t="s">
        <v>54</v>
      </c>
      <c r="AK7873" s="21" t="s">
        <v>52</v>
      </c>
      <c r="AL7873" s="21"/>
      <c r="AM7873" s="21" t="s">
        <v>3909</v>
      </c>
      <c r="AN7873" s="21">
        <v>-122.42461426666701</v>
      </c>
      <c r="AO7873" s="21">
        <v>37.788093183333302</v>
      </c>
      <c r="AP7873" s="21" t="s">
        <v>1915</v>
      </c>
    </row>
    <row r="7874" spans="1:42">
      <c r="A7874" s="20">
        <v>43867</v>
      </c>
      <c r="B7874" s="21">
        <v>4</v>
      </c>
      <c r="C7874" s="21">
        <v>228</v>
      </c>
      <c r="D7874" s="21">
        <v>14470</v>
      </c>
      <c r="E7874" t="s">
        <v>112</v>
      </c>
      <c r="F7874" s="21" t="s">
        <v>104</v>
      </c>
      <c r="G7874" s="21">
        <v>2</v>
      </c>
      <c r="H7874" s="21">
        <v>73</v>
      </c>
      <c r="I7874" s="23" t="s">
        <v>3910</v>
      </c>
      <c r="J7874" s="21"/>
      <c r="K7874" s="21" t="s">
        <v>46</v>
      </c>
      <c r="L7874" s="21"/>
      <c r="M7874" s="21"/>
      <c r="N7874" s="21" t="s">
        <v>44</v>
      </c>
      <c r="O7874" s="21">
        <f>60+37</f>
        <v>97</v>
      </c>
      <c r="P7874" s="21"/>
      <c r="Q7874" s="21">
        <f t="shared" si="153"/>
        <v>1</v>
      </c>
      <c r="R7874" s="21">
        <v>1</v>
      </c>
      <c r="S7874" s="21">
        <v>0</v>
      </c>
      <c r="T7874" s="21">
        <v>0</v>
      </c>
      <c r="U7874" s="21">
        <v>0</v>
      </c>
      <c r="V7874" s="21">
        <v>0</v>
      </c>
      <c r="W7874" s="21">
        <v>1</v>
      </c>
      <c r="X7874" s="21">
        <v>0</v>
      </c>
      <c r="Y7874" s="21">
        <v>0</v>
      </c>
      <c r="Z7874" s="21">
        <v>0</v>
      </c>
      <c r="AA7874" s="21">
        <v>0</v>
      </c>
      <c r="AB7874" s="21">
        <v>0</v>
      </c>
      <c r="AC7874" s="21">
        <v>0</v>
      </c>
      <c r="AD7874" s="21">
        <v>0</v>
      </c>
      <c r="AE7874" s="21">
        <v>0</v>
      </c>
      <c r="AF7874" s="21">
        <v>0</v>
      </c>
      <c r="AG7874" s="21">
        <v>0</v>
      </c>
      <c r="AH7874" s="21">
        <f t="shared" si="154"/>
        <v>96</v>
      </c>
      <c r="AI7874" s="21"/>
      <c r="AJ7874" s="21" t="s">
        <v>54</v>
      </c>
      <c r="AK7874" s="21" t="s">
        <v>52</v>
      </c>
      <c r="AL7874" s="21" t="s">
        <v>3911</v>
      </c>
      <c r="AM7874" s="21" t="s">
        <v>3912</v>
      </c>
      <c r="AN7874" s="21">
        <v>-122.42405718333301</v>
      </c>
      <c r="AO7874" s="21">
        <v>37.788239433333302</v>
      </c>
      <c r="AP7874" s="21" t="s">
        <v>1915</v>
      </c>
    </row>
    <row r="7875" spans="1:42">
      <c r="A7875" s="20">
        <v>43867</v>
      </c>
      <c r="B7875" s="21">
        <v>4</v>
      </c>
      <c r="C7875" s="21">
        <v>228</v>
      </c>
      <c r="D7875" s="21">
        <v>14470</v>
      </c>
      <c r="E7875" t="s">
        <v>112</v>
      </c>
      <c r="F7875" s="21" t="s">
        <v>104</v>
      </c>
      <c r="G7875" s="21">
        <v>2</v>
      </c>
      <c r="H7875" s="21">
        <v>74</v>
      </c>
      <c r="I7875" s="23" t="s">
        <v>3171</v>
      </c>
      <c r="J7875" s="21"/>
      <c r="K7875" s="21" t="s">
        <v>638</v>
      </c>
      <c r="L7875" s="21"/>
      <c r="M7875" s="21"/>
      <c r="N7875" s="21" t="s">
        <v>44</v>
      </c>
      <c r="O7875" s="21">
        <f>60+60+8</f>
        <v>128</v>
      </c>
      <c r="P7875" s="21"/>
      <c r="Q7875" s="21">
        <f t="shared" si="153"/>
        <v>2</v>
      </c>
      <c r="R7875" s="21">
        <v>1</v>
      </c>
      <c r="S7875" s="21">
        <v>0</v>
      </c>
      <c r="T7875" s="21">
        <v>0</v>
      </c>
      <c r="U7875" s="21">
        <v>0</v>
      </c>
      <c r="V7875" s="21">
        <v>2</v>
      </c>
      <c r="W7875" s="21">
        <v>0</v>
      </c>
      <c r="X7875" s="21">
        <v>0</v>
      </c>
      <c r="Y7875" s="21">
        <v>0</v>
      </c>
      <c r="Z7875" s="21">
        <v>0</v>
      </c>
      <c r="AA7875" s="21">
        <v>0</v>
      </c>
      <c r="AB7875" s="21">
        <v>0</v>
      </c>
      <c r="AC7875" s="21">
        <v>0</v>
      </c>
      <c r="AD7875" s="21">
        <v>0</v>
      </c>
      <c r="AE7875" s="21">
        <v>0</v>
      </c>
      <c r="AF7875" s="21">
        <v>0</v>
      </c>
      <c r="AG7875" s="21">
        <v>0</v>
      </c>
      <c r="AH7875" s="21">
        <f t="shared" si="154"/>
        <v>128</v>
      </c>
      <c r="AI7875" s="21"/>
      <c r="AJ7875" s="21" t="s">
        <v>51</v>
      </c>
      <c r="AK7875" s="21" t="s">
        <v>52</v>
      </c>
      <c r="AL7875" s="21" t="s">
        <v>3913</v>
      </c>
      <c r="AM7875" s="21" t="s">
        <v>3914</v>
      </c>
      <c r="AN7875" s="21">
        <v>-122.425212866667</v>
      </c>
      <c r="AO7875" s="21">
        <v>37.787676533333297</v>
      </c>
      <c r="AP7875" s="21" t="s">
        <v>1915</v>
      </c>
    </row>
    <row r="7876" spans="1:42">
      <c r="A7876" s="20">
        <v>43867</v>
      </c>
      <c r="B7876" s="21">
        <v>4</v>
      </c>
      <c r="C7876" s="21">
        <v>228</v>
      </c>
      <c r="D7876" s="21">
        <v>14470</v>
      </c>
      <c r="E7876" t="s">
        <v>112</v>
      </c>
      <c r="F7876" s="21" t="s">
        <v>104</v>
      </c>
      <c r="G7876" s="21">
        <v>2</v>
      </c>
      <c r="H7876" s="21">
        <v>75</v>
      </c>
      <c r="I7876" s="23" t="s">
        <v>3915</v>
      </c>
      <c r="J7876" s="21"/>
      <c r="K7876" s="21" t="s">
        <v>638</v>
      </c>
      <c r="L7876" s="21"/>
      <c r="M7876" s="21"/>
      <c r="N7876" s="21" t="s">
        <v>44</v>
      </c>
      <c r="O7876" s="21">
        <f>60+60+30</f>
        <v>150</v>
      </c>
      <c r="P7876" s="21"/>
      <c r="Q7876" s="21">
        <f t="shared" si="153"/>
        <v>1</v>
      </c>
      <c r="R7876" s="21">
        <v>1</v>
      </c>
      <c r="S7876" s="21">
        <v>0</v>
      </c>
      <c r="T7876" s="21">
        <v>0</v>
      </c>
      <c r="U7876" s="21">
        <v>0</v>
      </c>
      <c r="V7876" s="21">
        <v>0</v>
      </c>
      <c r="W7876" s="21">
        <v>1</v>
      </c>
      <c r="X7876" s="21">
        <v>0</v>
      </c>
      <c r="Y7876" s="21">
        <v>0</v>
      </c>
      <c r="Z7876" s="21">
        <v>0</v>
      </c>
      <c r="AA7876" s="21">
        <v>0</v>
      </c>
      <c r="AB7876" s="21">
        <v>0</v>
      </c>
      <c r="AC7876" s="21">
        <v>0</v>
      </c>
      <c r="AD7876" s="21">
        <v>0</v>
      </c>
      <c r="AE7876" s="21">
        <v>0</v>
      </c>
      <c r="AF7876" s="21">
        <v>0</v>
      </c>
      <c r="AG7876" s="21">
        <v>0</v>
      </c>
      <c r="AH7876" s="21">
        <f t="shared" si="154"/>
        <v>96</v>
      </c>
      <c r="AI7876" s="21"/>
      <c r="AJ7876" s="21" t="s">
        <v>3023</v>
      </c>
      <c r="AK7876" s="21" t="s">
        <v>52</v>
      </c>
      <c r="AL7876" s="21" t="s">
        <v>2788</v>
      </c>
      <c r="AM7876" s="21" t="s">
        <v>3916</v>
      </c>
      <c r="AN7876" s="21">
        <v>-122.425145366667</v>
      </c>
      <c r="AO7876" s="21">
        <v>37.7876077833333</v>
      </c>
      <c r="AP7876" s="21" t="s">
        <v>1915</v>
      </c>
    </row>
    <row r="7877" spans="1:42">
      <c r="A7877" s="20">
        <v>43867</v>
      </c>
      <c r="B7877" s="21">
        <v>4</v>
      </c>
      <c r="C7877" s="21">
        <v>228</v>
      </c>
      <c r="D7877" s="21">
        <v>14470</v>
      </c>
      <c r="E7877" t="s">
        <v>112</v>
      </c>
      <c r="F7877" s="21" t="s">
        <v>104</v>
      </c>
      <c r="G7877" s="21">
        <v>2</v>
      </c>
      <c r="H7877" s="21">
        <v>76</v>
      </c>
      <c r="I7877" s="23">
        <v>1452</v>
      </c>
      <c r="J7877" s="21"/>
      <c r="K7877" s="21" t="s">
        <v>49</v>
      </c>
      <c r="L7877" s="21"/>
      <c r="M7877" s="21"/>
      <c r="N7877" s="21" t="s">
        <v>44</v>
      </c>
      <c r="O7877" s="21">
        <f>60+38</f>
        <v>98</v>
      </c>
      <c r="P7877" s="21"/>
      <c r="Q7877" s="21">
        <f t="shared" si="153"/>
        <v>2</v>
      </c>
      <c r="R7877" s="21">
        <v>1</v>
      </c>
      <c r="S7877" s="21">
        <v>0</v>
      </c>
      <c r="T7877" s="21">
        <v>0</v>
      </c>
      <c r="U7877" s="21">
        <v>1</v>
      </c>
      <c r="V7877" s="21">
        <v>0</v>
      </c>
      <c r="W7877" s="21">
        <v>1</v>
      </c>
      <c r="X7877" s="21">
        <v>0</v>
      </c>
      <c r="Y7877" s="21">
        <v>0</v>
      </c>
      <c r="Z7877" s="21">
        <v>0</v>
      </c>
      <c r="AA7877" s="21">
        <v>0</v>
      </c>
      <c r="AB7877" s="21">
        <v>0</v>
      </c>
      <c r="AC7877" s="21">
        <v>0</v>
      </c>
      <c r="AD7877" s="21">
        <v>0</v>
      </c>
      <c r="AE7877" s="21">
        <v>0</v>
      </c>
      <c r="AF7877" s="21">
        <v>0</v>
      </c>
      <c r="AG7877" s="21">
        <v>0</v>
      </c>
      <c r="AH7877" s="21">
        <f t="shared" si="154"/>
        <v>128</v>
      </c>
      <c r="AI7877" s="21"/>
      <c r="AJ7877" s="21" t="s">
        <v>54</v>
      </c>
      <c r="AK7877" s="21" t="s">
        <v>95</v>
      </c>
      <c r="AL7877" s="21" t="s">
        <v>2111</v>
      </c>
      <c r="AM7877" s="21" t="s">
        <v>3917</v>
      </c>
      <c r="AN7877" s="21">
        <v>-122.42435906666699</v>
      </c>
      <c r="AO7877" s="21">
        <v>37.787661416666701</v>
      </c>
      <c r="AP7877" s="21" t="s">
        <v>1915</v>
      </c>
    </row>
    <row r="7878" spans="1:42">
      <c r="A7878" s="20">
        <v>43867</v>
      </c>
      <c r="B7878" s="21">
        <v>4</v>
      </c>
      <c r="C7878" s="21">
        <v>228</v>
      </c>
      <c r="D7878" s="21">
        <v>14470</v>
      </c>
      <c r="E7878" t="s">
        <v>112</v>
      </c>
      <c r="F7878" s="21" t="s">
        <v>104</v>
      </c>
      <c r="G7878" s="21">
        <v>2</v>
      </c>
      <c r="H7878" s="21">
        <v>77</v>
      </c>
      <c r="I7878" s="23" t="s">
        <v>3918</v>
      </c>
      <c r="J7878" s="21"/>
      <c r="K7878" s="21" t="s">
        <v>49</v>
      </c>
      <c r="L7878" s="21"/>
      <c r="M7878" s="21"/>
      <c r="N7878" s="21" t="s">
        <v>44</v>
      </c>
      <c r="O7878" s="21">
        <f>60+37</f>
        <v>97</v>
      </c>
      <c r="P7878" s="21"/>
      <c r="Q7878" s="21">
        <f t="shared" si="153"/>
        <v>2</v>
      </c>
      <c r="R7878" s="21">
        <v>1</v>
      </c>
      <c r="S7878" s="21">
        <v>0</v>
      </c>
      <c r="T7878" s="21">
        <v>0</v>
      </c>
      <c r="U7878" s="21">
        <v>0</v>
      </c>
      <c r="V7878" s="21">
        <v>1</v>
      </c>
      <c r="W7878" s="21">
        <v>1</v>
      </c>
      <c r="X7878" s="21">
        <v>0</v>
      </c>
      <c r="Y7878" s="21">
        <v>0</v>
      </c>
      <c r="Z7878" s="21">
        <v>0</v>
      </c>
      <c r="AA7878" s="21">
        <v>0</v>
      </c>
      <c r="AB7878" s="21">
        <v>0</v>
      </c>
      <c r="AC7878" s="21">
        <v>0</v>
      </c>
      <c r="AD7878" s="21">
        <v>0</v>
      </c>
      <c r="AE7878" s="21">
        <v>0</v>
      </c>
      <c r="AF7878" s="21">
        <v>0</v>
      </c>
      <c r="AG7878" s="21">
        <v>0</v>
      </c>
      <c r="AH7878" s="21">
        <f t="shared" si="154"/>
        <v>160</v>
      </c>
      <c r="AI7878" s="21"/>
      <c r="AJ7878" s="21" t="s">
        <v>54</v>
      </c>
      <c r="AK7878" s="21" t="s">
        <v>95</v>
      </c>
      <c r="AL7878" s="21"/>
      <c r="AM7878" s="21" t="s">
        <v>3919</v>
      </c>
      <c r="AN7878" s="21">
        <v>-122.42457165</v>
      </c>
      <c r="AO7878" s="21">
        <v>37.787641149999999</v>
      </c>
      <c r="AP7878" s="21" t="s">
        <v>1915</v>
      </c>
    </row>
    <row r="7879" spans="1:42">
      <c r="A7879" s="20">
        <v>43867</v>
      </c>
      <c r="B7879" s="21">
        <v>4</v>
      </c>
      <c r="C7879" s="21">
        <v>228</v>
      </c>
      <c r="D7879" s="21">
        <v>14470</v>
      </c>
      <c r="E7879" t="s">
        <v>112</v>
      </c>
      <c r="F7879" s="21" t="s">
        <v>104</v>
      </c>
      <c r="G7879" s="21">
        <v>2</v>
      </c>
      <c r="H7879" s="21">
        <v>78</v>
      </c>
      <c r="I7879" s="23">
        <v>1498</v>
      </c>
      <c r="J7879" s="21"/>
      <c r="K7879" s="21" t="s">
        <v>49</v>
      </c>
      <c r="L7879" s="21"/>
      <c r="M7879" s="21"/>
      <c r="N7879" s="21" t="s">
        <v>44</v>
      </c>
      <c r="O7879" s="21">
        <f>60+8</f>
        <v>68</v>
      </c>
      <c r="P7879" s="21"/>
      <c r="Q7879" s="21">
        <f t="shared" si="153"/>
        <v>2</v>
      </c>
      <c r="R7879" s="21">
        <v>1</v>
      </c>
      <c r="S7879" s="21">
        <v>0</v>
      </c>
      <c r="T7879" s="21">
        <v>0</v>
      </c>
      <c r="U7879" s="21">
        <v>0</v>
      </c>
      <c r="V7879" s="21">
        <v>2</v>
      </c>
      <c r="W7879" s="21">
        <v>0</v>
      </c>
      <c r="X7879" s="21">
        <v>0</v>
      </c>
      <c r="Y7879" s="21">
        <v>0</v>
      </c>
      <c r="Z7879" s="21">
        <v>0</v>
      </c>
      <c r="AA7879" s="21">
        <v>0</v>
      </c>
      <c r="AB7879" s="21">
        <v>0</v>
      </c>
      <c r="AC7879" s="21">
        <v>0</v>
      </c>
      <c r="AD7879" s="21">
        <v>0</v>
      </c>
      <c r="AE7879" s="21">
        <v>0</v>
      </c>
      <c r="AF7879" s="21">
        <v>0</v>
      </c>
      <c r="AG7879" s="21">
        <v>0</v>
      </c>
      <c r="AH7879" s="21">
        <f t="shared" si="154"/>
        <v>128</v>
      </c>
      <c r="AI7879" s="21"/>
      <c r="AJ7879" s="21" t="s">
        <v>54</v>
      </c>
      <c r="AK7879" s="21" t="s">
        <v>95</v>
      </c>
      <c r="AL7879" s="21"/>
      <c r="AM7879" s="21" t="s">
        <v>3920</v>
      </c>
      <c r="AN7879" s="21">
        <v>-122.42470868333299</v>
      </c>
      <c r="AO7879" s="21">
        <v>37.787657266666599</v>
      </c>
      <c r="AP7879" s="21" t="s">
        <v>1915</v>
      </c>
    </row>
    <row r="7880" spans="1:42">
      <c r="A7880" s="20">
        <v>43867</v>
      </c>
      <c r="B7880" s="21">
        <v>4</v>
      </c>
      <c r="C7880" s="21">
        <v>228</v>
      </c>
      <c r="D7880" s="21">
        <v>14470</v>
      </c>
      <c r="E7880" t="s">
        <v>112</v>
      </c>
      <c r="F7880" s="21" t="s">
        <v>104</v>
      </c>
      <c r="G7880" s="21">
        <v>2</v>
      </c>
      <c r="H7880" s="21">
        <v>79</v>
      </c>
      <c r="I7880" s="23">
        <v>1499</v>
      </c>
      <c r="J7880" s="21"/>
      <c r="K7880" s="21" t="s">
        <v>49</v>
      </c>
      <c r="L7880" s="21"/>
      <c r="M7880" s="21"/>
      <c r="N7880" s="21" t="s">
        <v>44</v>
      </c>
      <c r="O7880" s="21">
        <f>60+4</f>
        <v>64</v>
      </c>
      <c r="P7880" s="21"/>
      <c r="Q7880" s="21">
        <f t="shared" si="153"/>
        <v>3</v>
      </c>
      <c r="R7880" s="21">
        <v>1</v>
      </c>
      <c r="S7880" s="21">
        <v>0</v>
      </c>
      <c r="T7880" s="21">
        <v>0</v>
      </c>
      <c r="U7880" s="21">
        <v>0</v>
      </c>
      <c r="V7880" s="21">
        <v>1</v>
      </c>
      <c r="W7880" s="21">
        <v>2</v>
      </c>
      <c r="X7880" s="21">
        <v>0</v>
      </c>
      <c r="Y7880" s="21">
        <v>0</v>
      </c>
      <c r="Z7880" s="21">
        <v>0</v>
      </c>
      <c r="AA7880" s="21">
        <v>0</v>
      </c>
      <c r="AB7880" s="21">
        <v>0</v>
      </c>
      <c r="AC7880" s="21">
        <v>0</v>
      </c>
      <c r="AD7880" s="21">
        <v>0</v>
      </c>
      <c r="AE7880" s="21">
        <v>0</v>
      </c>
      <c r="AF7880" s="21">
        <v>0</v>
      </c>
      <c r="AG7880" s="21">
        <v>0</v>
      </c>
      <c r="AH7880" s="21">
        <f t="shared" si="154"/>
        <v>256</v>
      </c>
      <c r="AI7880" s="21"/>
      <c r="AJ7880" s="21" t="s">
        <v>54</v>
      </c>
      <c r="AK7880" s="21" t="s">
        <v>95</v>
      </c>
      <c r="AL7880" s="21" t="s">
        <v>3921</v>
      </c>
      <c r="AM7880" s="21" t="s">
        <v>3922</v>
      </c>
      <c r="AN7880" s="21">
        <v>-122.42473168333299</v>
      </c>
      <c r="AO7880" s="21">
        <v>37.787633883333299</v>
      </c>
      <c r="AP7880" s="21" t="s">
        <v>1915</v>
      </c>
    </row>
    <row r="7881" spans="1:42">
      <c r="A7881" s="20">
        <v>43867</v>
      </c>
      <c r="B7881" s="21">
        <v>4</v>
      </c>
      <c r="C7881" s="21">
        <v>228</v>
      </c>
      <c r="D7881" s="21">
        <v>14470</v>
      </c>
      <c r="E7881" t="s">
        <v>112</v>
      </c>
      <c r="F7881" s="21" t="s">
        <v>104</v>
      </c>
      <c r="G7881" s="21">
        <v>2</v>
      </c>
      <c r="H7881" s="21">
        <v>80</v>
      </c>
      <c r="I7881" s="23" t="s">
        <v>3337</v>
      </c>
      <c r="J7881" s="21"/>
      <c r="K7881" s="21" t="s">
        <v>3923</v>
      </c>
      <c r="L7881" s="21"/>
      <c r="M7881" s="21"/>
      <c r="N7881" s="21" t="s">
        <v>44</v>
      </c>
      <c r="O7881" s="21">
        <f>60+41</f>
        <v>101</v>
      </c>
      <c r="P7881" s="21"/>
      <c r="Q7881" s="21">
        <f t="shared" si="153"/>
        <v>2</v>
      </c>
      <c r="R7881" s="21">
        <v>1</v>
      </c>
      <c r="S7881" s="21">
        <v>0</v>
      </c>
      <c r="T7881" s="21">
        <v>0</v>
      </c>
      <c r="U7881" s="21">
        <v>0</v>
      </c>
      <c r="V7881" s="21">
        <v>2</v>
      </c>
      <c r="W7881" s="21">
        <v>0</v>
      </c>
      <c r="X7881" s="21">
        <v>0</v>
      </c>
      <c r="Y7881" s="21">
        <v>0</v>
      </c>
      <c r="Z7881" s="21">
        <v>0</v>
      </c>
      <c r="AA7881" s="21">
        <v>0</v>
      </c>
      <c r="AB7881" s="21">
        <v>0</v>
      </c>
      <c r="AC7881" s="21">
        <v>0</v>
      </c>
      <c r="AD7881" s="21">
        <v>0</v>
      </c>
      <c r="AE7881" s="21">
        <v>0</v>
      </c>
      <c r="AF7881" s="21">
        <v>0</v>
      </c>
      <c r="AG7881" s="21">
        <v>0</v>
      </c>
      <c r="AH7881" s="21">
        <f t="shared" si="154"/>
        <v>128</v>
      </c>
      <c r="AI7881" s="21"/>
      <c r="AJ7881" s="21" t="s">
        <v>54</v>
      </c>
      <c r="AK7881" s="21" t="s">
        <v>95</v>
      </c>
      <c r="AL7881" s="21" t="s">
        <v>3924</v>
      </c>
      <c r="AM7881" s="21" t="s">
        <v>3925</v>
      </c>
      <c r="AN7881" s="21">
        <v>-122.425002733333</v>
      </c>
      <c r="AO7881" s="21">
        <v>37.787617150000003</v>
      </c>
      <c r="AP7881" s="21" t="s">
        <v>1915</v>
      </c>
    </row>
    <row r="7882" spans="1:42">
      <c r="A7882" s="20">
        <v>43867</v>
      </c>
      <c r="B7882" s="21">
        <v>4</v>
      </c>
      <c r="C7882" s="21">
        <v>228</v>
      </c>
      <c r="D7882" s="21">
        <v>14470</v>
      </c>
      <c r="E7882" t="s">
        <v>112</v>
      </c>
      <c r="F7882" s="21" t="s">
        <v>104</v>
      </c>
      <c r="G7882" s="21">
        <v>2</v>
      </c>
      <c r="H7882" s="21">
        <v>81</v>
      </c>
      <c r="I7882" s="23" t="s">
        <v>3926</v>
      </c>
      <c r="J7882" s="21"/>
      <c r="K7882" s="21" t="s">
        <v>49</v>
      </c>
      <c r="L7882" s="21"/>
      <c r="M7882" s="21"/>
      <c r="N7882" s="21" t="s">
        <v>40</v>
      </c>
      <c r="O7882" s="21">
        <v>42</v>
      </c>
      <c r="P7882" s="21"/>
      <c r="Q7882" s="21">
        <f t="shared" si="153"/>
        <v>1</v>
      </c>
      <c r="R7882" s="21">
        <v>1</v>
      </c>
      <c r="S7882" s="21">
        <v>0</v>
      </c>
      <c r="T7882" s="21">
        <v>0</v>
      </c>
      <c r="U7882" s="21">
        <v>0</v>
      </c>
      <c r="V7882" s="21">
        <v>0</v>
      </c>
      <c r="W7882" s="21">
        <v>1</v>
      </c>
      <c r="X7882" s="21">
        <v>0</v>
      </c>
      <c r="Y7882" s="21">
        <v>0</v>
      </c>
      <c r="Z7882" s="21">
        <v>0</v>
      </c>
      <c r="AA7882" s="21">
        <v>0</v>
      </c>
      <c r="AB7882" s="21">
        <v>0</v>
      </c>
      <c r="AC7882" s="21">
        <v>0</v>
      </c>
      <c r="AD7882" s="21">
        <v>0</v>
      </c>
      <c r="AE7882" s="21">
        <v>0</v>
      </c>
      <c r="AF7882" s="21">
        <v>0</v>
      </c>
      <c r="AG7882" s="21">
        <v>0</v>
      </c>
      <c r="AH7882" s="21">
        <f t="shared" si="154"/>
        <v>96</v>
      </c>
      <c r="AI7882" s="21"/>
      <c r="AJ7882" s="21" t="s">
        <v>54</v>
      </c>
      <c r="AK7882" s="21" t="s">
        <v>95</v>
      </c>
      <c r="AL7882" s="21" t="s">
        <v>2193</v>
      </c>
      <c r="AM7882" s="21" t="s">
        <v>3927</v>
      </c>
      <c r="AN7882" s="21">
        <v>-122.431106483333</v>
      </c>
      <c r="AO7882" s="21">
        <v>37.786389100000001</v>
      </c>
      <c r="AP7882" s="21" t="s">
        <v>1915</v>
      </c>
    </row>
    <row r="7883" spans="1:42">
      <c r="A7883" s="20">
        <v>43867</v>
      </c>
      <c r="B7883" s="21">
        <v>4</v>
      </c>
      <c r="C7883" s="21">
        <v>228</v>
      </c>
      <c r="D7883" s="21">
        <v>14470</v>
      </c>
      <c r="E7883" t="s">
        <v>112</v>
      </c>
      <c r="F7883" s="21" t="s">
        <v>104</v>
      </c>
      <c r="G7883" s="21">
        <v>2</v>
      </c>
      <c r="H7883" s="21">
        <v>82</v>
      </c>
      <c r="I7883" s="23" t="s">
        <v>3928</v>
      </c>
      <c r="J7883" s="21"/>
      <c r="K7883" s="21" t="s">
        <v>49</v>
      </c>
      <c r="L7883" s="21"/>
      <c r="M7883" s="21"/>
      <c r="N7883" s="21" t="s">
        <v>44</v>
      </c>
      <c r="O7883" s="21">
        <f>60+60+28</f>
        <v>148</v>
      </c>
      <c r="P7883" s="21"/>
      <c r="Q7883" s="21">
        <f t="shared" si="153"/>
        <v>2</v>
      </c>
      <c r="R7883" s="21">
        <v>1</v>
      </c>
      <c r="S7883" s="21">
        <v>0</v>
      </c>
      <c r="T7883" s="21">
        <v>0</v>
      </c>
      <c r="U7883" s="21">
        <v>0</v>
      </c>
      <c r="V7883" s="21">
        <v>0</v>
      </c>
      <c r="W7883" s="21">
        <v>2</v>
      </c>
      <c r="X7883" s="21">
        <v>0</v>
      </c>
      <c r="Y7883" s="21">
        <v>0</v>
      </c>
      <c r="Z7883" s="21">
        <v>0</v>
      </c>
      <c r="AA7883" s="21">
        <v>0</v>
      </c>
      <c r="AB7883" s="21">
        <v>0</v>
      </c>
      <c r="AC7883" s="21">
        <v>0</v>
      </c>
      <c r="AD7883" s="21">
        <v>0</v>
      </c>
      <c r="AE7883" s="21">
        <v>0</v>
      </c>
      <c r="AF7883" s="21">
        <v>0</v>
      </c>
      <c r="AG7883" s="21">
        <v>0</v>
      </c>
      <c r="AH7883" s="21">
        <f t="shared" si="154"/>
        <v>192</v>
      </c>
      <c r="AI7883" s="21"/>
      <c r="AJ7883" s="21" t="s">
        <v>51</v>
      </c>
      <c r="AK7883" s="21" t="s">
        <v>52</v>
      </c>
      <c r="AL7883" s="21" t="s">
        <v>1957</v>
      </c>
      <c r="AM7883" s="21" t="s">
        <v>3929</v>
      </c>
      <c r="AN7883" s="21">
        <v>-122.43271496666701</v>
      </c>
      <c r="AO7883" s="21">
        <v>37.786190066666698</v>
      </c>
      <c r="AP7883" s="21" t="s">
        <v>1915</v>
      </c>
    </row>
    <row r="7884" spans="1:42">
      <c r="A7884" s="20">
        <v>43867</v>
      </c>
      <c r="B7884" s="21">
        <v>4</v>
      </c>
      <c r="C7884" s="21">
        <v>228</v>
      </c>
      <c r="D7884" s="21">
        <v>14470</v>
      </c>
      <c r="E7884" t="s">
        <v>112</v>
      </c>
      <c r="F7884" s="21" t="s">
        <v>104</v>
      </c>
      <c r="G7884" s="21">
        <v>2</v>
      </c>
      <c r="H7884" s="21">
        <v>83</v>
      </c>
      <c r="I7884" s="23" t="s">
        <v>3930</v>
      </c>
      <c r="J7884" s="21"/>
      <c r="K7884" s="21" t="s">
        <v>49</v>
      </c>
      <c r="L7884" s="21"/>
      <c r="M7884" s="21"/>
      <c r="N7884" s="21" t="s">
        <v>44</v>
      </c>
      <c r="O7884" s="21">
        <f>60+17</f>
        <v>77</v>
      </c>
      <c r="P7884" s="21"/>
      <c r="Q7884" s="21">
        <f t="shared" si="153"/>
        <v>2</v>
      </c>
      <c r="R7884" s="21">
        <v>1</v>
      </c>
      <c r="S7884" s="21">
        <v>0</v>
      </c>
      <c r="T7884" s="21">
        <v>0</v>
      </c>
      <c r="U7884" s="21">
        <v>0</v>
      </c>
      <c r="V7884" s="21">
        <v>2</v>
      </c>
      <c r="W7884" s="21">
        <v>0</v>
      </c>
      <c r="X7884" s="21">
        <v>0</v>
      </c>
      <c r="Y7884" s="21">
        <v>0</v>
      </c>
      <c r="Z7884" s="21">
        <v>0</v>
      </c>
      <c r="AA7884" s="21">
        <v>0</v>
      </c>
      <c r="AB7884" s="21">
        <v>0</v>
      </c>
      <c r="AC7884" s="21">
        <v>0</v>
      </c>
      <c r="AD7884" s="21">
        <v>0</v>
      </c>
      <c r="AE7884" s="21">
        <v>0</v>
      </c>
      <c r="AF7884" s="21">
        <v>0</v>
      </c>
      <c r="AG7884" s="21">
        <v>0</v>
      </c>
      <c r="AH7884" s="21">
        <f t="shared" si="154"/>
        <v>128</v>
      </c>
      <c r="AI7884" s="21"/>
      <c r="AJ7884" s="21" t="s">
        <v>51</v>
      </c>
      <c r="AK7884" s="21" t="s">
        <v>95</v>
      </c>
      <c r="AL7884" s="21"/>
      <c r="AM7884" s="21" t="s">
        <v>3931</v>
      </c>
      <c r="AN7884" s="21">
        <v>-122.433696624139</v>
      </c>
      <c r="AO7884" s="21">
        <v>37.786842388205798</v>
      </c>
      <c r="AP7884" s="21" t="s">
        <v>1915</v>
      </c>
    </row>
    <row r="7885" spans="1:42">
      <c r="A7885" s="20">
        <v>43867</v>
      </c>
      <c r="B7885" s="21">
        <v>4</v>
      </c>
      <c r="C7885" s="21">
        <v>228</v>
      </c>
      <c r="D7885" s="21">
        <v>14470</v>
      </c>
      <c r="E7885" t="s">
        <v>112</v>
      </c>
      <c r="F7885" s="21" t="s">
        <v>104</v>
      </c>
      <c r="G7885" s="21">
        <v>2</v>
      </c>
      <c r="H7885" s="21">
        <v>84</v>
      </c>
      <c r="I7885" s="23" t="s">
        <v>2791</v>
      </c>
      <c r="J7885" s="21"/>
      <c r="K7885" s="21" t="s">
        <v>49</v>
      </c>
      <c r="L7885" s="21"/>
      <c r="M7885" s="21"/>
      <c r="N7885" s="21" t="s">
        <v>40</v>
      </c>
      <c r="O7885" s="21">
        <v>38</v>
      </c>
      <c r="P7885" s="21"/>
      <c r="Q7885" s="21">
        <f t="shared" si="153"/>
        <v>1</v>
      </c>
      <c r="R7885" s="21">
        <v>1</v>
      </c>
      <c r="S7885" s="21">
        <v>0</v>
      </c>
      <c r="T7885" s="21">
        <v>0</v>
      </c>
      <c r="U7885" s="21">
        <v>0</v>
      </c>
      <c r="V7885" s="21">
        <v>0</v>
      </c>
      <c r="W7885" s="21">
        <v>0</v>
      </c>
      <c r="X7885" s="21">
        <v>1</v>
      </c>
      <c r="Y7885" s="21">
        <v>0</v>
      </c>
      <c r="Z7885" s="21">
        <v>0</v>
      </c>
      <c r="AA7885" s="21">
        <v>0</v>
      </c>
      <c r="AB7885" s="21">
        <v>0</v>
      </c>
      <c r="AC7885" s="21">
        <v>0</v>
      </c>
      <c r="AD7885" s="21">
        <v>0</v>
      </c>
      <c r="AE7885" s="21">
        <v>0</v>
      </c>
      <c r="AF7885" s="21">
        <v>0</v>
      </c>
      <c r="AG7885" s="21">
        <v>0</v>
      </c>
      <c r="AH7885" s="21">
        <f t="shared" si="154"/>
        <v>0</v>
      </c>
      <c r="AI7885" s="21"/>
      <c r="AJ7885" s="21" t="s">
        <v>51</v>
      </c>
      <c r="AK7885" s="21" t="s">
        <v>95</v>
      </c>
      <c r="AL7885" s="21" t="s">
        <v>470</v>
      </c>
      <c r="AM7885" s="21" t="s">
        <v>3932</v>
      </c>
      <c r="AN7885" s="21">
        <v>-122.43318805</v>
      </c>
      <c r="AO7885" s="21">
        <v>37.786167416666601</v>
      </c>
      <c r="AP7885" s="21" t="s">
        <v>1915</v>
      </c>
    </row>
    <row r="7886" spans="1:42">
      <c r="A7886" s="20">
        <v>43867</v>
      </c>
      <c r="B7886" s="21">
        <v>4</v>
      </c>
      <c r="C7886" s="21">
        <v>228</v>
      </c>
      <c r="D7886" s="21">
        <v>14470</v>
      </c>
      <c r="E7886" t="s">
        <v>112</v>
      </c>
      <c r="F7886" s="21" t="s">
        <v>104</v>
      </c>
      <c r="G7886" s="21">
        <v>2</v>
      </c>
      <c r="H7886" s="21">
        <v>85</v>
      </c>
      <c r="I7886" s="23" t="s">
        <v>3933</v>
      </c>
      <c r="J7886" s="21"/>
      <c r="K7886" s="21" t="s">
        <v>599</v>
      </c>
      <c r="L7886" s="21"/>
      <c r="M7886" s="21"/>
      <c r="N7886" s="21" t="s">
        <v>44</v>
      </c>
      <c r="O7886" s="21">
        <f>60+11</f>
        <v>71</v>
      </c>
      <c r="P7886" s="21"/>
      <c r="Q7886" s="21">
        <f t="shared" si="153"/>
        <v>1</v>
      </c>
      <c r="R7886" s="21">
        <v>1</v>
      </c>
      <c r="S7886" s="21">
        <v>0</v>
      </c>
      <c r="T7886" s="21">
        <v>0</v>
      </c>
      <c r="U7886" s="21">
        <v>0</v>
      </c>
      <c r="V7886" s="21">
        <v>0</v>
      </c>
      <c r="W7886" s="21">
        <v>1</v>
      </c>
      <c r="X7886" s="21">
        <v>0</v>
      </c>
      <c r="Y7886" s="21">
        <v>0</v>
      </c>
      <c r="Z7886" s="21">
        <v>0</v>
      </c>
      <c r="AA7886" s="21">
        <v>0</v>
      </c>
      <c r="AB7886" s="21">
        <v>0</v>
      </c>
      <c r="AC7886" s="21">
        <v>0</v>
      </c>
      <c r="AD7886" s="21">
        <v>0</v>
      </c>
      <c r="AE7886" s="21">
        <v>0</v>
      </c>
      <c r="AF7886" s="21">
        <v>0</v>
      </c>
      <c r="AG7886" s="21">
        <v>0</v>
      </c>
      <c r="AH7886" s="21">
        <f t="shared" si="154"/>
        <v>96</v>
      </c>
      <c r="AI7886" s="21"/>
      <c r="AJ7886" s="21" t="s">
        <v>54</v>
      </c>
      <c r="AK7886" s="21" t="s">
        <v>52</v>
      </c>
      <c r="AL7886" s="21" t="s">
        <v>2788</v>
      </c>
      <c r="AM7886" s="21" t="s">
        <v>3934</v>
      </c>
      <c r="AN7886" s="21">
        <v>-122.431829416667</v>
      </c>
      <c r="AO7886" s="21">
        <v>37.786887383333301</v>
      </c>
      <c r="AP7886" s="21" t="s">
        <v>1915</v>
      </c>
    </row>
    <row r="7887" spans="1:42">
      <c r="A7887" s="20">
        <v>43867</v>
      </c>
      <c r="B7887" s="21">
        <v>4</v>
      </c>
      <c r="C7887" s="21">
        <v>228</v>
      </c>
      <c r="D7887" s="21">
        <v>14470</v>
      </c>
      <c r="E7887" t="s">
        <v>112</v>
      </c>
      <c r="F7887" s="21" t="s">
        <v>104</v>
      </c>
      <c r="G7887" s="21">
        <v>2</v>
      </c>
      <c r="H7887" s="21">
        <v>86</v>
      </c>
      <c r="I7887" s="23" t="s">
        <v>3935</v>
      </c>
      <c r="J7887" s="21"/>
      <c r="K7887" s="21" t="s">
        <v>599</v>
      </c>
      <c r="L7887" s="21"/>
      <c r="M7887" s="21"/>
      <c r="N7887" s="21" t="s">
        <v>40</v>
      </c>
      <c r="O7887" s="21">
        <v>49</v>
      </c>
      <c r="P7887" s="21"/>
      <c r="Q7887" s="21">
        <f t="shared" si="153"/>
        <v>2</v>
      </c>
      <c r="R7887" s="21">
        <v>1</v>
      </c>
      <c r="S7887" s="21">
        <v>1</v>
      </c>
      <c r="T7887" s="21">
        <v>0</v>
      </c>
      <c r="U7887" s="21">
        <v>1</v>
      </c>
      <c r="V7887" s="21">
        <v>0</v>
      </c>
      <c r="W7887" s="21">
        <v>0</v>
      </c>
      <c r="X7887" s="21">
        <v>0</v>
      </c>
      <c r="Y7887" s="21">
        <v>0</v>
      </c>
      <c r="Z7887" s="21">
        <v>0</v>
      </c>
      <c r="AA7887" s="21">
        <v>0</v>
      </c>
      <c r="AB7887" s="21">
        <v>0</v>
      </c>
      <c r="AC7887" s="21">
        <v>0</v>
      </c>
      <c r="AD7887" s="21">
        <v>0</v>
      </c>
      <c r="AE7887" s="21">
        <v>0</v>
      </c>
      <c r="AF7887" s="21">
        <v>0</v>
      </c>
      <c r="AG7887" s="21">
        <v>0</v>
      </c>
      <c r="AH7887" s="21">
        <f t="shared" si="154"/>
        <v>48</v>
      </c>
      <c r="AI7887" s="21"/>
      <c r="AJ7887" s="21" t="s">
        <v>54</v>
      </c>
      <c r="AK7887" s="21" t="s">
        <v>52</v>
      </c>
      <c r="AL7887" s="21"/>
      <c r="AM7887" s="21" t="s">
        <v>3936</v>
      </c>
      <c r="AN7887" s="21">
        <v>-122.43178836666701</v>
      </c>
      <c r="AO7887" s="21">
        <v>37.786885150000003</v>
      </c>
      <c r="AP7887" s="21" t="s">
        <v>1915</v>
      </c>
    </row>
    <row r="7888" spans="1:42">
      <c r="A7888" s="20">
        <v>43867</v>
      </c>
      <c r="B7888" s="21">
        <v>4</v>
      </c>
      <c r="C7888" s="21">
        <v>228</v>
      </c>
      <c r="D7888" s="21">
        <v>14470</v>
      </c>
      <c r="E7888" t="s">
        <v>112</v>
      </c>
      <c r="F7888" s="21" t="s">
        <v>104</v>
      </c>
      <c r="G7888" s="21">
        <v>2</v>
      </c>
      <c r="H7888" s="21">
        <v>87</v>
      </c>
      <c r="I7888" s="23" t="s">
        <v>3937</v>
      </c>
      <c r="J7888" s="21"/>
      <c r="K7888" s="21" t="s">
        <v>599</v>
      </c>
      <c r="L7888" s="21"/>
      <c r="M7888" s="21"/>
      <c r="N7888" s="21" t="s">
        <v>40</v>
      </c>
      <c r="O7888" s="21">
        <v>24</v>
      </c>
      <c r="P7888" s="21"/>
      <c r="Q7888" s="21">
        <f t="shared" si="153"/>
        <v>2</v>
      </c>
      <c r="R7888" s="21">
        <v>1</v>
      </c>
      <c r="S7888" s="21">
        <v>0</v>
      </c>
      <c r="T7888" s="21">
        <v>0</v>
      </c>
      <c r="U7888" s="21">
        <v>1</v>
      </c>
      <c r="V7888" s="21">
        <v>1</v>
      </c>
      <c r="W7888" s="21">
        <v>0</v>
      </c>
      <c r="X7888" s="21">
        <v>0</v>
      </c>
      <c r="Y7888" s="21">
        <v>0</v>
      </c>
      <c r="Z7888" s="21">
        <v>0</v>
      </c>
      <c r="AA7888" s="21">
        <v>0</v>
      </c>
      <c r="AB7888" s="21">
        <v>0</v>
      </c>
      <c r="AC7888" s="21">
        <v>0</v>
      </c>
      <c r="AD7888" s="21">
        <v>0</v>
      </c>
      <c r="AE7888" s="21">
        <v>0</v>
      </c>
      <c r="AF7888" s="21">
        <v>0</v>
      </c>
      <c r="AG7888" s="21">
        <v>0</v>
      </c>
      <c r="AH7888" s="21">
        <f t="shared" si="154"/>
        <v>96</v>
      </c>
      <c r="AI7888" s="21"/>
      <c r="AJ7888" s="21"/>
      <c r="AK7888" s="21"/>
      <c r="AL7888" s="21"/>
      <c r="AM7888" s="21" t="s">
        <v>3938</v>
      </c>
      <c r="AN7888" s="21">
        <v>-122.43178551666701</v>
      </c>
      <c r="AO7888" s="21">
        <v>37.7867951333333</v>
      </c>
      <c r="AP7888" s="21" t="s">
        <v>1915</v>
      </c>
    </row>
    <row r="7889" spans="1:42">
      <c r="A7889" s="20">
        <v>43867</v>
      </c>
      <c r="B7889" s="21">
        <v>4</v>
      </c>
      <c r="C7889" s="21">
        <v>228</v>
      </c>
      <c r="D7889" s="21">
        <v>14470</v>
      </c>
      <c r="E7889" t="s">
        <v>112</v>
      </c>
      <c r="F7889" s="21" t="s">
        <v>104</v>
      </c>
      <c r="G7889" s="21">
        <v>2</v>
      </c>
      <c r="H7889" s="21">
        <v>88</v>
      </c>
      <c r="I7889" s="23" t="s">
        <v>3939</v>
      </c>
      <c r="J7889" s="21"/>
      <c r="K7889" s="21" t="s">
        <v>599</v>
      </c>
      <c r="L7889" s="21"/>
      <c r="M7889" s="21"/>
      <c r="N7889" s="21" t="s">
        <v>40</v>
      </c>
      <c r="O7889" s="21">
        <v>47</v>
      </c>
      <c r="P7889" s="21"/>
      <c r="Q7889" s="21">
        <f t="shared" si="153"/>
        <v>1</v>
      </c>
      <c r="R7889" s="21">
        <v>1</v>
      </c>
      <c r="S7889" s="21">
        <v>0</v>
      </c>
      <c r="T7889" s="21">
        <v>0</v>
      </c>
      <c r="U7889" s="21">
        <v>1</v>
      </c>
      <c r="V7889" s="21">
        <v>0</v>
      </c>
      <c r="W7889" s="21">
        <v>0</v>
      </c>
      <c r="X7889" s="21">
        <v>0</v>
      </c>
      <c r="Y7889" s="21">
        <v>0</v>
      </c>
      <c r="Z7889" s="21">
        <v>0</v>
      </c>
      <c r="AA7889" s="21">
        <v>0</v>
      </c>
      <c r="AB7889" s="21">
        <v>0</v>
      </c>
      <c r="AC7889" s="21">
        <v>0</v>
      </c>
      <c r="AD7889" s="21">
        <v>0</v>
      </c>
      <c r="AE7889" s="21">
        <v>0</v>
      </c>
      <c r="AF7889" s="21">
        <v>0</v>
      </c>
      <c r="AG7889" s="21">
        <v>0</v>
      </c>
      <c r="AH7889" s="21">
        <f t="shared" si="154"/>
        <v>32</v>
      </c>
      <c r="AI7889" s="21"/>
      <c r="AJ7889" s="21"/>
      <c r="AK7889" s="21"/>
      <c r="AL7889" s="21"/>
      <c r="AM7889" s="21" t="s">
        <v>3940</v>
      </c>
      <c r="AN7889" s="21">
        <v>-122.431795016667</v>
      </c>
      <c r="AO7889" s="21">
        <v>37.7868204166666</v>
      </c>
      <c r="AP7889" s="21" t="s">
        <v>1915</v>
      </c>
    </row>
    <row r="7890" spans="1:42">
      <c r="A7890" s="20">
        <v>43867</v>
      </c>
      <c r="B7890" s="21">
        <v>4</v>
      </c>
      <c r="C7890" s="21">
        <v>228</v>
      </c>
      <c r="D7890" s="21">
        <v>14470</v>
      </c>
      <c r="E7890" t="s">
        <v>112</v>
      </c>
      <c r="F7890" s="21" t="s">
        <v>104</v>
      </c>
      <c r="G7890" s="21">
        <v>2</v>
      </c>
      <c r="H7890" s="21">
        <v>89</v>
      </c>
      <c r="I7890" s="23" t="s">
        <v>2798</v>
      </c>
      <c r="J7890" s="21"/>
      <c r="K7890" s="21" t="s">
        <v>599</v>
      </c>
      <c r="L7890" s="21"/>
      <c r="M7890" s="21"/>
      <c r="N7890" s="21" t="s">
        <v>44</v>
      </c>
      <c r="O7890" s="21">
        <f>60+60+38</f>
        <v>158</v>
      </c>
      <c r="P7890" s="21"/>
      <c r="Q7890" s="21">
        <f t="shared" si="153"/>
        <v>1</v>
      </c>
      <c r="R7890" s="21">
        <v>1</v>
      </c>
      <c r="S7890" s="21">
        <v>0</v>
      </c>
      <c r="T7890" s="21">
        <v>0</v>
      </c>
      <c r="U7890" s="21">
        <v>0</v>
      </c>
      <c r="V7890" s="21">
        <v>0</v>
      </c>
      <c r="W7890" s="21">
        <v>1</v>
      </c>
      <c r="X7890" s="21">
        <v>0</v>
      </c>
      <c r="Y7890" s="21">
        <v>0</v>
      </c>
      <c r="Z7890" s="21">
        <v>0</v>
      </c>
      <c r="AA7890" s="21">
        <v>0</v>
      </c>
      <c r="AB7890" s="21">
        <v>0</v>
      </c>
      <c r="AC7890" s="21">
        <v>0</v>
      </c>
      <c r="AD7890" s="21">
        <v>0</v>
      </c>
      <c r="AE7890" s="21">
        <v>0</v>
      </c>
      <c r="AF7890" s="21">
        <v>0</v>
      </c>
      <c r="AG7890" s="21">
        <v>0</v>
      </c>
      <c r="AH7890" s="21">
        <f t="shared" si="154"/>
        <v>96</v>
      </c>
      <c r="AI7890" s="21"/>
      <c r="AJ7890" s="21" t="s">
        <v>54</v>
      </c>
      <c r="AK7890" s="21" t="s">
        <v>52</v>
      </c>
      <c r="AL7890" s="21"/>
      <c r="AM7890" s="21" t="s">
        <v>3941</v>
      </c>
      <c r="AN7890" s="21">
        <v>-122.43424866906901</v>
      </c>
      <c r="AO7890" s="21">
        <v>37.788573557103703</v>
      </c>
      <c r="AP7890" s="21" t="s">
        <v>1915</v>
      </c>
    </row>
    <row r="7891" spans="1:42">
      <c r="A7891" s="20">
        <v>43857</v>
      </c>
      <c r="B7891" s="21">
        <v>1</v>
      </c>
      <c r="C7891" s="21">
        <v>225</v>
      </c>
      <c r="D7891" s="21">
        <v>14444</v>
      </c>
      <c r="E7891" t="s">
        <v>112</v>
      </c>
      <c r="F7891" s="21" t="s">
        <v>104</v>
      </c>
      <c r="G7891" s="21">
        <v>2</v>
      </c>
      <c r="H7891" s="21">
        <v>1</v>
      </c>
      <c r="I7891" s="23" t="s">
        <v>2787</v>
      </c>
      <c r="J7891" s="21"/>
      <c r="K7891" s="21" t="s">
        <v>595</v>
      </c>
      <c r="L7891" s="21"/>
      <c r="M7891" s="21"/>
      <c r="N7891" s="21" t="s">
        <v>40</v>
      </c>
      <c r="O7891" s="21">
        <v>70</v>
      </c>
      <c r="P7891" s="21"/>
      <c r="Q7891" s="21">
        <f t="shared" si="153"/>
        <v>2</v>
      </c>
      <c r="R7891" s="21">
        <v>1</v>
      </c>
      <c r="S7891" s="21">
        <v>0</v>
      </c>
      <c r="T7891" s="21">
        <v>0</v>
      </c>
      <c r="U7891" s="21">
        <v>0</v>
      </c>
      <c r="V7891" s="21">
        <v>2</v>
      </c>
      <c r="W7891" s="21">
        <v>0</v>
      </c>
      <c r="X7891" s="21">
        <v>0</v>
      </c>
      <c r="Y7891" s="21">
        <v>0</v>
      </c>
      <c r="Z7891" s="21">
        <v>0</v>
      </c>
      <c r="AA7891" s="21">
        <v>0</v>
      </c>
      <c r="AB7891" s="21">
        <v>0</v>
      </c>
      <c r="AC7891" s="21">
        <v>0</v>
      </c>
      <c r="AD7891" s="21">
        <v>0</v>
      </c>
      <c r="AE7891" s="21">
        <v>0</v>
      </c>
      <c r="AF7891" s="21">
        <v>0</v>
      </c>
      <c r="AG7891" s="21">
        <v>0</v>
      </c>
      <c r="AH7891" s="21">
        <f t="shared" si="154"/>
        <v>128</v>
      </c>
      <c r="AI7891" s="21"/>
      <c r="AJ7891" s="21"/>
      <c r="AK7891" s="21"/>
      <c r="AL7891" s="21"/>
      <c r="AM7891" s="21" t="s">
        <v>3942</v>
      </c>
      <c r="AN7891" s="21">
        <v>-122.42692465</v>
      </c>
      <c r="AO7891" s="21">
        <v>37.788145049999997</v>
      </c>
      <c r="AP7891" s="21" t="s">
        <v>1915</v>
      </c>
    </row>
    <row r="7892" spans="1:42">
      <c r="A7892" s="20">
        <v>43857</v>
      </c>
      <c r="B7892" s="21">
        <v>1</v>
      </c>
      <c r="C7892" s="21">
        <v>225</v>
      </c>
      <c r="D7892" s="21">
        <v>14444</v>
      </c>
      <c r="E7892" t="s">
        <v>112</v>
      </c>
      <c r="F7892" s="21" t="s">
        <v>104</v>
      </c>
      <c r="G7892" s="21">
        <v>2</v>
      </c>
      <c r="H7892" s="21">
        <v>2</v>
      </c>
      <c r="I7892" s="23" t="s">
        <v>3943</v>
      </c>
      <c r="J7892" s="21"/>
      <c r="K7892" s="21" t="s">
        <v>595</v>
      </c>
      <c r="L7892" s="21"/>
      <c r="M7892" s="21"/>
      <c r="N7892" s="21" t="s">
        <v>44</v>
      </c>
      <c r="O7892" s="21">
        <f>60+26</f>
        <v>86</v>
      </c>
      <c r="P7892" s="21"/>
      <c r="Q7892" s="21">
        <f t="shared" si="153"/>
        <v>1</v>
      </c>
      <c r="R7892" s="21">
        <v>1</v>
      </c>
      <c r="S7892" s="21">
        <v>0</v>
      </c>
      <c r="T7892" s="21">
        <v>0</v>
      </c>
      <c r="U7892" s="21">
        <v>0</v>
      </c>
      <c r="V7892" s="21">
        <v>0</v>
      </c>
      <c r="W7892" s="21">
        <v>1</v>
      </c>
      <c r="X7892" s="21">
        <v>0</v>
      </c>
      <c r="Y7892" s="21">
        <v>0</v>
      </c>
      <c r="Z7892" s="21">
        <v>0</v>
      </c>
      <c r="AA7892" s="21">
        <v>0</v>
      </c>
      <c r="AB7892" s="21">
        <v>0</v>
      </c>
      <c r="AC7892" s="21">
        <v>0</v>
      </c>
      <c r="AD7892" s="21">
        <v>0</v>
      </c>
      <c r="AE7892" s="21">
        <v>0</v>
      </c>
      <c r="AF7892" s="21">
        <v>0</v>
      </c>
      <c r="AG7892" s="21">
        <v>0</v>
      </c>
      <c r="AH7892" s="21">
        <f t="shared" si="154"/>
        <v>96</v>
      </c>
      <c r="AI7892" s="21"/>
      <c r="AJ7892" s="21" t="s">
        <v>54</v>
      </c>
      <c r="AK7892" s="21" t="s">
        <v>52</v>
      </c>
      <c r="AL7892" s="21"/>
      <c r="AM7892" s="21" t="s">
        <v>3944</v>
      </c>
      <c r="AN7892" s="21">
        <v>-122.426939566667</v>
      </c>
      <c r="AO7892" s="21">
        <v>37.788170033333301</v>
      </c>
      <c r="AP7892" s="21" t="s">
        <v>1915</v>
      </c>
    </row>
    <row r="7893" spans="1:42">
      <c r="A7893" s="20">
        <v>43857</v>
      </c>
      <c r="B7893" s="21">
        <v>1</v>
      </c>
      <c r="C7893" s="21">
        <v>225</v>
      </c>
      <c r="D7893" s="21">
        <v>14444</v>
      </c>
      <c r="E7893" t="s">
        <v>112</v>
      </c>
      <c r="F7893" s="21" t="s">
        <v>104</v>
      </c>
      <c r="G7893" s="21">
        <v>2</v>
      </c>
      <c r="H7893" s="21">
        <v>3</v>
      </c>
      <c r="I7893" s="23" t="s">
        <v>2787</v>
      </c>
      <c r="J7893" s="21"/>
      <c r="K7893" s="21" t="s">
        <v>595</v>
      </c>
      <c r="L7893" s="21"/>
      <c r="M7893" s="21"/>
      <c r="N7893" s="21" t="s">
        <v>44</v>
      </c>
      <c r="O7893" s="21">
        <f>60+50</f>
        <v>110</v>
      </c>
      <c r="P7893" s="21"/>
      <c r="Q7893" s="21">
        <f t="shared" si="153"/>
        <v>3</v>
      </c>
      <c r="R7893" s="21">
        <v>1</v>
      </c>
      <c r="S7893" s="21">
        <v>0</v>
      </c>
      <c r="T7893" s="21">
        <v>0</v>
      </c>
      <c r="U7893" s="21">
        <v>0</v>
      </c>
      <c r="V7893" s="21">
        <v>1</v>
      </c>
      <c r="W7893" s="21">
        <v>2</v>
      </c>
      <c r="X7893" s="21">
        <v>0</v>
      </c>
      <c r="Y7893" s="21">
        <v>0</v>
      </c>
      <c r="Z7893" s="21">
        <v>0</v>
      </c>
      <c r="AA7893" s="21">
        <v>0</v>
      </c>
      <c r="AB7893" s="21">
        <v>0</v>
      </c>
      <c r="AC7893" s="21">
        <v>0</v>
      </c>
      <c r="AD7893" s="21">
        <v>0</v>
      </c>
      <c r="AE7893" s="21">
        <v>0</v>
      </c>
      <c r="AF7893" s="21">
        <v>0</v>
      </c>
      <c r="AG7893" s="21">
        <v>0</v>
      </c>
      <c r="AH7893" s="21">
        <f t="shared" si="154"/>
        <v>256</v>
      </c>
      <c r="AI7893" s="21"/>
      <c r="AJ7893" s="21" t="s">
        <v>54</v>
      </c>
      <c r="AK7893" s="21" t="s">
        <v>95</v>
      </c>
      <c r="AL7893" s="21" t="s">
        <v>3945</v>
      </c>
      <c r="AM7893" s="21" t="s">
        <v>3946</v>
      </c>
      <c r="AN7893" s="21">
        <v>-122.426958633333</v>
      </c>
      <c r="AO7893" s="21">
        <v>37.788171616666702</v>
      </c>
      <c r="AP7893" s="21" t="s">
        <v>1915</v>
      </c>
    </row>
    <row r="7894" spans="1:42">
      <c r="A7894" s="20">
        <v>43857</v>
      </c>
      <c r="B7894" s="21">
        <v>1</v>
      </c>
      <c r="C7894" s="21">
        <v>225</v>
      </c>
      <c r="D7894" s="21">
        <v>14444</v>
      </c>
      <c r="E7894" t="s">
        <v>112</v>
      </c>
      <c r="F7894" s="21" t="s">
        <v>104</v>
      </c>
      <c r="G7894" s="21">
        <v>2</v>
      </c>
      <c r="H7894" s="21">
        <v>4</v>
      </c>
      <c r="I7894" s="23" t="s">
        <v>3947</v>
      </c>
      <c r="J7894" s="21"/>
      <c r="K7894" s="21" t="s">
        <v>3312</v>
      </c>
      <c r="L7894" s="21"/>
      <c r="M7894" s="21"/>
      <c r="N7894" s="21" t="s">
        <v>44</v>
      </c>
      <c r="O7894" s="21">
        <f>60+34</f>
        <v>94</v>
      </c>
      <c r="P7894" s="21"/>
      <c r="Q7894" s="21">
        <f t="shared" si="153"/>
        <v>1</v>
      </c>
      <c r="R7894" s="21">
        <v>1</v>
      </c>
      <c r="S7894" s="21">
        <v>0</v>
      </c>
      <c r="T7894" s="21">
        <v>0</v>
      </c>
      <c r="U7894" s="21">
        <v>0</v>
      </c>
      <c r="V7894" s="21">
        <v>0</v>
      </c>
      <c r="W7894" s="21">
        <v>1</v>
      </c>
      <c r="X7894" s="21">
        <v>0</v>
      </c>
      <c r="Y7894" s="21">
        <v>0</v>
      </c>
      <c r="Z7894" s="21">
        <v>0</v>
      </c>
      <c r="AA7894" s="21">
        <v>0</v>
      </c>
      <c r="AB7894" s="21">
        <v>0</v>
      </c>
      <c r="AC7894" s="21">
        <v>0</v>
      </c>
      <c r="AD7894" s="21">
        <v>0</v>
      </c>
      <c r="AE7894" s="21">
        <v>0</v>
      </c>
      <c r="AF7894" s="21">
        <v>0</v>
      </c>
      <c r="AG7894" s="21">
        <v>0</v>
      </c>
      <c r="AH7894" s="21">
        <f t="shared" si="154"/>
        <v>96</v>
      </c>
      <c r="AI7894" s="21"/>
      <c r="AJ7894" s="21" t="s">
        <v>54</v>
      </c>
      <c r="AK7894" s="21" t="s">
        <v>95</v>
      </c>
      <c r="AL7894" s="21" t="s">
        <v>2292</v>
      </c>
      <c r="AM7894" s="21" t="s">
        <v>3948</v>
      </c>
      <c r="AN7894" s="21">
        <v>-122.42715231666701</v>
      </c>
      <c r="AO7894" s="21">
        <v>37.789210483333299</v>
      </c>
      <c r="AP7894" s="21" t="s">
        <v>1915</v>
      </c>
    </row>
    <row r="7895" spans="1:42">
      <c r="A7895" s="20">
        <v>43857</v>
      </c>
      <c r="B7895" s="21">
        <v>1</v>
      </c>
      <c r="C7895" s="21">
        <v>225</v>
      </c>
      <c r="D7895" s="21">
        <v>14444</v>
      </c>
      <c r="E7895" t="s">
        <v>112</v>
      </c>
      <c r="F7895" s="21" t="s">
        <v>104</v>
      </c>
      <c r="G7895" s="21">
        <v>2</v>
      </c>
      <c r="H7895" s="21">
        <v>5</v>
      </c>
      <c r="I7895" s="23" t="s">
        <v>2603</v>
      </c>
      <c r="J7895" s="21"/>
      <c r="K7895" s="21" t="s">
        <v>62</v>
      </c>
      <c r="L7895" s="21"/>
      <c r="M7895" s="21"/>
      <c r="N7895" s="21" t="s">
        <v>44</v>
      </c>
      <c r="O7895" s="21">
        <f>60+60+60+19</f>
        <v>199</v>
      </c>
      <c r="P7895" s="21"/>
      <c r="Q7895" s="21">
        <f t="shared" si="153"/>
        <v>2</v>
      </c>
      <c r="R7895" s="21">
        <v>1</v>
      </c>
      <c r="S7895" s="21">
        <v>0</v>
      </c>
      <c r="T7895" s="21">
        <v>0</v>
      </c>
      <c r="U7895" s="21">
        <v>0</v>
      </c>
      <c r="V7895" s="21">
        <v>0</v>
      </c>
      <c r="W7895" s="21">
        <v>2</v>
      </c>
      <c r="X7895" s="21">
        <v>0</v>
      </c>
      <c r="Y7895" s="21">
        <v>0</v>
      </c>
      <c r="Z7895" s="21">
        <v>0</v>
      </c>
      <c r="AA7895" s="21">
        <v>0</v>
      </c>
      <c r="AB7895" s="21">
        <v>0</v>
      </c>
      <c r="AC7895" s="21">
        <v>0</v>
      </c>
      <c r="AD7895" s="21">
        <v>0</v>
      </c>
      <c r="AE7895" s="21">
        <v>0</v>
      </c>
      <c r="AF7895" s="21">
        <v>0</v>
      </c>
      <c r="AG7895" s="21">
        <v>0</v>
      </c>
      <c r="AH7895" s="21">
        <f t="shared" si="154"/>
        <v>192</v>
      </c>
      <c r="AI7895" s="21"/>
      <c r="AJ7895" s="21" t="s">
        <v>51</v>
      </c>
      <c r="AK7895" s="21" t="s">
        <v>52</v>
      </c>
      <c r="AL7895" s="21" t="s">
        <v>3949</v>
      </c>
      <c r="AM7895" s="21" t="s">
        <v>3950</v>
      </c>
      <c r="AN7895" s="21">
        <v>-122.42760566666701</v>
      </c>
      <c r="AO7895" s="21">
        <v>37.790501366666703</v>
      </c>
      <c r="AP7895" s="21" t="s">
        <v>1915</v>
      </c>
    </row>
    <row r="7896" spans="1:42">
      <c r="A7896" s="20">
        <v>43857</v>
      </c>
      <c r="B7896" s="21">
        <v>1</v>
      </c>
      <c r="C7896" s="21">
        <v>225</v>
      </c>
      <c r="D7896" s="21">
        <v>14444</v>
      </c>
      <c r="E7896" t="s">
        <v>112</v>
      </c>
      <c r="F7896" s="21" t="s">
        <v>104</v>
      </c>
      <c r="G7896" s="21">
        <v>2</v>
      </c>
      <c r="H7896" s="21">
        <v>8</v>
      </c>
      <c r="I7896" s="23" t="s">
        <v>3951</v>
      </c>
      <c r="J7896" s="21"/>
      <c r="K7896" s="21" t="s">
        <v>62</v>
      </c>
      <c r="L7896" s="21"/>
      <c r="M7896" s="21"/>
      <c r="N7896" s="21" t="s">
        <v>44</v>
      </c>
      <c r="O7896" s="21">
        <f>60+21</f>
        <v>81</v>
      </c>
      <c r="P7896" s="21"/>
      <c r="Q7896" s="21">
        <f t="shared" si="153"/>
        <v>1</v>
      </c>
      <c r="R7896" s="21">
        <v>1</v>
      </c>
      <c r="S7896" s="21">
        <v>0</v>
      </c>
      <c r="T7896" s="21">
        <v>0</v>
      </c>
      <c r="U7896" s="21">
        <v>0</v>
      </c>
      <c r="V7896" s="21">
        <v>0</v>
      </c>
      <c r="W7896" s="21">
        <v>1</v>
      </c>
      <c r="X7896" s="21">
        <v>0</v>
      </c>
      <c r="Y7896" s="21">
        <v>0</v>
      </c>
      <c r="Z7896" s="21">
        <v>0</v>
      </c>
      <c r="AA7896" s="21">
        <v>0</v>
      </c>
      <c r="AB7896" s="21">
        <v>0</v>
      </c>
      <c r="AC7896" s="21">
        <v>0</v>
      </c>
      <c r="AD7896" s="21">
        <v>0</v>
      </c>
      <c r="AE7896" s="21">
        <v>0</v>
      </c>
      <c r="AF7896" s="21">
        <v>0</v>
      </c>
      <c r="AG7896" s="21">
        <v>0</v>
      </c>
      <c r="AH7896" s="21">
        <f t="shared" si="154"/>
        <v>96</v>
      </c>
      <c r="AI7896" s="21"/>
      <c r="AJ7896" s="21" t="s">
        <v>51</v>
      </c>
      <c r="AK7896" s="21" t="s">
        <v>95</v>
      </c>
      <c r="AL7896" s="21" t="s">
        <v>3952</v>
      </c>
      <c r="AM7896" s="21" t="s">
        <v>3953</v>
      </c>
      <c r="AN7896" s="21">
        <v>-122.428954066667</v>
      </c>
      <c r="AO7896" s="21">
        <v>37.790548000000001</v>
      </c>
      <c r="AP7896" s="21" t="s">
        <v>1915</v>
      </c>
    </row>
    <row r="7897" spans="1:42">
      <c r="A7897" s="20">
        <v>43857</v>
      </c>
      <c r="B7897" s="21">
        <v>1</v>
      </c>
      <c r="C7897" s="21">
        <v>225</v>
      </c>
      <c r="D7897" s="21">
        <v>14444</v>
      </c>
      <c r="E7897" t="s">
        <v>112</v>
      </c>
      <c r="F7897" s="21" t="s">
        <v>104</v>
      </c>
      <c r="G7897" s="21">
        <v>2</v>
      </c>
      <c r="H7897" s="21">
        <v>9</v>
      </c>
      <c r="I7897" s="23" t="s">
        <v>3954</v>
      </c>
      <c r="J7897" s="21"/>
      <c r="K7897" s="21" t="s">
        <v>588</v>
      </c>
      <c r="L7897" s="21"/>
      <c r="M7897" s="21"/>
      <c r="N7897" s="21" t="s">
        <v>44</v>
      </c>
      <c r="O7897" s="21">
        <f>60+56</f>
        <v>116</v>
      </c>
      <c r="P7897" s="21"/>
      <c r="Q7897" s="21">
        <f t="shared" si="153"/>
        <v>1</v>
      </c>
      <c r="R7897" s="21">
        <v>1</v>
      </c>
      <c r="S7897" s="21">
        <v>0</v>
      </c>
      <c r="T7897" s="21">
        <v>0</v>
      </c>
      <c r="U7897" s="21">
        <v>0</v>
      </c>
      <c r="V7897" s="21">
        <v>0</v>
      </c>
      <c r="W7897" s="21">
        <v>1</v>
      </c>
      <c r="X7897" s="21">
        <v>0</v>
      </c>
      <c r="Y7897" s="21">
        <v>0</v>
      </c>
      <c r="Z7897" s="21">
        <v>0</v>
      </c>
      <c r="AA7897" s="21">
        <v>0</v>
      </c>
      <c r="AB7897" s="21">
        <v>0</v>
      </c>
      <c r="AC7897" s="21">
        <v>0</v>
      </c>
      <c r="AD7897" s="21">
        <v>0</v>
      </c>
      <c r="AE7897" s="21">
        <v>0</v>
      </c>
      <c r="AF7897" s="21">
        <v>0</v>
      </c>
      <c r="AG7897" s="21">
        <v>0</v>
      </c>
      <c r="AH7897" s="21">
        <f t="shared" si="154"/>
        <v>96</v>
      </c>
      <c r="AI7897" s="21"/>
      <c r="AJ7897" s="21" t="s">
        <v>54</v>
      </c>
      <c r="AK7897" s="21" t="s">
        <v>52</v>
      </c>
      <c r="AL7897" s="21" t="s">
        <v>3955</v>
      </c>
      <c r="AM7897" s="21" t="s">
        <v>3956</v>
      </c>
      <c r="AN7897" s="21">
        <v>-122.42898461666699</v>
      </c>
      <c r="AO7897" s="21">
        <v>37.790056866666703</v>
      </c>
      <c r="AP7897" s="21" t="s">
        <v>1915</v>
      </c>
    </row>
    <row r="7898" spans="1:42">
      <c r="A7898" s="20">
        <v>43857</v>
      </c>
      <c r="B7898" s="21">
        <v>1</v>
      </c>
      <c r="C7898" s="21">
        <v>225</v>
      </c>
      <c r="D7898" s="21">
        <v>14444</v>
      </c>
      <c r="E7898" t="s">
        <v>112</v>
      </c>
      <c r="F7898" s="21" t="s">
        <v>104</v>
      </c>
      <c r="G7898" s="21">
        <v>2</v>
      </c>
      <c r="H7898" s="21">
        <v>10</v>
      </c>
      <c r="I7898" s="23" t="s">
        <v>3957</v>
      </c>
      <c r="J7898" s="21"/>
      <c r="K7898" s="21" t="s">
        <v>588</v>
      </c>
      <c r="L7898" s="21"/>
      <c r="M7898" s="21"/>
      <c r="N7898" s="21" t="s">
        <v>44</v>
      </c>
      <c r="O7898" s="21">
        <f>60+3</f>
        <v>63</v>
      </c>
      <c r="P7898" s="21"/>
      <c r="Q7898" s="21">
        <f t="shared" si="153"/>
        <v>2</v>
      </c>
      <c r="R7898" s="21">
        <v>1</v>
      </c>
      <c r="S7898" s="21">
        <v>0</v>
      </c>
      <c r="T7898" s="21">
        <v>0</v>
      </c>
      <c r="U7898" s="21">
        <v>1</v>
      </c>
      <c r="V7898" s="21">
        <v>0</v>
      </c>
      <c r="W7898" s="21">
        <v>1</v>
      </c>
      <c r="X7898" s="21">
        <v>0</v>
      </c>
      <c r="Y7898" s="21">
        <v>0</v>
      </c>
      <c r="Z7898" s="21">
        <v>0</v>
      </c>
      <c r="AA7898" s="21">
        <v>0</v>
      </c>
      <c r="AB7898" s="21">
        <v>0</v>
      </c>
      <c r="AC7898" s="21">
        <v>0</v>
      </c>
      <c r="AD7898" s="21">
        <v>0</v>
      </c>
      <c r="AE7898" s="21">
        <v>0</v>
      </c>
      <c r="AF7898" s="21">
        <v>0</v>
      </c>
      <c r="AG7898" s="21">
        <v>0</v>
      </c>
      <c r="AH7898" s="21">
        <f t="shared" si="154"/>
        <v>128</v>
      </c>
      <c r="AI7898" s="21"/>
      <c r="AJ7898" s="21" t="s">
        <v>54</v>
      </c>
      <c r="AK7898" s="21" t="s">
        <v>95</v>
      </c>
      <c r="AL7898" s="21" t="s">
        <v>1946</v>
      </c>
      <c r="AM7898" s="21" t="s">
        <v>3958</v>
      </c>
      <c r="AN7898" s="21">
        <v>-122.42906721666699</v>
      </c>
      <c r="AO7898" s="21">
        <v>37.789882683333303</v>
      </c>
      <c r="AP7898" s="21" t="s">
        <v>1915</v>
      </c>
    </row>
    <row r="7899" spans="1:42">
      <c r="A7899" s="20">
        <v>43857</v>
      </c>
      <c r="B7899" s="21">
        <v>1</v>
      </c>
      <c r="C7899" s="21">
        <v>225</v>
      </c>
      <c r="D7899" s="21">
        <v>14444</v>
      </c>
      <c r="E7899" t="s">
        <v>112</v>
      </c>
      <c r="F7899" s="21" t="s">
        <v>104</v>
      </c>
      <c r="G7899" s="21">
        <v>2</v>
      </c>
      <c r="H7899" s="21">
        <v>11</v>
      </c>
      <c r="I7899" s="23" t="s">
        <v>3959</v>
      </c>
      <c r="J7899" s="21"/>
      <c r="K7899" s="21" t="s">
        <v>2125</v>
      </c>
      <c r="L7899" s="21"/>
      <c r="M7899" s="21"/>
      <c r="N7899" s="21" t="s">
        <v>44</v>
      </c>
      <c r="O7899" s="21">
        <f>60+40</f>
        <v>100</v>
      </c>
      <c r="P7899" s="21"/>
      <c r="Q7899" s="21">
        <f t="shared" si="153"/>
        <v>2</v>
      </c>
      <c r="R7899" s="21">
        <v>1</v>
      </c>
      <c r="S7899" s="21">
        <v>0</v>
      </c>
      <c r="T7899" s="21">
        <v>0</v>
      </c>
      <c r="U7899" s="21">
        <v>0</v>
      </c>
      <c r="V7899" s="21">
        <v>0</v>
      </c>
      <c r="W7899" s="21">
        <v>2</v>
      </c>
      <c r="X7899" s="21">
        <v>0</v>
      </c>
      <c r="Y7899" s="21">
        <v>0</v>
      </c>
      <c r="Z7899" s="21">
        <v>0</v>
      </c>
      <c r="AA7899" s="21">
        <v>0</v>
      </c>
      <c r="AB7899" s="21">
        <v>0</v>
      </c>
      <c r="AC7899" s="21">
        <v>0</v>
      </c>
      <c r="AD7899" s="21">
        <v>0</v>
      </c>
      <c r="AE7899" s="21">
        <v>0</v>
      </c>
      <c r="AF7899" s="21">
        <v>0</v>
      </c>
      <c r="AG7899" s="21">
        <v>0</v>
      </c>
      <c r="AH7899" s="21">
        <f t="shared" si="154"/>
        <v>192</v>
      </c>
      <c r="AI7899" s="21"/>
      <c r="AJ7899" s="21" t="s">
        <v>51</v>
      </c>
      <c r="AK7899" s="21" t="s">
        <v>52</v>
      </c>
      <c r="AL7899" s="21" t="s">
        <v>2111</v>
      </c>
      <c r="AM7899" s="21" t="s">
        <v>3960</v>
      </c>
      <c r="AN7899" s="21">
        <v>-122.429594016667</v>
      </c>
      <c r="AO7899" s="21">
        <v>37.789505033333299</v>
      </c>
      <c r="AP7899" s="21" t="s">
        <v>1915</v>
      </c>
    </row>
    <row r="7900" spans="1:42">
      <c r="A7900" s="20">
        <v>43857</v>
      </c>
      <c r="B7900" s="21">
        <v>1</v>
      </c>
      <c r="C7900" s="21">
        <v>225</v>
      </c>
      <c r="D7900" s="21">
        <v>14444</v>
      </c>
      <c r="E7900" t="s">
        <v>112</v>
      </c>
      <c r="F7900" s="21" t="s">
        <v>104</v>
      </c>
      <c r="G7900" s="21">
        <v>2</v>
      </c>
      <c r="H7900" s="21">
        <v>12</v>
      </c>
      <c r="I7900" s="23" t="s">
        <v>3961</v>
      </c>
      <c r="J7900" s="21"/>
      <c r="K7900" s="21" t="s">
        <v>56</v>
      </c>
      <c r="L7900" s="21"/>
      <c r="M7900" s="21"/>
      <c r="N7900" s="21" t="s">
        <v>40</v>
      </c>
      <c r="O7900" s="21">
        <v>40</v>
      </c>
      <c r="P7900" s="21"/>
      <c r="Q7900" s="21">
        <f t="shared" si="153"/>
        <v>1</v>
      </c>
      <c r="R7900" s="21">
        <v>1</v>
      </c>
      <c r="S7900" s="21">
        <v>0</v>
      </c>
      <c r="T7900" s="21">
        <v>0</v>
      </c>
      <c r="U7900" s="21">
        <v>0</v>
      </c>
      <c r="V7900" s="21">
        <v>0</v>
      </c>
      <c r="W7900" s="21">
        <v>1</v>
      </c>
      <c r="X7900" s="21">
        <v>0</v>
      </c>
      <c r="Y7900" s="21">
        <v>0</v>
      </c>
      <c r="Z7900" s="21">
        <v>0</v>
      </c>
      <c r="AA7900" s="21">
        <v>0</v>
      </c>
      <c r="AB7900" s="21">
        <v>0</v>
      </c>
      <c r="AC7900" s="21">
        <v>0</v>
      </c>
      <c r="AD7900" s="21">
        <v>0</v>
      </c>
      <c r="AE7900" s="21">
        <v>0</v>
      </c>
      <c r="AF7900" s="21">
        <v>0</v>
      </c>
      <c r="AG7900" s="21">
        <v>0</v>
      </c>
      <c r="AH7900" s="21">
        <f t="shared" si="154"/>
        <v>96</v>
      </c>
      <c r="AI7900" s="21"/>
      <c r="AJ7900" s="21" t="s">
        <v>51</v>
      </c>
      <c r="AK7900" s="21" t="s">
        <v>52</v>
      </c>
      <c r="AL7900" s="21" t="s">
        <v>3242</v>
      </c>
      <c r="AM7900" s="21" t="s">
        <v>3962</v>
      </c>
      <c r="AN7900" s="21">
        <v>-122.430120183333</v>
      </c>
      <c r="AO7900" s="21">
        <v>37.789429233333301</v>
      </c>
      <c r="AP7900" s="21" t="s">
        <v>1915</v>
      </c>
    </row>
    <row r="7901" spans="1:42">
      <c r="A7901" s="20">
        <v>43857</v>
      </c>
      <c r="B7901" s="21">
        <v>1</v>
      </c>
      <c r="C7901" s="21">
        <v>225</v>
      </c>
      <c r="D7901" s="21">
        <v>14444</v>
      </c>
      <c r="E7901" t="s">
        <v>112</v>
      </c>
      <c r="F7901" s="21" t="s">
        <v>104</v>
      </c>
      <c r="G7901" s="21">
        <v>2</v>
      </c>
      <c r="H7901" s="21">
        <v>13</v>
      </c>
      <c r="I7901" s="23" t="s">
        <v>2220</v>
      </c>
      <c r="J7901" s="21"/>
      <c r="K7901" s="21" t="s">
        <v>56</v>
      </c>
      <c r="L7901" s="21"/>
      <c r="M7901" s="21"/>
      <c r="N7901" s="21" t="s">
        <v>44</v>
      </c>
      <c r="O7901" s="21">
        <f>60+60+42</f>
        <v>162</v>
      </c>
      <c r="P7901" s="21"/>
      <c r="Q7901" s="21">
        <f t="shared" si="153"/>
        <v>1</v>
      </c>
      <c r="R7901" s="21">
        <v>1</v>
      </c>
      <c r="S7901" s="21">
        <v>0</v>
      </c>
      <c r="T7901" s="21">
        <v>0</v>
      </c>
      <c r="U7901" s="21">
        <v>0</v>
      </c>
      <c r="V7901" s="21">
        <v>0</v>
      </c>
      <c r="W7901" s="21">
        <v>1</v>
      </c>
      <c r="X7901" s="21">
        <v>0</v>
      </c>
      <c r="Y7901" s="21">
        <v>0</v>
      </c>
      <c r="Z7901" s="21">
        <v>0</v>
      </c>
      <c r="AA7901" s="21">
        <v>0</v>
      </c>
      <c r="AB7901" s="21">
        <v>0</v>
      </c>
      <c r="AC7901" s="21">
        <v>0</v>
      </c>
      <c r="AD7901" s="21">
        <v>0</v>
      </c>
      <c r="AE7901" s="21">
        <v>0</v>
      </c>
      <c r="AF7901" s="21">
        <v>0</v>
      </c>
      <c r="AG7901" s="21">
        <v>0</v>
      </c>
      <c r="AH7901" s="21">
        <f t="shared" si="154"/>
        <v>96</v>
      </c>
      <c r="AI7901" s="21"/>
      <c r="AJ7901" s="21" t="s">
        <v>54</v>
      </c>
      <c r="AK7901" s="21" t="s">
        <v>52</v>
      </c>
      <c r="AL7901" s="21"/>
      <c r="AM7901" s="21" t="s">
        <v>3963</v>
      </c>
      <c r="AN7901" s="21">
        <v>-122.430881566667</v>
      </c>
      <c r="AO7901" s="21">
        <v>37.789384466666597</v>
      </c>
      <c r="AP7901" s="21" t="s">
        <v>1915</v>
      </c>
    </row>
    <row r="7902" spans="1:42">
      <c r="A7902" s="20">
        <v>43857</v>
      </c>
      <c r="B7902" s="21">
        <v>1</v>
      </c>
      <c r="C7902" s="21">
        <v>225</v>
      </c>
      <c r="D7902" s="21">
        <v>14444</v>
      </c>
      <c r="E7902" t="s">
        <v>112</v>
      </c>
      <c r="F7902" s="21" t="s">
        <v>104</v>
      </c>
      <c r="G7902" s="21">
        <v>2</v>
      </c>
      <c r="H7902" s="21">
        <v>14</v>
      </c>
      <c r="I7902" s="23" t="s">
        <v>2148</v>
      </c>
      <c r="J7902" s="21"/>
      <c r="K7902" s="21" t="s">
        <v>56</v>
      </c>
      <c r="L7902" s="21"/>
      <c r="M7902" s="21"/>
      <c r="N7902" s="21" t="s">
        <v>44</v>
      </c>
      <c r="O7902" s="21">
        <f>60+18</f>
        <v>78</v>
      </c>
      <c r="P7902" s="21"/>
      <c r="Q7902" s="21">
        <f t="shared" si="153"/>
        <v>1</v>
      </c>
      <c r="R7902" s="21">
        <v>1</v>
      </c>
      <c r="S7902" s="21">
        <v>0</v>
      </c>
      <c r="T7902" s="21">
        <v>0</v>
      </c>
      <c r="U7902" s="21">
        <v>0</v>
      </c>
      <c r="V7902" s="21">
        <v>0</v>
      </c>
      <c r="W7902" s="21">
        <v>1</v>
      </c>
      <c r="X7902" s="21">
        <v>0</v>
      </c>
      <c r="Y7902" s="21">
        <v>0</v>
      </c>
      <c r="Z7902" s="21">
        <v>0</v>
      </c>
      <c r="AA7902" s="21">
        <v>0</v>
      </c>
      <c r="AB7902" s="21">
        <v>0</v>
      </c>
      <c r="AC7902" s="21">
        <v>0</v>
      </c>
      <c r="AD7902" s="21">
        <v>0</v>
      </c>
      <c r="AE7902" s="21">
        <v>0</v>
      </c>
      <c r="AF7902" s="21">
        <v>0</v>
      </c>
      <c r="AG7902" s="21">
        <v>0</v>
      </c>
      <c r="AH7902" s="21">
        <f t="shared" si="154"/>
        <v>96</v>
      </c>
      <c r="AI7902" s="21"/>
      <c r="AJ7902" s="21" t="s">
        <v>54</v>
      </c>
      <c r="AK7902" s="21" t="s">
        <v>95</v>
      </c>
      <c r="AL7902" s="21"/>
      <c r="AM7902" s="21" t="s">
        <v>3964</v>
      </c>
      <c r="AN7902" s="21">
        <v>-122.431534916667</v>
      </c>
      <c r="AO7902" s="21">
        <v>37.789260366666703</v>
      </c>
      <c r="AP7902" s="21" t="s">
        <v>1915</v>
      </c>
    </row>
    <row r="7903" spans="1:42">
      <c r="A7903" s="20">
        <v>43857</v>
      </c>
      <c r="B7903" s="21">
        <v>1</v>
      </c>
      <c r="C7903" s="21">
        <v>225</v>
      </c>
      <c r="D7903" s="21">
        <v>14444</v>
      </c>
      <c r="E7903" t="s">
        <v>112</v>
      </c>
      <c r="F7903" s="21" t="s">
        <v>104</v>
      </c>
      <c r="G7903" s="21">
        <v>2</v>
      </c>
      <c r="H7903" s="21">
        <v>16</v>
      </c>
      <c r="I7903" s="23" t="s">
        <v>3965</v>
      </c>
      <c r="J7903" s="21"/>
      <c r="K7903" s="21" t="s">
        <v>62</v>
      </c>
      <c r="L7903" s="21"/>
      <c r="M7903" s="21"/>
      <c r="N7903" s="21" t="s">
        <v>44</v>
      </c>
      <c r="O7903" s="21">
        <f>60+60+33</f>
        <v>153</v>
      </c>
      <c r="P7903" s="21"/>
      <c r="Q7903" s="21">
        <f t="shared" si="153"/>
        <v>4</v>
      </c>
      <c r="R7903" s="21">
        <v>1</v>
      </c>
      <c r="S7903" s="21">
        <v>0</v>
      </c>
      <c r="T7903" s="21">
        <v>0</v>
      </c>
      <c r="U7903" s="21">
        <v>0</v>
      </c>
      <c r="V7903" s="21">
        <v>4</v>
      </c>
      <c r="W7903" s="21">
        <v>0</v>
      </c>
      <c r="X7903" s="21">
        <v>0</v>
      </c>
      <c r="Y7903" s="21">
        <v>0</v>
      </c>
      <c r="Z7903" s="21">
        <v>0</v>
      </c>
      <c r="AA7903" s="21">
        <v>0</v>
      </c>
      <c r="AB7903" s="21">
        <v>0</v>
      </c>
      <c r="AC7903" s="21">
        <v>0</v>
      </c>
      <c r="AD7903" s="21">
        <v>0</v>
      </c>
      <c r="AE7903" s="21">
        <v>0</v>
      </c>
      <c r="AF7903" s="21">
        <v>0</v>
      </c>
      <c r="AG7903" s="21">
        <v>0</v>
      </c>
      <c r="AH7903" s="21">
        <f t="shared" si="154"/>
        <v>256</v>
      </c>
      <c r="AI7903" s="21"/>
      <c r="AJ7903" s="21" t="s">
        <v>54</v>
      </c>
      <c r="AK7903" s="21" t="s">
        <v>52</v>
      </c>
      <c r="AL7903" s="21" t="s">
        <v>2110</v>
      </c>
      <c r="AM7903" s="21" t="s">
        <v>3966</v>
      </c>
      <c r="AN7903" s="21">
        <v>-122.433342016667</v>
      </c>
      <c r="AO7903" s="21">
        <v>37.790017466666697</v>
      </c>
      <c r="AP7903" s="21" t="s">
        <v>1915</v>
      </c>
    </row>
    <row r="7904" spans="1:42">
      <c r="A7904" s="20">
        <v>43857</v>
      </c>
      <c r="B7904" s="21">
        <v>1</v>
      </c>
      <c r="C7904" s="21">
        <v>225</v>
      </c>
      <c r="D7904" s="21">
        <v>14444</v>
      </c>
      <c r="E7904" t="s">
        <v>112</v>
      </c>
      <c r="F7904" s="21" t="s">
        <v>104</v>
      </c>
      <c r="G7904" s="21">
        <v>2</v>
      </c>
      <c r="H7904" s="21">
        <v>17</v>
      </c>
      <c r="I7904" s="23" t="s">
        <v>2164</v>
      </c>
      <c r="J7904" s="21"/>
      <c r="K7904" s="21" t="s">
        <v>68</v>
      </c>
      <c r="L7904" s="21"/>
      <c r="M7904" s="21"/>
      <c r="N7904" s="21" t="s">
        <v>40</v>
      </c>
      <c r="O7904" s="21">
        <v>49</v>
      </c>
      <c r="P7904" s="21"/>
      <c r="Q7904" s="21">
        <f t="shared" si="153"/>
        <v>2</v>
      </c>
      <c r="R7904" s="21">
        <v>1</v>
      </c>
      <c r="S7904" s="21">
        <v>0</v>
      </c>
      <c r="T7904" s="21">
        <v>0</v>
      </c>
      <c r="U7904" s="21">
        <v>2</v>
      </c>
      <c r="V7904" s="21">
        <v>0</v>
      </c>
      <c r="W7904" s="21">
        <v>0</v>
      </c>
      <c r="X7904" s="21">
        <v>0</v>
      </c>
      <c r="Y7904" s="21">
        <v>0</v>
      </c>
      <c r="Z7904" s="21">
        <v>0</v>
      </c>
      <c r="AA7904" s="21">
        <v>0</v>
      </c>
      <c r="AB7904" s="21">
        <v>0</v>
      </c>
      <c r="AC7904" s="21">
        <v>0</v>
      </c>
      <c r="AD7904" s="21">
        <v>0</v>
      </c>
      <c r="AE7904" s="21">
        <v>0</v>
      </c>
      <c r="AF7904" s="21">
        <v>0</v>
      </c>
      <c r="AG7904" s="21">
        <v>0</v>
      </c>
      <c r="AH7904" s="21">
        <f t="shared" si="154"/>
        <v>64</v>
      </c>
      <c r="AI7904" s="21"/>
      <c r="AJ7904" s="21"/>
      <c r="AK7904" s="21"/>
      <c r="AL7904" s="21"/>
      <c r="AM7904" s="21" t="s">
        <v>3967</v>
      </c>
      <c r="AN7904" s="21">
        <v>-122.433882266667</v>
      </c>
      <c r="AO7904" s="21">
        <v>37.790796633333301</v>
      </c>
      <c r="AP7904" s="21" t="s">
        <v>1915</v>
      </c>
    </row>
    <row r="7905" spans="1:42">
      <c r="A7905" s="20">
        <v>43857</v>
      </c>
      <c r="B7905" s="21">
        <v>1</v>
      </c>
      <c r="C7905" s="21">
        <v>225</v>
      </c>
      <c r="D7905" s="21">
        <v>14444</v>
      </c>
      <c r="E7905" t="s">
        <v>112</v>
      </c>
      <c r="F7905" s="21" t="s">
        <v>104</v>
      </c>
      <c r="G7905" s="21">
        <v>2</v>
      </c>
      <c r="H7905" s="21">
        <v>18</v>
      </c>
      <c r="I7905" s="23" t="s">
        <v>3968</v>
      </c>
      <c r="J7905" s="21"/>
      <c r="K7905" s="21" t="s">
        <v>68</v>
      </c>
      <c r="L7905" s="21"/>
      <c r="M7905" s="21"/>
      <c r="N7905" s="21" t="s">
        <v>44</v>
      </c>
      <c r="O7905" s="21">
        <f>60+60+29</f>
        <v>149</v>
      </c>
      <c r="P7905" s="21"/>
      <c r="Q7905" s="21">
        <f t="shared" si="153"/>
        <v>2</v>
      </c>
      <c r="R7905" s="21">
        <v>1</v>
      </c>
      <c r="S7905" s="21">
        <v>0</v>
      </c>
      <c r="T7905" s="21">
        <v>0</v>
      </c>
      <c r="U7905" s="21">
        <v>0</v>
      </c>
      <c r="V7905" s="21">
        <v>0</v>
      </c>
      <c r="W7905" s="21">
        <v>2</v>
      </c>
      <c r="X7905" s="21">
        <v>0</v>
      </c>
      <c r="Y7905" s="21">
        <v>0</v>
      </c>
      <c r="Z7905" s="21">
        <v>0</v>
      </c>
      <c r="AA7905" s="21">
        <v>0</v>
      </c>
      <c r="AB7905" s="21">
        <v>0</v>
      </c>
      <c r="AC7905" s="21">
        <v>0</v>
      </c>
      <c r="AD7905" s="21">
        <v>0</v>
      </c>
      <c r="AE7905" s="21">
        <v>0</v>
      </c>
      <c r="AF7905" s="21">
        <v>0</v>
      </c>
      <c r="AG7905" s="21">
        <v>0</v>
      </c>
      <c r="AH7905" s="21">
        <f t="shared" si="154"/>
        <v>192</v>
      </c>
      <c r="AI7905" s="21"/>
      <c r="AJ7905" s="21" t="s">
        <v>54</v>
      </c>
      <c r="AK7905" s="21" t="s">
        <v>52</v>
      </c>
      <c r="AL7905" s="21" t="s">
        <v>3969</v>
      </c>
      <c r="AM7905" s="21" t="s">
        <v>3970</v>
      </c>
      <c r="AN7905" s="21">
        <v>-122.43298798333301</v>
      </c>
      <c r="AO7905" s="21">
        <v>37.790942633333302</v>
      </c>
      <c r="AP7905" s="21" t="s">
        <v>1915</v>
      </c>
    </row>
    <row r="7906" spans="1:42">
      <c r="A7906" s="20">
        <v>43857</v>
      </c>
      <c r="B7906" s="21">
        <v>1</v>
      </c>
      <c r="C7906" s="21">
        <v>225</v>
      </c>
      <c r="D7906" s="21">
        <v>14444</v>
      </c>
      <c r="E7906" t="s">
        <v>112</v>
      </c>
      <c r="F7906" s="21" t="s">
        <v>104</v>
      </c>
      <c r="G7906" s="21">
        <v>2</v>
      </c>
      <c r="H7906" s="21">
        <v>19</v>
      </c>
      <c r="I7906" s="23" t="s">
        <v>3971</v>
      </c>
      <c r="J7906" s="21"/>
      <c r="K7906" s="21" t="s">
        <v>68</v>
      </c>
      <c r="L7906" s="21"/>
      <c r="M7906" s="21"/>
      <c r="N7906" s="21" t="s">
        <v>44</v>
      </c>
      <c r="O7906" s="21">
        <v>57</v>
      </c>
      <c r="P7906" s="21"/>
      <c r="Q7906" s="21">
        <f t="shared" si="153"/>
        <v>1</v>
      </c>
      <c r="R7906" s="21">
        <v>1</v>
      </c>
      <c r="S7906" s="21">
        <v>0</v>
      </c>
      <c r="T7906" s="21">
        <v>0</v>
      </c>
      <c r="U7906" s="21">
        <v>0</v>
      </c>
      <c r="V7906" s="21">
        <v>0</v>
      </c>
      <c r="W7906" s="21">
        <v>1</v>
      </c>
      <c r="X7906" s="21">
        <v>0</v>
      </c>
      <c r="Y7906" s="21">
        <v>0</v>
      </c>
      <c r="Z7906" s="21">
        <v>0</v>
      </c>
      <c r="AA7906" s="21">
        <v>0</v>
      </c>
      <c r="AB7906" s="21">
        <v>0</v>
      </c>
      <c r="AC7906" s="21">
        <v>0</v>
      </c>
      <c r="AD7906" s="21">
        <v>0</v>
      </c>
      <c r="AE7906" s="21">
        <v>0</v>
      </c>
      <c r="AF7906" s="21">
        <v>0</v>
      </c>
      <c r="AG7906" s="21">
        <v>0</v>
      </c>
      <c r="AH7906" s="21">
        <f t="shared" si="154"/>
        <v>96</v>
      </c>
      <c r="AI7906" s="21"/>
      <c r="AJ7906" s="21" t="s">
        <v>54</v>
      </c>
      <c r="AK7906" s="21"/>
      <c r="AL7906" s="21"/>
      <c r="AM7906" s="21" t="s">
        <v>3972</v>
      </c>
      <c r="AN7906" s="21">
        <v>-122.43302935</v>
      </c>
      <c r="AO7906" s="21">
        <v>37.790949683333302</v>
      </c>
      <c r="AP7906" s="21" t="s">
        <v>1915</v>
      </c>
    </row>
    <row r="7907" spans="1:42">
      <c r="A7907" s="20">
        <v>43857</v>
      </c>
      <c r="B7907" s="21">
        <v>1</v>
      </c>
      <c r="C7907" s="21">
        <v>225</v>
      </c>
      <c r="D7907" s="21">
        <v>14444</v>
      </c>
      <c r="E7907" t="s">
        <v>112</v>
      </c>
      <c r="F7907" s="21" t="s">
        <v>104</v>
      </c>
      <c r="G7907" s="21">
        <v>2</v>
      </c>
      <c r="H7907" s="21">
        <v>20</v>
      </c>
      <c r="I7907" s="23" t="s">
        <v>3973</v>
      </c>
      <c r="J7907" s="21"/>
      <c r="K7907" s="21" t="s">
        <v>599</v>
      </c>
      <c r="L7907" s="21"/>
      <c r="M7907" s="21"/>
      <c r="N7907" s="21" t="s">
        <v>44</v>
      </c>
      <c r="O7907" s="21">
        <f>60+41</f>
        <v>101</v>
      </c>
      <c r="P7907" s="21"/>
      <c r="Q7907" s="21">
        <f t="shared" si="153"/>
        <v>1</v>
      </c>
      <c r="R7907" s="21">
        <v>1</v>
      </c>
      <c r="S7907" s="21">
        <v>0</v>
      </c>
      <c r="T7907" s="21">
        <v>0</v>
      </c>
      <c r="U7907" s="21">
        <v>0</v>
      </c>
      <c r="V7907" s="21">
        <v>0</v>
      </c>
      <c r="W7907" s="21">
        <v>1</v>
      </c>
      <c r="X7907" s="21">
        <v>0</v>
      </c>
      <c r="Y7907" s="21">
        <v>0</v>
      </c>
      <c r="Z7907" s="21">
        <v>0</v>
      </c>
      <c r="AA7907" s="21">
        <v>0</v>
      </c>
      <c r="AB7907" s="21">
        <v>0</v>
      </c>
      <c r="AC7907" s="21">
        <v>0</v>
      </c>
      <c r="AD7907" s="21">
        <v>0</v>
      </c>
      <c r="AE7907" s="21">
        <v>0</v>
      </c>
      <c r="AF7907" s="21">
        <v>0</v>
      </c>
      <c r="AG7907" s="21">
        <v>0</v>
      </c>
      <c r="AH7907" s="21">
        <f t="shared" si="154"/>
        <v>96</v>
      </c>
      <c r="AI7907" s="21"/>
      <c r="AJ7907" s="21" t="s">
        <v>51</v>
      </c>
      <c r="AK7907" s="21" t="s">
        <v>95</v>
      </c>
      <c r="AL7907" s="21" t="s">
        <v>3974</v>
      </c>
      <c r="AM7907" s="21" t="s">
        <v>3975</v>
      </c>
      <c r="AN7907" s="21">
        <v>-122.432882716667</v>
      </c>
      <c r="AO7907" s="21">
        <v>37.792261633333297</v>
      </c>
      <c r="AP7907" s="21" t="s">
        <v>1915</v>
      </c>
    </row>
    <row r="7908" spans="1:42">
      <c r="A7908" s="20">
        <v>43857</v>
      </c>
      <c r="B7908" s="21">
        <v>1</v>
      </c>
      <c r="C7908" s="21">
        <v>225</v>
      </c>
      <c r="D7908" s="21">
        <v>14444</v>
      </c>
      <c r="E7908" t="s">
        <v>112</v>
      </c>
      <c r="F7908" s="21" t="s">
        <v>104</v>
      </c>
      <c r="G7908" s="21">
        <v>2</v>
      </c>
      <c r="H7908" s="21">
        <v>21</v>
      </c>
      <c r="I7908" s="23" t="s">
        <v>2536</v>
      </c>
      <c r="J7908" s="21"/>
      <c r="K7908" s="21" t="s">
        <v>599</v>
      </c>
      <c r="L7908" s="21"/>
      <c r="M7908" s="21"/>
      <c r="N7908" s="21" t="s">
        <v>44</v>
      </c>
      <c r="O7908" s="21">
        <f>60+60+60+45</f>
        <v>225</v>
      </c>
      <c r="P7908" s="21"/>
      <c r="Q7908" s="21">
        <f t="shared" si="153"/>
        <v>4</v>
      </c>
      <c r="R7908" s="21">
        <v>1</v>
      </c>
      <c r="S7908" s="21">
        <v>0</v>
      </c>
      <c r="T7908" s="21">
        <v>0</v>
      </c>
      <c r="U7908" s="21">
        <v>1</v>
      </c>
      <c r="V7908" s="21">
        <v>0</v>
      </c>
      <c r="W7908" s="21">
        <v>3</v>
      </c>
      <c r="X7908" s="21">
        <v>0</v>
      </c>
      <c r="Y7908" s="21">
        <v>0</v>
      </c>
      <c r="Z7908" s="21">
        <v>0</v>
      </c>
      <c r="AA7908" s="21">
        <v>0</v>
      </c>
      <c r="AB7908" s="21">
        <v>0</v>
      </c>
      <c r="AC7908" s="21">
        <v>0</v>
      </c>
      <c r="AD7908" s="21">
        <v>0</v>
      </c>
      <c r="AE7908" s="21">
        <v>0</v>
      </c>
      <c r="AF7908" s="21">
        <v>0</v>
      </c>
      <c r="AG7908" s="21">
        <v>0</v>
      </c>
      <c r="AH7908" s="21">
        <f t="shared" si="154"/>
        <v>320</v>
      </c>
      <c r="AI7908" s="21"/>
      <c r="AJ7908" s="21" t="s">
        <v>51</v>
      </c>
      <c r="AK7908" s="21" t="s">
        <v>52</v>
      </c>
      <c r="AL7908" s="21" t="s">
        <v>3976</v>
      </c>
      <c r="AM7908" s="21" t="s">
        <v>3977</v>
      </c>
      <c r="AN7908" s="21">
        <v>-122.432664566667</v>
      </c>
      <c r="AO7908" s="21">
        <v>37.792054616666597</v>
      </c>
      <c r="AP7908" s="21" t="s">
        <v>1915</v>
      </c>
    </row>
    <row r="7909" spans="1:42">
      <c r="A7909" s="20">
        <v>43857</v>
      </c>
      <c r="B7909" s="21">
        <v>1</v>
      </c>
      <c r="C7909" s="21">
        <v>225</v>
      </c>
      <c r="D7909" s="21">
        <v>14444</v>
      </c>
      <c r="E7909" t="s">
        <v>112</v>
      </c>
      <c r="F7909" s="21" t="s">
        <v>104</v>
      </c>
      <c r="G7909" s="21">
        <v>2</v>
      </c>
      <c r="H7909" s="21">
        <v>22</v>
      </c>
      <c r="I7909" s="23" t="s">
        <v>3978</v>
      </c>
      <c r="J7909" s="21"/>
      <c r="K7909" s="21" t="s">
        <v>596</v>
      </c>
      <c r="L7909" s="21"/>
      <c r="M7909" s="21"/>
      <c r="N7909" s="21" t="s">
        <v>44</v>
      </c>
      <c r="O7909" s="21">
        <f>60+30</f>
        <v>90</v>
      </c>
      <c r="P7909" s="21"/>
      <c r="Q7909" s="21">
        <f t="shared" si="153"/>
        <v>1</v>
      </c>
      <c r="R7909" s="21">
        <v>1</v>
      </c>
      <c r="S7909" s="21">
        <v>0</v>
      </c>
      <c r="T7909" s="21">
        <v>0</v>
      </c>
      <c r="U7909" s="21">
        <v>0</v>
      </c>
      <c r="V7909" s="21">
        <v>0</v>
      </c>
      <c r="W7909" s="21">
        <v>1</v>
      </c>
      <c r="X7909" s="21">
        <v>0</v>
      </c>
      <c r="Y7909" s="21">
        <v>0</v>
      </c>
      <c r="Z7909" s="21">
        <v>0</v>
      </c>
      <c r="AA7909" s="21">
        <v>0</v>
      </c>
      <c r="AB7909" s="21">
        <v>0</v>
      </c>
      <c r="AC7909" s="21">
        <v>0</v>
      </c>
      <c r="AD7909" s="21">
        <v>0</v>
      </c>
      <c r="AE7909" s="21">
        <v>0</v>
      </c>
      <c r="AF7909" s="21">
        <v>0</v>
      </c>
      <c r="AG7909" s="21">
        <v>0</v>
      </c>
      <c r="AH7909" s="21">
        <f t="shared" si="154"/>
        <v>96</v>
      </c>
      <c r="AI7909" s="21"/>
      <c r="AJ7909" s="21"/>
      <c r="AK7909" s="21"/>
      <c r="AL7909" s="21"/>
      <c r="AM7909" s="21" t="s">
        <v>3979</v>
      </c>
      <c r="AN7909" s="21">
        <v>-122.4312702</v>
      </c>
      <c r="AO7909" s="21">
        <v>37.792438716666702</v>
      </c>
      <c r="AP7909" s="21" t="s">
        <v>1915</v>
      </c>
    </row>
    <row r="7910" spans="1:42">
      <c r="A7910" s="20">
        <v>43857</v>
      </c>
      <c r="B7910" s="21">
        <v>1</v>
      </c>
      <c r="C7910" s="21">
        <v>225</v>
      </c>
      <c r="D7910" s="21">
        <v>14444</v>
      </c>
      <c r="E7910" t="s">
        <v>112</v>
      </c>
      <c r="F7910" s="21" t="s">
        <v>104</v>
      </c>
      <c r="G7910" s="21">
        <v>2</v>
      </c>
      <c r="H7910" s="21">
        <v>23</v>
      </c>
      <c r="I7910" s="23" t="s">
        <v>3980</v>
      </c>
      <c r="J7910" s="21"/>
      <c r="K7910" s="21" t="s">
        <v>596</v>
      </c>
      <c r="L7910" s="21"/>
      <c r="M7910" s="21"/>
      <c r="N7910" s="21" t="s">
        <v>44</v>
      </c>
      <c r="O7910" s="21">
        <f>60+59</f>
        <v>119</v>
      </c>
      <c r="P7910" s="21"/>
      <c r="Q7910" s="21">
        <f t="shared" si="153"/>
        <v>1</v>
      </c>
      <c r="R7910" s="21">
        <v>1</v>
      </c>
      <c r="S7910" s="21">
        <v>0</v>
      </c>
      <c r="T7910" s="21">
        <v>0</v>
      </c>
      <c r="U7910" s="21">
        <v>0</v>
      </c>
      <c r="V7910" s="21">
        <v>1</v>
      </c>
      <c r="W7910" s="21">
        <v>0</v>
      </c>
      <c r="X7910" s="21">
        <v>0</v>
      </c>
      <c r="Y7910" s="21">
        <v>0</v>
      </c>
      <c r="Z7910" s="21">
        <v>0</v>
      </c>
      <c r="AA7910" s="21">
        <v>0</v>
      </c>
      <c r="AB7910" s="21">
        <v>0</v>
      </c>
      <c r="AC7910" s="21">
        <v>0</v>
      </c>
      <c r="AD7910" s="21">
        <v>0</v>
      </c>
      <c r="AE7910" s="21">
        <v>0</v>
      </c>
      <c r="AF7910" s="21">
        <v>0</v>
      </c>
      <c r="AG7910" s="21">
        <v>0</v>
      </c>
      <c r="AH7910" s="21">
        <f t="shared" si="154"/>
        <v>64</v>
      </c>
      <c r="AI7910" s="21"/>
      <c r="AJ7910" s="21" t="s">
        <v>51</v>
      </c>
      <c r="AK7910" s="21" t="s">
        <v>52</v>
      </c>
      <c r="AL7910" s="21" t="s">
        <v>3981</v>
      </c>
      <c r="AM7910" s="21" t="s">
        <v>3982</v>
      </c>
      <c r="AN7910" s="21">
        <v>-122.431194983333</v>
      </c>
      <c r="AO7910" s="21">
        <v>37.792315516666697</v>
      </c>
      <c r="AP7910" s="21" t="s">
        <v>1915</v>
      </c>
    </row>
    <row r="7911" spans="1:42">
      <c r="A7911" s="20">
        <v>43857</v>
      </c>
      <c r="B7911" s="21">
        <v>1</v>
      </c>
      <c r="C7911" s="21">
        <v>225</v>
      </c>
      <c r="D7911" s="21">
        <v>14444</v>
      </c>
      <c r="E7911" t="s">
        <v>112</v>
      </c>
      <c r="F7911" s="21" t="s">
        <v>104</v>
      </c>
      <c r="G7911" s="21">
        <v>2</v>
      </c>
      <c r="H7911" s="21">
        <v>24</v>
      </c>
      <c r="I7911" s="23" t="s">
        <v>2164</v>
      </c>
      <c r="J7911" s="21"/>
      <c r="K7911" s="21" t="s">
        <v>596</v>
      </c>
      <c r="L7911" s="21"/>
      <c r="M7911" s="21"/>
      <c r="N7911" s="21" t="s">
        <v>44</v>
      </c>
      <c r="O7911" s="21">
        <f>60+60+49</f>
        <v>169</v>
      </c>
      <c r="P7911" s="21"/>
      <c r="Q7911" s="21">
        <f t="shared" si="153"/>
        <v>3</v>
      </c>
      <c r="R7911" s="21">
        <v>1</v>
      </c>
      <c r="S7911" s="21">
        <v>0</v>
      </c>
      <c r="T7911" s="21">
        <v>0</v>
      </c>
      <c r="U7911" s="21">
        <v>1</v>
      </c>
      <c r="V7911" s="21">
        <v>0</v>
      </c>
      <c r="W7911" s="21">
        <v>2</v>
      </c>
      <c r="X7911" s="21">
        <v>0</v>
      </c>
      <c r="Y7911" s="21">
        <v>0</v>
      </c>
      <c r="Z7911" s="21">
        <v>0</v>
      </c>
      <c r="AA7911" s="21">
        <v>0</v>
      </c>
      <c r="AB7911" s="21">
        <v>0</v>
      </c>
      <c r="AC7911" s="21">
        <v>0</v>
      </c>
      <c r="AD7911" s="21">
        <v>0</v>
      </c>
      <c r="AE7911" s="21">
        <v>0</v>
      </c>
      <c r="AF7911" s="21">
        <v>0</v>
      </c>
      <c r="AG7911" s="21">
        <v>0</v>
      </c>
      <c r="AH7911" s="21">
        <f t="shared" si="154"/>
        <v>224</v>
      </c>
      <c r="AI7911" s="21"/>
      <c r="AJ7911" s="21" t="s">
        <v>51</v>
      </c>
      <c r="AK7911" s="21" t="s">
        <v>52</v>
      </c>
      <c r="AL7911" s="21" t="s">
        <v>3983</v>
      </c>
      <c r="AM7911" s="21" t="s">
        <v>3984</v>
      </c>
      <c r="AN7911" s="21">
        <v>-122.43110715</v>
      </c>
      <c r="AO7911" s="21">
        <v>37.792286599999997</v>
      </c>
      <c r="AP7911" s="21" t="s">
        <v>1915</v>
      </c>
    </row>
    <row r="7912" spans="1:42">
      <c r="A7912" s="20">
        <v>43857</v>
      </c>
      <c r="B7912" s="21">
        <v>1</v>
      </c>
      <c r="C7912" s="21">
        <v>225</v>
      </c>
      <c r="D7912" s="21">
        <v>14444</v>
      </c>
      <c r="E7912" t="s">
        <v>112</v>
      </c>
      <c r="F7912" s="21" t="s">
        <v>104</v>
      </c>
      <c r="G7912" s="21">
        <v>2</v>
      </c>
      <c r="H7912" s="21">
        <v>26</v>
      </c>
      <c r="I7912" s="23" t="s">
        <v>2603</v>
      </c>
      <c r="J7912" s="21"/>
      <c r="K7912" s="21" t="s">
        <v>599</v>
      </c>
      <c r="L7912" s="21"/>
      <c r="M7912" s="21"/>
      <c r="N7912" s="21" t="s">
        <v>40</v>
      </c>
      <c r="O7912" s="21">
        <v>22</v>
      </c>
      <c r="P7912" s="21"/>
      <c r="Q7912" s="21">
        <f t="shared" si="153"/>
        <v>1</v>
      </c>
      <c r="R7912" s="21">
        <v>1</v>
      </c>
      <c r="S7912" s="21">
        <v>0</v>
      </c>
      <c r="T7912" s="21">
        <v>0</v>
      </c>
      <c r="U7912" s="21">
        <v>1</v>
      </c>
      <c r="V7912" s="21">
        <v>0</v>
      </c>
      <c r="W7912" s="21">
        <v>0</v>
      </c>
      <c r="X7912" s="21">
        <v>0</v>
      </c>
      <c r="Y7912" s="21">
        <v>0</v>
      </c>
      <c r="Z7912" s="21">
        <v>0</v>
      </c>
      <c r="AA7912" s="21">
        <v>0</v>
      </c>
      <c r="AB7912" s="21">
        <v>0</v>
      </c>
      <c r="AC7912" s="21">
        <v>0</v>
      </c>
      <c r="AD7912" s="21">
        <v>0</v>
      </c>
      <c r="AE7912" s="21">
        <v>0</v>
      </c>
      <c r="AF7912" s="21">
        <v>0</v>
      </c>
      <c r="AG7912" s="21">
        <v>0</v>
      </c>
      <c r="AH7912" s="21">
        <f t="shared" si="154"/>
        <v>32</v>
      </c>
      <c r="AI7912" s="21"/>
      <c r="AJ7912" s="21"/>
      <c r="AK7912" s="21"/>
      <c r="AL7912" s="21"/>
      <c r="AM7912" s="21" t="s">
        <v>3985</v>
      </c>
      <c r="AN7912" s="21">
        <v>-122.43233961666699</v>
      </c>
      <c r="AO7912" s="21">
        <v>37.790707683333302</v>
      </c>
      <c r="AP7912" s="21" t="s">
        <v>1915</v>
      </c>
    </row>
    <row r="7913" spans="1:42">
      <c r="A7913" s="20">
        <v>43857</v>
      </c>
      <c r="B7913" s="21">
        <v>1</v>
      </c>
      <c r="C7913" s="21">
        <v>225</v>
      </c>
      <c r="D7913" s="21">
        <v>14444</v>
      </c>
      <c r="E7913" t="s">
        <v>112</v>
      </c>
      <c r="F7913" s="21" t="s">
        <v>104</v>
      </c>
      <c r="G7913" s="21">
        <v>2</v>
      </c>
      <c r="H7913" s="21">
        <v>27</v>
      </c>
      <c r="I7913" s="23" t="s">
        <v>2139</v>
      </c>
      <c r="J7913" s="21"/>
      <c r="K7913" s="21" t="s">
        <v>56</v>
      </c>
      <c r="L7913" s="21"/>
      <c r="M7913" s="21"/>
      <c r="N7913" s="21" t="s">
        <v>44</v>
      </c>
      <c r="O7913" s="21">
        <f>68</f>
        <v>68</v>
      </c>
      <c r="P7913" s="21"/>
      <c r="Q7913" s="21">
        <f t="shared" si="153"/>
        <v>1</v>
      </c>
      <c r="R7913" s="21">
        <v>1</v>
      </c>
      <c r="S7913" s="21">
        <v>0</v>
      </c>
      <c r="T7913" s="21">
        <v>0</v>
      </c>
      <c r="U7913" s="21">
        <v>0</v>
      </c>
      <c r="V7913" s="21">
        <v>0</v>
      </c>
      <c r="W7913" s="21">
        <v>1</v>
      </c>
      <c r="X7913" s="21">
        <v>0</v>
      </c>
      <c r="Y7913" s="21">
        <v>0</v>
      </c>
      <c r="Z7913" s="21">
        <v>0</v>
      </c>
      <c r="AA7913" s="21">
        <v>0</v>
      </c>
      <c r="AB7913" s="21">
        <v>0</v>
      </c>
      <c r="AC7913" s="21">
        <v>0</v>
      </c>
      <c r="AD7913" s="21">
        <v>0</v>
      </c>
      <c r="AE7913" s="21">
        <v>0</v>
      </c>
      <c r="AF7913" s="21">
        <v>0</v>
      </c>
      <c r="AG7913" s="21">
        <v>0</v>
      </c>
      <c r="AH7913" s="21">
        <f t="shared" si="154"/>
        <v>96</v>
      </c>
      <c r="AI7913" s="21"/>
      <c r="AJ7913" s="21" t="s">
        <v>54</v>
      </c>
      <c r="AK7913" s="21" t="s">
        <v>52</v>
      </c>
      <c r="AL7913" s="21"/>
      <c r="AM7913" s="21" t="s">
        <v>3986</v>
      </c>
      <c r="AN7913" s="21">
        <v>-122.43319455</v>
      </c>
      <c r="AO7913" s="21">
        <v>37.789025333333299</v>
      </c>
      <c r="AP7913" s="21" t="s">
        <v>1915</v>
      </c>
    </row>
    <row r="7914" spans="1:42">
      <c r="A7914" s="20">
        <v>43857</v>
      </c>
      <c r="B7914" s="21">
        <v>1</v>
      </c>
      <c r="C7914" s="21">
        <v>225</v>
      </c>
      <c r="D7914" s="21">
        <v>14444</v>
      </c>
      <c r="E7914" t="s">
        <v>112</v>
      </c>
      <c r="F7914" s="21" t="s">
        <v>104</v>
      </c>
      <c r="G7914" s="21">
        <v>2</v>
      </c>
      <c r="H7914" s="21">
        <v>28</v>
      </c>
      <c r="I7914" s="23">
        <v>2372</v>
      </c>
      <c r="J7914" s="21"/>
      <c r="K7914" s="21" t="s">
        <v>56</v>
      </c>
      <c r="L7914" s="21"/>
      <c r="M7914" s="21"/>
      <c r="N7914" s="21" t="s">
        <v>44</v>
      </c>
      <c r="O7914" s="21">
        <f>60+60+31</f>
        <v>151</v>
      </c>
      <c r="P7914" s="21"/>
      <c r="Q7914" s="21">
        <f t="shared" si="153"/>
        <v>2</v>
      </c>
      <c r="R7914" s="21">
        <v>1</v>
      </c>
      <c r="S7914" s="21">
        <v>0</v>
      </c>
      <c r="T7914" s="21">
        <v>0</v>
      </c>
      <c r="U7914" s="21">
        <v>0</v>
      </c>
      <c r="V7914" s="21">
        <v>1</v>
      </c>
      <c r="W7914" s="21">
        <v>1</v>
      </c>
      <c r="X7914" s="21">
        <v>0</v>
      </c>
      <c r="Y7914" s="21">
        <v>0</v>
      </c>
      <c r="Z7914" s="21">
        <v>0</v>
      </c>
      <c r="AA7914" s="21">
        <v>0</v>
      </c>
      <c r="AB7914" s="21">
        <v>0</v>
      </c>
      <c r="AC7914" s="21">
        <v>0</v>
      </c>
      <c r="AD7914" s="21">
        <v>0</v>
      </c>
      <c r="AE7914" s="21">
        <v>0</v>
      </c>
      <c r="AF7914" s="21">
        <v>0</v>
      </c>
      <c r="AG7914" s="21">
        <v>0</v>
      </c>
      <c r="AH7914" s="21">
        <f t="shared" si="154"/>
        <v>160</v>
      </c>
      <c r="AI7914" s="21"/>
      <c r="AJ7914" s="21" t="s">
        <v>54</v>
      </c>
      <c r="AK7914" s="21" t="s">
        <v>52</v>
      </c>
      <c r="AL7914" s="21" t="s">
        <v>3987</v>
      </c>
      <c r="AM7914" s="21" t="s">
        <v>3988</v>
      </c>
      <c r="AN7914" s="21">
        <v>-122.43344175</v>
      </c>
      <c r="AO7914" s="21">
        <v>37.789037183333299</v>
      </c>
      <c r="AP7914" s="21" t="s">
        <v>1915</v>
      </c>
    </row>
    <row r="7915" spans="1:42">
      <c r="A7915" s="20">
        <v>43857</v>
      </c>
      <c r="B7915" s="21">
        <v>1</v>
      </c>
      <c r="C7915" s="21">
        <v>225</v>
      </c>
      <c r="D7915" s="21">
        <v>14444</v>
      </c>
      <c r="E7915" t="s">
        <v>112</v>
      </c>
      <c r="F7915" s="21" t="s">
        <v>104</v>
      </c>
      <c r="G7915" s="21">
        <v>2</v>
      </c>
      <c r="H7915" s="21">
        <v>29</v>
      </c>
      <c r="I7915" s="23" t="s">
        <v>2536</v>
      </c>
      <c r="J7915" s="21"/>
      <c r="K7915" s="21" t="s">
        <v>62</v>
      </c>
      <c r="L7915" s="21"/>
      <c r="M7915" s="21"/>
      <c r="N7915" s="21" t="s">
        <v>40</v>
      </c>
      <c r="O7915" s="21">
        <v>35</v>
      </c>
      <c r="P7915" s="21"/>
      <c r="Q7915" s="21">
        <f t="shared" si="153"/>
        <v>1</v>
      </c>
      <c r="R7915" s="21">
        <v>1</v>
      </c>
      <c r="S7915" s="21">
        <v>0</v>
      </c>
      <c r="T7915" s="21">
        <v>0</v>
      </c>
      <c r="U7915" s="21">
        <v>0</v>
      </c>
      <c r="V7915" s="21">
        <v>0</v>
      </c>
      <c r="W7915" s="21">
        <v>0</v>
      </c>
      <c r="X7915" s="21">
        <v>1</v>
      </c>
      <c r="Y7915" s="21">
        <v>0</v>
      </c>
      <c r="Z7915" s="21">
        <v>0</v>
      </c>
      <c r="AA7915" s="21">
        <v>0</v>
      </c>
      <c r="AB7915" s="21">
        <v>0</v>
      </c>
      <c r="AC7915" s="21">
        <v>0</v>
      </c>
      <c r="AD7915" s="21">
        <v>0</v>
      </c>
      <c r="AE7915" s="21">
        <v>0</v>
      </c>
      <c r="AF7915" s="21">
        <v>0</v>
      </c>
      <c r="AG7915" s="21">
        <v>0</v>
      </c>
      <c r="AH7915" s="21">
        <f t="shared" si="154"/>
        <v>0</v>
      </c>
      <c r="AI7915" s="21"/>
      <c r="AJ7915" s="21" t="s">
        <v>54</v>
      </c>
      <c r="AK7915" s="21" t="s">
        <v>52</v>
      </c>
      <c r="AL7915" s="21" t="s">
        <v>470</v>
      </c>
      <c r="AM7915" s="21" t="s">
        <v>3989</v>
      </c>
      <c r="AN7915" s="21">
        <v>-122.43232253333299</v>
      </c>
      <c r="AO7915" s="21">
        <v>37.790011166666702</v>
      </c>
      <c r="AP7915" s="21" t="s">
        <v>1915</v>
      </c>
    </row>
    <row r="7916" spans="1:42">
      <c r="A7916" s="20">
        <v>43857</v>
      </c>
      <c r="B7916" s="21">
        <v>1</v>
      </c>
      <c r="C7916" s="21">
        <v>225</v>
      </c>
      <c r="D7916" s="21">
        <v>14444</v>
      </c>
      <c r="E7916" t="s">
        <v>112</v>
      </c>
      <c r="F7916" s="21" t="s">
        <v>104</v>
      </c>
      <c r="G7916" s="21">
        <v>2</v>
      </c>
      <c r="H7916" s="21">
        <v>30</v>
      </c>
      <c r="I7916" s="23" t="s">
        <v>2536</v>
      </c>
      <c r="J7916" s="21"/>
      <c r="K7916" s="21" t="s">
        <v>62</v>
      </c>
      <c r="L7916" s="21"/>
      <c r="M7916" s="21"/>
      <c r="N7916" s="21" t="s">
        <v>40</v>
      </c>
      <c r="O7916" s="21">
        <f>60+19</f>
        <v>79</v>
      </c>
      <c r="P7916" s="21"/>
      <c r="Q7916" s="21">
        <f t="shared" si="153"/>
        <v>3</v>
      </c>
      <c r="R7916" s="21">
        <v>1</v>
      </c>
      <c r="S7916" s="21">
        <v>0</v>
      </c>
      <c r="T7916" s="21">
        <v>0</v>
      </c>
      <c r="U7916" s="21">
        <v>0</v>
      </c>
      <c r="V7916" s="21">
        <v>0</v>
      </c>
      <c r="W7916" s="21">
        <v>3</v>
      </c>
      <c r="X7916" s="21">
        <v>0</v>
      </c>
      <c r="Y7916" s="21">
        <v>0</v>
      </c>
      <c r="Z7916" s="21">
        <v>0</v>
      </c>
      <c r="AA7916" s="21">
        <v>0</v>
      </c>
      <c r="AB7916" s="21">
        <v>0</v>
      </c>
      <c r="AC7916" s="21">
        <v>0</v>
      </c>
      <c r="AD7916" s="21">
        <v>0</v>
      </c>
      <c r="AE7916" s="21">
        <v>0</v>
      </c>
      <c r="AF7916" s="21">
        <v>0</v>
      </c>
      <c r="AG7916" s="21">
        <v>0</v>
      </c>
      <c r="AH7916" s="21">
        <f t="shared" si="154"/>
        <v>288</v>
      </c>
      <c r="AI7916" s="21"/>
      <c r="AJ7916" s="21" t="s">
        <v>54</v>
      </c>
      <c r="AK7916" s="21" t="s">
        <v>95</v>
      </c>
      <c r="AL7916" s="21" t="s">
        <v>3990</v>
      </c>
      <c r="AM7916" s="21" t="s">
        <v>3991</v>
      </c>
      <c r="AN7916" s="21">
        <v>-122.431567966667</v>
      </c>
      <c r="AO7916" s="21">
        <v>37.790111416666598</v>
      </c>
      <c r="AP7916" s="21" t="s">
        <v>1915</v>
      </c>
    </row>
    <row r="7917" spans="1:42">
      <c r="A7917" s="20">
        <v>43857</v>
      </c>
      <c r="B7917" s="21">
        <v>1</v>
      </c>
      <c r="C7917" s="21">
        <v>225</v>
      </c>
      <c r="D7917" s="21">
        <v>14444</v>
      </c>
      <c r="E7917" t="s">
        <v>112</v>
      </c>
      <c r="F7917" s="21" t="s">
        <v>104</v>
      </c>
      <c r="G7917" s="21">
        <v>2</v>
      </c>
      <c r="H7917" s="21">
        <v>31</v>
      </c>
      <c r="I7917" s="23" t="s">
        <v>3992</v>
      </c>
      <c r="J7917" s="21"/>
      <c r="K7917" s="21" t="s">
        <v>596</v>
      </c>
      <c r="L7917" s="21"/>
      <c r="M7917" s="21"/>
      <c r="N7917" s="21" t="s">
        <v>44</v>
      </c>
      <c r="O7917" s="21">
        <f>60+11</f>
        <v>71</v>
      </c>
      <c r="P7917" s="21"/>
      <c r="Q7917" s="21">
        <f t="shared" si="153"/>
        <v>2</v>
      </c>
      <c r="R7917" s="21">
        <v>1</v>
      </c>
      <c r="S7917" s="21">
        <v>0</v>
      </c>
      <c r="T7917" s="21">
        <v>0</v>
      </c>
      <c r="U7917" s="21">
        <v>0</v>
      </c>
      <c r="V7917" s="21">
        <v>0</v>
      </c>
      <c r="W7917" s="21">
        <v>2</v>
      </c>
      <c r="X7917" s="21">
        <v>0</v>
      </c>
      <c r="Y7917" s="21">
        <v>0</v>
      </c>
      <c r="Z7917" s="21">
        <v>0</v>
      </c>
      <c r="AA7917" s="21">
        <v>0</v>
      </c>
      <c r="AB7917" s="21">
        <v>0</v>
      </c>
      <c r="AC7917" s="21">
        <v>0</v>
      </c>
      <c r="AD7917" s="21">
        <v>0</v>
      </c>
      <c r="AE7917" s="21">
        <v>0</v>
      </c>
      <c r="AF7917" s="21">
        <v>0</v>
      </c>
      <c r="AG7917" s="21">
        <v>0</v>
      </c>
      <c r="AH7917" s="21">
        <f t="shared" si="154"/>
        <v>192</v>
      </c>
      <c r="AI7917" s="21"/>
      <c r="AJ7917" s="21" t="s">
        <v>51</v>
      </c>
      <c r="AK7917" s="21" t="s">
        <v>52</v>
      </c>
      <c r="AL7917" s="21"/>
      <c r="AM7917" s="21" t="s">
        <v>3993</v>
      </c>
      <c r="AN7917" s="21">
        <v>-122.430889333333</v>
      </c>
      <c r="AO7917" s="21">
        <v>37.790857816666701</v>
      </c>
      <c r="AP7917" s="21" t="s">
        <v>1915</v>
      </c>
    </row>
    <row r="7918" spans="1:42">
      <c r="A7918" s="20">
        <v>43857</v>
      </c>
      <c r="B7918" s="21">
        <v>1</v>
      </c>
      <c r="C7918" s="21">
        <v>225</v>
      </c>
      <c r="D7918" s="21">
        <v>14444</v>
      </c>
      <c r="E7918" t="s">
        <v>112</v>
      </c>
      <c r="F7918" s="21" t="s">
        <v>104</v>
      </c>
      <c r="G7918" s="21">
        <v>2</v>
      </c>
      <c r="H7918" s="21">
        <v>32</v>
      </c>
      <c r="I7918" s="23" t="s">
        <v>2214</v>
      </c>
      <c r="J7918" s="21"/>
      <c r="K7918" s="21" t="s">
        <v>596</v>
      </c>
      <c r="L7918" s="21"/>
      <c r="M7918" s="21"/>
      <c r="N7918" s="21" t="s">
        <v>44</v>
      </c>
      <c r="O7918" s="21">
        <f>60+23</f>
        <v>83</v>
      </c>
      <c r="P7918" s="21"/>
      <c r="Q7918" s="21">
        <f t="shared" si="153"/>
        <v>2</v>
      </c>
      <c r="R7918" s="21">
        <v>1</v>
      </c>
      <c r="S7918" s="21">
        <v>0</v>
      </c>
      <c r="T7918" s="21">
        <v>0</v>
      </c>
      <c r="U7918" s="21">
        <v>0</v>
      </c>
      <c r="V7918" s="21">
        <v>0</v>
      </c>
      <c r="W7918" s="21">
        <v>2</v>
      </c>
      <c r="X7918" s="21">
        <v>0</v>
      </c>
      <c r="Y7918" s="21">
        <v>0</v>
      </c>
      <c r="Z7918" s="21">
        <v>0</v>
      </c>
      <c r="AA7918" s="21">
        <v>0</v>
      </c>
      <c r="AB7918" s="21">
        <v>0</v>
      </c>
      <c r="AC7918" s="21">
        <v>0</v>
      </c>
      <c r="AD7918" s="21">
        <v>0</v>
      </c>
      <c r="AE7918" s="21">
        <v>0</v>
      </c>
      <c r="AF7918" s="21">
        <v>0</v>
      </c>
      <c r="AG7918" s="21">
        <v>0</v>
      </c>
      <c r="AH7918" s="21">
        <f t="shared" si="154"/>
        <v>192</v>
      </c>
      <c r="AI7918" s="21"/>
      <c r="AJ7918" s="21"/>
      <c r="AK7918" s="21"/>
      <c r="AL7918" s="21"/>
      <c r="AM7918" s="21" t="s">
        <v>3994</v>
      </c>
      <c r="AN7918" s="21">
        <v>-122.430796266667</v>
      </c>
      <c r="AO7918" s="21">
        <v>37.79076895</v>
      </c>
      <c r="AP7918" s="21" t="s">
        <v>1915</v>
      </c>
    </row>
    <row r="7919" spans="1:42">
      <c r="A7919" s="20">
        <v>43857</v>
      </c>
      <c r="B7919" s="21">
        <v>1</v>
      </c>
      <c r="C7919" s="21">
        <v>225</v>
      </c>
      <c r="D7919" s="21">
        <v>14444</v>
      </c>
      <c r="E7919" t="s">
        <v>112</v>
      </c>
      <c r="F7919" s="21" t="s">
        <v>104</v>
      </c>
      <c r="G7919" s="21">
        <v>2</v>
      </c>
      <c r="H7919" s="21">
        <v>33</v>
      </c>
      <c r="I7919" s="23" t="s">
        <v>2218</v>
      </c>
      <c r="J7919" s="21"/>
      <c r="K7919" s="21" t="s">
        <v>596</v>
      </c>
      <c r="L7919" s="21"/>
      <c r="M7919" s="21"/>
      <c r="N7919" s="21"/>
      <c r="O7919" s="21">
        <v>60</v>
      </c>
      <c r="P7919" s="21"/>
      <c r="Q7919" s="21">
        <f t="shared" si="153"/>
        <v>1</v>
      </c>
      <c r="R7919" s="21">
        <v>1</v>
      </c>
      <c r="S7919" s="21">
        <v>0</v>
      </c>
      <c r="T7919" s="21">
        <v>0</v>
      </c>
      <c r="U7919" s="21">
        <v>0</v>
      </c>
      <c r="V7919" s="21">
        <v>0</v>
      </c>
      <c r="W7919" s="21">
        <v>1</v>
      </c>
      <c r="X7919" s="21">
        <v>0</v>
      </c>
      <c r="Y7919" s="21">
        <v>0</v>
      </c>
      <c r="Z7919" s="21">
        <v>0</v>
      </c>
      <c r="AA7919" s="21">
        <v>0</v>
      </c>
      <c r="AB7919" s="21">
        <v>0</v>
      </c>
      <c r="AC7919" s="21">
        <v>0</v>
      </c>
      <c r="AD7919" s="21">
        <v>0</v>
      </c>
      <c r="AE7919" s="21">
        <v>0</v>
      </c>
      <c r="AF7919" s="21">
        <v>0</v>
      </c>
      <c r="AG7919" s="21">
        <v>0</v>
      </c>
      <c r="AH7919" s="21">
        <f t="shared" si="154"/>
        <v>96</v>
      </c>
      <c r="AI7919" s="21"/>
      <c r="AJ7919" s="21" t="s">
        <v>51</v>
      </c>
      <c r="AK7919" s="21" t="s">
        <v>52</v>
      </c>
      <c r="AL7919" s="21"/>
      <c r="AM7919" s="21" t="s">
        <v>3995</v>
      </c>
      <c r="AN7919" s="21">
        <v>-122.430937483333</v>
      </c>
      <c r="AO7919" s="21">
        <v>37.791050300000002</v>
      </c>
      <c r="AP7919" s="21" t="s">
        <v>1915</v>
      </c>
    </row>
    <row r="7920" spans="1:42">
      <c r="A7920" s="20">
        <v>43857</v>
      </c>
      <c r="B7920" s="21">
        <v>1</v>
      </c>
      <c r="C7920" s="21">
        <v>225</v>
      </c>
      <c r="D7920" s="21">
        <v>14444</v>
      </c>
      <c r="E7920" t="s">
        <v>112</v>
      </c>
      <c r="F7920" s="21" t="s">
        <v>104</v>
      </c>
      <c r="G7920" s="21">
        <v>2</v>
      </c>
      <c r="H7920" s="21">
        <v>34</v>
      </c>
      <c r="I7920" s="23" t="s">
        <v>2536</v>
      </c>
      <c r="J7920" s="21"/>
      <c r="K7920" s="21" t="s">
        <v>596</v>
      </c>
      <c r="L7920" s="21"/>
      <c r="M7920" s="21"/>
      <c r="N7920" s="21" t="s">
        <v>44</v>
      </c>
      <c r="O7920" s="21">
        <f>60+40</f>
        <v>100</v>
      </c>
      <c r="P7920" s="21"/>
      <c r="Q7920" s="21">
        <f t="shared" si="153"/>
        <v>1</v>
      </c>
      <c r="R7920" s="21">
        <v>1</v>
      </c>
      <c r="S7920" s="21">
        <v>0</v>
      </c>
      <c r="T7920" s="21">
        <v>0</v>
      </c>
      <c r="U7920" s="21">
        <v>0</v>
      </c>
      <c r="V7920" s="21">
        <v>0</v>
      </c>
      <c r="W7920" s="21">
        <v>1</v>
      </c>
      <c r="X7920" s="21">
        <v>0</v>
      </c>
      <c r="Y7920" s="21">
        <v>0</v>
      </c>
      <c r="Z7920" s="21">
        <v>0</v>
      </c>
      <c r="AA7920" s="21">
        <v>0</v>
      </c>
      <c r="AB7920" s="21">
        <v>0</v>
      </c>
      <c r="AC7920" s="21">
        <v>0</v>
      </c>
      <c r="AD7920" s="21">
        <v>0</v>
      </c>
      <c r="AE7920" s="21">
        <v>0</v>
      </c>
      <c r="AF7920" s="21">
        <v>0</v>
      </c>
      <c r="AG7920" s="21">
        <v>0</v>
      </c>
      <c r="AH7920" s="21">
        <f t="shared" si="154"/>
        <v>96</v>
      </c>
      <c r="AI7920" s="21"/>
      <c r="AJ7920" s="21" t="s">
        <v>51</v>
      </c>
      <c r="AK7920" s="21" t="s">
        <v>52</v>
      </c>
      <c r="AL7920" s="21"/>
      <c r="AM7920" s="21" t="s">
        <v>3996</v>
      </c>
      <c r="AN7920" s="21">
        <v>-122.430972016667</v>
      </c>
      <c r="AO7920" s="21">
        <v>37.791294600000001</v>
      </c>
      <c r="AP7920" s="21" t="s">
        <v>1915</v>
      </c>
    </row>
    <row r="7921" spans="1:42">
      <c r="A7921" s="20">
        <v>43857</v>
      </c>
      <c r="B7921" s="21">
        <v>1</v>
      </c>
      <c r="C7921" s="21">
        <v>225</v>
      </c>
      <c r="D7921" s="21">
        <v>14444</v>
      </c>
      <c r="E7921" t="s">
        <v>112</v>
      </c>
      <c r="F7921" s="21" t="s">
        <v>104</v>
      </c>
      <c r="G7921" s="21">
        <v>2</v>
      </c>
      <c r="H7921" s="21">
        <v>35</v>
      </c>
      <c r="I7921" s="23" t="s">
        <v>3997</v>
      </c>
      <c r="J7921" s="21"/>
      <c r="K7921" s="21" t="s">
        <v>62</v>
      </c>
      <c r="L7921" s="21"/>
      <c r="M7921" s="21"/>
      <c r="N7921" s="21" t="s">
        <v>44</v>
      </c>
      <c r="O7921" s="21">
        <f>60+18</f>
        <v>78</v>
      </c>
      <c r="P7921" s="21"/>
      <c r="Q7921" s="21">
        <f t="shared" si="153"/>
        <v>1</v>
      </c>
      <c r="R7921" s="21">
        <v>1</v>
      </c>
      <c r="S7921" s="21">
        <v>0</v>
      </c>
      <c r="T7921" s="21">
        <v>0</v>
      </c>
      <c r="U7921" s="21">
        <v>0</v>
      </c>
      <c r="V7921" s="21">
        <v>0</v>
      </c>
      <c r="W7921" s="21">
        <v>1</v>
      </c>
      <c r="X7921" s="21">
        <v>0</v>
      </c>
      <c r="Y7921" s="21">
        <v>0</v>
      </c>
      <c r="Z7921" s="21">
        <v>0</v>
      </c>
      <c r="AA7921" s="21">
        <v>0</v>
      </c>
      <c r="AB7921" s="21">
        <v>0</v>
      </c>
      <c r="AC7921" s="21">
        <v>0</v>
      </c>
      <c r="AD7921" s="21">
        <v>0</v>
      </c>
      <c r="AE7921" s="21">
        <v>0</v>
      </c>
      <c r="AF7921" s="21">
        <v>0</v>
      </c>
      <c r="AG7921" s="21">
        <v>0</v>
      </c>
      <c r="AH7921" s="21">
        <f t="shared" si="154"/>
        <v>96</v>
      </c>
      <c r="AI7921" s="21"/>
      <c r="AJ7921" s="21" t="s">
        <v>51</v>
      </c>
      <c r="AK7921" s="21" t="s">
        <v>95</v>
      </c>
      <c r="AL7921" s="21"/>
      <c r="AM7921" s="21" t="s">
        <v>3998</v>
      </c>
      <c r="AN7921" s="21">
        <v>-122.4299477</v>
      </c>
      <c r="AO7921" s="21">
        <v>37.790192383333299</v>
      </c>
      <c r="AP7921" s="21" t="s">
        <v>1915</v>
      </c>
    </row>
    <row r="7922" spans="1:42">
      <c r="A7922" s="20">
        <v>43857</v>
      </c>
      <c r="B7922" s="21">
        <v>1</v>
      </c>
      <c r="C7922" s="21">
        <v>225</v>
      </c>
      <c r="D7922" s="21">
        <v>14444</v>
      </c>
      <c r="E7922" t="s">
        <v>112</v>
      </c>
      <c r="F7922" s="21" t="s">
        <v>104</v>
      </c>
      <c r="G7922" s="21">
        <v>2</v>
      </c>
      <c r="H7922" s="21">
        <v>36</v>
      </c>
      <c r="I7922" s="23" t="s">
        <v>3999</v>
      </c>
      <c r="J7922" s="21"/>
      <c r="K7922" s="21" t="s">
        <v>62</v>
      </c>
      <c r="L7922" s="21"/>
      <c r="M7922" s="21"/>
      <c r="N7922" s="21" t="s">
        <v>44</v>
      </c>
      <c r="O7922" s="21">
        <f>60+45</f>
        <v>105</v>
      </c>
      <c r="P7922" s="21"/>
      <c r="Q7922" s="21">
        <f t="shared" si="153"/>
        <v>2</v>
      </c>
      <c r="R7922" s="21">
        <v>1</v>
      </c>
      <c r="S7922" s="21">
        <v>0</v>
      </c>
      <c r="T7922" s="21">
        <v>0</v>
      </c>
      <c r="U7922" s="21">
        <v>0</v>
      </c>
      <c r="V7922" s="21">
        <v>1</v>
      </c>
      <c r="W7922" s="21">
        <v>1</v>
      </c>
      <c r="X7922" s="21">
        <v>0</v>
      </c>
      <c r="Y7922" s="21">
        <v>0</v>
      </c>
      <c r="Z7922" s="21">
        <v>0</v>
      </c>
      <c r="AA7922" s="21">
        <v>0</v>
      </c>
      <c r="AB7922" s="21">
        <v>0</v>
      </c>
      <c r="AC7922" s="21">
        <v>0</v>
      </c>
      <c r="AD7922" s="21">
        <v>0</v>
      </c>
      <c r="AE7922" s="21">
        <v>0</v>
      </c>
      <c r="AF7922" s="21">
        <v>0</v>
      </c>
      <c r="AG7922" s="21">
        <v>0</v>
      </c>
      <c r="AH7922" s="21">
        <f t="shared" si="154"/>
        <v>160</v>
      </c>
      <c r="AI7922" s="21"/>
      <c r="AJ7922" s="21" t="s">
        <v>51</v>
      </c>
      <c r="AK7922" s="21" t="s">
        <v>52</v>
      </c>
      <c r="AL7922" s="21" t="s">
        <v>4000</v>
      </c>
      <c r="AM7922" s="21" t="s">
        <v>4001</v>
      </c>
      <c r="AN7922" s="21">
        <v>-122.429894983333</v>
      </c>
      <c r="AO7922" s="21">
        <v>37.790332499999998</v>
      </c>
      <c r="AP7922" s="21" t="s">
        <v>1915</v>
      </c>
    </row>
    <row r="7923" spans="1:42">
      <c r="A7923" s="20">
        <v>43857</v>
      </c>
      <c r="B7923" s="21">
        <v>1</v>
      </c>
      <c r="C7923" s="21">
        <v>225</v>
      </c>
      <c r="D7923" s="21">
        <v>14444</v>
      </c>
      <c r="E7923" t="s">
        <v>112</v>
      </c>
      <c r="F7923" s="21" t="s">
        <v>104</v>
      </c>
      <c r="G7923" s="21">
        <v>2</v>
      </c>
      <c r="H7923" s="21">
        <v>37</v>
      </c>
      <c r="I7923" s="23" t="s">
        <v>4002</v>
      </c>
      <c r="J7923" s="21"/>
      <c r="K7923" s="21" t="s">
        <v>62</v>
      </c>
      <c r="L7923" s="21"/>
      <c r="M7923" s="21"/>
      <c r="N7923" s="21" t="s">
        <v>44</v>
      </c>
      <c r="O7923" s="21">
        <f>60+28</f>
        <v>88</v>
      </c>
      <c r="P7923" s="21"/>
      <c r="Q7923" s="21">
        <f t="shared" si="153"/>
        <v>1</v>
      </c>
      <c r="R7923" s="21">
        <v>1</v>
      </c>
      <c r="S7923" s="21">
        <v>0</v>
      </c>
      <c r="T7923" s="21">
        <v>0</v>
      </c>
      <c r="U7923" s="21">
        <v>0</v>
      </c>
      <c r="V7923" s="21">
        <v>0</v>
      </c>
      <c r="W7923" s="21">
        <v>1</v>
      </c>
      <c r="X7923" s="21">
        <v>0</v>
      </c>
      <c r="Y7923" s="21">
        <v>0</v>
      </c>
      <c r="Z7923" s="21">
        <v>0</v>
      </c>
      <c r="AA7923" s="21">
        <v>0</v>
      </c>
      <c r="AB7923" s="21">
        <v>0</v>
      </c>
      <c r="AC7923" s="21">
        <v>0</v>
      </c>
      <c r="AD7923" s="21">
        <v>0</v>
      </c>
      <c r="AE7923" s="21">
        <v>0</v>
      </c>
      <c r="AF7923" s="21">
        <v>0</v>
      </c>
      <c r="AG7923" s="21">
        <v>0</v>
      </c>
      <c r="AH7923" s="21">
        <f t="shared" si="154"/>
        <v>96</v>
      </c>
      <c r="AI7923" s="21"/>
      <c r="AJ7923" s="21" t="s">
        <v>51</v>
      </c>
      <c r="AK7923" s="21" t="s">
        <v>52</v>
      </c>
      <c r="AL7923" s="21" t="s">
        <v>2111</v>
      </c>
      <c r="AM7923" s="21" t="s">
        <v>4003</v>
      </c>
      <c r="AN7923" s="21">
        <v>-122.429740516667</v>
      </c>
      <c r="AO7923" s="21">
        <v>37.790348100000003</v>
      </c>
      <c r="AP7923" s="21" t="s">
        <v>1915</v>
      </c>
    </row>
    <row r="7924" spans="1:42">
      <c r="A7924" s="20">
        <v>43857</v>
      </c>
      <c r="B7924" s="21">
        <v>1</v>
      </c>
      <c r="C7924" s="21">
        <v>225</v>
      </c>
      <c r="D7924" s="21">
        <v>14444</v>
      </c>
      <c r="E7924" t="s">
        <v>112</v>
      </c>
      <c r="F7924" s="21" t="s">
        <v>104</v>
      </c>
      <c r="G7924" s="21">
        <v>2</v>
      </c>
      <c r="H7924" s="21">
        <v>38</v>
      </c>
      <c r="I7924" s="23" t="s">
        <v>4004</v>
      </c>
      <c r="J7924" s="21"/>
      <c r="K7924" s="21" t="s">
        <v>62</v>
      </c>
      <c r="L7924" s="21"/>
      <c r="M7924" s="21"/>
      <c r="N7924" s="21" t="s">
        <v>44</v>
      </c>
      <c r="O7924" s="21">
        <f>60+60+19</f>
        <v>139</v>
      </c>
      <c r="P7924" s="21"/>
      <c r="Q7924" s="21">
        <f t="shared" si="153"/>
        <v>1</v>
      </c>
      <c r="R7924" s="21">
        <v>1</v>
      </c>
      <c r="S7924" s="21">
        <v>0</v>
      </c>
      <c r="T7924" s="21">
        <v>0</v>
      </c>
      <c r="U7924" s="21">
        <v>0</v>
      </c>
      <c r="V7924" s="21">
        <v>0</v>
      </c>
      <c r="W7924" s="21">
        <v>1</v>
      </c>
      <c r="X7924" s="21">
        <v>0</v>
      </c>
      <c r="Y7924" s="21">
        <v>0</v>
      </c>
      <c r="Z7924" s="21">
        <v>0</v>
      </c>
      <c r="AA7924" s="21">
        <v>0</v>
      </c>
      <c r="AB7924" s="21">
        <v>0</v>
      </c>
      <c r="AC7924" s="21">
        <v>0</v>
      </c>
      <c r="AD7924" s="21">
        <v>0</v>
      </c>
      <c r="AE7924" s="21">
        <v>0</v>
      </c>
      <c r="AF7924" s="21">
        <v>0</v>
      </c>
      <c r="AG7924" s="21">
        <v>0</v>
      </c>
      <c r="AH7924" s="21">
        <f t="shared" si="154"/>
        <v>96</v>
      </c>
      <c r="AI7924" s="21"/>
      <c r="AJ7924" s="21" t="s">
        <v>51</v>
      </c>
      <c r="AK7924" s="21" t="s">
        <v>52</v>
      </c>
      <c r="AL7924" s="21" t="s">
        <v>2110</v>
      </c>
      <c r="AM7924" s="21" t="s">
        <v>4005</v>
      </c>
      <c r="AN7924" s="21">
        <v>-122.429582416667</v>
      </c>
      <c r="AO7924" s="21">
        <v>37.790446266666599</v>
      </c>
      <c r="AP7924" s="21" t="s">
        <v>1915</v>
      </c>
    </row>
    <row r="7925" spans="1:42">
      <c r="A7925" s="20">
        <v>43857</v>
      </c>
      <c r="B7925" s="21">
        <v>1</v>
      </c>
      <c r="C7925" s="21">
        <v>225</v>
      </c>
      <c r="D7925" s="21">
        <v>14444</v>
      </c>
      <c r="E7925" t="s">
        <v>112</v>
      </c>
      <c r="F7925" s="21" t="s">
        <v>104</v>
      </c>
      <c r="G7925" s="21">
        <v>2</v>
      </c>
      <c r="H7925" s="21">
        <v>39</v>
      </c>
      <c r="I7925" s="23" t="s">
        <v>2851</v>
      </c>
      <c r="J7925" s="21"/>
      <c r="K7925" s="21" t="s">
        <v>62</v>
      </c>
      <c r="L7925" s="21"/>
      <c r="M7925" s="21"/>
      <c r="N7925" s="21" t="s">
        <v>44</v>
      </c>
      <c r="O7925" s="21">
        <f>60+60+10</f>
        <v>130</v>
      </c>
      <c r="P7925" s="21"/>
      <c r="Q7925" s="21">
        <f t="shared" si="153"/>
        <v>2</v>
      </c>
      <c r="R7925" s="21">
        <v>1</v>
      </c>
      <c r="S7925" s="21">
        <v>0</v>
      </c>
      <c r="T7925" s="21">
        <v>0</v>
      </c>
      <c r="U7925" s="21">
        <v>1</v>
      </c>
      <c r="V7925" s="21">
        <v>1</v>
      </c>
      <c r="W7925" s="21">
        <v>0</v>
      </c>
      <c r="X7925" s="21">
        <v>0</v>
      </c>
      <c r="Y7925" s="21">
        <v>0</v>
      </c>
      <c r="Z7925" s="21">
        <v>0</v>
      </c>
      <c r="AA7925" s="21">
        <v>0</v>
      </c>
      <c r="AB7925" s="21">
        <v>0</v>
      </c>
      <c r="AC7925" s="21">
        <v>0</v>
      </c>
      <c r="AD7925" s="21">
        <v>0</v>
      </c>
      <c r="AE7925" s="21">
        <v>0</v>
      </c>
      <c r="AF7925" s="21">
        <v>0</v>
      </c>
      <c r="AG7925" s="21">
        <v>0</v>
      </c>
      <c r="AH7925" s="21">
        <f t="shared" si="154"/>
        <v>96</v>
      </c>
      <c r="AI7925" s="21"/>
      <c r="AJ7925" s="21" t="s">
        <v>51</v>
      </c>
      <c r="AK7925" s="21" t="s">
        <v>52</v>
      </c>
      <c r="AL7925" s="21" t="s">
        <v>2111</v>
      </c>
      <c r="AM7925" s="21" t="s">
        <v>4006</v>
      </c>
      <c r="AN7925" s="21">
        <v>-122.42939926666701</v>
      </c>
      <c r="AO7925" s="21">
        <v>37.790428483333301</v>
      </c>
      <c r="AP7925" s="21" t="s">
        <v>1915</v>
      </c>
    </row>
    <row r="7926" spans="1:42">
      <c r="A7926" s="20">
        <v>43857</v>
      </c>
      <c r="B7926" s="21">
        <v>1</v>
      </c>
      <c r="C7926" s="21">
        <v>225</v>
      </c>
      <c r="D7926" s="21">
        <v>14444</v>
      </c>
      <c r="E7926" t="s">
        <v>112</v>
      </c>
      <c r="F7926" s="21" t="s">
        <v>104</v>
      </c>
      <c r="G7926" s="21">
        <v>2</v>
      </c>
      <c r="H7926" s="21">
        <v>40</v>
      </c>
      <c r="I7926" s="23" t="s">
        <v>2536</v>
      </c>
      <c r="J7926" s="21"/>
      <c r="K7926" s="21" t="s">
        <v>588</v>
      </c>
      <c r="L7926" s="21"/>
      <c r="M7926" s="21"/>
      <c r="N7926" s="21" t="s">
        <v>44</v>
      </c>
      <c r="O7926" s="21">
        <f>60+60+60</f>
        <v>180</v>
      </c>
      <c r="P7926" s="21"/>
      <c r="Q7926" s="21">
        <f t="shared" si="153"/>
        <v>6</v>
      </c>
      <c r="R7926" s="21">
        <v>1</v>
      </c>
      <c r="S7926" s="21">
        <v>0</v>
      </c>
      <c r="T7926" s="21">
        <v>0</v>
      </c>
      <c r="U7926" s="21">
        <v>0</v>
      </c>
      <c r="V7926" s="21">
        <v>6</v>
      </c>
      <c r="W7926" s="21">
        <v>0</v>
      </c>
      <c r="X7926" s="21">
        <v>0</v>
      </c>
      <c r="Y7926" s="21">
        <v>0</v>
      </c>
      <c r="Z7926" s="21">
        <v>0</v>
      </c>
      <c r="AA7926" s="21">
        <v>0</v>
      </c>
      <c r="AB7926" s="21">
        <v>0</v>
      </c>
      <c r="AC7926" s="21">
        <v>0</v>
      </c>
      <c r="AD7926" s="21">
        <v>0</v>
      </c>
      <c r="AE7926" s="21">
        <v>0</v>
      </c>
      <c r="AF7926" s="21">
        <v>0</v>
      </c>
      <c r="AG7926" s="21">
        <v>0</v>
      </c>
      <c r="AH7926" s="21">
        <f t="shared" si="154"/>
        <v>384</v>
      </c>
      <c r="AI7926" s="21"/>
      <c r="AJ7926" s="21" t="s">
        <v>54</v>
      </c>
      <c r="AK7926" s="21" t="s">
        <v>95</v>
      </c>
      <c r="AL7926" s="21" t="s">
        <v>4007</v>
      </c>
      <c r="AM7926" s="21" t="s">
        <v>4008</v>
      </c>
      <c r="AN7926" s="21">
        <v>-122.4294467</v>
      </c>
      <c r="AO7926" s="21">
        <v>37.792545033333298</v>
      </c>
      <c r="AP7926" s="21" t="s">
        <v>1915</v>
      </c>
    </row>
    <row r="7927" spans="1:42">
      <c r="A7927" s="20">
        <v>43857</v>
      </c>
      <c r="B7927" s="21">
        <v>1</v>
      </c>
      <c r="C7927" s="21">
        <v>225</v>
      </c>
      <c r="D7927" s="21">
        <v>14444</v>
      </c>
      <c r="E7927" t="s">
        <v>112</v>
      </c>
      <c r="F7927" s="21" t="s">
        <v>104</v>
      </c>
      <c r="G7927" s="21">
        <v>2</v>
      </c>
      <c r="H7927" s="21">
        <v>41</v>
      </c>
      <c r="I7927" s="23" t="s">
        <v>4009</v>
      </c>
      <c r="J7927" s="21"/>
      <c r="K7927" s="21" t="s">
        <v>647</v>
      </c>
      <c r="L7927" s="21"/>
      <c r="M7927" s="21"/>
      <c r="N7927" s="21" t="s">
        <v>44</v>
      </c>
      <c r="O7927" s="21">
        <f>60+60+26</f>
        <v>146</v>
      </c>
      <c r="P7927" s="21"/>
      <c r="Q7927" s="21">
        <f t="shared" si="153"/>
        <v>2</v>
      </c>
      <c r="R7927" s="21">
        <v>1</v>
      </c>
      <c r="S7927" s="21">
        <v>0</v>
      </c>
      <c r="T7927" s="21">
        <v>0</v>
      </c>
      <c r="U7927" s="21">
        <v>0</v>
      </c>
      <c r="V7927" s="21">
        <v>1</v>
      </c>
      <c r="W7927" s="21">
        <v>1</v>
      </c>
      <c r="X7927" s="21">
        <v>0</v>
      </c>
      <c r="Y7927" s="21">
        <v>0</v>
      </c>
      <c r="Z7927" s="21">
        <v>0</v>
      </c>
      <c r="AA7927" s="21">
        <v>0</v>
      </c>
      <c r="AB7927" s="21">
        <v>0</v>
      </c>
      <c r="AC7927" s="21">
        <v>0</v>
      </c>
      <c r="AD7927" s="21">
        <v>0</v>
      </c>
      <c r="AE7927" s="21">
        <v>0</v>
      </c>
      <c r="AF7927" s="21">
        <v>0</v>
      </c>
      <c r="AG7927" s="21">
        <v>0</v>
      </c>
      <c r="AH7927" s="21">
        <f t="shared" si="154"/>
        <v>160</v>
      </c>
      <c r="AI7927" s="21"/>
      <c r="AJ7927" s="21" t="s">
        <v>54</v>
      </c>
      <c r="AK7927" s="21" t="s">
        <v>52</v>
      </c>
      <c r="AL7927" s="21" t="s">
        <v>2788</v>
      </c>
      <c r="AM7927" s="21" t="s">
        <v>4010</v>
      </c>
      <c r="AN7927" s="21">
        <v>-122.42951461666701</v>
      </c>
      <c r="AO7927" s="21">
        <v>37.7929170833333</v>
      </c>
      <c r="AP7927" s="21" t="s">
        <v>1915</v>
      </c>
    </row>
    <row r="7928" spans="1:42">
      <c r="A7928" s="20">
        <v>43857</v>
      </c>
      <c r="B7928" s="21">
        <v>1</v>
      </c>
      <c r="C7928" s="21">
        <v>225</v>
      </c>
      <c r="D7928" s="21">
        <v>14444</v>
      </c>
      <c r="E7928" t="s">
        <v>112</v>
      </c>
      <c r="F7928" s="21" t="s">
        <v>104</v>
      </c>
      <c r="G7928" s="21">
        <v>2</v>
      </c>
      <c r="H7928" s="21">
        <v>42</v>
      </c>
      <c r="I7928" s="23" t="s">
        <v>4011</v>
      </c>
      <c r="J7928" s="21"/>
      <c r="K7928" s="21"/>
      <c r="L7928" s="21"/>
      <c r="M7928" s="21"/>
      <c r="N7928" s="21" t="s">
        <v>44</v>
      </c>
      <c r="O7928" s="21">
        <v>70</v>
      </c>
      <c r="P7928" s="21"/>
      <c r="Q7928" s="21">
        <f t="shared" si="153"/>
        <v>1</v>
      </c>
      <c r="R7928" s="21">
        <v>1</v>
      </c>
      <c r="S7928" s="21">
        <v>0</v>
      </c>
      <c r="T7928" s="21">
        <v>0</v>
      </c>
      <c r="U7928" s="21">
        <v>0</v>
      </c>
      <c r="V7928" s="21">
        <v>0</v>
      </c>
      <c r="W7928" s="21">
        <v>1</v>
      </c>
      <c r="X7928" s="21">
        <v>0</v>
      </c>
      <c r="Y7928" s="21">
        <v>0</v>
      </c>
      <c r="Z7928" s="21">
        <v>0</v>
      </c>
      <c r="AA7928" s="21">
        <v>0</v>
      </c>
      <c r="AB7928" s="21">
        <v>0</v>
      </c>
      <c r="AC7928" s="21">
        <v>0</v>
      </c>
      <c r="AD7928" s="21">
        <v>0</v>
      </c>
      <c r="AE7928" s="21">
        <v>0</v>
      </c>
      <c r="AF7928" s="21">
        <v>0</v>
      </c>
      <c r="AG7928" s="21">
        <v>0</v>
      </c>
      <c r="AH7928" s="21">
        <f t="shared" si="154"/>
        <v>96</v>
      </c>
      <c r="AI7928" s="21"/>
      <c r="AJ7928" s="21" t="s">
        <v>51</v>
      </c>
      <c r="AK7928" s="21" t="s">
        <v>52</v>
      </c>
      <c r="AL7928" s="21" t="s">
        <v>2788</v>
      </c>
      <c r="AM7928" s="21" t="s">
        <v>4012</v>
      </c>
      <c r="AN7928" s="21">
        <v>-122.429666683333</v>
      </c>
      <c r="AO7928" s="21">
        <v>37.791950616666597</v>
      </c>
      <c r="AP7928" s="21" t="s">
        <v>1915</v>
      </c>
    </row>
    <row r="7929" spans="1:42">
      <c r="A7929" s="20">
        <v>43857</v>
      </c>
      <c r="B7929" s="21">
        <v>1</v>
      </c>
      <c r="C7929" s="21">
        <v>225</v>
      </c>
      <c r="D7929" s="21">
        <v>14444</v>
      </c>
      <c r="E7929" t="s">
        <v>112</v>
      </c>
      <c r="F7929" s="21" t="s">
        <v>104</v>
      </c>
      <c r="G7929" s="21">
        <v>2</v>
      </c>
      <c r="H7929" s="21">
        <v>43</v>
      </c>
      <c r="I7929" s="23" t="s">
        <v>2603</v>
      </c>
      <c r="J7929" s="21"/>
      <c r="K7929" s="21" t="s">
        <v>588</v>
      </c>
      <c r="L7929" s="21"/>
      <c r="M7929" s="21"/>
      <c r="N7929" s="21" t="s">
        <v>44</v>
      </c>
      <c r="O7929" s="21">
        <f>60+27</f>
        <v>87</v>
      </c>
      <c r="P7929" s="21"/>
      <c r="Q7929" s="21">
        <f t="shared" si="153"/>
        <v>1</v>
      </c>
      <c r="R7929" s="21">
        <v>1</v>
      </c>
      <c r="S7929" s="21">
        <v>0</v>
      </c>
      <c r="T7929" s="21">
        <v>0</v>
      </c>
      <c r="U7929" s="21">
        <v>0</v>
      </c>
      <c r="V7929" s="21">
        <v>0</v>
      </c>
      <c r="W7929" s="21">
        <v>1</v>
      </c>
      <c r="X7929" s="21">
        <v>0</v>
      </c>
      <c r="Y7929" s="21">
        <v>0</v>
      </c>
      <c r="Z7929" s="21">
        <v>0</v>
      </c>
      <c r="AA7929" s="21">
        <v>0</v>
      </c>
      <c r="AB7929" s="21">
        <v>0</v>
      </c>
      <c r="AC7929" s="21">
        <v>0</v>
      </c>
      <c r="AD7929" s="21">
        <v>0</v>
      </c>
      <c r="AE7929" s="21">
        <v>0</v>
      </c>
      <c r="AF7929" s="21">
        <v>0</v>
      </c>
      <c r="AG7929" s="21">
        <v>0</v>
      </c>
      <c r="AH7929" s="21">
        <f t="shared" si="154"/>
        <v>96</v>
      </c>
      <c r="AI7929" s="21"/>
      <c r="AJ7929" s="21"/>
      <c r="AK7929" s="21"/>
      <c r="AL7929" s="21"/>
      <c r="AM7929" s="21" t="s">
        <v>4013</v>
      </c>
      <c r="AN7929" s="21">
        <v>-122.42925295000001</v>
      </c>
      <c r="AO7929" s="21">
        <v>37.790887466666703</v>
      </c>
      <c r="AP7929" s="21" t="s">
        <v>1915</v>
      </c>
    </row>
    <row r="7930" spans="1:42">
      <c r="A7930" s="20">
        <v>43857</v>
      </c>
      <c r="B7930" s="21">
        <v>1</v>
      </c>
      <c r="C7930" s="21">
        <v>225</v>
      </c>
      <c r="D7930" s="21">
        <v>14444</v>
      </c>
      <c r="E7930" t="s">
        <v>112</v>
      </c>
      <c r="F7930" s="21" t="s">
        <v>104</v>
      </c>
      <c r="G7930" s="21">
        <v>2</v>
      </c>
      <c r="H7930" s="21">
        <v>44</v>
      </c>
      <c r="I7930" s="23" t="s">
        <v>4014</v>
      </c>
      <c r="J7930" s="21"/>
      <c r="K7930" s="21" t="s">
        <v>62</v>
      </c>
      <c r="L7930" s="21"/>
      <c r="M7930" s="21"/>
      <c r="N7930" s="21" t="s">
        <v>44</v>
      </c>
      <c r="O7930" s="21">
        <f>60+35</f>
        <v>95</v>
      </c>
      <c r="P7930" s="21"/>
      <c r="Q7930" s="21">
        <f t="shared" si="153"/>
        <v>1</v>
      </c>
      <c r="R7930" s="21">
        <v>1</v>
      </c>
      <c r="S7930" s="21">
        <v>0</v>
      </c>
      <c r="T7930" s="21">
        <v>0</v>
      </c>
      <c r="U7930" s="21">
        <v>0</v>
      </c>
      <c r="V7930" s="21">
        <v>0</v>
      </c>
      <c r="W7930" s="21">
        <v>1</v>
      </c>
      <c r="X7930" s="21">
        <v>0</v>
      </c>
      <c r="Y7930" s="21">
        <v>0</v>
      </c>
      <c r="Z7930" s="21">
        <v>0</v>
      </c>
      <c r="AA7930" s="21">
        <v>0</v>
      </c>
      <c r="AB7930" s="21">
        <v>0</v>
      </c>
      <c r="AC7930" s="21">
        <v>0</v>
      </c>
      <c r="AD7930" s="21">
        <v>0</v>
      </c>
      <c r="AE7930" s="21">
        <v>0</v>
      </c>
      <c r="AF7930" s="21">
        <v>0</v>
      </c>
      <c r="AG7930" s="21">
        <v>0</v>
      </c>
      <c r="AH7930" s="21">
        <f t="shared" si="154"/>
        <v>96</v>
      </c>
      <c r="AI7930" s="21"/>
      <c r="AJ7930" s="21" t="s">
        <v>54</v>
      </c>
      <c r="AK7930" s="21" t="s">
        <v>95</v>
      </c>
      <c r="AL7930" s="21"/>
      <c r="AM7930" s="21" t="s">
        <v>4015</v>
      </c>
      <c r="AN7930" s="21">
        <v>-122.42842493333301</v>
      </c>
      <c r="AO7930" s="21">
        <v>37.790717683333298</v>
      </c>
      <c r="AP7930" s="21" t="s">
        <v>1915</v>
      </c>
    </row>
    <row r="7931" spans="1:42">
      <c r="A7931" s="20">
        <v>43857</v>
      </c>
      <c r="B7931" s="21">
        <v>1</v>
      </c>
      <c r="C7931" s="21">
        <v>225</v>
      </c>
      <c r="D7931" s="21">
        <v>14444</v>
      </c>
      <c r="E7931" t="s">
        <v>112</v>
      </c>
      <c r="F7931" s="21" t="s">
        <v>104</v>
      </c>
      <c r="G7931" s="21">
        <v>2</v>
      </c>
      <c r="H7931" s="21">
        <v>45</v>
      </c>
      <c r="I7931" s="23" t="s">
        <v>4016</v>
      </c>
      <c r="J7931" s="21"/>
      <c r="K7931" s="21" t="s">
        <v>62</v>
      </c>
      <c r="L7931" s="21"/>
      <c r="M7931" s="21"/>
      <c r="N7931" s="21" t="s">
        <v>44</v>
      </c>
      <c r="O7931" s="21">
        <f>60+36</f>
        <v>96</v>
      </c>
      <c r="P7931" s="21"/>
      <c r="Q7931" s="21">
        <f t="shared" si="153"/>
        <v>1</v>
      </c>
      <c r="R7931" s="21">
        <v>1</v>
      </c>
      <c r="S7931" s="21">
        <v>0</v>
      </c>
      <c r="T7931" s="21">
        <v>0</v>
      </c>
      <c r="U7931" s="21">
        <v>0</v>
      </c>
      <c r="V7931" s="21">
        <v>0</v>
      </c>
      <c r="W7931" s="21">
        <v>1</v>
      </c>
      <c r="X7931" s="21">
        <v>0</v>
      </c>
      <c r="Y7931" s="21">
        <v>0</v>
      </c>
      <c r="Z7931" s="21">
        <v>0</v>
      </c>
      <c r="AA7931" s="21">
        <v>0</v>
      </c>
      <c r="AB7931" s="21">
        <v>0</v>
      </c>
      <c r="AC7931" s="21">
        <v>0</v>
      </c>
      <c r="AD7931" s="21">
        <v>0</v>
      </c>
      <c r="AE7931" s="21">
        <v>0</v>
      </c>
      <c r="AF7931" s="21">
        <v>0</v>
      </c>
      <c r="AG7931" s="21">
        <v>0</v>
      </c>
      <c r="AH7931" s="21">
        <f t="shared" si="154"/>
        <v>96</v>
      </c>
      <c r="AI7931" s="21"/>
      <c r="AJ7931" s="21" t="s">
        <v>54</v>
      </c>
      <c r="AK7931" s="21" t="s">
        <v>95</v>
      </c>
      <c r="AL7931" s="21" t="s">
        <v>2110</v>
      </c>
      <c r="AM7931" s="21" t="s">
        <v>4017</v>
      </c>
      <c r="AN7931" s="21">
        <v>-122.428593983333</v>
      </c>
      <c r="AO7931" s="21">
        <v>37.790461366666598</v>
      </c>
      <c r="AP7931" s="21" t="s">
        <v>1915</v>
      </c>
    </row>
    <row r="7932" spans="1:42">
      <c r="A7932" s="20">
        <v>43857</v>
      </c>
      <c r="B7932" s="21">
        <v>1</v>
      </c>
      <c r="C7932" s="21">
        <v>225</v>
      </c>
      <c r="D7932" s="21">
        <v>14444</v>
      </c>
      <c r="E7932" t="s">
        <v>112</v>
      </c>
      <c r="F7932" s="21" t="s">
        <v>104</v>
      </c>
      <c r="G7932" s="21">
        <v>2</v>
      </c>
      <c r="H7932" s="21">
        <v>46</v>
      </c>
      <c r="I7932" s="23" t="s">
        <v>4018</v>
      </c>
      <c r="J7932" s="21"/>
      <c r="K7932" s="21" t="s">
        <v>62</v>
      </c>
      <c r="L7932" s="21"/>
      <c r="M7932" s="21"/>
      <c r="N7932" s="21" t="s">
        <v>42</v>
      </c>
      <c r="O7932" s="21">
        <f>60+60+60+30</f>
        <v>210</v>
      </c>
      <c r="P7932" s="21"/>
      <c r="Q7932" s="21">
        <f t="shared" si="153"/>
        <v>3</v>
      </c>
      <c r="R7932" s="21">
        <v>1</v>
      </c>
      <c r="S7932" s="21">
        <v>0</v>
      </c>
      <c r="T7932" s="21">
        <v>0</v>
      </c>
      <c r="U7932" s="21">
        <v>0</v>
      </c>
      <c r="V7932" s="21">
        <v>0</v>
      </c>
      <c r="W7932" s="21">
        <v>3</v>
      </c>
      <c r="X7932" s="21">
        <v>0</v>
      </c>
      <c r="Y7932" s="21">
        <v>0</v>
      </c>
      <c r="Z7932" s="21">
        <v>0</v>
      </c>
      <c r="AA7932" s="21">
        <v>0</v>
      </c>
      <c r="AB7932" s="21">
        <v>0</v>
      </c>
      <c r="AC7932" s="21">
        <v>0</v>
      </c>
      <c r="AD7932" s="21">
        <v>0</v>
      </c>
      <c r="AE7932" s="21">
        <v>0</v>
      </c>
      <c r="AF7932" s="21">
        <v>0</v>
      </c>
      <c r="AG7932" s="21">
        <v>0</v>
      </c>
      <c r="AH7932" s="21">
        <f t="shared" si="154"/>
        <v>288</v>
      </c>
      <c r="AI7932" s="21"/>
      <c r="AJ7932" s="21" t="s">
        <v>54</v>
      </c>
      <c r="AK7932" s="21" t="s">
        <v>52</v>
      </c>
      <c r="AL7932" s="21" t="s">
        <v>4019</v>
      </c>
      <c r="AM7932" s="21" t="s">
        <v>4020</v>
      </c>
      <c r="AN7932" s="21">
        <v>-122.428206766667</v>
      </c>
      <c r="AO7932" s="21">
        <v>37.790584150000001</v>
      </c>
      <c r="AP7932" s="21" t="s">
        <v>1915</v>
      </c>
    </row>
    <row r="7933" spans="1:42">
      <c r="A7933" s="20">
        <v>43857</v>
      </c>
      <c r="B7933" s="21">
        <v>1</v>
      </c>
      <c r="C7933" s="21">
        <v>225</v>
      </c>
      <c r="D7933" s="21">
        <v>14444</v>
      </c>
      <c r="E7933" t="s">
        <v>112</v>
      </c>
      <c r="F7933" s="21" t="s">
        <v>104</v>
      </c>
      <c r="G7933" s="21">
        <v>2</v>
      </c>
      <c r="H7933" s="21">
        <v>47</v>
      </c>
      <c r="I7933" s="23" t="s">
        <v>4021</v>
      </c>
      <c r="J7933" s="21"/>
      <c r="K7933" s="21" t="s">
        <v>62</v>
      </c>
      <c r="L7933" s="21"/>
      <c r="M7933" s="21"/>
      <c r="N7933" s="21" t="s">
        <v>40</v>
      </c>
      <c r="O7933" s="21">
        <f>60+60+60+6</f>
        <v>186</v>
      </c>
      <c r="P7933" s="21"/>
      <c r="Q7933" s="21">
        <f t="shared" si="153"/>
        <v>3</v>
      </c>
      <c r="R7933" s="21">
        <v>1</v>
      </c>
      <c r="S7933" s="21">
        <v>0</v>
      </c>
      <c r="T7933" s="21">
        <v>0</v>
      </c>
      <c r="U7933" s="21">
        <v>0</v>
      </c>
      <c r="V7933" s="21">
        <v>1</v>
      </c>
      <c r="W7933" s="21">
        <v>2</v>
      </c>
      <c r="X7933" s="21">
        <v>0</v>
      </c>
      <c r="Y7933" s="21">
        <v>0</v>
      </c>
      <c r="Z7933" s="21">
        <v>0</v>
      </c>
      <c r="AA7933" s="21">
        <v>0</v>
      </c>
      <c r="AB7933" s="21">
        <v>0</v>
      </c>
      <c r="AC7933" s="21">
        <v>0</v>
      </c>
      <c r="AD7933" s="21">
        <v>0</v>
      </c>
      <c r="AE7933" s="21">
        <v>0</v>
      </c>
      <c r="AF7933" s="21">
        <v>0</v>
      </c>
      <c r="AG7933" s="21">
        <v>0</v>
      </c>
      <c r="AH7933" s="21">
        <f t="shared" si="154"/>
        <v>256</v>
      </c>
      <c r="AI7933" s="21"/>
      <c r="AJ7933" s="21" t="s">
        <v>51</v>
      </c>
      <c r="AK7933" s="21" t="s">
        <v>95</v>
      </c>
      <c r="AL7933" s="21" t="s">
        <v>4022</v>
      </c>
      <c r="AM7933" s="21" t="s">
        <v>4023</v>
      </c>
      <c r="AN7933" s="21">
        <v>-122.427727066667</v>
      </c>
      <c r="AO7933" s="21">
        <v>37.790666233333297</v>
      </c>
      <c r="AP7933" s="21" t="s">
        <v>1915</v>
      </c>
    </row>
    <row r="7934" spans="1:42">
      <c r="A7934" s="20">
        <v>43857</v>
      </c>
      <c r="B7934" s="21">
        <v>1</v>
      </c>
      <c r="C7934" s="21">
        <v>225</v>
      </c>
      <c r="D7934" s="21">
        <v>14444</v>
      </c>
      <c r="E7934" t="s">
        <v>112</v>
      </c>
      <c r="F7934" s="21" t="s">
        <v>104</v>
      </c>
      <c r="G7934" s="21">
        <v>2</v>
      </c>
      <c r="H7934" s="21">
        <v>48</v>
      </c>
      <c r="I7934" s="23" t="s">
        <v>2791</v>
      </c>
      <c r="J7934" s="21"/>
      <c r="K7934" s="21" t="s">
        <v>595</v>
      </c>
      <c r="L7934" s="21"/>
      <c r="M7934" s="21"/>
      <c r="N7934" s="21" t="s">
        <v>44</v>
      </c>
      <c r="O7934" s="21">
        <f>60+47</f>
        <v>107</v>
      </c>
      <c r="P7934" s="21"/>
      <c r="Q7934" s="21">
        <f t="shared" si="153"/>
        <v>2</v>
      </c>
      <c r="R7934" s="21">
        <v>1</v>
      </c>
      <c r="S7934" s="21">
        <v>0</v>
      </c>
      <c r="T7934" s="21">
        <v>0</v>
      </c>
      <c r="U7934" s="21">
        <v>0</v>
      </c>
      <c r="V7934" s="21">
        <v>1</v>
      </c>
      <c r="W7934" s="21">
        <v>1</v>
      </c>
      <c r="X7934" s="21">
        <v>0</v>
      </c>
      <c r="Y7934" s="21">
        <v>0</v>
      </c>
      <c r="Z7934" s="21">
        <v>0</v>
      </c>
      <c r="AA7934" s="21">
        <v>0</v>
      </c>
      <c r="AB7934" s="21">
        <v>0</v>
      </c>
      <c r="AC7934" s="21">
        <v>0</v>
      </c>
      <c r="AD7934" s="21">
        <v>0</v>
      </c>
      <c r="AE7934" s="21">
        <v>0</v>
      </c>
      <c r="AF7934" s="21">
        <v>0</v>
      </c>
      <c r="AG7934" s="21">
        <v>0</v>
      </c>
      <c r="AH7934" s="21">
        <f t="shared" si="154"/>
        <v>160</v>
      </c>
      <c r="AI7934" s="21"/>
      <c r="AJ7934" s="21" t="s">
        <v>54</v>
      </c>
      <c r="AK7934" s="21" t="s">
        <v>52</v>
      </c>
      <c r="AL7934" s="21" t="s">
        <v>1944</v>
      </c>
      <c r="AM7934" s="21" t="s">
        <v>4024</v>
      </c>
      <c r="AN7934" s="21">
        <v>-122.4274578</v>
      </c>
      <c r="AO7934" s="21">
        <v>37.790343433333298</v>
      </c>
      <c r="AP7934" s="21" t="s">
        <v>1915</v>
      </c>
    </row>
    <row r="7935" spans="1:42">
      <c r="A7935" s="20">
        <v>43857</v>
      </c>
      <c r="B7935" s="21">
        <v>1</v>
      </c>
      <c r="C7935" s="21">
        <v>225</v>
      </c>
      <c r="D7935" s="21">
        <v>14444</v>
      </c>
      <c r="E7935" t="s">
        <v>112</v>
      </c>
      <c r="F7935" s="21" t="s">
        <v>104</v>
      </c>
      <c r="G7935" s="21">
        <v>2</v>
      </c>
      <c r="H7935" s="21">
        <v>49</v>
      </c>
      <c r="I7935" s="23" t="s">
        <v>4025</v>
      </c>
      <c r="J7935" s="21"/>
      <c r="K7935" s="21" t="s">
        <v>595</v>
      </c>
      <c r="L7935" s="21"/>
      <c r="M7935" s="21"/>
      <c r="N7935" s="21" t="s">
        <v>44</v>
      </c>
      <c r="O7935" s="21">
        <v>60</v>
      </c>
      <c r="P7935" s="21"/>
      <c r="Q7935" s="21">
        <f t="shared" si="153"/>
        <v>1</v>
      </c>
      <c r="R7935" s="21">
        <v>1</v>
      </c>
      <c r="S7935" s="21">
        <v>0</v>
      </c>
      <c r="T7935" s="21">
        <v>0</v>
      </c>
      <c r="U7935" s="21">
        <v>0</v>
      </c>
      <c r="V7935" s="21">
        <v>0</v>
      </c>
      <c r="W7935" s="21">
        <v>1</v>
      </c>
      <c r="X7935" s="21">
        <v>0</v>
      </c>
      <c r="Y7935" s="21">
        <v>0</v>
      </c>
      <c r="Z7935" s="21">
        <v>0</v>
      </c>
      <c r="AA7935" s="21">
        <v>0</v>
      </c>
      <c r="AB7935" s="21">
        <v>0</v>
      </c>
      <c r="AC7935" s="21">
        <v>0</v>
      </c>
      <c r="AD7935" s="21">
        <v>0</v>
      </c>
      <c r="AE7935" s="21">
        <v>0</v>
      </c>
      <c r="AF7935" s="21">
        <v>0</v>
      </c>
      <c r="AG7935" s="21">
        <v>0</v>
      </c>
      <c r="AH7935" s="21">
        <f t="shared" si="154"/>
        <v>96</v>
      </c>
      <c r="AI7935" s="21"/>
      <c r="AJ7935" s="21" t="s">
        <v>54</v>
      </c>
      <c r="AK7935" s="21" t="s">
        <v>52</v>
      </c>
      <c r="AL7935" s="21" t="s">
        <v>4026</v>
      </c>
      <c r="AM7935" s="21" t="s">
        <v>4027</v>
      </c>
      <c r="AN7935" s="21">
        <v>-122.42738774999999</v>
      </c>
      <c r="AO7935" s="21">
        <v>37.790178283333297</v>
      </c>
      <c r="AP7935" s="21" t="s">
        <v>1915</v>
      </c>
    </row>
    <row r="7936" spans="1:42">
      <c r="A7936" s="20">
        <v>43857</v>
      </c>
      <c r="B7936" s="21">
        <v>1</v>
      </c>
      <c r="C7936" s="21">
        <v>225</v>
      </c>
      <c r="D7936" s="21">
        <v>14444</v>
      </c>
      <c r="E7936" t="s">
        <v>112</v>
      </c>
      <c r="F7936" s="21" t="s">
        <v>104</v>
      </c>
      <c r="G7936" s="21">
        <v>2</v>
      </c>
      <c r="H7936" s="21">
        <v>50</v>
      </c>
      <c r="I7936" s="23" t="s">
        <v>2551</v>
      </c>
      <c r="J7936" s="21"/>
      <c r="K7936" s="21" t="s">
        <v>2125</v>
      </c>
      <c r="L7936" s="21"/>
      <c r="M7936" s="21"/>
      <c r="N7936" s="21" t="s">
        <v>44</v>
      </c>
      <c r="O7936" s="21">
        <f>60+60+3</f>
        <v>123</v>
      </c>
      <c r="P7936" s="21"/>
      <c r="Q7936" s="21">
        <f t="shared" ref="Q7936:Q7999" si="155">SUM(S7936:AE7936)</f>
        <v>2</v>
      </c>
      <c r="R7936" s="21">
        <v>1</v>
      </c>
      <c r="S7936" s="21">
        <v>0</v>
      </c>
      <c r="T7936" s="21">
        <v>0</v>
      </c>
      <c r="U7936" s="21">
        <v>1</v>
      </c>
      <c r="V7936" s="21">
        <v>0</v>
      </c>
      <c r="W7936" s="21">
        <v>1</v>
      </c>
      <c r="X7936" s="21">
        <v>0</v>
      </c>
      <c r="Y7936" s="21">
        <v>0</v>
      </c>
      <c r="Z7936" s="21">
        <v>0</v>
      </c>
      <c r="AA7936" s="21">
        <v>0</v>
      </c>
      <c r="AB7936" s="21">
        <v>0</v>
      </c>
      <c r="AC7936" s="21">
        <v>0</v>
      </c>
      <c r="AD7936" s="21">
        <v>0</v>
      </c>
      <c r="AE7936" s="21">
        <v>0</v>
      </c>
      <c r="AF7936" s="21">
        <v>0</v>
      </c>
      <c r="AG7936" s="21">
        <v>0</v>
      </c>
      <c r="AH7936" s="21">
        <f t="shared" ref="AH7936:AH7999" si="156">(S7936*16)+(T7936*20)+(U7936*32)+(V7936*64)+(W7936*96)</f>
        <v>128</v>
      </c>
      <c r="AI7936" s="21"/>
      <c r="AJ7936" s="21" t="s">
        <v>54</v>
      </c>
      <c r="AK7936" s="21" t="s">
        <v>52</v>
      </c>
      <c r="AL7936" s="21"/>
      <c r="AM7936" s="21" t="s">
        <v>4028</v>
      </c>
      <c r="AN7936" s="21">
        <v>-122.42715235</v>
      </c>
      <c r="AO7936" s="21">
        <v>37.789761550000001</v>
      </c>
      <c r="AP7936" s="21" t="s">
        <v>1915</v>
      </c>
    </row>
    <row r="7937" spans="1:42">
      <c r="A7937" s="20">
        <v>43857</v>
      </c>
      <c r="B7937" s="21">
        <v>1</v>
      </c>
      <c r="C7937" s="21">
        <v>225</v>
      </c>
      <c r="D7937" s="21">
        <v>14444</v>
      </c>
      <c r="E7937" t="s">
        <v>112</v>
      </c>
      <c r="F7937" s="21" t="s">
        <v>104</v>
      </c>
      <c r="G7937" s="21">
        <v>2</v>
      </c>
      <c r="H7937" s="21">
        <v>51</v>
      </c>
      <c r="I7937" s="23" t="s">
        <v>2969</v>
      </c>
      <c r="J7937" s="21"/>
      <c r="K7937" s="21" t="s">
        <v>2125</v>
      </c>
      <c r="L7937" s="21"/>
      <c r="M7937" s="21"/>
      <c r="N7937" s="21" t="s">
        <v>44</v>
      </c>
      <c r="O7937" s="21">
        <v>61</v>
      </c>
      <c r="P7937" s="21"/>
      <c r="Q7937" s="21">
        <f t="shared" si="155"/>
        <v>1</v>
      </c>
      <c r="R7937" s="21">
        <v>1</v>
      </c>
      <c r="S7937" s="21">
        <v>0</v>
      </c>
      <c r="T7937" s="21">
        <v>0</v>
      </c>
      <c r="U7937" s="21">
        <v>0</v>
      </c>
      <c r="V7937" s="21">
        <v>0</v>
      </c>
      <c r="W7937" s="21">
        <v>1</v>
      </c>
      <c r="X7937" s="21">
        <v>0</v>
      </c>
      <c r="Y7937" s="21">
        <v>0</v>
      </c>
      <c r="Z7937" s="21">
        <v>0</v>
      </c>
      <c r="AA7937" s="21">
        <v>0</v>
      </c>
      <c r="AB7937" s="21">
        <v>0</v>
      </c>
      <c r="AC7937" s="21">
        <v>0</v>
      </c>
      <c r="AD7937" s="21">
        <v>0</v>
      </c>
      <c r="AE7937" s="21">
        <v>0</v>
      </c>
      <c r="AF7937" s="21">
        <v>0</v>
      </c>
      <c r="AG7937" s="21">
        <v>0</v>
      </c>
      <c r="AH7937" s="21">
        <f t="shared" si="156"/>
        <v>96</v>
      </c>
      <c r="AI7937" s="21"/>
      <c r="AJ7937" s="21" t="s">
        <v>54</v>
      </c>
      <c r="AK7937" s="21" t="s">
        <v>52</v>
      </c>
      <c r="AL7937" s="21"/>
      <c r="AM7937" s="21" t="s">
        <v>4029</v>
      </c>
      <c r="AN7937" s="21">
        <v>-122.428088533333</v>
      </c>
      <c r="AO7937" s="21">
        <v>37.789507149999999</v>
      </c>
      <c r="AP7937" s="21" t="s">
        <v>1915</v>
      </c>
    </row>
    <row r="7938" spans="1:42">
      <c r="A7938" s="20">
        <v>43857</v>
      </c>
      <c r="B7938" s="21">
        <v>1</v>
      </c>
      <c r="C7938" s="21">
        <v>225</v>
      </c>
      <c r="D7938" s="21">
        <v>14444</v>
      </c>
      <c r="E7938" t="s">
        <v>112</v>
      </c>
      <c r="F7938" s="21" t="s">
        <v>104</v>
      </c>
      <c r="G7938" s="21">
        <v>2</v>
      </c>
      <c r="H7938" s="21">
        <v>52</v>
      </c>
      <c r="I7938" s="23" t="s">
        <v>4030</v>
      </c>
      <c r="J7938" s="21"/>
      <c r="K7938" s="21" t="s">
        <v>56</v>
      </c>
      <c r="L7938" s="21"/>
      <c r="M7938" s="21"/>
      <c r="N7938" s="21" t="s">
        <v>44</v>
      </c>
      <c r="O7938" s="21">
        <f>60+60+60+13</f>
        <v>193</v>
      </c>
      <c r="P7938" s="21"/>
      <c r="Q7938" s="21">
        <f t="shared" si="155"/>
        <v>1</v>
      </c>
      <c r="R7938" s="21">
        <v>1</v>
      </c>
      <c r="S7938" s="21">
        <v>0</v>
      </c>
      <c r="T7938" s="21">
        <v>0</v>
      </c>
      <c r="U7938" s="21">
        <v>0</v>
      </c>
      <c r="V7938" s="21">
        <v>0</v>
      </c>
      <c r="W7938" s="21">
        <v>1</v>
      </c>
      <c r="X7938" s="21">
        <v>0</v>
      </c>
      <c r="Y7938" s="21">
        <v>0</v>
      </c>
      <c r="Z7938" s="21">
        <v>0</v>
      </c>
      <c r="AA7938" s="21">
        <v>0</v>
      </c>
      <c r="AB7938" s="21">
        <v>0</v>
      </c>
      <c r="AC7938" s="21">
        <v>0</v>
      </c>
      <c r="AD7938" s="21">
        <v>0</v>
      </c>
      <c r="AE7938" s="21">
        <v>0</v>
      </c>
      <c r="AF7938" s="21">
        <v>0</v>
      </c>
      <c r="AG7938" s="21">
        <v>0</v>
      </c>
      <c r="AH7938" s="21">
        <f t="shared" si="156"/>
        <v>96</v>
      </c>
      <c r="AI7938" s="21"/>
      <c r="AJ7938" s="21" t="s">
        <v>51</v>
      </c>
      <c r="AK7938" s="21" t="s">
        <v>52</v>
      </c>
      <c r="AL7938" s="21" t="s">
        <v>4031</v>
      </c>
      <c r="AM7938" s="21" t="s">
        <v>4032</v>
      </c>
      <c r="AN7938" s="21">
        <v>-122.429636683333</v>
      </c>
      <c r="AO7938" s="21">
        <v>37.789462966666697</v>
      </c>
      <c r="AP7938" s="21" t="s">
        <v>1915</v>
      </c>
    </row>
    <row r="7939" spans="1:42">
      <c r="A7939" s="20">
        <v>43857</v>
      </c>
      <c r="B7939" s="21">
        <v>1</v>
      </c>
      <c r="C7939" s="21">
        <v>225</v>
      </c>
      <c r="D7939" s="21">
        <v>14444</v>
      </c>
      <c r="E7939" t="s">
        <v>112</v>
      </c>
      <c r="F7939" s="21" t="s">
        <v>104</v>
      </c>
      <c r="G7939" s="21">
        <v>2</v>
      </c>
      <c r="H7939" s="21">
        <v>53</v>
      </c>
      <c r="I7939" s="23" t="s">
        <v>2917</v>
      </c>
      <c r="J7939" s="21"/>
      <c r="K7939" s="21" t="s">
        <v>596</v>
      </c>
      <c r="L7939" s="21"/>
      <c r="M7939" s="21"/>
      <c r="N7939" s="21" t="s">
        <v>44</v>
      </c>
      <c r="O7939" s="21">
        <f>60+17</f>
        <v>77</v>
      </c>
      <c r="P7939" s="21"/>
      <c r="Q7939" s="21">
        <f t="shared" si="155"/>
        <v>1</v>
      </c>
      <c r="R7939" s="21">
        <v>1</v>
      </c>
      <c r="S7939" s="21">
        <v>0</v>
      </c>
      <c r="T7939" s="21">
        <v>0</v>
      </c>
      <c r="U7939" s="21">
        <v>0</v>
      </c>
      <c r="V7939" s="21">
        <v>0</v>
      </c>
      <c r="W7939" s="21">
        <v>1</v>
      </c>
      <c r="X7939" s="21">
        <v>0</v>
      </c>
      <c r="Y7939" s="21">
        <v>0</v>
      </c>
      <c r="Z7939" s="21">
        <v>0</v>
      </c>
      <c r="AA7939" s="21">
        <v>0</v>
      </c>
      <c r="AB7939" s="21">
        <v>0</v>
      </c>
      <c r="AC7939" s="21">
        <v>0</v>
      </c>
      <c r="AD7939" s="21">
        <v>0</v>
      </c>
      <c r="AE7939" s="21">
        <v>0</v>
      </c>
      <c r="AF7939" s="21">
        <v>0</v>
      </c>
      <c r="AG7939" s="21">
        <v>0</v>
      </c>
      <c r="AH7939" s="21">
        <f t="shared" si="156"/>
        <v>96</v>
      </c>
      <c r="AI7939" s="21"/>
      <c r="AJ7939" s="21" t="s">
        <v>54</v>
      </c>
      <c r="AK7939" s="21" t="s">
        <v>52</v>
      </c>
      <c r="AL7939" s="21"/>
      <c r="AM7939" s="21" t="s">
        <v>4033</v>
      </c>
      <c r="AN7939" s="21">
        <v>-122.43060591666701</v>
      </c>
      <c r="AO7939" s="21">
        <v>37.789560533333301</v>
      </c>
      <c r="AP7939" s="21" t="s">
        <v>1915</v>
      </c>
    </row>
    <row r="7940" spans="1:42">
      <c r="A7940" s="20">
        <v>43857</v>
      </c>
      <c r="B7940" s="21">
        <v>1</v>
      </c>
      <c r="C7940" s="21">
        <v>225</v>
      </c>
      <c r="D7940" s="21">
        <v>14444</v>
      </c>
      <c r="E7940" t="s">
        <v>112</v>
      </c>
      <c r="F7940" s="21" t="s">
        <v>104</v>
      </c>
      <c r="G7940" s="21">
        <v>2</v>
      </c>
      <c r="H7940" s="21">
        <v>54</v>
      </c>
      <c r="I7940" s="23">
        <v>2100</v>
      </c>
      <c r="J7940" s="21"/>
      <c r="K7940" s="21" t="s">
        <v>596</v>
      </c>
      <c r="L7940" s="21"/>
      <c r="M7940" s="21"/>
      <c r="N7940" s="21" t="s">
        <v>44</v>
      </c>
      <c r="O7940" s="21">
        <f>60+60+26</f>
        <v>146</v>
      </c>
      <c r="P7940" s="21"/>
      <c r="Q7940" s="21">
        <f t="shared" si="155"/>
        <v>3</v>
      </c>
      <c r="R7940" s="21">
        <v>1</v>
      </c>
      <c r="S7940" s="21">
        <v>0</v>
      </c>
      <c r="T7940" s="21">
        <v>0</v>
      </c>
      <c r="U7940" s="21">
        <v>0</v>
      </c>
      <c r="V7940" s="21">
        <v>1</v>
      </c>
      <c r="W7940" s="21">
        <v>2</v>
      </c>
      <c r="X7940" s="21">
        <v>0</v>
      </c>
      <c r="Y7940" s="21">
        <v>0</v>
      </c>
      <c r="Z7940" s="21">
        <v>0</v>
      </c>
      <c r="AA7940" s="21">
        <v>0</v>
      </c>
      <c r="AB7940" s="21">
        <v>0</v>
      </c>
      <c r="AC7940" s="21">
        <v>0</v>
      </c>
      <c r="AD7940" s="21">
        <v>0</v>
      </c>
      <c r="AE7940" s="21">
        <v>0</v>
      </c>
      <c r="AF7940" s="21">
        <v>0</v>
      </c>
      <c r="AG7940" s="21">
        <v>0</v>
      </c>
      <c r="AH7940" s="21">
        <f t="shared" si="156"/>
        <v>256</v>
      </c>
      <c r="AI7940" s="21"/>
      <c r="AJ7940" s="21" t="s">
        <v>54</v>
      </c>
      <c r="AK7940" s="21" t="s">
        <v>52</v>
      </c>
      <c r="AL7940" s="21" t="s">
        <v>4034</v>
      </c>
      <c r="AM7940" s="21" t="s">
        <v>4035</v>
      </c>
      <c r="AN7940" s="21">
        <v>-122.43067245</v>
      </c>
      <c r="AO7940" s="21">
        <v>37.789740333333299</v>
      </c>
      <c r="AP7940" s="21" t="s">
        <v>1915</v>
      </c>
    </row>
    <row r="7941" spans="1:42">
      <c r="A7941" s="20">
        <v>43857</v>
      </c>
      <c r="B7941" s="21">
        <v>1</v>
      </c>
      <c r="C7941" s="21">
        <v>225</v>
      </c>
      <c r="D7941" s="21">
        <v>14444</v>
      </c>
      <c r="E7941" t="s">
        <v>112</v>
      </c>
      <c r="F7941" s="21" t="s">
        <v>104</v>
      </c>
      <c r="G7941" s="21">
        <v>2</v>
      </c>
      <c r="H7941" s="21">
        <v>55</v>
      </c>
      <c r="I7941" s="23" t="s">
        <v>2603</v>
      </c>
      <c r="J7941" s="21"/>
      <c r="K7941" s="21" t="s">
        <v>596</v>
      </c>
      <c r="L7941" s="21"/>
      <c r="M7941" s="21"/>
      <c r="N7941" s="21" t="s">
        <v>44</v>
      </c>
      <c r="O7941" s="21">
        <f>60+60+26</f>
        <v>146</v>
      </c>
      <c r="P7941" s="21"/>
      <c r="Q7941" s="21">
        <f t="shared" si="155"/>
        <v>3</v>
      </c>
      <c r="R7941" s="21">
        <v>1</v>
      </c>
      <c r="S7941" s="21">
        <v>0</v>
      </c>
      <c r="T7941" s="21">
        <v>0</v>
      </c>
      <c r="U7941" s="21">
        <v>0</v>
      </c>
      <c r="V7941" s="21">
        <v>1</v>
      </c>
      <c r="W7941" s="21">
        <v>2</v>
      </c>
      <c r="X7941" s="21">
        <v>0</v>
      </c>
      <c r="Y7941" s="21">
        <v>0</v>
      </c>
      <c r="Z7941" s="21">
        <v>0</v>
      </c>
      <c r="AA7941" s="21">
        <v>0</v>
      </c>
      <c r="AB7941" s="21">
        <v>0</v>
      </c>
      <c r="AC7941" s="21">
        <v>0</v>
      </c>
      <c r="AD7941" s="21">
        <v>0</v>
      </c>
      <c r="AE7941" s="21">
        <v>0</v>
      </c>
      <c r="AF7941" s="21">
        <v>0</v>
      </c>
      <c r="AG7941" s="21">
        <v>0</v>
      </c>
      <c r="AH7941" s="21">
        <f t="shared" si="156"/>
        <v>256</v>
      </c>
      <c r="AI7941" s="21"/>
      <c r="AJ7941" s="21" t="s">
        <v>54</v>
      </c>
      <c r="AK7941" s="21" t="s">
        <v>52</v>
      </c>
      <c r="AL7941" s="21" t="s">
        <v>4034</v>
      </c>
      <c r="AM7941" s="21" t="s">
        <v>4036</v>
      </c>
      <c r="AN7941" s="21">
        <v>-122.43067245</v>
      </c>
      <c r="AO7941" s="21">
        <v>37.789740333333299</v>
      </c>
      <c r="AP7941" s="21" t="s">
        <v>1915</v>
      </c>
    </row>
    <row r="7942" spans="1:42">
      <c r="A7942" s="20">
        <v>43857</v>
      </c>
      <c r="B7942" s="21">
        <v>1</v>
      </c>
      <c r="C7942" s="21">
        <v>225</v>
      </c>
      <c r="D7942" s="21">
        <v>14444</v>
      </c>
      <c r="E7942" t="s">
        <v>112</v>
      </c>
      <c r="F7942" s="21" t="s">
        <v>104</v>
      </c>
      <c r="G7942" s="21">
        <v>2</v>
      </c>
      <c r="H7942" s="21">
        <v>56</v>
      </c>
      <c r="I7942" s="23" t="s">
        <v>4037</v>
      </c>
      <c r="J7942" s="21"/>
      <c r="K7942" s="21" t="s">
        <v>596</v>
      </c>
      <c r="L7942" s="21"/>
      <c r="M7942" s="21"/>
      <c r="N7942" s="21" t="s">
        <v>44</v>
      </c>
      <c r="O7942" s="21">
        <f>60+41</f>
        <v>101</v>
      </c>
      <c r="P7942" s="21"/>
      <c r="Q7942" s="21">
        <f t="shared" si="155"/>
        <v>1</v>
      </c>
      <c r="R7942" s="21">
        <v>1</v>
      </c>
      <c r="S7942" s="21">
        <v>0</v>
      </c>
      <c r="T7942" s="21">
        <v>0</v>
      </c>
      <c r="U7942" s="21">
        <v>0</v>
      </c>
      <c r="V7942" s="21">
        <v>0</v>
      </c>
      <c r="W7942" s="21">
        <v>1</v>
      </c>
      <c r="X7942" s="21">
        <v>0</v>
      </c>
      <c r="Y7942" s="21">
        <v>0</v>
      </c>
      <c r="Z7942" s="21">
        <v>0</v>
      </c>
      <c r="AA7942" s="21">
        <v>0</v>
      </c>
      <c r="AB7942" s="21">
        <v>0</v>
      </c>
      <c r="AC7942" s="21">
        <v>0</v>
      </c>
      <c r="AD7942" s="21">
        <v>0</v>
      </c>
      <c r="AE7942" s="21">
        <v>0</v>
      </c>
      <c r="AF7942" s="21">
        <v>0</v>
      </c>
      <c r="AG7942" s="21">
        <v>0</v>
      </c>
      <c r="AH7942" s="21">
        <f t="shared" si="156"/>
        <v>96</v>
      </c>
      <c r="AI7942" s="21"/>
      <c r="AJ7942" s="21" t="s">
        <v>54</v>
      </c>
      <c r="AK7942" s="21" t="s">
        <v>52</v>
      </c>
      <c r="AL7942" s="21" t="s">
        <v>4038</v>
      </c>
      <c r="AM7942" s="21" t="s">
        <v>4039</v>
      </c>
      <c r="AN7942" s="21">
        <v>-122.430684233333</v>
      </c>
      <c r="AO7942" s="21">
        <v>37.789924499999998</v>
      </c>
      <c r="AP7942" s="21" t="s">
        <v>1915</v>
      </c>
    </row>
    <row r="7943" spans="1:42">
      <c r="A7943" s="20">
        <v>43857</v>
      </c>
      <c r="B7943" s="21">
        <v>1</v>
      </c>
      <c r="C7943" s="21">
        <v>225</v>
      </c>
      <c r="D7943" s="21">
        <v>14444</v>
      </c>
      <c r="E7943" t="s">
        <v>112</v>
      </c>
      <c r="F7943" s="21" t="s">
        <v>104</v>
      </c>
      <c r="G7943" s="21">
        <v>2</v>
      </c>
      <c r="H7943" s="21">
        <v>57</v>
      </c>
      <c r="I7943" s="23" t="s">
        <v>2603</v>
      </c>
      <c r="J7943" s="21"/>
      <c r="K7943" s="21" t="s">
        <v>596</v>
      </c>
      <c r="L7943" s="21"/>
      <c r="M7943" s="21"/>
      <c r="N7943" s="21" t="s">
        <v>44</v>
      </c>
      <c r="O7943" s="21">
        <f>60+52</f>
        <v>112</v>
      </c>
      <c r="P7943" s="21"/>
      <c r="Q7943" s="21">
        <f t="shared" si="155"/>
        <v>2</v>
      </c>
      <c r="R7943" s="21">
        <v>1</v>
      </c>
      <c r="S7943" s="21">
        <v>0</v>
      </c>
      <c r="T7943" s="21">
        <v>0</v>
      </c>
      <c r="U7943" s="21">
        <v>0</v>
      </c>
      <c r="V7943" s="21">
        <v>1</v>
      </c>
      <c r="W7943" s="21">
        <v>1</v>
      </c>
      <c r="X7943" s="21">
        <v>0</v>
      </c>
      <c r="Y7943" s="21">
        <v>0</v>
      </c>
      <c r="Z7943" s="21">
        <v>0</v>
      </c>
      <c r="AA7943" s="21">
        <v>0</v>
      </c>
      <c r="AB7943" s="21">
        <v>0</v>
      </c>
      <c r="AC7943" s="21">
        <v>0</v>
      </c>
      <c r="AD7943" s="21">
        <v>0</v>
      </c>
      <c r="AE7943" s="21">
        <v>0</v>
      </c>
      <c r="AF7943" s="21">
        <v>0</v>
      </c>
      <c r="AG7943" s="21">
        <v>0</v>
      </c>
      <c r="AH7943" s="21">
        <f t="shared" si="156"/>
        <v>160</v>
      </c>
      <c r="AI7943" s="21"/>
      <c r="AJ7943" s="21" t="s">
        <v>54</v>
      </c>
      <c r="AK7943" s="21" t="s">
        <v>52</v>
      </c>
      <c r="AL7943" s="21" t="s">
        <v>4040</v>
      </c>
      <c r="AM7943" s="21" t="s">
        <v>4041</v>
      </c>
      <c r="AN7943" s="21">
        <v>-122.430674333333</v>
      </c>
      <c r="AO7943" s="21">
        <v>37.789993150000001</v>
      </c>
      <c r="AP7943" s="21" t="s">
        <v>1915</v>
      </c>
    </row>
    <row r="7944" spans="1:42">
      <c r="A7944" s="20">
        <v>43857</v>
      </c>
      <c r="B7944" s="21">
        <v>1</v>
      </c>
      <c r="C7944" s="21">
        <v>225</v>
      </c>
      <c r="D7944" s="21">
        <v>14444</v>
      </c>
      <c r="E7944" t="s">
        <v>112</v>
      </c>
      <c r="F7944" s="21" t="s">
        <v>104</v>
      </c>
      <c r="G7944" s="21">
        <v>2</v>
      </c>
      <c r="H7944" s="21">
        <v>58</v>
      </c>
      <c r="I7944" s="23"/>
      <c r="J7944" s="21"/>
      <c r="K7944" s="21"/>
      <c r="L7944" s="21"/>
      <c r="M7944" s="21"/>
      <c r="N7944" s="21" t="s">
        <v>44</v>
      </c>
      <c r="O7944" s="21">
        <f>60+60+53</f>
        <v>173</v>
      </c>
      <c r="P7944" s="21"/>
      <c r="Q7944" s="21">
        <f t="shared" si="155"/>
        <v>2</v>
      </c>
      <c r="R7944" s="21">
        <v>1</v>
      </c>
      <c r="S7944" s="21">
        <v>0</v>
      </c>
      <c r="T7944" s="21">
        <v>0</v>
      </c>
      <c r="U7944" s="21">
        <v>0</v>
      </c>
      <c r="V7944" s="21">
        <v>0</v>
      </c>
      <c r="W7944" s="21">
        <v>2</v>
      </c>
      <c r="X7944" s="21">
        <v>0</v>
      </c>
      <c r="Y7944" s="21">
        <v>0</v>
      </c>
      <c r="Z7944" s="21">
        <v>0</v>
      </c>
      <c r="AA7944" s="21">
        <v>0</v>
      </c>
      <c r="AB7944" s="21">
        <v>0</v>
      </c>
      <c r="AC7944" s="21">
        <v>0</v>
      </c>
      <c r="AD7944" s="21">
        <v>0</v>
      </c>
      <c r="AE7944" s="21">
        <v>0</v>
      </c>
      <c r="AF7944" s="21">
        <v>0</v>
      </c>
      <c r="AG7944" s="21">
        <v>0</v>
      </c>
      <c r="AH7944" s="21">
        <f t="shared" si="156"/>
        <v>192</v>
      </c>
      <c r="AI7944" s="21"/>
      <c r="AJ7944" s="21" t="s">
        <v>54</v>
      </c>
      <c r="AK7944" s="21" t="s">
        <v>52</v>
      </c>
      <c r="AL7944" s="21"/>
      <c r="AM7944" s="21" t="s">
        <v>4042</v>
      </c>
      <c r="AN7944" s="21">
        <v>-122.42864988333299</v>
      </c>
      <c r="AO7944" s="21">
        <v>37.789197166666703</v>
      </c>
      <c r="AP7944" s="21" t="s">
        <v>1915</v>
      </c>
    </row>
    <row r="7945" spans="1:42">
      <c r="A7945" s="20">
        <v>43857</v>
      </c>
      <c r="B7945" s="21">
        <v>1</v>
      </c>
      <c r="C7945" s="21">
        <v>225</v>
      </c>
      <c r="D7945" s="21">
        <v>14444</v>
      </c>
      <c r="E7945" t="s">
        <v>112</v>
      </c>
      <c r="F7945" s="21" t="s">
        <v>104</v>
      </c>
      <c r="G7945" s="21">
        <v>2</v>
      </c>
      <c r="H7945" s="21">
        <v>59</v>
      </c>
      <c r="I7945" s="23" t="s">
        <v>4043</v>
      </c>
      <c r="J7945" s="21"/>
      <c r="K7945" s="21" t="s">
        <v>588</v>
      </c>
      <c r="L7945" s="21"/>
      <c r="M7945" s="21"/>
      <c r="N7945" s="21" t="s">
        <v>44</v>
      </c>
      <c r="O7945" s="21">
        <f>60+16</f>
        <v>76</v>
      </c>
      <c r="P7945" s="21"/>
      <c r="Q7945" s="21">
        <f t="shared" si="155"/>
        <v>1</v>
      </c>
      <c r="R7945" s="21">
        <v>1</v>
      </c>
      <c r="S7945" s="21">
        <v>0</v>
      </c>
      <c r="T7945" s="21">
        <v>0</v>
      </c>
      <c r="U7945" s="21">
        <v>0</v>
      </c>
      <c r="V7945" s="21">
        <v>0</v>
      </c>
      <c r="W7945" s="21">
        <v>1</v>
      </c>
      <c r="X7945" s="21">
        <v>0</v>
      </c>
      <c r="Y7945" s="21">
        <v>0</v>
      </c>
      <c r="Z7945" s="21">
        <v>0</v>
      </c>
      <c r="AA7945" s="21">
        <v>0</v>
      </c>
      <c r="AB7945" s="21">
        <v>0</v>
      </c>
      <c r="AC7945" s="21">
        <v>0</v>
      </c>
      <c r="AD7945" s="21">
        <v>0</v>
      </c>
      <c r="AE7945" s="21">
        <v>0</v>
      </c>
      <c r="AF7945" s="21">
        <v>0</v>
      </c>
      <c r="AG7945" s="21">
        <v>0</v>
      </c>
      <c r="AH7945" s="21">
        <f t="shared" si="156"/>
        <v>96</v>
      </c>
      <c r="AI7945" s="21"/>
      <c r="AJ7945" s="21" t="s">
        <v>51</v>
      </c>
      <c r="AK7945" s="21" t="s">
        <v>95</v>
      </c>
      <c r="AL7945" s="21"/>
      <c r="AM7945" s="21" t="s">
        <v>4044</v>
      </c>
      <c r="AN7945" s="21">
        <v>-122.428911883333</v>
      </c>
      <c r="AO7945" s="21">
        <v>37.788662649999999</v>
      </c>
      <c r="AP7945" s="21" t="s">
        <v>1915</v>
      </c>
    </row>
    <row r="7946" spans="1:42">
      <c r="A7946" s="20">
        <v>43857</v>
      </c>
      <c r="B7946" s="21">
        <v>1</v>
      </c>
      <c r="C7946" s="21">
        <v>225</v>
      </c>
      <c r="D7946" s="21">
        <v>14444</v>
      </c>
      <c r="E7946" t="s">
        <v>112</v>
      </c>
      <c r="F7946" s="21" t="s">
        <v>104</v>
      </c>
      <c r="G7946" s="21">
        <v>2</v>
      </c>
      <c r="H7946" s="21">
        <v>60</v>
      </c>
      <c r="I7946" s="23" t="s">
        <v>4045</v>
      </c>
      <c r="J7946" s="21"/>
      <c r="K7946" s="21" t="s">
        <v>69</v>
      </c>
      <c r="L7946" s="21"/>
      <c r="M7946" s="21"/>
      <c r="N7946" s="21" t="s">
        <v>44</v>
      </c>
      <c r="O7946" s="21">
        <f>60+24</f>
        <v>84</v>
      </c>
      <c r="P7946" s="21"/>
      <c r="Q7946" s="21">
        <f t="shared" si="155"/>
        <v>1</v>
      </c>
      <c r="R7946" s="21">
        <v>1</v>
      </c>
      <c r="S7946" s="21">
        <v>0</v>
      </c>
      <c r="T7946" s="21">
        <v>0</v>
      </c>
      <c r="U7946" s="21">
        <v>0</v>
      </c>
      <c r="V7946" s="21">
        <v>0</v>
      </c>
      <c r="W7946" s="21">
        <v>1</v>
      </c>
      <c r="X7946" s="21">
        <v>0</v>
      </c>
      <c r="Y7946" s="21">
        <v>0</v>
      </c>
      <c r="Z7946" s="21">
        <v>0</v>
      </c>
      <c r="AA7946" s="21">
        <v>0</v>
      </c>
      <c r="AB7946" s="21">
        <v>0</v>
      </c>
      <c r="AC7946" s="21">
        <v>0</v>
      </c>
      <c r="AD7946" s="21">
        <v>0</v>
      </c>
      <c r="AE7946" s="21">
        <v>0</v>
      </c>
      <c r="AF7946" s="21">
        <v>0</v>
      </c>
      <c r="AG7946" s="21">
        <v>0</v>
      </c>
      <c r="AH7946" s="21">
        <f t="shared" si="156"/>
        <v>96</v>
      </c>
      <c r="AI7946" s="21"/>
      <c r="AJ7946" s="21" t="s">
        <v>51</v>
      </c>
      <c r="AK7946" s="21" t="s">
        <v>95</v>
      </c>
      <c r="AL7946" s="21" t="s">
        <v>2788</v>
      </c>
      <c r="AM7946" s="21" t="s">
        <v>4046</v>
      </c>
      <c r="AN7946" s="21">
        <v>-122.429618083333</v>
      </c>
      <c r="AO7946" s="21">
        <v>37.788510766666697</v>
      </c>
      <c r="AP7946" s="21" t="s">
        <v>1915</v>
      </c>
    </row>
    <row r="7947" spans="1:42">
      <c r="A7947" s="20">
        <v>43857</v>
      </c>
      <c r="B7947" s="21">
        <v>1</v>
      </c>
      <c r="C7947" s="21">
        <v>225</v>
      </c>
      <c r="D7947" s="21">
        <v>14444</v>
      </c>
      <c r="E7947" t="s">
        <v>112</v>
      </c>
      <c r="F7947" s="21" t="s">
        <v>104</v>
      </c>
      <c r="G7947" s="21">
        <v>2</v>
      </c>
      <c r="H7947" s="21">
        <v>61</v>
      </c>
      <c r="I7947" s="23" t="s">
        <v>2989</v>
      </c>
      <c r="J7947" s="21"/>
      <c r="K7947" s="21" t="s">
        <v>599</v>
      </c>
      <c r="L7947" s="21"/>
      <c r="M7947" s="21"/>
      <c r="N7947" s="21" t="s">
        <v>42</v>
      </c>
      <c r="O7947" s="21">
        <f>60+60+60+60+3</f>
        <v>243</v>
      </c>
      <c r="P7947" s="21"/>
      <c r="Q7947" s="21">
        <f t="shared" si="155"/>
        <v>3</v>
      </c>
      <c r="R7947" s="21">
        <v>1</v>
      </c>
      <c r="S7947" s="21">
        <v>0</v>
      </c>
      <c r="T7947" s="21">
        <v>0</v>
      </c>
      <c r="U7947" s="21">
        <v>0</v>
      </c>
      <c r="V7947" s="21">
        <v>0</v>
      </c>
      <c r="W7947" s="21">
        <v>2</v>
      </c>
      <c r="X7947" s="21">
        <v>1</v>
      </c>
      <c r="Y7947" s="21">
        <v>0</v>
      </c>
      <c r="Z7947" s="21">
        <v>0</v>
      </c>
      <c r="AA7947" s="21">
        <v>0</v>
      </c>
      <c r="AB7947" s="21">
        <v>0</v>
      </c>
      <c r="AC7947" s="21">
        <v>0</v>
      </c>
      <c r="AD7947" s="21">
        <v>0</v>
      </c>
      <c r="AE7947" s="21">
        <v>0</v>
      </c>
      <c r="AF7947" s="21">
        <v>0</v>
      </c>
      <c r="AG7947" s="21">
        <v>0</v>
      </c>
      <c r="AH7947" s="21">
        <f t="shared" si="156"/>
        <v>192</v>
      </c>
      <c r="AI7947" s="21"/>
      <c r="AJ7947" s="21"/>
      <c r="AK7947" s="21"/>
      <c r="AL7947" s="21" t="s">
        <v>4047</v>
      </c>
      <c r="AM7947" s="21" t="s">
        <v>4048</v>
      </c>
      <c r="AN7947" s="21">
        <v>-122.43223311666701</v>
      </c>
      <c r="AO7947" s="21">
        <v>37.788147833333298</v>
      </c>
      <c r="AP7947" s="21" t="s">
        <v>1915</v>
      </c>
    </row>
    <row r="7948" spans="1:42">
      <c r="A7948" s="20">
        <v>43857</v>
      </c>
      <c r="B7948" s="21">
        <v>1</v>
      </c>
      <c r="C7948" s="21">
        <v>225</v>
      </c>
      <c r="D7948" s="21">
        <v>14444</v>
      </c>
      <c r="E7948" t="s">
        <v>112</v>
      </c>
      <c r="F7948" s="21" t="s">
        <v>104</v>
      </c>
      <c r="G7948" s="21">
        <v>2</v>
      </c>
      <c r="H7948" s="21">
        <v>62</v>
      </c>
      <c r="I7948" s="23" t="s">
        <v>4049</v>
      </c>
      <c r="J7948" s="21"/>
      <c r="K7948" s="21" t="s">
        <v>69</v>
      </c>
      <c r="L7948" s="21"/>
      <c r="M7948" s="21"/>
      <c r="N7948" s="21" t="s">
        <v>44</v>
      </c>
      <c r="O7948" s="21">
        <f>60+20</f>
        <v>80</v>
      </c>
      <c r="P7948" s="21"/>
      <c r="Q7948" s="21">
        <f t="shared" si="155"/>
        <v>2</v>
      </c>
      <c r="R7948" s="21">
        <v>1</v>
      </c>
      <c r="S7948" s="21">
        <v>0</v>
      </c>
      <c r="T7948" s="21">
        <v>0</v>
      </c>
      <c r="U7948" s="21">
        <v>1</v>
      </c>
      <c r="V7948" s="21">
        <v>1</v>
      </c>
      <c r="W7948" s="21">
        <v>0</v>
      </c>
      <c r="X7948" s="21">
        <v>0</v>
      </c>
      <c r="Y7948" s="21">
        <v>0</v>
      </c>
      <c r="Z7948" s="21">
        <v>0</v>
      </c>
      <c r="AA7948" s="21">
        <v>0</v>
      </c>
      <c r="AB7948" s="21">
        <v>0</v>
      </c>
      <c r="AC7948" s="21">
        <v>0</v>
      </c>
      <c r="AD7948" s="21">
        <v>0</v>
      </c>
      <c r="AE7948" s="21">
        <v>0</v>
      </c>
      <c r="AF7948" s="21">
        <v>0</v>
      </c>
      <c r="AG7948" s="21">
        <v>0</v>
      </c>
      <c r="AH7948" s="21">
        <f t="shared" si="156"/>
        <v>96</v>
      </c>
      <c r="AI7948" s="21"/>
      <c r="AJ7948" s="21" t="s">
        <v>54</v>
      </c>
      <c r="AK7948" s="21" t="s">
        <v>52</v>
      </c>
      <c r="AL7948" s="21" t="s">
        <v>4050</v>
      </c>
      <c r="AM7948" s="21" t="s">
        <v>4051</v>
      </c>
      <c r="AN7948" s="21">
        <v>-122.433234128148</v>
      </c>
      <c r="AO7948" s="21">
        <v>37.788759974281902</v>
      </c>
      <c r="AP7948" s="21" t="s">
        <v>1915</v>
      </c>
    </row>
    <row r="7949" spans="1:42">
      <c r="A7949" s="20">
        <v>43857</v>
      </c>
      <c r="B7949" s="21">
        <v>1</v>
      </c>
      <c r="C7949" s="21">
        <v>225</v>
      </c>
      <c r="D7949" s="21">
        <v>14444</v>
      </c>
      <c r="E7949" t="s">
        <v>112</v>
      </c>
      <c r="F7949" s="21" t="s">
        <v>104</v>
      </c>
      <c r="G7949" s="21">
        <v>2</v>
      </c>
      <c r="H7949" s="21">
        <v>63</v>
      </c>
      <c r="I7949" s="23" t="s">
        <v>2148</v>
      </c>
      <c r="J7949" s="21"/>
      <c r="K7949" s="21" t="s">
        <v>69</v>
      </c>
      <c r="L7949" s="21"/>
      <c r="M7949" s="21"/>
      <c r="N7949" s="21" t="s">
        <v>44</v>
      </c>
      <c r="O7949" s="21">
        <f>60+17</f>
        <v>77</v>
      </c>
      <c r="P7949" s="21"/>
      <c r="Q7949" s="21">
        <f t="shared" si="155"/>
        <v>1</v>
      </c>
      <c r="R7949" s="21">
        <v>1</v>
      </c>
      <c r="S7949" s="21">
        <v>0</v>
      </c>
      <c r="T7949" s="21">
        <v>0</v>
      </c>
      <c r="U7949" s="21">
        <v>0</v>
      </c>
      <c r="V7949" s="21">
        <v>0</v>
      </c>
      <c r="W7949" s="21">
        <v>1</v>
      </c>
      <c r="X7949" s="21">
        <v>0</v>
      </c>
      <c r="Y7949" s="21">
        <v>0</v>
      </c>
      <c r="Z7949" s="21">
        <v>0</v>
      </c>
      <c r="AA7949" s="21">
        <v>0</v>
      </c>
      <c r="AB7949" s="21">
        <v>0</v>
      </c>
      <c r="AC7949" s="21">
        <v>0</v>
      </c>
      <c r="AD7949" s="21">
        <v>0</v>
      </c>
      <c r="AE7949" s="21">
        <v>0</v>
      </c>
      <c r="AF7949" s="21">
        <v>0</v>
      </c>
      <c r="AG7949" s="21">
        <v>0</v>
      </c>
      <c r="AH7949" s="21">
        <f t="shared" si="156"/>
        <v>96</v>
      </c>
      <c r="AI7949" s="21"/>
      <c r="AJ7949" s="21" t="s">
        <v>54</v>
      </c>
      <c r="AK7949" s="21" t="s">
        <v>52</v>
      </c>
      <c r="AL7949" s="21"/>
      <c r="AM7949" s="21" t="s">
        <v>4052</v>
      </c>
      <c r="AN7949" s="21">
        <v>-122.432969583333</v>
      </c>
      <c r="AO7949" s="21">
        <v>37.788127383333297</v>
      </c>
      <c r="AP7949" s="21" t="s">
        <v>1915</v>
      </c>
    </row>
    <row r="7950" spans="1:42">
      <c r="A7950" s="20">
        <v>43857</v>
      </c>
      <c r="B7950" s="21">
        <v>1</v>
      </c>
      <c r="C7950" s="21">
        <v>225</v>
      </c>
      <c r="D7950" s="21">
        <v>14444</v>
      </c>
      <c r="E7950" t="s">
        <v>112</v>
      </c>
      <c r="F7950" s="21" t="s">
        <v>104</v>
      </c>
      <c r="G7950" s="21">
        <v>2</v>
      </c>
      <c r="H7950" s="21">
        <v>64</v>
      </c>
      <c r="I7950" s="23" t="s">
        <v>4053</v>
      </c>
      <c r="J7950" s="21"/>
      <c r="K7950" s="21" t="s">
        <v>69</v>
      </c>
      <c r="L7950" s="21"/>
      <c r="M7950" s="21"/>
      <c r="N7950" s="21" t="s">
        <v>44</v>
      </c>
      <c r="O7950" s="21">
        <f>60+56</f>
        <v>116</v>
      </c>
      <c r="P7950" s="21"/>
      <c r="Q7950" s="21">
        <f t="shared" si="155"/>
        <v>1</v>
      </c>
      <c r="R7950" s="21">
        <v>1</v>
      </c>
      <c r="S7950" s="21">
        <v>0</v>
      </c>
      <c r="T7950" s="21">
        <v>0</v>
      </c>
      <c r="U7950" s="21">
        <v>0</v>
      </c>
      <c r="V7950" s="21">
        <v>0</v>
      </c>
      <c r="W7950" s="21">
        <v>1</v>
      </c>
      <c r="X7950" s="21">
        <v>0</v>
      </c>
      <c r="Y7950" s="21">
        <v>0</v>
      </c>
      <c r="Z7950" s="21">
        <v>0</v>
      </c>
      <c r="AA7950" s="21">
        <v>0</v>
      </c>
      <c r="AB7950" s="21">
        <v>0</v>
      </c>
      <c r="AC7950" s="21">
        <v>0</v>
      </c>
      <c r="AD7950" s="21">
        <v>0</v>
      </c>
      <c r="AE7950" s="21">
        <v>0</v>
      </c>
      <c r="AF7950" s="21">
        <v>0</v>
      </c>
      <c r="AG7950" s="21">
        <v>0</v>
      </c>
      <c r="AH7950" s="21">
        <f t="shared" si="156"/>
        <v>96</v>
      </c>
      <c r="AI7950" s="21"/>
      <c r="AJ7950" s="21" t="s">
        <v>54</v>
      </c>
      <c r="AK7950" s="21" t="s">
        <v>52</v>
      </c>
      <c r="AL7950" s="21"/>
      <c r="AM7950" s="21" t="s">
        <v>4054</v>
      </c>
      <c r="AN7950" s="21">
        <v>-122.43350933333301</v>
      </c>
      <c r="AO7950" s="21">
        <v>37.788045166666599</v>
      </c>
      <c r="AP7950" s="21" t="s">
        <v>1915</v>
      </c>
    </row>
    <row r="7951" spans="1:42">
      <c r="A7951" s="20">
        <v>43857</v>
      </c>
      <c r="B7951" s="21">
        <v>1</v>
      </c>
      <c r="C7951" s="21">
        <v>225</v>
      </c>
      <c r="D7951" s="21">
        <v>14444</v>
      </c>
      <c r="E7951" t="s">
        <v>112</v>
      </c>
      <c r="F7951" s="21" t="s">
        <v>104</v>
      </c>
      <c r="G7951" s="21">
        <v>2</v>
      </c>
      <c r="H7951" s="21">
        <v>65</v>
      </c>
      <c r="I7951" s="23" t="s">
        <v>4055</v>
      </c>
      <c r="J7951" s="21"/>
      <c r="K7951" s="21" t="s">
        <v>69</v>
      </c>
      <c r="L7951" s="21"/>
      <c r="M7951" s="21"/>
      <c r="N7951" s="21" t="s">
        <v>44</v>
      </c>
      <c r="O7951" s="21">
        <f>60+46</f>
        <v>106</v>
      </c>
      <c r="P7951" s="21"/>
      <c r="Q7951" s="21">
        <f t="shared" si="155"/>
        <v>1</v>
      </c>
      <c r="R7951" s="21">
        <v>1</v>
      </c>
      <c r="S7951" s="21">
        <v>0</v>
      </c>
      <c r="T7951" s="21">
        <v>0</v>
      </c>
      <c r="U7951" s="21">
        <v>0</v>
      </c>
      <c r="V7951" s="21">
        <v>0</v>
      </c>
      <c r="W7951" s="21">
        <v>1</v>
      </c>
      <c r="X7951" s="21">
        <v>0</v>
      </c>
      <c r="Y7951" s="21">
        <v>0</v>
      </c>
      <c r="Z7951" s="21">
        <v>0</v>
      </c>
      <c r="AA7951" s="21">
        <v>0</v>
      </c>
      <c r="AB7951" s="21">
        <v>0</v>
      </c>
      <c r="AC7951" s="21">
        <v>0</v>
      </c>
      <c r="AD7951" s="21">
        <v>0</v>
      </c>
      <c r="AE7951" s="21">
        <v>0</v>
      </c>
      <c r="AF7951" s="21">
        <v>0</v>
      </c>
      <c r="AG7951" s="21">
        <v>0</v>
      </c>
      <c r="AH7951" s="21">
        <f t="shared" si="156"/>
        <v>96</v>
      </c>
      <c r="AI7951" s="21"/>
      <c r="AJ7951" s="21" t="s">
        <v>54</v>
      </c>
      <c r="AK7951" s="21" t="s">
        <v>95</v>
      </c>
      <c r="AL7951" s="21" t="s">
        <v>4056</v>
      </c>
      <c r="AM7951" s="21" t="s">
        <v>4057</v>
      </c>
      <c r="AN7951" s="21">
        <v>-122.432506866667</v>
      </c>
      <c r="AO7951" s="21">
        <v>37.787699283333303</v>
      </c>
      <c r="AP7951" s="21" t="s">
        <v>1915</v>
      </c>
    </row>
    <row r="7952" spans="1:42">
      <c r="A7952" s="20">
        <v>43857</v>
      </c>
      <c r="B7952" s="21">
        <v>1</v>
      </c>
      <c r="C7952" s="21">
        <v>225</v>
      </c>
      <c r="D7952" s="21">
        <v>14444</v>
      </c>
      <c r="E7952" t="s">
        <v>112</v>
      </c>
      <c r="F7952" s="21" t="s">
        <v>104</v>
      </c>
      <c r="G7952" s="21">
        <v>2</v>
      </c>
      <c r="H7952" s="21">
        <v>66</v>
      </c>
      <c r="I7952" s="23" t="s">
        <v>3055</v>
      </c>
      <c r="J7952" s="21"/>
      <c r="K7952" s="21" t="s">
        <v>4058</v>
      </c>
      <c r="L7952" s="21"/>
      <c r="M7952" s="21"/>
      <c r="N7952" s="21" t="s">
        <v>40</v>
      </c>
      <c r="O7952" s="21">
        <f>60+56</f>
        <v>116</v>
      </c>
      <c r="P7952" s="21"/>
      <c r="Q7952" s="21">
        <f t="shared" si="155"/>
        <v>4</v>
      </c>
      <c r="R7952" s="21">
        <v>1</v>
      </c>
      <c r="S7952" s="21">
        <v>0</v>
      </c>
      <c r="T7952" s="21">
        <v>0</v>
      </c>
      <c r="U7952" s="21">
        <v>4</v>
      </c>
      <c r="V7952" s="21">
        <v>0</v>
      </c>
      <c r="W7952" s="21">
        <v>0</v>
      </c>
      <c r="X7952" s="21">
        <v>0</v>
      </c>
      <c r="Y7952" s="21">
        <v>0</v>
      </c>
      <c r="Z7952" s="21">
        <v>0</v>
      </c>
      <c r="AA7952" s="21">
        <v>0</v>
      </c>
      <c r="AB7952" s="21">
        <v>0</v>
      </c>
      <c r="AC7952" s="21">
        <v>0</v>
      </c>
      <c r="AD7952" s="21">
        <v>0</v>
      </c>
      <c r="AE7952" s="21">
        <v>0</v>
      </c>
      <c r="AF7952" s="21">
        <v>0</v>
      </c>
      <c r="AG7952" s="21">
        <v>0</v>
      </c>
      <c r="AH7952" s="21">
        <f t="shared" si="156"/>
        <v>128</v>
      </c>
      <c r="AI7952" s="21"/>
      <c r="AJ7952" s="21" t="s">
        <v>54</v>
      </c>
      <c r="AK7952" s="21" t="s">
        <v>95</v>
      </c>
      <c r="AL7952" s="21" t="s">
        <v>4059</v>
      </c>
      <c r="AM7952" s="21" t="s">
        <v>4060</v>
      </c>
      <c r="AN7952" s="21">
        <v>-122.433036883333</v>
      </c>
      <c r="AO7952" s="21">
        <v>37.787567516666599</v>
      </c>
      <c r="AP7952" s="21" t="s">
        <v>1915</v>
      </c>
    </row>
    <row r="7953" spans="1:42">
      <c r="A7953" s="20">
        <v>43857</v>
      </c>
      <c r="B7953" s="21">
        <v>1</v>
      </c>
      <c r="C7953" s="21">
        <v>225</v>
      </c>
      <c r="D7953" s="21">
        <v>14444</v>
      </c>
      <c r="E7953" t="s">
        <v>112</v>
      </c>
      <c r="F7953" s="21" t="s">
        <v>104</v>
      </c>
      <c r="G7953" s="21">
        <v>2</v>
      </c>
      <c r="H7953" s="21">
        <v>67</v>
      </c>
      <c r="I7953" s="23" t="s">
        <v>2192</v>
      </c>
      <c r="J7953" s="21"/>
      <c r="K7953" s="21" t="s">
        <v>46</v>
      </c>
      <c r="L7953" s="21"/>
      <c r="M7953" s="21"/>
      <c r="N7953" s="21" t="s">
        <v>44</v>
      </c>
      <c r="O7953" s="21">
        <f>60+31</f>
        <v>91</v>
      </c>
      <c r="P7953" s="21"/>
      <c r="Q7953" s="21">
        <f t="shared" si="155"/>
        <v>2</v>
      </c>
      <c r="R7953" s="21">
        <v>1</v>
      </c>
      <c r="S7953" s="21">
        <v>0</v>
      </c>
      <c r="T7953" s="21">
        <v>0</v>
      </c>
      <c r="U7953" s="21">
        <v>1</v>
      </c>
      <c r="V7953" s="21">
        <v>0</v>
      </c>
      <c r="W7953" s="21">
        <v>1</v>
      </c>
      <c r="X7953" s="21">
        <v>0</v>
      </c>
      <c r="Y7953" s="21">
        <v>0</v>
      </c>
      <c r="Z7953" s="21">
        <v>0</v>
      </c>
      <c r="AA7953" s="21">
        <v>0</v>
      </c>
      <c r="AB7953" s="21">
        <v>0</v>
      </c>
      <c r="AC7953" s="21">
        <v>0</v>
      </c>
      <c r="AD7953" s="21">
        <v>0</v>
      </c>
      <c r="AE7953" s="21">
        <v>0</v>
      </c>
      <c r="AF7953" s="21">
        <v>0</v>
      </c>
      <c r="AG7953" s="21">
        <v>0</v>
      </c>
      <c r="AH7953" s="21">
        <f t="shared" si="156"/>
        <v>128</v>
      </c>
      <c r="AI7953" s="21"/>
      <c r="AJ7953" s="21" t="s">
        <v>54</v>
      </c>
      <c r="AK7953" s="21" t="s">
        <v>52</v>
      </c>
      <c r="AL7953" s="21"/>
      <c r="AM7953" s="21" t="s">
        <v>4061</v>
      </c>
      <c r="AN7953" s="21">
        <v>-122.43312161666699</v>
      </c>
      <c r="AO7953" s="21">
        <v>37.786967166666699</v>
      </c>
      <c r="AP7953" s="21" t="s">
        <v>1915</v>
      </c>
    </row>
    <row r="7954" spans="1:42">
      <c r="A7954" s="20">
        <v>43857</v>
      </c>
      <c r="B7954" s="21">
        <v>1</v>
      </c>
      <c r="C7954" s="21">
        <v>225</v>
      </c>
      <c r="D7954" s="21">
        <v>14444</v>
      </c>
      <c r="E7954" t="s">
        <v>112</v>
      </c>
      <c r="F7954" s="21" t="s">
        <v>104</v>
      </c>
      <c r="G7954" s="21">
        <v>2</v>
      </c>
      <c r="H7954" s="21">
        <v>68</v>
      </c>
      <c r="I7954" s="23" t="s">
        <v>4062</v>
      </c>
      <c r="J7954" s="21"/>
      <c r="K7954" s="21" t="s">
        <v>46</v>
      </c>
      <c r="L7954" s="21"/>
      <c r="M7954" s="21"/>
      <c r="N7954" s="21" t="s">
        <v>44</v>
      </c>
      <c r="O7954" s="21">
        <v>70</v>
      </c>
      <c r="P7954" s="21"/>
      <c r="Q7954" s="21">
        <f t="shared" si="155"/>
        <v>2</v>
      </c>
      <c r="R7954" s="21">
        <v>1</v>
      </c>
      <c r="S7954" s="21">
        <v>0</v>
      </c>
      <c r="T7954" s="21">
        <v>0</v>
      </c>
      <c r="U7954" s="21">
        <v>1</v>
      </c>
      <c r="V7954" s="21">
        <v>1</v>
      </c>
      <c r="W7954" s="21">
        <v>0</v>
      </c>
      <c r="X7954" s="21">
        <v>0</v>
      </c>
      <c r="Y7954" s="21">
        <v>0</v>
      </c>
      <c r="Z7954" s="21">
        <v>0</v>
      </c>
      <c r="AA7954" s="21">
        <v>0</v>
      </c>
      <c r="AB7954" s="21">
        <v>0</v>
      </c>
      <c r="AC7954" s="21">
        <v>0</v>
      </c>
      <c r="AD7954" s="21">
        <v>0</v>
      </c>
      <c r="AE7954" s="21">
        <v>0</v>
      </c>
      <c r="AF7954" s="21">
        <v>0</v>
      </c>
      <c r="AG7954" s="21">
        <v>0</v>
      </c>
      <c r="AH7954" s="21">
        <f t="shared" si="156"/>
        <v>96</v>
      </c>
      <c r="AI7954" s="21"/>
      <c r="AJ7954" s="21" t="s">
        <v>54</v>
      </c>
      <c r="AK7954" s="21" t="s">
        <v>52</v>
      </c>
      <c r="AL7954" s="21"/>
      <c r="AM7954" s="21" t="s">
        <v>4063</v>
      </c>
      <c r="AN7954" s="21">
        <v>-122.43295853333299</v>
      </c>
      <c r="AO7954" s="21">
        <v>37.787020216666697</v>
      </c>
      <c r="AP7954" s="21" t="s">
        <v>1915</v>
      </c>
    </row>
    <row r="7955" spans="1:42">
      <c r="A7955" s="20">
        <v>43857</v>
      </c>
      <c r="B7955" s="21">
        <v>1</v>
      </c>
      <c r="C7955" s="21">
        <v>225</v>
      </c>
      <c r="D7955" s="21">
        <v>14444</v>
      </c>
      <c r="E7955" t="s">
        <v>112</v>
      </c>
      <c r="F7955" s="21" t="s">
        <v>104</v>
      </c>
      <c r="G7955" s="21">
        <v>2</v>
      </c>
      <c r="H7955" s="21">
        <v>69</v>
      </c>
      <c r="I7955" s="23" t="s">
        <v>2174</v>
      </c>
      <c r="J7955" s="21"/>
      <c r="K7955" s="21" t="s">
        <v>56</v>
      </c>
      <c r="L7955" s="21"/>
      <c r="M7955" s="21"/>
      <c r="N7955" s="21" t="s">
        <v>44</v>
      </c>
      <c r="O7955" s="21">
        <f>60+30</f>
        <v>90</v>
      </c>
      <c r="P7955" s="21"/>
      <c r="Q7955" s="21">
        <f t="shared" si="155"/>
        <v>1</v>
      </c>
      <c r="R7955" s="21">
        <v>1</v>
      </c>
      <c r="S7955" s="21">
        <v>0</v>
      </c>
      <c r="T7955" s="21">
        <v>0</v>
      </c>
      <c r="U7955" s="21">
        <v>0</v>
      </c>
      <c r="V7955" s="21">
        <v>0</v>
      </c>
      <c r="W7955" s="21">
        <v>1</v>
      </c>
      <c r="X7955" s="21">
        <v>0</v>
      </c>
      <c r="Y7955" s="21">
        <v>0</v>
      </c>
      <c r="Z7955" s="21">
        <v>0</v>
      </c>
      <c r="AA7955" s="21">
        <v>0</v>
      </c>
      <c r="AB7955" s="21">
        <v>0</v>
      </c>
      <c r="AC7955" s="21">
        <v>0</v>
      </c>
      <c r="AD7955" s="21">
        <v>0</v>
      </c>
      <c r="AE7955" s="21">
        <v>0</v>
      </c>
      <c r="AF7955" s="21">
        <v>0</v>
      </c>
      <c r="AG7955" s="21">
        <v>0</v>
      </c>
      <c r="AH7955" s="21">
        <f t="shared" si="156"/>
        <v>96</v>
      </c>
      <c r="AI7955" s="21"/>
      <c r="AJ7955" s="21" t="s">
        <v>54</v>
      </c>
      <c r="AK7955" s="21" t="s">
        <v>52</v>
      </c>
      <c r="AL7955" s="21"/>
      <c r="AM7955" s="21" t="s">
        <v>4064</v>
      </c>
      <c r="AN7955" s="21">
        <v>-122.431987866667</v>
      </c>
      <c r="AO7955" s="21">
        <v>37.7890454333333</v>
      </c>
      <c r="AP7955" s="21" t="s">
        <v>1915</v>
      </c>
    </row>
    <row r="7956" spans="1:42">
      <c r="A7956" s="20">
        <v>43857</v>
      </c>
      <c r="B7956" s="21">
        <v>1</v>
      </c>
      <c r="C7956" s="21">
        <v>225</v>
      </c>
      <c r="D7956" s="21">
        <v>14444</v>
      </c>
      <c r="E7956" t="s">
        <v>112</v>
      </c>
      <c r="F7956" s="21" t="s">
        <v>104</v>
      </c>
      <c r="G7956" s="21">
        <v>2</v>
      </c>
      <c r="H7956" s="21">
        <v>70</v>
      </c>
      <c r="I7956" s="23" t="s">
        <v>4021</v>
      </c>
      <c r="J7956" s="21"/>
      <c r="K7956" s="21" t="s">
        <v>3354</v>
      </c>
      <c r="L7956" s="21"/>
      <c r="M7956" s="21"/>
      <c r="N7956" s="21" t="s">
        <v>44</v>
      </c>
      <c r="O7956" s="21">
        <f>60+42</f>
        <v>102</v>
      </c>
      <c r="P7956" s="21"/>
      <c r="Q7956" s="21">
        <f t="shared" si="155"/>
        <v>5</v>
      </c>
      <c r="R7956" s="21">
        <v>1</v>
      </c>
      <c r="S7956" s="21">
        <v>0</v>
      </c>
      <c r="T7956" s="21">
        <v>0</v>
      </c>
      <c r="U7956" s="21">
        <v>0</v>
      </c>
      <c r="V7956" s="21">
        <v>5</v>
      </c>
      <c r="W7956" s="21">
        <v>0</v>
      </c>
      <c r="X7956" s="21">
        <v>0</v>
      </c>
      <c r="Y7956" s="21">
        <v>0</v>
      </c>
      <c r="Z7956" s="21">
        <v>0</v>
      </c>
      <c r="AA7956" s="21">
        <v>0</v>
      </c>
      <c r="AB7956" s="21">
        <v>0</v>
      </c>
      <c r="AC7956" s="21">
        <v>0</v>
      </c>
      <c r="AD7956" s="21">
        <v>0</v>
      </c>
      <c r="AE7956" s="21">
        <v>0</v>
      </c>
      <c r="AF7956" s="21">
        <v>0</v>
      </c>
      <c r="AG7956" s="21">
        <v>0</v>
      </c>
      <c r="AH7956" s="21">
        <f t="shared" si="156"/>
        <v>320</v>
      </c>
      <c r="AI7956" s="21"/>
      <c r="AJ7956" s="21" t="s">
        <v>54</v>
      </c>
      <c r="AK7956" s="21" t="s">
        <v>52</v>
      </c>
      <c r="AL7956" s="21" t="s">
        <v>3249</v>
      </c>
      <c r="AM7956" s="21" t="s">
        <v>4065</v>
      </c>
      <c r="AN7956" s="21">
        <v>-122.43249471666699</v>
      </c>
      <c r="AO7956" s="21">
        <v>37.790253566666699</v>
      </c>
      <c r="AP7956" s="21" t="s">
        <v>1915</v>
      </c>
    </row>
    <row r="7957" spans="1:42">
      <c r="A7957" s="20">
        <v>43857</v>
      </c>
      <c r="B7957" s="21">
        <v>1</v>
      </c>
      <c r="C7957" s="21">
        <v>225</v>
      </c>
      <c r="D7957" s="21">
        <v>14444</v>
      </c>
      <c r="E7957" t="s">
        <v>112</v>
      </c>
      <c r="F7957" s="21" t="s">
        <v>104</v>
      </c>
      <c r="G7957" s="21">
        <v>2</v>
      </c>
      <c r="H7957" s="21">
        <v>71</v>
      </c>
      <c r="I7957" s="23" t="s">
        <v>4066</v>
      </c>
      <c r="J7957" s="21"/>
      <c r="K7957" s="21" t="s">
        <v>56</v>
      </c>
      <c r="L7957" s="21"/>
      <c r="M7957" s="21"/>
      <c r="N7957" s="21" t="s">
        <v>44</v>
      </c>
      <c r="O7957" s="21">
        <f>60+35</f>
        <v>95</v>
      </c>
      <c r="P7957" s="21"/>
      <c r="Q7957" s="21">
        <f t="shared" si="155"/>
        <v>1</v>
      </c>
      <c r="R7957" s="21">
        <v>1</v>
      </c>
      <c r="S7957" s="21">
        <v>0</v>
      </c>
      <c r="T7957" s="21">
        <v>0</v>
      </c>
      <c r="U7957" s="21">
        <v>0</v>
      </c>
      <c r="V7957" s="21">
        <v>0</v>
      </c>
      <c r="W7957" s="21">
        <v>1</v>
      </c>
      <c r="X7957" s="21">
        <v>0</v>
      </c>
      <c r="Y7957" s="21">
        <v>0</v>
      </c>
      <c r="Z7957" s="21">
        <v>0</v>
      </c>
      <c r="AA7957" s="21">
        <v>0</v>
      </c>
      <c r="AB7957" s="21">
        <v>0</v>
      </c>
      <c r="AC7957" s="21">
        <v>0</v>
      </c>
      <c r="AD7957" s="21">
        <v>0</v>
      </c>
      <c r="AE7957" s="21">
        <v>0</v>
      </c>
      <c r="AF7957" s="21">
        <v>0</v>
      </c>
      <c r="AG7957" s="21">
        <v>0</v>
      </c>
      <c r="AH7957" s="21">
        <f t="shared" si="156"/>
        <v>96</v>
      </c>
      <c r="AI7957" s="21"/>
      <c r="AJ7957" s="21" t="s">
        <v>54</v>
      </c>
      <c r="AK7957" s="21" t="s">
        <v>95</v>
      </c>
      <c r="AL7957" s="21" t="s">
        <v>4067</v>
      </c>
      <c r="AM7957" s="21" t="s">
        <v>4068</v>
      </c>
      <c r="AN7957" s="21">
        <v>-122.43342293333301</v>
      </c>
      <c r="AO7957" s="21">
        <v>37.788976116666703</v>
      </c>
      <c r="AP7957" s="21" t="s">
        <v>1915</v>
      </c>
    </row>
    <row r="7958" spans="1:42">
      <c r="A7958" s="20">
        <v>43857</v>
      </c>
      <c r="B7958" s="21">
        <v>1</v>
      </c>
      <c r="C7958" s="21">
        <v>225</v>
      </c>
      <c r="D7958" s="21">
        <v>14444</v>
      </c>
      <c r="E7958" t="s">
        <v>112</v>
      </c>
      <c r="F7958" s="21" t="s">
        <v>104</v>
      </c>
      <c r="G7958" s="21">
        <v>2</v>
      </c>
      <c r="H7958" s="21">
        <v>72</v>
      </c>
      <c r="I7958" s="23" t="s">
        <v>2536</v>
      </c>
      <c r="J7958" s="21"/>
      <c r="K7958" s="21" t="s">
        <v>56</v>
      </c>
      <c r="L7958" s="21"/>
      <c r="M7958" s="21"/>
      <c r="N7958" s="21" t="s">
        <v>44</v>
      </c>
      <c r="O7958" s="21">
        <f>60+60+60+14</f>
        <v>194</v>
      </c>
      <c r="P7958" s="21"/>
      <c r="Q7958" s="21">
        <f t="shared" si="155"/>
        <v>1</v>
      </c>
      <c r="R7958" s="21">
        <v>1</v>
      </c>
      <c r="S7958" s="21">
        <v>0</v>
      </c>
      <c r="T7958" s="21">
        <v>0</v>
      </c>
      <c r="U7958" s="21">
        <v>0</v>
      </c>
      <c r="V7958" s="21">
        <v>0</v>
      </c>
      <c r="W7958" s="21">
        <v>1</v>
      </c>
      <c r="X7958" s="21">
        <v>0</v>
      </c>
      <c r="Y7958" s="21">
        <v>0</v>
      </c>
      <c r="Z7958" s="21">
        <v>0</v>
      </c>
      <c r="AA7958" s="21">
        <v>0</v>
      </c>
      <c r="AB7958" s="21">
        <v>0</v>
      </c>
      <c r="AC7958" s="21">
        <v>0</v>
      </c>
      <c r="AD7958" s="21">
        <v>0</v>
      </c>
      <c r="AE7958" s="21">
        <v>0</v>
      </c>
      <c r="AF7958" s="21">
        <v>0</v>
      </c>
      <c r="AG7958" s="21">
        <v>0</v>
      </c>
      <c r="AH7958" s="21">
        <f t="shared" si="156"/>
        <v>96</v>
      </c>
      <c r="AI7958" s="21"/>
      <c r="AJ7958" s="21"/>
      <c r="AK7958" s="21"/>
      <c r="AL7958" s="21"/>
      <c r="AM7958" s="21" t="s">
        <v>4069</v>
      </c>
      <c r="AN7958" s="21">
        <v>-122.433138316667</v>
      </c>
      <c r="AO7958" s="21">
        <v>37.788969133333303</v>
      </c>
      <c r="AP7958" s="21" t="s">
        <v>1915</v>
      </c>
    </row>
    <row r="7959" spans="1:42">
      <c r="A7959" s="20">
        <v>43857</v>
      </c>
      <c r="B7959" s="21">
        <v>1</v>
      </c>
      <c r="C7959" s="21">
        <v>225</v>
      </c>
      <c r="D7959" s="21">
        <v>14444</v>
      </c>
      <c r="E7959" t="s">
        <v>112</v>
      </c>
      <c r="F7959" s="21" t="s">
        <v>104</v>
      </c>
      <c r="G7959" s="21">
        <v>2</v>
      </c>
      <c r="H7959" s="21">
        <v>73</v>
      </c>
      <c r="I7959" s="23" t="s">
        <v>2164</v>
      </c>
      <c r="J7959" s="21"/>
      <c r="K7959" s="21" t="s">
        <v>56</v>
      </c>
      <c r="L7959" s="21"/>
      <c r="M7959" s="21"/>
      <c r="N7959" s="21" t="s">
        <v>44</v>
      </c>
      <c r="O7959" s="21">
        <f>68</f>
        <v>68</v>
      </c>
      <c r="P7959" s="21"/>
      <c r="Q7959" s="21">
        <f t="shared" si="155"/>
        <v>1</v>
      </c>
      <c r="R7959" s="21">
        <v>1</v>
      </c>
      <c r="S7959" s="21">
        <v>0</v>
      </c>
      <c r="T7959" s="21">
        <v>0</v>
      </c>
      <c r="U7959" s="21">
        <v>0</v>
      </c>
      <c r="V7959" s="21">
        <v>1</v>
      </c>
      <c r="W7959" s="21">
        <v>0</v>
      </c>
      <c r="X7959" s="21">
        <v>0</v>
      </c>
      <c r="Y7959" s="21">
        <v>0</v>
      </c>
      <c r="Z7959" s="21">
        <v>0</v>
      </c>
      <c r="AA7959" s="21">
        <v>0</v>
      </c>
      <c r="AB7959" s="21">
        <v>0</v>
      </c>
      <c r="AC7959" s="21">
        <v>0</v>
      </c>
      <c r="AD7959" s="21">
        <v>0</v>
      </c>
      <c r="AE7959" s="21">
        <v>0</v>
      </c>
      <c r="AF7959" s="21">
        <v>0</v>
      </c>
      <c r="AG7959" s="21">
        <v>0</v>
      </c>
      <c r="AH7959" s="21">
        <f t="shared" si="156"/>
        <v>64</v>
      </c>
      <c r="AI7959" s="21"/>
      <c r="AJ7959" s="21" t="s">
        <v>51</v>
      </c>
      <c r="AK7959" s="21" t="s">
        <v>95</v>
      </c>
      <c r="AL7959" s="21" t="s">
        <v>4070</v>
      </c>
      <c r="AM7959" s="21" t="s">
        <v>4071</v>
      </c>
      <c r="AN7959" s="21">
        <v>-122.43296960000001</v>
      </c>
      <c r="AO7959" s="21">
        <v>37.788947783333299</v>
      </c>
      <c r="AP7959" s="21" t="s">
        <v>1915</v>
      </c>
    </row>
    <row r="7960" spans="1:42">
      <c r="A7960" s="20">
        <v>43857</v>
      </c>
      <c r="B7960" s="21">
        <v>1</v>
      </c>
      <c r="C7960" s="21">
        <v>225</v>
      </c>
      <c r="D7960" s="21">
        <v>14444</v>
      </c>
      <c r="E7960" t="s">
        <v>112</v>
      </c>
      <c r="F7960" s="21" t="s">
        <v>104</v>
      </c>
      <c r="G7960" s="21">
        <v>2</v>
      </c>
      <c r="H7960" s="21">
        <v>74</v>
      </c>
      <c r="I7960" s="23" t="s">
        <v>2320</v>
      </c>
      <c r="J7960" s="21"/>
      <c r="K7960" s="21" t="s">
        <v>56</v>
      </c>
      <c r="L7960" s="21"/>
      <c r="M7960" s="21"/>
      <c r="N7960" s="21" t="s">
        <v>44</v>
      </c>
      <c r="O7960" s="21">
        <f>60+60+60+60+3</f>
        <v>243</v>
      </c>
      <c r="P7960" s="21"/>
      <c r="Q7960" s="21">
        <f t="shared" si="155"/>
        <v>1</v>
      </c>
      <c r="R7960" s="21">
        <v>1</v>
      </c>
      <c r="S7960" s="21">
        <v>0</v>
      </c>
      <c r="T7960" s="21">
        <v>0</v>
      </c>
      <c r="U7960" s="21">
        <v>0</v>
      </c>
      <c r="V7960" s="21">
        <v>0</v>
      </c>
      <c r="W7960" s="21">
        <v>1</v>
      </c>
      <c r="X7960" s="21">
        <v>0</v>
      </c>
      <c r="Y7960" s="21">
        <v>0</v>
      </c>
      <c r="Z7960" s="21">
        <v>0</v>
      </c>
      <c r="AA7960" s="21">
        <v>0</v>
      </c>
      <c r="AB7960" s="21">
        <v>0</v>
      </c>
      <c r="AC7960" s="21">
        <v>0</v>
      </c>
      <c r="AD7960" s="21">
        <v>0</v>
      </c>
      <c r="AE7960" s="21">
        <v>0</v>
      </c>
      <c r="AF7960" s="21">
        <v>0</v>
      </c>
      <c r="AG7960" s="21">
        <v>0</v>
      </c>
      <c r="AH7960" s="21">
        <f t="shared" si="156"/>
        <v>96</v>
      </c>
      <c r="AI7960" s="21"/>
      <c r="AJ7960" s="21" t="s">
        <v>54</v>
      </c>
      <c r="AK7960" s="21" t="s">
        <v>52</v>
      </c>
      <c r="AL7960" s="21"/>
      <c r="AM7960" s="21" t="s">
        <v>4072</v>
      </c>
      <c r="AN7960" s="21">
        <v>-122.432719166667</v>
      </c>
      <c r="AO7960" s="21">
        <v>37.788989666666602</v>
      </c>
      <c r="AP7960" s="21" t="s">
        <v>1915</v>
      </c>
    </row>
    <row r="7961" spans="1:42">
      <c r="A7961" s="20">
        <v>43857</v>
      </c>
      <c r="B7961" s="21">
        <v>1</v>
      </c>
      <c r="C7961" s="21">
        <v>225</v>
      </c>
      <c r="D7961" s="21">
        <v>14444</v>
      </c>
      <c r="E7961" t="s">
        <v>112</v>
      </c>
      <c r="F7961" s="21" t="s">
        <v>104</v>
      </c>
      <c r="G7961" s="21">
        <v>2</v>
      </c>
      <c r="H7961" s="21">
        <v>75</v>
      </c>
      <c r="I7961" s="23" t="s">
        <v>2851</v>
      </c>
      <c r="J7961" s="21"/>
      <c r="K7961" s="21" t="s">
        <v>56</v>
      </c>
      <c r="L7961" s="21"/>
      <c r="M7961" s="21"/>
      <c r="N7961" s="21" t="s">
        <v>44</v>
      </c>
      <c r="O7961" s="21">
        <f>60+60+60+56</f>
        <v>236</v>
      </c>
      <c r="P7961" s="21"/>
      <c r="Q7961" s="21">
        <f t="shared" si="155"/>
        <v>4</v>
      </c>
      <c r="R7961" s="21">
        <v>1</v>
      </c>
      <c r="S7961" s="21">
        <v>0</v>
      </c>
      <c r="T7961" s="21">
        <v>0</v>
      </c>
      <c r="U7961" s="21">
        <v>0</v>
      </c>
      <c r="V7961" s="21">
        <v>2</v>
      </c>
      <c r="W7961" s="21">
        <v>2</v>
      </c>
      <c r="X7961" s="21">
        <v>0</v>
      </c>
      <c r="Y7961" s="21">
        <v>0</v>
      </c>
      <c r="Z7961" s="21">
        <v>0</v>
      </c>
      <c r="AA7961" s="21">
        <v>0</v>
      </c>
      <c r="AB7961" s="21">
        <v>0</v>
      </c>
      <c r="AC7961" s="21">
        <v>0</v>
      </c>
      <c r="AD7961" s="21">
        <v>0</v>
      </c>
      <c r="AE7961" s="21">
        <v>0</v>
      </c>
      <c r="AF7961" s="21">
        <v>0</v>
      </c>
      <c r="AG7961" s="21">
        <v>0</v>
      </c>
      <c r="AH7961" s="21">
        <f t="shared" si="156"/>
        <v>320</v>
      </c>
      <c r="AI7961" s="21"/>
      <c r="AJ7961" s="21" t="s">
        <v>54</v>
      </c>
      <c r="AK7961" s="21" t="s">
        <v>52</v>
      </c>
      <c r="AL7961" s="21" t="s">
        <v>3306</v>
      </c>
      <c r="AM7961" s="21" t="s">
        <v>4073</v>
      </c>
      <c r="AN7961" s="21">
        <v>-122.430838783333</v>
      </c>
      <c r="AO7961" s="21">
        <v>37.789223550000003</v>
      </c>
      <c r="AP7961" s="21" t="s">
        <v>1915</v>
      </c>
    </row>
    <row r="7962" spans="1:42">
      <c r="A7962" s="20">
        <v>43857</v>
      </c>
      <c r="B7962" s="21">
        <v>1</v>
      </c>
      <c r="C7962" s="21">
        <v>225</v>
      </c>
      <c r="D7962" s="21">
        <v>14444</v>
      </c>
      <c r="E7962" t="s">
        <v>112</v>
      </c>
      <c r="F7962" s="21" t="s">
        <v>104</v>
      </c>
      <c r="G7962" s="21">
        <v>2</v>
      </c>
      <c r="H7962" s="21">
        <v>76</v>
      </c>
      <c r="I7962" s="23" t="s">
        <v>4074</v>
      </c>
      <c r="J7962" s="21"/>
      <c r="K7962" s="21" t="s">
        <v>56</v>
      </c>
      <c r="L7962" s="21"/>
      <c r="M7962" s="21"/>
      <c r="N7962" s="21" t="s">
        <v>44</v>
      </c>
      <c r="O7962" s="21">
        <v>125</v>
      </c>
      <c r="P7962" s="21"/>
      <c r="Q7962" s="21">
        <f t="shared" si="155"/>
        <v>2</v>
      </c>
      <c r="R7962" s="21">
        <v>1</v>
      </c>
      <c r="S7962" s="21">
        <v>0</v>
      </c>
      <c r="T7962" s="21">
        <v>0</v>
      </c>
      <c r="U7962" s="21">
        <v>0</v>
      </c>
      <c r="V7962" s="21">
        <v>0</v>
      </c>
      <c r="W7962" s="21">
        <v>2</v>
      </c>
      <c r="X7962" s="21">
        <v>0</v>
      </c>
      <c r="Y7962" s="21">
        <v>0</v>
      </c>
      <c r="Z7962" s="21">
        <v>0</v>
      </c>
      <c r="AA7962" s="21">
        <v>0</v>
      </c>
      <c r="AB7962" s="21">
        <v>0</v>
      </c>
      <c r="AC7962" s="21">
        <v>0</v>
      </c>
      <c r="AD7962" s="21">
        <v>0</v>
      </c>
      <c r="AE7962" s="21">
        <v>0</v>
      </c>
      <c r="AF7962" s="21">
        <v>0</v>
      </c>
      <c r="AG7962" s="21">
        <v>0</v>
      </c>
      <c r="AH7962" s="21">
        <f t="shared" si="156"/>
        <v>192</v>
      </c>
      <c r="AI7962" s="21"/>
      <c r="AJ7962" s="21" t="s">
        <v>51</v>
      </c>
      <c r="AK7962" s="21" t="s">
        <v>52</v>
      </c>
      <c r="AL7962" s="21"/>
      <c r="AM7962" s="21" t="s">
        <v>4075</v>
      </c>
      <c r="AN7962" s="21">
        <v>-122.430087933333</v>
      </c>
      <c r="AO7962" s="21">
        <v>37.7894230666666</v>
      </c>
      <c r="AP7962" s="21" t="s">
        <v>1915</v>
      </c>
    </row>
    <row r="7963" spans="1:42">
      <c r="A7963" s="20">
        <v>43857</v>
      </c>
      <c r="B7963" s="21">
        <v>1</v>
      </c>
      <c r="C7963" s="21">
        <v>225</v>
      </c>
      <c r="D7963" s="21">
        <v>14444</v>
      </c>
      <c r="E7963" t="s">
        <v>112</v>
      </c>
      <c r="F7963" s="21" t="s">
        <v>104</v>
      </c>
      <c r="G7963" s="21">
        <v>2</v>
      </c>
      <c r="H7963" s="21">
        <v>77</v>
      </c>
      <c r="I7963" s="23" t="s">
        <v>4076</v>
      </c>
      <c r="J7963" s="21"/>
      <c r="K7963" s="21" t="s">
        <v>56</v>
      </c>
      <c r="L7963" s="21"/>
      <c r="M7963" s="21"/>
      <c r="N7963" s="21" t="s">
        <v>44</v>
      </c>
      <c r="O7963" s="21">
        <f>60+60+60+25</f>
        <v>205</v>
      </c>
      <c r="P7963" s="21"/>
      <c r="Q7963" s="21">
        <f t="shared" si="155"/>
        <v>1</v>
      </c>
      <c r="R7963" s="21">
        <v>1</v>
      </c>
      <c r="S7963" s="21">
        <v>0</v>
      </c>
      <c r="T7963" s="21">
        <v>0</v>
      </c>
      <c r="U7963" s="21">
        <v>0</v>
      </c>
      <c r="V7963" s="21">
        <v>0</v>
      </c>
      <c r="W7963" s="21">
        <v>1</v>
      </c>
      <c r="X7963" s="21">
        <v>0</v>
      </c>
      <c r="Y7963" s="21">
        <v>0</v>
      </c>
      <c r="Z7963" s="21">
        <v>0</v>
      </c>
      <c r="AA7963" s="21">
        <v>0</v>
      </c>
      <c r="AB7963" s="21">
        <v>0</v>
      </c>
      <c r="AC7963" s="21">
        <v>0</v>
      </c>
      <c r="AD7963" s="21">
        <v>0</v>
      </c>
      <c r="AE7963" s="21">
        <v>0</v>
      </c>
      <c r="AF7963" s="21">
        <v>0</v>
      </c>
      <c r="AG7963" s="21">
        <v>0</v>
      </c>
      <c r="AH7963" s="21">
        <f t="shared" si="156"/>
        <v>96</v>
      </c>
      <c r="AI7963" s="21"/>
      <c r="AJ7963" s="21" t="s">
        <v>51</v>
      </c>
      <c r="AK7963" s="21" t="s">
        <v>52</v>
      </c>
      <c r="AL7963" s="21" t="s">
        <v>4077</v>
      </c>
      <c r="AM7963" s="21" t="s">
        <v>4078</v>
      </c>
      <c r="AN7963" s="21">
        <v>-122.429572583333</v>
      </c>
      <c r="AO7963" s="21">
        <v>37.789372016666697</v>
      </c>
      <c r="AP7963" s="21" t="s">
        <v>1915</v>
      </c>
    </row>
    <row r="7964" spans="1:42">
      <c r="A7964" s="20">
        <v>43857</v>
      </c>
      <c r="B7964" s="21">
        <v>1</v>
      </c>
      <c r="C7964" s="21">
        <v>225</v>
      </c>
      <c r="D7964" s="21">
        <v>14444</v>
      </c>
      <c r="E7964" t="s">
        <v>112</v>
      </c>
      <c r="F7964" s="21" t="s">
        <v>104</v>
      </c>
      <c r="G7964" s="21">
        <v>2</v>
      </c>
      <c r="H7964" s="21">
        <v>78</v>
      </c>
      <c r="I7964" s="23" t="s">
        <v>4009</v>
      </c>
      <c r="J7964" s="21"/>
      <c r="K7964" s="21" t="s">
        <v>56</v>
      </c>
      <c r="L7964" s="21"/>
      <c r="M7964" s="21"/>
      <c r="N7964" s="21" t="s">
        <v>44</v>
      </c>
      <c r="O7964" s="21">
        <f>60+60+60+60+32</f>
        <v>272</v>
      </c>
      <c r="P7964" s="21"/>
      <c r="Q7964" s="21">
        <f t="shared" si="155"/>
        <v>4</v>
      </c>
      <c r="R7964" s="21">
        <v>1</v>
      </c>
      <c r="S7964" s="21">
        <v>0</v>
      </c>
      <c r="T7964" s="21">
        <v>0</v>
      </c>
      <c r="U7964" s="21">
        <v>0</v>
      </c>
      <c r="V7964" s="21">
        <v>1</v>
      </c>
      <c r="W7964" s="21">
        <v>3</v>
      </c>
      <c r="X7964" s="21">
        <v>0</v>
      </c>
      <c r="Y7964" s="21">
        <v>0</v>
      </c>
      <c r="Z7964" s="21">
        <v>0</v>
      </c>
      <c r="AA7964" s="21">
        <v>0</v>
      </c>
      <c r="AB7964" s="21">
        <v>0</v>
      </c>
      <c r="AC7964" s="21">
        <v>0</v>
      </c>
      <c r="AD7964" s="21">
        <v>0</v>
      </c>
      <c r="AE7964" s="21">
        <v>0</v>
      </c>
      <c r="AF7964" s="21">
        <v>0</v>
      </c>
      <c r="AG7964" s="21">
        <v>0</v>
      </c>
      <c r="AH7964" s="21">
        <f t="shared" si="156"/>
        <v>352</v>
      </c>
      <c r="AI7964" s="21"/>
      <c r="AJ7964" s="21" t="s">
        <v>51</v>
      </c>
      <c r="AK7964" s="21" t="s">
        <v>52</v>
      </c>
      <c r="AL7964" s="21" t="s">
        <v>4079</v>
      </c>
      <c r="AM7964" s="21" t="s">
        <v>4080</v>
      </c>
      <c r="AN7964" s="21">
        <v>-122.428646983333</v>
      </c>
      <c r="AO7964" s="21">
        <v>37.789459149999999</v>
      </c>
      <c r="AP7964" s="21" t="s">
        <v>1915</v>
      </c>
    </row>
    <row r="7965" spans="1:42">
      <c r="A7965" s="20">
        <v>43857</v>
      </c>
      <c r="B7965" s="21">
        <v>1</v>
      </c>
      <c r="C7965" s="21">
        <v>225</v>
      </c>
      <c r="D7965" s="21">
        <v>14444</v>
      </c>
      <c r="E7965" t="s">
        <v>112</v>
      </c>
      <c r="F7965" s="21" t="s">
        <v>104</v>
      </c>
      <c r="G7965" s="21">
        <v>2</v>
      </c>
      <c r="H7965" s="21">
        <v>79</v>
      </c>
      <c r="I7965" s="23" t="s">
        <v>2892</v>
      </c>
      <c r="J7965" s="21"/>
      <c r="K7965" s="21" t="s">
        <v>56</v>
      </c>
      <c r="L7965" s="21"/>
      <c r="M7965" s="21"/>
      <c r="N7965" s="21" t="s">
        <v>44</v>
      </c>
      <c r="O7965" s="21">
        <f>60+54</f>
        <v>114</v>
      </c>
      <c r="P7965" s="21"/>
      <c r="Q7965" s="21">
        <f t="shared" si="155"/>
        <v>2</v>
      </c>
      <c r="R7965" s="21">
        <v>1</v>
      </c>
      <c r="S7965" s="21">
        <v>0</v>
      </c>
      <c r="T7965" s="21">
        <v>0</v>
      </c>
      <c r="U7965" s="21">
        <v>0</v>
      </c>
      <c r="V7965" s="21">
        <v>1</v>
      </c>
      <c r="W7965" s="21">
        <v>1</v>
      </c>
      <c r="X7965" s="21">
        <v>0</v>
      </c>
      <c r="Y7965" s="21">
        <v>0</v>
      </c>
      <c r="Z7965" s="21">
        <v>0</v>
      </c>
      <c r="AA7965" s="21">
        <v>0</v>
      </c>
      <c r="AB7965" s="21">
        <v>0</v>
      </c>
      <c r="AC7965" s="21">
        <v>0</v>
      </c>
      <c r="AD7965" s="21">
        <v>0</v>
      </c>
      <c r="AE7965" s="21">
        <v>0</v>
      </c>
      <c r="AF7965" s="21">
        <v>0</v>
      </c>
      <c r="AG7965" s="21">
        <v>0</v>
      </c>
      <c r="AH7965" s="21">
        <f t="shared" si="156"/>
        <v>160</v>
      </c>
      <c r="AI7965" s="21"/>
      <c r="AJ7965" s="21" t="s">
        <v>54</v>
      </c>
      <c r="AK7965" s="21" t="s">
        <v>52</v>
      </c>
      <c r="AL7965" s="21"/>
      <c r="AM7965" s="21" t="s">
        <v>4081</v>
      </c>
      <c r="AN7965" s="21">
        <v>-122.4284892</v>
      </c>
      <c r="AO7965" s="21">
        <v>37.789494033333298</v>
      </c>
      <c r="AP7965" s="21" t="s">
        <v>1915</v>
      </c>
    </row>
    <row r="7966" spans="1:42">
      <c r="A7966" s="20">
        <v>43857</v>
      </c>
      <c r="B7966" s="21">
        <v>1</v>
      </c>
      <c r="C7966" s="21">
        <v>225</v>
      </c>
      <c r="D7966" s="21">
        <v>14444</v>
      </c>
      <c r="E7966" t="s">
        <v>112</v>
      </c>
      <c r="F7966" s="21" t="s">
        <v>104</v>
      </c>
      <c r="G7966" s="21">
        <v>2</v>
      </c>
      <c r="H7966" s="21">
        <v>80</v>
      </c>
      <c r="I7966" s="23" t="s">
        <v>4082</v>
      </c>
      <c r="J7966" s="21"/>
      <c r="K7966" s="21" t="s">
        <v>56</v>
      </c>
      <c r="L7966" s="21"/>
      <c r="M7966" s="21"/>
      <c r="N7966" s="21" t="s">
        <v>44</v>
      </c>
      <c r="O7966" s="21">
        <f>120+52</f>
        <v>172</v>
      </c>
      <c r="P7966" s="21"/>
      <c r="Q7966" s="21">
        <f t="shared" si="155"/>
        <v>2</v>
      </c>
      <c r="R7966" s="21">
        <v>1</v>
      </c>
      <c r="S7966" s="21">
        <v>0</v>
      </c>
      <c r="T7966" s="21">
        <v>0</v>
      </c>
      <c r="U7966" s="21">
        <v>0</v>
      </c>
      <c r="V7966" s="21">
        <v>1</v>
      </c>
      <c r="W7966" s="21">
        <v>1</v>
      </c>
      <c r="X7966" s="21">
        <v>0</v>
      </c>
      <c r="Y7966" s="21">
        <v>0</v>
      </c>
      <c r="Z7966" s="21">
        <v>0</v>
      </c>
      <c r="AA7966" s="21">
        <v>0</v>
      </c>
      <c r="AB7966" s="21">
        <v>0</v>
      </c>
      <c r="AC7966" s="21">
        <v>0</v>
      </c>
      <c r="AD7966" s="21">
        <v>0</v>
      </c>
      <c r="AE7966" s="21">
        <v>0</v>
      </c>
      <c r="AF7966" s="21">
        <v>0</v>
      </c>
      <c r="AG7966" s="21">
        <v>0</v>
      </c>
      <c r="AH7966" s="21">
        <f t="shared" si="156"/>
        <v>160</v>
      </c>
      <c r="AI7966" s="21"/>
      <c r="AJ7966" s="21" t="s">
        <v>51</v>
      </c>
      <c r="AK7966" s="21" t="s">
        <v>52</v>
      </c>
      <c r="AL7966" s="21"/>
      <c r="AM7966" s="21" t="s">
        <v>4083</v>
      </c>
      <c r="AN7966" s="21">
        <v>-122.428305883333</v>
      </c>
      <c r="AO7966" s="21">
        <v>37.789462466666599</v>
      </c>
      <c r="AP7966" s="21" t="s">
        <v>1915</v>
      </c>
    </row>
    <row r="7967" spans="1:42">
      <c r="A7967" s="20">
        <v>43857</v>
      </c>
      <c r="B7967" s="21">
        <v>1</v>
      </c>
      <c r="C7967" s="21">
        <v>225</v>
      </c>
      <c r="D7967" s="21">
        <v>14444</v>
      </c>
      <c r="E7967" t="s">
        <v>112</v>
      </c>
      <c r="F7967" s="21" t="s">
        <v>104</v>
      </c>
      <c r="G7967" s="21">
        <v>2</v>
      </c>
      <c r="H7967" s="21">
        <v>81</v>
      </c>
      <c r="I7967" s="23" t="s">
        <v>4084</v>
      </c>
      <c r="J7967" s="21"/>
      <c r="K7967" s="21" t="s">
        <v>56</v>
      </c>
      <c r="L7967" s="21"/>
      <c r="M7967" s="21"/>
      <c r="N7967" s="21" t="s">
        <v>44</v>
      </c>
      <c r="O7967" s="21">
        <v>83</v>
      </c>
      <c r="P7967" s="21"/>
      <c r="Q7967" s="21">
        <f t="shared" si="155"/>
        <v>1</v>
      </c>
      <c r="R7967" s="21">
        <v>1</v>
      </c>
      <c r="S7967" s="21">
        <v>0</v>
      </c>
      <c r="T7967" s="21">
        <v>0</v>
      </c>
      <c r="U7967" s="21">
        <v>0</v>
      </c>
      <c r="V7967" s="21">
        <v>0</v>
      </c>
      <c r="W7967" s="21">
        <v>1</v>
      </c>
      <c r="X7967" s="21">
        <v>0</v>
      </c>
      <c r="Y7967" s="21">
        <v>0</v>
      </c>
      <c r="Z7967" s="21">
        <v>0</v>
      </c>
      <c r="AA7967" s="21">
        <v>0</v>
      </c>
      <c r="AB7967" s="21">
        <v>0</v>
      </c>
      <c r="AC7967" s="21">
        <v>0</v>
      </c>
      <c r="AD7967" s="21">
        <v>0</v>
      </c>
      <c r="AE7967" s="21">
        <v>0</v>
      </c>
      <c r="AF7967" s="21">
        <v>0</v>
      </c>
      <c r="AG7967" s="21">
        <v>0</v>
      </c>
      <c r="AH7967" s="21">
        <f t="shared" si="156"/>
        <v>96</v>
      </c>
      <c r="AI7967" s="21"/>
      <c r="AJ7967" s="21"/>
      <c r="AK7967" s="21"/>
      <c r="AL7967" s="21"/>
      <c r="AM7967" s="21" t="s">
        <v>4085</v>
      </c>
      <c r="AN7967" s="21">
        <v>-122.42819083333301</v>
      </c>
      <c r="AO7967" s="21">
        <v>37.789524133333302</v>
      </c>
      <c r="AP7967" s="21" t="s">
        <v>1915</v>
      </c>
    </row>
    <row r="7968" spans="1:42">
      <c r="A7968" s="20">
        <v>43857</v>
      </c>
      <c r="B7968" s="21">
        <v>1</v>
      </c>
      <c r="C7968" s="21">
        <v>225</v>
      </c>
      <c r="D7968" s="21">
        <v>14444</v>
      </c>
      <c r="E7968" t="s">
        <v>112</v>
      </c>
      <c r="F7968" s="21" t="s">
        <v>104</v>
      </c>
      <c r="G7968" s="21">
        <v>2</v>
      </c>
      <c r="H7968" s="21">
        <v>82</v>
      </c>
      <c r="I7968" s="23" t="s">
        <v>4086</v>
      </c>
      <c r="J7968" s="21"/>
      <c r="K7968" s="21" t="s">
        <v>56</v>
      </c>
      <c r="L7968" s="21"/>
      <c r="M7968" s="21"/>
      <c r="N7968" s="21" t="s">
        <v>44</v>
      </c>
      <c r="O7968" s="21">
        <f>60+60+23</f>
        <v>143</v>
      </c>
      <c r="P7968" s="21"/>
      <c r="Q7968" s="21">
        <f t="shared" si="155"/>
        <v>2</v>
      </c>
      <c r="R7968" s="21">
        <v>1</v>
      </c>
      <c r="S7968" s="21">
        <v>0</v>
      </c>
      <c r="T7968" s="21">
        <v>0</v>
      </c>
      <c r="U7968" s="21">
        <v>0</v>
      </c>
      <c r="V7968" s="21">
        <v>1</v>
      </c>
      <c r="W7968" s="21">
        <v>1</v>
      </c>
      <c r="X7968" s="21">
        <v>0</v>
      </c>
      <c r="Y7968" s="21">
        <v>0</v>
      </c>
      <c r="Z7968" s="21">
        <v>0</v>
      </c>
      <c r="AA7968" s="21">
        <v>0</v>
      </c>
      <c r="AB7968" s="21">
        <v>0</v>
      </c>
      <c r="AC7968" s="21">
        <v>0</v>
      </c>
      <c r="AD7968" s="21">
        <v>0</v>
      </c>
      <c r="AE7968" s="21">
        <v>0</v>
      </c>
      <c r="AF7968" s="21">
        <v>0</v>
      </c>
      <c r="AG7968" s="21">
        <v>0</v>
      </c>
      <c r="AH7968" s="21">
        <f t="shared" si="156"/>
        <v>160</v>
      </c>
      <c r="AI7968" s="21"/>
      <c r="AJ7968" s="21" t="s">
        <v>51</v>
      </c>
      <c r="AK7968" s="21" t="s">
        <v>52</v>
      </c>
      <c r="AL7968" s="21" t="s">
        <v>3699</v>
      </c>
      <c r="AM7968" s="21" t="s">
        <v>4087</v>
      </c>
      <c r="AN7968" s="21">
        <v>-122.42806161666699</v>
      </c>
      <c r="AO7968" s="21">
        <v>37.789523783333301</v>
      </c>
      <c r="AP7968" s="21" t="s">
        <v>1915</v>
      </c>
    </row>
    <row r="7969" spans="1:42">
      <c r="A7969" s="20">
        <v>43857</v>
      </c>
      <c r="B7969" s="21">
        <v>1</v>
      </c>
      <c r="C7969" s="21">
        <v>225</v>
      </c>
      <c r="D7969" s="21">
        <v>14444</v>
      </c>
      <c r="E7969" t="s">
        <v>112</v>
      </c>
      <c r="F7969" s="21" t="s">
        <v>104</v>
      </c>
      <c r="G7969" s="21">
        <v>2</v>
      </c>
      <c r="H7969" s="21">
        <v>83</v>
      </c>
      <c r="I7969" s="23" t="s">
        <v>2896</v>
      </c>
      <c r="J7969" s="21"/>
      <c r="K7969" s="21" t="s">
        <v>56</v>
      </c>
      <c r="L7969" s="21"/>
      <c r="M7969" s="21"/>
      <c r="N7969" s="21" t="s">
        <v>44</v>
      </c>
      <c r="O7969" s="21">
        <f>60+60+21</f>
        <v>141</v>
      </c>
      <c r="P7969" s="21"/>
      <c r="Q7969" s="21">
        <f t="shared" si="155"/>
        <v>2</v>
      </c>
      <c r="R7969" s="21">
        <v>1</v>
      </c>
      <c r="S7969" s="21">
        <v>0</v>
      </c>
      <c r="T7969" s="21">
        <v>0</v>
      </c>
      <c r="U7969" s="21">
        <v>0</v>
      </c>
      <c r="V7969" s="21">
        <v>0</v>
      </c>
      <c r="W7969" s="21">
        <v>2</v>
      </c>
      <c r="X7969" s="21">
        <v>0</v>
      </c>
      <c r="Y7969" s="21">
        <v>0</v>
      </c>
      <c r="Z7969" s="21">
        <v>0</v>
      </c>
      <c r="AA7969" s="21">
        <v>0</v>
      </c>
      <c r="AB7969" s="21">
        <v>0</v>
      </c>
      <c r="AC7969" s="21">
        <v>0</v>
      </c>
      <c r="AD7969" s="21">
        <v>0</v>
      </c>
      <c r="AE7969" s="21">
        <v>0</v>
      </c>
      <c r="AF7969" s="21">
        <v>0</v>
      </c>
      <c r="AG7969" s="21">
        <v>0</v>
      </c>
      <c r="AH7969" s="21">
        <f t="shared" si="156"/>
        <v>192</v>
      </c>
      <c r="AI7969" s="21"/>
      <c r="AJ7969" s="21" t="s">
        <v>54</v>
      </c>
      <c r="AK7969" s="21" t="s">
        <v>52</v>
      </c>
      <c r="AL7969" s="21" t="s">
        <v>3906</v>
      </c>
      <c r="AM7969" s="21" t="s">
        <v>4088</v>
      </c>
      <c r="AN7969" s="21">
        <v>-122.42701895</v>
      </c>
      <c r="AO7969" s="21">
        <v>37.789393966666701</v>
      </c>
      <c r="AP7969" s="21" t="s">
        <v>1915</v>
      </c>
    </row>
    <row r="7970" spans="1:42">
      <c r="A7970" s="20">
        <v>43857</v>
      </c>
      <c r="B7970" s="21">
        <v>1</v>
      </c>
      <c r="C7970" s="21">
        <v>225</v>
      </c>
      <c r="D7970" s="21">
        <v>14444</v>
      </c>
      <c r="E7970" t="s">
        <v>112</v>
      </c>
      <c r="F7970" s="21" t="s">
        <v>104</v>
      </c>
      <c r="G7970" s="21">
        <v>2</v>
      </c>
      <c r="H7970" s="21">
        <v>84</v>
      </c>
      <c r="I7970" s="23" t="s">
        <v>3926</v>
      </c>
      <c r="J7970" s="21"/>
      <c r="K7970" s="21" t="s">
        <v>595</v>
      </c>
      <c r="L7970" s="21"/>
      <c r="M7970" s="21"/>
      <c r="N7970" s="21" t="s">
        <v>44</v>
      </c>
      <c r="O7970" s="21">
        <f>60+50</f>
        <v>110</v>
      </c>
      <c r="P7970" s="21"/>
      <c r="Q7970" s="21">
        <f t="shared" si="155"/>
        <v>1</v>
      </c>
      <c r="R7970" s="21">
        <v>1</v>
      </c>
      <c r="S7970" s="21">
        <v>0</v>
      </c>
      <c r="T7970" s="21">
        <v>0</v>
      </c>
      <c r="U7970" s="21">
        <v>0</v>
      </c>
      <c r="V7970" s="21">
        <v>0</v>
      </c>
      <c r="W7970" s="21">
        <v>1</v>
      </c>
      <c r="X7970" s="21">
        <v>0</v>
      </c>
      <c r="Y7970" s="21">
        <v>0</v>
      </c>
      <c r="Z7970" s="21">
        <v>0</v>
      </c>
      <c r="AA7970" s="21">
        <v>0</v>
      </c>
      <c r="AB7970" s="21">
        <v>0</v>
      </c>
      <c r="AC7970" s="21">
        <v>0</v>
      </c>
      <c r="AD7970" s="21">
        <v>0</v>
      </c>
      <c r="AE7970" s="21">
        <v>0</v>
      </c>
      <c r="AF7970" s="21">
        <v>0</v>
      </c>
      <c r="AG7970" s="21">
        <v>0</v>
      </c>
      <c r="AH7970" s="21">
        <f t="shared" si="156"/>
        <v>96</v>
      </c>
      <c r="AI7970" s="21"/>
      <c r="AJ7970" s="21" t="s">
        <v>54</v>
      </c>
      <c r="AK7970" s="21" t="s">
        <v>52</v>
      </c>
      <c r="AL7970" s="21"/>
      <c r="AM7970" s="21" t="s">
        <v>4089</v>
      </c>
      <c r="AN7970" s="21">
        <v>-122.427115516667</v>
      </c>
      <c r="AO7970" s="21">
        <v>37.7893987</v>
      </c>
      <c r="AP7970" s="21" t="s">
        <v>1915</v>
      </c>
    </row>
    <row r="7971" spans="1:42">
      <c r="A7971" s="20">
        <v>43857</v>
      </c>
      <c r="B7971" s="21">
        <v>1</v>
      </c>
      <c r="C7971" s="21">
        <v>225</v>
      </c>
      <c r="D7971" s="21">
        <v>14444</v>
      </c>
      <c r="E7971" t="s">
        <v>112</v>
      </c>
      <c r="F7971" s="21" t="s">
        <v>104</v>
      </c>
      <c r="G7971" s="21">
        <v>2</v>
      </c>
      <c r="H7971" s="21">
        <v>85</v>
      </c>
      <c r="I7971" s="23" t="s">
        <v>3305</v>
      </c>
      <c r="J7971" s="21"/>
      <c r="K7971" s="21" t="s">
        <v>595</v>
      </c>
      <c r="L7971" s="21"/>
      <c r="M7971" s="21"/>
      <c r="N7971" s="21" t="s">
        <v>40</v>
      </c>
      <c r="O7971" s="21">
        <f>60+48</f>
        <v>108</v>
      </c>
      <c r="P7971" s="21"/>
      <c r="Q7971" s="21">
        <f t="shared" si="155"/>
        <v>2</v>
      </c>
      <c r="R7971" s="21">
        <v>1</v>
      </c>
      <c r="S7971" s="21">
        <v>0</v>
      </c>
      <c r="T7971" s="21">
        <v>0</v>
      </c>
      <c r="U7971" s="21">
        <v>1</v>
      </c>
      <c r="V7971" s="21">
        <v>0</v>
      </c>
      <c r="W7971" s="21">
        <v>1</v>
      </c>
      <c r="X7971" s="21">
        <v>0</v>
      </c>
      <c r="Y7971" s="21">
        <v>0</v>
      </c>
      <c r="Z7971" s="21">
        <v>0</v>
      </c>
      <c r="AA7971" s="21">
        <v>0</v>
      </c>
      <c r="AB7971" s="21">
        <v>0</v>
      </c>
      <c r="AC7971" s="21">
        <v>0</v>
      </c>
      <c r="AD7971" s="21">
        <v>0</v>
      </c>
      <c r="AE7971" s="21">
        <v>0</v>
      </c>
      <c r="AF7971" s="21">
        <v>0</v>
      </c>
      <c r="AG7971" s="21">
        <v>0</v>
      </c>
      <c r="AH7971" s="21">
        <f t="shared" si="156"/>
        <v>128</v>
      </c>
      <c r="AI7971" s="21"/>
      <c r="AJ7971" s="21" t="s">
        <v>54</v>
      </c>
      <c r="AK7971" s="21" t="s">
        <v>52</v>
      </c>
      <c r="AL7971" s="21"/>
      <c r="AM7971" s="21" t="s">
        <v>4090</v>
      </c>
      <c r="AN7971" s="21">
        <v>-122.42763540250699</v>
      </c>
      <c r="AO7971" s="21">
        <v>37.789715292947299</v>
      </c>
      <c r="AP7971" s="21" t="s">
        <v>1915</v>
      </c>
    </row>
    <row r="7972" spans="1:42">
      <c r="A7972" s="20">
        <v>43857</v>
      </c>
      <c r="B7972" s="21">
        <v>1</v>
      </c>
      <c r="C7972" s="21">
        <v>225</v>
      </c>
      <c r="D7972" s="21">
        <v>14444</v>
      </c>
      <c r="E7972" t="s">
        <v>112</v>
      </c>
      <c r="F7972" s="21" t="s">
        <v>104</v>
      </c>
      <c r="G7972" s="21">
        <v>2</v>
      </c>
      <c r="H7972" s="21">
        <v>86</v>
      </c>
      <c r="I7972" s="23" t="s">
        <v>4091</v>
      </c>
      <c r="J7972" s="21"/>
      <c r="K7972" s="21" t="s">
        <v>588</v>
      </c>
      <c r="L7972" s="21"/>
      <c r="M7972" s="21"/>
      <c r="N7972" s="21" t="s">
        <v>40</v>
      </c>
      <c r="O7972" s="21">
        <f>60+60+60+60+41</f>
        <v>281</v>
      </c>
      <c r="P7972" s="21"/>
      <c r="Q7972" s="21">
        <f t="shared" si="155"/>
        <v>10</v>
      </c>
      <c r="R7972" s="21">
        <v>1</v>
      </c>
      <c r="S7972" s="21">
        <v>0</v>
      </c>
      <c r="T7972" s="21">
        <v>0</v>
      </c>
      <c r="U7972" s="21">
        <v>0</v>
      </c>
      <c r="V7972" s="21">
        <v>0</v>
      </c>
      <c r="W7972" s="21">
        <v>9</v>
      </c>
      <c r="X7972" s="21">
        <v>1</v>
      </c>
      <c r="Y7972" s="21">
        <v>0</v>
      </c>
      <c r="Z7972" s="21">
        <v>0</v>
      </c>
      <c r="AA7972" s="21">
        <v>0</v>
      </c>
      <c r="AB7972" s="21">
        <v>0</v>
      </c>
      <c r="AC7972" s="21">
        <v>0</v>
      </c>
      <c r="AD7972" s="21">
        <v>0</v>
      </c>
      <c r="AE7972" s="21">
        <v>0</v>
      </c>
      <c r="AF7972" s="21">
        <v>0</v>
      </c>
      <c r="AG7972" s="21">
        <v>0</v>
      </c>
      <c r="AH7972" s="21">
        <f t="shared" si="156"/>
        <v>864</v>
      </c>
      <c r="AI7972" s="21"/>
      <c r="AJ7972" s="21" t="s">
        <v>51</v>
      </c>
      <c r="AK7972" s="21" t="s">
        <v>95</v>
      </c>
      <c r="AL7972" s="21" t="s">
        <v>4092</v>
      </c>
      <c r="AM7972" s="21" t="s">
        <v>4093</v>
      </c>
      <c r="AN7972" s="21">
        <v>-122.429222583333</v>
      </c>
      <c r="AO7972" s="21">
        <v>37.791346699999998</v>
      </c>
      <c r="AP7972" s="21" t="s">
        <v>1915</v>
      </c>
    </row>
    <row r="7973" spans="1:42">
      <c r="A7973" s="20">
        <v>43857</v>
      </c>
      <c r="B7973" s="21">
        <v>1</v>
      </c>
      <c r="C7973" s="21">
        <v>225</v>
      </c>
      <c r="D7973" s="21">
        <v>14444</v>
      </c>
      <c r="E7973" t="s">
        <v>112</v>
      </c>
      <c r="F7973" s="21" t="s">
        <v>104</v>
      </c>
      <c r="G7973" s="21">
        <v>2</v>
      </c>
      <c r="H7973" s="21">
        <v>87</v>
      </c>
      <c r="I7973" s="23" t="s">
        <v>4094</v>
      </c>
      <c r="J7973" s="21"/>
      <c r="K7973" s="21"/>
      <c r="L7973" s="21"/>
      <c r="M7973" s="21"/>
      <c r="N7973" s="21" t="s">
        <v>44</v>
      </c>
      <c r="O7973" s="21">
        <v>66</v>
      </c>
      <c r="P7973" s="21"/>
      <c r="Q7973" s="21">
        <f t="shared" si="155"/>
        <v>1</v>
      </c>
      <c r="R7973" s="21">
        <v>1</v>
      </c>
      <c r="S7973" s="21">
        <v>0</v>
      </c>
      <c r="T7973" s="21">
        <v>0</v>
      </c>
      <c r="U7973" s="21">
        <v>0</v>
      </c>
      <c r="V7973" s="21">
        <v>0</v>
      </c>
      <c r="W7973" s="21">
        <v>1</v>
      </c>
      <c r="X7973" s="21">
        <v>0</v>
      </c>
      <c r="Y7973" s="21">
        <v>0</v>
      </c>
      <c r="Z7973" s="21">
        <v>0</v>
      </c>
      <c r="AA7973" s="21">
        <v>0</v>
      </c>
      <c r="AB7973" s="21">
        <v>0</v>
      </c>
      <c r="AC7973" s="21">
        <v>0</v>
      </c>
      <c r="AD7973" s="21">
        <v>0</v>
      </c>
      <c r="AE7973" s="21">
        <v>0</v>
      </c>
      <c r="AF7973" s="21">
        <v>0</v>
      </c>
      <c r="AG7973" s="21">
        <v>0</v>
      </c>
      <c r="AH7973" s="21">
        <f t="shared" si="156"/>
        <v>96</v>
      </c>
      <c r="AI7973" s="21"/>
      <c r="AJ7973" s="21"/>
      <c r="AK7973" s="21"/>
      <c r="AL7973" s="21"/>
      <c r="AM7973" s="21" t="s">
        <v>4095</v>
      </c>
      <c r="AN7973" s="21">
        <v>-122.4300377</v>
      </c>
      <c r="AO7973" s="21">
        <v>37.792455816666703</v>
      </c>
      <c r="AP7973" s="21" t="s">
        <v>1915</v>
      </c>
    </row>
    <row r="7974" spans="1:42">
      <c r="A7974" s="20">
        <v>43857</v>
      </c>
      <c r="B7974" s="21">
        <v>1</v>
      </c>
      <c r="C7974" s="21">
        <v>225</v>
      </c>
      <c r="D7974" s="21">
        <v>14444</v>
      </c>
      <c r="E7974" t="s">
        <v>112</v>
      </c>
      <c r="F7974" s="21" t="s">
        <v>104</v>
      </c>
      <c r="G7974" s="21">
        <v>2</v>
      </c>
      <c r="H7974" s="21">
        <v>88</v>
      </c>
      <c r="I7974" s="23" t="s">
        <v>2536</v>
      </c>
      <c r="J7974" s="21"/>
      <c r="K7974" s="21" t="s">
        <v>516</v>
      </c>
      <c r="L7974" s="21"/>
      <c r="M7974" s="21"/>
      <c r="N7974" s="21" t="s">
        <v>40</v>
      </c>
      <c r="O7974" s="21">
        <v>55</v>
      </c>
      <c r="P7974" s="21"/>
      <c r="Q7974" s="21">
        <f t="shared" si="155"/>
        <v>1</v>
      </c>
      <c r="R7974" s="21">
        <v>1</v>
      </c>
      <c r="S7974" s="21">
        <v>0</v>
      </c>
      <c r="T7974" s="21">
        <v>0</v>
      </c>
      <c r="U7974" s="21">
        <v>0</v>
      </c>
      <c r="V7974" s="21">
        <v>1</v>
      </c>
      <c r="W7974" s="21">
        <v>0</v>
      </c>
      <c r="X7974" s="21">
        <v>0</v>
      </c>
      <c r="Y7974" s="21">
        <v>0</v>
      </c>
      <c r="Z7974" s="21">
        <v>0</v>
      </c>
      <c r="AA7974" s="21">
        <v>0</v>
      </c>
      <c r="AB7974" s="21">
        <v>0</v>
      </c>
      <c r="AC7974" s="21">
        <v>0</v>
      </c>
      <c r="AD7974" s="21">
        <v>0</v>
      </c>
      <c r="AE7974" s="21">
        <v>0</v>
      </c>
      <c r="AF7974" s="21">
        <v>0</v>
      </c>
      <c r="AG7974" s="21">
        <v>0</v>
      </c>
      <c r="AH7974" s="21">
        <f t="shared" si="156"/>
        <v>64</v>
      </c>
      <c r="AI7974" s="21"/>
      <c r="AJ7974" s="21" t="s">
        <v>54</v>
      </c>
      <c r="AK7974" s="21" t="s">
        <v>95</v>
      </c>
      <c r="AL7974" s="21"/>
      <c r="AM7974" s="21" t="s">
        <v>4096</v>
      </c>
      <c r="AN7974" s="21">
        <v>-122.43069148333301</v>
      </c>
      <c r="AO7974" s="21">
        <v>37.7920986166666</v>
      </c>
      <c r="AP7974" s="21" t="s">
        <v>1915</v>
      </c>
    </row>
    <row r="7975" spans="1:42">
      <c r="A7975" s="20">
        <v>43857</v>
      </c>
      <c r="B7975" s="21">
        <v>1</v>
      </c>
      <c r="C7975" s="21">
        <v>225</v>
      </c>
      <c r="D7975" s="21">
        <v>14444</v>
      </c>
      <c r="E7975" t="s">
        <v>112</v>
      </c>
      <c r="F7975" s="21" t="s">
        <v>104</v>
      </c>
      <c r="G7975" s="21">
        <v>2</v>
      </c>
      <c r="H7975" s="21">
        <v>89</v>
      </c>
      <c r="I7975" s="23" t="s">
        <v>4097</v>
      </c>
      <c r="J7975" s="21"/>
      <c r="K7975" s="21" t="s">
        <v>516</v>
      </c>
      <c r="L7975" s="21"/>
      <c r="M7975" s="21"/>
      <c r="N7975" s="21" t="s">
        <v>44</v>
      </c>
      <c r="O7975" s="21">
        <f>60+48</f>
        <v>108</v>
      </c>
      <c r="P7975" s="21"/>
      <c r="Q7975" s="21">
        <f t="shared" si="155"/>
        <v>1</v>
      </c>
      <c r="R7975" s="21">
        <v>1</v>
      </c>
      <c r="S7975" s="21">
        <v>0</v>
      </c>
      <c r="T7975" s="21">
        <v>0</v>
      </c>
      <c r="U7975" s="21">
        <v>0</v>
      </c>
      <c r="V7975" s="21">
        <v>0</v>
      </c>
      <c r="W7975" s="21">
        <v>1</v>
      </c>
      <c r="X7975" s="21">
        <v>0</v>
      </c>
      <c r="Y7975" s="21">
        <v>0</v>
      </c>
      <c r="Z7975" s="21">
        <v>0</v>
      </c>
      <c r="AA7975" s="21">
        <v>0</v>
      </c>
      <c r="AB7975" s="21">
        <v>0</v>
      </c>
      <c r="AC7975" s="21">
        <v>0</v>
      </c>
      <c r="AD7975" s="21">
        <v>0</v>
      </c>
      <c r="AE7975" s="21">
        <v>0</v>
      </c>
      <c r="AF7975" s="21">
        <v>0</v>
      </c>
      <c r="AG7975" s="21">
        <v>0</v>
      </c>
      <c r="AH7975" s="21">
        <f t="shared" si="156"/>
        <v>96</v>
      </c>
      <c r="AI7975" s="21"/>
      <c r="AJ7975" s="21" t="s">
        <v>54</v>
      </c>
      <c r="AK7975" s="21" t="s">
        <v>52</v>
      </c>
      <c r="AL7975" s="21" t="s">
        <v>4098</v>
      </c>
      <c r="AM7975" s="21" t="s">
        <v>4099</v>
      </c>
      <c r="AN7975" s="21">
        <v>-122.430744116667</v>
      </c>
      <c r="AO7975" s="21">
        <v>37.792127916666701</v>
      </c>
      <c r="AP7975" s="21" t="s">
        <v>1915</v>
      </c>
    </row>
    <row r="7976" spans="1:42">
      <c r="A7976" s="20">
        <v>43857</v>
      </c>
      <c r="B7976" s="21">
        <v>1</v>
      </c>
      <c r="C7976" s="21">
        <v>225</v>
      </c>
      <c r="D7976" s="21">
        <v>14444</v>
      </c>
      <c r="E7976" t="s">
        <v>112</v>
      </c>
      <c r="F7976" s="21" t="s">
        <v>104</v>
      </c>
      <c r="G7976" s="21">
        <v>2</v>
      </c>
      <c r="H7976" s="21">
        <v>90</v>
      </c>
      <c r="I7976" s="23" t="s">
        <v>4100</v>
      </c>
      <c r="J7976" s="21"/>
      <c r="K7976" s="21" t="s">
        <v>516</v>
      </c>
      <c r="L7976" s="21"/>
      <c r="M7976" s="21"/>
      <c r="N7976" s="21" t="s">
        <v>44</v>
      </c>
      <c r="O7976" s="21">
        <v>58</v>
      </c>
      <c r="P7976" s="21"/>
      <c r="Q7976" s="21">
        <f t="shared" si="155"/>
        <v>1</v>
      </c>
      <c r="R7976" s="21">
        <v>1</v>
      </c>
      <c r="S7976" s="21">
        <v>0</v>
      </c>
      <c r="T7976" s="21">
        <v>0</v>
      </c>
      <c r="U7976" s="21">
        <v>0</v>
      </c>
      <c r="V7976" s="21">
        <v>0</v>
      </c>
      <c r="W7976" s="21">
        <v>1</v>
      </c>
      <c r="X7976" s="21">
        <v>0</v>
      </c>
      <c r="Y7976" s="21">
        <v>0</v>
      </c>
      <c r="Z7976" s="21">
        <v>0</v>
      </c>
      <c r="AA7976" s="21">
        <v>0</v>
      </c>
      <c r="AB7976" s="21">
        <v>0</v>
      </c>
      <c r="AC7976" s="21">
        <v>0</v>
      </c>
      <c r="AD7976" s="21">
        <v>0</v>
      </c>
      <c r="AE7976" s="21">
        <v>0</v>
      </c>
      <c r="AF7976" s="21">
        <v>0</v>
      </c>
      <c r="AG7976" s="21">
        <v>0</v>
      </c>
      <c r="AH7976" s="21">
        <f t="shared" si="156"/>
        <v>96</v>
      </c>
      <c r="AI7976" s="21"/>
      <c r="AJ7976" s="21" t="s">
        <v>54</v>
      </c>
      <c r="AK7976" s="21" t="s">
        <v>52</v>
      </c>
      <c r="AL7976" s="21"/>
      <c r="AM7976" s="21" t="s">
        <v>4101</v>
      </c>
      <c r="AN7976" s="21">
        <v>-122.43242601666699</v>
      </c>
      <c r="AO7976" s="21">
        <v>37.791934083333302</v>
      </c>
      <c r="AP7976" s="21" t="s">
        <v>1915</v>
      </c>
    </row>
    <row r="7977" spans="1:42">
      <c r="A7977" s="20">
        <v>43857</v>
      </c>
      <c r="B7977" s="21">
        <v>1</v>
      </c>
      <c r="C7977" s="21">
        <v>225</v>
      </c>
      <c r="D7977" s="21">
        <v>14444</v>
      </c>
      <c r="E7977" t="s">
        <v>112</v>
      </c>
      <c r="F7977" s="21" t="s">
        <v>104</v>
      </c>
      <c r="G7977" s="21">
        <v>2</v>
      </c>
      <c r="H7977" s="21">
        <v>91</v>
      </c>
      <c r="I7977" s="23" t="s">
        <v>4102</v>
      </c>
      <c r="J7977" s="21"/>
      <c r="K7977" s="21" t="s">
        <v>516</v>
      </c>
      <c r="L7977" s="21"/>
      <c r="M7977" s="21"/>
      <c r="N7977" s="21" t="s">
        <v>44</v>
      </c>
      <c r="O7977" s="21">
        <f>60+39</f>
        <v>99</v>
      </c>
      <c r="P7977" s="21"/>
      <c r="Q7977" s="21">
        <f t="shared" si="155"/>
        <v>2</v>
      </c>
      <c r="R7977" s="21">
        <v>1</v>
      </c>
      <c r="S7977" s="21">
        <v>0</v>
      </c>
      <c r="T7977" s="21">
        <v>0</v>
      </c>
      <c r="U7977" s="21">
        <v>1</v>
      </c>
      <c r="V7977" s="21">
        <v>0</v>
      </c>
      <c r="W7977" s="21">
        <v>1</v>
      </c>
      <c r="X7977" s="21">
        <v>0</v>
      </c>
      <c r="Y7977" s="21">
        <v>0</v>
      </c>
      <c r="Z7977" s="21">
        <v>0</v>
      </c>
      <c r="AA7977" s="21">
        <v>0</v>
      </c>
      <c r="AB7977" s="21">
        <v>0</v>
      </c>
      <c r="AC7977" s="21">
        <v>0</v>
      </c>
      <c r="AD7977" s="21">
        <v>0</v>
      </c>
      <c r="AE7977" s="21">
        <v>0</v>
      </c>
      <c r="AF7977" s="21">
        <v>0</v>
      </c>
      <c r="AG7977" s="21">
        <v>0</v>
      </c>
      <c r="AH7977" s="21">
        <f t="shared" si="156"/>
        <v>128</v>
      </c>
      <c r="AI7977" s="21"/>
      <c r="AJ7977" s="21" t="s">
        <v>54</v>
      </c>
      <c r="AK7977" s="21" t="s">
        <v>52</v>
      </c>
      <c r="AL7977" s="21"/>
      <c r="AM7977" s="21" t="s">
        <v>4103</v>
      </c>
      <c r="AN7977" s="21">
        <v>-122.43392305</v>
      </c>
      <c r="AO7977" s="21">
        <v>37.791732716666701</v>
      </c>
      <c r="AP7977" s="21" t="s">
        <v>1915</v>
      </c>
    </row>
    <row r="7978" spans="1:42">
      <c r="A7978" s="20">
        <v>43857</v>
      </c>
      <c r="B7978" s="21">
        <v>1</v>
      </c>
      <c r="C7978" s="21">
        <v>225</v>
      </c>
      <c r="D7978" s="21">
        <v>14444</v>
      </c>
      <c r="E7978" t="s">
        <v>112</v>
      </c>
      <c r="F7978" s="21" t="s">
        <v>104</v>
      </c>
      <c r="G7978" s="21">
        <v>2</v>
      </c>
      <c r="H7978" s="21">
        <v>92</v>
      </c>
      <c r="I7978" s="23" t="s">
        <v>4104</v>
      </c>
      <c r="J7978" s="21"/>
      <c r="K7978" s="21" t="s">
        <v>4105</v>
      </c>
      <c r="L7978" s="21"/>
      <c r="M7978" s="21"/>
      <c r="N7978" s="21" t="s">
        <v>44</v>
      </c>
      <c r="O7978" s="21">
        <f>60+38</f>
        <v>98</v>
      </c>
      <c r="P7978" s="21"/>
      <c r="Q7978" s="21">
        <f t="shared" si="155"/>
        <v>1</v>
      </c>
      <c r="R7978" s="21">
        <v>1</v>
      </c>
      <c r="S7978" s="21">
        <v>0</v>
      </c>
      <c r="T7978" s="21">
        <v>0</v>
      </c>
      <c r="U7978" s="21">
        <v>0</v>
      </c>
      <c r="V7978" s="21">
        <v>0</v>
      </c>
      <c r="W7978" s="21">
        <v>1</v>
      </c>
      <c r="X7978" s="21">
        <v>0</v>
      </c>
      <c r="Y7978" s="21">
        <v>0</v>
      </c>
      <c r="Z7978" s="21">
        <v>0</v>
      </c>
      <c r="AA7978" s="21">
        <v>0</v>
      </c>
      <c r="AB7978" s="21">
        <v>0</v>
      </c>
      <c r="AC7978" s="21">
        <v>0</v>
      </c>
      <c r="AD7978" s="21">
        <v>0</v>
      </c>
      <c r="AE7978" s="21">
        <v>0</v>
      </c>
      <c r="AF7978" s="21">
        <v>0</v>
      </c>
      <c r="AG7978" s="21">
        <v>0</v>
      </c>
      <c r="AH7978" s="21">
        <f t="shared" si="156"/>
        <v>96</v>
      </c>
      <c r="AI7978" s="21"/>
      <c r="AJ7978" s="21" t="s">
        <v>51</v>
      </c>
      <c r="AK7978" s="21" t="s">
        <v>52</v>
      </c>
      <c r="AL7978" s="21"/>
      <c r="AM7978" s="21" t="s">
        <v>4106</v>
      </c>
      <c r="AN7978" s="21">
        <v>-122.43447832913201</v>
      </c>
      <c r="AO7978" s="21">
        <v>37.792100337087099</v>
      </c>
      <c r="AP7978" s="21" t="s">
        <v>1915</v>
      </c>
    </row>
    <row r="7979" spans="1:42">
      <c r="A7979" s="20">
        <v>43857</v>
      </c>
      <c r="B7979" s="21">
        <v>1</v>
      </c>
      <c r="C7979" s="21">
        <v>225</v>
      </c>
      <c r="D7979" s="21">
        <v>14444</v>
      </c>
      <c r="E7979" t="s">
        <v>112</v>
      </c>
      <c r="F7979" s="21" t="s">
        <v>104</v>
      </c>
      <c r="G7979" s="21">
        <v>2</v>
      </c>
      <c r="H7979" s="21">
        <v>93</v>
      </c>
      <c r="I7979" s="23" t="s">
        <v>4107</v>
      </c>
      <c r="J7979" s="21"/>
      <c r="K7979" s="21" t="s">
        <v>68</v>
      </c>
      <c r="L7979" s="21"/>
      <c r="M7979" s="21"/>
      <c r="N7979" s="21" t="s">
        <v>44</v>
      </c>
      <c r="O7979" s="21">
        <f>(60*4)+48</f>
        <v>288</v>
      </c>
      <c r="P7979" s="21"/>
      <c r="Q7979" s="21">
        <f t="shared" si="155"/>
        <v>3</v>
      </c>
      <c r="R7979" s="21">
        <v>1</v>
      </c>
      <c r="S7979" s="21">
        <v>0</v>
      </c>
      <c r="T7979" s="21">
        <v>0</v>
      </c>
      <c r="U7979" s="21">
        <v>0</v>
      </c>
      <c r="V7979" s="21">
        <v>0</v>
      </c>
      <c r="W7979" s="21">
        <v>3</v>
      </c>
      <c r="X7979" s="21">
        <v>0</v>
      </c>
      <c r="Y7979" s="21">
        <v>0</v>
      </c>
      <c r="Z7979" s="21">
        <v>0</v>
      </c>
      <c r="AA7979" s="21">
        <v>0</v>
      </c>
      <c r="AB7979" s="21">
        <v>0</v>
      </c>
      <c r="AC7979" s="21">
        <v>0</v>
      </c>
      <c r="AD7979" s="21">
        <v>0</v>
      </c>
      <c r="AE7979" s="21">
        <v>0</v>
      </c>
      <c r="AF7979" s="21">
        <v>0</v>
      </c>
      <c r="AG7979" s="21">
        <v>0</v>
      </c>
      <c r="AH7979" s="21">
        <f t="shared" si="156"/>
        <v>288</v>
      </c>
      <c r="AI7979" s="21"/>
      <c r="AJ7979" s="21" t="s">
        <v>54</v>
      </c>
      <c r="AK7979" s="21" t="s">
        <v>52</v>
      </c>
      <c r="AL7979" s="21"/>
      <c r="AM7979" s="21" t="s">
        <v>4108</v>
      </c>
      <c r="AN7979" s="21">
        <v>-122.433596485823</v>
      </c>
      <c r="AO7979" s="21">
        <v>37.791092793877603</v>
      </c>
      <c r="AP7979" s="21" t="s">
        <v>1915</v>
      </c>
    </row>
    <row r="7980" spans="1:42">
      <c r="A7980" s="20">
        <v>43857</v>
      </c>
      <c r="B7980" s="21">
        <v>1</v>
      </c>
      <c r="C7980" s="21">
        <v>225</v>
      </c>
      <c r="D7980" s="21">
        <v>14444</v>
      </c>
      <c r="E7980" t="s">
        <v>112</v>
      </c>
      <c r="F7980" s="21" t="s">
        <v>104</v>
      </c>
      <c r="G7980" s="21">
        <v>2</v>
      </c>
      <c r="H7980" s="21">
        <v>94</v>
      </c>
      <c r="I7980" s="23" t="s">
        <v>4109</v>
      </c>
      <c r="J7980" s="21"/>
      <c r="K7980" s="21" t="s">
        <v>516</v>
      </c>
      <c r="L7980" s="21"/>
      <c r="M7980" s="21"/>
      <c r="N7980" s="21" t="s">
        <v>44</v>
      </c>
      <c r="O7980" s="21">
        <f>60+60+17</f>
        <v>137</v>
      </c>
      <c r="P7980" s="21"/>
      <c r="Q7980" s="21">
        <f t="shared" si="155"/>
        <v>1</v>
      </c>
      <c r="R7980" s="21">
        <v>1</v>
      </c>
      <c r="S7980" s="21">
        <v>0</v>
      </c>
      <c r="T7980" s="21">
        <v>0</v>
      </c>
      <c r="U7980" s="21">
        <v>0</v>
      </c>
      <c r="V7980" s="21">
        <v>0</v>
      </c>
      <c r="W7980" s="21">
        <v>1</v>
      </c>
      <c r="X7980" s="21">
        <v>0</v>
      </c>
      <c r="Y7980" s="21">
        <v>0</v>
      </c>
      <c r="Z7980" s="21">
        <v>0</v>
      </c>
      <c r="AA7980" s="21">
        <v>0</v>
      </c>
      <c r="AB7980" s="21">
        <v>0</v>
      </c>
      <c r="AC7980" s="21">
        <v>0</v>
      </c>
      <c r="AD7980" s="21">
        <v>0</v>
      </c>
      <c r="AE7980" s="21">
        <v>0</v>
      </c>
      <c r="AF7980" s="21">
        <v>0</v>
      </c>
      <c r="AG7980" s="21">
        <v>0</v>
      </c>
      <c r="AH7980" s="21">
        <f t="shared" si="156"/>
        <v>96</v>
      </c>
      <c r="AI7980" s="21"/>
      <c r="AJ7980" s="21" t="s">
        <v>54</v>
      </c>
      <c r="AK7980" s="21" t="s">
        <v>52</v>
      </c>
      <c r="AL7980" s="21"/>
      <c r="AM7980" s="21" t="s">
        <v>4110</v>
      </c>
      <c r="AN7980" s="21">
        <v>-122.4319483</v>
      </c>
      <c r="AO7980" s="21">
        <v>37.791886550000001</v>
      </c>
      <c r="AP7980" s="21" t="s">
        <v>1915</v>
      </c>
    </row>
    <row r="7981" spans="1:42">
      <c r="A7981" s="20">
        <v>43857</v>
      </c>
      <c r="B7981" s="21">
        <v>1</v>
      </c>
      <c r="C7981" s="21">
        <v>225</v>
      </c>
      <c r="D7981" s="21">
        <v>14444</v>
      </c>
      <c r="E7981" t="s">
        <v>112</v>
      </c>
      <c r="F7981" s="21" t="s">
        <v>104</v>
      </c>
      <c r="G7981" s="21">
        <v>2</v>
      </c>
      <c r="H7981" s="21">
        <v>95</v>
      </c>
      <c r="I7981" s="23" t="s">
        <v>4111</v>
      </c>
      <c r="J7981" s="21"/>
      <c r="K7981" s="21" t="s">
        <v>516</v>
      </c>
      <c r="L7981" s="21"/>
      <c r="M7981" s="21"/>
      <c r="N7981" s="21" t="s">
        <v>44</v>
      </c>
      <c r="O7981" s="21">
        <f>(60*3)+13</f>
        <v>193</v>
      </c>
      <c r="P7981" s="21"/>
      <c r="Q7981" s="21">
        <f t="shared" si="155"/>
        <v>1</v>
      </c>
      <c r="R7981" s="21">
        <v>1</v>
      </c>
      <c r="S7981" s="21">
        <v>0</v>
      </c>
      <c r="T7981" s="21">
        <v>0</v>
      </c>
      <c r="U7981" s="21">
        <v>0</v>
      </c>
      <c r="V7981" s="21">
        <v>0</v>
      </c>
      <c r="W7981" s="21">
        <v>1</v>
      </c>
      <c r="X7981" s="21">
        <v>0</v>
      </c>
      <c r="Y7981" s="21">
        <v>0</v>
      </c>
      <c r="Z7981" s="21">
        <v>0</v>
      </c>
      <c r="AA7981" s="21">
        <v>0</v>
      </c>
      <c r="AB7981" s="21">
        <v>0</v>
      </c>
      <c r="AC7981" s="21">
        <v>0</v>
      </c>
      <c r="AD7981" s="21">
        <v>0</v>
      </c>
      <c r="AE7981" s="21">
        <v>0</v>
      </c>
      <c r="AF7981" s="21">
        <v>0</v>
      </c>
      <c r="AG7981" s="21">
        <v>0</v>
      </c>
      <c r="AH7981" s="21">
        <f t="shared" si="156"/>
        <v>96</v>
      </c>
      <c r="AI7981" s="21"/>
      <c r="AJ7981" s="21" t="s">
        <v>54</v>
      </c>
      <c r="AK7981" s="21" t="s">
        <v>95</v>
      </c>
      <c r="AL7981" s="21"/>
      <c r="AM7981" s="21" t="s">
        <v>4112</v>
      </c>
      <c r="AN7981" s="21">
        <v>-122.431831316667</v>
      </c>
      <c r="AO7981" s="21">
        <v>37.791905483333302</v>
      </c>
      <c r="AP7981" s="21" t="s">
        <v>1915</v>
      </c>
    </row>
    <row r="7982" spans="1:42">
      <c r="A7982" s="20">
        <v>43857</v>
      </c>
      <c r="B7982" s="21">
        <v>1</v>
      </c>
      <c r="C7982" s="21">
        <v>225</v>
      </c>
      <c r="D7982" s="21">
        <v>14444</v>
      </c>
      <c r="E7982" t="s">
        <v>112</v>
      </c>
      <c r="F7982" s="21" t="s">
        <v>104</v>
      </c>
      <c r="G7982" s="21">
        <v>2</v>
      </c>
      <c r="H7982" s="21">
        <v>96</v>
      </c>
      <c r="I7982" s="23" t="s">
        <v>4113</v>
      </c>
      <c r="J7982" s="21"/>
      <c r="K7982" s="21" t="s">
        <v>516</v>
      </c>
      <c r="L7982" s="21"/>
      <c r="M7982" s="21"/>
      <c r="N7982" s="21" t="s">
        <v>44</v>
      </c>
      <c r="O7982" s="21">
        <f>60+15</f>
        <v>75</v>
      </c>
      <c r="P7982" s="21"/>
      <c r="Q7982" s="21">
        <f t="shared" si="155"/>
        <v>2</v>
      </c>
      <c r="R7982" s="21">
        <v>1</v>
      </c>
      <c r="S7982" s="21">
        <v>0</v>
      </c>
      <c r="T7982" s="21">
        <v>0</v>
      </c>
      <c r="U7982" s="21">
        <v>0</v>
      </c>
      <c r="V7982" s="21">
        <v>1</v>
      </c>
      <c r="W7982" s="21">
        <v>1</v>
      </c>
      <c r="X7982" s="21">
        <v>0</v>
      </c>
      <c r="Y7982" s="21">
        <v>0</v>
      </c>
      <c r="Z7982" s="21">
        <v>0</v>
      </c>
      <c r="AA7982" s="21">
        <v>0</v>
      </c>
      <c r="AB7982" s="21">
        <v>0</v>
      </c>
      <c r="AC7982" s="21">
        <v>0</v>
      </c>
      <c r="AD7982" s="21">
        <v>0</v>
      </c>
      <c r="AE7982" s="21">
        <v>0</v>
      </c>
      <c r="AF7982" s="21">
        <v>0</v>
      </c>
      <c r="AG7982" s="21">
        <v>0</v>
      </c>
      <c r="AH7982" s="21">
        <f t="shared" si="156"/>
        <v>160</v>
      </c>
      <c r="AI7982" s="21"/>
      <c r="AJ7982" s="21" t="s">
        <v>54</v>
      </c>
      <c r="AK7982" s="21" t="s">
        <v>95</v>
      </c>
      <c r="AL7982" s="21" t="s">
        <v>3987</v>
      </c>
      <c r="AM7982" s="21" t="s">
        <v>4114</v>
      </c>
      <c r="AN7982" s="21">
        <v>-122.431730366667</v>
      </c>
      <c r="AO7982" s="21">
        <v>37.791894316666699</v>
      </c>
      <c r="AP7982" s="21" t="s">
        <v>1915</v>
      </c>
    </row>
    <row r="7983" spans="1:42">
      <c r="A7983" s="20">
        <v>43857</v>
      </c>
      <c r="B7983" s="21">
        <v>1</v>
      </c>
      <c r="C7983" s="21">
        <v>225</v>
      </c>
      <c r="D7983" s="21">
        <v>14444</v>
      </c>
      <c r="E7983" t="s">
        <v>112</v>
      </c>
      <c r="F7983" s="21" t="s">
        <v>104</v>
      </c>
      <c r="G7983" s="21">
        <v>2</v>
      </c>
      <c r="H7983" s="21">
        <v>97</v>
      </c>
      <c r="I7983" s="23" t="s">
        <v>4115</v>
      </c>
      <c r="J7983" s="21"/>
      <c r="K7983" s="21" t="s">
        <v>516</v>
      </c>
      <c r="L7983" s="21"/>
      <c r="M7983" s="21"/>
      <c r="N7983" s="21" t="s">
        <v>44</v>
      </c>
      <c r="O7983" s="21">
        <f>60+33</f>
        <v>93</v>
      </c>
      <c r="P7983" s="21"/>
      <c r="Q7983" s="21">
        <f t="shared" si="155"/>
        <v>1</v>
      </c>
      <c r="R7983" s="21">
        <v>1</v>
      </c>
      <c r="S7983" s="21">
        <v>0</v>
      </c>
      <c r="T7983" s="21">
        <v>0</v>
      </c>
      <c r="U7983" s="21">
        <v>0</v>
      </c>
      <c r="V7983" s="21">
        <v>0</v>
      </c>
      <c r="W7983" s="21">
        <v>1</v>
      </c>
      <c r="X7983" s="21">
        <v>0</v>
      </c>
      <c r="Y7983" s="21">
        <v>0</v>
      </c>
      <c r="Z7983" s="21">
        <v>0</v>
      </c>
      <c r="AA7983" s="21">
        <v>0</v>
      </c>
      <c r="AB7983" s="21">
        <v>0</v>
      </c>
      <c r="AC7983" s="21">
        <v>0</v>
      </c>
      <c r="AD7983" s="21">
        <v>0</v>
      </c>
      <c r="AE7983" s="21">
        <v>0</v>
      </c>
      <c r="AF7983" s="21">
        <v>0</v>
      </c>
      <c r="AG7983" s="21">
        <v>0</v>
      </c>
      <c r="AH7983" s="21">
        <f t="shared" si="156"/>
        <v>96</v>
      </c>
      <c r="AI7983" s="21"/>
      <c r="AJ7983" s="21" t="s">
        <v>54</v>
      </c>
      <c r="AK7983" s="21" t="s">
        <v>52</v>
      </c>
      <c r="AL7983" s="21"/>
      <c r="AM7983" s="21" t="s">
        <v>4116</v>
      </c>
      <c r="AN7983" s="21">
        <v>-122.43158503333299</v>
      </c>
      <c r="AO7983" s="21">
        <v>37.791937083333302</v>
      </c>
      <c r="AP7983" s="21" t="s">
        <v>1915</v>
      </c>
    </row>
    <row r="7984" spans="1:42">
      <c r="A7984" s="20">
        <v>43857</v>
      </c>
      <c r="B7984" s="21">
        <v>1</v>
      </c>
      <c r="C7984" s="21">
        <v>225</v>
      </c>
      <c r="D7984" s="21">
        <v>14444</v>
      </c>
      <c r="E7984" t="s">
        <v>112</v>
      </c>
      <c r="F7984" s="21" t="s">
        <v>104</v>
      </c>
      <c r="G7984" s="21">
        <v>2</v>
      </c>
      <c r="H7984" s="21">
        <v>98</v>
      </c>
      <c r="I7984" s="23" t="s">
        <v>4055</v>
      </c>
      <c r="J7984" s="21"/>
      <c r="K7984" s="21" t="s">
        <v>516</v>
      </c>
      <c r="L7984" s="21"/>
      <c r="M7984" s="21"/>
      <c r="N7984" s="21" t="s">
        <v>44</v>
      </c>
      <c r="O7984" s="21">
        <f>60+60+60+26</f>
        <v>206</v>
      </c>
      <c r="P7984" s="21"/>
      <c r="Q7984" s="21">
        <f t="shared" si="155"/>
        <v>1</v>
      </c>
      <c r="R7984" s="21">
        <v>1</v>
      </c>
      <c r="S7984" s="21">
        <v>0</v>
      </c>
      <c r="T7984" s="21">
        <v>0</v>
      </c>
      <c r="U7984" s="21">
        <v>0</v>
      </c>
      <c r="V7984" s="21">
        <v>0</v>
      </c>
      <c r="W7984" s="21">
        <v>1</v>
      </c>
      <c r="X7984" s="21">
        <v>0</v>
      </c>
      <c r="Y7984" s="21">
        <v>0</v>
      </c>
      <c r="Z7984" s="21">
        <v>0</v>
      </c>
      <c r="AA7984" s="21">
        <v>0</v>
      </c>
      <c r="AB7984" s="21">
        <v>0</v>
      </c>
      <c r="AC7984" s="21">
        <v>0</v>
      </c>
      <c r="AD7984" s="21">
        <v>0</v>
      </c>
      <c r="AE7984" s="21">
        <v>0</v>
      </c>
      <c r="AF7984" s="21">
        <v>0</v>
      </c>
      <c r="AG7984" s="21">
        <v>0</v>
      </c>
      <c r="AH7984" s="21">
        <f t="shared" si="156"/>
        <v>96</v>
      </c>
      <c r="AI7984" s="21"/>
      <c r="AJ7984" s="21" t="s">
        <v>54</v>
      </c>
      <c r="AK7984" s="21" t="s">
        <v>52</v>
      </c>
      <c r="AL7984" s="21" t="s">
        <v>4117</v>
      </c>
      <c r="AM7984" s="21" t="s">
        <v>4118</v>
      </c>
      <c r="AN7984" s="21">
        <v>-122.42986518333301</v>
      </c>
      <c r="AO7984" s="21">
        <v>37.7922148166667</v>
      </c>
      <c r="AP7984" s="21" t="s">
        <v>1915</v>
      </c>
    </row>
    <row r="7985" spans="1:42">
      <c r="A7985" s="20">
        <v>43857</v>
      </c>
      <c r="B7985" s="21">
        <v>1</v>
      </c>
      <c r="C7985" s="21">
        <v>225</v>
      </c>
      <c r="D7985" s="21">
        <v>14444</v>
      </c>
      <c r="E7985" t="s">
        <v>112</v>
      </c>
      <c r="F7985" s="21" t="s">
        <v>104</v>
      </c>
      <c r="G7985" s="21">
        <v>2</v>
      </c>
      <c r="H7985" s="21">
        <v>99</v>
      </c>
      <c r="I7985" s="23" t="s">
        <v>4119</v>
      </c>
      <c r="J7985" s="21"/>
      <c r="K7985" s="21" t="s">
        <v>46</v>
      </c>
      <c r="L7985" s="21"/>
      <c r="M7985" s="21"/>
      <c r="N7985" s="21" t="s">
        <v>44</v>
      </c>
      <c r="O7985" s="21">
        <f>125</f>
        <v>125</v>
      </c>
      <c r="P7985" s="21"/>
      <c r="Q7985" s="21">
        <f t="shared" si="155"/>
        <v>2</v>
      </c>
      <c r="R7985" s="21">
        <v>1</v>
      </c>
      <c r="S7985" s="21">
        <v>0</v>
      </c>
      <c r="T7985" s="21">
        <v>0</v>
      </c>
      <c r="U7985" s="21">
        <v>1</v>
      </c>
      <c r="V7985" s="21">
        <v>0</v>
      </c>
      <c r="W7985" s="21">
        <v>1</v>
      </c>
      <c r="X7985" s="21">
        <v>0</v>
      </c>
      <c r="Y7985" s="21">
        <v>0</v>
      </c>
      <c r="Z7985" s="21">
        <v>0</v>
      </c>
      <c r="AA7985" s="21">
        <v>0</v>
      </c>
      <c r="AB7985" s="21">
        <v>0</v>
      </c>
      <c r="AC7985" s="21">
        <v>0</v>
      </c>
      <c r="AD7985" s="21">
        <v>0</v>
      </c>
      <c r="AE7985" s="21">
        <v>0</v>
      </c>
      <c r="AF7985" s="21">
        <v>0</v>
      </c>
      <c r="AG7985" s="21">
        <v>0</v>
      </c>
      <c r="AH7985" s="21">
        <f t="shared" si="156"/>
        <v>128</v>
      </c>
      <c r="AI7985" s="21"/>
      <c r="AJ7985" s="21" t="s">
        <v>51</v>
      </c>
      <c r="AK7985" s="21" t="s">
        <v>52</v>
      </c>
      <c r="AL7985" s="21"/>
      <c r="AM7985" s="21" t="s">
        <v>4120</v>
      </c>
      <c r="AN7985" s="21">
        <v>-122.431166566667</v>
      </c>
      <c r="AO7985" s="21">
        <v>37.787291750000001</v>
      </c>
      <c r="AP7985" s="21" t="s">
        <v>1915</v>
      </c>
    </row>
    <row r="7986" spans="1:42">
      <c r="A7986" s="20">
        <v>43857</v>
      </c>
      <c r="B7986" s="21">
        <v>1</v>
      </c>
      <c r="C7986" s="21">
        <v>225</v>
      </c>
      <c r="D7986" s="21">
        <v>14444</v>
      </c>
      <c r="E7986" t="s">
        <v>112</v>
      </c>
      <c r="F7986" s="21" t="s">
        <v>104</v>
      </c>
      <c r="G7986" s="21">
        <v>2</v>
      </c>
      <c r="H7986" s="21">
        <v>100</v>
      </c>
      <c r="I7986" s="23" t="s">
        <v>4121</v>
      </c>
      <c r="J7986" s="21"/>
      <c r="K7986" s="21" t="s">
        <v>46</v>
      </c>
      <c r="L7986" s="21"/>
      <c r="M7986" s="21"/>
      <c r="N7986" s="21" t="s">
        <v>44</v>
      </c>
      <c r="O7986" s="21">
        <f>120+40</f>
        <v>160</v>
      </c>
      <c r="P7986" s="21"/>
      <c r="Q7986" s="21">
        <f t="shared" si="155"/>
        <v>4</v>
      </c>
      <c r="R7986" s="21">
        <v>1</v>
      </c>
      <c r="S7986" s="21">
        <v>0</v>
      </c>
      <c r="T7986" s="21">
        <v>0</v>
      </c>
      <c r="U7986" s="21">
        <v>1</v>
      </c>
      <c r="V7986" s="21">
        <v>2</v>
      </c>
      <c r="W7986" s="21">
        <v>1</v>
      </c>
      <c r="X7986" s="21">
        <v>0</v>
      </c>
      <c r="Y7986" s="21">
        <v>0</v>
      </c>
      <c r="Z7986" s="21">
        <v>0</v>
      </c>
      <c r="AA7986" s="21">
        <v>0</v>
      </c>
      <c r="AB7986" s="21">
        <v>0</v>
      </c>
      <c r="AC7986" s="21">
        <v>0</v>
      </c>
      <c r="AD7986" s="21">
        <v>0</v>
      </c>
      <c r="AE7986" s="21">
        <v>0</v>
      </c>
      <c r="AF7986" s="21">
        <v>0</v>
      </c>
      <c r="AG7986" s="21">
        <v>0</v>
      </c>
      <c r="AH7986" s="21">
        <f t="shared" si="156"/>
        <v>256</v>
      </c>
      <c r="AI7986" s="21"/>
      <c r="AJ7986" s="21" t="s">
        <v>51</v>
      </c>
      <c r="AK7986" s="21" t="s">
        <v>52</v>
      </c>
      <c r="AL7986" s="21" t="s">
        <v>2110</v>
      </c>
      <c r="AM7986" s="21" t="s">
        <v>4122</v>
      </c>
      <c r="AN7986" s="21">
        <v>-122.43092876666699</v>
      </c>
      <c r="AO7986" s="21">
        <v>37.787353833333299</v>
      </c>
      <c r="AP7986" s="21" t="s">
        <v>1915</v>
      </c>
    </row>
    <row r="7987" spans="1:42">
      <c r="A7987" s="20">
        <v>43857</v>
      </c>
      <c r="B7987" s="21">
        <v>1</v>
      </c>
      <c r="C7987" s="21">
        <v>225</v>
      </c>
      <c r="D7987" s="21">
        <v>14444</v>
      </c>
      <c r="E7987" t="s">
        <v>112</v>
      </c>
      <c r="F7987" s="21" t="s">
        <v>104</v>
      </c>
      <c r="G7987" s="21">
        <v>2</v>
      </c>
      <c r="H7987" s="21">
        <v>101</v>
      </c>
      <c r="I7987" s="23" t="s">
        <v>4123</v>
      </c>
      <c r="J7987" s="21"/>
      <c r="K7987" s="21" t="s">
        <v>46</v>
      </c>
      <c r="L7987" s="21"/>
      <c r="M7987" s="21"/>
      <c r="N7987" s="21" t="s">
        <v>44</v>
      </c>
      <c r="O7987" s="21">
        <v>64</v>
      </c>
      <c r="P7987" s="21"/>
      <c r="Q7987" s="21">
        <f t="shared" si="155"/>
        <v>1</v>
      </c>
      <c r="R7987" s="21">
        <v>1</v>
      </c>
      <c r="S7987" s="21">
        <v>0</v>
      </c>
      <c r="T7987" s="21">
        <v>0</v>
      </c>
      <c r="U7987" s="21">
        <v>0</v>
      </c>
      <c r="V7987" s="21">
        <v>0</v>
      </c>
      <c r="W7987" s="21">
        <v>1</v>
      </c>
      <c r="X7987" s="21">
        <v>0</v>
      </c>
      <c r="Y7987" s="21">
        <v>0</v>
      </c>
      <c r="Z7987" s="21">
        <v>0</v>
      </c>
      <c r="AA7987" s="21">
        <v>0</v>
      </c>
      <c r="AB7987" s="21">
        <v>0</v>
      </c>
      <c r="AC7987" s="21">
        <v>0</v>
      </c>
      <c r="AD7987" s="21">
        <v>0</v>
      </c>
      <c r="AE7987" s="21">
        <v>0</v>
      </c>
      <c r="AF7987" s="21">
        <v>0</v>
      </c>
      <c r="AG7987" s="21">
        <v>0</v>
      </c>
      <c r="AH7987" s="21">
        <f t="shared" si="156"/>
        <v>96</v>
      </c>
      <c r="AI7987" s="21"/>
      <c r="AJ7987" s="21" t="s">
        <v>51</v>
      </c>
      <c r="AK7987" s="21" t="s">
        <v>52</v>
      </c>
      <c r="AL7987" s="21" t="s">
        <v>2110</v>
      </c>
      <c r="AM7987" s="21" t="s">
        <v>4124</v>
      </c>
      <c r="AN7987" s="21">
        <v>-122.42913205000001</v>
      </c>
      <c r="AO7987" s="21">
        <v>37.7874852666666</v>
      </c>
      <c r="AP7987" s="21" t="s">
        <v>1915</v>
      </c>
    </row>
    <row r="7988" spans="1:42">
      <c r="A7988" s="20">
        <v>43857</v>
      </c>
      <c r="B7988" s="21">
        <v>1</v>
      </c>
      <c r="C7988" s="21">
        <v>225</v>
      </c>
      <c r="D7988" s="21">
        <v>14444</v>
      </c>
      <c r="E7988" t="s">
        <v>112</v>
      </c>
      <c r="F7988" s="21" t="s">
        <v>104</v>
      </c>
      <c r="G7988" s="21">
        <v>2</v>
      </c>
      <c r="H7988" s="21">
        <v>102</v>
      </c>
      <c r="I7988" s="23" t="s">
        <v>4125</v>
      </c>
      <c r="J7988" s="21"/>
      <c r="K7988" s="21" t="s">
        <v>49</v>
      </c>
      <c r="L7988" s="21"/>
      <c r="M7988" s="21"/>
      <c r="N7988" s="21" t="s">
        <v>44</v>
      </c>
      <c r="O7988" s="21">
        <f>60+60+60+55</f>
        <v>235</v>
      </c>
      <c r="P7988" s="21"/>
      <c r="Q7988" s="21">
        <f t="shared" si="155"/>
        <v>1</v>
      </c>
      <c r="R7988" s="21">
        <v>1</v>
      </c>
      <c r="S7988" s="21">
        <v>0</v>
      </c>
      <c r="T7988" s="21">
        <v>0</v>
      </c>
      <c r="U7988" s="21">
        <v>0</v>
      </c>
      <c r="V7988" s="21">
        <v>0</v>
      </c>
      <c r="W7988" s="21">
        <v>1</v>
      </c>
      <c r="X7988" s="21">
        <v>0</v>
      </c>
      <c r="Y7988" s="21">
        <v>0</v>
      </c>
      <c r="Z7988" s="21">
        <v>0</v>
      </c>
      <c r="AA7988" s="21">
        <v>0</v>
      </c>
      <c r="AB7988" s="21">
        <v>0</v>
      </c>
      <c r="AC7988" s="21">
        <v>0</v>
      </c>
      <c r="AD7988" s="21">
        <v>0</v>
      </c>
      <c r="AE7988" s="21">
        <v>0</v>
      </c>
      <c r="AF7988" s="21">
        <v>0</v>
      </c>
      <c r="AG7988" s="21">
        <v>0</v>
      </c>
      <c r="AH7988" s="21">
        <f t="shared" si="156"/>
        <v>96</v>
      </c>
      <c r="AI7988" s="21"/>
      <c r="AJ7988" s="21" t="s">
        <v>51</v>
      </c>
      <c r="AK7988" s="21" t="s">
        <v>52</v>
      </c>
      <c r="AL7988" s="21"/>
      <c r="AM7988" s="21" t="s">
        <v>4126</v>
      </c>
      <c r="AN7988" s="21">
        <v>-122.4275432</v>
      </c>
      <c r="AO7988" s="21">
        <v>37.7877555166666</v>
      </c>
      <c r="AP7988" s="21" t="s">
        <v>1915</v>
      </c>
    </row>
    <row r="7989" spans="1:42">
      <c r="A7989" s="20">
        <v>43866</v>
      </c>
      <c r="B7989" s="21">
        <v>3</v>
      </c>
      <c r="C7989" s="21">
        <v>572</v>
      </c>
      <c r="D7989" s="21">
        <v>11329</v>
      </c>
      <c r="E7989" t="s">
        <v>377</v>
      </c>
      <c r="F7989" s="21" t="s">
        <v>436</v>
      </c>
      <c r="G7989" s="21">
        <v>1</v>
      </c>
      <c r="H7989" s="21">
        <v>1</v>
      </c>
      <c r="I7989" s="23" t="s">
        <v>4127</v>
      </c>
      <c r="J7989" s="21"/>
      <c r="K7989" s="21" t="s">
        <v>534</v>
      </c>
      <c r="L7989" s="21"/>
      <c r="M7989" s="21"/>
      <c r="N7989" s="21" t="s">
        <v>40</v>
      </c>
      <c r="O7989" s="21">
        <f>60+34</f>
        <v>94</v>
      </c>
      <c r="P7989" s="21"/>
      <c r="Q7989" s="21">
        <f t="shared" si="155"/>
        <v>1</v>
      </c>
      <c r="R7989" s="21">
        <v>1</v>
      </c>
      <c r="S7989" s="21">
        <v>0</v>
      </c>
      <c r="T7989" s="21">
        <v>0</v>
      </c>
      <c r="U7989" s="21">
        <v>0</v>
      </c>
      <c r="V7989" s="21">
        <v>0</v>
      </c>
      <c r="W7989" s="21">
        <v>0</v>
      </c>
      <c r="X7989" s="21">
        <v>0</v>
      </c>
      <c r="Y7989" s="21">
        <v>0</v>
      </c>
      <c r="Z7989" s="21">
        <v>0</v>
      </c>
      <c r="AA7989" s="21">
        <v>0</v>
      </c>
      <c r="AB7989" s="21">
        <v>1</v>
      </c>
      <c r="AC7989" s="21">
        <v>0</v>
      </c>
      <c r="AD7989" s="21">
        <v>0</v>
      </c>
      <c r="AE7989" s="21">
        <v>0</v>
      </c>
      <c r="AF7989" s="21">
        <v>0</v>
      </c>
      <c r="AG7989" s="21">
        <v>0</v>
      </c>
      <c r="AH7989" s="21">
        <f t="shared" si="156"/>
        <v>0</v>
      </c>
      <c r="AI7989" s="21"/>
      <c r="AJ7989" s="21" t="s">
        <v>51</v>
      </c>
      <c r="AK7989" s="21" t="s">
        <v>52</v>
      </c>
      <c r="AL7989" s="21" t="s">
        <v>4128</v>
      </c>
      <c r="AM7989" s="21" t="s">
        <v>4129</v>
      </c>
      <c r="AN7989" s="21">
        <v>-122.400184716667</v>
      </c>
      <c r="AO7989" s="21">
        <v>37.7742492</v>
      </c>
      <c r="AP7989" s="21" t="s">
        <v>1915</v>
      </c>
    </row>
    <row r="7990" spans="1:42">
      <c r="A7990" s="20">
        <v>43866</v>
      </c>
      <c r="B7990" s="21">
        <v>3</v>
      </c>
      <c r="C7990" s="21">
        <v>572</v>
      </c>
      <c r="D7990" s="21">
        <v>11329</v>
      </c>
      <c r="E7990" t="s">
        <v>377</v>
      </c>
      <c r="F7990" s="21" t="s">
        <v>436</v>
      </c>
      <c r="G7990" s="21">
        <v>1</v>
      </c>
      <c r="H7990" s="21">
        <v>2</v>
      </c>
      <c r="I7990" s="23" t="s">
        <v>4130</v>
      </c>
      <c r="J7990" s="21"/>
      <c r="K7990" s="21" t="s">
        <v>534</v>
      </c>
      <c r="L7990" s="21"/>
      <c r="M7990" s="21"/>
      <c r="N7990" s="21" t="s">
        <v>40</v>
      </c>
      <c r="O7990" s="21">
        <f>60+12</f>
        <v>72</v>
      </c>
      <c r="P7990" s="21"/>
      <c r="Q7990" s="21">
        <f t="shared" si="155"/>
        <v>1</v>
      </c>
      <c r="R7990" s="21">
        <v>1</v>
      </c>
      <c r="S7990" s="21">
        <v>0</v>
      </c>
      <c r="T7990" s="21">
        <v>0</v>
      </c>
      <c r="U7990" s="21">
        <v>0</v>
      </c>
      <c r="V7990" s="21">
        <v>0</v>
      </c>
      <c r="W7990" s="21">
        <v>0</v>
      </c>
      <c r="X7990" s="21">
        <v>0</v>
      </c>
      <c r="Y7990" s="21">
        <v>0</v>
      </c>
      <c r="Z7990" s="21">
        <v>0</v>
      </c>
      <c r="AA7990" s="21">
        <v>0</v>
      </c>
      <c r="AB7990" s="21">
        <v>0</v>
      </c>
      <c r="AC7990" s="21">
        <v>1</v>
      </c>
      <c r="AD7990" s="21">
        <v>0</v>
      </c>
      <c r="AE7990" s="21">
        <v>0</v>
      </c>
      <c r="AF7990" s="21">
        <v>0</v>
      </c>
      <c r="AG7990" s="21">
        <v>0</v>
      </c>
      <c r="AH7990" s="21">
        <f t="shared" si="156"/>
        <v>0</v>
      </c>
      <c r="AI7990" s="21"/>
      <c r="AJ7990" s="21" t="s">
        <v>51</v>
      </c>
      <c r="AK7990" s="21" t="s">
        <v>52</v>
      </c>
      <c r="AL7990" s="21"/>
      <c r="AM7990" s="21" t="s">
        <v>4131</v>
      </c>
      <c r="AN7990" s="21">
        <v>-122.39925531666699</v>
      </c>
      <c r="AO7990" s="21">
        <v>37.775002833333303</v>
      </c>
      <c r="AP7990" s="21" t="s">
        <v>1915</v>
      </c>
    </row>
    <row r="7991" spans="1:42">
      <c r="A7991" s="20">
        <v>43866</v>
      </c>
      <c r="B7991" s="21">
        <v>3</v>
      </c>
      <c r="C7991" s="21">
        <v>572</v>
      </c>
      <c r="D7991" s="21">
        <v>11329</v>
      </c>
      <c r="E7991" t="s">
        <v>377</v>
      </c>
      <c r="F7991" s="21" t="s">
        <v>436</v>
      </c>
      <c r="G7991" s="21">
        <v>1</v>
      </c>
      <c r="H7991" s="21">
        <v>3</v>
      </c>
      <c r="I7991" s="23" t="s">
        <v>4132</v>
      </c>
      <c r="J7991" s="21"/>
      <c r="K7991" s="21" t="s">
        <v>534</v>
      </c>
      <c r="L7991" s="21"/>
      <c r="M7991" s="21"/>
      <c r="N7991" s="21" t="s">
        <v>1703</v>
      </c>
      <c r="O7991" s="21">
        <v>63</v>
      </c>
      <c r="P7991" s="21"/>
      <c r="Q7991" s="21">
        <f t="shared" si="155"/>
        <v>1</v>
      </c>
      <c r="R7991" s="21">
        <v>1</v>
      </c>
      <c r="S7991" s="21">
        <v>0</v>
      </c>
      <c r="T7991" s="21">
        <v>0</v>
      </c>
      <c r="U7991" s="21">
        <v>0</v>
      </c>
      <c r="V7991" s="21">
        <v>0</v>
      </c>
      <c r="W7991" s="21">
        <v>0</v>
      </c>
      <c r="X7991" s="21">
        <v>0</v>
      </c>
      <c r="Y7991" s="21">
        <v>0</v>
      </c>
      <c r="Z7991" s="21">
        <v>0</v>
      </c>
      <c r="AA7991" s="21">
        <v>1</v>
      </c>
      <c r="AB7991" s="21">
        <v>0</v>
      </c>
      <c r="AC7991" s="21">
        <v>0</v>
      </c>
      <c r="AD7991" s="21">
        <v>0</v>
      </c>
      <c r="AE7991" s="21">
        <v>0</v>
      </c>
      <c r="AF7991" s="21">
        <v>0</v>
      </c>
      <c r="AG7991" s="21">
        <v>0</v>
      </c>
      <c r="AH7991" s="21">
        <f t="shared" si="156"/>
        <v>0</v>
      </c>
      <c r="AI7991" s="21"/>
      <c r="AJ7991" s="21" t="s">
        <v>51</v>
      </c>
      <c r="AK7991" s="21" t="s">
        <v>52</v>
      </c>
      <c r="AL7991" s="21" t="s">
        <v>3469</v>
      </c>
      <c r="AM7991" s="21" t="s">
        <v>4133</v>
      </c>
      <c r="AN7991" s="21">
        <v>-122.3973505</v>
      </c>
      <c r="AO7991" s="21">
        <v>37.776412916666601</v>
      </c>
      <c r="AP7991" s="21" t="s">
        <v>1915</v>
      </c>
    </row>
    <row r="7992" spans="1:42">
      <c r="A7992" s="20">
        <v>43866</v>
      </c>
      <c r="B7992" s="21">
        <v>3</v>
      </c>
      <c r="C7992" s="21">
        <v>572</v>
      </c>
      <c r="D7992" s="21">
        <v>11329</v>
      </c>
      <c r="E7992" t="s">
        <v>377</v>
      </c>
      <c r="F7992" s="21" t="s">
        <v>436</v>
      </c>
      <c r="G7992" s="21">
        <v>1</v>
      </c>
      <c r="H7992" s="21">
        <v>4</v>
      </c>
      <c r="I7992" s="23" t="s">
        <v>4134</v>
      </c>
      <c r="J7992" s="21"/>
      <c r="K7992" s="21" t="s">
        <v>381</v>
      </c>
      <c r="L7992" s="21"/>
      <c r="M7992" s="21"/>
      <c r="N7992" s="21" t="s">
        <v>40</v>
      </c>
      <c r="O7992" s="21">
        <f>60+51</f>
        <v>111</v>
      </c>
      <c r="P7992" s="21"/>
      <c r="Q7992" s="21">
        <f t="shared" si="155"/>
        <v>1</v>
      </c>
      <c r="R7992" s="21">
        <v>1</v>
      </c>
      <c r="S7992" s="21">
        <v>0</v>
      </c>
      <c r="T7992" s="21">
        <v>0</v>
      </c>
      <c r="U7992" s="21">
        <v>0</v>
      </c>
      <c r="V7992" s="21">
        <v>0</v>
      </c>
      <c r="W7992" s="21">
        <v>0</v>
      </c>
      <c r="X7992" s="21">
        <v>0</v>
      </c>
      <c r="Y7992" s="21">
        <v>0</v>
      </c>
      <c r="Z7992" s="21">
        <v>0</v>
      </c>
      <c r="AA7992" s="21">
        <v>0</v>
      </c>
      <c r="AB7992" s="21">
        <v>1</v>
      </c>
      <c r="AC7992" s="21">
        <v>0</v>
      </c>
      <c r="AD7992" s="21">
        <v>0</v>
      </c>
      <c r="AE7992" s="21">
        <v>0</v>
      </c>
      <c r="AF7992" s="21">
        <v>0</v>
      </c>
      <c r="AG7992" s="21">
        <v>0</v>
      </c>
      <c r="AH7992" s="21">
        <f t="shared" si="156"/>
        <v>0</v>
      </c>
      <c r="AI7992" s="21"/>
      <c r="AJ7992" s="21" t="s">
        <v>51</v>
      </c>
      <c r="AK7992" s="21" t="s">
        <v>95</v>
      </c>
      <c r="AL7992" s="21"/>
      <c r="AM7992" s="21" t="s">
        <v>4135</v>
      </c>
      <c r="AN7992" s="21">
        <v>-122.396782383333</v>
      </c>
      <c r="AO7992" s="21">
        <v>37.776850816666602</v>
      </c>
      <c r="AP7992" s="21" t="s">
        <v>1915</v>
      </c>
    </row>
    <row r="7993" spans="1:42">
      <c r="A7993" s="20">
        <v>43866</v>
      </c>
      <c r="B7993" s="21">
        <v>3</v>
      </c>
      <c r="C7993" s="21">
        <v>572</v>
      </c>
      <c r="D7993" s="21">
        <v>11329</v>
      </c>
      <c r="E7993" t="s">
        <v>377</v>
      </c>
      <c r="F7993" s="21" t="s">
        <v>436</v>
      </c>
      <c r="G7993" s="21">
        <v>1</v>
      </c>
      <c r="H7993" s="21">
        <v>5</v>
      </c>
      <c r="I7993" s="23" t="s">
        <v>3200</v>
      </c>
      <c r="J7993" s="21"/>
      <c r="K7993" s="21" t="s">
        <v>378</v>
      </c>
      <c r="L7993" s="21"/>
      <c r="M7993" s="21"/>
      <c r="N7993" s="21" t="s">
        <v>1703</v>
      </c>
      <c r="O7993" s="21">
        <f>60+18</f>
        <v>78</v>
      </c>
      <c r="P7993" s="21"/>
      <c r="Q7993" s="21">
        <f t="shared" si="155"/>
        <v>1</v>
      </c>
      <c r="R7993" s="21">
        <v>1</v>
      </c>
      <c r="S7993" s="21">
        <v>0</v>
      </c>
      <c r="T7993" s="21">
        <v>0</v>
      </c>
      <c r="U7993" s="21">
        <v>0</v>
      </c>
      <c r="V7993" s="21">
        <v>0</v>
      </c>
      <c r="W7993" s="21">
        <v>0</v>
      </c>
      <c r="X7993" s="21">
        <v>0</v>
      </c>
      <c r="Y7993" s="21">
        <v>0</v>
      </c>
      <c r="Z7993" s="21">
        <v>0</v>
      </c>
      <c r="AA7993" s="21">
        <v>1</v>
      </c>
      <c r="AB7993" s="21">
        <v>0</v>
      </c>
      <c r="AC7993" s="21">
        <v>0</v>
      </c>
      <c r="AD7993" s="21">
        <v>0</v>
      </c>
      <c r="AE7993" s="21">
        <v>0</v>
      </c>
      <c r="AF7993" s="21">
        <v>0</v>
      </c>
      <c r="AG7993" s="21">
        <v>0</v>
      </c>
      <c r="AH7993" s="21">
        <f t="shared" si="156"/>
        <v>0</v>
      </c>
      <c r="AI7993" s="21"/>
      <c r="AJ7993" s="21" t="s">
        <v>51</v>
      </c>
      <c r="AK7993" s="21" t="s">
        <v>95</v>
      </c>
      <c r="AL7993" s="21" t="s">
        <v>4136</v>
      </c>
      <c r="AM7993" s="21" t="s">
        <v>4137</v>
      </c>
      <c r="AN7993" s="21">
        <v>-122.395714883333</v>
      </c>
      <c r="AO7993" s="21">
        <v>37.777762483333298</v>
      </c>
      <c r="AP7993" s="21" t="s">
        <v>1915</v>
      </c>
    </row>
    <row r="7994" spans="1:42">
      <c r="A7994" s="20">
        <v>43866</v>
      </c>
      <c r="B7994" s="21">
        <v>3</v>
      </c>
      <c r="C7994" s="21">
        <v>572</v>
      </c>
      <c r="D7994" s="21">
        <v>11329</v>
      </c>
      <c r="E7994" t="s">
        <v>377</v>
      </c>
      <c r="F7994" s="21" t="s">
        <v>436</v>
      </c>
      <c r="G7994" s="21">
        <v>1</v>
      </c>
      <c r="H7994" s="21">
        <v>6</v>
      </c>
      <c r="I7994" s="23" t="s">
        <v>4138</v>
      </c>
      <c r="J7994" s="21"/>
      <c r="K7994" s="21" t="s">
        <v>381</v>
      </c>
      <c r="L7994" s="21"/>
      <c r="M7994" s="21"/>
      <c r="N7994" s="21" t="s">
        <v>40</v>
      </c>
      <c r="O7994" s="21">
        <f>60+26</f>
        <v>86</v>
      </c>
      <c r="P7994" s="21"/>
      <c r="Q7994" s="21">
        <f t="shared" si="155"/>
        <v>1</v>
      </c>
      <c r="R7994" s="21">
        <v>1</v>
      </c>
      <c r="S7994" s="21">
        <v>0</v>
      </c>
      <c r="T7994" s="21">
        <v>0</v>
      </c>
      <c r="U7994" s="21">
        <v>0</v>
      </c>
      <c r="V7994" s="21">
        <v>0</v>
      </c>
      <c r="W7994" s="21">
        <v>0</v>
      </c>
      <c r="X7994" s="21">
        <v>0</v>
      </c>
      <c r="Y7994" s="21">
        <v>0</v>
      </c>
      <c r="Z7994" s="21">
        <v>0</v>
      </c>
      <c r="AA7994" s="21">
        <v>0</v>
      </c>
      <c r="AB7994" s="21">
        <v>1</v>
      </c>
      <c r="AC7994" s="21">
        <v>0</v>
      </c>
      <c r="AD7994" s="21">
        <v>0</v>
      </c>
      <c r="AE7994" s="21">
        <v>0</v>
      </c>
      <c r="AF7994" s="21">
        <v>0</v>
      </c>
      <c r="AG7994" s="21">
        <v>0</v>
      </c>
      <c r="AH7994" s="21">
        <f t="shared" si="156"/>
        <v>0</v>
      </c>
      <c r="AI7994" s="21"/>
      <c r="AJ7994" s="21" t="s">
        <v>51</v>
      </c>
      <c r="AK7994" s="21" t="s">
        <v>95</v>
      </c>
      <c r="AL7994" s="21" t="s">
        <v>4139</v>
      </c>
      <c r="AM7994" s="21" t="s">
        <v>4140</v>
      </c>
      <c r="AN7994" s="21">
        <v>-122.394644833333</v>
      </c>
      <c r="AO7994" s="21">
        <v>37.777093133333302</v>
      </c>
      <c r="AP7994" s="21" t="s">
        <v>1915</v>
      </c>
    </row>
    <row r="7995" spans="1:42">
      <c r="A7995" s="20">
        <v>43866</v>
      </c>
      <c r="B7995" s="21">
        <v>3</v>
      </c>
      <c r="C7995" s="21">
        <v>572</v>
      </c>
      <c r="D7995" s="21">
        <v>11329</v>
      </c>
      <c r="E7995" t="s">
        <v>377</v>
      </c>
      <c r="F7995" s="21" t="s">
        <v>436</v>
      </c>
      <c r="G7995" s="21">
        <v>1</v>
      </c>
      <c r="H7995" s="21">
        <v>7</v>
      </c>
      <c r="I7995" s="23" t="s">
        <v>4141</v>
      </c>
      <c r="J7995" s="21"/>
      <c r="K7995" s="21" t="s">
        <v>1985</v>
      </c>
      <c r="L7995" s="21"/>
      <c r="M7995" s="21"/>
      <c r="N7995" s="21" t="s">
        <v>44</v>
      </c>
      <c r="O7995" s="21">
        <f>120+53</f>
        <v>173</v>
      </c>
      <c r="P7995" s="21"/>
      <c r="Q7995" s="21">
        <f t="shared" si="155"/>
        <v>1</v>
      </c>
      <c r="R7995" s="21">
        <v>1</v>
      </c>
      <c r="S7995" s="21">
        <v>0</v>
      </c>
      <c r="T7995" s="21">
        <v>0</v>
      </c>
      <c r="U7995" s="21">
        <v>0</v>
      </c>
      <c r="V7995" s="21">
        <v>0</v>
      </c>
      <c r="W7995" s="21">
        <v>0</v>
      </c>
      <c r="X7995" s="21">
        <v>0</v>
      </c>
      <c r="Y7995" s="21">
        <v>0</v>
      </c>
      <c r="Z7995" s="21">
        <v>0</v>
      </c>
      <c r="AA7995" s="21">
        <v>0</v>
      </c>
      <c r="AB7995" s="21">
        <v>1</v>
      </c>
      <c r="AC7995" s="21">
        <v>0</v>
      </c>
      <c r="AD7995" s="21">
        <v>0</v>
      </c>
      <c r="AE7995" s="21">
        <v>0</v>
      </c>
      <c r="AF7995" s="21">
        <v>0</v>
      </c>
      <c r="AG7995" s="21">
        <v>0</v>
      </c>
      <c r="AH7995" s="21">
        <f t="shared" si="156"/>
        <v>0</v>
      </c>
      <c r="AI7995" s="21"/>
      <c r="AJ7995" s="21" t="s">
        <v>51</v>
      </c>
      <c r="AK7995" s="21" t="s">
        <v>95</v>
      </c>
      <c r="AL7995" s="21" t="s">
        <v>4142</v>
      </c>
      <c r="AM7995" s="21" t="s">
        <v>4143</v>
      </c>
      <c r="AN7995" s="21">
        <v>-122.39839295</v>
      </c>
      <c r="AO7995" s="21">
        <v>37.776818233333302</v>
      </c>
      <c r="AP7995" s="21" t="s">
        <v>1915</v>
      </c>
    </row>
    <row r="7996" spans="1:42">
      <c r="A7996" s="20">
        <v>43866</v>
      </c>
      <c r="B7996" s="21">
        <v>3</v>
      </c>
      <c r="C7996" s="21">
        <v>572</v>
      </c>
      <c r="D7996" s="21">
        <v>11329</v>
      </c>
      <c r="E7996" t="s">
        <v>377</v>
      </c>
      <c r="F7996" s="21" t="s">
        <v>436</v>
      </c>
      <c r="G7996" s="21">
        <v>1</v>
      </c>
      <c r="H7996" s="21">
        <v>8</v>
      </c>
      <c r="I7996" s="23" t="s">
        <v>4144</v>
      </c>
      <c r="J7996" s="21"/>
      <c r="K7996" s="21" t="s">
        <v>378</v>
      </c>
      <c r="L7996" s="21"/>
      <c r="M7996" s="21"/>
      <c r="N7996" s="21" t="s">
        <v>44</v>
      </c>
      <c r="O7996" s="21">
        <f>60+60+60+50</f>
        <v>230</v>
      </c>
      <c r="P7996" s="21"/>
      <c r="Q7996" s="21">
        <f t="shared" si="155"/>
        <v>1</v>
      </c>
      <c r="R7996" s="21">
        <v>1</v>
      </c>
      <c r="S7996" s="21">
        <v>0</v>
      </c>
      <c r="T7996" s="21">
        <v>0</v>
      </c>
      <c r="U7996" s="21">
        <v>0</v>
      </c>
      <c r="V7996" s="21">
        <v>0</v>
      </c>
      <c r="W7996" s="21">
        <v>0</v>
      </c>
      <c r="X7996" s="21">
        <v>0</v>
      </c>
      <c r="Y7996" s="21">
        <v>0</v>
      </c>
      <c r="Z7996" s="21">
        <v>0</v>
      </c>
      <c r="AA7996" s="21">
        <v>0</v>
      </c>
      <c r="AB7996" s="21">
        <v>0</v>
      </c>
      <c r="AC7996" s="21">
        <v>1</v>
      </c>
      <c r="AD7996" s="21">
        <v>0</v>
      </c>
      <c r="AE7996" s="21">
        <v>0</v>
      </c>
      <c r="AF7996" s="21">
        <v>0</v>
      </c>
      <c r="AG7996" s="21">
        <v>0</v>
      </c>
      <c r="AH7996" s="21">
        <f t="shared" si="156"/>
        <v>0</v>
      </c>
      <c r="AI7996" s="21"/>
      <c r="AJ7996" s="21" t="s">
        <v>51</v>
      </c>
      <c r="AK7996" s="21" t="s">
        <v>95</v>
      </c>
      <c r="AL7996" s="21" t="s">
        <v>4145</v>
      </c>
      <c r="AM7996" s="21" t="s">
        <v>4146</v>
      </c>
      <c r="AN7996" s="21">
        <v>-122.401232033333</v>
      </c>
      <c r="AO7996" s="21">
        <v>37.775206733333299</v>
      </c>
      <c r="AP7996" s="21" t="s">
        <v>1915</v>
      </c>
    </row>
    <row r="7997" spans="1:42">
      <c r="A7997" s="20">
        <v>43866</v>
      </c>
      <c r="B7997" s="21">
        <v>3</v>
      </c>
      <c r="C7997" s="21">
        <v>572</v>
      </c>
      <c r="D7997" s="21">
        <v>11329</v>
      </c>
      <c r="E7997" t="s">
        <v>377</v>
      </c>
      <c r="F7997" s="21" t="s">
        <v>436</v>
      </c>
      <c r="G7997" s="21">
        <v>1</v>
      </c>
      <c r="H7997" s="21">
        <v>9</v>
      </c>
      <c r="I7997" s="23" t="s">
        <v>4147</v>
      </c>
      <c r="J7997" s="21"/>
      <c r="K7997" s="21" t="s">
        <v>533</v>
      </c>
      <c r="L7997" s="21"/>
      <c r="M7997" s="21"/>
      <c r="N7997" s="21" t="s">
        <v>40</v>
      </c>
      <c r="O7997" s="21">
        <v>40</v>
      </c>
      <c r="P7997" s="21"/>
      <c r="Q7997" s="21">
        <f t="shared" si="155"/>
        <v>1</v>
      </c>
      <c r="R7997" s="21">
        <v>1</v>
      </c>
      <c r="S7997" s="21">
        <v>0</v>
      </c>
      <c r="T7997" s="21">
        <v>0</v>
      </c>
      <c r="U7997" s="21">
        <v>0</v>
      </c>
      <c r="V7997" s="21">
        <v>0</v>
      </c>
      <c r="W7997" s="21">
        <v>0</v>
      </c>
      <c r="X7997" s="21">
        <v>0</v>
      </c>
      <c r="Y7997" s="21">
        <v>0</v>
      </c>
      <c r="Z7997" s="21">
        <v>0</v>
      </c>
      <c r="AA7997" s="21">
        <v>0</v>
      </c>
      <c r="AB7997" s="21">
        <v>0</v>
      </c>
      <c r="AC7997" s="21">
        <v>1</v>
      </c>
      <c r="AD7997" s="21">
        <v>0</v>
      </c>
      <c r="AE7997" s="21">
        <v>0</v>
      </c>
      <c r="AF7997" s="21">
        <v>0</v>
      </c>
      <c r="AG7997" s="21">
        <v>0</v>
      </c>
      <c r="AH7997" s="21">
        <f t="shared" si="156"/>
        <v>0</v>
      </c>
      <c r="AI7997" s="21"/>
      <c r="AJ7997" s="21" t="s">
        <v>51</v>
      </c>
      <c r="AK7997" s="21" t="s">
        <v>95</v>
      </c>
      <c r="AL7997" s="21" t="s">
        <v>4148</v>
      </c>
      <c r="AM7997" s="21" t="s">
        <v>4149</v>
      </c>
      <c r="AN7997" s="21">
        <v>-122.400902316667</v>
      </c>
      <c r="AO7997" s="21">
        <v>37.773837633333301</v>
      </c>
      <c r="AP7997" s="21" t="s">
        <v>1915</v>
      </c>
    </row>
    <row r="7998" spans="1:42">
      <c r="A7998" s="20">
        <v>43866</v>
      </c>
      <c r="B7998" s="21">
        <v>3</v>
      </c>
      <c r="C7998" s="21">
        <v>572</v>
      </c>
      <c r="D7998" s="21">
        <v>11329</v>
      </c>
      <c r="E7998" t="s">
        <v>377</v>
      </c>
      <c r="F7998" s="21" t="s">
        <v>436</v>
      </c>
      <c r="G7998" s="21">
        <v>1</v>
      </c>
      <c r="H7998" s="21">
        <v>10</v>
      </c>
      <c r="I7998" s="23" t="s">
        <v>4150</v>
      </c>
      <c r="J7998" s="21"/>
      <c r="K7998" s="21" t="s">
        <v>1110</v>
      </c>
      <c r="L7998" s="21"/>
      <c r="M7998" s="21"/>
      <c r="N7998" s="21" t="s">
        <v>40</v>
      </c>
      <c r="O7998" s="21">
        <v>56</v>
      </c>
      <c r="P7998" s="21"/>
      <c r="Q7998" s="21">
        <f t="shared" si="155"/>
        <v>1</v>
      </c>
      <c r="R7998" s="21">
        <v>1</v>
      </c>
      <c r="S7998" s="21">
        <v>0</v>
      </c>
      <c r="T7998" s="21">
        <v>0</v>
      </c>
      <c r="U7998" s="21">
        <v>0</v>
      </c>
      <c r="V7998" s="21">
        <v>0</v>
      </c>
      <c r="W7998" s="21">
        <v>0</v>
      </c>
      <c r="X7998" s="21">
        <v>0</v>
      </c>
      <c r="Y7998" s="21">
        <v>0</v>
      </c>
      <c r="Z7998" s="21">
        <v>0</v>
      </c>
      <c r="AA7998" s="21">
        <v>0</v>
      </c>
      <c r="AB7998" s="21">
        <v>1</v>
      </c>
      <c r="AC7998" s="21">
        <v>0</v>
      </c>
      <c r="AD7998" s="21">
        <v>0</v>
      </c>
      <c r="AE7998" s="21">
        <v>0</v>
      </c>
      <c r="AF7998" s="21">
        <v>0</v>
      </c>
      <c r="AG7998" s="21">
        <v>0</v>
      </c>
      <c r="AH7998" s="21">
        <f t="shared" si="156"/>
        <v>0</v>
      </c>
      <c r="AI7998" s="21"/>
      <c r="AJ7998" s="21" t="s">
        <v>51</v>
      </c>
      <c r="AK7998" s="21" t="s">
        <v>95</v>
      </c>
      <c r="AL7998" s="21"/>
      <c r="AM7998" s="21" t="s">
        <v>4151</v>
      </c>
      <c r="AN7998" s="21">
        <v>-122.403966833333</v>
      </c>
      <c r="AO7998" s="21">
        <v>37.774916099999999</v>
      </c>
      <c r="AP7998" s="21" t="s">
        <v>1915</v>
      </c>
    </row>
    <row r="7999" spans="1:42">
      <c r="A7999" s="20">
        <v>43866</v>
      </c>
      <c r="B7999" s="21">
        <v>3</v>
      </c>
      <c r="C7999" s="21">
        <v>572</v>
      </c>
      <c r="D7999" s="21">
        <v>11329</v>
      </c>
      <c r="E7999" t="s">
        <v>377</v>
      </c>
      <c r="F7999" s="21" t="s">
        <v>436</v>
      </c>
      <c r="G7999" s="21">
        <v>1</v>
      </c>
      <c r="H7999" s="21">
        <v>11</v>
      </c>
      <c r="I7999" s="23" t="s">
        <v>4152</v>
      </c>
      <c r="J7999" s="21"/>
      <c r="K7999" s="21" t="s">
        <v>4153</v>
      </c>
      <c r="L7999" s="21"/>
      <c r="M7999" s="21"/>
      <c r="N7999" s="21" t="s">
        <v>40</v>
      </c>
      <c r="O7999" s="21">
        <f>60+60+60+24</f>
        <v>204</v>
      </c>
      <c r="P7999" s="21"/>
      <c r="Q7999" s="21">
        <f t="shared" si="155"/>
        <v>3</v>
      </c>
      <c r="R7999" s="21">
        <v>1</v>
      </c>
      <c r="S7999" s="21">
        <v>0</v>
      </c>
      <c r="T7999" s="21">
        <v>0</v>
      </c>
      <c r="U7999" s="21">
        <v>0</v>
      </c>
      <c r="V7999" s="21">
        <v>0</v>
      </c>
      <c r="W7999" s="21">
        <v>0</v>
      </c>
      <c r="X7999" s="21">
        <v>0</v>
      </c>
      <c r="Y7999" s="21">
        <v>0</v>
      </c>
      <c r="Z7999" s="21">
        <v>0</v>
      </c>
      <c r="AA7999" s="21">
        <v>2</v>
      </c>
      <c r="AB7999" s="21">
        <v>1</v>
      </c>
      <c r="AC7999" s="21">
        <v>0</v>
      </c>
      <c r="AD7999" s="21">
        <v>0</v>
      </c>
      <c r="AE7999" s="21">
        <v>0</v>
      </c>
      <c r="AF7999" s="21">
        <v>0</v>
      </c>
      <c r="AG7999" s="21">
        <v>0</v>
      </c>
      <c r="AH7999" s="21">
        <f t="shared" si="156"/>
        <v>0</v>
      </c>
      <c r="AI7999" s="21"/>
      <c r="AJ7999" s="21" t="s">
        <v>51</v>
      </c>
      <c r="AK7999" s="21" t="s">
        <v>52</v>
      </c>
      <c r="AL7999" s="21" t="s">
        <v>4154</v>
      </c>
      <c r="AM7999" s="21" t="s">
        <v>4155</v>
      </c>
      <c r="AN7999" s="21">
        <v>-122.402426816667</v>
      </c>
      <c r="AO7999" s="21">
        <v>37.776790683333303</v>
      </c>
      <c r="AP7999" s="21" t="s">
        <v>1915</v>
      </c>
    </row>
    <row r="8000" spans="1:42">
      <c r="A8000" s="20">
        <v>43866</v>
      </c>
      <c r="B8000" s="21">
        <v>3</v>
      </c>
      <c r="C8000" s="21">
        <v>572</v>
      </c>
      <c r="D8000" s="21">
        <v>11329</v>
      </c>
      <c r="E8000" t="s">
        <v>377</v>
      </c>
      <c r="F8000" s="21" t="s">
        <v>436</v>
      </c>
      <c r="G8000" s="21">
        <v>1</v>
      </c>
      <c r="H8000" s="21">
        <v>12</v>
      </c>
      <c r="I8000" s="23" t="s">
        <v>3225</v>
      </c>
      <c r="J8000" s="21"/>
      <c r="K8000" s="21" t="s">
        <v>383</v>
      </c>
      <c r="L8000" s="21"/>
      <c r="M8000" s="21"/>
      <c r="N8000" s="21" t="s">
        <v>40</v>
      </c>
      <c r="O8000" s="21">
        <v>32</v>
      </c>
      <c r="P8000" s="21"/>
      <c r="Q8000" s="21">
        <f t="shared" ref="Q8000:Q8063" si="157">SUM(S8000:AE8000)</f>
        <v>1</v>
      </c>
      <c r="R8000" s="21">
        <v>1</v>
      </c>
      <c r="S8000" s="21">
        <v>0</v>
      </c>
      <c r="T8000" s="21">
        <v>0</v>
      </c>
      <c r="U8000" s="21">
        <v>0</v>
      </c>
      <c r="V8000" s="21">
        <v>0</v>
      </c>
      <c r="W8000" s="21">
        <v>0</v>
      </c>
      <c r="X8000" s="21">
        <v>0</v>
      </c>
      <c r="Y8000" s="21">
        <v>0</v>
      </c>
      <c r="Z8000" s="21">
        <v>0</v>
      </c>
      <c r="AA8000" s="21">
        <v>0</v>
      </c>
      <c r="AB8000" s="21">
        <v>1</v>
      </c>
      <c r="AC8000" s="21">
        <v>0</v>
      </c>
      <c r="AD8000" s="21">
        <v>0</v>
      </c>
      <c r="AE8000" s="21">
        <v>0</v>
      </c>
      <c r="AF8000" s="21">
        <v>0</v>
      </c>
      <c r="AG8000" s="21">
        <v>0</v>
      </c>
      <c r="AH8000" s="21">
        <f t="shared" ref="AH8000:AH8063" si="158">(S8000*16)+(T8000*20)+(U8000*32)+(V8000*64)+(W8000*96)</f>
        <v>0</v>
      </c>
      <c r="AI8000" s="21"/>
      <c r="AJ8000" s="21" t="s">
        <v>51</v>
      </c>
      <c r="AK8000" s="21" t="s">
        <v>52</v>
      </c>
      <c r="AL8000" s="21"/>
      <c r="AM8000" s="21" t="s">
        <v>4156</v>
      </c>
      <c r="AN8000" s="21">
        <v>-122.404933683333</v>
      </c>
      <c r="AO8000" s="21">
        <v>37.7774218666667</v>
      </c>
      <c r="AP8000" s="21" t="s">
        <v>1915</v>
      </c>
    </row>
    <row r="8001" spans="1:42">
      <c r="A8001" s="20">
        <v>43866</v>
      </c>
      <c r="B8001" s="21">
        <v>3</v>
      </c>
      <c r="C8001" s="21">
        <v>572</v>
      </c>
      <c r="D8001" s="21">
        <v>11329</v>
      </c>
      <c r="E8001" t="s">
        <v>377</v>
      </c>
      <c r="F8001" s="21" t="s">
        <v>436</v>
      </c>
      <c r="G8001" s="21">
        <v>1</v>
      </c>
      <c r="H8001" s="21">
        <v>13</v>
      </c>
      <c r="I8001" s="23" t="s">
        <v>4157</v>
      </c>
      <c r="J8001" s="21"/>
      <c r="K8001" s="21" t="s">
        <v>391</v>
      </c>
      <c r="L8001" s="21"/>
      <c r="M8001" s="21"/>
      <c r="N8001" s="21" t="s">
        <v>40</v>
      </c>
      <c r="O8001" s="21">
        <f>60+30</f>
        <v>90</v>
      </c>
      <c r="P8001" s="21"/>
      <c r="Q8001" s="21">
        <f t="shared" si="157"/>
        <v>1</v>
      </c>
      <c r="R8001" s="21">
        <v>1</v>
      </c>
      <c r="S8001" s="21">
        <v>0</v>
      </c>
      <c r="T8001" s="21">
        <v>0</v>
      </c>
      <c r="U8001" s="21">
        <v>0</v>
      </c>
      <c r="V8001" s="21">
        <v>0</v>
      </c>
      <c r="W8001" s="21">
        <v>0</v>
      </c>
      <c r="X8001" s="21">
        <v>0</v>
      </c>
      <c r="Y8001" s="21">
        <v>0</v>
      </c>
      <c r="Z8001" s="21">
        <v>0</v>
      </c>
      <c r="AA8001" s="21">
        <v>1</v>
      </c>
      <c r="AB8001" s="21">
        <v>0</v>
      </c>
      <c r="AC8001" s="21">
        <v>0</v>
      </c>
      <c r="AD8001" s="21">
        <v>0</v>
      </c>
      <c r="AE8001" s="21">
        <v>0</v>
      </c>
      <c r="AF8001" s="21">
        <v>0</v>
      </c>
      <c r="AG8001" s="21">
        <v>0</v>
      </c>
      <c r="AH8001" s="21">
        <f t="shared" si="158"/>
        <v>0</v>
      </c>
      <c r="AI8001" s="21"/>
      <c r="AJ8001" s="21" t="s">
        <v>51</v>
      </c>
      <c r="AK8001" s="21" t="s">
        <v>52</v>
      </c>
      <c r="AL8001" s="21"/>
      <c r="AM8001" s="21" t="s">
        <v>4158</v>
      </c>
      <c r="AN8001" s="21">
        <v>-122.40525106666701</v>
      </c>
      <c r="AO8001" s="21">
        <v>37.781966983333298</v>
      </c>
      <c r="AP8001" s="21" t="s">
        <v>1915</v>
      </c>
    </row>
    <row r="8002" spans="1:42">
      <c r="A8002" s="20">
        <v>43866</v>
      </c>
      <c r="B8002" s="21">
        <v>3</v>
      </c>
      <c r="C8002" s="21">
        <v>572</v>
      </c>
      <c r="D8002" s="21">
        <v>11329</v>
      </c>
      <c r="E8002" t="s">
        <v>377</v>
      </c>
      <c r="F8002" s="21" t="s">
        <v>436</v>
      </c>
      <c r="G8002" s="21">
        <v>1</v>
      </c>
      <c r="H8002" s="21">
        <v>14</v>
      </c>
      <c r="I8002" s="23" t="s">
        <v>4159</v>
      </c>
      <c r="J8002" s="21"/>
      <c r="K8002" s="21" t="s">
        <v>4160</v>
      </c>
      <c r="L8002" s="21"/>
      <c r="M8002" s="21"/>
      <c r="N8002" s="21" t="s">
        <v>1703</v>
      </c>
      <c r="O8002" s="21">
        <f>60+27</f>
        <v>87</v>
      </c>
      <c r="P8002" s="21"/>
      <c r="Q8002" s="21">
        <f t="shared" si="157"/>
        <v>1</v>
      </c>
      <c r="R8002" s="21">
        <v>1</v>
      </c>
      <c r="S8002" s="21">
        <v>0</v>
      </c>
      <c r="T8002" s="21">
        <v>0</v>
      </c>
      <c r="U8002" s="21">
        <v>0</v>
      </c>
      <c r="V8002" s="21">
        <v>0</v>
      </c>
      <c r="W8002" s="21">
        <v>0</v>
      </c>
      <c r="X8002" s="21">
        <v>0</v>
      </c>
      <c r="Y8002" s="21">
        <v>0</v>
      </c>
      <c r="Z8002" s="21">
        <v>0</v>
      </c>
      <c r="AA8002" s="21">
        <v>1</v>
      </c>
      <c r="AB8002" s="21">
        <v>0</v>
      </c>
      <c r="AC8002" s="21">
        <v>0</v>
      </c>
      <c r="AD8002" s="21">
        <v>0</v>
      </c>
      <c r="AE8002" s="21">
        <v>0</v>
      </c>
      <c r="AF8002" s="21">
        <v>0</v>
      </c>
      <c r="AG8002" s="21">
        <v>0</v>
      </c>
      <c r="AH8002" s="21">
        <f t="shared" si="158"/>
        <v>0</v>
      </c>
      <c r="AI8002" s="21"/>
      <c r="AJ8002" s="21" t="s">
        <v>51</v>
      </c>
      <c r="AK8002" s="21" t="s">
        <v>95</v>
      </c>
      <c r="AL8002" s="21" t="s">
        <v>4161</v>
      </c>
      <c r="AM8002" s="21" t="s">
        <v>4162</v>
      </c>
      <c r="AN8002" s="21">
        <v>-122.408433783333</v>
      </c>
      <c r="AO8002" s="21">
        <v>37.782820983333302</v>
      </c>
      <c r="AP8002" s="21" t="s">
        <v>1915</v>
      </c>
    </row>
    <row r="8003" spans="1:42">
      <c r="A8003" s="20">
        <v>43866</v>
      </c>
      <c r="B8003" s="21">
        <v>3</v>
      </c>
      <c r="C8003" s="21">
        <v>572</v>
      </c>
      <c r="D8003" s="21">
        <v>11329</v>
      </c>
      <c r="E8003" t="s">
        <v>377</v>
      </c>
      <c r="F8003" s="21" t="s">
        <v>436</v>
      </c>
      <c r="G8003" s="21">
        <v>1</v>
      </c>
      <c r="H8003" s="21">
        <v>15</v>
      </c>
      <c r="I8003" s="23" t="s">
        <v>4163</v>
      </c>
      <c r="J8003" s="21"/>
      <c r="K8003" s="21" t="s">
        <v>73</v>
      </c>
      <c r="L8003" s="21"/>
      <c r="M8003" s="21"/>
      <c r="N8003" s="21" t="s">
        <v>1703</v>
      </c>
      <c r="O8003" s="21">
        <f>60+26</f>
        <v>86</v>
      </c>
      <c r="P8003" s="21"/>
      <c r="Q8003" s="21">
        <f t="shared" si="157"/>
        <v>1</v>
      </c>
      <c r="R8003" s="21">
        <v>1</v>
      </c>
      <c r="S8003" s="21">
        <v>0</v>
      </c>
      <c r="T8003" s="21">
        <v>0</v>
      </c>
      <c r="U8003" s="21">
        <v>0</v>
      </c>
      <c r="V8003" s="21">
        <v>0</v>
      </c>
      <c r="W8003" s="21">
        <v>0</v>
      </c>
      <c r="X8003" s="21">
        <v>0</v>
      </c>
      <c r="Y8003" s="21">
        <v>0</v>
      </c>
      <c r="Z8003" s="21">
        <v>0</v>
      </c>
      <c r="AA8003" s="21">
        <v>0</v>
      </c>
      <c r="AB8003" s="21">
        <v>0</v>
      </c>
      <c r="AC8003" s="21">
        <v>1</v>
      </c>
      <c r="AD8003" s="21">
        <v>0</v>
      </c>
      <c r="AE8003" s="21">
        <v>0</v>
      </c>
      <c r="AF8003" s="21">
        <v>0</v>
      </c>
      <c r="AG8003" s="21">
        <v>0</v>
      </c>
      <c r="AH8003" s="21">
        <f t="shared" si="158"/>
        <v>0</v>
      </c>
      <c r="AI8003" s="21"/>
      <c r="AJ8003" s="21" t="s">
        <v>51</v>
      </c>
      <c r="AK8003" s="21" t="s">
        <v>95</v>
      </c>
      <c r="AL8003" s="21" t="s">
        <v>3469</v>
      </c>
      <c r="AM8003" s="21" t="s">
        <v>4164</v>
      </c>
      <c r="AN8003" s="21">
        <v>-122.40804281666701</v>
      </c>
      <c r="AO8003" s="21">
        <v>37.783112216666701</v>
      </c>
      <c r="AP8003" s="21" t="s">
        <v>1915</v>
      </c>
    </row>
    <row r="8004" spans="1:42">
      <c r="A8004" s="20">
        <v>43866</v>
      </c>
      <c r="B8004" s="21">
        <v>3</v>
      </c>
      <c r="C8004" s="21">
        <v>572</v>
      </c>
      <c r="D8004" s="21">
        <v>11329</v>
      </c>
      <c r="E8004" t="s">
        <v>377</v>
      </c>
      <c r="F8004" s="21" t="s">
        <v>436</v>
      </c>
      <c r="G8004" s="21">
        <v>1</v>
      </c>
      <c r="H8004" s="21">
        <v>16</v>
      </c>
      <c r="I8004" s="23" t="s">
        <v>4165</v>
      </c>
      <c r="J8004" s="21"/>
      <c r="K8004" s="21" t="s">
        <v>4166</v>
      </c>
      <c r="L8004" s="21"/>
      <c r="M8004" s="21"/>
      <c r="N8004" s="21" t="s">
        <v>42</v>
      </c>
      <c r="O8004" s="21">
        <f>60+60+60+60+60+60+60+22</f>
        <v>442</v>
      </c>
      <c r="P8004" s="21"/>
      <c r="Q8004" s="21">
        <f t="shared" si="157"/>
        <v>3</v>
      </c>
      <c r="R8004" s="21">
        <v>1</v>
      </c>
      <c r="S8004" s="21">
        <v>0</v>
      </c>
      <c r="T8004" s="21">
        <v>0</v>
      </c>
      <c r="U8004" s="21">
        <v>0</v>
      </c>
      <c r="V8004" s="21">
        <v>0</v>
      </c>
      <c r="W8004" s="21">
        <v>0</v>
      </c>
      <c r="X8004" s="21">
        <v>0</v>
      </c>
      <c r="Y8004" s="21">
        <v>0</v>
      </c>
      <c r="Z8004" s="21">
        <v>0</v>
      </c>
      <c r="AA8004" s="21">
        <v>2</v>
      </c>
      <c r="AB8004" s="21">
        <v>0</v>
      </c>
      <c r="AC8004" s="21">
        <v>1</v>
      </c>
      <c r="AD8004" s="21">
        <v>0</v>
      </c>
      <c r="AE8004" s="21">
        <v>0</v>
      </c>
      <c r="AF8004" s="21">
        <v>0</v>
      </c>
      <c r="AG8004" s="21">
        <v>0</v>
      </c>
      <c r="AH8004" s="21">
        <f t="shared" si="158"/>
        <v>0</v>
      </c>
      <c r="AI8004" s="21"/>
      <c r="AJ8004" s="21" t="s">
        <v>51</v>
      </c>
      <c r="AK8004" s="21" t="s">
        <v>95</v>
      </c>
      <c r="AL8004" s="21" t="s">
        <v>4167</v>
      </c>
      <c r="AM8004" s="21" t="s">
        <v>4168</v>
      </c>
      <c r="AN8004" s="21">
        <v>-122.406662966667</v>
      </c>
      <c r="AO8004" s="21">
        <v>37.783532866666697</v>
      </c>
      <c r="AP8004" s="21" t="s">
        <v>1915</v>
      </c>
    </row>
    <row r="8005" spans="1:42">
      <c r="A8005" s="20">
        <v>43866</v>
      </c>
      <c r="B8005" s="21">
        <v>3</v>
      </c>
      <c r="C8005" s="21">
        <v>572</v>
      </c>
      <c r="D8005" s="21">
        <v>11329</v>
      </c>
      <c r="E8005" t="s">
        <v>377</v>
      </c>
      <c r="F8005" s="21" t="s">
        <v>436</v>
      </c>
      <c r="G8005" s="21">
        <v>1</v>
      </c>
      <c r="H8005" s="21">
        <v>17</v>
      </c>
      <c r="I8005" s="23" t="s">
        <v>4169</v>
      </c>
      <c r="J8005" s="21"/>
      <c r="K8005" s="21" t="s">
        <v>394</v>
      </c>
      <c r="L8005" s="21"/>
      <c r="M8005" s="21"/>
      <c r="N8005" s="21" t="s">
        <v>40</v>
      </c>
      <c r="O8005" s="21">
        <f>60+60+60+60+7</f>
        <v>247</v>
      </c>
      <c r="P8005" s="21"/>
      <c r="Q8005" s="21">
        <f t="shared" si="157"/>
        <v>1</v>
      </c>
      <c r="R8005" s="21">
        <v>1</v>
      </c>
      <c r="S8005" s="21">
        <v>0</v>
      </c>
      <c r="T8005" s="21">
        <v>0</v>
      </c>
      <c r="U8005" s="21">
        <v>0</v>
      </c>
      <c r="V8005" s="21">
        <v>0</v>
      </c>
      <c r="W8005" s="21">
        <v>0</v>
      </c>
      <c r="X8005" s="21">
        <v>0</v>
      </c>
      <c r="Y8005" s="21">
        <v>0</v>
      </c>
      <c r="Z8005" s="21">
        <v>0</v>
      </c>
      <c r="AA8005" s="21">
        <v>0</v>
      </c>
      <c r="AB8005" s="21">
        <v>0</v>
      </c>
      <c r="AC8005" s="21">
        <v>1</v>
      </c>
      <c r="AD8005" s="21">
        <v>0</v>
      </c>
      <c r="AE8005" s="21">
        <v>0</v>
      </c>
      <c r="AF8005" s="21">
        <v>0</v>
      </c>
      <c r="AG8005" s="21">
        <v>0</v>
      </c>
      <c r="AH8005" s="21">
        <f t="shared" si="158"/>
        <v>0</v>
      </c>
      <c r="AI8005" s="21"/>
      <c r="AJ8005" s="21" t="s">
        <v>51</v>
      </c>
      <c r="AK8005" s="21" t="s">
        <v>95</v>
      </c>
      <c r="AL8005" s="21" t="s">
        <v>4170</v>
      </c>
      <c r="AM8005" s="21" t="s">
        <v>4171</v>
      </c>
      <c r="AN8005" s="21">
        <v>-122.404980216667</v>
      </c>
      <c r="AO8005" s="21">
        <v>37.784173733333297</v>
      </c>
      <c r="AP8005" s="21" t="s">
        <v>1915</v>
      </c>
    </row>
    <row r="8006" spans="1:42">
      <c r="A8006" s="20">
        <v>43866</v>
      </c>
      <c r="B8006" s="21">
        <v>3</v>
      </c>
      <c r="C8006" s="21">
        <v>572</v>
      </c>
      <c r="D8006" s="21">
        <v>11329</v>
      </c>
      <c r="E8006" t="s">
        <v>377</v>
      </c>
      <c r="F8006" s="21" t="s">
        <v>436</v>
      </c>
      <c r="G8006" s="21">
        <v>1</v>
      </c>
      <c r="H8006" s="21">
        <v>18</v>
      </c>
      <c r="I8006" s="23"/>
      <c r="J8006" s="21"/>
      <c r="K8006" s="21"/>
      <c r="L8006" s="21"/>
      <c r="M8006" s="21"/>
      <c r="N8006" s="21" t="s">
        <v>40</v>
      </c>
      <c r="O8006" s="21">
        <v>58</v>
      </c>
      <c r="P8006" s="21"/>
      <c r="Q8006" s="21">
        <f t="shared" si="157"/>
        <v>1</v>
      </c>
      <c r="R8006" s="21">
        <v>1</v>
      </c>
      <c r="S8006" s="21">
        <v>0</v>
      </c>
      <c r="T8006" s="21">
        <v>0</v>
      </c>
      <c r="U8006" s="21">
        <v>0</v>
      </c>
      <c r="V8006" s="21">
        <v>0</v>
      </c>
      <c r="W8006" s="21">
        <v>0</v>
      </c>
      <c r="X8006" s="21">
        <v>0</v>
      </c>
      <c r="Y8006" s="21">
        <v>0</v>
      </c>
      <c r="Z8006" s="21">
        <v>0</v>
      </c>
      <c r="AA8006" s="21">
        <v>0</v>
      </c>
      <c r="AB8006" s="21">
        <v>1</v>
      </c>
      <c r="AC8006" s="21">
        <v>0</v>
      </c>
      <c r="AD8006" s="21">
        <v>0</v>
      </c>
      <c r="AE8006" s="21">
        <v>0</v>
      </c>
      <c r="AF8006" s="21">
        <v>0</v>
      </c>
      <c r="AG8006" s="21">
        <v>0</v>
      </c>
      <c r="AH8006" s="21">
        <f t="shared" si="158"/>
        <v>0</v>
      </c>
      <c r="AI8006" s="21"/>
      <c r="AJ8006" s="21" t="s">
        <v>51</v>
      </c>
      <c r="AK8006" s="21" t="s">
        <v>95</v>
      </c>
      <c r="AL8006" s="21"/>
      <c r="AM8006" s="21" t="s">
        <v>4172</v>
      </c>
      <c r="AN8006" s="21">
        <v>-122.405194016667</v>
      </c>
      <c r="AO8006" s="21">
        <v>37.7849920166666</v>
      </c>
      <c r="AP8006" s="21" t="s">
        <v>1915</v>
      </c>
    </row>
    <row r="8007" spans="1:42">
      <c r="A8007" s="20">
        <v>43866</v>
      </c>
      <c r="B8007" s="21">
        <v>3</v>
      </c>
      <c r="C8007" s="21">
        <v>572</v>
      </c>
      <c r="D8007" s="21">
        <v>11329</v>
      </c>
      <c r="E8007" t="s">
        <v>377</v>
      </c>
      <c r="F8007" s="21" t="s">
        <v>436</v>
      </c>
      <c r="G8007" s="21">
        <v>1</v>
      </c>
      <c r="H8007" s="21">
        <v>19</v>
      </c>
      <c r="I8007" s="23" t="s">
        <v>3490</v>
      </c>
      <c r="J8007" s="21"/>
      <c r="K8007" s="21" t="s">
        <v>73</v>
      </c>
      <c r="L8007" s="21"/>
      <c r="M8007" s="21"/>
      <c r="N8007" s="21" t="s">
        <v>40</v>
      </c>
      <c r="O8007" s="21">
        <v>38</v>
      </c>
      <c r="P8007" s="21"/>
      <c r="Q8007" s="21">
        <f t="shared" si="157"/>
        <v>1</v>
      </c>
      <c r="R8007" s="21">
        <v>1</v>
      </c>
      <c r="S8007" s="21">
        <v>0</v>
      </c>
      <c r="T8007" s="21">
        <v>0</v>
      </c>
      <c r="U8007" s="21">
        <v>0</v>
      </c>
      <c r="V8007" s="21">
        <v>0</v>
      </c>
      <c r="W8007" s="21">
        <v>0</v>
      </c>
      <c r="X8007" s="21">
        <v>0</v>
      </c>
      <c r="Y8007" s="21">
        <v>0</v>
      </c>
      <c r="Z8007" s="21">
        <v>0</v>
      </c>
      <c r="AA8007" s="21">
        <v>0</v>
      </c>
      <c r="AB8007" s="21">
        <v>0</v>
      </c>
      <c r="AC8007" s="21">
        <v>1</v>
      </c>
      <c r="AD8007" s="21">
        <v>0</v>
      </c>
      <c r="AE8007" s="21">
        <v>0</v>
      </c>
      <c r="AF8007" s="21">
        <v>0</v>
      </c>
      <c r="AG8007" s="21">
        <v>0</v>
      </c>
      <c r="AH8007" s="21">
        <f t="shared" si="158"/>
        <v>0</v>
      </c>
      <c r="AI8007" s="21"/>
      <c r="AJ8007" s="21" t="s">
        <v>51</v>
      </c>
      <c r="AK8007" s="21" t="s">
        <v>95</v>
      </c>
      <c r="AL8007" s="21"/>
      <c r="AM8007" s="21" t="s">
        <v>4173</v>
      </c>
      <c r="AN8007" s="21">
        <v>-122.40501096666701</v>
      </c>
      <c r="AO8007" s="21">
        <v>37.785301666666697</v>
      </c>
      <c r="AP8007" s="21" t="s">
        <v>1915</v>
      </c>
    </row>
    <row r="8008" spans="1:42">
      <c r="A8008" s="20">
        <v>43866</v>
      </c>
      <c r="B8008" s="21">
        <v>3</v>
      </c>
      <c r="C8008" s="21">
        <v>572</v>
      </c>
      <c r="D8008" s="21">
        <v>11329</v>
      </c>
      <c r="E8008" t="s">
        <v>377</v>
      </c>
      <c r="F8008" s="21" t="s">
        <v>436</v>
      </c>
      <c r="G8008" s="21">
        <v>1</v>
      </c>
      <c r="H8008" s="21">
        <v>20</v>
      </c>
      <c r="I8008" s="23"/>
      <c r="J8008" s="21"/>
      <c r="K8008" s="21"/>
      <c r="L8008" s="21"/>
      <c r="M8008" s="21"/>
      <c r="N8008" s="21" t="s">
        <v>40</v>
      </c>
      <c r="O8008" s="21">
        <v>56</v>
      </c>
      <c r="P8008" s="21"/>
      <c r="Q8008" s="21">
        <f t="shared" si="157"/>
        <v>1</v>
      </c>
      <c r="R8008" s="21">
        <v>1</v>
      </c>
      <c r="S8008" s="21">
        <v>0</v>
      </c>
      <c r="T8008" s="21">
        <v>0</v>
      </c>
      <c r="U8008" s="21">
        <v>0</v>
      </c>
      <c r="V8008" s="21">
        <v>0</v>
      </c>
      <c r="W8008" s="21">
        <v>0</v>
      </c>
      <c r="X8008" s="21">
        <v>0</v>
      </c>
      <c r="Y8008" s="21">
        <v>0</v>
      </c>
      <c r="Z8008" s="21">
        <v>0</v>
      </c>
      <c r="AA8008" s="21">
        <v>0</v>
      </c>
      <c r="AB8008" s="21">
        <v>0</v>
      </c>
      <c r="AC8008" s="21">
        <v>1</v>
      </c>
      <c r="AD8008" s="21">
        <v>0</v>
      </c>
      <c r="AE8008" s="21">
        <v>0</v>
      </c>
      <c r="AF8008" s="21">
        <v>0</v>
      </c>
      <c r="AG8008" s="21">
        <v>0</v>
      </c>
      <c r="AH8008" s="21">
        <f t="shared" si="158"/>
        <v>0</v>
      </c>
      <c r="AI8008" s="21"/>
      <c r="AJ8008" s="21" t="s">
        <v>51</v>
      </c>
      <c r="AK8008" s="21" t="s">
        <v>95</v>
      </c>
      <c r="AL8008" s="21"/>
      <c r="AM8008" s="21" t="s">
        <v>4174</v>
      </c>
      <c r="AN8008" s="21">
        <v>-122.404997416667</v>
      </c>
      <c r="AO8008" s="21">
        <v>37.785304083333301</v>
      </c>
      <c r="AP8008" s="21" t="s">
        <v>1915</v>
      </c>
    </row>
    <row r="8009" spans="1:42">
      <c r="A8009" s="20">
        <v>43866</v>
      </c>
      <c r="B8009" s="21">
        <v>3</v>
      </c>
      <c r="C8009" s="21">
        <v>572</v>
      </c>
      <c r="D8009" s="21">
        <v>11329</v>
      </c>
      <c r="E8009" t="s">
        <v>377</v>
      </c>
      <c r="F8009" s="21" t="s">
        <v>436</v>
      </c>
      <c r="G8009" s="21">
        <v>1</v>
      </c>
      <c r="H8009" s="21">
        <v>21</v>
      </c>
      <c r="I8009" s="23" t="s">
        <v>3490</v>
      </c>
      <c r="J8009" s="21"/>
      <c r="K8009" s="21" t="s">
        <v>73</v>
      </c>
      <c r="L8009" s="21"/>
      <c r="M8009" s="21"/>
      <c r="N8009" s="21" t="s">
        <v>40</v>
      </c>
      <c r="O8009" s="21">
        <v>75</v>
      </c>
      <c r="P8009" s="21"/>
      <c r="Q8009" s="21">
        <f t="shared" si="157"/>
        <v>1</v>
      </c>
      <c r="R8009" s="21">
        <v>1</v>
      </c>
      <c r="S8009" s="21">
        <v>0</v>
      </c>
      <c r="T8009" s="21">
        <v>0</v>
      </c>
      <c r="U8009" s="21">
        <v>0</v>
      </c>
      <c r="V8009" s="21">
        <v>0</v>
      </c>
      <c r="W8009" s="21">
        <v>0</v>
      </c>
      <c r="X8009" s="21">
        <v>0</v>
      </c>
      <c r="Y8009" s="21">
        <v>0</v>
      </c>
      <c r="Z8009" s="21">
        <v>0</v>
      </c>
      <c r="AA8009" s="21">
        <v>0</v>
      </c>
      <c r="AB8009" s="21">
        <v>0</v>
      </c>
      <c r="AC8009" s="21">
        <v>1</v>
      </c>
      <c r="AD8009" s="21">
        <v>0</v>
      </c>
      <c r="AE8009" s="21">
        <v>0</v>
      </c>
      <c r="AF8009" s="21">
        <v>0</v>
      </c>
      <c r="AG8009" s="21">
        <v>0</v>
      </c>
      <c r="AH8009" s="21">
        <f t="shared" si="158"/>
        <v>0</v>
      </c>
      <c r="AI8009" s="21"/>
      <c r="AJ8009" s="21" t="s">
        <v>51</v>
      </c>
      <c r="AK8009" s="21" t="s">
        <v>95</v>
      </c>
      <c r="AL8009" s="21"/>
      <c r="AM8009" s="21" t="s">
        <v>4175</v>
      </c>
      <c r="AN8009" s="21">
        <v>-122.404993183333</v>
      </c>
      <c r="AO8009" s="21">
        <v>37.785292383333299</v>
      </c>
      <c r="AP8009" s="21" t="s">
        <v>1915</v>
      </c>
    </row>
    <row r="8010" spans="1:42">
      <c r="A8010" s="20">
        <v>43866</v>
      </c>
      <c r="B8010" s="21">
        <v>3</v>
      </c>
      <c r="C8010" s="21">
        <v>572</v>
      </c>
      <c r="D8010" s="21">
        <v>11329</v>
      </c>
      <c r="E8010" t="s">
        <v>377</v>
      </c>
      <c r="F8010" s="21" t="s">
        <v>436</v>
      </c>
      <c r="G8010" s="21">
        <v>1</v>
      </c>
      <c r="H8010" s="21">
        <v>22</v>
      </c>
      <c r="I8010" s="23" t="s">
        <v>3684</v>
      </c>
      <c r="J8010" s="21"/>
      <c r="K8010" s="21" t="s">
        <v>394</v>
      </c>
      <c r="L8010" s="21"/>
      <c r="M8010" s="21"/>
      <c r="N8010" s="21" t="s">
        <v>44</v>
      </c>
      <c r="O8010" s="21">
        <v>124</v>
      </c>
      <c r="P8010" s="21"/>
      <c r="Q8010" s="21">
        <f t="shared" si="157"/>
        <v>1</v>
      </c>
      <c r="R8010" s="21">
        <v>1</v>
      </c>
      <c r="S8010" s="21">
        <v>0</v>
      </c>
      <c r="T8010" s="21">
        <v>0</v>
      </c>
      <c r="U8010" s="21">
        <v>0</v>
      </c>
      <c r="V8010" s="21">
        <v>0</v>
      </c>
      <c r="W8010" s="21">
        <v>0</v>
      </c>
      <c r="X8010" s="21">
        <v>0</v>
      </c>
      <c r="Y8010" s="21">
        <v>0</v>
      </c>
      <c r="Z8010" s="21">
        <v>0</v>
      </c>
      <c r="AA8010" s="21">
        <v>1</v>
      </c>
      <c r="AB8010" s="21">
        <v>0</v>
      </c>
      <c r="AC8010" s="21">
        <v>0</v>
      </c>
      <c r="AD8010" s="21">
        <v>0</v>
      </c>
      <c r="AE8010" s="21">
        <v>0</v>
      </c>
      <c r="AF8010" s="21">
        <v>0</v>
      </c>
      <c r="AG8010" s="21">
        <v>0</v>
      </c>
      <c r="AH8010" s="21">
        <f t="shared" si="158"/>
        <v>0</v>
      </c>
      <c r="AI8010" s="21"/>
      <c r="AJ8010" s="21" t="s">
        <v>51</v>
      </c>
      <c r="AK8010" s="21" t="s">
        <v>52</v>
      </c>
      <c r="AL8010" s="21"/>
      <c r="AM8010" s="21" t="s">
        <v>4176</v>
      </c>
      <c r="AN8010" s="21">
        <v>-122.40499061666701</v>
      </c>
      <c r="AO8010" s="21">
        <v>37.785275916666599</v>
      </c>
      <c r="AP8010" s="21" t="s">
        <v>1915</v>
      </c>
    </row>
    <row r="8011" spans="1:42">
      <c r="A8011" s="20">
        <v>43866</v>
      </c>
      <c r="B8011" s="21">
        <v>3</v>
      </c>
      <c r="C8011" s="21">
        <v>572</v>
      </c>
      <c r="D8011" s="21">
        <v>11329</v>
      </c>
      <c r="E8011" t="s">
        <v>377</v>
      </c>
      <c r="F8011" s="21" t="s">
        <v>436</v>
      </c>
      <c r="G8011" s="21">
        <v>1</v>
      </c>
      <c r="H8011" s="21">
        <v>23</v>
      </c>
      <c r="I8011" s="23" t="s">
        <v>4177</v>
      </c>
      <c r="J8011" s="21"/>
      <c r="K8011" s="21" t="s">
        <v>73</v>
      </c>
      <c r="L8011" s="21"/>
      <c r="M8011" s="21"/>
      <c r="N8011" s="21" t="s">
        <v>44</v>
      </c>
      <c r="O8011" s="21">
        <f>60+60+60+18</f>
        <v>198</v>
      </c>
      <c r="P8011" s="21"/>
      <c r="Q8011" s="21">
        <f t="shared" si="157"/>
        <v>1</v>
      </c>
      <c r="R8011" s="21">
        <v>1</v>
      </c>
      <c r="S8011" s="21">
        <v>0</v>
      </c>
      <c r="T8011" s="21">
        <v>0</v>
      </c>
      <c r="U8011" s="21">
        <v>0</v>
      </c>
      <c r="V8011" s="21">
        <v>0</v>
      </c>
      <c r="W8011" s="21">
        <v>0</v>
      </c>
      <c r="X8011" s="21">
        <v>0</v>
      </c>
      <c r="Y8011" s="21">
        <v>1</v>
      </c>
      <c r="Z8011" s="21">
        <v>0</v>
      </c>
      <c r="AA8011" s="21">
        <v>0</v>
      </c>
      <c r="AB8011" s="21">
        <v>0</v>
      </c>
      <c r="AC8011" s="21">
        <v>0</v>
      </c>
      <c r="AD8011" s="21">
        <v>0</v>
      </c>
      <c r="AE8011" s="21">
        <v>0</v>
      </c>
      <c r="AF8011" s="21">
        <v>0</v>
      </c>
      <c r="AG8011" s="21">
        <v>0</v>
      </c>
      <c r="AH8011" s="21">
        <f t="shared" si="158"/>
        <v>0</v>
      </c>
      <c r="AI8011" s="21"/>
      <c r="AJ8011" s="21" t="s">
        <v>51</v>
      </c>
      <c r="AK8011" s="21" t="s">
        <v>95</v>
      </c>
      <c r="AL8011" s="21" t="s">
        <v>4178</v>
      </c>
      <c r="AM8011" s="21" t="s">
        <v>4179</v>
      </c>
      <c r="AN8011" s="21">
        <v>-122.40539073333299</v>
      </c>
      <c r="AO8011" s="21">
        <v>37.785673216666602</v>
      </c>
      <c r="AP8011" s="21" t="s">
        <v>1915</v>
      </c>
    </row>
    <row r="8012" spans="1:42">
      <c r="A8012" s="20">
        <v>43866</v>
      </c>
      <c r="B8012" s="21">
        <v>3</v>
      </c>
      <c r="C8012" s="21">
        <v>572</v>
      </c>
      <c r="D8012" s="21">
        <v>11329</v>
      </c>
      <c r="E8012" t="s">
        <v>377</v>
      </c>
      <c r="F8012" s="21" t="s">
        <v>436</v>
      </c>
      <c r="G8012" s="21">
        <v>1</v>
      </c>
      <c r="H8012" s="21">
        <v>24</v>
      </c>
      <c r="I8012" s="23" t="s">
        <v>4180</v>
      </c>
      <c r="J8012" s="21"/>
      <c r="K8012" s="21" t="s">
        <v>408</v>
      </c>
      <c r="L8012" s="21"/>
      <c r="M8012" s="21"/>
      <c r="N8012" s="21" t="s">
        <v>44</v>
      </c>
      <c r="O8012" s="21">
        <v>71</v>
      </c>
      <c r="P8012" s="21"/>
      <c r="Q8012" s="21">
        <f t="shared" si="157"/>
        <v>1</v>
      </c>
      <c r="R8012" s="21">
        <v>1</v>
      </c>
      <c r="S8012" s="21">
        <v>0</v>
      </c>
      <c r="T8012" s="21">
        <v>0</v>
      </c>
      <c r="U8012" s="21">
        <v>0</v>
      </c>
      <c r="V8012" s="21">
        <v>0</v>
      </c>
      <c r="W8012" s="21">
        <v>0</v>
      </c>
      <c r="X8012" s="21">
        <v>0</v>
      </c>
      <c r="Y8012" s="21">
        <v>0</v>
      </c>
      <c r="Z8012" s="21">
        <v>0</v>
      </c>
      <c r="AA8012" s="21">
        <v>0</v>
      </c>
      <c r="AB8012" s="21">
        <v>0</v>
      </c>
      <c r="AC8012" s="21">
        <v>1</v>
      </c>
      <c r="AD8012" s="21">
        <v>0</v>
      </c>
      <c r="AE8012" s="21">
        <v>0</v>
      </c>
      <c r="AF8012" s="21">
        <v>0</v>
      </c>
      <c r="AG8012" s="21">
        <v>0</v>
      </c>
      <c r="AH8012" s="21">
        <f t="shared" si="158"/>
        <v>0</v>
      </c>
      <c r="AI8012" s="21"/>
      <c r="AJ8012" s="21"/>
      <c r="AK8012" s="21"/>
      <c r="AL8012" s="21" t="s">
        <v>2091</v>
      </c>
      <c r="AM8012" s="21" t="s">
        <v>4181</v>
      </c>
      <c r="AN8012" s="21">
        <v>-122.405342983333</v>
      </c>
      <c r="AO8012" s="21">
        <v>37.785626333333298</v>
      </c>
      <c r="AP8012" s="21" t="s">
        <v>1915</v>
      </c>
    </row>
    <row r="8013" spans="1:42">
      <c r="A8013" s="20">
        <v>43866</v>
      </c>
      <c r="B8013" s="21">
        <v>3</v>
      </c>
      <c r="C8013" s="21">
        <v>572</v>
      </c>
      <c r="D8013" s="21">
        <v>11329</v>
      </c>
      <c r="E8013" t="s">
        <v>377</v>
      </c>
      <c r="F8013" s="21" t="s">
        <v>436</v>
      </c>
      <c r="G8013" s="21">
        <v>1</v>
      </c>
      <c r="H8013" s="21">
        <v>25</v>
      </c>
      <c r="I8013" s="23" t="s">
        <v>4182</v>
      </c>
      <c r="J8013" s="21"/>
      <c r="K8013" s="21" t="s">
        <v>73</v>
      </c>
      <c r="L8013" s="21"/>
      <c r="M8013" s="21"/>
      <c r="N8013" s="21" t="s">
        <v>44</v>
      </c>
      <c r="O8013" s="21">
        <f>60+23</f>
        <v>83</v>
      </c>
      <c r="P8013" s="21"/>
      <c r="Q8013" s="21">
        <f t="shared" si="157"/>
        <v>1</v>
      </c>
      <c r="R8013" s="21">
        <v>1</v>
      </c>
      <c r="S8013" s="21">
        <v>0</v>
      </c>
      <c r="T8013" s="21">
        <v>0</v>
      </c>
      <c r="U8013" s="21">
        <v>0</v>
      </c>
      <c r="V8013" s="21">
        <v>0</v>
      </c>
      <c r="W8013" s="21">
        <v>0</v>
      </c>
      <c r="X8013" s="21">
        <v>0</v>
      </c>
      <c r="Y8013" s="21">
        <v>0</v>
      </c>
      <c r="Z8013" s="21">
        <v>0</v>
      </c>
      <c r="AA8013" s="21">
        <v>0</v>
      </c>
      <c r="AB8013" s="21">
        <v>0</v>
      </c>
      <c r="AC8013" s="21">
        <v>1</v>
      </c>
      <c r="AD8013" s="21">
        <v>0</v>
      </c>
      <c r="AE8013" s="21">
        <v>0</v>
      </c>
      <c r="AF8013" s="21">
        <v>0</v>
      </c>
      <c r="AG8013" s="21">
        <v>0</v>
      </c>
      <c r="AH8013" s="21">
        <f t="shared" si="158"/>
        <v>0</v>
      </c>
      <c r="AI8013" s="21"/>
      <c r="AJ8013" s="21" t="s">
        <v>51</v>
      </c>
      <c r="AK8013" s="21" t="s">
        <v>95</v>
      </c>
      <c r="AL8013" s="21"/>
      <c r="AM8013" s="21" t="s">
        <v>4183</v>
      </c>
      <c r="AN8013" s="21">
        <v>-122.405341566667</v>
      </c>
      <c r="AO8013" s="21">
        <v>37.785626083333298</v>
      </c>
      <c r="AP8013" s="21" t="s">
        <v>1915</v>
      </c>
    </row>
    <row r="8014" spans="1:42">
      <c r="A8014" s="20">
        <v>43866</v>
      </c>
      <c r="B8014" s="21">
        <v>3</v>
      </c>
      <c r="C8014" s="21">
        <v>572</v>
      </c>
      <c r="D8014" s="21">
        <v>11329</v>
      </c>
      <c r="E8014" t="s">
        <v>377</v>
      </c>
      <c r="F8014" s="21" t="s">
        <v>436</v>
      </c>
      <c r="G8014" s="21">
        <v>1</v>
      </c>
      <c r="H8014" s="21">
        <v>26</v>
      </c>
      <c r="I8014" s="23" t="s">
        <v>4184</v>
      </c>
      <c r="J8014" s="21"/>
      <c r="K8014" s="21" t="s">
        <v>73</v>
      </c>
      <c r="L8014" s="21"/>
      <c r="M8014" s="21"/>
      <c r="N8014" s="21" t="s">
        <v>44</v>
      </c>
      <c r="O8014" s="21">
        <f>60+21</f>
        <v>81</v>
      </c>
      <c r="P8014" s="21"/>
      <c r="Q8014" s="21">
        <f t="shared" si="157"/>
        <v>1</v>
      </c>
      <c r="R8014" s="21">
        <v>1</v>
      </c>
      <c r="S8014" s="21">
        <v>0</v>
      </c>
      <c r="T8014" s="21">
        <v>0</v>
      </c>
      <c r="U8014" s="21">
        <v>0</v>
      </c>
      <c r="V8014" s="21">
        <v>0</v>
      </c>
      <c r="W8014" s="21">
        <v>0</v>
      </c>
      <c r="X8014" s="21">
        <v>0</v>
      </c>
      <c r="Y8014" s="21">
        <v>0</v>
      </c>
      <c r="Z8014" s="21">
        <v>0</v>
      </c>
      <c r="AA8014" s="21">
        <v>0</v>
      </c>
      <c r="AB8014" s="21">
        <v>0</v>
      </c>
      <c r="AC8014" s="21">
        <v>1</v>
      </c>
      <c r="AD8014" s="21">
        <v>0</v>
      </c>
      <c r="AE8014" s="21">
        <v>0</v>
      </c>
      <c r="AF8014" s="21">
        <v>0</v>
      </c>
      <c r="AG8014" s="21">
        <v>0</v>
      </c>
      <c r="AH8014" s="21">
        <f t="shared" si="158"/>
        <v>0</v>
      </c>
      <c r="AI8014" s="21"/>
      <c r="AJ8014" s="21" t="s">
        <v>51</v>
      </c>
      <c r="AK8014" s="21" t="s">
        <v>95</v>
      </c>
      <c r="AL8014" s="21" t="s">
        <v>2292</v>
      </c>
      <c r="AM8014" s="21" t="s">
        <v>4185</v>
      </c>
      <c r="AN8014" s="21">
        <v>-122.40470585</v>
      </c>
      <c r="AO8014" s="21">
        <v>37.785924100000003</v>
      </c>
      <c r="AP8014" s="21" t="s">
        <v>1915</v>
      </c>
    </row>
    <row r="8015" spans="1:42">
      <c r="A8015" s="20">
        <v>43866</v>
      </c>
      <c r="B8015" s="21">
        <v>3</v>
      </c>
      <c r="C8015" s="21">
        <v>572</v>
      </c>
      <c r="D8015" s="21">
        <v>11329</v>
      </c>
      <c r="E8015" t="s">
        <v>377</v>
      </c>
      <c r="F8015" s="21" t="s">
        <v>436</v>
      </c>
      <c r="G8015" s="21">
        <v>1</v>
      </c>
      <c r="H8015" s="21">
        <v>27</v>
      </c>
      <c r="I8015" s="23" t="s">
        <v>4186</v>
      </c>
      <c r="J8015" s="21"/>
      <c r="K8015" s="21" t="s">
        <v>394</v>
      </c>
      <c r="L8015" s="21"/>
      <c r="M8015" s="21"/>
      <c r="N8015" s="21" t="s">
        <v>1703</v>
      </c>
      <c r="O8015" s="21">
        <f>60+60+60+16</f>
        <v>196</v>
      </c>
      <c r="P8015" s="21"/>
      <c r="Q8015" s="21">
        <f t="shared" si="157"/>
        <v>3</v>
      </c>
      <c r="R8015" s="21">
        <v>1</v>
      </c>
      <c r="S8015" s="21">
        <v>0</v>
      </c>
      <c r="T8015" s="21">
        <v>0</v>
      </c>
      <c r="U8015" s="21">
        <v>0</v>
      </c>
      <c r="V8015" s="21">
        <v>0</v>
      </c>
      <c r="W8015" s="21">
        <v>0</v>
      </c>
      <c r="X8015" s="21">
        <v>0</v>
      </c>
      <c r="Y8015" s="21">
        <v>3</v>
      </c>
      <c r="Z8015" s="21">
        <v>0</v>
      </c>
      <c r="AA8015" s="21">
        <v>0</v>
      </c>
      <c r="AB8015" s="21">
        <v>0</v>
      </c>
      <c r="AC8015" s="21">
        <v>0</v>
      </c>
      <c r="AD8015" s="21">
        <v>0</v>
      </c>
      <c r="AE8015" s="21">
        <v>0</v>
      </c>
      <c r="AF8015" s="21">
        <v>0</v>
      </c>
      <c r="AG8015" s="21">
        <v>0</v>
      </c>
      <c r="AH8015" s="21">
        <f t="shared" si="158"/>
        <v>0</v>
      </c>
      <c r="AI8015" s="21"/>
      <c r="AJ8015" s="21" t="s">
        <v>51</v>
      </c>
      <c r="AK8015" s="21" t="s">
        <v>95</v>
      </c>
      <c r="AL8015" s="21" t="s">
        <v>2004</v>
      </c>
      <c r="AM8015" s="21" t="s">
        <v>4187</v>
      </c>
      <c r="AN8015" s="21">
        <v>-122.407063116667</v>
      </c>
      <c r="AO8015" s="21">
        <v>37.781540300000003</v>
      </c>
      <c r="AP8015" s="21" t="s">
        <v>1915</v>
      </c>
    </row>
    <row r="8016" spans="1:42">
      <c r="A8016" s="20">
        <v>43866</v>
      </c>
      <c r="B8016" s="21">
        <v>3</v>
      </c>
      <c r="C8016" s="21">
        <v>572</v>
      </c>
      <c r="D8016" s="21">
        <v>11329</v>
      </c>
      <c r="E8016" t="s">
        <v>377</v>
      </c>
      <c r="F8016" s="21" t="s">
        <v>436</v>
      </c>
      <c r="G8016" s="21">
        <v>1</v>
      </c>
      <c r="H8016" s="21">
        <v>28</v>
      </c>
      <c r="I8016" s="23" t="s">
        <v>4188</v>
      </c>
      <c r="J8016" s="21"/>
      <c r="K8016" s="21" t="s">
        <v>500</v>
      </c>
      <c r="L8016" s="21"/>
      <c r="M8016" s="21"/>
      <c r="N8016" s="21" t="s">
        <v>1703</v>
      </c>
      <c r="O8016" s="21">
        <f>60+28</f>
        <v>88</v>
      </c>
      <c r="P8016" s="21"/>
      <c r="Q8016" s="21">
        <f t="shared" si="157"/>
        <v>1</v>
      </c>
      <c r="R8016" s="21">
        <v>1</v>
      </c>
      <c r="S8016" s="21">
        <v>0</v>
      </c>
      <c r="T8016" s="21">
        <v>0</v>
      </c>
      <c r="U8016" s="21">
        <v>0</v>
      </c>
      <c r="V8016" s="21">
        <v>0</v>
      </c>
      <c r="W8016" s="21">
        <v>0</v>
      </c>
      <c r="X8016" s="21">
        <v>0</v>
      </c>
      <c r="Y8016" s="21">
        <v>0</v>
      </c>
      <c r="Z8016" s="21">
        <v>0</v>
      </c>
      <c r="AA8016" s="21">
        <v>0</v>
      </c>
      <c r="AB8016" s="21">
        <v>0</v>
      </c>
      <c r="AC8016" s="21">
        <v>1</v>
      </c>
      <c r="AD8016" s="21">
        <v>0</v>
      </c>
      <c r="AE8016" s="21">
        <v>0</v>
      </c>
      <c r="AF8016" s="21">
        <v>0</v>
      </c>
      <c r="AG8016" s="21">
        <v>0</v>
      </c>
      <c r="AH8016" s="21">
        <f t="shared" si="158"/>
        <v>0</v>
      </c>
      <c r="AI8016" s="21"/>
      <c r="AJ8016" s="21" t="s">
        <v>51</v>
      </c>
      <c r="AK8016" s="21" t="s">
        <v>95</v>
      </c>
      <c r="AL8016" s="21" t="s">
        <v>4189</v>
      </c>
      <c r="AM8016" s="21" t="s">
        <v>4190</v>
      </c>
      <c r="AN8016" s="21">
        <v>-122.408044233333</v>
      </c>
      <c r="AO8016" s="21">
        <v>37.7805808833333</v>
      </c>
      <c r="AP8016" s="21" t="s">
        <v>1915</v>
      </c>
    </row>
    <row r="8017" spans="1:42">
      <c r="A8017" s="20">
        <v>43866</v>
      </c>
      <c r="B8017" s="21">
        <v>3</v>
      </c>
      <c r="C8017" s="21">
        <v>572</v>
      </c>
      <c r="D8017" s="21">
        <v>11329</v>
      </c>
      <c r="E8017" t="s">
        <v>377</v>
      </c>
      <c r="F8017" s="21" t="s">
        <v>436</v>
      </c>
      <c r="G8017" s="21">
        <v>1</v>
      </c>
      <c r="H8017" s="21">
        <v>29</v>
      </c>
      <c r="I8017" s="23" t="s">
        <v>4147</v>
      </c>
      <c r="J8017" s="21"/>
      <c r="K8017" s="21" t="s">
        <v>1985</v>
      </c>
      <c r="L8017" s="21"/>
      <c r="M8017" s="21"/>
      <c r="N8017" s="21" t="s">
        <v>40</v>
      </c>
      <c r="O8017" s="21">
        <f>60+31</f>
        <v>91</v>
      </c>
      <c r="P8017" s="21"/>
      <c r="Q8017" s="21">
        <f t="shared" si="157"/>
        <v>2</v>
      </c>
      <c r="R8017" s="21">
        <v>1</v>
      </c>
      <c r="S8017" s="21">
        <v>0</v>
      </c>
      <c r="T8017" s="21">
        <v>0</v>
      </c>
      <c r="U8017" s="21">
        <v>0</v>
      </c>
      <c r="V8017" s="21">
        <v>0</v>
      </c>
      <c r="W8017" s="21">
        <v>0</v>
      </c>
      <c r="X8017" s="21">
        <v>0</v>
      </c>
      <c r="Y8017" s="21">
        <v>0</v>
      </c>
      <c r="Z8017" s="21">
        <v>0</v>
      </c>
      <c r="AA8017" s="21">
        <v>0</v>
      </c>
      <c r="AB8017" s="21">
        <v>0</v>
      </c>
      <c r="AC8017" s="21">
        <v>1</v>
      </c>
      <c r="AD8017" s="21">
        <v>0</v>
      </c>
      <c r="AE8017" s="21">
        <v>1</v>
      </c>
      <c r="AF8017" s="21">
        <v>0</v>
      </c>
      <c r="AG8017" s="21">
        <v>0</v>
      </c>
      <c r="AH8017" s="21">
        <f t="shared" si="158"/>
        <v>0</v>
      </c>
      <c r="AI8017" s="21"/>
      <c r="AJ8017" s="21" t="s">
        <v>51</v>
      </c>
      <c r="AK8017" s="21" t="s">
        <v>52</v>
      </c>
      <c r="AL8017" s="21"/>
      <c r="AM8017" s="21" t="s">
        <v>4191</v>
      </c>
      <c r="AN8017" s="21">
        <v>-122.40493986666699</v>
      </c>
      <c r="AO8017" s="21">
        <v>37.7829461166667</v>
      </c>
      <c r="AP8017" s="21" t="s">
        <v>1915</v>
      </c>
    </row>
    <row r="8018" spans="1:42">
      <c r="A8018" s="20">
        <v>43866</v>
      </c>
      <c r="B8018" s="21">
        <v>3</v>
      </c>
      <c r="C8018" s="21">
        <v>572</v>
      </c>
      <c r="D8018" s="21">
        <v>11329</v>
      </c>
      <c r="E8018" t="s">
        <v>377</v>
      </c>
      <c r="F8018" s="21" t="s">
        <v>436</v>
      </c>
      <c r="G8018" s="21">
        <v>1</v>
      </c>
      <c r="H8018" s="21">
        <v>30</v>
      </c>
      <c r="I8018" s="23" t="s">
        <v>4192</v>
      </c>
      <c r="J8018" s="21"/>
      <c r="K8018" s="21" t="s">
        <v>107</v>
      </c>
      <c r="L8018" s="21"/>
      <c r="M8018" s="21"/>
      <c r="N8018" s="21" t="s">
        <v>40</v>
      </c>
      <c r="O8018" s="21">
        <f>60+38</f>
        <v>98</v>
      </c>
      <c r="P8018" s="21"/>
      <c r="Q8018" s="21">
        <f t="shared" si="157"/>
        <v>1</v>
      </c>
      <c r="R8018" s="21">
        <v>1</v>
      </c>
      <c r="S8018" s="21">
        <v>0</v>
      </c>
      <c r="T8018" s="21">
        <v>0</v>
      </c>
      <c r="U8018" s="21">
        <v>0</v>
      </c>
      <c r="V8018" s="21">
        <v>0</v>
      </c>
      <c r="W8018" s="21">
        <v>0</v>
      </c>
      <c r="X8018" s="21">
        <v>0</v>
      </c>
      <c r="Y8018" s="21">
        <v>0</v>
      </c>
      <c r="Z8018" s="21">
        <v>0</v>
      </c>
      <c r="AA8018" s="21">
        <v>0</v>
      </c>
      <c r="AB8018" s="21">
        <v>0</v>
      </c>
      <c r="AC8018" s="21">
        <v>1</v>
      </c>
      <c r="AD8018" s="21">
        <v>0</v>
      </c>
      <c r="AE8018" s="21">
        <v>0</v>
      </c>
      <c r="AF8018" s="21">
        <v>0</v>
      </c>
      <c r="AG8018" s="21">
        <v>0</v>
      </c>
      <c r="AH8018" s="21">
        <f t="shared" si="158"/>
        <v>0</v>
      </c>
      <c r="AI8018" s="21"/>
      <c r="AJ8018" s="21" t="s">
        <v>51</v>
      </c>
      <c r="AK8018" s="21" t="s">
        <v>95</v>
      </c>
      <c r="AL8018" s="21" t="s">
        <v>4193</v>
      </c>
      <c r="AM8018" s="21" t="s">
        <v>4194</v>
      </c>
      <c r="AN8018" s="21">
        <v>-122.40257756666701</v>
      </c>
      <c r="AO8018" s="21">
        <v>37.781819266666702</v>
      </c>
      <c r="AP8018" s="21" t="s">
        <v>1915</v>
      </c>
    </row>
    <row r="8019" spans="1:42">
      <c r="A8019" s="20">
        <v>43866</v>
      </c>
      <c r="B8019" s="21">
        <v>3</v>
      </c>
      <c r="C8019" s="21">
        <v>572</v>
      </c>
      <c r="D8019" s="21">
        <v>11329</v>
      </c>
      <c r="E8019" t="s">
        <v>377</v>
      </c>
      <c r="F8019" s="21" t="s">
        <v>436</v>
      </c>
      <c r="G8019" s="21">
        <v>1</v>
      </c>
      <c r="H8019" s="21">
        <v>31</v>
      </c>
      <c r="I8019" s="23" t="s">
        <v>3369</v>
      </c>
      <c r="J8019" s="21"/>
      <c r="K8019" s="21" t="s">
        <v>406</v>
      </c>
      <c r="L8019" s="21"/>
      <c r="M8019" s="21"/>
      <c r="N8019" s="21" t="s">
        <v>40</v>
      </c>
      <c r="O8019" s="21">
        <f>60+24</f>
        <v>84</v>
      </c>
      <c r="P8019" s="21"/>
      <c r="Q8019" s="21">
        <f t="shared" si="157"/>
        <v>1</v>
      </c>
      <c r="R8019" s="21">
        <v>1</v>
      </c>
      <c r="S8019" s="21">
        <v>0</v>
      </c>
      <c r="T8019" s="21">
        <v>0</v>
      </c>
      <c r="U8019" s="21">
        <v>0</v>
      </c>
      <c r="V8019" s="21">
        <v>0</v>
      </c>
      <c r="W8019" s="21">
        <v>0</v>
      </c>
      <c r="X8019" s="21">
        <v>0</v>
      </c>
      <c r="Y8019" s="21">
        <v>0</v>
      </c>
      <c r="Z8019" s="21">
        <v>0</v>
      </c>
      <c r="AA8019" s="21">
        <v>0</v>
      </c>
      <c r="AB8019" s="21">
        <v>1</v>
      </c>
      <c r="AC8019" s="21">
        <v>0</v>
      </c>
      <c r="AD8019" s="21">
        <v>0</v>
      </c>
      <c r="AE8019" s="21">
        <v>0</v>
      </c>
      <c r="AF8019" s="21">
        <v>0</v>
      </c>
      <c r="AG8019" s="21">
        <v>0</v>
      </c>
      <c r="AH8019" s="21">
        <f t="shared" si="158"/>
        <v>0</v>
      </c>
      <c r="AI8019" s="21"/>
      <c r="AJ8019" s="21" t="s">
        <v>51</v>
      </c>
      <c r="AK8019" s="21" t="s">
        <v>95</v>
      </c>
      <c r="AL8019" s="21" t="s">
        <v>4195</v>
      </c>
      <c r="AM8019" s="21" t="s">
        <v>4196</v>
      </c>
      <c r="AN8019" s="21">
        <v>-122.40235958333299</v>
      </c>
      <c r="AO8019" s="21">
        <v>37.7819954</v>
      </c>
      <c r="AP8019" s="21" t="s">
        <v>1915</v>
      </c>
    </row>
    <row r="8020" spans="1:42">
      <c r="A8020" s="20">
        <v>43866</v>
      </c>
      <c r="B8020" s="21">
        <v>3</v>
      </c>
      <c r="C8020" s="21">
        <v>572</v>
      </c>
      <c r="D8020" s="21">
        <v>11329</v>
      </c>
      <c r="E8020" t="s">
        <v>377</v>
      </c>
      <c r="F8020" s="21" t="s">
        <v>436</v>
      </c>
      <c r="G8020" s="21">
        <v>1</v>
      </c>
      <c r="H8020" s="21">
        <v>32</v>
      </c>
      <c r="I8020" s="23" t="s">
        <v>3752</v>
      </c>
      <c r="J8020" s="21"/>
      <c r="K8020" s="21" t="s">
        <v>389</v>
      </c>
      <c r="L8020" s="21"/>
      <c r="M8020" s="21"/>
      <c r="N8020" s="21" t="s">
        <v>44</v>
      </c>
      <c r="O8020" s="21">
        <f>60+60+60+60+60+60+60+36</f>
        <v>456</v>
      </c>
      <c r="P8020" s="21"/>
      <c r="Q8020" s="21">
        <f t="shared" si="157"/>
        <v>3</v>
      </c>
      <c r="R8020" s="21">
        <v>1</v>
      </c>
      <c r="S8020" s="21">
        <v>0</v>
      </c>
      <c r="T8020" s="21">
        <v>0</v>
      </c>
      <c r="U8020" s="21">
        <v>0</v>
      </c>
      <c r="V8020" s="21">
        <v>0</v>
      </c>
      <c r="W8020" s="21">
        <v>0</v>
      </c>
      <c r="X8020" s="21">
        <v>0</v>
      </c>
      <c r="Y8020" s="21">
        <v>2</v>
      </c>
      <c r="Z8020" s="21">
        <v>0</v>
      </c>
      <c r="AA8020" s="21">
        <v>0</v>
      </c>
      <c r="AB8020" s="21">
        <v>1</v>
      </c>
      <c r="AC8020" s="21">
        <v>0</v>
      </c>
      <c r="AD8020" s="21">
        <v>0</v>
      </c>
      <c r="AE8020" s="21">
        <v>0</v>
      </c>
      <c r="AF8020" s="21">
        <v>0</v>
      </c>
      <c r="AG8020" s="21">
        <v>0</v>
      </c>
      <c r="AH8020" s="21">
        <f t="shared" si="158"/>
        <v>0</v>
      </c>
      <c r="AI8020" s="21"/>
      <c r="AJ8020" s="21" t="s">
        <v>51</v>
      </c>
      <c r="AK8020" s="21" t="s">
        <v>95</v>
      </c>
      <c r="AL8020" s="21" t="s">
        <v>2110</v>
      </c>
      <c r="AM8020" s="21" t="s">
        <v>4197</v>
      </c>
      <c r="AN8020" s="21">
        <v>-122.399803933333</v>
      </c>
      <c r="AO8020" s="21">
        <v>37.783193150000002</v>
      </c>
      <c r="AP8020" s="21" t="s">
        <v>1915</v>
      </c>
    </row>
    <row r="8021" spans="1:42">
      <c r="A8021" s="20">
        <v>43866</v>
      </c>
      <c r="B8021" s="21">
        <v>3</v>
      </c>
      <c r="C8021" s="21">
        <v>572</v>
      </c>
      <c r="D8021" s="21">
        <v>11329</v>
      </c>
      <c r="E8021" t="s">
        <v>377</v>
      </c>
      <c r="F8021" s="21" t="s">
        <v>436</v>
      </c>
      <c r="G8021" s="21">
        <v>1</v>
      </c>
      <c r="H8021" s="21">
        <v>33</v>
      </c>
      <c r="I8021" s="23" t="s">
        <v>3807</v>
      </c>
      <c r="J8021" s="21"/>
      <c r="K8021" s="21" t="s">
        <v>4198</v>
      </c>
      <c r="L8021" s="21"/>
      <c r="M8021" s="21"/>
      <c r="N8021" s="21" t="s">
        <v>40</v>
      </c>
      <c r="O8021" s="21">
        <f>60+21</f>
        <v>81</v>
      </c>
      <c r="P8021" s="21"/>
      <c r="Q8021" s="21">
        <f t="shared" si="157"/>
        <v>1</v>
      </c>
      <c r="R8021" s="21">
        <v>1</v>
      </c>
      <c r="S8021" s="21">
        <v>0</v>
      </c>
      <c r="T8021" s="21">
        <v>0</v>
      </c>
      <c r="U8021" s="21">
        <v>0</v>
      </c>
      <c r="V8021" s="21">
        <v>0</v>
      </c>
      <c r="W8021" s="21">
        <v>0</v>
      </c>
      <c r="X8021" s="21">
        <v>0</v>
      </c>
      <c r="Y8021" s="21">
        <v>1</v>
      </c>
      <c r="Z8021" s="21">
        <v>0</v>
      </c>
      <c r="AA8021" s="21">
        <v>0</v>
      </c>
      <c r="AB8021" s="21">
        <v>0</v>
      </c>
      <c r="AC8021" s="21">
        <v>0</v>
      </c>
      <c r="AD8021" s="21">
        <v>0</v>
      </c>
      <c r="AE8021" s="21">
        <v>0</v>
      </c>
      <c r="AF8021" s="21">
        <v>0</v>
      </c>
      <c r="AG8021" s="21">
        <v>0</v>
      </c>
      <c r="AH8021" s="21">
        <f t="shared" si="158"/>
        <v>0</v>
      </c>
      <c r="AI8021" s="21"/>
      <c r="AJ8021" s="21" t="s">
        <v>51</v>
      </c>
      <c r="AK8021" s="21" t="s">
        <v>95</v>
      </c>
      <c r="AL8021" s="21" t="s">
        <v>3660</v>
      </c>
      <c r="AM8021" s="21" t="s">
        <v>4199</v>
      </c>
      <c r="AN8021" s="21">
        <v>-122.402967166667</v>
      </c>
      <c r="AO8021" s="21">
        <v>37.778247516666603</v>
      </c>
      <c r="AP8021" s="21" t="s">
        <v>1915</v>
      </c>
    </row>
    <row r="8022" spans="1:42">
      <c r="A8022" s="20">
        <v>43866</v>
      </c>
      <c r="B8022" s="21">
        <v>3</v>
      </c>
      <c r="C8022" s="21">
        <v>572</v>
      </c>
      <c r="D8022" s="21">
        <v>11329</v>
      </c>
      <c r="E8022" t="s">
        <v>377</v>
      </c>
      <c r="F8022" s="21" t="s">
        <v>436</v>
      </c>
      <c r="G8022" s="21">
        <v>1</v>
      </c>
      <c r="H8022" s="21">
        <v>34</v>
      </c>
      <c r="I8022" s="23" t="s">
        <v>4200</v>
      </c>
      <c r="J8022" s="21"/>
      <c r="K8022" s="21" t="s">
        <v>1110</v>
      </c>
      <c r="L8022" s="21"/>
      <c r="M8022" s="21"/>
      <c r="N8022" s="21" t="s">
        <v>40</v>
      </c>
      <c r="O8022" s="21">
        <f>60+24</f>
        <v>84</v>
      </c>
      <c r="P8022" s="21"/>
      <c r="Q8022" s="21">
        <f t="shared" si="157"/>
        <v>1</v>
      </c>
      <c r="R8022" s="21">
        <v>1</v>
      </c>
      <c r="S8022" s="21">
        <v>0</v>
      </c>
      <c r="T8022" s="21">
        <v>0</v>
      </c>
      <c r="U8022" s="21">
        <v>0</v>
      </c>
      <c r="V8022" s="21">
        <v>0</v>
      </c>
      <c r="W8022" s="21">
        <v>0</v>
      </c>
      <c r="X8022" s="21">
        <v>0</v>
      </c>
      <c r="Y8022" s="21">
        <v>1</v>
      </c>
      <c r="Z8022" s="21">
        <v>0</v>
      </c>
      <c r="AA8022" s="21">
        <v>0</v>
      </c>
      <c r="AB8022" s="21">
        <v>0</v>
      </c>
      <c r="AC8022" s="21">
        <v>0</v>
      </c>
      <c r="AD8022" s="21">
        <v>0</v>
      </c>
      <c r="AE8022" s="21">
        <v>0</v>
      </c>
      <c r="AF8022" s="21">
        <v>0</v>
      </c>
      <c r="AG8022" s="21">
        <v>0</v>
      </c>
      <c r="AH8022" s="21">
        <f t="shared" si="158"/>
        <v>0</v>
      </c>
      <c r="AI8022" s="21"/>
      <c r="AJ8022" s="21" t="s">
        <v>51</v>
      </c>
      <c r="AK8022" s="21" t="s">
        <v>95</v>
      </c>
      <c r="AL8022" s="21"/>
      <c r="AM8022" s="21" t="s">
        <v>4201</v>
      </c>
      <c r="AN8022" s="21">
        <v>-122.39961738333299</v>
      </c>
      <c r="AO8022" s="21">
        <v>37.778440866666699</v>
      </c>
      <c r="AP8022" s="21" t="s">
        <v>1915</v>
      </c>
    </row>
    <row r="8023" spans="1:42">
      <c r="A8023" s="20">
        <v>43866</v>
      </c>
      <c r="B8023" s="21">
        <v>3</v>
      </c>
      <c r="C8023" s="21">
        <v>572</v>
      </c>
      <c r="D8023" s="21">
        <v>11329</v>
      </c>
      <c r="E8023" t="s">
        <v>377</v>
      </c>
      <c r="F8023" s="21" t="s">
        <v>436</v>
      </c>
      <c r="G8023" s="21">
        <v>1</v>
      </c>
      <c r="H8023" s="21">
        <v>35</v>
      </c>
      <c r="I8023" s="23" t="s">
        <v>4202</v>
      </c>
      <c r="J8023" s="21"/>
      <c r="K8023" s="21" t="s">
        <v>1110</v>
      </c>
      <c r="L8023" s="21"/>
      <c r="M8023" s="21"/>
      <c r="N8023" s="21" t="s">
        <v>40</v>
      </c>
      <c r="O8023" s="21">
        <v>39</v>
      </c>
      <c r="P8023" s="21"/>
      <c r="Q8023" s="21">
        <f t="shared" si="157"/>
        <v>1</v>
      </c>
      <c r="R8023" s="21">
        <v>1</v>
      </c>
      <c r="S8023" s="21">
        <v>0</v>
      </c>
      <c r="T8023" s="21">
        <v>0</v>
      </c>
      <c r="U8023" s="21">
        <v>0</v>
      </c>
      <c r="V8023" s="21">
        <v>0</v>
      </c>
      <c r="W8023" s="21">
        <v>0</v>
      </c>
      <c r="X8023" s="21">
        <v>0</v>
      </c>
      <c r="Y8023" s="21">
        <v>0</v>
      </c>
      <c r="Z8023" s="21">
        <v>0</v>
      </c>
      <c r="AA8023" s="21">
        <v>1</v>
      </c>
      <c r="AB8023" s="21">
        <v>0</v>
      </c>
      <c r="AC8023" s="21">
        <v>0</v>
      </c>
      <c r="AD8023" s="21">
        <v>0</v>
      </c>
      <c r="AE8023" s="21">
        <v>0</v>
      </c>
      <c r="AF8023" s="21">
        <v>0</v>
      </c>
      <c r="AG8023" s="21">
        <v>0</v>
      </c>
      <c r="AH8023" s="21">
        <f t="shared" si="158"/>
        <v>0</v>
      </c>
      <c r="AI8023" s="21"/>
      <c r="AJ8023" s="21"/>
      <c r="AK8023" s="21"/>
      <c r="AL8023" s="21"/>
      <c r="AM8023" s="21" t="s">
        <v>4203</v>
      </c>
      <c r="AN8023" s="21">
        <v>-122.3991304</v>
      </c>
      <c r="AO8023" s="21">
        <v>37.778695266666602</v>
      </c>
      <c r="AP8023" s="21" t="s">
        <v>1915</v>
      </c>
    </row>
    <row r="8024" spans="1:42">
      <c r="A8024" s="20">
        <v>43866</v>
      </c>
      <c r="B8024" s="21">
        <v>3</v>
      </c>
      <c r="C8024" s="21">
        <v>572</v>
      </c>
      <c r="D8024" s="21">
        <v>11329</v>
      </c>
      <c r="E8024" t="s">
        <v>377</v>
      </c>
      <c r="F8024" s="21" t="s">
        <v>436</v>
      </c>
      <c r="G8024" s="21">
        <v>1</v>
      </c>
      <c r="H8024" s="21">
        <v>36</v>
      </c>
      <c r="I8024" s="23" t="s">
        <v>4144</v>
      </c>
      <c r="J8024" s="21"/>
      <c r="K8024" s="21" t="s">
        <v>106</v>
      </c>
      <c r="L8024" s="21"/>
      <c r="M8024" s="21"/>
      <c r="N8024" s="21" t="s">
        <v>44</v>
      </c>
      <c r="O8024" s="21">
        <f>60+60+60+23</f>
        <v>203</v>
      </c>
      <c r="P8024" s="21"/>
      <c r="Q8024" s="21">
        <f t="shared" si="157"/>
        <v>1</v>
      </c>
      <c r="R8024" s="21">
        <v>1</v>
      </c>
      <c r="S8024" s="21">
        <v>0</v>
      </c>
      <c r="T8024" s="21">
        <v>0</v>
      </c>
      <c r="U8024" s="21">
        <v>0</v>
      </c>
      <c r="V8024" s="21">
        <v>0</v>
      </c>
      <c r="W8024" s="21">
        <v>0</v>
      </c>
      <c r="X8024" s="21">
        <v>0</v>
      </c>
      <c r="Y8024" s="21">
        <v>1</v>
      </c>
      <c r="Z8024" s="21">
        <v>0</v>
      </c>
      <c r="AA8024" s="21">
        <v>0</v>
      </c>
      <c r="AB8024" s="21">
        <v>0</v>
      </c>
      <c r="AC8024" s="21">
        <v>0</v>
      </c>
      <c r="AD8024" s="21">
        <v>0</v>
      </c>
      <c r="AE8024" s="21">
        <v>0</v>
      </c>
      <c r="AF8024" s="21">
        <v>0</v>
      </c>
      <c r="AG8024" s="21">
        <v>0</v>
      </c>
      <c r="AH8024" s="21">
        <f t="shared" si="158"/>
        <v>0</v>
      </c>
      <c r="AI8024" s="21"/>
      <c r="AJ8024" s="21" t="s">
        <v>51</v>
      </c>
      <c r="AK8024" s="21" t="s">
        <v>52</v>
      </c>
      <c r="AL8024" s="21" t="s">
        <v>4204</v>
      </c>
      <c r="AM8024" s="21" t="s">
        <v>4205</v>
      </c>
      <c r="AN8024" s="21">
        <v>-122.399170933333</v>
      </c>
      <c r="AO8024" s="21">
        <v>37.77882975</v>
      </c>
      <c r="AP8024" s="21" t="s">
        <v>1915</v>
      </c>
    </row>
    <row r="8025" spans="1:42">
      <c r="A8025" s="20">
        <v>43866</v>
      </c>
      <c r="B8025" s="21">
        <v>3</v>
      </c>
      <c r="C8025" s="21">
        <v>572</v>
      </c>
      <c r="D8025" s="21">
        <v>11329</v>
      </c>
      <c r="E8025" t="s">
        <v>377</v>
      </c>
      <c r="F8025" s="21" t="s">
        <v>436</v>
      </c>
      <c r="G8025" s="21">
        <v>1</v>
      </c>
      <c r="H8025" s="21">
        <v>37</v>
      </c>
      <c r="I8025" s="23" t="s">
        <v>4206</v>
      </c>
      <c r="J8025" s="21"/>
      <c r="K8025" s="21" t="s">
        <v>1110</v>
      </c>
      <c r="L8025" s="21"/>
      <c r="M8025" s="21"/>
      <c r="N8025" s="21" t="s">
        <v>40</v>
      </c>
      <c r="O8025" s="21">
        <v>65</v>
      </c>
      <c r="P8025" s="21"/>
      <c r="Q8025" s="21">
        <f t="shared" si="157"/>
        <v>1</v>
      </c>
      <c r="R8025" s="21">
        <v>1</v>
      </c>
      <c r="S8025" s="21">
        <v>0</v>
      </c>
      <c r="T8025" s="21">
        <v>0</v>
      </c>
      <c r="U8025" s="21">
        <v>0</v>
      </c>
      <c r="V8025" s="21">
        <v>0</v>
      </c>
      <c r="W8025" s="21">
        <v>0</v>
      </c>
      <c r="X8025" s="21">
        <v>0</v>
      </c>
      <c r="Y8025" s="21">
        <v>0</v>
      </c>
      <c r="Z8025" s="21">
        <v>0</v>
      </c>
      <c r="AA8025" s="21">
        <v>0</v>
      </c>
      <c r="AB8025" s="21">
        <v>1</v>
      </c>
      <c r="AC8025" s="21">
        <v>0</v>
      </c>
      <c r="AD8025" s="21">
        <v>0</v>
      </c>
      <c r="AE8025" s="21">
        <v>0</v>
      </c>
      <c r="AF8025" s="21">
        <v>0</v>
      </c>
      <c r="AG8025" s="21">
        <v>0</v>
      </c>
      <c r="AH8025" s="21">
        <f t="shared" si="158"/>
        <v>0</v>
      </c>
      <c r="AI8025" s="21"/>
      <c r="AJ8025" s="21" t="s">
        <v>51</v>
      </c>
      <c r="AK8025" s="21" t="s">
        <v>95</v>
      </c>
      <c r="AL8025" s="21"/>
      <c r="AM8025" s="21" t="s">
        <v>4207</v>
      </c>
      <c r="AN8025" s="21">
        <v>-122.39891697567801</v>
      </c>
      <c r="AO8025" s="21">
        <v>37.778519621578099</v>
      </c>
      <c r="AP8025" s="21" t="s">
        <v>1915</v>
      </c>
    </row>
    <row r="8026" spans="1:42">
      <c r="A8026" s="20">
        <v>43866</v>
      </c>
      <c r="B8026" s="21">
        <v>3</v>
      </c>
      <c r="C8026" s="21">
        <v>572</v>
      </c>
      <c r="D8026" s="21">
        <v>11329</v>
      </c>
      <c r="E8026" t="s">
        <v>377</v>
      </c>
      <c r="F8026" s="21" t="s">
        <v>436</v>
      </c>
      <c r="G8026" s="21">
        <v>1</v>
      </c>
      <c r="H8026" s="21">
        <v>38</v>
      </c>
      <c r="I8026" s="23" t="s">
        <v>4208</v>
      </c>
      <c r="J8026" s="21"/>
      <c r="K8026" s="21" t="s">
        <v>1110</v>
      </c>
      <c r="L8026" s="21"/>
      <c r="M8026" s="21"/>
      <c r="N8026" s="21" t="s">
        <v>44</v>
      </c>
      <c r="O8026" s="21">
        <f>60+45</f>
        <v>105</v>
      </c>
      <c r="P8026" s="21"/>
      <c r="Q8026" s="21">
        <f t="shared" si="157"/>
        <v>1</v>
      </c>
      <c r="R8026" s="21">
        <v>1</v>
      </c>
      <c r="S8026" s="21">
        <v>0</v>
      </c>
      <c r="T8026" s="21">
        <v>0</v>
      </c>
      <c r="U8026" s="21">
        <v>0</v>
      </c>
      <c r="V8026" s="21">
        <v>0</v>
      </c>
      <c r="W8026" s="21">
        <v>0</v>
      </c>
      <c r="X8026" s="21">
        <v>0</v>
      </c>
      <c r="Y8026" s="21">
        <v>0</v>
      </c>
      <c r="Z8026" s="21">
        <v>0</v>
      </c>
      <c r="AA8026" s="21">
        <v>0</v>
      </c>
      <c r="AB8026" s="21">
        <v>0</v>
      </c>
      <c r="AC8026" s="21">
        <v>1</v>
      </c>
      <c r="AD8026" s="21">
        <v>0</v>
      </c>
      <c r="AE8026" s="21">
        <v>0</v>
      </c>
      <c r="AF8026" s="21">
        <v>0</v>
      </c>
      <c r="AG8026" s="21">
        <v>0</v>
      </c>
      <c r="AH8026" s="21">
        <f t="shared" si="158"/>
        <v>0</v>
      </c>
      <c r="AI8026" s="21"/>
      <c r="AJ8026" s="21" t="s">
        <v>51</v>
      </c>
      <c r="AK8026" s="21" t="s">
        <v>95</v>
      </c>
      <c r="AL8026" s="21" t="s">
        <v>4209</v>
      </c>
      <c r="AM8026" s="21" t="s">
        <v>4210</v>
      </c>
      <c r="AN8026" s="21">
        <v>-122.398096</v>
      </c>
      <c r="AO8026" s="21">
        <v>37.779913399999998</v>
      </c>
      <c r="AP8026" s="21" t="s">
        <v>1915</v>
      </c>
    </row>
    <row r="8027" spans="1:42">
      <c r="A8027" s="20">
        <v>43866</v>
      </c>
      <c r="B8027" s="21">
        <v>3</v>
      </c>
      <c r="C8027" s="21">
        <v>572</v>
      </c>
      <c r="D8027" s="21">
        <v>11329</v>
      </c>
      <c r="E8027" t="s">
        <v>377</v>
      </c>
      <c r="F8027" s="21" t="s">
        <v>436</v>
      </c>
      <c r="G8027" s="21">
        <v>1</v>
      </c>
      <c r="H8027" s="21">
        <v>39</v>
      </c>
      <c r="I8027" s="23" t="s">
        <v>4211</v>
      </c>
      <c r="J8027" s="21"/>
      <c r="K8027" s="21" t="s">
        <v>1110</v>
      </c>
      <c r="L8027" s="21"/>
      <c r="M8027" s="21"/>
      <c r="N8027" s="21" t="s">
        <v>40</v>
      </c>
      <c r="O8027" s="21">
        <v>70</v>
      </c>
      <c r="P8027" s="21"/>
      <c r="Q8027" s="21">
        <f t="shared" si="157"/>
        <v>1</v>
      </c>
      <c r="R8027" s="21">
        <v>1</v>
      </c>
      <c r="S8027" s="21">
        <v>0</v>
      </c>
      <c r="T8027" s="21">
        <v>0</v>
      </c>
      <c r="U8027" s="21">
        <v>0</v>
      </c>
      <c r="V8027" s="21">
        <v>0</v>
      </c>
      <c r="W8027" s="21">
        <v>0</v>
      </c>
      <c r="X8027" s="21">
        <v>0</v>
      </c>
      <c r="Y8027" s="21">
        <v>0</v>
      </c>
      <c r="Z8027" s="21">
        <v>1</v>
      </c>
      <c r="AA8027" s="21">
        <v>0</v>
      </c>
      <c r="AB8027" s="21">
        <v>0</v>
      </c>
      <c r="AC8027" s="21">
        <v>0</v>
      </c>
      <c r="AD8027" s="21">
        <v>0</v>
      </c>
      <c r="AE8027" s="21">
        <v>0</v>
      </c>
      <c r="AF8027" s="21">
        <v>0</v>
      </c>
      <c r="AG8027" s="21">
        <v>0</v>
      </c>
      <c r="AH8027" s="21">
        <f t="shared" si="158"/>
        <v>0</v>
      </c>
      <c r="AI8027" s="21"/>
      <c r="AJ8027" s="21" t="s">
        <v>51</v>
      </c>
      <c r="AK8027" s="21" t="s">
        <v>95</v>
      </c>
      <c r="AL8027" s="21"/>
      <c r="AM8027" s="21" t="s">
        <v>4212</v>
      </c>
      <c r="AN8027" s="21">
        <v>-122.397381266667</v>
      </c>
      <c r="AO8027" s="21">
        <v>37.7799798</v>
      </c>
      <c r="AP8027" s="21" t="s">
        <v>1915</v>
      </c>
    </row>
    <row r="8028" spans="1:42">
      <c r="A8028" s="20">
        <v>43866</v>
      </c>
      <c r="B8028" s="21">
        <v>3</v>
      </c>
      <c r="C8028" s="21">
        <v>572</v>
      </c>
      <c r="D8028" s="21">
        <v>11329</v>
      </c>
      <c r="E8028" t="s">
        <v>377</v>
      </c>
      <c r="F8028" s="21" t="s">
        <v>436</v>
      </c>
      <c r="G8028" s="21">
        <v>1</v>
      </c>
      <c r="H8028" s="21">
        <v>40</v>
      </c>
      <c r="I8028" s="23" t="s">
        <v>4213</v>
      </c>
      <c r="J8028" s="21"/>
      <c r="K8028" s="21" t="s">
        <v>106</v>
      </c>
      <c r="L8028" s="21"/>
      <c r="M8028" s="21"/>
      <c r="N8028" s="21" t="s">
        <v>40</v>
      </c>
      <c r="O8028" s="21">
        <f>120+26</f>
        <v>146</v>
      </c>
      <c r="P8028" s="21"/>
      <c r="Q8028" s="21">
        <f t="shared" si="157"/>
        <v>1</v>
      </c>
      <c r="R8028" s="21">
        <v>1</v>
      </c>
      <c r="S8028" s="21">
        <v>0</v>
      </c>
      <c r="T8028" s="21">
        <v>0</v>
      </c>
      <c r="U8028" s="21">
        <v>0</v>
      </c>
      <c r="V8028" s="21">
        <v>0</v>
      </c>
      <c r="W8028" s="21">
        <v>0</v>
      </c>
      <c r="X8028" s="21">
        <v>0</v>
      </c>
      <c r="Y8028" s="21">
        <v>0</v>
      </c>
      <c r="Z8028" s="21">
        <v>1</v>
      </c>
      <c r="AA8028" s="21">
        <v>0</v>
      </c>
      <c r="AB8028" s="21">
        <v>0</v>
      </c>
      <c r="AC8028" s="21">
        <v>0</v>
      </c>
      <c r="AD8028" s="21">
        <v>0</v>
      </c>
      <c r="AE8028" s="21">
        <v>0</v>
      </c>
      <c r="AF8028" s="21">
        <v>0</v>
      </c>
      <c r="AG8028" s="21">
        <v>0</v>
      </c>
      <c r="AH8028" s="21">
        <f t="shared" si="158"/>
        <v>0</v>
      </c>
      <c r="AI8028" s="21"/>
      <c r="AJ8028" s="21" t="s">
        <v>51</v>
      </c>
      <c r="AK8028" s="21" t="s">
        <v>95</v>
      </c>
      <c r="AL8028" s="21"/>
      <c r="AM8028" s="21" t="s">
        <v>4214</v>
      </c>
      <c r="AN8028" s="21">
        <v>-122.39720396666701</v>
      </c>
      <c r="AO8028" s="21">
        <v>37.780158766666602</v>
      </c>
      <c r="AP8028" s="21" t="s">
        <v>1915</v>
      </c>
    </row>
    <row r="8029" spans="1:42">
      <c r="A8029" s="20">
        <v>43866</v>
      </c>
      <c r="B8029" s="21">
        <v>3</v>
      </c>
      <c r="C8029" s="21">
        <v>572</v>
      </c>
      <c r="D8029" s="21">
        <v>11329</v>
      </c>
      <c r="E8029" t="s">
        <v>377</v>
      </c>
      <c r="F8029" s="21" t="s">
        <v>436</v>
      </c>
      <c r="G8029" s="21">
        <v>1</v>
      </c>
      <c r="H8029" s="21">
        <v>41</v>
      </c>
      <c r="I8029" s="23" t="s">
        <v>3798</v>
      </c>
      <c r="J8029" s="21"/>
      <c r="K8029" s="21" t="s">
        <v>1110</v>
      </c>
      <c r="L8029" s="21"/>
      <c r="M8029" s="21"/>
      <c r="N8029" s="21" t="s">
        <v>40</v>
      </c>
      <c r="O8029" s="21">
        <f>60+34</f>
        <v>94</v>
      </c>
      <c r="P8029" s="21"/>
      <c r="Q8029" s="21">
        <f t="shared" si="157"/>
        <v>1</v>
      </c>
      <c r="R8029" s="21">
        <v>1</v>
      </c>
      <c r="S8029" s="21">
        <v>0</v>
      </c>
      <c r="T8029" s="21">
        <v>0</v>
      </c>
      <c r="U8029" s="21">
        <v>0</v>
      </c>
      <c r="V8029" s="21">
        <v>0</v>
      </c>
      <c r="W8029" s="21">
        <v>0</v>
      </c>
      <c r="X8029" s="21">
        <v>0</v>
      </c>
      <c r="Y8029" s="21">
        <v>0</v>
      </c>
      <c r="Z8029" s="21">
        <v>0</v>
      </c>
      <c r="AA8029" s="21">
        <v>1</v>
      </c>
      <c r="AB8029" s="21">
        <v>0</v>
      </c>
      <c r="AC8029" s="21">
        <v>0</v>
      </c>
      <c r="AD8029" s="21">
        <v>0</v>
      </c>
      <c r="AE8029" s="21">
        <v>0</v>
      </c>
      <c r="AF8029" s="21">
        <v>0</v>
      </c>
      <c r="AG8029" s="21">
        <v>0</v>
      </c>
      <c r="AH8029" s="21">
        <f t="shared" si="158"/>
        <v>0</v>
      </c>
      <c r="AI8029" s="21"/>
      <c r="AJ8029" s="21" t="s">
        <v>51</v>
      </c>
      <c r="AK8029" s="21" t="s">
        <v>52</v>
      </c>
      <c r="AL8029" s="21" t="s">
        <v>4193</v>
      </c>
      <c r="AM8029" s="21" t="s">
        <v>4215</v>
      </c>
      <c r="AN8029" s="21">
        <v>-122.3970116</v>
      </c>
      <c r="AO8029" s="21">
        <v>37.779481750000002</v>
      </c>
      <c r="AP8029" s="21" t="s">
        <v>1915</v>
      </c>
    </row>
    <row r="8030" spans="1:42">
      <c r="A8030" s="20">
        <v>43866</v>
      </c>
      <c r="B8030" s="21">
        <v>3</v>
      </c>
      <c r="C8030" s="21">
        <v>572</v>
      </c>
      <c r="D8030" s="21">
        <v>11329</v>
      </c>
      <c r="E8030" t="s">
        <v>377</v>
      </c>
      <c r="F8030" s="21" t="s">
        <v>436</v>
      </c>
      <c r="G8030" s="21">
        <v>1</v>
      </c>
      <c r="H8030" s="21">
        <v>42</v>
      </c>
      <c r="I8030" s="23" t="s">
        <v>3399</v>
      </c>
      <c r="J8030" s="21"/>
      <c r="K8030" s="21" t="s">
        <v>1978</v>
      </c>
      <c r="L8030" s="21"/>
      <c r="M8030" s="21"/>
      <c r="N8030" s="21" t="s">
        <v>44</v>
      </c>
      <c r="O8030" s="21">
        <f>120+25</f>
        <v>145</v>
      </c>
      <c r="P8030" s="21"/>
      <c r="Q8030" s="21">
        <f t="shared" si="157"/>
        <v>1</v>
      </c>
      <c r="R8030" s="21">
        <v>1</v>
      </c>
      <c r="S8030" s="21">
        <v>0</v>
      </c>
      <c r="T8030" s="21">
        <v>0</v>
      </c>
      <c r="U8030" s="21">
        <v>0</v>
      </c>
      <c r="V8030" s="21">
        <v>0</v>
      </c>
      <c r="W8030" s="21">
        <v>0</v>
      </c>
      <c r="X8030" s="21">
        <v>0</v>
      </c>
      <c r="Y8030" s="21">
        <v>0</v>
      </c>
      <c r="Z8030" s="21">
        <v>0</v>
      </c>
      <c r="AA8030" s="21">
        <v>0</v>
      </c>
      <c r="AB8030" s="21">
        <v>0</v>
      </c>
      <c r="AC8030" s="21">
        <v>1</v>
      </c>
      <c r="AD8030" s="21">
        <v>0</v>
      </c>
      <c r="AE8030" s="21">
        <v>0</v>
      </c>
      <c r="AF8030" s="21">
        <v>0</v>
      </c>
      <c r="AG8030" s="21">
        <v>0</v>
      </c>
      <c r="AH8030" s="21">
        <f t="shared" si="158"/>
        <v>0</v>
      </c>
      <c r="AI8030" s="21"/>
      <c r="AJ8030" s="21" t="s">
        <v>51</v>
      </c>
      <c r="AK8030" s="21" t="s">
        <v>95</v>
      </c>
      <c r="AL8030" s="21" t="s">
        <v>2788</v>
      </c>
      <c r="AM8030" s="21" t="s">
        <v>4216</v>
      </c>
      <c r="AN8030" s="21">
        <v>-122.386802616667</v>
      </c>
      <c r="AO8030" s="21">
        <v>37.768721716666597</v>
      </c>
      <c r="AP8030" s="21" t="s">
        <v>1915</v>
      </c>
    </row>
    <row r="8031" spans="1:42">
      <c r="A8031" s="20">
        <v>43866</v>
      </c>
      <c r="B8031" s="21">
        <v>3</v>
      </c>
      <c r="C8031" s="21">
        <v>572</v>
      </c>
      <c r="D8031" s="21">
        <v>11329</v>
      </c>
      <c r="E8031" t="s">
        <v>377</v>
      </c>
      <c r="F8031" s="21" t="s">
        <v>436</v>
      </c>
      <c r="G8031" s="21">
        <v>1</v>
      </c>
      <c r="H8031" s="21">
        <v>43</v>
      </c>
      <c r="I8031" s="23" t="s">
        <v>4217</v>
      </c>
      <c r="J8031" s="21"/>
      <c r="K8031" s="21"/>
      <c r="L8031" s="21"/>
      <c r="M8031" s="21"/>
      <c r="N8031" s="21" t="s">
        <v>40</v>
      </c>
      <c r="O8031" s="21">
        <v>32</v>
      </c>
      <c r="P8031" s="21"/>
      <c r="Q8031" s="21">
        <f t="shared" si="157"/>
        <v>1</v>
      </c>
      <c r="R8031" s="21">
        <v>1</v>
      </c>
      <c r="S8031" s="21">
        <v>0</v>
      </c>
      <c r="T8031" s="21">
        <v>0</v>
      </c>
      <c r="U8031" s="21">
        <v>0</v>
      </c>
      <c r="V8031" s="21">
        <v>0</v>
      </c>
      <c r="W8031" s="21">
        <v>0</v>
      </c>
      <c r="X8031" s="21">
        <v>0</v>
      </c>
      <c r="Y8031" s="21">
        <v>0</v>
      </c>
      <c r="Z8031" s="21">
        <v>0</v>
      </c>
      <c r="AA8031" s="21">
        <v>0</v>
      </c>
      <c r="AB8031" s="21">
        <v>0</v>
      </c>
      <c r="AC8031" s="21">
        <v>1</v>
      </c>
      <c r="AD8031" s="21">
        <v>0</v>
      </c>
      <c r="AE8031" s="21">
        <v>0</v>
      </c>
      <c r="AF8031" s="21">
        <v>0</v>
      </c>
      <c r="AG8031" s="21">
        <v>0</v>
      </c>
      <c r="AH8031" s="21">
        <f t="shared" si="158"/>
        <v>0</v>
      </c>
      <c r="AI8031" s="21"/>
      <c r="AJ8031" s="21" t="s">
        <v>51</v>
      </c>
      <c r="AK8031" s="21" t="s">
        <v>95</v>
      </c>
      <c r="AL8031" s="21"/>
      <c r="AM8031" s="21" t="s">
        <v>4218</v>
      </c>
      <c r="AN8031" s="21">
        <v>-122.387311216667</v>
      </c>
      <c r="AO8031" s="21">
        <v>37.7687712166667</v>
      </c>
      <c r="AP8031" s="21" t="s">
        <v>1915</v>
      </c>
    </row>
    <row r="8032" spans="1:42">
      <c r="A8032" s="20">
        <v>43866</v>
      </c>
      <c r="B8032" s="21">
        <v>3</v>
      </c>
      <c r="C8032" s="21">
        <v>572</v>
      </c>
      <c r="D8032" s="21">
        <v>11329</v>
      </c>
      <c r="E8032" t="s">
        <v>377</v>
      </c>
      <c r="F8032" s="21" t="s">
        <v>436</v>
      </c>
      <c r="G8032" s="21">
        <v>1</v>
      </c>
      <c r="H8032" s="21">
        <v>44</v>
      </c>
      <c r="I8032" s="23"/>
      <c r="J8032" s="21"/>
      <c r="K8032" s="21"/>
      <c r="L8032" s="21"/>
      <c r="M8032" s="21"/>
      <c r="N8032" s="21" t="s">
        <v>40</v>
      </c>
      <c r="O8032" s="21">
        <f>60+54</f>
        <v>114</v>
      </c>
      <c r="P8032" s="21"/>
      <c r="Q8032" s="21">
        <f t="shared" si="157"/>
        <v>1</v>
      </c>
      <c r="R8032" s="21">
        <v>1</v>
      </c>
      <c r="S8032" s="21">
        <v>0</v>
      </c>
      <c r="T8032" s="21">
        <v>0</v>
      </c>
      <c r="U8032" s="21">
        <v>0</v>
      </c>
      <c r="V8032" s="21">
        <v>0</v>
      </c>
      <c r="W8032" s="21">
        <v>0</v>
      </c>
      <c r="X8032" s="21">
        <v>0</v>
      </c>
      <c r="Y8032" s="21">
        <v>0</v>
      </c>
      <c r="Z8032" s="21">
        <v>0</v>
      </c>
      <c r="AA8032" s="21">
        <v>0</v>
      </c>
      <c r="AB8032" s="21">
        <v>0</v>
      </c>
      <c r="AC8032" s="21">
        <v>1</v>
      </c>
      <c r="AD8032" s="21">
        <v>0</v>
      </c>
      <c r="AE8032" s="21">
        <v>0</v>
      </c>
      <c r="AF8032" s="21">
        <v>0</v>
      </c>
      <c r="AG8032" s="21">
        <v>0</v>
      </c>
      <c r="AH8032" s="21">
        <f t="shared" si="158"/>
        <v>0</v>
      </c>
      <c r="AI8032" s="21"/>
      <c r="AJ8032" s="21" t="s">
        <v>51</v>
      </c>
      <c r="AK8032" s="21" t="s">
        <v>95</v>
      </c>
      <c r="AL8032" s="21"/>
      <c r="AM8032" s="21" t="s">
        <v>4219</v>
      </c>
      <c r="AN8032" s="21">
        <v>-122.387699683333</v>
      </c>
      <c r="AO8032" s="21">
        <v>37.7689399666667</v>
      </c>
      <c r="AP8032" s="21" t="s">
        <v>1915</v>
      </c>
    </row>
    <row r="8033" spans="1:42">
      <c r="A8033" s="20">
        <v>43866</v>
      </c>
      <c r="B8033" s="21">
        <v>3</v>
      </c>
      <c r="C8033" s="21">
        <v>572</v>
      </c>
      <c r="D8033" s="21">
        <v>11329</v>
      </c>
      <c r="E8033" t="s">
        <v>377</v>
      </c>
      <c r="F8033" s="21" t="s">
        <v>436</v>
      </c>
      <c r="G8033" s="21">
        <v>1</v>
      </c>
      <c r="H8033" s="21">
        <v>45</v>
      </c>
      <c r="I8033" s="23" t="s">
        <v>4220</v>
      </c>
      <c r="J8033" s="21"/>
      <c r="K8033" s="21" t="s">
        <v>4221</v>
      </c>
      <c r="L8033" s="21"/>
      <c r="M8033" s="21"/>
      <c r="N8033" s="21" t="s">
        <v>44</v>
      </c>
      <c r="O8033" s="21">
        <v>124</v>
      </c>
      <c r="P8033" s="21"/>
      <c r="Q8033" s="21">
        <f t="shared" si="157"/>
        <v>1</v>
      </c>
      <c r="R8033" s="21">
        <v>1</v>
      </c>
      <c r="S8033" s="21">
        <v>0</v>
      </c>
      <c r="T8033" s="21">
        <v>0</v>
      </c>
      <c r="U8033" s="21">
        <v>0</v>
      </c>
      <c r="V8033" s="21">
        <v>0</v>
      </c>
      <c r="W8033" s="21">
        <v>0</v>
      </c>
      <c r="X8033" s="21">
        <v>0</v>
      </c>
      <c r="Y8033" s="21">
        <v>0</v>
      </c>
      <c r="Z8033" s="21">
        <v>0</v>
      </c>
      <c r="AA8033" s="21">
        <v>0</v>
      </c>
      <c r="AB8033" s="21">
        <v>0</v>
      </c>
      <c r="AC8033" s="21">
        <v>1</v>
      </c>
      <c r="AD8033" s="21">
        <v>0</v>
      </c>
      <c r="AE8033" s="21">
        <v>0</v>
      </c>
      <c r="AF8033" s="21">
        <v>0</v>
      </c>
      <c r="AG8033" s="21">
        <v>0</v>
      </c>
      <c r="AH8033" s="21">
        <f t="shared" si="158"/>
        <v>0</v>
      </c>
      <c r="AI8033" s="21"/>
      <c r="AJ8033" s="21" t="s">
        <v>51</v>
      </c>
      <c r="AK8033" s="21" t="s">
        <v>95</v>
      </c>
      <c r="AL8033" s="21" t="s">
        <v>4222</v>
      </c>
      <c r="AM8033" s="21" t="s">
        <v>4223</v>
      </c>
      <c r="AN8033" s="21">
        <v>-122.393649096559</v>
      </c>
      <c r="AO8033" s="21">
        <v>37.770521693987099</v>
      </c>
      <c r="AP8033" s="21" t="s">
        <v>1915</v>
      </c>
    </row>
    <row r="8034" spans="1:42">
      <c r="A8034" s="20">
        <v>43866</v>
      </c>
      <c r="B8034" s="21">
        <v>3</v>
      </c>
      <c r="C8034" s="21">
        <v>572</v>
      </c>
      <c r="D8034" s="21">
        <v>11329</v>
      </c>
      <c r="E8034" t="s">
        <v>377</v>
      </c>
      <c r="F8034" s="21" t="s">
        <v>436</v>
      </c>
      <c r="G8034" s="21">
        <v>1</v>
      </c>
      <c r="H8034" s="21">
        <v>46</v>
      </c>
      <c r="I8034" s="23" t="s">
        <v>2787</v>
      </c>
      <c r="J8034" s="21"/>
      <c r="K8034" s="21" t="s">
        <v>1975</v>
      </c>
      <c r="L8034" s="21"/>
      <c r="M8034" s="21"/>
      <c r="N8034" s="21" t="s">
        <v>40</v>
      </c>
      <c r="O8034" s="21">
        <v>122</v>
      </c>
      <c r="P8034" s="21"/>
      <c r="Q8034" s="21">
        <f t="shared" si="157"/>
        <v>1</v>
      </c>
      <c r="R8034" s="21">
        <v>1</v>
      </c>
      <c r="S8034" s="21">
        <v>0</v>
      </c>
      <c r="T8034" s="21">
        <v>0</v>
      </c>
      <c r="U8034" s="21">
        <v>0</v>
      </c>
      <c r="V8034" s="21">
        <v>0</v>
      </c>
      <c r="W8034" s="21">
        <v>0</v>
      </c>
      <c r="X8034" s="21">
        <v>0</v>
      </c>
      <c r="Y8034" s="21">
        <v>0</v>
      </c>
      <c r="Z8034" s="21">
        <v>0</v>
      </c>
      <c r="AA8034" s="21">
        <v>0</v>
      </c>
      <c r="AB8034" s="21">
        <v>0</v>
      </c>
      <c r="AC8034" s="21">
        <v>1</v>
      </c>
      <c r="AD8034" s="21">
        <v>0</v>
      </c>
      <c r="AE8034" s="21">
        <v>0</v>
      </c>
      <c r="AF8034" s="21">
        <v>0</v>
      </c>
      <c r="AG8034" s="21">
        <v>0</v>
      </c>
      <c r="AH8034" s="21">
        <f t="shared" si="158"/>
        <v>0</v>
      </c>
      <c r="AI8034" s="21"/>
      <c r="AJ8034" s="21" t="s">
        <v>51</v>
      </c>
      <c r="AK8034" s="21" t="s">
        <v>95</v>
      </c>
      <c r="AL8034" s="21"/>
      <c r="AM8034" s="21" t="s">
        <v>4224</v>
      </c>
      <c r="AN8034" s="21">
        <v>-122.394284733333</v>
      </c>
      <c r="AO8034" s="21">
        <v>37.766817666666597</v>
      </c>
      <c r="AP8034" s="21" t="s">
        <v>1915</v>
      </c>
    </row>
    <row r="8035" spans="1:42">
      <c r="A8035" s="20">
        <v>43866</v>
      </c>
      <c r="B8035" s="21">
        <v>3</v>
      </c>
      <c r="C8035" s="21">
        <v>572</v>
      </c>
      <c r="D8035" s="21">
        <v>11329</v>
      </c>
      <c r="E8035" t="s">
        <v>377</v>
      </c>
      <c r="F8035" s="21" t="s">
        <v>436</v>
      </c>
      <c r="G8035" s="21">
        <v>1</v>
      </c>
      <c r="H8035" s="21">
        <v>47</v>
      </c>
      <c r="I8035" s="23" t="s">
        <v>2787</v>
      </c>
      <c r="J8035" s="21"/>
      <c r="K8035" s="21" t="s">
        <v>1975</v>
      </c>
      <c r="L8035" s="21"/>
      <c r="M8035" s="21"/>
      <c r="N8035" s="21" t="s">
        <v>44</v>
      </c>
      <c r="O8035" s="21">
        <f>60+60+60+60+60+51</f>
        <v>351</v>
      </c>
      <c r="P8035" s="21"/>
      <c r="Q8035" s="21">
        <f t="shared" si="157"/>
        <v>1</v>
      </c>
      <c r="R8035" s="21">
        <v>1</v>
      </c>
      <c r="S8035" s="21">
        <v>0</v>
      </c>
      <c r="T8035" s="21">
        <v>0</v>
      </c>
      <c r="U8035" s="21">
        <v>0</v>
      </c>
      <c r="V8035" s="21">
        <v>0</v>
      </c>
      <c r="W8035" s="21">
        <v>0</v>
      </c>
      <c r="X8035" s="21">
        <v>0</v>
      </c>
      <c r="Y8035" s="21">
        <v>0</v>
      </c>
      <c r="Z8035" s="21">
        <v>0</v>
      </c>
      <c r="AA8035" s="21">
        <v>0</v>
      </c>
      <c r="AB8035" s="21">
        <v>0</v>
      </c>
      <c r="AC8035" s="21">
        <v>1</v>
      </c>
      <c r="AD8035" s="21">
        <v>0</v>
      </c>
      <c r="AE8035" s="21">
        <v>0</v>
      </c>
      <c r="AF8035" s="21">
        <v>0</v>
      </c>
      <c r="AG8035" s="21">
        <v>0</v>
      </c>
      <c r="AH8035" s="21">
        <f t="shared" si="158"/>
        <v>0</v>
      </c>
      <c r="AI8035" s="21"/>
      <c r="AJ8035" s="21" t="s">
        <v>51</v>
      </c>
      <c r="AK8035" s="21" t="s">
        <v>95</v>
      </c>
      <c r="AL8035" s="21" t="s">
        <v>4225</v>
      </c>
      <c r="AM8035" s="21" t="s">
        <v>4226</v>
      </c>
      <c r="AN8035" s="21">
        <v>-122.39592555</v>
      </c>
      <c r="AO8035" s="21">
        <v>37.768206800000002</v>
      </c>
      <c r="AP8035" s="21" t="s">
        <v>1915</v>
      </c>
    </row>
    <row r="8036" spans="1:42">
      <c r="A8036" s="20">
        <v>43866</v>
      </c>
      <c r="B8036" s="21">
        <v>3</v>
      </c>
      <c r="C8036" s="21">
        <v>572</v>
      </c>
      <c r="D8036" s="21">
        <v>11329</v>
      </c>
      <c r="E8036" t="s">
        <v>377</v>
      </c>
      <c r="F8036" s="21" t="s">
        <v>436</v>
      </c>
      <c r="G8036" s="21">
        <v>1</v>
      </c>
      <c r="H8036" s="21">
        <v>48</v>
      </c>
      <c r="I8036" s="23" t="s">
        <v>3096</v>
      </c>
      <c r="J8036" s="21"/>
      <c r="K8036" s="21" t="s">
        <v>1975</v>
      </c>
      <c r="L8036" s="21"/>
      <c r="M8036" s="21"/>
      <c r="N8036" s="21" t="s">
        <v>40</v>
      </c>
      <c r="O8036" s="21">
        <f>60+14</f>
        <v>74</v>
      </c>
      <c r="P8036" s="21"/>
      <c r="Q8036" s="21">
        <f t="shared" si="157"/>
        <v>1</v>
      </c>
      <c r="R8036" s="21">
        <v>1</v>
      </c>
      <c r="S8036" s="21">
        <v>0</v>
      </c>
      <c r="T8036" s="21">
        <v>0</v>
      </c>
      <c r="U8036" s="21">
        <v>0</v>
      </c>
      <c r="V8036" s="21">
        <v>0</v>
      </c>
      <c r="W8036" s="21">
        <v>0</v>
      </c>
      <c r="X8036" s="21">
        <v>0</v>
      </c>
      <c r="Y8036" s="21">
        <v>0</v>
      </c>
      <c r="Z8036" s="21">
        <v>0</v>
      </c>
      <c r="AA8036" s="21">
        <v>0</v>
      </c>
      <c r="AB8036" s="21">
        <v>0</v>
      </c>
      <c r="AC8036" s="21">
        <v>1</v>
      </c>
      <c r="AD8036" s="21">
        <v>0</v>
      </c>
      <c r="AE8036" s="21">
        <v>0</v>
      </c>
      <c r="AF8036" s="21">
        <v>0</v>
      </c>
      <c r="AG8036" s="21">
        <v>0</v>
      </c>
      <c r="AH8036" s="21">
        <f t="shared" si="158"/>
        <v>0</v>
      </c>
      <c r="AI8036" s="21"/>
      <c r="AJ8036" s="21" t="s">
        <v>51</v>
      </c>
      <c r="AK8036" s="21" t="s">
        <v>95</v>
      </c>
      <c r="AL8036" s="21" t="s">
        <v>1979</v>
      </c>
      <c r="AM8036" s="21" t="s">
        <v>4227</v>
      </c>
      <c r="AN8036" s="21">
        <v>-122.396073116667</v>
      </c>
      <c r="AO8036" s="21">
        <v>37.7692028833333</v>
      </c>
      <c r="AP8036" s="21" t="s">
        <v>1915</v>
      </c>
    </row>
    <row r="8037" spans="1:42">
      <c r="A8037" s="20">
        <v>43866</v>
      </c>
      <c r="B8037" s="21">
        <v>3</v>
      </c>
      <c r="C8037" s="21">
        <v>572</v>
      </c>
      <c r="D8037" s="21">
        <v>11329</v>
      </c>
      <c r="E8037" t="s">
        <v>377</v>
      </c>
      <c r="F8037" s="21" t="s">
        <v>436</v>
      </c>
      <c r="G8037" s="21">
        <v>1</v>
      </c>
      <c r="H8037" s="21">
        <v>49</v>
      </c>
      <c r="I8037" s="23" t="s">
        <v>4228</v>
      </c>
      <c r="J8037" s="21"/>
      <c r="K8037" s="21" t="s">
        <v>381</v>
      </c>
      <c r="L8037" s="21"/>
      <c r="M8037" s="21"/>
      <c r="N8037" s="21" t="s">
        <v>40</v>
      </c>
      <c r="O8037" s="21">
        <v>59</v>
      </c>
      <c r="P8037" s="21"/>
      <c r="Q8037" s="21">
        <f t="shared" si="157"/>
        <v>1</v>
      </c>
      <c r="R8037" s="21">
        <v>1</v>
      </c>
      <c r="S8037" s="21">
        <v>0</v>
      </c>
      <c r="T8037" s="21">
        <v>0</v>
      </c>
      <c r="U8037" s="21">
        <v>0</v>
      </c>
      <c r="V8037" s="21">
        <v>0</v>
      </c>
      <c r="W8037" s="21">
        <v>0</v>
      </c>
      <c r="X8037" s="21">
        <v>0</v>
      </c>
      <c r="Y8037" s="21">
        <v>0</v>
      </c>
      <c r="Z8037" s="21">
        <v>1</v>
      </c>
      <c r="AA8037" s="21">
        <v>0</v>
      </c>
      <c r="AB8037" s="21">
        <v>0</v>
      </c>
      <c r="AC8037" s="21">
        <v>0</v>
      </c>
      <c r="AD8037" s="21">
        <v>0</v>
      </c>
      <c r="AE8037" s="21">
        <v>0</v>
      </c>
      <c r="AF8037" s="21">
        <v>0</v>
      </c>
      <c r="AG8037" s="21">
        <v>0</v>
      </c>
      <c r="AH8037" s="21">
        <f t="shared" si="158"/>
        <v>0</v>
      </c>
      <c r="AI8037" s="21"/>
      <c r="AJ8037" s="21"/>
      <c r="AK8037" s="21"/>
      <c r="AL8037" s="21"/>
      <c r="AM8037" s="21" t="s">
        <v>4229</v>
      </c>
      <c r="AN8037" s="21">
        <v>-122.39362723333301</v>
      </c>
      <c r="AO8037" s="21">
        <v>37.775466516666697</v>
      </c>
      <c r="AP8037" s="21" t="s">
        <v>1915</v>
      </c>
    </row>
    <row r="8038" spans="1:42">
      <c r="A8038" s="20">
        <v>43866</v>
      </c>
      <c r="B8038" s="21">
        <v>3</v>
      </c>
      <c r="C8038" s="21">
        <v>572</v>
      </c>
      <c r="D8038" s="21">
        <v>11329</v>
      </c>
      <c r="E8038" t="s">
        <v>377</v>
      </c>
      <c r="F8038" s="21" t="s">
        <v>436</v>
      </c>
      <c r="G8038" s="21">
        <v>1</v>
      </c>
      <c r="H8038" s="21">
        <v>50</v>
      </c>
      <c r="I8038" s="23" t="s">
        <v>4230</v>
      </c>
      <c r="J8038" s="21"/>
      <c r="K8038" s="21" t="s">
        <v>381</v>
      </c>
      <c r="L8038" s="21"/>
      <c r="M8038" s="21"/>
      <c r="N8038" s="21" t="s">
        <v>40</v>
      </c>
      <c r="O8038" s="21">
        <f>60+54</f>
        <v>114</v>
      </c>
      <c r="P8038" s="21"/>
      <c r="Q8038" s="21">
        <f t="shared" si="157"/>
        <v>1</v>
      </c>
      <c r="R8038" s="21">
        <v>1</v>
      </c>
      <c r="S8038" s="21">
        <v>0</v>
      </c>
      <c r="T8038" s="21">
        <v>0</v>
      </c>
      <c r="U8038" s="21">
        <v>0</v>
      </c>
      <c r="V8038" s="21">
        <v>0</v>
      </c>
      <c r="W8038" s="21">
        <v>0</v>
      </c>
      <c r="X8038" s="21">
        <v>0</v>
      </c>
      <c r="Y8038" s="21">
        <v>0</v>
      </c>
      <c r="Z8038" s="21">
        <v>0</v>
      </c>
      <c r="AA8038" s="21">
        <v>0</v>
      </c>
      <c r="AB8038" s="21">
        <v>0</v>
      </c>
      <c r="AC8038" s="21">
        <v>0</v>
      </c>
      <c r="AD8038" s="21">
        <v>0</v>
      </c>
      <c r="AE8038" s="21">
        <v>1</v>
      </c>
      <c r="AF8038" s="21">
        <v>0</v>
      </c>
      <c r="AG8038" s="21">
        <v>0</v>
      </c>
      <c r="AH8038" s="21">
        <f t="shared" si="158"/>
        <v>0</v>
      </c>
      <c r="AI8038" s="21"/>
      <c r="AJ8038" s="21" t="s">
        <v>51</v>
      </c>
      <c r="AK8038" s="21" t="s">
        <v>95</v>
      </c>
      <c r="AL8038" s="21" t="s">
        <v>3660</v>
      </c>
      <c r="AM8038" s="21" t="s">
        <v>4231</v>
      </c>
      <c r="AN8038" s="21">
        <v>-122.393237833333</v>
      </c>
      <c r="AO8038" s="21">
        <v>37.778524633333298</v>
      </c>
      <c r="AP8038" s="21" t="s">
        <v>1915</v>
      </c>
    </row>
    <row r="8039" spans="1:42">
      <c r="A8039" s="20">
        <v>43866</v>
      </c>
      <c r="B8039" s="21">
        <v>3</v>
      </c>
      <c r="C8039" s="21">
        <v>572</v>
      </c>
      <c r="D8039" s="21">
        <v>11329</v>
      </c>
      <c r="E8039" t="s">
        <v>377</v>
      </c>
      <c r="F8039" s="21" t="s">
        <v>436</v>
      </c>
      <c r="G8039" s="21">
        <v>1</v>
      </c>
      <c r="H8039" s="21">
        <v>51</v>
      </c>
      <c r="I8039" s="23" t="s">
        <v>4232</v>
      </c>
      <c r="J8039" s="21"/>
      <c r="K8039" s="21" t="s">
        <v>389</v>
      </c>
      <c r="L8039" s="21"/>
      <c r="M8039" s="21"/>
      <c r="N8039" s="21" t="s">
        <v>44</v>
      </c>
      <c r="O8039" s="21">
        <f>60+60+49</f>
        <v>169</v>
      </c>
      <c r="P8039" s="21"/>
      <c r="Q8039" s="21">
        <f t="shared" si="157"/>
        <v>1</v>
      </c>
      <c r="R8039" s="21">
        <v>1</v>
      </c>
      <c r="S8039" s="21">
        <v>0</v>
      </c>
      <c r="T8039" s="21">
        <v>0</v>
      </c>
      <c r="U8039" s="21">
        <v>0</v>
      </c>
      <c r="V8039" s="21">
        <v>0</v>
      </c>
      <c r="W8039" s="21">
        <v>0</v>
      </c>
      <c r="X8039" s="21">
        <v>0</v>
      </c>
      <c r="Y8039" s="21">
        <v>0</v>
      </c>
      <c r="Z8039" s="21">
        <v>0</v>
      </c>
      <c r="AA8039" s="21">
        <v>0</v>
      </c>
      <c r="AB8039" s="21">
        <v>0</v>
      </c>
      <c r="AC8039" s="21">
        <v>1</v>
      </c>
      <c r="AD8039" s="21">
        <v>0</v>
      </c>
      <c r="AE8039" s="21">
        <v>0</v>
      </c>
      <c r="AF8039" s="21">
        <v>0</v>
      </c>
      <c r="AG8039" s="21">
        <v>0</v>
      </c>
      <c r="AH8039" s="21">
        <f t="shared" si="158"/>
        <v>0</v>
      </c>
      <c r="AI8039" s="21"/>
      <c r="AJ8039" s="21" t="s">
        <v>51</v>
      </c>
      <c r="AK8039" s="21" t="s">
        <v>95</v>
      </c>
      <c r="AL8039" s="21" t="s">
        <v>4233</v>
      </c>
      <c r="AM8039" s="21" t="s">
        <v>4234</v>
      </c>
      <c r="AN8039" s="21">
        <v>-122.392881</v>
      </c>
      <c r="AO8039" s="21">
        <v>37.779790216666697</v>
      </c>
      <c r="AP8039" s="21" t="s">
        <v>1915</v>
      </c>
    </row>
    <row r="8040" spans="1:42">
      <c r="A8040" s="20">
        <v>43866</v>
      </c>
      <c r="B8040" s="21">
        <v>3</v>
      </c>
      <c r="C8040" s="21">
        <v>572</v>
      </c>
      <c r="D8040" s="21">
        <v>11329</v>
      </c>
      <c r="E8040" t="s">
        <v>377</v>
      </c>
      <c r="F8040" s="21" t="s">
        <v>436</v>
      </c>
      <c r="G8040" s="21">
        <v>1</v>
      </c>
      <c r="H8040" s="21">
        <v>52</v>
      </c>
      <c r="I8040" s="23" t="s">
        <v>4235</v>
      </c>
      <c r="J8040" s="21"/>
      <c r="K8040" s="21" t="s">
        <v>381</v>
      </c>
      <c r="L8040" s="21"/>
      <c r="M8040" s="21"/>
      <c r="N8040" s="21" t="s">
        <v>40</v>
      </c>
      <c r="O8040" s="21">
        <v>54</v>
      </c>
      <c r="P8040" s="21"/>
      <c r="Q8040" s="21">
        <f t="shared" si="157"/>
        <v>1</v>
      </c>
      <c r="R8040" s="21">
        <v>1</v>
      </c>
      <c r="S8040" s="21">
        <v>0</v>
      </c>
      <c r="T8040" s="21">
        <v>0</v>
      </c>
      <c r="U8040" s="21">
        <v>0</v>
      </c>
      <c r="V8040" s="21">
        <v>0</v>
      </c>
      <c r="W8040" s="21">
        <v>0</v>
      </c>
      <c r="X8040" s="21">
        <v>0</v>
      </c>
      <c r="Y8040" s="21">
        <v>0</v>
      </c>
      <c r="Z8040" s="21">
        <v>0</v>
      </c>
      <c r="AA8040" s="21">
        <v>1</v>
      </c>
      <c r="AB8040" s="21">
        <v>0</v>
      </c>
      <c r="AC8040" s="21">
        <v>0</v>
      </c>
      <c r="AD8040" s="21">
        <v>0</v>
      </c>
      <c r="AE8040" s="21">
        <v>0</v>
      </c>
      <c r="AF8040" s="21">
        <v>0</v>
      </c>
      <c r="AG8040" s="21">
        <v>0</v>
      </c>
      <c r="AH8040" s="21">
        <f t="shared" si="158"/>
        <v>0</v>
      </c>
      <c r="AI8040" s="21"/>
      <c r="AJ8040" s="21" t="s">
        <v>51</v>
      </c>
      <c r="AK8040" s="21" t="s">
        <v>95</v>
      </c>
      <c r="AL8040" s="21"/>
      <c r="AM8040" s="21" t="s">
        <v>4236</v>
      </c>
      <c r="AN8040" s="21">
        <v>-122.391115883333</v>
      </c>
      <c r="AO8040" s="21">
        <v>37.780095250000002</v>
      </c>
      <c r="AP8040" s="21" t="s">
        <v>1915</v>
      </c>
    </row>
    <row r="8041" spans="1:42">
      <c r="A8041" s="20">
        <v>43866</v>
      </c>
      <c r="B8041" s="21">
        <v>3</v>
      </c>
      <c r="C8041" s="21">
        <v>572</v>
      </c>
      <c r="D8041" s="21">
        <v>11329</v>
      </c>
      <c r="E8041" t="s">
        <v>377</v>
      </c>
      <c r="F8041" s="21" t="s">
        <v>436</v>
      </c>
      <c r="G8041" s="21">
        <v>1</v>
      </c>
      <c r="H8041" s="21">
        <v>53</v>
      </c>
      <c r="I8041" s="23" t="s">
        <v>4237</v>
      </c>
      <c r="J8041" s="21"/>
      <c r="K8041" s="21" t="s">
        <v>378</v>
      </c>
      <c r="L8041" s="21"/>
      <c r="M8041" s="21"/>
      <c r="N8041" s="21" t="s">
        <v>40</v>
      </c>
      <c r="O8041" s="21">
        <f>60+41</f>
        <v>101</v>
      </c>
      <c r="P8041" s="21"/>
      <c r="Q8041" s="21">
        <f t="shared" si="157"/>
        <v>1</v>
      </c>
      <c r="R8041" s="21">
        <v>1</v>
      </c>
      <c r="S8041" s="21">
        <v>0</v>
      </c>
      <c r="T8041" s="21">
        <v>0</v>
      </c>
      <c r="U8041" s="21">
        <v>0</v>
      </c>
      <c r="V8041" s="21">
        <v>0</v>
      </c>
      <c r="W8041" s="21">
        <v>0</v>
      </c>
      <c r="X8041" s="21">
        <v>0</v>
      </c>
      <c r="Y8041" s="21">
        <v>0</v>
      </c>
      <c r="Z8041" s="21">
        <v>0</v>
      </c>
      <c r="AA8041" s="21">
        <v>1</v>
      </c>
      <c r="AB8041" s="21">
        <v>0</v>
      </c>
      <c r="AC8041" s="21">
        <v>0</v>
      </c>
      <c r="AD8041" s="21">
        <v>0</v>
      </c>
      <c r="AE8041" s="21">
        <v>0</v>
      </c>
      <c r="AF8041" s="21">
        <v>0</v>
      </c>
      <c r="AG8041" s="21">
        <v>0</v>
      </c>
      <c r="AH8041" s="21">
        <f t="shared" si="158"/>
        <v>0</v>
      </c>
      <c r="AI8041" s="21"/>
      <c r="AJ8041" s="21" t="s">
        <v>54</v>
      </c>
      <c r="AK8041" s="21" t="s">
        <v>95</v>
      </c>
      <c r="AL8041" s="21" t="s">
        <v>4238</v>
      </c>
      <c r="AM8041" s="21" t="s">
        <v>4239</v>
      </c>
      <c r="AN8041" s="21">
        <v>-122.392288816667</v>
      </c>
      <c r="AO8041" s="21">
        <v>37.780578583333302</v>
      </c>
      <c r="AP8041" s="21" t="s">
        <v>1915</v>
      </c>
    </row>
    <row r="8042" spans="1:42">
      <c r="A8042" s="20">
        <v>43866</v>
      </c>
      <c r="B8042" s="21">
        <v>3</v>
      </c>
      <c r="C8042" s="21">
        <v>572</v>
      </c>
      <c r="D8042" s="21">
        <v>11329</v>
      </c>
      <c r="E8042" t="s">
        <v>377</v>
      </c>
      <c r="F8042" s="21" t="s">
        <v>436</v>
      </c>
      <c r="G8042" s="21">
        <v>1</v>
      </c>
      <c r="H8042" s="21">
        <v>54</v>
      </c>
      <c r="I8042" s="23" t="s">
        <v>4240</v>
      </c>
      <c r="J8042" s="21" t="s">
        <v>4241</v>
      </c>
      <c r="K8042" s="21" t="s">
        <v>378</v>
      </c>
      <c r="L8042" s="21"/>
      <c r="M8042" s="21"/>
      <c r="N8042" s="21" t="s">
        <v>40</v>
      </c>
      <c r="O8042" s="21"/>
      <c r="P8042" s="21"/>
      <c r="Q8042" s="21">
        <f t="shared" si="157"/>
        <v>1</v>
      </c>
      <c r="R8042" s="21">
        <v>1</v>
      </c>
      <c r="S8042" s="21">
        <v>0</v>
      </c>
      <c r="T8042" s="21">
        <v>0</v>
      </c>
      <c r="U8042" s="21">
        <v>0</v>
      </c>
      <c r="V8042" s="21">
        <v>0</v>
      </c>
      <c r="W8042" s="21">
        <v>0</v>
      </c>
      <c r="X8042" s="21">
        <v>0</v>
      </c>
      <c r="Y8042" s="21">
        <v>0</v>
      </c>
      <c r="Z8042" s="21">
        <v>0</v>
      </c>
      <c r="AA8042" s="21">
        <v>1</v>
      </c>
      <c r="AB8042" s="21">
        <v>0</v>
      </c>
      <c r="AC8042" s="21">
        <v>0</v>
      </c>
      <c r="AD8042" s="21">
        <v>0</v>
      </c>
      <c r="AE8042" s="21">
        <v>0</v>
      </c>
      <c r="AF8042" s="21">
        <v>0</v>
      </c>
      <c r="AG8042" s="21">
        <v>0</v>
      </c>
      <c r="AH8042" s="21">
        <f t="shared" si="158"/>
        <v>0</v>
      </c>
      <c r="AI8042" s="21"/>
      <c r="AJ8042" s="21" t="s">
        <v>51</v>
      </c>
      <c r="AK8042" s="21" t="s">
        <v>95</v>
      </c>
      <c r="AL8042" s="21"/>
      <c r="AM8042" s="21" t="s">
        <v>4242</v>
      </c>
      <c r="AN8042" s="21">
        <v>-122.393423816667</v>
      </c>
      <c r="AO8042" s="21">
        <v>37.781170483333298</v>
      </c>
      <c r="AP8042" s="21" t="s">
        <v>1915</v>
      </c>
    </row>
    <row r="8043" spans="1:42">
      <c r="A8043" s="20">
        <v>43866</v>
      </c>
      <c r="B8043" s="21">
        <v>3</v>
      </c>
      <c r="C8043" s="21">
        <v>572</v>
      </c>
      <c r="D8043" s="21">
        <v>11329</v>
      </c>
      <c r="E8043" t="s">
        <v>377</v>
      </c>
      <c r="F8043" s="21" t="s">
        <v>436</v>
      </c>
      <c r="G8043" s="21">
        <v>1</v>
      </c>
      <c r="H8043" s="21">
        <v>55</v>
      </c>
      <c r="I8043" s="23" t="s">
        <v>4243</v>
      </c>
      <c r="J8043" s="21"/>
      <c r="K8043" s="21" t="s">
        <v>378</v>
      </c>
      <c r="L8043" s="21"/>
      <c r="M8043" s="21"/>
      <c r="N8043" s="21" t="s">
        <v>44</v>
      </c>
      <c r="O8043" s="21">
        <f>60+19</f>
        <v>79</v>
      </c>
      <c r="P8043" s="21"/>
      <c r="Q8043" s="21">
        <f t="shared" si="157"/>
        <v>1</v>
      </c>
      <c r="R8043" s="21">
        <v>1</v>
      </c>
      <c r="S8043" s="21">
        <v>0</v>
      </c>
      <c r="T8043" s="21">
        <v>0</v>
      </c>
      <c r="U8043" s="21">
        <v>0</v>
      </c>
      <c r="V8043" s="21">
        <v>0</v>
      </c>
      <c r="W8043" s="21">
        <v>0</v>
      </c>
      <c r="X8043" s="21">
        <v>0</v>
      </c>
      <c r="Y8043" s="21">
        <v>0</v>
      </c>
      <c r="Z8043" s="21">
        <v>0</v>
      </c>
      <c r="AA8043" s="21">
        <v>0</v>
      </c>
      <c r="AB8043" s="21">
        <v>1</v>
      </c>
      <c r="AC8043" s="21">
        <v>0</v>
      </c>
      <c r="AD8043" s="21">
        <v>0</v>
      </c>
      <c r="AE8043" s="21">
        <v>0</v>
      </c>
      <c r="AF8043" s="21">
        <v>0</v>
      </c>
      <c r="AG8043" s="21">
        <v>0</v>
      </c>
      <c r="AH8043" s="21">
        <f t="shared" si="158"/>
        <v>0</v>
      </c>
      <c r="AI8043" s="21"/>
      <c r="AJ8043" s="21"/>
      <c r="AK8043" s="21"/>
      <c r="AL8043" s="21" t="s">
        <v>379</v>
      </c>
      <c r="AM8043" s="21" t="s">
        <v>4244</v>
      </c>
      <c r="AN8043" s="21">
        <v>-122.394826383333</v>
      </c>
      <c r="AO8043" s="21">
        <v>37.778678599999999</v>
      </c>
      <c r="AP8043" s="21" t="s">
        <v>1915</v>
      </c>
    </row>
    <row r="8044" spans="1:42">
      <c r="A8044" s="20">
        <v>43866</v>
      </c>
      <c r="B8044" s="21">
        <v>3</v>
      </c>
      <c r="C8044" s="21">
        <v>572</v>
      </c>
      <c r="D8044" s="21">
        <v>11329</v>
      </c>
      <c r="E8044" t="s">
        <v>377</v>
      </c>
      <c r="F8044" s="21" t="s">
        <v>436</v>
      </c>
      <c r="G8044" s="21">
        <v>1</v>
      </c>
      <c r="H8044" s="21">
        <v>56</v>
      </c>
      <c r="I8044" s="23" t="s">
        <v>3752</v>
      </c>
      <c r="J8044" s="21"/>
      <c r="K8044" s="21" t="s">
        <v>378</v>
      </c>
      <c r="L8044" s="21"/>
      <c r="M8044" s="21"/>
      <c r="N8044" s="21" t="s">
        <v>40</v>
      </c>
      <c r="O8044" s="21">
        <f>60+60+60+10</f>
        <v>190</v>
      </c>
      <c r="P8044" s="21"/>
      <c r="Q8044" s="21">
        <f t="shared" si="157"/>
        <v>1</v>
      </c>
      <c r="R8044" s="21">
        <v>1</v>
      </c>
      <c r="S8044" s="21">
        <v>0</v>
      </c>
      <c r="T8044" s="21">
        <v>0</v>
      </c>
      <c r="U8044" s="21">
        <v>0</v>
      </c>
      <c r="V8044" s="21">
        <v>0</v>
      </c>
      <c r="W8044" s="21">
        <v>0</v>
      </c>
      <c r="X8044" s="21">
        <v>0</v>
      </c>
      <c r="Y8044" s="21">
        <v>0</v>
      </c>
      <c r="Z8044" s="21">
        <v>0</v>
      </c>
      <c r="AA8044" s="21">
        <v>0</v>
      </c>
      <c r="AB8044" s="21">
        <v>1</v>
      </c>
      <c r="AC8044" s="21">
        <v>0</v>
      </c>
      <c r="AD8044" s="21">
        <v>0</v>
      </c>
      <c r="AE8044" s="21">
        <v>0</v>
      </c>
      <c r="AF8044" s="21">
        <v>0</v>
      </c>
      <c r="AG8044" s="21">
        <v>0</v>
      </c>
      <c r="AH8044" s="21">
        <f t="shared" si="158"/>
        <v>0</v>
      </c>
      <c r="AI8044" s="21"/>
      <c r="AJ8044" s="21" t="s">
        <v>54</v>
      </c>
      <c r="AK8044" s="21" t="s">
        <v>95</v>
      </c>
      <c r="AL8044" s="21" t="s">
        <v>4245</v>
      </c>
      <c r="AM8044" s="21" t="s">
        <v>4246</v>
      </c>
      <c r="AN8044" s="21">
        <v>-122.39241256666701</v>
      </c>
      <c r="AO8044" s="21">
        <v>37.782151183333298</v>
      </c>
      <c r="AP8044" s="21" t="s">
        <v>1915</v>
      </c>
    </row>
    <row r="8045" spans="1:42">
      <c r="A8045" s="20">
        <v>43866</v>
      </c>
      <c r="B8045" s="21">
        <v>3</v>
      </c>
      <c r="C8045" s="21">
        <v>572</v>
      </c>
      <c r="D8045" s="21">
        <v>11329</v>
      </c>
      <c r="E8045" t="s">
        <v>377</v>
      </c>
      <c r="F8045" s="21" t="s">
        <v>436</v>
      </c>
      <c r="G8045" s="21">
        <v>1</v>
      </c>
      <c r="H8045" s="21">
        <v>57</v>
      </c>
      <c r="I8045" s="23" t="s">
        <v>4247</v>
      </c>
      <c r="J8045" s="21"/>
      <c r="K8045" s="21" t="s">
        <v>380</v>
      </c>
      <c r="L8045" s="21"/>
      <c r="M8045" s="21"/>
      <c r="N8045" s="21"/>
      <c r="O8045" s="21">
        <v>61</v>
      </c>
      <c r="P8045" s="21"/>
      <c r="Q8045" s="21">
        <f t="shared" si="157"/>
        <v>2</v>
      </c>
      <c r="R8045" s="21">
        <v>1</v>
      </c>
      <c r="S8045" s="21">
        <v>0</v>
      </c>
      <c r="T8045" s="21">
        <v>0</v>
      </c>
      <c r="U8045" s="21">
        <v>0</v>
      </c>
      <c r="V8045" s="21">
        <v>0</v>
      </c>
      <c r="W8045" s="21">
        <v>0</v>
      </c>
      <c r="X8045" s="21">
        <v>0</v>
      </c>
      <c r="Y8045" s="21">
        <v>0</v>
      </c>
      <c r="Z8045" s="21">
        <v>0</v>
      </c>
      <c r="AA8045" s="21">
        <v>1</v>
      </c>
      <c r="AB8045" s="21">
        <v>0</v>
      </c>
      <c r="AC8045" s="21">
        <v>1</v>
      </c>
      <c r="AD8045" s="21">
        <v>0</v>
      </c>
      <c r="AE8045" s="21">
        <v>0</v>
      </c>
      <c r="AF8045" s="21">
        <v>0</v>
      </c>
      <c r="AG8045" s="21">
        <v>0</v>
      </c>
      <c r="AH8045" s="21">
        <f t="shared" si="158"/>
        <v>0</v>
      </c>
      <c r="AI8045" s="21"/>
      <c r="AJ8045" s="21"/>
      <c r="AK8045" s="21"/>
      <c r="AL8045" s="21"/>
      <c r="AM8045" s="21" t="s">
        <v>4248</v>
      </c>
      <c r="AN8045" s="21">
        <v>-122.392314333333</v>
      </c>
      <c r="AO8045" s="21">
        <v>37.782458149999997</v>
      </c>
      <c r="AP8045" s="21" t="s">
        <v>1915</v>
      </c>
    </row>
    <row r="8046" spans="1:42">
      <c r="A8046" s="20">
        <v>43866</v>
      </c>
      <c r="B8046" s="21">
        <v>3</v>
      </c>
      <c r="C8046" s="21">
        <v>572</v>
      </c>
      <c r="D8046" s="21">
        <v>11329</v>
      </c>
      <c r="E8046" t="s">
        <v>377</v>
      </c>
      <c r="F8046" s="21" t="s">
        <v>436</v>
      </c>
      <c r="G8046" s="21">
        <v>1</v>
      </c>
      <c r="H8046" s="21">
        <v>58</v>
      </c>
      <c r="I8046" s="23" t="s">
        <v>4249</v>
      </c>
      <c r="J8046" s="21"/>
      <c r="K8046" s="21" t="s">
        <v>1110</v>
      </c>
      <c r="L8046" s="21"/>
      <c r="M8046" s="21"/>
      <c r="N8046" s="21" t="s">
        <v>44</v>
      </c>
      <c r="O8046" s="21">
        <f>60+40</f>
        <v>100</v>
      </c>
      <c r="P8046" s="21"/>
      <c r="Q8046" s="21">
        <f t="shared" si="157"/>
        <v>1</v>
      </c>
      <c r="R8046" s="21">
        <v>1</v>
      </c>
      <c r="S8046" s="21">
        <v>0</v>
      </c>
      <c r="T8046" s="21">
        <v>0</v>
      </c>
      <c r="U8046" s="21">
        <v>0</v>
      </c>
      <c r="V8046" s="21">
        <v>0</v>
      </c>
      <c r="W8046" s="21">
        <v>0</v>
      </c>
      <c r="X8046" s="21">
        <v>0</v>
      </c>
      <c r="Y8046" s="21">
        <v>0</v>
      </c>
      <c r="Z8046" s="21">
        <v>0</v>
      </c>
      <c r="AA8046" s="21">
        <v>0</v>
      </c>
      <c r="AB8046" s="21">
        <v>1</v>
      </c>
      <c r="AC8046" s="21">
        <v>0</v>
      </c>
      <c r="AD8046" s="21">
        <v>0</v>
      </c>
      <c r="AE8046" s="21">
        <v>0</v>
      </c>
      <c r="AF8046" s="21">
        <v>0</v>
      </c>
      <c r="AG8046" s="21">
        <v>0</v>
      </c>
      <c r="AH8046" s="21">
        <f t="shared" si="158"/>
        <v>0</v>
      </c>
      <c r="AI8046" s="21"/>
      <c r="AJ8046" s="21"/>
      <c r="AK8046" s="21"/>
      <c r="AL8046" s="21" t="s">
        <v>4250</v>
      </c>
      <c r="AM8046" s="21" t="s">
        <v>4251</v>
      </c>
      <c r="AN8046" s="21">
        <v>-122.392446366667</v>
      </c>
      <c r="AO8046" s="21">
        <v>37.783191233333298</v>
      </c>
      <c r="AP8046" s="21" t="s">
        <v>1915</v>
      </c>
    </row>
    <row r="8047" spans="1:42">
      <c r="A8047" s="20">
        <v>43866</v>
      </c>
      <c r="B8047" s="21">
        <v>3</v>
      </c>
      <c r="C8047" s="21">
        <v>572</v>
      </c>
      <c r="D8047" s="21">
        <v>11329</v>
      </c>
      <c r="E8047" t="s">
        <v>377</v>
      </c>
      <c r="F8047" s="21" t="s">
        <v>436</v>
      </c>
      <c r="G8047" s="21">
        <v>1</v>
      </c>
      <c r="H8047" s="21">
        <v>60</v>
      </c>
      <c r="I8047" s="23" t="s">
        <v>3340</v>
      </c>
      <c r="J8047" s="21"/>
      <c r="K8047" s="21" t="s">
        <v>4252</v>
      </c>
      <c r="L8047" s="21"/>
      <c r="M8047" s="21"/>
      <c r="N8047" s="21" t="s">
        <v>44</v>
      </c>
      <c r="O8047" s="21">
        <f>120+31</f>
        <v>151</v>
      </c>
      <c r="P8047" s="21"/>
      <c r="Q8047" s="21">
        <f t="shared" si="157"/>
        <v>1</v>
      </c>
      <c r="R8047" s="21">
        <v>1</v>
      </c>
      <c r="S8047" s="21">
        <v>0</v>
      </c>
      <c r="T8047" s="21">
        <v>0</v>
      </c>
      <c r="U8047" s="21">
        <v>0</v>
      </c>
      <c r="V8047" s="21">
        <v>0</v>
      </c>
      <c r="W8047" s="21">
        <v>0</v>
      </c>
      <c r="X8047" s="21">
        <v>0</v>
      </c>
      <c r="Y8047" s="21">
        <v>0</v>
      </c>
      <c r="Z8047" s="21">
        <v>0</v>
      </c>
      <c r="AA8047" s="21">
        <v>0</v>
      </c>
      <c r="AB8047" s="21">
        <v>0</v>
      </c>
      <c r="AC8047" s="21">
        <v>0</v>
      </c>
      <c r="AD8047" s="21">
        <v>1</v>
      </c>
      <c r="AE8047" s="21">
        <v>0</v>
      </c>
      <c r="AF8047" s="21">
        <v>0</v>
      </c>
      <c r="AG8047" s="21">
        <v>0</v>
      </c>
      <c r="AH8047" s="21">
        <f t="shared" si="158"/>
        <v>0</v>
      </c>
      <c r="AI8047" s="21"/>
      <c r="AJ8047" s="21" t="s">
        <v>54</v>
      </c>
      <c r="AK8047" s="21" t="s">
        <v>95</v>
      </c>
      <c r="AL8047" s="21" t="s">
        <v>2788</v>
      </c>
      <c r="AM8047" s="21" t="s">
        <v>4253</v>
      </c>
      <c r="AN8047" s="21">
        <v>-122.396073233333</v>
      </c>
      <c r="AO8047" s="21">
        <v>37.783607983333297</v>
      </c>
      <c r="AP8047" s="21" t="s">
        <v>1915</v>
      </c>
    </row>
    <row r="8048" spans="1:42">
      <c r="A8048" s="20">
        <v>43866</v>
      </c>
      <c r="B8048" s="21">
        <v>3</v>
      </c>
      <c r="C8048" s="21">
        <v>572</v>
      </c>
      <c r="D8048" s="21">
        <v>11329</v>
      </c>
      <c r="E8048" t="s">
        <v>377</v>
      </c>
      <c r="F8048" s="21" t="s">
        <v>436</v>
      </c>
      <c r="G8048" s="21">
        <v>1</v>
      </c>
      <c r="H8048" s="21">
        <v>62</v>
      </c>
      <c r="I8048" s="23" t="s">
        <v>4254</v>
      </c>
      <c r="J8048" s="21"/>
      <c r="K8048" s="21" t="s">
        <v>4252</v>
      </c>
      <c r="L8048" s="21"/>
      <c r="M8048" s="21"/>
      <c r="N8048" s="21" t="s">
        <v>40</v>
      </c>
      <c r="O8048" s="21">
        <v>45</v>
      </c>
      <c r="P8048" s="21"/>
      <c r="Q8048" s="21">
        <f t="shared" si="157"/>
        <v>1</v>
      </c>
      <c r="R8048" s="21">
        <v>1</v>
      </c>
      <c r="S8048" s="21">
        <v>0</v>
      </c>
      <c r="T8048" s="21">
        <v>0</v>
      </c>
      <c r="U8048" s="21">
        <v>0</v>
      </c>
      <c r="V8048" s="21">
        <v>0</v>
      </c>
      <c r="W8048" s="21">
        <v>0</v>
      </c>
      <c r="X8048" s="21">
        <v>0</v>
      </c>
      <c r="Y8048" s="21">
        <v>1</v>
      </c>
      <c r="Z8048" s="21">
        <v>0</v>
      </c>
      <c r="AA8048" s="21">
        <v>0</v>
      </c>
      <c r="AB8048" s="21">
        <v>0</v>
      </c>
      <c r="AC8048" s="21">
        <v>0</v>
      </c>
      <c r="AD8048" s="21">
        <v>0</v>
      </c>
      <c r="AE8048" s="21">
        <v>0</v>
      </c>
      <c r="AF8048" s="21">
        <v>0</v>
      </c>
      <c r="AG8048" s="21">
        <v>0</v>
      </c>
      <c r="AH8048" s="21">
        <f t="shared" si="158"/>
        <v>0</v>
      </c>
      <c r="AI8048" s="21"/>
      <c r="AJ8048" s="21"/>
      <c r="AK8048" s="21"/>
      <c r="AL8048" s="21"/>
      <c r="AM8048" s="21" t="s">
        <v>4255</v>
      </c>
      <c r="AN8048" s="21">
        <v>-122.39894025</v>
      </c>
      <c r="AO8048" s="21">
        <v>37.785140683333303</v>
      </c>
      <c r="AP8048" s="21" t="s">
        <v>1915</v>
      </c>
    </row>
    <row r="8049" spans="1:42">
      <c r="A8049" s="20">
        <v>43866</v>
      </c>
      <c r="B8049" s="21">
        <v>3</v>
      </c>
      <c r="C8049" s="21">
        <v>572</v>
      </c>
      <c r="D8049" s="21">
        <v>11329</v>
      </c>
      <c r="E8049" t="s">
        <v>377</v>
      </c>
      <c r="F8049" s="21" t="s">
        <v>436</v>
      </c>
      <c r="G8049" s="21">
        <v>1</v>
      </c>
      <c r="H8049" s="21">
        <v>63</v>
      </c>
      <c r="I8049" s="23" t="s">
        <v>4256</v>
      </c>
      <c r="J8049" s="21"/>
      <c r="K8049" s="21" t="s">
        <v>4252</v>
      </c>
      <c r="L8049" s="21"/>
      <c r="M8049" s="21"/>
      <c r="N8049" s="21" t="s">
        <v>44</v>
      </c>
      <c r="O8049" s="21">
        <f>120+39</f>
        <v>159</v>
      </c>
      <c r="P8049" s="21"/>
      <c r="Q8049" s="21">
        <f t="shared" si="157"/>
        <v>1</v>
      </c>
      <c r="R8049" s="21">
        <v>1</v>
      </c>
      <c r="S8049" s="21">
        <v>0</v>
      </c>
      <c r="T8049" s="21">
        <v>0</v>
      </c>
      <c r="U8049" s="21">
        <v>0</v>
      </c>
      <c r="V8049" s="21">
        <v>0</v>
      </c>
      <c r="W8049" s="21">
        <v>0</v>
      </c>
      <c r="X8049" s="21">
        <v>0</v>
      </c>
      <c r="Y8049" s="21">
        <v>0</v>
      </c>
      <c r="Z8049" s="21">
        <v>0</v>
      </c>
      <c r="AA8049" s="21">
        <v>0</v>
      </c>
      <c r="AB8049" s="21">
        <v>0</v>
      </c>
      <c r="AC8049" s="21">
        <v>0</v>
      </c>
      <c r="AD8049" s="21">
        <v>0</v>
      </c>
      <c r="AE8049" s="21">
        <v>1</v>
      </c>
      <c r="AF8049" s="21">
        <v>0</v>
      </c>
      <c r="AG8049" s="21">
        <v>0</v>
      </c>
      <c r="AH8049" s="21">
        <f t="shared" si="158"/>
        <v>0</v>
      </c>
      <c r="AI8049" s="21"/>
      <c r="AJ8049" s="21" t="s">
        <v>51</v>
      </c>
      <c r="AK8049" s="21" t="s">
        <v>95</v>
      </c>
      <c r="AL8049" s="21" t="s">
        <v>4257</v>
      </c>
      <c r="AM8049" s="21" t="s">
        <v>4258</v>
      </c>
      <c r="AN8049" s="21">
        <v>-122.399187183333</v>
      </c>
      <c r="AO8049" s="21">
        <v>37.785126099999999</v>
      </c>
      <c r="AP8049" s="21" t="s">
        <v>1915</v>
      </c>
    </row>
    <row r="8050" spans="1:42">
      <c r="A8050" s="20">
        <v>43866</v>
      </c>
      <c r="B8050" s="21">
        <v>3</v>
      </c>
      <c r="C8050" s="21">
        <v>572</v>
      </c>
      <c r="D8050" s="21">
        <v>11329</v>
      </c>
      <c r="E8050" t="s">
        <v>377</v>
      </c>
      <c r="F8050" s="21" t="s">
        <v>436</v>
      </c>
      <c r="G8050" s="21">
        <v>1</v>
      </c>
      <c r="H8050" s="21">
        <v>64</v>
      </c>
      <c r="I8050" s="23" t="s">
        <v>4259</v>
      </c>
      <c r="J8050" s="21"/>
      <c r="K8050" s="21" t="s">
        <v>389</v>
      </c>
      <c r="L8050" s="21"/>
      <c r="M8050" s="21"/>
      <c r="N8050" s="21" t="s">
        <v>40</v>
      </c>
      <c r="O8050" s="21">
        <v>45</v>
      </c>
      <c r="P8050" s="21"/>
      <c r="Q8050" s="21">
        <f t="shared" si="157"/>
        <v>1</v>
      </c>
      <c r="R8050" s="21">
        <v>1</v>
      </c>
      <c r="S8050" s="21">
        <v>0</v>
      </c>
      <c r="T8050" s="21">
        <v>0</v>
      </c>
      <c r="U8050" s="21">
        <v>0</v>
      </c>
      <c r="V8050" s="21">
        <v>0</v>
      </c>
      <c r="W8050" s="21">
        <v>0</v>
      </c>
      <c r="X8050" s="21">
        <v>0</v>
      </c>
      <c r="Y8050" s="21">
        <v>0</v>
      </c>
      <c r="Z8050" s="21">
        <v>1</v>
      </c>
      <c r="AA8050" s="21">
        <v>0</v>
      </c>
      <c r="AB8050" s="21">
        <v>0</v>
      </c>
      <c r="AC8050" s="21">
        <v>0</v>
      </c>
      <c r="AD8050" s="21">
        <v>0</v>
      </c>
      <c r="AE8050" s="21">
        <v>0</v>
      </c>
      <c r="AF8050" s="21">
        <v>0</v>
      </c>
      <c r="AG8050" s="21">
        <v>0</v>
      </c>
      <c r="AH8050" s="21">
        <f t="shared" si="158"/>
        <v>0</v>
      </c>
      <c r="AI8050" s="21"/>
      <c r="AJ8050" s="21" t="s">
        <v>51</v>
      </c>
      <c r="AK8050" s="21" t="s">
        <v>52</v>
      </c>
      <c r="AL8050" s="21" t="s">
        <v>4260</v>
      </c>
      <c r="AM8050" s="21" t="s">
        <v>4261</v>
      </c>
      <c r="AN8050" s="21">
        <v>-122.400076233333</v>
      </c>
      <c r="AO8050" s="21">
        <v>37.786643816666697</v>
      </c>
      <c r="AP8050" s="21" t="s">
        <v>1915</v>
      </c>
    </row>
    <row r="8051" spans="1:42">
      <c r="A8051" s="20">
        <v>43866</v>
      </c>
      <c r="B8051" s="21">
        <v>3</v>
      </c>
      <c r="C8051" s="21">
        <v>572</v>
      </c>
      <c r="D8051" s="21">
        <v>11329</v>
      </c>
      <c r="E8051" t="s">
        <v>377</v>
      </c>
      <c r="F8051" s="21" t="s">
        <v>436</v>
      </c>
      <c r="G8051" s="21">
        <v>1</v>
      </c>
      <c r="H8051" s="21">
        <v>65</v>
      </c>
      <c r="I8051" s="23" t="s">
        <v>4262</v>
      </c>
      <c r="J8051" s="21"/>
      <c r="K8051" s="21"/>
      <c r="L8051" s="21"/>
      <c r="M8051" s="21"/>
      <c r="N8051" s="21" t="s">
        <v>44</v>
      </c>
      <c r="O8051" s="21">
        <f>60+28</f>
        <v>88</v>
      </c>
      <c r="P8051" s="21"/>
      <c r="Q8051" s="21">
        <f t="shared" si="157"/>
        <v>1</v>
      </c>
      <c r="R8051" s="21">
        <v>1</v>
      </c>
      <c r="S8051" s="21">
        <v>0</v>
      </c>
      <c r="T8051" s="21">
        <v>0</v>
      </c>
      <c r="U8051" s="21">
        <v>0</v>
      </c>
      <c r="V8051" s="21">
        <v>0</v>
      </c>
      <c r="W8051" s="21">
        <v>0</v>
      </c>
      <c r="X8051" s="21">
        <v>0</v>
      </c>
      <c r="Y8051" s="21">
        <v>0</v>
      </c>
      <c r="Z8051" s="21">
        <v>0</v>
      </c>
      <c r="AA8051" s="21">
        <v>0</v>
      </c>
      <c r="AB8051" s="21">
        <v>0</v>
      </c>
      <c r="AC8051" s="21">
        <v>1</v>
      </c>
      <c r="AD8051" s="21">
        <v>0</v>
      </c>
      <c r="AE8051" s="21">
        <v>0</v>
      </c>
      <c r="AF8051" s="21">
        <v>0</v>
      </c>
      <c r="AG8051" s="21">
        <v>0</v>
      </c>
      <c r="AH8051" s="21">
        <f t="shared" si="158"/>
        <v>0</v>
      </c>
      <c r="AI8051" s="21"/>
      <c r="AJ8051" s="21" t="s">
        <v>51</v>
      </c>
      <c r="AK8051" s="21" t="s">
        <v>52</v>
      </c>
      <c r="AL8051" s="21" t="s">
        <v>4263</v>
      </c>
      <c r="AM8051" s="21" t="s">
        <v>4264</v>
      </c>
      <c r="AN8051" s="21">
        <v>-122.399543263628</v>
      </c>
      <c r="AO8051" s="21">
        <v>37.786603084273203</v>
      </c>
      <c r="AP8051" s="21" t="s">
        <v>1915</v>
      </c>
    </row>
    <row r="8052" spans="1:42">
      <c r="A8052" s="20">
        <v>43866</v>
      </c>
      <c r="B8052" s="21">
        <v>3</v>
      </c>
      <c r="C8052" s="21">
        <v>572</v>
      </c>
      <c r="D8052" s="21">
        <v>11329</v>
      </c>
      <c r="E8052" t="s">
        <v>377</v>
      </c>
      <c r="F8052" s="21" t="s">
        <v>436</v>
      </c>
      <c r="G8052" s="21">
        <v>1</v>
      </c>
      <c r="H8052" s="21">
        <v>66</v>
      </c>
      <c r="I8052" s="23" t="s">
        <v>4265</v>
      </c>
      <c r="J8052" s="21"/>
      <c r="K8052" s="21" t="s">
        <v>398</v>
      </c>
      <c r="L8052" s="21"/>
      <c r="M8052" s="21"/>
      <c r="N8052" s="21" t="s">
        <v>40</v>
      </c>
      <c r="O8052" s="21">
        <v>61</v>
      </c>
      <c r="P8052" s="21"/>
      <c r="Q8052" s="21">
        <f t="shared" si="157"/>
        <v>1</v>
      </c>
      <c r="R8052" s="21">
        <v>1</v>
      </c>
      <c r="S8052" s="21">
        <v>0</v>
      </c>
      <c r="T8052" s="21">
        <v>0</v>
      </c>
      <c r="U8052" s="21">
        <v>0</v>
      </c>
      <c r="V8052" s="21">
        <v>0</v>
      </c>
      <c r="W8052" s="21">
        <v>0</v>
      </c>
      <c r="X8052" s="21">
        <v>0</v>
      </c>
      <c r="Y8052" s="21">
        <v>0</v>
      </c>
      <c r="Z8052" s="21">
        <v>0</v>
      </c>
      <c r="AA8052" s="21">
        <v>0</v>
      </c>
      <c r="AB8052" s="21">
        <v>1</v>
      </c>
      <c r="AC8052" s="21">
        <v>0</v>
      </c>
      <c r="AD8052" s="21">
        <v>0</v>
      </c>
      <c r="AE8052" s="21">
        <v>0</v>
      </c>
      <c r="AF8052" s="21">
        <v>0</v>
      </c>
      <c r="AG8052" s="21">
        <v>0</v>
      </c>
      <c r="AH8052" s="21">
        <f t="shared" si="158"/>
        <v>0</v>
      </c>
      <c r="AI8052" s="21"/>
      <c r="AJ8052" s="21" t="s">
        <v>51</v>
      </c>
      <c r="AK8052" s="21" t="s">
        <v>95</v>
      </c>
      <c r="AL8052" s="21"/>
      <c r="AM8052" s="21" t="s">
        <v>4266</v>
      </c>
      <c r="AN8052" s="21">
        <v>-122.398523466667</v>
      </c>
      <c r="AO8052" s="21">
        <v>37.785369016666699</v>
      </c>
      <c r="AP8052" s="21" t="s">
        <v>1915</v>
      </c>
    </row>
    <row r="8053" spans="1:42">
      <c r="A8053" s="20">
        <v>43866</v>
      </c>
      <c r="B8053" s="21">
        <v>3</v>
      </c>
      <c r="C8053" s="21">
        <v>572</v>
      </c>
      <c r="D8053" s="21">
        <v>11329</v>
      </c>
      <c r="E8053" t="s">
        <v>377</v>
      </c>
      <c r="F8053" s="21" t="s">
        <v>436</v>
      </c>
      <c r="G8053" s="21">
        <v>1</v>
      </c>
      <c r="H8053" s="21">
        <v>67</v>
      </c>
      <c r="I8053" s="23" t="s">
        <v>4267</v>
      </c>
      <c r="J8053" s="21"/>
      <c r="K8053" s="21" t="s">
        <v>389</v>
      </c>
      <c r="L8053" s="21"/>
      <c r="M8053" s="21"/>
      <c r="N8053" s="21" t="s">
        <v>40</v>
      </c>
      <c r="O8053" s="21">
        <f>120+42</f>
        <v>162</v>
      </c>
      <c r="P8053" s="21"/>
      <c r="Q8053" s="21">
        <f t="shared" si="157"/>
        <v>2</v>
      </c>
      <c r="R8053" s="21">
        <v>1</v>
      </c>
      <c r="S8053" s="21">
        <v>0</v>
      </c>
      <c r="T8053" s="21">
        <v>0</v>
      </c>
      <c r="U8053" s="21">
        <v>0</v>
      </c>
      <c r="V8053" s="21">
        <v>0</v>
      </c>
      <c r="W8053" s="21">
        <v>0</v>
      </c>
      <c r="X8053" s="21">
        <v>0</v>
      </c>
      <c r="Y8053" s="21">
        <v>0</v>
      </c>
      <c r="Z8053" s="21">
        <v>0</v>
      </c>
      <c r="AA8053" s="21">
        <v>0</v>
      </c>
      <c r="AB8053" s="21">
        <v>2</v>
      </c>
      <c r="AC8053" s="21">
        <v>0</v>
      </c>
      <c r="AD8053" s="21">
        <v>0</v>
      </c>
      <c r="AE8053" s="21">
        <v>0</v>
      </c>
      <c r="AF8053" s="21">
        <v>0</v>
      </c>
      <c r="AG8053" s="21">
        <v>0</v>
      </c>
      <c r="AH8053" s="21">
        <f t="shared" si="158"/>
        <v>0</v>
      </c>
      <c r="AI8053" s="21"/>
      <c r="AJ8053" s="21" t="s">
        <v>51</v>
      </c>
      <c r="AK8053" s="21" t="s">
        <v>95</v>
      </c>
      <c r="AL8053" s="21"/>
      <c r="AM8053" s="21" t="s">
        <v>4268</v>
      </c>
      <c r="AN8053" s="21">
        <v>-122.400106283333</v>
      </c>
      <c r="AO8053" s="21">
        <v>37.785707566666602</v>
      </c>
      <c r="AP8053" s="21" t="s">
        <v>1915</v>
      </c>
    </row>
    <row r="8054" spans="1:42">
      <c r="A8054" s="20">
        <v>43866</v>
      </c>
      <c r="B8054" s="21">
        <v>3</v>
      </c>
      <c r="C8054" s="21">
        <v>572</v>
      </c>
      <c r="D8054" s="21">
        <v>11329</v>
      </c>
      <c r="E8054" t="s">
        <v>377</v>
      </c>
      <c r="F8054" s="21" t="s">
        <v>436</v>
      </c>
      <c r="G8054" s="21">
        <v>1</v>
      </c>
      <c r="H8054" s="21">
        <v>68</v>
      </c>
      <c r="I8054" s="23" t="s">
        <v>3367</v>
      </c>
      <c r="J8054" s="21"/>
      <c r="K8054" s="21" t="s">
        <v>73</v>
      </c>
      <c r="L8054" s="21"/>
      <c r="M8054" s="21"/>
      <c r="N8054" s="21" t="s">
        <v>40</v>
      </c>
      <c r="O8054" s="21">
        <v>38</v>
      </c>
      <c r="P8054" s="21"/>
      <c r="Q8054" s="21">
        <f t="shared" si="157"/>
        <v>1</v>
      </c>
      <c r="R8054" s="21">
        <v>1</v>
      </c>
      <c r="S8054" s="21">
        <v>0</v>
      </c>
      <c r="T8054" s="21">
        <v>0</v>
      </c>
      <c r="U8054" s="21">
        <v>0</v>
      </c>
      <c r="V8054" s="21">
        <v>0</v>
      </c>
      <c r="W8054" s="21">
        <v>0</v>
      </c>
      <c r="X8054" s="21">
        <v>0</v>
      </c>
      <c r="Y8054" s="21">
        <v>0</v>
      </c>
      <c r="Z8054" s="21">
        <v>0</v>
      </c>
      <c r="AA8054" s="21">
        <v>0</v>
      </c>
      <c r="AB8054" s="21">
        <v>1</v>
      </c>
      <c r="AC8054" s="21">
        <v>0</v>
      </c>
      <c r="AD8054" s="21">
        <v>0</v>
      </c>
      <c r="AE8054" s="21">
        <v>0</v>
      </c>
      <c r="AF8054" s="21">
        <v>0</v>
      </c>
      <c r="AG8054" s="21">
        <v>0</v>
      </c>
      <c r="AH8054" s="21">
        <f t="shared" si="158"/>
        <v>0</v>
      </c>
      <c r="AI8054" s="21"/>
      <c r="AJ8054" s="21" t="s">
        <v>51</v>
      </c>
      <c r="AK8054" s="21" t="s">
        <v>95</v>
      </c>
      <c r="AL8054" s="21" t="s">
        <v>3660</v>
      </c>
      <c r="AM8054" s="21" t="s">
        <v>4269</v>
      </c>
      <c r="AN8054" s="21">
        <v>-122.40272356666701</v>
      </c>
      <c r="AO8054" s="21">
        <v>37.787179100000003</v>
      </c>
      <c r="AP8054" s="21" t="s">
        <v>1915</v>
      </c>
    </row>
    <row r="8055" spans="1:42">
      <c r="A8055" s="20">
        <v>43866</v>
      </c>
      <c r="B8055" s="21">
        <v>3</v>
      </c>
      <c r="C8055" s="21">
        <v>572</v>
      </c>
      <c r="D8055" s="21">
        <v>11329</v>
      </c>
      <c r="E8055" t="s">
        <v>377</v>
      </c>
      <c r="F8055" s="21" t="s">
        <v>436</v>
      </c>
      <c r="G8055" s="21">
        <v>1</v>
      </c>
      <c r="H8055" s="21">
        <v>69</v>
      </c>
      <c r="I8055" s="23" t="s">
        <v>4270</v>
      </c>
      <c r="J8055" s="21"/>
      <c r="K8055" s="21" t="s">
        <v>4271</v>
      </c>
      <c r="L8055" s="21"/>
      <c r="M8055" s="21"/>
      <c r="N8055" s="21" t="s">
        <v>40</v>
      </c>
      <c r="O8055" s="21">
        <f>60+60+60+60+60+60+60+47</f>
        <v>467</v>
      </c>
      <c r="P8055" s="21"/>
      <c r="Q8055" s="21">
        <f t="shared" si="157"/>
        <v>5</v>
      </c>
      <c r="R8055" s="21">
        <v>1</v>
      </c>
      <c r="S8055" s="21">
        <v>0</v>
      </c>
      <c r="T8055" s="21">
        <v>0</v>
      </c>
      <c r="U8055" s="21">
        <v>0</v>
      </c>
      <c r="V8055" s="21">
        <v>0</v>
      </c>
      <c r="W8055" s="21">
        <v>0</v>
      </c>
      <c r="X8055" s="21">
        <v>0</v>
      </c>
      <c r="Y8055" s="21">
        <v>0</v>
      </c>
      <c r="Z8055" s="21">
        <v>0</v>
      </c>
      <c r="AA8055" s="21">
        <v>0</v>
      </c>
      <c r="AB8055" s="21">
        <v>5</v>
      </c>
      <c r="AC8055" s="21">
        <v>0</v>
      </c>
      <c r="AD8055" s="21">
        <v>0</v>
      </c>
      <c r="AE8055" s="21">
        <v>0</v>
      </c>
      <c r="AF8055" s="21">
        <v>0</v>
      </c>
      <c r="AG8055" s="21">
        <v>0</v>
      </c>
      <c r="AH8055" s="21">
        <f t="shared" si="158"/>
        <v>0</v>
      </c>
      <c r="AI8055" s="21"/>
      <c r="AJ8055" s="21" t="s">
        <v>51</v>
      </c>
      <c r="AK8055" s="21" t="s">
        <v>95</v>
      </c>
      <c r="AL8055" s="21" t="s">
        <v>2087</v>
      </c>
      <c r="AM8055" s="21" t="s">
        <v>4272</v>
      </c>
      <c r="AN8055" s="21">
        <v>-122.40206771666701</v>
      </c>
      <c r="AO8055" s="21">
        <v>37.787500383333303</v>
      </c>
      <c r="AP8055" s="21" t="s">
        <v>1915</v>
      </c>
    </row>
    <row r="8056" spans="1:42">
      <c r="A8056" s="20">
        <v>43866</v>
      </c>
      <c r="B8056" s="21">
        <v>3</v>
      </c>
      <c r="C8056" s="21">
        <v>572</v>
      </c>
      <c r="D8056" s="21">
        <v>11329</v>
      </c>
      <c r="E8056" t="s">
        <v>377</v>
      </c>
      <c r="F8056" s="21" t="s">
        <v>436</v>
      </c>
      <c r="G8056" s="21">
        <v>1</v>
      </c>
      <c r="H8056" s="21">
        <v>70</v>
      </c>
      <c r="I8056" s="23" t="s">
        <v>3732</v>
      </c>
      <c r="J8056" s="21"/>
      <c r="K8056" s="21" t="s">
        <v>389</v>
      </c>
      <c r="L8056" s="21"/>
      <c r="M8056" s="21"/>
      <c r="N8056" s="21" t="s">
        <v>44</v>
      </c>
      <c r="O8056" s="21">
        <f>60+29</f>
        <v>89</v>
      </c>
      <c r="P8056" s="21"/>
      <c r="Q8056" s="21">
        <f t="shared" si="157"/>
        <v>1</v>
      </c>
      <c r="R8056" s="21">
        <v>1</v>
      </c>
      <c r="S8056" s="21">
        <v>0</v>
      </c>
      <c r="T8056" s="21">
        <v>0</v>
      </c>
      <c r="U8056" s="21">
        <v>0</v>
      </c>
      <c r="V8056" s="21">
        <v>0</v>
      </c>
      <c r="W8056" s="21">
        <v>0</v>
      </c>
      <c r="X8056" s="21">
        <v>0</v>
      </c>
      <c r="Y8056" s="21">
        <v>0</v>
      </c>
      <c r="Z8056" s="21">
        <v>1</v>
      </c>
      <c r="AA8056" s="21">
        <v>0</v>
      </c>
      <c r="AB8056" s="21">
        <v>0</v>
      </c>
      <c r="AC8056" s="21">
        <v>0</v>
      </c>
      <c r="AD8056" s="21">
        <v>0</v>
      </c>
      <c r="AE8056" s="21">
        <v>0</v>
      </c>
      <c r="AF8056" s="21">
        <v>0</v>
      </c>
      <c r="AG8056" s="21">
        <v>0</v>
      </c>
      <c r="AH8056" s="21">
        <f t="shared" si="158"/>
        <v>0</v>
      </c>
      <c r="AI8056" s="21"/>
      <c r="AJ8056" s="21" t="s">
        <v>51</v>
      </c>
      <c r="AK8056" s="21" t="s">
        <v>95</v>
      </c>
      <c r="AL8056" s="21" t="s">
        <v>4273</v>
      </c>
      <c r="AM8056" s="21" t="s">
        <v>4274</v>
      </c>
      <c r="AN8056" s="21">
        <v>-122.40163872241099</v>
      </c>
      <c r="AO8056" s="21">
        <v>37.786563021555303</v>
      </c>
      <c r="AP8056" s="21" t="s">
        <v>1915</v>
      </c>
    </row>
    <row r="8057" spans="1:42">
      <c r="A8057" s="20">
        <v>43866</v>
      </c>
      <c r="B8057" s="21">
        <v>3</v>
      </c>
      <c r="C8057" s="21">
        <v>572</v>
      </c>
      <c r="D8057" s="21">
        <v>11329</v>
      </c>
      <c r="E8057" t="s">
        <v>377</v>
      </c>
      <c r="F8057" s="21" t="s">
        <v>436</v>
      </c>
      <c r="G8057" s="21">
        <v>1</v>
      </c>
      <c r="H8057" s="21">
        <v>71</v>
      </c>
      <c r="I8057" s="23" t="s">
        <v>3437</v>
      </c>
      <c r="J8057" s="21"/>
      <c r="K8057" s="21" t="s">
        <v>389</v>
      </c>
      <c r="L8057" s="21"/>
      <c r="M8057" s="21"/>
      <c r="N8057" s="21" t="s">
        <v>40</v>
      </c>
      <c r="O8057" s="21">
        <f>60+60+60+60+18</f>
        <v>258</v>
      </c>
      <c r="P8057" s="21"/>
      <c r="Q8057" s="21">
        <f t="shared" si="157"/>
        <v>3</v>
      </c>
      <c r="R8057" s="21">
        <v>1</v>
      </c>
      <c r="S8057" s="21">
        <v>0</v>
      </c>
      <c r="T8057" s="21">
        <v>0</v>
      </c>
      <c r="U8057" s="21">
        <v>0</v>
      </c>
      <c r="V8057" s="21">
        <v>0</v>
      </c>
      <c r="W8057" s="21">
        <v>0</v>
      </c>
      <c r="X8057" s="21">
        <v>0</v>
      </c>
      <c r="Y8057" s="21">
        <v>0</v>
      </c>
      <c r="Z8057" s="21">
        <v>0</v>
      </c>
      <c r="AA8057" s="21">
        <v>2</v>
      </c>
      <c r="AB8057" s="21">
        <v>1</v>
      </c>
      <c r="AC8057" s="21">
        <v>0</v>
      </c>
      <c r="AD8057" s="21">
        <v>0</v>
      </c>
      <c r="AE8057" s="21">
        <v>0</v>
      </c>
      <c r="AF8057" s="21">
        <v>0</v>
      </c>
      <c r="AG8057" s="21">
        <v>0</v>
      </c>
      <c r="AH8057" s="21">
        <f t="shared" si="158"/>
        <v>0</v>
      </c>
      <c r="AI8057" s="21"/>
      <c r="AJ8057" s="21" t="s">
        <v>51</v>
      </c>
      <c r="AK8057" s="21" t="s">
        <v>95</v>
      </c>
      <c r="AL8057" s="21"/>
      <c r="AM8057" s="21" t="s">
        <v>4275</v>
      </c>
      <c r="AN8057" s="21">
        <v>-122.403345116667</v>
      </c>
      <c r="AO8057" s="21">
        <v>37.786757883333301</v>
      </c>
      <c r="AP8057" s="21" t="s">
        <v>1915</v>
      </c>
    </row>
    <row r="8058" spans="1:42">
      <c r="A8058" s="20">
        <v>43866</v>
      </c>
      <c r="B8058" s="21">
        <v>3</v>
      </c>
      <c r="C8058" s="21">
        <v>572</v>
      </c>
      <c r="D8058" s="21">
        <v>11329</v>
      </c>
      <c r="E8058" t="s">
        <v>377</v>
      </c>
      <c r="F8058" s="21" t="s">
        <v>436</v>
      </c>
      <c r="G8058" s="21">
        <v>1</v>
      </c>
      <c r="H8058" s="21">
        <v>72</v>
      </c>
      <c r="I8058" s="23" t="s">
        <v>4276</v>
      </c>
      <c r="J8058" s="21"/>
      <c r="K8058" s="21" t="s">
        <v>4271</v>
      </c>
      <c r="L8058" s="21"/>
      <c r="M8058" s="21"/>
      <c r="N8058" s="21" t="s">
        <v>40</v>
      </c>
      <c r="O8058" s="21">
        <f>60+17</f>
        <v>77</v>
      </c>
      <c r="P8058" s="21"/>
      <c r="Q8058" s="21">
        <f t="shared" si="157"/>
        <v>1</v>
      </c>
      <c r="R8058" s="21">
        <v>1</v>
      </c>
      <c r="S8058" s="21">
        <v>0</v>
      </c>
      <c r="T8058" s="21">
        <v>0</v>
      </c>
      <c r="U8058" s="21">
        <v>0</v>
      </c>
      <c r="V8058" s="21">
        <v>0</v>
      </c>
      <c r="W8058" s="21">
        <v>0</v>
      </c>
      <c r="X8058" s="21">
        <v>0</v>
      </c>
      <c r="Y8058" s="21">
        <v>1</v>
      </c>
      <c r="Z8058" s="21">
        <v>0</v>
      </c>
      <c r="AA8058" s="21">
        <v>0</v>
      </c>
      <c r="AB8058" s="21">
        <v>0</v>
      </c>
      <c r="AC8058" s="21">
        <v>0</v>
      </c>
      <c r="AD8058" s="21">
        <v>0</v>
      </c>
      <c r="AE8058" s="21">
        <v>0</v>
      </c>
      <c r="AF8058" s="21">
        <v>0</v>
      </c>
      <c r="AG8058" s="21">
        <v>0</v>
      </c>
      <c r="AH8058" s="21">
        <f t="shared" si="158"/>
        <v>0</v>
      </c>
      <c r="AI8058" s="21"/>
      <c r="AJ8058" s="21" t="s">
        <v>51</v>
      </c>
      <c r="AK8058" s="21" t="s">
        <v>95</v>
      </c>
      <c r="AL8058" s="21"/>
      <c r="AM8058" s="21" t="s">
        <v>4277</v>
      </c>
      <c r="AN8058" s="21">
        <v>-122.401415433333</v>
      </c>
      <c r="AO8058" s="21">
        <v>37.7873697333333</v>
      </c>
      <c r="AP8058" s="21" t="s">
        <v>1915</v>
      </c>
    </row>
    <row r="8059" spans="1:42">
      <c r="A8059" s="20">
        <v>43866</v>
      </c>
      <c r="B8059" s="21">
        <v>3</v>
      </c>
      <c r="C8059" s="21">
        <v>572</v>
      </c>
      <c r="D8059" s="21">
        <v>11329</v>
      </c>
      <c r="E8059" t="s">
        <v>377</v>
      </c>
      <c r="F8059" s="21" t="s">
        <v>436</v>
      </c>
      <c r="G8059" s="21">
        <v>1</v>
      </c>
      <c r="H8059" s="21">
        <v>73</v>
      </c>
      <c r="I8059" s="23" t="s">
        <v>3442</v>
      </c>
      <c r="J8059" s="21"/>
      <c r="K8059" s="21" t="s">
        <v>406</v>
      </c>
      <c r="L8059" s="21"/>
      <c r="M8059" s="21"/>
      <c r="N8059" s="21" t="s">
        <v>44</v>
      </c>
      <c r="O8059" s="21">
        <f>60+60+60+26</f>
        <v>206</v>
      </c>
      <c r="P8059" s="21"/>
      <c r="Q8059" s="21">
        <f t="shared" si="157"/>
        <v>1</v>
      </c>
      <c r="R8059" s="21">
        <v>1</v>
      </c>
      <c r="S8059" s="21">
        <v>0</v>
      </c>
      <c r="T8059" s="21">
        <v>0</v>
      </c>
      <c r="U8059" s="21">
        <v>0</v>
      </c>
      <c r="V8059" s="21">
        <v>0</v>
      </c>
      <c r="W8059" s="21">
        <v>0</v>
      </c>
      <c r="X8059" s="21">
        <v>0</v>
      </c>
      <c r="Y8059" s="21">
        <v>0</v>
      </c>
      <c r="Z8059" s="21">
        <v>0</v>
      </c>
      <c r="AA8059" s="21">
        <v>0</v>
      </c>
      <c r="AB8059" s="21">
        <v>0</v>
      </c>
      <c r="AC8059" s="21">
        <v>1</v>
      </c>
      <c r="AD8059" s="21">
        <v>0</v>
      </c>
      <c r="AE8059" s="21">
        <v>0</v>
      </c>
      <c r="AF8059" s="21">
        <v>0</v>
      </c>
      <c r="AG8059" s="21">
        <v>0</v>
      </c>
      <c r="AH8059" s="21">
        <f t="shared" si="158"/>
        <v>0</v>
      </c>
      <c r="AI8059" s="21"/>
      <c r="AJ8059" s="21" t="s">
        <v>51</v>
      </c>
      <c r="AK8059" s="21" t="s">
        <v>95</v>
      </c>
      <c r="AL8059" s="21" t="s">
        <v>4278</v>
      </c>
      <c r="AM8059" s="21" t="s">
        <v>4279</v>
      </c>
      <c r="AN8059" s="21">
        <v>-122.40233924360101</v>
      </c>
      <c r="AO8059" s="21">
        <v>37.782930241861699</v>
      </c>
      <c r="AP8059" s="21" t="s">
        <v>1915</v>
      </c>
    </row>
    <row r="8060" spans="1:42">
      <c r="A8060" s="20">
        <v>43866</v>
      </c>
      <c r="B8060" s="21">
        <v>3</v>
      </c>
      <c r="C8060" s="21">
        <v>572</v>
      </c>
      <c r="D8060" s="21">
        <v>11329</v>
      </c>
      <c r="E8060" t="s">
        <v>377</v>
      </c>
      <c r="F8060" s="21" t="s">
        <v>436</v>
      </c>
      <c r="G8060" s="21">
        <v>1</v>
      </c>
      <c r="H8060" s="21">
        <v>74</v>
      </c>
      <c r="I8060" s="23" t="s">
        <v>4132</v>
      </c>
      <c r="J8060" s="21"/>
      <c r="K8060" s="21" t="s">
        <v>4280</v>
      </c>
      <c r="L8060" s="21"/>
      <c r="M8060" s="21"/>
      <c r="N8060" s="21" t="s">
        <v>40</v>
      </c>
      <c r="O8060" s="21">
        <f>60+19</f>
        <v>79</v>
      </c>
      <c r="P8060" s="21"/>
      <c r="Q8060" s="21">
        <f t="shared" si="157"/>
        <v>1</v>
      </c>
      <c r="R8060" s="21">
        <v>1</v>
      </c>
      <c r="S8060" s="21">
        <v>0</v>
      </c>
      <c r="T8060" s="21">
        <v>0</v>
      </c>
      <c r="U8060" s="21">
        <v>0</v>
      </c>
      <c r="V8060" s="21">
        <v>0</v>
      </c>
      <c r="W8060" s="21">
        <v>0</v>
      </c>
      <c r="X8060" s="21">
        <v>0</v>
      </c>
      <c r="Y8060" s="21">
        <v>0</v>
      </c>
      <c r="Z8060" s="21">
        <v>0</v>
      </c>
      <c r="AA8060" s="21">
        <v>0</v>
      </c>
      <c r="AB8060" s="21">
        <v>1</v>
      </c>
      <c r="AC8060" s="21">
        <v>0</v>
      </c>
      <c r="AD8060" s="21">
        <v>0</v>
      </c>
      <c r="AE8060" s="21">
        <v>0</v>
      </c>
      <c r="AF8060" s="21">
        <v>0</v>
      </c>
      <c r="AG8060" s="21">
        <v>0</v>
      </c>
      <c r="AH8060" s="21">
        <f t="shared" si="158"/>
        <v>0</v>
      </c>
      <c r="AI8060" s="21"/>
      <c r="AJ8060" s="21" t="s">
        <v>51</v>
      </c>
      <c r="AK8060" s="21" t="s">
        <v>52</v>
      </c>
      <c r="AL8060" s="21" t="s">
        <v>3660</v>
      </c>
      <c r="AM8060" s="21" t="s">
        <v>4281</v>
      </c>
      <c r="AN8060" s="21">
        <v>-122.3968323</v>
      </c>
      <c r="AO8060" s="21">
        <v>37.783899266666701</v>
      </c>
      <c r="AP8060" s="21" t="s">
        <v>1915</v>
      </c>
    </row>
    <row r="8061" spans="1:42">
      <c r="A8061" s="20">
        <v>43866</v>
      </c>
      <c r="B8061" s="21">
        <v>3</v>
      </c>
      <c r="C8061" s="21">
        <v>572</v>
      </c>
      <c r="D8061" s="21">
        <v>11329</v>
      </c>
      <c r="E8061" t="s">
        <v>377</v>
      </c>
      <c r="F8061" s="21" t="s">
        <v>436</v>
      </c>
      <c r="G8061" s="21">
        <v>1</v>
      </c>
      <c r="H8061" s="21">
        <v>75</v>
      </c>
      <c r="I8061" s="23" t="s">
        <v>4282</v>
      </c>
      <c r="J8061" s="21"/>
      <c r="K8061" s="21" t="s">
        <v>380</v>
      </c>
      <c r="L8061" s="21"/>
      <c r="M8061" s="21"/>
      <c r="N8061" s="21" t="s">
        <v>40</v>
      </c>
      <c r="O8061" s="21">
        <f>60+11</f>
        <v>71</v>
      </c>
      <c r="P8061" s="21"/>
      <c r="Q8061" s="21">
        <f t="shared" si="157"/>
        <v>1</v>
      </c>
      <c r="R8061" s="21">
        <v>1</v>
      </c>
      <c r="S8061" s="21">
        <v>0</v>
      </c>
      <c r="T8061" s="21">
        <v>0</v>
      </c>
      <c r="U8061" s="21">
        <v>0</v>
      </c>
      <c r="V8061" s="21">
        <v>0</v>
      </c>
      <c r="W8061" s="21">
        <v>0</v>
      </c>
      <c r="X8061" s="21">
        <v>0</v>
      </c>
      <c r="Y8061" s="21">
        <v>0</v>
      </c>
      <c r="Z8061" s="21">
        <v>0</v>
      </c>
      <c r="AA8061" s="21">
        <v>1</v>
      </c>
      <c r="AB8061" s="21">
        <v>0</v>
      </c>
      <c r="AC8061" s="21">
        <v>0</v>
      </c>
      <c r="AD8061" s="21">
        <v>0</v>
      </c>
      <c r="AE8061" s="21">
        <v>0</v>
      </c>
      <c r="AF8061" s="21">
        <v>0</v>
      </c>
      <c r="AG8061" s="21">
        <v>0</v>
      </c>
      <c r="AH8061" s="21">
        <f t="shared" si="158"/>
        <v>0</v>
      </c>
      <c r="AI8061" s="21"/>
      <c r="AJ8061" s="21" t="s">
        <v>51</v>
      </c>
      <c r="AK8061" s="21" t="s">
        <v>95</v>
      </c>
      <c r="AL8061" s="21"/>
      <c r="AM8061" s="21" t="s">
        <v>4283</v>
      </c>
      <c r="AN8061" s="21">
        <v>-122.390529966667</v>
      </c>
      <c r="AO8061" s="21">
        <v>37.781995850000001</v>
      </c>
      <c r="AP8061" s="21" t="s">
        <v>1915</v>
      </c>
    </row>
    <row r="8062" spans="1:42">
      <c r="A8062" s="20">
        <v>43866</v>
      </c>
      <c r="B8062" s="21">
        <v>3</v>
      </c>
      <c r="C8062" s="21">
        <v>572</v>
      </c>
      <c r="D8062" s="21">
        <v>11329</v>
      </c>
      <c r="E8062" t="s">
        <v>377</v>
      </c>
      <c r="F8062" s="21" t="s">
        <v>436</v>
      </c>
      <c r="G8062" s="21">
        <v>1</v>
      </c>
      <c r="H8062" s="21">
        <v>76</v>
      </c>
      <c r="I8062" s="23" t="s">
        <v>4284</v>
      </c>
      <c r="J8062" s="21"/>
      <c r="K8062" s="21" t="s">
        <v>378</v>
      </c>
      <c r="L8062" s="21"/>
      <c r="M8062" s="21"/>
      <c r="N8062" s="21" t="s">
        <v>1703</v>
      </c>
      <c r="O8062" s="21">
        <v>45</v>
      </c>
      <c r="P8062" s="21"/>
      <c r="Q8062" s="21">
        <f t="shared" si="157"/>
        <v>1</v>
      </c>
      <c r="R8062" s="21">
        <v>1</v>
      </c>
      <c r="S8062" s="21">
        <v>0</v>
      </c>
      <c r="T8062" s="21">
        <v>0</v>
      </c>
      <c r="U8062" s="21">
        <v>0</v>
      </c>
      <c r="V8062" s="21">
        <v>0</v>
      </c>
      <c r="W8062" s="21">
        <v>0</v>
      </c>
      <c r="X8062" s="21">
        <v>0</v>
      </c>
      <c r="Y8062" s="21">
        <v>1</v>
      </c>
      <c r="Z8062" s="21">
        <v>0</v>
      </c>
      <c r="AA8062" s="21">
        <v>0</v>
      </c>
      <c r="AB8062" s="21">
        <v>0</v>
      </c>
      <c r="AC8062" s="21">
        <v>0</v>
      </c>
      <c r="AD8062" s="21">
        <v>0</v>
      </c>
      <c r="AE8062" s="21">
        <v>0</v>
      </c>
      <c r="AF8062" s="21">
        <v>0</v>
      </c>
      <c r="AG8062" s="21">
        <v>0</v>
      </c>
      <c r="AH8062" s="21">
        <f t="shared" si="158"/>
        <v>0</v>
      </c>
      <c r="AI8062" s="21"/>
      <c r="AJ8062" s="21" t="s">
        <v>51</v>
      </c>
      <c r="AK8062" s="21" t="s">
        <v>95</v>
      </c>
      <c r="AL8062" s="21" t="s">
        <v>4285</v>
      </c>
      <c r="AM8062" s="21" t="s">
        <v>4286</v>
      </c>
      <c r="AN8062" s="21">
        <v>-122.390406933333</v>
      </c>
      <c r="AO8062" s="21">
        <v>37.785731550000001</v>
      </c>
      <c r="AP8062" s="21" t="s">
        <v>1915</v>
      </c>
    </row>
    <row r="8063" spans="1:42">
      <c r="A8063" s="20">
        <v>43866</v>
      </c>
      <c r="B8063" s="21">
        <v>3</v>
      </c>
      <c r="C8063" s="21">
        <v>572</v>
      </c>
      <c r="D8063" s="21">
        <v>11329</v>
      </c>
      <c r="E8063" t="s">
        <v>377</v>
      </c>
      <c r="F8063" s="21" t="s">
        <v>436</v>
      </c>
      <c r="G8063" s="21">
        <v>1</v>
      </c>
      <c r="H8063" s="21">
        <v>77</v>
      </c>
      <c r="I8063" s="23" t="s">
        <v>4287</v>
      </c>
      <c r="J8063" s="21"/>
      <c r="K8063" s="21" t="s">
        <v>378</v>
      </c>
      <c r="L8063" s="21"/>
      <c r="M8063" s="21"/>
      <c r="N8063" s="21" t="s">
        <v>40</v>
      </c>
      <c r="O8063" s="21">
        <v>76</v>
      </c>
      <c r="P8063" s="21"/>
      <c r="Q8063" s="21">
        <f t="shared" si="157"/>
        <v>1</v>
      </c>
      <c r="R8063" s="21">
        <v>1</v>
      </c>
      <c r="S8063" s="21">
        <v>0</v>
      </c>
      <c r="T8063" s="21">
        <v>0</v>
      </c>
      <c r="U8063" s="21">
        <v>0</v>
      </c>
      <c r="V8063" s="21">
        <v>0</v>
      </c>
      <c r="W8063" s="21">
        <v>0</v>
      </c>
      <c r="X8063" s="21">
        <v>0</v>
      </c>
      <c r="Y8063" s="21">
        <v>0</v>
      </c>
      <c r="Z8063" s="21">
        <v>0</v>
      </c>
      <c r="AA8063" s="21">
        <v>1</v>
      </c>
      <c r="AB8063" s="21">
        <v>0</v>
      </c>
      <c r="AC8063" s="21">
        <v>0</v>
      </c>
      <c r="AD8063" s="21">
        <v>0</v>
      </c>
      <c r="AE8063" s="21">
        <v>0</v>
      </c>
      <c r="AF8063" s="21">
        <v>0</v>
      </c>
      <c r="AG8063" s="21">
        <v>0</v>
      </c>
      <c r="AH8063" s="21">
        <f t="shared" si="158"/>
        <v>0</v>
      </c>
      <c r="AI8063" s="21"/>
      <c r="AJ8063" s="21" t="s">
        <v>51</v>
      </c>
      <c r="AK8063" s="21" t="s">
        <v>95</v>
      </c>
      <c r="AL8063" s="21"/>
      <c r="AM8063" s="21" t="s">
        <v>4288</v>
      </c>
      <c r="AN8063" s="21">
        <v>-122.390268616667</v>
      </c>
      <c r="AO8063" s="21">
        <v>37.7858472333333</v>
      </c>
      <c r="AP8063" s="21" t="s">
        <v>1915</v>
      </c>
    </row>
    <row r="8064" spans="1:42">
      <c r="A8064" s="20">
        <v>43866</v>
      </c>
      <c r="B8064" s="21">
        <v>3</v>
      </c>
      <c r="C8064" s="21">
        <v>572</v>
      </c>
      <c r="D8064" s="21">
        <v>11329</v>
      </c>
      <c r="E8064" t="s">
        <v>377</v>
      </c>
      <c r="F8064" s="21" t="s">
        <v>436</v>
      </c>
      <c r="G8064" s="21">
        <v>1</v>
      </c>
      <c r="H8064" s="21">
        <v>78</v>
      </c>
      <c r="I8064" s="23" t="s">
        <v>4287</v>
      </c>
      <c r="J8064" s="21"/>
      <c r="K8064" s="21" t="s">
        <v>378</v>
      </c>
      <c r="L8064" s="21"/>
      <c r="M8064" s="21"/>
      <c r="N8064" s="21" t="s">
        <v>40</v>
      </c>
      <c r="O8064" s="21">
        <v>83</v>
      </c>
      <c r="P8064" s="21"/>
      <c r="Q8064" s="21">
        <f t="shared" ref="Q8064:Q8127" si="159">SUM(S8064:AE8064)</f>
        <v>1</v>
      </c>
      <c r="R8064" s="21">
        <v>1</v>
      </c>
      <c r="S8064" s="21">
        <v>0</v>
      </c>
      <c r="T8064" s="21">
        <v>0</v>
      </c>
      <c r="U8064" s="21">
        <v>0</v>
      </c>
      <c r="V8064" s="21">
        <v>0</v>
      </c>
      <c r="W8064" s="21">
        <v>0</v>
      </c>
      <c r="X8064" s="21">
        <v>0</v>
      </c>
      <c r="Y8064" s="21">
        <v>0</v>
      </c>
      <c r="Z8064" s="21">
        <v>0</v>
      </c>
      <c r="AA8064" s="21">
        <v>1</v>
      </c>
      <c r="AB8064" s="21">
        <v>0</v>
      </c>
      <c r="AC8064" s="21">
        <v>0</v>
      </c>
      <c r="AD8064" s="21">
        <v>0</v>
      </c>
      <c r="AE8064" s="21">
        <v>0</v>
      </c>
      <c r="AF8064" s="21">
        <v>0</v>
      </c>
      <c r="AG8064" s="21">
        <v>0</v>
      </c>
      <c r="AH8064" s="21">
        <f t="shared" ref="AH8064:AH8127" si="160">(S8064*16)+(T8064*20)+(U8064*32)+(V8064*64)+(W8064*96)</f>
        <v>0</v>
      </c>
      <c r="AI8064" s="21"/>
      <c r="AJ8064" s="21" t="s">
        <v>51</v>
      </c>
      <c r="AK8064" s="21" t="s">
        <v>95</v>
      </c>
      <c r="AL8064" s="21"/>
      <c r="AM8064" s="21" t="s">
        <v>4289</v>
      </c>
      <c r="AN8064" s="21">
        <v>-122.390266183333</v>
      </c>
      <c r="AO8064" s="21">
        <v>37.7858488166667</v>
      </c>
      <c r="AP8064" s="21" t="s">
        <v>1915</v>
      </c>
    </row>
    <row r="8065" spans="1:42">
      <c r="A8065" s="20">
        <v>43866</v>
      </c>
      <c r="B8065" s="21">
        <v>3</v>
      </c>
      <c r="C8065" s="21">
        <v>572</v>
      </c>
      <c r="D8065" s="21">
        <v>11329</v>
      </c>
      <c r="E8065" t="s">
        <v>377</v>
      </c>
      <c r="F8065" s="21" t="s">
        <v>436</v>
      </c>
      <c r="G8065" s="21">
        <v>1</v>
      </c>
      <c r="H8065" s="21">
        <v>79</v>
      </c>
      <c r="I8065" s="23" t="s">
        <v>4287</v>
      </c>
      <c r="J8065" s="21"/>
      <c r="K8065" s="21" t="s">
        <v>378</v>
      </c>
      <c r="L8065" s="21"/>
      <c r="M8065" s="21"/>
      <c r="N8065" s="21" t="s">
        <v>40</v>
      </c>
      <c r="O8065" s="21">
        <v>65</v>
      </c>
      <c r="P8065" s="21"/>
      <c r="Q8065" s="21">
        <f t="shared" si="159"/>
        <v>1</v>
      </c>
      <c r="R8065" s="21">
        <v>1</v>
      </c>
      <c r="S8065" s="21">
        <v>0</v>
      </c>
      <c r="T8065" s="21">
        <v>0</v>
      </c>
      <c r="U8065" s="21">
        <v>0</v>
      </c>
      <c r="V8065" s="21">
        <v>0</v>
      </c>
      <c r="W8065" s="21">
        <v>0</v>
      </c>
      <c r="X8065" s="21">
        <v>0</v>
      </c>
      <c r="Y8065" s="21">
        <v>0</v>
      </c>
      <c r="Z8065" s="21">
        <v>1</v>
      </c>
      <c r="AA8065" s="21">
        <v>0</v>
      </c>
      <c r="AB8065" s="21">
        <v>0</v>
      </c>
      <c r="AC8065" s="21">
        <v>0</v>
      </c>
      <c r="AD8065" s="21">
        <v>0</v>
      </c>
      <c r="AE8065" s="21">
        <v>0</v>
      </c>
      <c r="AF8065" s="21">
        <v>0</v>
      </c>
      <c r="AG8065" s="21">
        <v>0</v>
      </c>
      <c r="AH8065" s="21">
        <f t="shared" si="160"/>
        <v>0</v>
      </c>
      <c r="AI8065" s="21"/>
      <c r="AJ8065" s="21" t="s">
        <v>51</v>
      </c>
      <c r="AK8065" s="21" t="s">
        <v>95</v>
      </c>
      <c r="AL8065" s="21"/>
      <c r="AM8065" s="21" t="s">
        <v>4290</v>
      </c>
      <c r="AN8065" s="21">
        <v>-122.39020545</v>
      </c>
      <c r="AO8065" s="21">
        <v>37.785855150000003</v>
      </c>
      <c r="AP8065" s="21" t="s">
        <v>1915</v>
      </c>
    </row>
    <row r="8066" spans="1:42">
      <c r="A8066" s="20">
        <v>43866</v>
      </c>
      <c r="B8066" s="21">
        <v>3</v>
      </c>
      <c r="C8066" s="21">
        <v>572</v>
      </c>
      <c r="D8066" s="21">
        <v>11329</v>
      </c>
      <c r="E8066" t="s">
        <v>377</v>
      </c>
      <c r="F8066" s="21" t="s">
        <v>436</v>
      </c>
      <c r="G8066" s="21">
        <v>1</v>
      </c>
      <c r="H8066" s="21">
        <v>80</v>
      </c>
      <c r="I8066" s="23" t="s">
        <v>4287</v>
      </c>
      <c r="J8066" s="21"/>
      <c r="K8066" s="21" t="s">
        <v>378</v>
      </c>
      <c r="L8066" s="21"/>
      <c r="M8066" s="21"/>
      <c r="N8066" s="21" t="s">
        <v>40</v>
      </c>
      <c r="O8066" s="21">
        <v>62</v>
      </c>
      <c r="P8066" s="21"/>
      <c r="Q8066" s="21">
        <f t="shared" si="159"/>
        <v>1</v>
      </c>
      <c r="R8066" s="21">
        <v>1</v>
      </c>
      <c r="S8066" s="21">
        <v>0</v>
      </c>
      <c r="T8066" s="21">
        <v>0</v>
      </c>
      <c r="U8066" s="21">
        <v>0</v>
      </c>
      <c r="V8066" s="21">
        <v>0</v>
      </c>
      <c r="W8066" s="21">
        <v>0</v>
      </c>
      <c r="X8066" s="21">
        <v>0</v>
      </c>
      <c r="Y8066" s="21">
        <v>0</v>
      </c>
      <c r="Z8066" s="21">
        <v>0</v>
      </c>
      <c r="AA8066" s="21">
        <v>1</v>
      </c>
      <c r="AB8066" s="21">
        <v>0</v>
      </c>
      <c r="AC8066" s="21">
        <v>0</v>
      </c>
      <c r="AD8066" s="21">
        <v>0</v>
      </c>
      <c r="AE8066" s="21">
        <v>0</v>
      </c>
      <c r="AF8066" s="21">
        <v>0</v>
      </c>
      <c r="AG8066" s="21">
        <v>0</v>
      </c>
      <c r="AH8066" s="21">
        <f t="shared" si="160"/>
        <v>0</v>
      </c>
      <c r="AI8066" s="21"/>
      <c r="AJ8066" s="21" t="s">
        <v>51</v>
      </c>
      <c r="AK8066" s="21" t="s">
        <v>95</v>
      </c>
      <c r="AL8066" s="21"/>
      <c r="AM8066" s="21" t="s">
        <v>4291</v>
      </c>
      <c r="AN8066" s="21">
        <v>-122.39021118333299</v>
      </c>
      <c r="AO8066" s="21">
        <v>37.785922599999999</v>
      </c>
      <c r="AP8066" s="21" t="s">
        <v>1915</v>
      </c>
    </row>
    <row r="8067" spans="1:42">
      <c r="A8067" s="20">
        <v>43866</v>
      </c>
      <c r="B8067" s="21">
        <v>3</v>
      </c>
      <c r="C8067" s="21">
        <v>572</v>
      </c>
      <c r="D8067" s="21">
        <v>11329</v>
      </c>
      <c r="E8067" t="s">
        <v>377</v>
      </c>
      <c r="F8067" s="21" t="s">
        <v>436</v>
      </c>
      <c r="G8067" s="21">
        <v>1</v>
      </c>
      <c r="H8067" s="21">
        <v>81</v>
      </c>
      <c r="I8067" s="23" t="s">
        <v>4270</v>
      </c>
      <c r="J8067" s="21"/>
      <c r="K8067" s="21" t="s">
        <v>381</v>
      </c>
      <c r="L8067" s="21"/>
      <c r="M8067" s="21"/>
      <c r="N8067" s="21" t="s">
        <v>1703</v>
      </c>
      <c r="O8067" s="21">
        <f>60+60+35</f>
        <v>155</v>
      </c>
      <c r="P8067" s="21"/>
      <c r="Q8067" s="21">
        <f t="shared" si="159"/>
        <v>2</v>
      </c>
      <c r="R8067" s="21">
        <v>1</v>
      </c>
      <c r="S8067" s="21">
        <v>0</v>
      </c>
      <c r="T8067" s="21">
        <v>0</v>
      </c>
      <c r="U8067" s="21">
        <v>0</v>
      </c>
      <c r="V8067" s="21">
        <v>0</v>
      </c>
      <c r="W8067" s="21">
        <v>0</v>
      </c>
      <c r="X8067" s="21">
        <v>0</v>
      </c>
      <c r="Y8067" s="21">
        <v>0</v>
      </c>
      <c r="Z8067" s="21">
        <v>0</v>
      </c>
      <c r="AA8067" s="21">
        <v>2</v>
      </c>
      <c r="AB8067" s="21">
        <v>0</v>
      </c>
      <c r="AC8067" s="21">
        <v>0</v>
      </c>
      <c r="AD8067" s="21">
        <v>0</v>
      </c>
      <c r="AE8067" s="21">
        <v>0</v>
      </c>
      <c r="AF8067" s="21">
        <v>0</v>
      </c>
      <c r="AG8067" s="21">
        <v>0</v>
      </c>
      <c r="AH8067" s="21">
        <f t="shared" si="160"/>
        <v>0</v>
      </c>
      <c r="AI8067" s="21"/>
      <c r="AJ8067" s="21" t="s">
        <v>51</v>
      </c>
      <c r="AK8067" s="21" t="s">
        <v>95</v>
      </c>
      <c r="AL8067" s="21" t="s">
        <v>4292</v>
      </c>
      <c r="AM8067" s="21" t="s">
        <v>4293</v>
      </c>
      <c r="AN8067" s="21">
        <v>-122.3890303</v>
      </c>
      <c r="AO8067" s="21">
        <v>37.782977583333299</v>
      </c>
      <c r="AP8067" s="21" t="s">
        <v>1915</v>
      </c>
    </row>
    <row r="8068" spans="1:42">
      <c r="A8068" s="20">
        <v>43866</v>
      </c>
      <c r="B8068" s="21">
        <v>3</v>
      </c>
      <c r="C8068" s="21">
        <v>572</v>
      </c>
      <c r="D8068" s="21">
        <v>11329</v>
      </c>
      <c r="E8068" t="s">
        <v>377</v>
      </c>
      <c r="F8068" s="21" t="s">
        <v>436</v>
      </c>
      <c r="G8068" s="21">
        <v>1</v>
      </c>
      <c r="H8068" s="21">
        <v>82</v>
      </c>
      <c r="I8068" s="23" t="s">
        <v>4294</v>
      </c>
      <c r="J8068" s="21"/>
      <c r="K8068" s="21" t="s">
        <v>107</v>
      </c>
      <c r="L8068" s="21"/>
      <c r="M8068" s="21"/>
      <c r="N8068" s="21" t="s">
        <v>40</v>
      </c>
      <c r="O8068" s="21">
        <v>77</v>
      </c>
      <c r="P8068" s="21"/>
      <c r="Q8068" s="21">
        <f t="shared" si="159"/>
        <v>1</v>
      </c>
      <c r="R8068" s="21">
        <v>1</v>
      </c>
      <c r="S8068" s="21">
        <v>0</v>
      </c>
      <c r="T8068" s="21">
        <v>0</v>
      </c>
      <c r="U8068" s="21">
        <v>0</v>
      </c>
      <c r="V8068" s="21">
        <v>0</v>
      </c>
      <c r="W8068" s="21">
        <v>0</v>
      </c>
      <c r="X8068" s="21">
        <v>0</v>
      </c>
      <c r="Y8068" s="21">
        <v>0</v>
      </c>
      <c r="Z8068" s="21">
        <v>0</v>
      </c>
      <c r="AA8068" s="21">
        <v>1</v>
      </c>
      <c r="AB8068" s="21">
        <v>0</v>
      </c>
      <c r="AC8068" s="21">
        <v>0</v>
      </c>
      <c r="AD8068" s="21">
        <v>0</v>
      </c>
      <c r="AE8068" s="21">
        <v>0</v>
      </c>
      <c r="AF8068" s="21">
        <v>0</v>
      </c>
      <c r="AG8068" s="21">
        <v>0</v>
      </c>
      <c r="AH8068" s="21">
        <f t="shared" si="160"/>
        <v>0</v>
      </c>
      <c r="AI8068" s="21"/>
      <c r="AJ8068" s="21" t="s">
        <v>51</v>
      </c>
      <c r="AK8068" s="21" t="s">
        <v>52</v>
      </c>
      <c r="AL8068" s="21" t="s">
        <v>1983</v>
      </c>
      <c r="AM8068" s="21" t="s">
        <v>4295</v>
      </c>
      <c r="AN8068" s="21">
        <v>-122.403459233333</v>
      </c>
      <c r="AO8068" s="21">
        <v>37.779455916666599</v>
      </c>
      <c r="AP8068" s="21" t="s">
        <v>1915</v>
      </c>
    </row>
    <row r="8069" spans="1:42">
      <c r="A8069" s="20">
        <v>43866</v>
      </c>
      <c r="B8069" s="21">
        <v>3</v>
      </c>
      <c r="C8069" s="21">
        <v>572</v>
      </c>
      <c r="D8069" s="21">
        <v>11329</v>
      </c>
      <c r="E8069" t="s">
        <v>377</v>
      </c>
      <c r="F8069" s="21" t="s">
        <v>436</v>
      </c>
      <c r="G8069" s="21">
        <v>1</v>
      </c>
      <c r="H8069" s="21">
        <v>83</v>
      </c>
      <c r="I8069" s="23" t="s">
        <v>4296</v>
      </c>
      <c r="J8069" s="21"/>
      <c r="K8069" s="21" t="s">
        <v>4297</v>
      </c>
      <c r="L8069" s="21"/>
      <c r="M8069" s="21"/>
      <c r="N8069" s="21" t="s">
        <v>40</v>
      </c>
      <c r="O8069" s="21">
        <f>60+48</f>
        <v>108</v>
      </c>
      <c r="P8069" s="21"/>
      <c r="Q8069" s="21">
        <f t="shared" si="159"/>
        <v>1</v>
      </c>
      <c r="R8069" s="21">
        <v>1</v>
      </c>
      <c r="S8069" s="21">
        <v>0</v>
      </c>
      <c r="T8069" s="21">
        <v>0</v>
      </c>
      <c r="U8069" s="21">
        <v>0</v>
      </c>
      <c r="V8069" s="21">
        <v>0</v>
      </c>
      <c r="W8069" s="21">
        <v>0</v>
      </c>
      <c r="X8069" s="21">
        <v>0</v>
      </c>
      <c r="Y8069" s="21">
        <v>0</v>
      </c>
      <c r="Z8069" s="21">
        <v>0</v>
      </c>
      <c r="AA8069" s="21">
        <v>1</v>
      </c>
      <c r="AB8069" s="21">
        <v>0</v>
      </c>
      <c r="AC8069" s="21">
        <v>0</v>
      </c>
      <c r="AD8069" s="21">
        <v>0</v>
      </c>
      <c r="AE8069" s="21">
        <v>0</v>
      </c>
      <c r="AF8069" s="21">
        <v>0</v>
      </c>
      <c r="AG8069" s="21">
        <v>0</v>
      </c>
      <c r="AH8069" s="21">
        <f t="shared" si="160"/>
        <v>0</v>
      </c>
      <c r="AI8069" s="21"/>
      <c r="AJ8069" s="21" t="s">
        <v>51</v>
      </c>
      <c r="AK8069" s="21" t="s">
        <v>52</v>
      </c>
      <c r="AL8069" s="21"/>
      <c r="AM8069" s="21" t="s">
        <v>4298</v>
      </c>
      <c r="AN8069" s="21">
        <v>-122.40471504999999</v>
      </c>
      <c r="AO8069" s="21">
        <v>37.780831083333297</v>
      </c>
      <c r="AP8069" s="21" t="s">
        <v>1915</v>
      </c>
    </row>
    <row r="8070" spans="1:42">
      <c r="A8070" s="20">
        <v>43866</v>
      </c>
      <c r="B8070" s="21">
        <v>3</v>
      </c>
      <c r="C8070" s="21">
        <v>572</v>
      </c>
      <c r="D8070" s="21">
        <v>11329</v>
      </c>
      <c r="E8070" t="s">
        <v>377</v>
      </c>
      <c r="F8070" s="21" t="s">
        <v>436</v>
      </c>
      <c r="G8070" s="21">
        <v>1</v>
      </c>
      <c r="H8070" s="21">
        <v>84</v>
      </c>
      <c r="I8070" s="23" t="s">
        <v>4296</v>
      </c>
      <c r="J8070" s="21"/>
      <c r="K8070" s="21" t="s">
        <v>4299</v>
      </c>
      <c r="L8070" s="21"/>
      <c r="M8070" s="21"/>
      <c r="N8070" s="21" t="s">
        <v>40</v>
      </c>
      <c r="O8070" s="21">
        <f>60+60+60+15</f>
        <v>195</v>
      </c>
      <c r="P8070" s="21"/>
      <c r="Q8070" s="21">
        <f t="shared" si="159"/>
        <v>2</v>
      </c>
      <c r="R8070" s="21">
        <v>1</v>
      </c>
      <c r="S8070" s="21">
        <v>0</v>
      </c>
      <c r="T8070" s="21">
        <v>0</v>
      </c>
      <c r="U8070" s="21">
        <v>0</v>
      </c>
      <c r="V8070" s="21">
        <v>0</v>
      </c>
      <c r="W8070" s="21">
        <v>0</v>
      </c>
      <c r="X8070" s="21">
        <v>0</v>
      </c>
      <c r="Y8070" s="21">
        <v>0</v>
      </c>
      <c r="Z8070" s="21">
        <v>0</v>
      </c>
      <c r="AA8070" s="21">
        <v>2</v>
      </c>
      <c r="AB8070" s="21">
        <v>0</v>
      </c>
      <c r="AC8070" s="21">
        <v>0</v>
      </c>
      <c r="AD8070" s="21">
        <v>0</v>
      </c>
      <c r="AE8070" s="21">
        <v>0</v>
      </c>
      <c r="AF8070" s="21">
        <v>0</v>
      </c>
      <c r="AG8070" s="21">
        <v>0</v>
      </c>
      <c r="AH8070" s="21">
        <f t="shared" si="160"/>
        <v>0</v>
      </c>
      <c r="AI8070" s="21"/>
      <c r="AJ8070" s="21" t="s">
        <v>51</v>
      </c>
      <c r="AK8070" s="21" t="s">
        <v>52</v>
      </c>
      <c r="AL8070" s="21"/>
      <c r="AM8070" s="21" t="s">
        <v>4300</v>
      </c>
      <c r="AN8070" s="21">
        <v>-122.404747016667</v>
      </c>
      <c r="AO8070" s="21">
        <v>37.780295133333297</v>
      </c>
      <c r="AP8070" s="21" t="s">
        <v>1915</v>
      </c>
    </row>
    <row r="8071" spans="1:42">
      <c r="A8071" s="20">
        <v>43866</v>
      </c>
      <c r="B8071" s="21">
        <v>3</v>
      </c>
      <c r="C8071" s="21">
        <v>572</v>
      </c>
      <c r="D8071" s="21">
        <v>11329</v>
      </c>
      <c r="E8071" t="s">
        <v>377</v>
      </c>
      <c r="F8071" s="21" t="s">
        <v>436</v>
      </c>
      <c r="G8071" s="21">
        <v>1</v>
      </c>
      <c r="H8071" s="21">
        <v>85</v>
      </c>
      <c r="I8071" s="23" t="s">
        <v>3504</v>
      </c>
      <c r="J8071" s="21"/>
      <c r="K8071" s="21" t="s">
        <v>535</v>
      </c>
      <c r="L8071" s="21"/>
      <c r="M8071" s="21"/>
      <c r="N8071" s="21" t="s">
        <v>40</v>
      </c>
      <c r="O8071" s="21">
        <f>60+56</f>
        <v>116</v>
      </c>
      <c r="P8071" s="21"/>
      <c r="Q8071" s="21">
        <f t="shared" si="159"/>
        <v>2</v>
      </c>
      <c r="R8071" s="21">
        <v>1</v>
      </c>
      <c r="S8071" s="21">
        <v>0</v>
      </c>
      <c r="T8071" s="21">
        <v>0</v>
      </c>
      <c r="U8071" s="21">
        <v>0</v>
      </c>
      <c r="V8071" s="21">
        <v>0</v>
      </c>
      <c r="W8071" s="21">
        <v>0</v>
      </c>
      <c r="X8071" s="21">
        <v>0</v>
      </c>
      <c r="Y8071" s="21">
        <v>0</v>
      </c>
      <c r="Z8071" s="21">
        <v>0</v>
      </c>
      <c r="AA8071" s="21">
        <v>1</v>
      </c>
      <c r="AB8071" s="21">
        <v>0</v>
      </c>
      <c r="AC8071" s="21">
        <v>1</v>
      </c>
      <c r="AD8071" s="21">
        <v>0</v>
      </c>
      <c r="AE8071" s="21">
        <v>0</v>
      </c>
      <c r="AF8071" s="21">
        <v>0</v>
      </c>
      <c r="AG8071" s="21">
        <v>0</v>
      </c>
      <c r="AH8071" s="21">
        <f t="shared" si="160"/>
        <v>0</v>
      </c>
      <c r="AI8071" s="21"/>
      <c r="AJ8071" s="21"/>
      <c r="AK8071" s="21"/>
      <c r="AL8071" s="21"/>
      <c r="AM8071" s="21" t="s">
        <v>4301</v>
      </c>
      <c r="AN8071" s="21">
        <v>-122.396925533333</v>
      </c>
      <c r="AO8071" s="21">
        <v>37.772910716666701</v>
      </c>
      <c r="AP8071" s="21" t="s">
        <v>1915</v>
      </c>
    </row>
    <row r="8072" spans="1:42">
      <c r="A8072" s="20">
        <v>43866</v>
      </c>
      <c r="B8072" s="21">
        <v>3</v>
      </c>
      <c r="C8072" s="21">
        <v>572</v>
      </c>
      <c r="D8072" s="21">
        <v>11329</v>
      </c>
      <c r="E8072" t="s">
        <v>377</v>
      </c>
      <c r="F8072" s="21" t="s">
        <v>436</v>
      </c>
      <c r="G8072" s="21">
        <v>1</v>
      </c>
      <c r="H8072" s="21">
        <v>86</v>
      </c>
      <c r="I8072" s="23" t="s">
        <v>4249</v>
      </c>
      <c r="J8072" s="21"/>
      <c r="K8072" s="21" t="s">
        <v>535</v>
      </c>
      <c r="L8072" s="21"/>
      <c r="M8072" s="21"/>
      <c r="N8072" s="21" t="s">
        <v>40</v>
      </c>
      <c r="O8072" s="21">
        <f>60+60+60+52</f>
        <v>232</v>
      </c>
      <c r="P8072" s="21"/>
      <c r="Q8072" s="21">
        <f t="shared" si="159"/>
        <v>3</v>
      </c>
      <c r="R8072" s="21">
        <v>1</v>
      </c>
      <c r="S8072" s="21">
        <v>0</v>
      </c>
      <c r="T8072" s="21">
        <v>0</v>
      </c>
      <c r="U8072" s="21">
        <v>0</v>
      </c>
      <c r="V8072" s="21">
        <v>0</v>
      </c>
      <c r="W8072" s="21">
        <v>0</v>
      </c>
      <c r="X8072" s="21">
        <v>0</v>
      </c>
      <c r="Y8072" s="21">
        <v>0</v>
      </c>
      <c r="Z8072" s="21">
        <v>0</v>
      </c>
      <c r="AA8072" s="21">
        <v>3</v>
      </c>
      <c r="AB8072" s="21">
        <v>0</v>
      </c>
      <c r="AC8072" s="21">
        <v>0</v>
      </c>
      <c r="AD8072" s="21">
        <v>0</v>
      </c>
      <c r="AE8072" s="21">
        <v>0</v>
      </c>
      <c r="AF8072" s="21">
        <v>0</v>
      </c>
      <c r="AG8072" s="21">
        <v>0</v>
      </c>
      <c r="AH8072" s="21">
        <f t="shared" si="160"/>
        <v>0</v>
      </c>
      <c r="AI8072" s="21"/>
      <c r="AJ8072" s="21" t="s">
        <v>51</v>
      </c>
      <c r="AK8072" s="21" t="s">
        <v>95</v>
      </c>
      <c r="AL8072" s="21"/>
      <c r="AM8072" s="21" t="s">
        <v>4302</v>
      </c>
      <c r="AN8072" s="21">
        <v>-122.397030183333</v>
      </c>
      <c r="AO8072" s="21">
        <v>37.772787066666702</v>
      </c>
      <c r="AP8072" s="21" t="s">
        <v>1915</v>
      </c>
    </row>
    <row r="8073" spans="1:42">
      <c r="A8073" s="20">
        <v>43866</v>
      </c>
      <c r="B8073" s="21">
        <v>3</v>
      </c>
      <c r="C8073" s="21">
        <v>572</v>
      </c>
      <c r="D8073" s="21">
        <v>11329</v>
      </c>
      <c r="E8073" t="s">
        <v>377</v>
      </c>
      <c r="F8073" s="21" t="s">
        <v>436</v>
      </c>
      <c r="G8073" s="21">
        <v>1</v>
      </c>
      <c r="H8073" s="21">
        <v>87</v>
      </c>
      <c r="I8073" s="23" t="s">
        <v>4303</v>
      </c>
      <c r="J8073" s="21"/>
      <c r="K8073" s="21" t="s">
        <v>535</v>
      </c>
      <c r="L8073" s="21"/>
      <c r="M8073" s="21"/>
      <c r="N8073" s="21" t="s">
        <v>40</v>
      </c>
      <c r="O8073" s="21">
        <v>69</v>
      </c>
      <c r="P8073" s="21"/>
      <c r="Q8073" s="21">
        <f t="shared" si="159"/>
        <v>1</v>
      </c>
      <c r="R8073" s="21">
        <v>1</v>
      </c>
      <c r="S8073" s="21">
        <v>0</v>
      </c>
      <c r="T8073" s="21">
        <v>0</v>
      </c>
      <c r="U8073" s="21">
        <v>0</v>
      </c>
      <c r="V8073" s="21">
        <v>0</v>
      </c>
      <c r="W8073" s="21">
        <v>0</v>
      </c>
      <c r="X8073" s="21">
        <v>0</v>
      </c>
      <c r="Y8073" s="21">
        <v>0</v>
      </c>
      <c r="Z8073" s="21">
        <v>0</v>
      </c>
      <c r="AA8073" s="21">
        <v>0</v>
      </c>
      <c r="AB8073" s="21">
        <v>0</v>
      </c>
      <c r="AC8073" s="21">
        <v>1</v>
      </c>
      <c r="AD8073" s="21">
        <v>0</v>
      </c>
      <c r="AE8073" s="21">
        <v>0</v>
      </c>
      <c r="AF8073" s="21">
        <v>0</v>
      </c>
      <c r="AG8073" s="21">
        <v>0</v>
      </c>
      <c r="AH8073" s="21">
        <f t="shared" si="160"/>
        <v>0</v>
      </c>
      <c r="AI8073" s="21"/>
      <c r="AJ8073" s="21" t="s">
        <v>51</v>
      </c>
      <c r="AK8073" s="21" t="s">
        <v>95</v>
      </c>
      <c r="AL8073" s="21"/>
      <c r="AM8073" s="21" t="s">
        <v>4304</v>
      </c>
      <c r="AN8073" s="21">
        <v>-122.397475116667</v>
      </c>
      <c r="AO8073" s="21">
        <v>37.772431400000002</v>
      </c>
      <c r="AP8073" s="21" t="s">
        <v>1915</v>
      </c>
    </row>
    <row r="8074" spans="1:42">
      <c r="A8074" s="20">
        <v>43866</v>
      </c>
      <c r="B8074" s="21">
        <v>3</v>
      </c>
      <c r="C8074" s="21">
        <v>572</v>
      </c>
      <c r="D8074" s="21">
        <v>11329</v>
      </c>
      <c r="E8074" t="s">
        <v>377</v>
      </c>
      <c r="F8074" s="21" t="s">
        <v>436</v>
      </c>
      <c r="G8074" s="21">
        <v>1</v>
      </c>
      <c r="H8074" s="21">
        <v>88</v>
      </c>
      <c r="I8074" s="23" t="s">
        <v>4147</v>
      </c>
      <c r="J8074" s="21"/>
      <c r="K8074" s="21" t="s">
        <v>535</v>
      </c>
      <c r="L8074" s="21"/>
      <c r="M8074" s="21"/>
      <c r="N8074" s="21" t="s">
        <v>1703</v>
      </c>
      <c r="O8074" s="21">
        <f>60+60+60+2</f>
        <v>182</v>
      </c>
      <c r="P8074" s="21"/>
      <c r="Q8074" s="21">
        <f t="shared" si="159"/>
        <v>1</v>
      </c>
      <c r="R8074" s="21">
        <v>1</v>
      </c>
      <c r="S8074" s="21">
        <v>0</v>
      </c>
      <c r="T8074" s="21">
        <v>0</v>
      </c>
      <c r="U8074" s="21">
        <v>0</v>
      </c>
      <c r="V8074" s="21">
        <v>0</v>
      </c>
      <c r="W8074" s="21">
        <v>0</v>
      </c>
      <c r="X8074" s="21">
        <v>0</v>
      </c>
      <c r="Y8074" s="21">
        <v>0</v>
      </c>
      <c r="Z8074" s="21">
        <v>0</v>
      </c>
      <c r="AA8074" s="21">
        <v>0</v>
      </c>
      <c r="AB8074" s="21">
        <v>1</v>
      </c>
      <c r="AC8074" s="21">
        <v>0</v>
      </c>
      <c r="AD8074" s="21">
        <v>0</v>
      </c>
      <c r="AE8074" s="21">
        <v>0</v>
      </c>
      <c r="AF8074" s="21">
        <v>0</v>
      </c>
      <c r="AG8074" s="21">
        <v>0</v>
      </c>
      <c r="AH8074" s="21">
        <f t="shared" si="160"/>
        <v>0</v>
      </c>
      <c r="AI8074" s="21"/>
      <c r="AJ8074" s="21" t="s">
        <v>51</v>
      </c>
      <c r="AK8074" s="21" t="s">
        <v>95</v>
      </c>
      <c r="AL8074" s="21" t="s">
        <v>4305</v>
      </c>
      <c r="AM8074" s="21" t="s">
        <v>4306</v>
      </c>
      <c r="AN8074" s="21">
        <v>-122.391345716667</v>
      </c>
      <c r="AO8074" s="21">
        <v>37.777330966666597</v>
      </c>
      <c r="AP8074" s="21" t="s">
        <v>1915</v>
      </c>
    </row>
    <row r="8075" spans="1:42">
      <c r="A8075" s="20">
        <v>43866</v>
      </c>
      <c r="B8075" s="21">
        <v>3</v>
      </c>
      <c r="C8075" s="21">
        <v>572</v>
      </c>
      <c r="D8075" s="21">
        <v>11329</v>
      </c>
      <c r="E8075" t="s">
        <v>377</v>
      </c>
      <c r="F8075" s="21" t="s">
        <v>436</v>
      </c>
      <c r="G8075" s="21">
        <v>1</v>
      </c>
      <c r="H8075" s="21">
        <v>89</v>
      </c>
      <c r="I8075" s="23" t="s">
        <v>3437</v>
      </c>
      <c r="J8075" s="21"/>
      <c r="K8075" s="21" t="s">
        <v>4307</v>
      </c>
      <c r="L8075" s="21"/>
      <c r="M8075" s="21"/>
      <c r="N8075" s="21" t="s">
        <v>44</v>
      </c>
      <c r="O8075" s="21">
        <f>60+60+60+60+60+11</f>
        <v>311</v>
      </c>
      <c r="P8075" s="21"/>
      <c r="Q8075" s="21">
        <f t="shared" si="159"/>
        <v>3</v>
      </c>
      <c r="R8075" s="21">
        <v>1</v>
      </c>
      <c r="S8075" s="21">
        <v>0</v>
      </c>
      <c r="T8075" s="21">
        <v>0</v>
      </c>
      <c r="U8075" s="21">
        <v>0</v>
      </c>
      <c r="V8075" s="21">
        <v>0</v>
      </c>
      <c r="W8075" s="21">
        <v>0</v>
      </c>
      <c r="X8075" s="21">
        <v>0</v>
      </c>
      <c r="Y8075" s="21">
        <v>0</v>
      </c>
      <c r="Z8075" s="21">
        <v>0</v>
      </c>
      <c r="AA8075" s="21">
        <v>3</v>
      </c>
      <c r="AB8075" s="21">
        <v>0</v>
      </c>
      <c r="AC8075" s="21">
        <v>0</v>
      </c>
      <c r="AD8075" s="21">
        <v>0</v>
      </c>
      <c r="AE8075" s="21">
        <v>0</v>
      </c>
      <c r="AF8075" s="21">
        <v>0</v>
      </c>
      <c r="AG8075" s="21">
        <v>0</v>
      </c>
      <c r="AH8075" s="21">
        <f t="shared" si="160"/>
        <v>0</v>
      </c>
      <c r="AI8075" s="21"/>
      <c r="AJ8075" s="21" t="s">
        <v>51</v>
      </c>
      <c r="AK8075" s="21" t="s">
        <v>52</v>
      </c>
      <c r="AL8075" s="21" t="s">
        <v>2292</v>
      </c>
      <c r="AM8075" s="21" t="s">
        <v>4308</v>
      </c>
      <c r="AN8075" s="21">
        <v>-122.399789966667</v>
      </c>
      <c r="AO8075" s="21">
        <v>37.782201716666698</v>
      </c>
      <c r="AP8075" s="21" t="s">
        <v>1915</v>
      </c>
    </row>
    <row r="8076" spans="1:42">
      <c r="A8076" s="20">
        <v>43866</v>
      </c>
      <c r="B8076" s="21">
        <v>3</v>
      </c>
      <c r="C8076" s="21">
        <v>572</v>
      </c>
      <c r="D8076" s="21">
        <v>11329</v>
      </c>
      <c r="E8076" t="s">
        <v>377</v>
      </c>
      <c r="F8076" s="21" t="s">
        <v>436</v>
      </c>
      <c r="G8076" s="21">
        <v>1</v>
      </c>
      <c r="H8076" s="21">
        <v>90</v>
      </c>
      <c r="I8076" s="23" t="s">
        <v>4309</v>
      </c>
      <c r="J8076" s="21"/>
      <c r="K8076" s="21" t="s">
        <v>406</v>
      </c>
      <c r="L8076" s="21"/>
      <c r="M8076" s="21"/>
      <c r="N8076" s="21" t="s">
        <v>44</v>
      </c>
      <c r="O8076" s="21">
        <f>60+60+60+60+60+33</f>
        <v>333</v>
      </c>
      <c r="P8076" s="21"/>
      <c r="Q8076" s="21">
        <f t="shared" si="159"/>
        <v>2</v>
      </c>
      <c r="R8076" s="21">
        <v>1</v>
      </c>
      <c r="S8076" s="21">
        <v>0</v>
      </c>
      <c r="T8076" s="21">
        <v>0</v>
      </c>
      <c r="U8076" s="21">
        <v>0</v>
      </c>
      <c r="V8076" s="21">
        <v>0</v>
      </c>
      <c r="W8076" s="21">
        <v>0</v>
      </c>
      <c r="X8076" s="21">
        <v>0</v>
      </c>
      <c r="Y8076" s="21">
        <v>0</v>
      </c>
      <c r="Z8076" s="21">
        <v>0</v>
      </c>
      <c r="AA8076" s="21">
        <v>2</v>
      </c>
      <c r="AB8076" s="21">
        <v>0</v>
      </c>
      <c r="AC8076" s="21">
        <v>0</v>
      </c>
      <c r="AD8076" s="21">
        <v>0</v>
      </c>
      <c r="AE8076" s="21">
        <v>0</v>
      </c>
      <c r="AF8076" s="21">
        <v>0</v>
      </c>
      <c r="AG8076" s="21">
        <v>0</v>
      </c>
      <c r="AH8076" s="21">
        <f t="shared" si="160"/>
        <v>0</v>
      </c>
      <c r="AI8076" s="21"/>
      <c r="AJ8076" s="21" t="s">
        <v>51</v>
      </c>
      <c r="AK8076" s="21" t="s">
        <v>95</v>
      </c>
      <c r="AL8076" s="21" t="s">
        <v>2292</v>
      </c>
      <c r="AM8076" s="21" t="s">
        <v>4310</v>
      </c>
      <c r="AN8076" s="21">
        <v>-122.39960448333299</v>
      </c>
      <c r="AO8076" s="21">
        <v>37.781701933333302</v>
      </c>
      <c r="AP8076" s="21" t="s">
        <v>1915</v>
      </c>
    </row>
    <row r="8077" spans="1:42">
      <c r="A8077" s="20">
        <v>43866</v>
      </c>
      <c r="B8077" s="21">
        <v>3</v>
      </c>
      <c r="C8077" s="21">
        <v>572</v>
      </c>
      <c r="D8077" s="21">
        <v>11329</v>
      </c>
      <c r="E8077" t="s">
        <v>377</v>
      </c>
      <c r="F8077" s="21" t="s">
        <v>436</v>
      </c>
      <c r="G8077" s="21">
        <v>1</v>
      </c>
      <c r="H8077" s="21">
        <v>91</v>
      </c>
      <c r="I8077" s="23" t="s">
        <v>4311</v>
      </c>
      <c r="J8077" s="21"/>
      <c r="K8077" s="21" t="s">
        <v>107</v>
      </c>
      <c r="L8077" s="21"/>
      <c r="M8077" s="21"/>
      <c r="N8077" s="21" t="s">
        <v>1703</v>
      </c>
      <c r="O8077" s="21">
        <f>60+45</f>
        <v>105</v>
      </c>
      <c r="P8077" s="21"/>
      <c r="Q8077" s="21">
        <f t="shared" si="159"/>
        <v>1</v>
      </c>
      <c r="R8077" s="21">
        <v>1</v>
      </c>
      <c r="S8077" s="21">
        <v>0</v>
      </c>
      <c r="T8077" s="21">
        <v>0</v>
      </c>
      <c r="U8077" s="21">
        <v>0</v>
      </c>
      <c r="V8077" s="21">
        <v>0</v>
      </c>
      <c r="W8077" s="21">
        <v>0</v>
      </c>
      <c r="X8077" s="21">
        <v>0</v>
      </c>
      <c r="Y8077" s="21">
        <v>0</v>
      </c>
      <c r="Z8077" s="21">
        <v>0</v>
      </c>
      <c r="AA8077" s="21">
        <v>0</v>
      </c>
      <c r="AB8077" s="21">
        <v>0</v>
      </c>
      <c r="AC8077" s="21">
        <v>1</v>
      </c>
      <c r="AD8077" s="21">
        <v>0</v>
      </c>
      <c r="AE8077" s="21">
        <v>0</v>
      </c>
      <c r="AF8077" s="21">
        <v>0</v>
      </c>
      <c r="AG8077" s="21">
        <v>0</v>
      </c>
      <c r="AH8077" s="21">
        <f t="shared" si="160"/>
        <v>0</v>
      </c>
      <c r="AI8077" s="21"/>
      <c r="AJ8077" s="21" t="s">
        <v>51</v>
      </c>
      <c r="AK8077" s="21" t="s">
        <v>95</v>
      </c>
      <c r="AL8077" s="21" t="s">
        <v>3681</v>
      </c>
      <c r="AM8077" s="21" t="s">
        <v>4312</v>
      </c>
      <c r="AN8077" s="21">
        <v>-122.40031778333299</v>
      </c>
      <c r="AO8077" s="21">
        <v>37.781981966666599</v>
      </c>
      <c r="AP8077" s="21" t="s">
        <v>1915</v>
      </c>
    </row>
    <row r="8078" spans="1:42">
      <c r="A8078" s="20">
        <v>43878</v>
      </c>
      <c r="B8078" s="21">
        <v>1</v>
      </c>
      <c r="C8078" s="21">
        <v>574</v>
      </c>
      <c r="D8078" s="21">
        <v>11328</v>
      </c>
      <c r="E8078" t="s">
        <v>377</v>
      </c>
      <c r="F8078" s="21" t="s">
        <v>436</v>
      </c>
      <c r="G8078" s="21">
        <v>1</v>
      </c>
      <c r="H8078" s="21">
        <v>1</v>
      </c>
      <c r="I8078" s="23" t="s">
        <v>3519</v>
      </c>
      <c r="J8078" s="21"/>
      <c r="K8078" s="21" t="s">
        <v>415</v>
      </c>
      <c r="L8078" s="21"/>
      <c r="M8078" s="21"/>
      <c r="N8078" s="21" t="s">
        <v>44</v>
      </c>
      <c r="O8078" s="21">
        <f>120+50</f>
        <v>170</v>
      </c>
      <c r="P8078" s="21"/>
      <c r="Q8078" s="21">
        <f t="shared" si="159"/>
        <v>1</v>
      </c>
      <c r="R8078" s="21"/>
      <c r="S8078" s="21">
        <v>0</v>
      </c>
      <c r="T8078" s="21">
        <v>0</v>
      </c>
      <c r="U8078" s="21">
        <v>0</v>
      </c>
      <c r="V8078" s="21">
        <v>0</v>
      </c>
      <c r="W8078" s="21">
        <v>0</v>
      </c>
      <c r="X8078" s="21">
        <v>0</v>
      </c>
      <c r="Y8078" s="21">
        <v>0</v>
      </c>
      <c r="Z8078" s="21">
        <v>0</v>
      </c>
      <c r="AA8078" s="21">
        <v>1</v>
      </c>
      <c r="AB8078" s="21">
        <v>0</v>
      </c>
      <c r="AC8078" s="21">
        <v>0</v>
      </c>
      <c r="AD8078" s="21">
        <v>0</v>
      </c>
      <c r="AE8078" s="21">
        <v>0</v>
      </c>
      <c r="AF8078" s="21">
        <v>0</v>
      </c>
      <c r="AG8078" s="21">
        <v>0</v>
      </c>
      <c r="AH8078" s="21">
        <f t="shared" si="160"/>
        <v>0</v>
      </c>
      <c r="AI8078" s="21"/>
      <c r="AJ8078" s="21" t="s">
        <v>51</v>
      </c>
      <c r="AK8078" s="21" t="s">
        <v>95</v>
      </c>
      <c r="AL8078" s="21" t="s">
        <v>4313</v>
      </c>
      <c r="AM8078" s="21" t="s">
        <v>4314</v>
      </c>
      <c r="AN8078" s="21">
        <v>-122.423100737043</v>
      </c>
      <c r="AO8078" s="21">
        <v>37.778829129593703</v>
      </c>
      <c r="AP8078" s="21" t="s">
        <v>1915</v>
      </c>
    </row>
    <row r="8079" spans="1:42">
      <c r="A8079" s="20">
        <v>43878</v>
      </c>
      <c r="B8079" s="21">
        <v>1</v>
      </c>
      <c r="C8079" s="21">
        <v>574</v>
      </c>
      <c r="D8079" s="21">
        <v>11328</v>
      </c>
      <c r="E8079" t="s">
        <v>377</v>
      </c>
      <c r="F8079" s="21" t="s">
        <v>436</v>
      </c>
      <c r="G8079" s="21">
        <v>1</v>
      </c>
      <c r="H8079" s="21">
        <v>2</v>
      </c>
      <c r="I8079" s="23" t="s">
        <v>3479</v>
      </c>
      <c r="J8079" s="21"/>
      <c r="K8079" s="21" t="s">
        <v>415</v>
      </c>
      <c r="L8079" s="21"/>
      <c r="M8079" s="21"/>
      <c r="N8079" s="21" t="s">
        <v>40</v>
      </c>
      <c r="O8079" s="21">
        <f>120+17</f>
        <v>137</v>
      </c>
      <c r="P8079" s="21"/>
      <c r="Q8079" s="21">
        <f t="shared" si="159"/>
        <v>1</v>
      </c>
      <c r="R8079" s="21"/>
      <c r="S8079" s="21">
        <v>0</v>
      </c>
      <c r="T8079" s="21">
        <v>0</v>
      </c>
      <c r="U8079" s="21">
        <v>0</v>
      </c>
      <c r="V8079" s="21">
        <v>0</v>
      </c>
      <c r="W8079" s="21">
        <v>0</v>
      </c>
      <c r="X8079" s="21">
        <v>0</v>
      </c>
      <c r="Y8079" s="21">
        <v>1</v>
      </c>
      <c r="Z8079" s="21">
        <v>0</v>
      </c>
      <c r="AA8079" s="21">
        <v>0</v>
      </c>
      <c r="AB8079" s="21">
        <v>0</v>
      </c>
      <c r="AC8079" s="21">
        <v>0</v>
      </c>
      <c r="AD8079" s="21">
        <v>0</v>
      </c>
      <c r="AE8079" s="21">
        <v>0</v>
      </c>
      <c r="AF8079" s="21">
        <v>0</v>
      </c>
      <c r="AG8079" s="21">
        <v>0</v>
      </c>
      <c r="AH8079" s="21">
        <f t="shared" si="160"/>
        <v>0</v>
      </c>
      <c r="AI8079" s="21"/>
      <c r="AJ8079" s="21" t="s">
        <v>51</v>
      </c>
      <c r="AK8079" s="21" t="s">
        <v>95</v>
      </c>
      <c r="AL8079" s="21" t="s">
        <v>4315</v>
      </c>
      <c r="AM8079" s="21" t="s">
        <v>4316</v>
      </c>
      <c r="AN8079" s="21">
        <v>-122.42065305</v>
      </c>
      <c r="AO8079" s="21">
        <v>37.7790422666667</v>
      </c>
      <c r="AP8079" s="21" t="s">
        <v>1915</v>
      </c>
    </row>
    <row r="8080" spans="1:42">
      <c r="A8080" s="20">
        <v>43878</v>
      </c>
      <c r="B8080" s="21">
        <v>1</v>
      </c>
      <c r="C8080" s="21">
        <v>574</v>
      </c>
      <c r="D8080" s="21">
        <v>11328</v>
      </c>
      <c r="E8080" t="s">
        <v>377</v>
      </c>
      <c r="F8080" s="21" t="s">
        <v>436</v>
      </c>
      <c r="G8080" s="21">
        <v>1</v>
      </c>
      <c r="H8080" s="21">
        <v>3</v>
      </c>
      <c r="I8080" s="23" t="s">
        <v>3413</v>
      </c>
      <c r="J8080" s="21"/>
      <c r="K8080" s="21" t="s">
        <v>415</v>
      </c>
      <c r="L8080" s="21"/>
      <c r="M8080" s="21"/>
      <c r="N8080" s="21" t="s">
        <v>40</v>
      </c>
      <c r="O8080" s="21">
        <f>60+24</f>
        <v>84</v>
      </c>
      <c r="P8080" s="21"/>
      <c r="Q8080" s="21">
        <f t="shared" si="159"/>
        <v>1</v>
      </c>
      <c r="R8080" s="21"/>
      <c r="S8080" s="21">
        <v>0</v>
      </c>
      <c r="T8080" s="21">
        <v>0</v>
      </c>
      <c r="U8080" s="21">
        <v>0</v>
      </c>
      <c r="V8080" s="21">
        <v>0</v>
      </c>
      <c r="W8080" s="21">
        <v>0</v>
      </c>
      <c r="X8080" s="21">
        <v>0</v>
      </c>
      <c r="Y8080" s="21">
        <v>1</v>
      </c>
      <c r="Z8080" s="21">
        <v>0</v>
      </c>
      <c r="AA8080" s="21">
        <v>0</v>
      </c>
      <c r="AB8080" s="21">
        <v>0</v>
      </c>
      <c r="AC8080" s="21">
        <v>0</v>
      </c>
      <c r="AD8080" s="21">
        <v>0</v>
      </c>
      <c r="AE8080" s="21">
        <v>0</v>
      </c>
      <c r="AF8080" s="21">
        <v>0</v>
      </c>
      <c r="AG8080" s="21">
        <v>0</v>
      </c>
      <c r="AH8080" s="21">
        <f t="shared" si="160"/>
        <v>0</v>
      </c>
      <c r="AI8080" s="21"/>
      <c r="AJ8080" s="21" t="s">
        <v>51</v>
      </c>
      <c r="AK8080" s="21" t="s">
        <v>95</v>
      </c>
      <c r="AL8080" s="21"/>
      <c r="AM8080" s="21" t="s">
        <v>4317</v>
      </c>
      <c r="AN8080" s="21">
        <v>-122.42102149999999</v>
      </c>
      <c r="AO8080" s="21">
        <v>37.779977833333298</v>
      </c>
      <c r="AP8080" s="21" t="s">
        <v>1915</v>
      </c>
    </row>
    <row r="8081" spans="1:42">
      <c r="A8081" s="20">
        <v>43878</v>
      </c>
      <c r="B8081" s="21">
        <v>1</v>
      </c>
      <c r="C8081" s="21">
        <v>574</v>
      </c>
      <c r="D8081" s="21">
        <v>11328</v>
      </c>
      <c r="E8081" t="s">
        <v>377</v>
      </c>
      <c r="F8081" s="21" t="s">
        <v>436</v>
      </c>
      <c r="G8081" s="21">
        <v>1</v>
      </c>
      <c r="H8081" s="21">
        <v>4</v>
      </c>
      <c r="I8081" s="23" t="s">
        <v>4296</v>
      </c>
      <c r="J8081" s="21"/>
      <c r="K8081" t="s">
        <v>431</v>
      </c>
      <c r="L8081" s="21"/>
      <c r="M8081" s="21"/>
      <c r="N8081" s="21" t="s">
        <v>40</v>
      </c>
      <c r="O8081" s="21">
        <f>60+32</f>
        <v>92</v>
      </c>
      <c r="P8081" s="21"/>
      <c r="Q8081" s="21">
        <f t="shared" si="159"/>
        <v>1</v>
      </c>
      <c r="R8081" s="21"/>
      <c r="S8081" s="21">
        <v>0</v>
      </c>
      <c r="T8081" s="21">
        <v>0</v>
      </c>
      <c r="U8081" s="21">
        <v>0</v>
      </c>
      <c r="V8081" s="21">
        <v>0</v>
      </c>
      <c r="W8081" s="21">
        <v>0</v>
      </c>
      <c r="X8081" s="21">
        <v>0</v>
      </c>
      <c r="Y8081" s="21">
        <v>0</v>
      </c>
      <c r="Z8081" s="21">
        <v>0</v>
      </c>
      <c r="AA8081" s="21">
        <v>0</v>
      </c>
      <c r="AB8081" s="21">
        <v>0</v>
      </c>
      <c r="AC8081" s="21">
        <v>1</v>
      </c>
      <c r="AD8081" s="21">
        <v>0</v>
      </c>
      <c r="AE8081" s="21">
        <v>0</v>
      </c>
      <c r="AF8081" s="21">
        <v>0</v>
      </c>
      <c r="AG8081" s="21">
        <v>0</v>
      </c>
      <c r="AH8081" s="21">
        <f t="shared" si="160"/>
        <v>0</v>
      </c>
      <c r="AI8081" s="21"/>
      <c r="AJ8081" s="21" t="s">
        <v>51</v>
      </c>
      <c r="AK8081" s="21" t="s">
        <v>95</v>
      </c>
      <c r="AL8081" s="21" t="s">
        <v>379</v>
      </c>
      <c r="AM8081" s="21" t="s">
        <v>4318</v>
      </c>
      <c r="AN8081" s="21">
        <v>-122.41905795</v>
      </c>
      <c r="AO8081" s="21">
        <v>37.780787966666701</v>
      </c>
      <c r="AP8081" s="21" t="s">
        <v>1915</v>
      </c>
    </row>
    <row r="8082" spans="1:42">
      <c r="A8082" s="20">
        <v>43878</v>
      </c>
      <c r="B8082" s="21">
        <v>1</v>
      </c>
      <c r="C8082" s="21">
        <v>574</v>
      </c>
      <c r="D8082" s="21">
        <v>11328</v>
      </c>
      <c r="E8082" t="s">
        <v>377</v>
      </c>
      <c r="F8082" s="21" t="s">
        <v>436</v>
      </c>
      <c r="G8082" s="21">
        <v>1</v>
      </c>
      <c r="H8082" s="21">
        <v>5</v>
      </c>
      <c r="I8082" s="23" t="s">
        <v>3214</v>
      </c>
      <c r="J8082" s="21"/>
      <c r="K8082" s="21" t="s">
        <v>420</v>
      </c>
      <c r="L8082" s="21"/>
      <c r="M8082" s="21"/>
      <c r="N8082" s="21" t="s">
        <v>1703</v>
      </c>
      <c r="O8082" s="21">
        <f>60+60+60+56</f>
        <v>236</v>
      </c>
      <c r="P8082" s="21"/>
      <c r="Q8082" s="21">
        <f t="shared" si="159"/>
        <v>1</v>
      </c>
      <c r="R8082" s="21"/>
      <c r="S8082" s="21">
        <v>0</v>
      </c>
      <c r="T8082" s="21">
        <v>0</v>
      </c>
      <c r="U8082" s="21">
        <v>0</v>
      </c>
      <c r="V8082" s="21">
        <v>0</v>
      </c>
      <c r="W8082" s="21">
        <v>0</v>
      </c>
      <c r="X8082" s="21">
        <v>0</v>
      </c>
      <c r="Y8082" s="21">
        <v>0</v>
      </c>
      <c r="Z8082" s="21">
        <v>0</v>
      </c>
      <c r="AA8082" s="21">
        <v>0</v>
      </c>
      <c r="AB8082" s="21">
        <v>0</v>
      </c>
      <c r="AC8082" s="21">
        <v>1</v>
      </c>
      <c r="AD8082" s="21">
        <v>0</v>
      </c>
      <c r="AE8082" s="21">
        <v>0</v>
      </c>
      <c r="AF8082" s="21">
        <v>0</v>
      </c>
      <c r="AG8082" s="21">
        <v>0</v>
      </c>
      <c r="AH8082" s="21">
        <f t="shared" si="160"/>
        <v>0</v>
      </c>
      <c r="AI8082" s="21"/>
      <c r="AJ8082" s="21" t="s">
        <v>51</v>
      </c>
      <c r="AK8082" s="21" t="s">
        <v>95</v>
      </c>
      <c r="AL8082" s="21" t="s">
        <v>4319</v>
      </c>
      <c r="AM8082" s="21" t="s">
        <v>4320</v>
      </c>
      <c r="AN8082" s="21">
        <v>-122.41534488333301</v>
      </c>
      <c r="AO8082" s="21">
        <v>37.779995783333298</v>
      </c>
      <c r="AP8082" s="21" t="s">
        <v>1915</v>
      </c>
    </row>
    <row r="8083" spans="1:42">
      <c r="A8083" s="20">
        <v>43878</v>
      </c>
      <c r="B8083" s="21">
        <v>1</v>
      </c>
      <c r="C8083" s="21">
        <v>574</v>
      </c>
      <c r="D8083" s="21">
        <v>11328</v>
      </c>
      <c r="E8083" t="s">
        <v>377</v>
      </c>
      <c r="F8083" s="21" t="s">
        <v>436</v>
      </c>
      <c r="G8083" s="21">
        <v>1</v>
      </c>
      <c r="H8083" s="21">
        <v>6</v>
      </c>
      <c r="I8083" s="23" t="s">
        <v>4321</v>
      </c>
      <c r="J8083" s="21"/>
      <c r="K8083" s="21" t="s">
        <v>94</v>
      </c>
      <c r="L8083" s="21"/>
      <c r="M8083" s="21"/>
      <c r="N8083" s="21" t="s">
        <v>40</v>
      </c>
      <c r="O8083" s="21">
        <f>60+37</f>
        <v>97</v>
      </c>
      <c r="P8083" s="21"/>
      <c r="Q8083" s="21">
        <f t="shared" si="159"/>
        <v>1</v>
      </c>
      <c r="R8083" s="21"/>
      <c r="S8083" s="21">
        <v>0</v>
      </c>
      <c r="T8083" s="21">
        <v>0</v>
      </c>
      <c r="U8083" s="21">
        <v>0</v>
      </c>
      <c r="V8083" s="21">
        <v>0</v>
      </c>
      <c r="W8083" s="21">
        <v>0</v>
      </c>
      <c r="X8083" s="21">
        <v>0</v>
      </c>
      <c r="Y8083" s="21">
        <v>0</v>
      </c>
      <c r="Z8083" s="21">
        <v>0</v>
      </c>
      <c r="AA8083" s="21">
        <v>0</v>
      </c>
      <c r="AB8083" s="21">
        <v>0</v>
      </c>
      <c r="AC8083" s="21">
        <v>1</v>
      </c>
      <c r="AD8083" s="21">
        <v>0</v>
      </c>
      <c r="AE8083" s="21">
        <v>0</v>
      </c>
      <c r="AF8083" s="21">
        <v>0</v>
      </c>
      <c r="AG8083" s="21">
        <v>0</v>
      </c>
      <c r="AH8083" s="21">
        <f t="shared" si="160"/>
        <v>0</v>
      </c>
      <c r="AI8083" s="21"/>
      <c r="AJ8083" s="21" t="s">
        <v>51</v>
      </c>
      <c r="AK8083" s="21" t="s">
        <v>95</v>
      </c>
      <c r="AL8083" s="21" t="s">
        <v>4322</v>
      </c>
      <c r="AM8083" s="21" t="s">
        <v>4323</v>
      </c>
      <c r="AN8083" s="21">
        <v>-122.419856897805</v>
      </c>
      <c r="AO8083" s="21">
        <v>37.783828884908303</v>
      </c>
      <c r="AP8083" s="21" t="s">
        <v>1915</v>
      </c>
    </row>
    <row r="8084" spans="1:42">
      <c r="A8084" s="20">
        <v>43878</v>
      </c>
      <c r="B8084" s="21">
        <v>1</v>
      </c>
      <c r="C8084" s="21">
        <v>574</v>
      </c>
      <c r="D8084" s="21">
        <v>11328</v>
      </c>
      <c r="E8084" t="s">
        <v>377</v>
      </c>
      <c r="F8084" s="21" t="s">
        <v>436</v>
      </c>
      <c r="G8084" s="21">
        <v>1</v>
      </c>
      <c r="H8084" s="21">
        <v>7</v>
      </c>
      <c r="I8084" s="23" t="s">
        <v>4324</v>
      </c>
      <c r="J8084" s="21"/>
      <c r="K8084" s="21" t="s">
        <v>415</v>
      </c>
      <c r="L8084" s="21"/>
      <c r="M8084" s="21"/>
      <c r="N8084" s="21" t="s">
        <v>40</v>
      </c>
      <c r="O8084" s="21">
        <f>60+33</f>
        <v>93</v>
      </c>
      <c r="P8084" s="21"/>
      <c r="Q8084" s="21">
        <f t="shared" si="159"/>
        <v>2</v>
      </c>
      <c r="R8084" s="21"/>
      <c r="S8084" s="21">
        <v>0</v>
      </c>
      <c r="T8084" s="21">
        <v>0</v>
      </c>
      <c r="U8084" s="21">
        <v>0</v>
      </c>
      <c r="V8084" s="21">
        <v>0</v>
      </c>
      <c r="W8084" s="21">
        <v>0</v>
      </c>
      <c r="X8084" s="21">
        <v>0</v>
      </c>
      <c r="Y8084" s="21">
        <v>0</v>
      </c>
      <c r="Z8084" s="21">
        <v>0</v>
      </c>
      <c r="AA8084" s="21">
        <v>2</v>
      </c>
      <c r="AB8084" s="21">
        <v>0</v>
      </c>
      <c r="AC8084" s="21">
        <v>0</v>
      </c>
      <c r="AD8084" s="21">
        <v>0</v>
      </c>
      <c r="AE8084" s="21">
        <v>0</v>
      </c>
      <c r="AF8084" s="21">
        <v>0</v>
      </c>
      <c r="AG8084" s="21">
        <v>0</v>
      </c>
      <c r="AH8084" s="21">
        <f t="shared" si="160"/>
        <v>0</v>
      </c>
      <c r="AI8084" s="21"/>
      <c r="AJ8084" s="21" t="s">
        <v>51</v>
      </c>
      <c r="AK8084" s="21" t="s">
        <v>95</v>
      </c>
      <c r="AL8084" s="21"/>
      <c r="AM8084" s="21" t="s">
        <v>4325</v>
      </c>
      <c r="AN8084" s="21">
        <v>-122.420039166667</v>
      </c>
      <c r="AO8084" s="21">
        <v>37.782094483333303</v>
      </c>
      <c r="AP8084" s="21" t="s">
        <v>1915</v>
      </c>
    </row>
    <row r="8085" spans="1:42">
      <c r="A8085" s="20">
        <v>43878</v>
      </c>
      <c r="B8085" s="21">
        <v>1</v>
      </c>
      <c r="C8085" s="21">
        <v>574</v>
      </c>
      <c r="D8085" s="21">
        <v>11328</v>
      </c>
      <c r="E8085" t="s">
        <v>377</v>
      </c>
      <c r="F8085" s="21" t="s">
        <v>436</v>
      </c>
      <c r="G8085" s="21">
        <v>1</v>
      </c>
      <c r="H8085" s="21">
        <v>8</v>
      </c>
      <c r="I8085" s="23" t="s">
        <v>3230</v>
      </c>
      <c r="J8085" s="21"/>
      <c r="K8085" s="21" t="s">
        <v>415</v>
      </c>
      <c r="L8085" s="21"/>
      <c r="M8085" s="21"/>
      <c r="N8085" s="21" t="s">
        <v>40</v>
      </c>
      <c r="O8085" s="21">
        <v>54</v>
      </c>
      <c r="P8085" s="21"/>
      <c r="Q8085" s="21">
        <f t="shared" si="159"/>
        <v>1</v>
      </c>
      <c r="R8085" s="21"/>
      <c r="S8085" s="21">
        <v>0</v>
      </c>
      <c r="T8085" s="21">
        <v>0</v>
      </c>
      <c r="U8085" s="21">
        <v>0</v>
      </c>
      <c r="V8085" s="21">
        <v>0</v>
      </c>
      <c r="W8085" s="21">
        <v>0</v>
      </c>
      <c r="X8085" s="21">
        <v>0</v>
      </c>
      <c r="Y8085" s="21">
        <v>0</v>
      </c>
      <c r="Z8085" s="21">
        <v>0</v>
      </c>
      <c r="AA8085" s="21">
        <v>0</v>
      </c>
      <c r="AB8085" s="21">
        <v>1</v>
      </c>
      <c r="AC8085" s="21">
        <v>0</v>
      </c>
      <c r="AD8085" s="21">
        <v>0</v>
      </c>
      <c r="AE8085" s="21">
        <v>0</v>
      </c>
      <c r="AF8085" s="21">
        <v>0</v>
      </c>
      <c r="AG8085" s="21">
        <v>0</v>
      </c>
      <c r="AH8085" s="21">
        <f t="shared" si="160"/>
        <v>0</v>
      </c>
      <c r="AI8085" s="21"/>
      <c r="AJ8085" s="21" t="s">
        <v>54</v>
      </c>
      <c r="AK8085" s="21" t="s">
        <v>95</v>
      </c>
      <c r="AL8085" s="21"/>
      <c r="AM8085" s="21" t="s">
        <v>4326</v>
      </c>
      <c r="AN8085" s="21">
        <v>-122.42068183333301</v>
      </c>
      <c r="AO8085" s="21">
        <v>37.785830783333303</v>
      </c>
      <c r="AP8085" s="21" t="s">
        <v>1915</v>
      </c>
    </row>
    <row r="8086" spans="1:42">
      <c r="A8086" s="20">
        <v>43878</v>
      </c>
      <c r="B8086" s="21">
        <v>1</v>
      </c>
      <c r="C8086" s="21">
        <v>574</v>
      </c>
      <c r="D8086" s="21">
        <v>11328</v>
      </c>
      <c r="E8086" t="s">
        <v>377</v>
      </c>
      <c r="F8086" s="21" t="s">
        <v>436</v>
      </c>
      <c r="G8086" s="21">
        <v>1</v>
      </c>
      <c r="H8086" s="21">
        <v>9</v>
      </c>
      <c r="I8086" s="23" t="s">
        <v>3720</v>
      </c>
      <c r="J8086" s="21"/>
      <c r="K8086" s="21" t="s">
        <v>3354</v>
      </c>
      <c r="L8086" s="21"/>
      <c r="M8086" s="21"/>
      <c r="N8086" s="21" t="s">
        <v>44</v>
      </c>
      <c r="O8086" s="21">
        <f>120+16</f>
        <v>136</v>
      </c>
      <c r="P8086" s="21"/>
      <c r="Q8086" s="21">
        <f t="shared" si="159"/>
        <v>1</v>
      </c>
      <c r="R8086" s="21"/>
      <c r="S8086" s="21">
        <v>0</v>
      </c>
      <c r="T8086" s="21">
        <v>0</v>
      </c>
      <c r="U8086" s="21">
        <v>0</v>
      </c>
      <c r="V8086" s="21">
        <v>0</v>
      </c>
      <c r="W8086" s="21">
        <v>0</v>
      </c>
      <c r="X8086" s="21">
        <v>0</v>
      </c>
      <c r="Y8086" s="21">
        <v>0</v>
      </c>
      <c r="Z8086" s="21">
        <v>0</v>
      </c>
      <c r="AA8086" s="21">
        <v>0</v>
      </c>
      <c r="AB8086" s="21">
        <v>1</v>
      </c>
      <c r="AC8086" s="21">
        <v>0</v>
      </c>
      <c r="AD8086" s="21">
        <v>0</v>
      </c>
      <c r="AE8086" s="21">
        <v>0</v>
      </c>
      <c r="AF8086" s="21">
        <v>0</v>
      </c>
      <c r="AG8086" s="21">
        <v>0</v>
      </c>
      <c r="AH8086" s="21">
        <f t="shared" si="160"/>
        <v>0</v>
      </c>
      <c r="AI8086" s="21"/>
      <c r="AJ8086" s="21" t="s">
        <v>51</v>
      </c>
      <c r="AK8086" s="21" t="s">
        <v>95</v>
      </c>
      <c r="AL8086" s="21" t="s">
        <v>4327</v>
      </c>
      <c r="AM8086" s="21" t="s">
        <v>4328</v>
      </c>
      <c r="AN8086" s="21">
        <v>-122.43221776666699</v>
      </c>
      <c r="AO8086" s="21">
        <v>37.784714700000002</v>
      </c>
      <c r="AP8086" s="21" t="s">
        <v>1915</v>
      </c>
    </row>
    <row r="8087" spans="1:42">
      <c r="A8087" s="20">
        <v>43878</v>
      </c>
      <c r="B8087" s="21">
        <v>1</v>
      </c>
      <c r="C8087" s="21">
        <v>574</v>
      </c>
      <c r="D8087" s="21">
        <v>11328</v>
      </c>
      <c r="E8087" t="s">
        <v>377</v>
      </c>
      <c r="F8087" s="21" t="s">
        <v>436</v>
      </c>
      <c r="G8087" s="21">
        <v>1</v>
      </c>
      <c r="H8087" s="21">
        <v>10</v>
      </c>
      <c r="I8087" s="23" t="s">
        <v>3308</v>
      </c>
      <c r="J8087" s="21"/>
      <c r="K8087" s="21" t="s">
        <v>46</v>
      </c>
      <c r="L8087" s="21"/>
      <c r="M8087" s="21"/>
      <c r="N8087" s="21" t="s">
        <v>40</v>
      </c>
      <c r="O8087" s="21">
        <v>43</v>
      </c>
      <c r="P8087" s="21"/>
      <c r="Q8087" s="21">
        <f t="shared" si="159"/>
        <v>1</v>
      </c>
      <c r="R8087" s="21"/>
      <c r="S8087" s="21">
        <v>0</v>
      </c>
      <c r="T8087" s="21">
        <v>0</v>
      </c>
      <c r="U8087" s="21">
        <v>0</v>
      </c>
      <c r="V8087" s="21">
        <v>0</v>
      </c>
      <c r="W8087" s="21">
        <v>0</v>
      </c>
      <c r="X8087" s="21">
        <v>0</v>
      </c>
      <c r="Y8087" s="21">
        <v>0</v>
      </c>
      <c r="Z8087" s="21">
        <v>0</v>
      </c>
      <c r="AA8087" s="21">
        <v>1</v>
      </c>
      <c r="AB8087" s="21">
        <v>0</v>
      </c>
      <c r="AC8087" s="21">
        <v>0</v>
      </c>
      <c r="AD8087" s="21">
        <v>0</v>
      </c>
      <c r="AE8087" s="21">
        <v>0</v>
      </c>
      <c r="AF8087" s="21">
        <v>0</v>
      </c>
      <c r="AG8087" s="21">
        <v>0</v>
      </c>
      <c r="AH8087" s="21">
        <f t="shared" si="160"/>
        <v>0</v>
      </c>
      <c r="AI8087" s="21"/>
      <c r="AJ8087" s="21"/>
      <c r="AK8087" s="21"/>
      <c r="AL8087" s="21"/>
      <c r="AM8087" s="21" t="s">
        <v>4329</v>
      </c>
      <c r="AN8087" s="21">
        <v>-122.42837815</v>
      </c>
      <c r="AO8087" s="21">
        <v>37.787436166666701</v>
      </c>
      <c r="AP8087" s="21" t="s">
        <v>1915</v>
      </c>
    </row>
    <row r="8088" spans="1:42">
      <c r="A8088" s="20">
        <v>43878</v>
      </c>
      <c r="B8088" s="21">
        <v>1</v>
      </c>
      <c r="C8088" s="21">
        <v>574</v>
      </c>
      <c r="D8088" s="21">
        <v>11328</v>
      </c>
      <c r="E8088" t="s">
        <v>377</v>
      </c>
      <c r="F8088" s="21" t="s">
        <v>436</v>
      </c>
      <c r="G8088" s="21">
        <v>1</v>
      </c>
      <c r="H8088" s="21">
        <v>11</v>
      </c>
      <c r="I8088" s="23" t="s">
        <v>4330</v>
      </c>
      <c r="J8088" s="21"/>
      <c r="K8088" s="21" t="s">
        <v>46</v>
      </c>
      <c r="L8088" s="21"/>
      <c r="M8088" s="21"/>
      <c r="N8088" s="21" t="s">
        <v>44</v>
      </c>
      <c r="O8088" s="21">
        <f>60+60+60+2</f>
        <v>182</v>
      </c>
      <c r="P8088" s="21"/>
      <c r="Q8088" s="21">
        <f t="shared" si="159"/>
        <v>2</v>
      </c>
      <c r="R8088" s="21"/>
      <c r="S8088" s="21">
        <v>0</v>
      </c>
      <c r="T8088" s="21">
        <v>0</v>
      </c>
      <c r="U8088" s="21">
        <v>0</v>
      </c>
      <c r="V8088" s="21">
        <v>0</v>
      </c>
      <c r="W8088" s="21">
        <v>0</v>
      </c>
      <c r="X8088" s="21">
        <v>0</v>
      </c>
      <c r="Y8088" s="21">
        <v>0</v>
      </c>
      <c r="Z8088" s="21">
        <v>0</v>
      </c>
      <c r="AA8088" s="21">
        <v>0</v>
      </c>
      <c r="AB8088" s="21">
        <v>2</v>
      </c>
      <c r="AC8088" s="21">
        <v>0</v>
      </c>
      <c r="AD8088" s="21">
        <v>0</v>
      </c>
      <c r="AE8088" s="21">
        <v>0</v>
      </c>
      <c r="AF8088" s="21">
        <v>0</v>
      </c>
      <c r="AG8088" s="21">
        <v>0</v>
      </c>
      <c r="AH8088" s="21">
        <f t="shared" si="160"/>
        <v>0</v>
      </c>
      <c r="AI8088" s="21"/>
      <c r="AJ8088" s="21" t="s">
        <v>51</v>
      </c>
      <c r="AK8088" s="21" t="s">
        <v>95</v>
      </c>
      <c r="AL8088" s="21" t="s">
        <v>4331</v>
      </c>
      <c r="AM8088" s="21" t="s">
        <v>4332</v>
      </c>
      <c r="AN8088" s="21">
        <v>-122.41922975</v>
      </c>
      <c r="AO8088" s="21">
        <v>37.789385183333302</v>
      </c>
      <c r="AP8088" s="21" t="s">
        <v>1915</v>
      </c>
    </row>
    <row r="8089" spans="1:42">
      <c r="A8089" s="20">
        <v>43878</v>
      </c>
      <c r="B8089" s="21">
        <v>1</v>
      </c>
      <c r="C8089" s="21">
        <v>574</v>
      </c>
      <c r="D8089" s="21">
        <v>11328</v>
      </c>
      <c r="E8089" t="s">
        <v>377</v>
      </c>
      <c r="F8089" s="21" t="s">
        <v>436</v>
      </c>
      <c r="G8089" s="21">
        <v>1</v>
      </c>
      <c r="H8089" s="21">
        <v>12</v>
      </c>
      <c r="I8089" s="23" t="s">
        <v>3876</v>
      </c>
      <c r="J8089" s="21"/>
      <c r="K8089" s="21" t="s">
        <v>69</v>
      </c>
      <c r="L8089" s="21"/>
      <c r="M8089" s="21"/>
      <c r="N8089" s="21" t="s">
        <v>40</v>
      </c>
      <c r="O8089" s="21">
        <f>60+60+24</f>
        <v>144</v>
      </c>
      <c r="P8089" s="21"/>
      <c r="Q8089" s="21">
        <f t="shared" si="159"/>
        <v>1</v>
      </c>
      <c r="R8089" s="21"/>
      <c r="S8089" s="21">
        <v>0</v>
      </c>
      <c r="T8089" s="21">
        <v>0</v>
      </c>
      <c r="U8089" s="21">
        <v>0</v>
      </c>
      <c r="V8089" s="21">
        <v>0</v>
      </c>
      <c r="W8089" s="21">
        <v>0</v>
      </c>
      <c r="X8089" s="21">
        <v>0</v>
      </c>
      <c r="Y8089" s="21">
        <v>0</v>
      </c>
      <c r="Z8089" s="21">
        <v>0</v>
      </c>
      <c r="AA8089" s="21">
        <v>1</v>
      </c>
      <c r="AB8089" s="21">
        <v>0</v>
      </c>
      <c r="AC8089" s="21">
        <v>0</v>
      </c>
      <c r="AD8089" s="21">
        <v>0</v>
      </c>
      <c r="AE8089" s="21">
        <v>0</v>
      </c>
      <c r="AF8089" s="21">
        <v>0</v>
      </c>
      <c r="AG8089" s="21">
        <v>0</v>
      </c>
      <c r="AH8089" s="21">
        <f t="shared" si="160"/>
        <v>0</v>
      </c>
      <c r="AI8089" s="21"/>
      <c r="AJ8089" s="21" t="s">
        <v>54</v>
      </c>
      <c r="AK8089" s="21" t="s">
        <v>95</v>
      </c>
      <c r="AL8089" s="21" t="s">
        <v>3660</v>
      </c>
      <c r="AM8089" s="21" t="s">
        <v>4333</v>
      </c>
      <c r="AN8089" s="21">
        <v>-122.42698608785599</v>
      </c>
      <c r="AO8089" s="21">
        <v>37.787352110541804</v>
      </c>
      <c r="AP8089" s="21" t="s">
        <v>1915</v>
      </c>
    </row>
    <row r="8090" spans="1:42">
      <c r="A8090" s="20">
        <v>43878</v>
      </c>
      <c r="B8090" s="21">
        <v>1</v>
      </c>
      <c r="C8090" s="21">
        <v>574</v>
      </c>
      <c r="D8090" s="21">
        <v>11328</v>
      </c>
      <c r="E8090" t="s">
        <v>377</v>
      </c>
      <c r="F8090" s="21" t="s">
        <v>436</v>
      </c>
      <c r="G8090" s="21">
        <v>1</v>
      </c>
      <c r="H8090" s="21">
        <v>13</v>
      </c>
      <c r="I8090" s="23" t="s">
        <v>3058</v>
      </c>
      <c r="J8090" s="21"/>
      <c r="K8090" s="21" t="s">
        <v>4334</v>
      </c>
      <c r="L8090" s="21"/>
      <c r="M8090" s="21"/>
      <c r="N8090" s="21" t="s">
        <v>44</v>
      </c>
      <c r="O8090" s="21">
        <f>60+49</f>
        <v>109</v>
      </c>
      <c r="P8090" s="21"/>
      <c r="Q8090" s="21">
        <f t="shared" si="159"/>
        <v>1</v>
      </c>
      <c r="R8090" s="21"/>
      <c r="S8090" s="21">
        <v>0</v>
      </c>
      <c r="T8090" s="21">
        <v>0</v>
      </c>
      <c r="U8090" s="21">
        <v>0</v>
      </c>
      <c r="V8090" s="21">
        <v>0</v>
      </c>
      <c r="W8090" s="21">
        <v>0</v>
      </c>
      <c r="X8090" s="21">
        <v>0</v>
      </c>
      <c r="Y8090" s="21">
        <v>0</v>
      </c>
      <c r="Z8090" s="21">
        <v>0</v>
      </c>
      <c r="AA8090" s="21">
        <v>0</v>
      </c>
      <c r="AB8090" s="21">
        <v>0</v>
      </c>
      <c r="AC8090" s="21">
        <v>0</v>
      </c>
      <c r="AD8090" s="21">
        <v>0</v>
      </c>
      <c r="AE8090" s="21">
        <v>1</v>
      </c>
      <c r="AF8090" s="21">
        <v>0</v>
      </c>
      <c r="AG8090" s="21">
        <v>0</v>
      </c>
      <c r="AH8090" s="21">
        <f t="shared" si="160"/>
        <v>0</v>
      </c>
      <c r="AI8090" s="21"/>
      <c r="AJ8090" s="21" t="s">
        <v>54</v>
      </c>
      <c r="AK8090" s="21" t="s">
        <v>95</v>
      </c>
      <c r="AL8090" s="21" t="s">
        <v>4335</v>
      </c>
      <c r="AM8090" s="21" t="s">
        <v>4336</v>
      </c>
      <c r="AN8090" s="21">
        <v>-122.424238016667</v>
      </c>
      <c r="AO8090" s="21">
        <v>37.804268966666697</v>
      </c>
      <c r="AP8090" s="21" t="s">
        <v>1915</v>
      </c>
    </row>
    <row r="8091" spans="1:42">
      <c r="A8091" s="20">
        <v>43878</v>
      </c>
      <c r="B8091" s="21">
        <v>1</v>
      </c>
      <c r="C8091" s="21">
        <v>574</v>
      </c>
      <c r="D8091" s="21">
        <v>11328</v>
      </c>
      <c r="E8091" t="s">
        <v>377</v>
      </c>
      <c r="F8091" s="21" t="s">
        <v>436</v>
      </c>
      <c r="G8091" s="21">
        <v>1</v>
      </c>
      <c r="H8091" s="21">
        <v>14</v>
      </c>
      <c r="I8091" s="23"/>
      <c r="J8091" s="21"/>
      <c r="K8091" s="21" t="s">
        <v>1274</v>
      </c>
      <c r="L8091" s="21"/>
      <c r="M8091" s="21"/>
      <c r="N8091" s="21" t="s">
        <v>44</v>
      </c>
      <c r="O8091" s="21">
        <f>60+56</f>
        <v>116</v>
      </c>
      <c r="P8091" s="21"/>
      <c r="Q8091" s="21">
        <f t="shared" si="159"/>
        <v>2</v>
      </c>
      <c r="R8091" s="21"/>
      <c r="S8091" s="21">
        <v>0</v>
      </c>
      <c r="T8091" s="21">
        <v>0</v>
      </c>
      <c r="U8091" s="21">
        <v>0</v>
      </c>
      <c r="V8091" s="21">
        <v>0</v>
      </c>
      <c r="W8091" s="21">
        <v>0</v>
      </c>
      <c r="X8091" s="21">
        <v>0</v>
      </c>
      <c r="Y8091" s="21">
        <v>0</v>
      </c>
      <c r="Z8091" s="21">
        <v>0</v>
      </c>
      <c r="AA8091" s="21">
        <v>1</v>
      </c>
      <c r="AB8091" s="21">
        <v>0</v>
      </c>
      <c r="AC8091" s="21">
        <v>1</v>
      </c>
      <c r="AD8091" s="21">
        <v>0</v>
      </c>
      <c r="AE8091" s="21">
        <v>0</v>
      </c>
      <c r="AF8091" s="21">
        <v>0</v>
      </c>
      <c r="AG8091" s="21">
        <v>0</v>
      </c>
      <c r="AH8091" s="21">
        <f t="shared" si="160"/>
        <v>0</v>
      </c>
      <c r="AI8091" s="21"/>
      <c r="AJ8091" s="21"/>
      <c r="AK8091" s="21"/>
      <c r="AL8091" s="21" t="s">
        <v>4337</v>
      </c>
      <c r="AM8091" s="21" t="s">
        <v>4338</v>
      </c>
      <c r="AN8091" s="21">
        <v>-122.43221416666699</v>
      </c>
      <c r="AO8091" s="21">
        <v>37.807283416666699</v>
      </c>
      <c r="AP8091" s="21" t="s">
        <v>1915</v>
      </c>
    </row>
    <row r="8092" spans="1:42">
      <c r="A8092" s="20">
        <v>43878</v>
      </c>
      <c r="B8092" s="21">
        <v>1</v>
      </c>
      <c r="C8092" s="21">
        <v>574</v>
      </c>
      <c r="D8092" s="21">
        <v>11328</v>
      </c>
      <c r="E8092" t="s">
        <v>377</v>
      </c>
      <c r="F8092" s="21" t="s">
        <v>436</v>
      </c>
      <c r="G8092" s="21">
        <v>1</v>
      </c>
      <c r="H8092" s="21">
        <v>15</v>
      </c>
      <c r="I8092" s="23" t="s">
        <v>3432</v>
      </c>
      <c r="J8092" s="21"/>
      <c r="K8092" s="21" t="s">
        <v>210</v>
      </c>
      <c r="L8092" s="21"/>
      <c r="M8092" s="21"/>
      <c r="N8092" s="21" t="s">
        <v>40</v>
      </c>
      <c r="O8092" s="21">
        <f>60+39</f>
        <v>99</v>
      </c>
      <c r="P8092" s="21"/>
      <c r="Q8092" s="21">
        <f t="shared" si="159"/>
        <v>1</v>
      </c>
      <c r="R8092" s="21"/>
      <c r="S8092" s="21">
        <v>0</v>
      </c>
      <c r="T8092" s="21">
        <v>0</v>
      </c>
      <c r="U8092" s="21">
        <v>0</v>
      </c>
      <c r="V8092" s="21">
        <v>0</v>
      </c>
      <c r="W8092" s="21">
        <v>0</v>
      </c>
      <c r="X8092" s="21">
        <v>0</v>
      </c>
      <c r="Y8092" s="21">
        <v>0</v>
      </c>
      <c r="Z8092" s="21">
        <v>0</v>
      </c>
      <c r="AA8092" s="21">
        <v>1</v>
      </c>
      <c r="AB8092" s="21">
        <v>0</v>
      </c>
      <c r="AC8092" s="21">
        <v>0</v>
      </c>
      <c r="AD8092" s="21">
        <v>0</v>
      </c>
      <c r="AE8092" s="21">
        <v>0</v>
      </c>
      <c r="AF8092" s="21">
        <v>0</v>
      </c>
      <c r="AG8092" s="21">
        <v>0</v>
      </c>
      <c r="AH8092" s="21">
        <f t="shared" si="160"/>
        <v>0</v>
      </c>
      <c r="AI8092" s="21"/>
      <c r="AJ8092" s="21" t="s">
        <v>51</v>
      </c>
      <c r="AK8092" s="21" t="s">
        <v>95</v>
      </c>
      <c r="AL8092" s="21"/>
      <c r="AM8092" s="21" t="s">
        <v>4339</v>
      </c>
      <c r="AN8092" s="21">
        <v>-122.437246033333</v>
      </c>
      <c r="AO8092" s="21">
        <v>37.799396266666598</v>
      </c>
      <c r="AP8092" s="21" t="s">
        <v>1915</v>
      </c>
    </row>
    <row r="8093" spans="1:42">
      <c r="A8093" s="20">
        <v>43878</v>
      </c>
      <c r="B8093" s="21">
        <v>1</v>
      </c>
      <c r="C8093" s="21">
        <v>574</v>
      </c>
      <c r="D8093" s="21">
        <v>11328</v>
      </c>
      <c r="E8093" t="s">
        <v>377</v>
      </c>
      <c r="F8093" s="21" t="s">
        <v>436</v>
      </c>
      <c r="G8093" s="21">
        <v>1</v>
      </c>
      <c r="H8093" s="21">
        <v>16</v>
      </c>
      <c r="I8093" s="23" t="s">
        <v>4340</v>
      </c>
      <c r="J8093" s="21"/>
      <c r="K8093" s="21" t="s">
        <v>4341</v>
      </c>
      <c r="L8093" s="21"/>
      <c r="M8093" s="21"/>
      <c r="N8093" s="21" t="s">
        <v>40</v>
      </c>
      <c r="O8093" s="21">
        <f>60+18</f>
        <v>78</v>
      </c>
      <c r="P8093" s="21"/>
      <c r="Q8093" s="21">
        <f t="shared" si="159"/>
        <v>1</v>
      </c>
      <c r="R8093" s="21"/>
      <c r="S8093" s="21">
        <v>0</v>
      </c>
      <c r="T8093" s="21">
        <v>0</v>
      </c>
      <c r="U8093" s="21">
        <v>0</v>
      </c>
      <c r="V8093" s="21">
        <v>0</v>
      </c>
      <c r="W8093" s="21">
        <v>0</v>
      </c>
      <c r="X8093" s="21">
        <v>0</v>
      </c>
      <c r="Y8093" s="21">
        <v>0</v>
      </c>
      <c r="Z8093" s="21">
        <v>0</v>
      </c>
      <c r="AA8093" s="21">
        <v>1</v>
      </c>
      <c r="AB8093" s="21">
        <v>0</v>
      </c>
      <c r="AC8093" s="21">
        <v>0</v>
      </c>
      <c r="AD8093" s="21">
        <v>0</v>
      </c>
      <c r="AE8093" s="21">
        <v>0</v>
      </c>
      <c r="AF8093" s="21">
        <v>0</v>
      </c>
      <c r="AG8093" s="21">
        <v>0</v>
      </c>
      <c r="AH8093" s="21">
        <f t="shared" si="160"/>
        <v>0</v>
      </c>
      <c r="AI8093" s="21"/>
      <c r="AJ8093" s="21" t="s">
        <v>51</v>
      </c>
      <c r="AK8093" s="21" t="s">
        <v>95</v>
      </c>
      <c r="AL8093" s="21" t="s">
        <v>4342</v>
      </c>
      <c r="AM8093" s="21" t="s">
        <v>4343</v>
      </c>
      <c r="AN8093" s="21">
        <v>-122.4435201</v>
      </c>
      <c r="AO8093" s="21">
        <v>37.799056633333301</v>
      </c>
      <c r="AP8093" s="21" t="s">
        <v>1915</v>
      </c>
    </row>
    <row r="8094" spans="1:42">
      <c r="A8094" s="20">
        <v>43878</v>
      </c>
      <c r="B8094" s="21">
        <v>1</v>
      </c>
      <c r="C8094" s="21">
        <v>574</v>
      </c>
      <c r="D8094" s="21">
        <v>11328</v>
      </c>
      <c r="E8094" t="s">
        <v>377</v>
      </c>
      <c r="F8094" s="21" t="s">
        <v>436</v>
      </c>
      <c r="G8094" s="21">
        <v>1</v>
      </c>
      <c r="H8094" s="21">
        <v>17</v>
      </c>
      <c r="I8094" s="23" t="s">
        <v>3434</v>
      </c>
      <c r="J8094" s="21"/>
      <c r="K8094" s="21" t="s">
        <v>3435</v>
      </c>
      <c r="L8094" s="21"/>
      <c r="M8094" s="21"/>
      <c r="N8094" s="21" t="s">
        <v>44</v>
      </c>
      <c r="O8094" s="21">
        <v>38</v>
      </c>
      <c r="P8094" s="21"/>
      <c r="Q8094" s="21">
        <f t="shared" si="159"/>
        <v>1</v>
      </c>
      <c r="R8094" s="21"/>
      <c r="S8094" s="21">
        <v>0</v>
      </c>
      <c r="T8094" s="21">
        <v>0</v>
      </c>
      <c r="U8094" s="21">
        <v>0</v>
      </c>
      <c r="V8094" s="21">
        <v>0</v>
      </c>
      <c r="W8094" s="21">
        <v>0</v>
      </c>
      <c r="X8094" s="21">
        <v>0</v>
      </c>
      <c r="Y8094" s="21">
        <v>0</v>
      </c>
      <c r="Z8094" s="21">
        <v>0</v>
      </c>
      <c r="AA8094" s="21">
        <v>0</v>
      </c>
      <c r="AB8094" s="21">
        <v>0</v>
      </c>
      <c r="AC8094" s="21">
        <v>1</v>
      </c>
      <c r="AD8094" s="21">
        <v>0</v>
      </c>
      <c r="AE8094" s="21">
        <v>0</v>
      </c>
      <c r="AF8094" s="21">
        <v>0</v>
      </c>
      <c r="AG8094" s="21">
        <v>0</v>
      </c>
      <c r="AH8094" s="21">
        <f t="shared" si="160"/>
        <v>0</v>
      </c>
      <c r="AI8094" s="21"/>
      <c r="AJ8094" s="21" t="s">
        <v>51</v>
      </c>
      <c r="AK8094" s="21" t="s">
        <v>95</v>
      </c>
      <c r="AL8094" s="21" t="s">
        <v>4344</v>
      </c>
      <c r="AM8094" s="21" t="s">
        <v>4345</v>
      </c>
      <c r="AN8094" s="21">
        <v>-122.44865571666701</v>
      </c>
      <c r="AO8094" s="21">
        <v>37.797245133333298</v>
      </c>
      <c r="AP8094" s="21" t="s">
        <v>1915</v>
      </c>
    </row>
    <row r="8095" spans="1:42">
      <c r="A8095" s="20">
        <v>43878</v>
      </c>
      <c r="B8095" s="21">
        <v>1</v>
      </c>
      <c r="C8095" s="21">
        <v>574</v>
      </c>
      <c r="D8095" s="21">
        <v>11328</v>
      </c>
      <c r="E8095" t="s">
        <v>377</v>
      </c>
      <c r="F8095" s="21" t="s">
        <v>436</v>
      </c>
      <c r="G8095" s="21">
        <v>1</v>
      </c>
      <c r="H8095" s="21">
        <v>18</v>
      </c>
      <c r="I8095" s="23" t="s">
        <v>3448</v>
      </c>
      <c r="J8095" s="21"/>
      <c r="K8095" s="21" t="s">
        <v>1255</v>
      </c>
      <c r="L8095" s="21"/>
      <c r="M8095" s="21"/>
      <c r="N8095" s="21" t="s">
        <v>40</v>
      </c>
      <c r="O8095" s="21">
        <f>120+42</f>
        <v>162</v>
      </c>
      <c r="P8095" s="21"/>
      <c r="Q8095" s="21">
        <f t="shared" si="159"/>
        <v>2</v>
      </c>
      <c r="R8095" s="21"/>
      <c r="S8095" s="21">
        <v>0</v>
      </c>
      <c r="T8095" s="21">
        <v>0</v>
      </c>
      <c r="U8095" s="21">
        <v>0</v>
      </c>
      <c r="V8095" s="21">
        <v>0</v>
      </c>
      <c r="W8095" s="21">
        <v>0</v>
      </c>
      <c r="X8095" s="21">
        <v>0</v>
      </c>
      <c r="Y8095" s="21">
        <v>0</v>
      </c>
      <c r="Z8095" s="21">
        <v>0</v>
      </c>
      <c r="AA8095" s="21">
        <v>0</v>
      </c>
      <c r="AB8095" s="21">
        <v>1</v>
      </c>
      <c r="AC8095" s="21">
        <v>1</v>
      </c>
      <c r="AD8095" s="21">
        <v>0</v>
      </c>
      <c r="AE8095" s="21">
        <v>0</v>
      </c>
      <c r="AF8095" s="21">
        <v>0</v>
      </c>
      <c r="AG8095" s="21">
        <v>0</v>
      </c>
      <c r="AH8095" s="21">
        <f t="shared" si="160"/>
        <v>0</v>
      </c>
      <c r="AI8095" s="21"/>
      <c r="AJ8095" s="21" t="s">
        <v>51</v>
      </c>
      <c r="AK8095" s="21" t="s">
        <v>95</v>
      </c>
      <c r="AL8095" s="21" t="s">
        <v>4346</v>
      </c>
      <c r="AM8095" s="21" t="s">
        <v>4347</v>
      </c>
      <c r="AN8095" s="21">
        <v>-122.450128616667</v>
      </c>
      <c r="AO8095" s="21">
        <v>37.800790216666698</v>
      </c>
      <c r="AP8095" s="21" t="s">
        <v>1915</v>
      </c>
    </row>
    <row r="8096" spans="1:42">
      <c r="A8096" s="20">
        <v>43878</v>
      </c>
      <c r="B8096" s="21">
        <v>1</v>
      </c>
      <c r="C8096" s="21">
        <v>574</v>
      </c>
      <c r="D8096" s="21">
        <v>11328</v>
      </c>
      <c r="E8096" t="s">
        <v>377</v>
      </c>
      <c r="F8096" s="21" t="s">
        <v>436</v>
      </c>
      <c r="G8096" s="21">
        <v>1</v>
      </c>
      <c r="H8096" s="21">
        <v>19</v>
      </c>
      <c r="I8096" s="23" t="s">
        <v>4348</v>
      </c>
      <c r="J8096" s="21"/>
      <c r="K8096" s="21" t="s">
        <v>4349</v>
      </c>
      <c r="L8096" s="21"/>
      <c r="M8096" s="21"/>
      <c r="N8096" s="21" t="s">
        <v>44</v>
      </c>
      <c r="O8096" s="21">
        <f>120+43</f>
        <v>163</v>
      </c>
      <c r="P8096" s="21"/>
      <c r="Q8096" s="21">
        <f t="shared" si="159"/>
        <v>1</v>
      </c>
      <c r="R8096" s="21"/>
      <c r="S8096" s="21">
        <v>0</v>
      </c>
      <c r="T8096" s="21">
        <v>0</v>
      </c>
      <c r="U8096" s="21">
        <v>0</v>
      </c>
      <c r="V8096" s="21">
        <v>0</v>
      </c>
      <c r="W8096" s="21">
        <v>0</v>
      </c>
      <c r="X8096" s="21">
        <v>0</v>
      </c>
      <c r="Y8096" s="21">
        <v>0</v>
      </c>
      <c r="Z8096" s="21">
        <v>0</v>
      </c>
      <c r="AA8096" s="21">
        <v>1</v>
      </c>
      <c r="AB8096" s="21">
        <v>0</v>
      </c>
      <c r="AC8096" s="21">
        <v>0</v>
      </c>
      <c r="AD8096" s="21">
        <v>0</v>
      </c>
      <c r="AE8096" s="21">
        <v>0</v>
      </c>
      <c r="AF8096" s="21">
        <v>0</v>
      </c>
      <c r="AG8096" s="21">
        <v>0</v>
      </c>
      <c r="AH8096" s="21">
        <f t="shared" si="160"/>
        <v>0</v>
      </c>
      <c r="AI8096" s="21"/>
      <c r="AJ8096" s="21" t="s">
        <v>51</v>
      </c>
      <c r="AK8096" s="21"/>
      <c r="AL8096" s="21" t="s">
        <v>4350</v>
      </c>
      <c r="AM8096" s="21" t="s">
        <v>4351</v>
      </c>
      <c r="AN8096" s="21">
        <v>-122.449525033333</v>
      </c>
      <c r="AO8096" s="21">
        <v>37.801909416666703</v>
      </c>
      <c r="AP8096" s="21" t="s">
        <v>1915</v>
      </c>
    </row>
    <row r="8097" spans="1:42">
      <c r="A8097" s="20">
        <v>43878</v>
      </c>
      <c r="B8097" s="21">
        <v>1</v>
      </c>
      <c r="C8097" s="21">
        <v>574</v>
      </c>
      <c r="D8097" s="21">
        <v>11328</v>
      </c>
      <c r="E8097" t="s">
        <v>377</v>
      </c>
      <c r="F8097" s="21" t="s">
        <v>436</v>
      </c>
      <c r="G8097" s="21">
        <v>1</v>
      </c>
      <c r="H8097" s="21">
        <v>20</v>
      </c>
      <c r="I8097" s="23" t="s">
        <v>4352</v>
      </c>
      <c r="J8097" s="21"/>
      <c r="K8097" s="21" t="s">
        <v>3451</v>
      </c>
      <c r="L8097" s="21"/>
      <c r="M8097" s="21"/>
      <c r="N8097" s="21" t="s">
        <v>1703</v>
      </c>
      <c r="O8097" s="21">
        <f>120+46</f>
        <v>166</v>
      </c>
      <c r="P8097" s="21"/>
      <c r="Q8097" s="21">
        <f t="shared" si="159"/>
        <v>1</v>
      </c>
      <c r="R8097" s="21"/>
      <c r="S8097" s="21">
        <v>0</v>
      </c>
      <c r="T8097" s="21">
        <v>0</v>
      </c>
      <c r="U8097" s="21">
        <v>0</v>
      </c>
      <c r="V8097" s="21">
        <v>0</v>
      </c>
      <c r="W8097" s="21">
        <v>0</v>
      </c>
      <c r="X8097" s="21">
        <v>0</v>
      </c>
      <c r="Y8097" s="21">
        <v>0</v>
      </c>
      <c r="Z8097" s="21">
        <v>0</v>
      </c>
      <c r="AA8097" s="21">
        <v>1</v>
      </c>
      <c r="AB8097" s="21">
        <v>0</v>
      </c>
      <c r="AC8097" s="21">
        <v>0</v>
      </c>
      <c r="AD8097" s="21">
        <v>0</v>
      </c>
      <c r="AE8097" s="21">
        <v>0</v>
      </c>
      <c r="AF8097" s="21">
        <v>0</v>
      </c>
      <c r="AG8097" s="21">
        <v>0</v>
      </c>
      <c r="AH8097" s="21">
        <f t="shared" si="160"/>
        <v>0</v>
      </c>
      <c r="AI8097" s="21"/>
      <c r="AJ8097" s="21" t="s">
        <v>51</v>
      </c>
      <c r="AK8097" s="21" t="s">
        <v>95</v>
      </c>
      <c r="AL8097" s="21" t="s">
        <v>4353</v>
      </c>
      <c r="AM8097" s="21" t="s">
        <v>4354</v>
      </c>
      <c r="AN8097" s="21">
        <v>-122.442099833333</v>
      </c>
      <c r="AO8097" s="21">
        <v>37.8066532666667</v>
      </c>
      <c r="AP8097" s="21" t="s">
        <v>1915</v>
      </c>
    </row>
    <row r="8098" spans="1:42">
      <c r="A8098" s="20">
        <v>43878</v>
      </c>
      <c r="B8098" s="21">
        <v>1</v>
      </c>
      <c r="C8098" s="21">
        <v>574</v>
      </c>
      <c r="D8098" s="21">
        <v>11328</v>
      </c>
      <c r="E8098" t="s">
        <v>377</v>
      </c>
      <c r="F8098" s="21" t="s">
        <v>436</v>
      </c>
      <c r="G8098" s="21">
        <v>1</v>
      </c>
      <c r="H8098" s="21">
        <v>21</v>
      </c>
      <c r="I8098" s="23" t="s">
        <v>3450</v>
      </c>
      <c r="J8098" s="21"/>
      <c r="K8098" s="21" t="s">
        <v>3451</v>
      </c>
      <c r="L8098" s="21"/>
      <c r="M8098" s="21"/>
      <c r="N8098" s="21" t="s">
        <v>44</v>
      </c>
      <c r="O8098" s="21">
        <v>34</v>
      </c>
      <c r="P8098" s="21"/>
      <c r="Q8098" s="21">
        <f t="shared" si="159"/>
        <v>1</v>
      </c>
      <c r="R8098" s="21"/>
      <c r="S8098" s="21">
        <v>0</v>
      </c>
      <c r="T8098" s="21">
        <v>0</v>
      </c>
      <c r="U8098" s="21">
        <v>0</v>
      </c>
      <c r="V8098" s="21">
        <v>0</v>
      </c>
      <c r="W8098" s="21">
        <v>0</v>
      </c>
      <c r="X8098" s="21">
        <v>0</v>
      </c>
      <c r="Y8098" s="21">
        <v>0</v>
      </c>
      <c r="Z8098" s="21">
        <v>0</v>
      </c>
      <c r="AA8098" s="21">
        <v>0</v>
      </c>
      <c r="AB8098" s="21">
        <v>1</v>
      </c>
      <c r="AC8098" s="21">
        <v>0</v>
      </c>
      <c r="AD8098" s="21">
        <v>0</v>
      </c>
      <c r="AE8098" s="21">
        <v>0</v>
      </c>
      <c r="AF8098" s="21">
        <v>0</v>
      </c>
      <c r="AG8098" s="21">
        <v>0</v>
      </c>
      <c r="AH8098" s="21">
        <f t="shared" si="160"/>
        <v>0</v>
      </c>
      <c r="AI8098" s="21"/>
      <c r="AJ8098" s="21" t="s">
        <v>51</v>
      </c>
      <c r="AK8098" s="21" t="s">
        <v>95</v>
      </c>
      <c r="AL8098" s="21"/>
      <c r="AM8098" s="21" t="s">
        <v>4355</v>
      </c>
      <c r="AN8098" s="21">
        <v>-122.44656565</v>
      </c>
      <c r="AO8098" s="21">
        <v>37.807017216666701</v>
      </c>
      <c r="AP8098" s="21" t="s">
        <v>1915</v>
      </c>
    </row>
    <row r="8099" spans="1:42">
      <c r="A8099" s="20">
        <v>43878</v>
      </c>
      <c r="B8099" s="21">
        <v>1</v>
      </c>
      <c r="C8099" s="21">
        <v>574</v>
      </c>
      <c r="D8099" s="21">
        <v>11328</v>
      </c>
      <c r="E8099" t="s">
        <v>377</v>
      </c>
      <c r="F8099" s="21" t="s">
        <v>436</v>
      </c>
      <c r="G8099" s="21">
        <v>1</v>
      </c>
      <c r="H8099" s="21">
        <v>22</v>
      </c>
      <c r="I8099" s="23" t="s">
        <v>4352</v>
      </c>
      <c r="J8099" s="21"/>
      <c r="K8099" s="21" t="s">
        <v>4356</v>
      </c>
      <c r="L8099" s="21"/>
      <c r="M8099" s="21"/>
      <c r="N8099" s="21" t="s">
        <v>40</v>
      </c>
      <c r="O8099" s="21">
        <v>70</v>
      </c>
      <c r="P8099" s="21"/>
      <c r="Q8099" s="21">
        <f t="shared" si="159"/>
        <v>1</v>
      </c>
      <c r="R8099" s="21"/>
      <c r="S8099" s="21">
        <v>0</v>
      </c>
      <c r="T8099" s="21">
        <v>0</v>
      </c>
      <c r="U8099" s="21">
        <v>0</v>
      </c>
      <c r="V8099" s="21">
        <v>0</v>
      </c>
      <c r="W8099" s="21">
        <v>0</v>
      </c>
      <c r="X8099" s="21">
        <v>0</v>
      </c>
      <c r="Y8099" s="21">
        <v>0</v>
      </c>
      <c r="Z8099" s="21">
        <v>0</v>
      </c>
      <c r="AA8099" s="21">
        <v>1</v>
      </c>
      <c r="AB8099" s="21">
        <v>0</v>
      </c>
      <c r="AC8099" s="21">
        <v>0</v>
      </c>
      <c r="AD8099" s="21">
        <v>0</v>
      </c>
      <c r="AE8099" s="21">
        <v>0</v>
      </c>
      <c r="AF8099" s="21">
        <v>0</v>
      </c>
      <c r="AG8099" s="21">
        <v>0</v>
      </c>
      <c r="AH8099" s="21">
        <f t="shared" si="160"/>
        <v>0</v>
      </c>
      <c r="AI8099" s="21"/>
      <c r="AJ8099" s="21"/>
      <c r="AK8099" s="21"/>
      <c r="AL8099" s="21" t="s">
        <v>4357</v>
      </c>
      <c r="AM8099" s="21" t="s">
        <v>4358</v>
      </c>
      <c r="AN8099" s="21">
        <v>-122.443742066667</v>
      </c>
      <c r="AO8099" s="21">
        <v>37.807517750000002</v>
      </c>
      <c r="AP8099" s="21" t="s">
        <v>1915</v>
      </c>
    </row>
    <row r="8100" spans="1:42">
      <c r="A8100" s="20">
        <v>43878</v>
      </c>
      <c r="B8100" s="21">
        <v>1</v>
      </c>
      <c r="C8100" s="21">
        <v>574</v>
      </c>
      <c r="D8100" s="21">
        <v>11328</v>
      </c>
      <c r="E8100" t="s">
        <v>377</v>
      </c>
      <c r="F8100" s="21" t="s">
        <v>436</v>
      </c>
      <c r="G8100" s="21">
        <v>1</v>
      </c>
      <c r="H8100" s="21">
        <v>23</v>
      </c>
      <c r="I8100" s="23" t="s">
        <v>3448</v>
      </c>
      <c r="J8100" s="21"/>
      <c r="K8100" s="21" t="s">
        <v>4359</v>
      </c>
      <c r="L8100" s="21"/>
      <c r="M8100" s="21"/>
      <c r="N8100" s="21" t="s">
        <v>40</v>
      </c>
      <c r="O8100" s="21">
        <v>41</v>
      </c>
      <c r="P8100" s="21"/>
      <c r="Q8100" s="21">
        <f t="shared" si="159"/>
        <v>1</v>
      </c>
      <c r="R8100" s="21"/>
      <c r="S8100" s="21">
        <v>0</v>
      </c>
      <c r="T8100" s="21">
        <v>0</v>
      </c>
      <c r="U8100" s="21">
        <v>0</v>
      </c>
      <c r="V8100" s="21">
        <v>0</v>
      </c>
      <c r="W8100" s="21">
        <v>0</v>
      </c>
      <c r="X8100" s="21">
        <v>0</v>
      </c>
      <c r="Y8100" s="21">
        <v>0</v>
      </c>
      <c r="Z8100" s="21">
        <v>0</v>
      </c>
      <c r="AA8100" s="21">
        <v>0</v>
      </c>
      <c r="AB8100" s="21">
        <v>1</v>
      </c>
      <c r="AC8100" s="21">
        <v>0</v>
      </c>
      <c r="AD8100" s="21">
        <v>0</v>
      </c>
      <c r="AE8100" s="21">
        <v>0</v>
      </c>
      <c r="AF8100" s="21">
        <v>0</v>
      </c>
      <c r="AG8100" s="21">
        <v>0</v>
      </c>
      <c r="AH8100" s="21">
        <f t="shared" si="160"/>
        <v>0</v>
      </c>
      <c r="AI8100" s="21"/>
      <c r="AJ8100" s="21"/>
      <c r="AK8100" s="21"/>
      <c r="AL8100" s="21"/>
      <c r="AM8100" s="21" t="s">
        <v>4360</v>
      </c>
      <c r="AN8100" s="21">
        <v>-122.44267051666699</v>
      </c>
      <c r="AO8100" s="21">
        <v>37.807878666666703</v>
      </c>
      <c r="AP8100" s="21" t="s">
        <v>1915</v>
      </c>
    </row>
    <row r="8101" spans="1:42">
      <c r="A8101" s="20">
        <v>43878</v>
      </c>
      <c r="B8101" s="21">
        <v>1</v>
      </c>
      <c r="C8101" s="21">
        <v>574</v>
      </c>
      <c r="D8101" s="21">
        <v>11328</v>
      </c>
      <c r="E8101" t="s">
        <v>377</v>
      </c>
      <c r="F8101" s="21" t="s">
        <v>436</v>
      </c>
      <c r="G8101" s="21">
        <v>1</v>
      </c>
      <c r="H8101" s="21">
        <v>24</v>
      </c>
      <c r="I8101" s="23" t="s">
        <v>4352</v>
      </c>
      <c r="J8101" s="21"/>
      <c r="K8101" s="21" t="s">
        <v>3451</v>
      </c>
      <c r="L8101" s="21"/>
      <c r="M8101" s="21"/>
      <c r="N8101" s="21" t="s">
        <v>1703</v>
      </c>
      <c r="O8101" s="21">
        <f>60+60+60+24</f>
        <v>204</v>
      </c>
      <c r="P8101" s="21"/>
      <c r="Q8101" s="21">
        <f t="shared" si="159"/>
        <v>2</v>
      </c>
      <c r="R8101" s="21"/>
      <c r="S8101" s="21">
        <v>0</v>
      </c>
      <c r="T8101" s="21">
        <v>0</v>
      </c>
      <c r="U8101" s="21">
        <v>0</v>
      </c>
      <c r="V8101" s="21">
        <v>0</v>
      </c>
      <c r="W8101" s="21">
        <v>0</v>
      </c>
      <c r="X8101" s="21">
        <v>0</v>
      </c>
      <c r="Y8101" s="21">
        <v>0</v>
      </c>
      <c r="Z8101" s="21">
        <v>0</v>
      </c>
      <c r="AA8101" s="21">
        <v>0</v>
      </c>
      <c r="AB8101" s="21">
        <v>2</v>
      </c>
      <c r="AC8101" s="21">
        <v>0</v>
      </c>
      <c r="AD8101" s="21">
        <v>0</v>
      </c>
      <c r="AE8101" s="21">
        <v>0</v>
      </c>
      <c r="AF8101" s="21">
        <v>0</v>
      </c>
      <c r="AG8101" s="21">
        <v>0</v>
      </c>
      <c r="AH8101" s="21">
        <f t="shared" si="160"/>
        <v>0</v>
      </c>
      <c r="AI8101" s="21"/>
      <c r="AJ8101" s="21" t="s">
        <v>51</v>
      </c>
      <c r="AK8101" s="21" t="s">
        <v>95</v>
      </c>
      <c r="AL8101" s="21" t="s">
        <v>4361</v>
      </c>
      <c r="AM8101" s="21" t="s">
        <v>4362</v>
      </c>
      <c r="AN8101" s="21">
        <v>-122.44867378333301</v>
      </c>
      <c r="AO8101" s="21">
        <v>37.806098083333303</v>
      </c>
      <c r="AP8101" s="21" t="s">
        <v>1915</v>
      </c>
    </row>
    <row r="8102" spans="1:42">
      <c r="A8102" s="20">
        <v>43878</v>
      </c>
      <c r="B8102" s="21">
        <v>1</v>
      </c>
      <c r="C8102" s="21">
        <v>574</v>
      </c>
      <c r="D8102" s="21">
        <v>11328</v>
      </c>
      <c r="E8102" t="s">
        <v>377</v>
      </c>
      <c r="F8102" s="21" t="s">
        <v>436</v>
      </c>
      <c r="G8102" s="21">
        <v>1</v>
      </c>
      <c r="H8102" s="21">
        <v>25</v>
      </c>
      <c r="I8102" s="23" t="s">
        <v>3227</v>
      </c>
      <c r="J8102" s="21"/>
      <c r="K8102" s="21" t="s">
        <v>3663</v>
      </c>
      <c r="L8102" s="21"/>
      <c r="M8102" s="21"/>
      <c r="N8102" s="21" t="s">
        <v>40</v>
      </c>
      <c r="O8102" s="21">
        <v>59</v>
      </c>
      <c r="P8102" s="21"/>
      <c r="Q8102" s="21">
        <f t="shared" si="159"/>
        <v>1</v>
      </c>
      <c r="R8102" s="21"/>
      <c r="S8102" s="21">
        <v>0</v>
      </c>
      <c r="T8102" s="21">
        <v>0</v>
      </c>
      <c r="U8102" s="21">
        <v>0</v>
      </c>
      <c r="V8102" s="21">
        <v>0</v>
      </c>
      <c r="W8102" s="21">
        <v>0</v>
      </c>
      <c r="X8102" s="21">
        <v>0</v>
      </c>
      <c r="Y8102" s="21">
        <v>0</v>
      </c>
      <c r="Z8102" s="21">
        <v>0</v>
      </c>
      <c r="AA8102" s="21">
        <v>0</v>
      </c>
      <c r="AB8102" s="21">
        <v>0</v>
      </c>
      <c r="AC8102" s="21">
        <v>0</v>
      </c>
      <c r="AD8102" s="21">
        <v>1</v>
      </c>
      <c r="AE8102" s="21">
        <v>0</v>
      </c>
      <c r="AF8102" s="21">
        <v>0</v>
      </c>
      <c r="AG8102" s="21">
        <v>0</v>
      </c>
      <c r="AH8102" s="21">
        <f t="shared" si="160"/>
        <v>0</v>
      </c>
      <c r="AI8102" s="21"/>
      <c r="AJ8102" s="21"/>
      <c r="AK8102" s="21"/>
      <c r="AL8102" s="21" t="s">
        <v>3549</v>
      </c>
      <c r="AM8102" s="21" t="s">
        <v>4363</v>
      </c>
      <c r="AN8102" s="21">
        <v>-122.45333934999999</v>
      </c>
      <c r="AO8102" s="21">
        <v>37.802622833333302</v>
      </c>
      <c r="AP8102" s="21" t="s">
        <v>1915</v>
      </c>
    </row>
    <row r="8103" spans="1:42">
      <c r="A8103" s="20">
        <v>43878</v>
      </c>
      <c r="B8103" s="21">
        <v>1</v>
      </c>
      <c r="C8103" s="21">
        <v>574</v>
      </c>
      <c r="D8103" s="21">
        <v>11328</v>
      </c>
      <c r="E8103" t="s">
        <v>377</v>
      </c>
      <c r="F8103" s="21" t="s">
        <v>436</v>
      </c>
      <c r="G8103" s="21">
        <v>1</v>
      </c>
      <c r="H8103" s="21">
        <v>26</v>
      </c>
      <c r="I8103" s="23" t="s">
        <v>4364</v>
      </c>
      <c r="J8103" s="21"/>
      <c r="K8103" s="21" t="s">
        <v>3663</v>
      </c>
      <c r="L8103" s="21"/>
      <c r="M8103" s="21"/>
      <c r="N8103" s="21"/>
      <c r="O8103" s="21">
        <v>43</v>
      </c>
      <c r="P8103" s="21"/>
      <c r="Q8103" s="21">
        <f t="shared" si="159"/>
        <v>1</v>
      </c>
      <c r="R8103" s="21"/>
      <c r="S8103" s="21">
        <v>0</v>
      </c>
      <c r="T8103" s="21">
        <v>0</v>
      </c>
      <c r="U8103" s="21">
        <v>0</v>
      </c>
      <c r="V8103" s="21">
        <v>0</v>
      </c>
      <c r="W8103" s="21">
        <v>0</v>
      </c>
      <c r="X8103" s="21">
        <v>0</v>
      </c>
      <c r="Y8103" s="21">
        <v>0</v>
      </c>
      <c r="Z8103" s="21">
        <v>0</v>
      </c>
      <c r="AA8103" s="21">
        <v>0</v>
      </c>
      <c r="AB8103" s="21">
        <v>0</v>
      </c>
      <c r="AC8103" s="21">
        <v>1</v>
      </c>
      <c r="AD8103" s="21">
        <v>0</v>
      </c>
      <c r="AE8103" s="21">
        <v>0</v>
      </c>
      <c r="AF8103" s="21">
        <v>0</v>
      </c>
      <c r="AG8103" s="21">
        <v>0</v>
      </c>
      <c r="AH8103" s="21">
        <f t="shared" si="160"/>
        <v>0</v>
      </c>
      <c r="AI8103" s="21"/>
      <c r="AJ8103" s="21"/>
      <c r="AK8103" s="21"/>
      <c r="AL8103" s="21"/>
      <c r="AM8103" s="21" t="s">
        <v>4365</v>
      </c>
      <c r="AN8103" s="21">
        <v>-122.453382833333</v>
      </c>
      <c r="AO8103" s="21">
        <v>37.801837933333303</v>
      </c>
      <c r="AP8103" s="21" t="s">
        <v>1915</v>
      </c>
    </row>
    <row r="8104" spans="1:42">
      <c r="A8104" s="20">
        <v>43878</v>
      </c>
      <c r="B8104" s="21">
        <v>1</v>
      </c>
      <c r="C8104" s="21">
        <v>574</v>
      </c>
      <c r="D8104" s="21">
        <v>11328</v>
      </c>
      <c r="E8104" t="s">
        <v>377</v>
      </c>
      <c r="F8104" s="21" t="s">
        <v>436</v>
      </c>
      <c r="G8104" s="21">
        <v>1</v>
      </c>
      <c r="H8104" s="21">
        <v>27</v>
      </c>
      <c r="I8104" s="23" t="s">
        <v>4366</v>
      </c>
      <c r="J8104" s="21"/>
      <c r="K8104" s="21" t="s">
        <v>3548</v>
      </c>
      <c r="L8104" s="21"/>
      <c r="M8104" s="21"/>
      <c r="N8104" s="21" t="s">
        <v>40</v>
      </c>
      <c r="O8104" s="21">
        <v>42</v>
      </c>
      <c r="P8104" s="21"/>
      <c r="Q8104" s="21">
        <f t="shared" si="159"/>
        <v>1</v>
      </c>
      <c r="R8104" s="21"/>
      <c r="S8104" s="21">
        <v>0</v>
      </c>
      <c r="T8104" s="21">
        <v>0</v>
      </c>
      <c r="U8104" s="21">
        <v>0</v>
      </c>
      <c r="V8104" s="21">
        <v>0</v>
      </c>
      <c r="W8104" s="21">
        <v>0</v>
      </c>
      <c r="X8104" s="21">
        <v>0</v>
      </c>
      <c r="Y8104" s="21">
        <v>0</v>
      </c>
      <c r="Z8104" s="21">
        <v>0</v>
      </c>
      <c r="AA8104" s="21">
        <v>0</v>
      </c>
      <c r="AB8104" s="21">
        <v>0</v>
      </c>
      <c r="AC8104" s="21">
        <v>1</v>
      </c>
      <c r="AD8104" s="21">
        <v>0</v>
      </c>
      <c r="AE8104" s="21">
        <v>0</v>
      </c>
      <c r="AF8104" s="21">
        <v>0</v>
      </c>
      <c r="AG8104" s="21">
        <v>0</v>
      </c>
      <c r="AH8104" s="21">
        <f t="shared" si="160"/>
        <v>0</v>
      </c>
      <c r="AI8104" s="21"/>
      <c r="AJ8104" s="21"/>
      <c r="AK8104" s="21"/>
      <c r="AL8104" s="21"/>
      <c r="AM8104" s="21" t="s">
        <v>4367</v>
      </c>
      <c r="AN8104" s="21">
        <v>-122.45641291666701</v>
      </c>
      <c r="AO8104" s="21">
        <v>37.8011622</v>
      </c>
      <c r="AP8104" s="21" t="s">
        <v>1915</v>
      </c>
    </row>
    <row r="8105" spans="1:42">
      <c r="A8105" s="20">
        <v>43878</v>
      </c>
      <c r="B8105" s="21">
        <v>1</v>
      </c>
      <c r="C8105" s="21">
        <v>574</v>
      </c>
      <c r="D8105" s="21">
        <v>11328</v>
      </c>
      <c r="E8105" t="s">
        <v>377</v>
      </c>
      <c r="F8105" s="21" t="s">
        <v>436</v>
      </c>
      <c r="G8105" s="21">
        <v>1</v>
      </c>
      <c r="H8105" s="21">
        <v>28</v>
      </c>
      <c r="I8105" s="23">
        <v>93</v>
      </c>
      <c r="J8105" s="21"/>
      <c r="K8105" s="21" t="s">
        <v>3551</v>
      </c>
      <c r="L8105" s="21"/>
      <c r="M8105" s="21"/>
      <c r="N8105" s="21"/>
      <c r="O8105" s="21">
        <v>44</v>
      </c>
      <c r="P8105" s="21"/>
      <c r="Q8105" s="21">
        <f t="shared" si="159"/>
        <v>1</v>
      </c>
      <c r="R8105" s="21"/>
      <c r="S8105" s="21">
        <v>0</v>
      </c>
      <c r="T8105" s="21">
        <v>0</v>
      </c>
      <c r="U8105" s="21">
        <v>0</v>
      </c>
      <c r="V8105" s="21">
        <v>0</v>
      </c>
      <c r="W8105" s="21">
        <v>0</v>
      </c>
      <c r="X8105" s="21">
        <v>0</v>
      </c>
      <c r="Y8105" s="21">
        <v>0</v>
      </c>
      <c r="Z8105" s="21">
        <v>0</v>
      </c>
      <c r="AA8105" s="21">
        <v>0</v>
      </c>
      <c r="AB8105" s="21">
        <v>0</v>
      </c>
      <c r="AC8105" s="21">
        <v>1</v>
      </c>
      <c r="AD8105" s="21">
        <v>0</v>
      </c>
      <c r="AE8105" s="21">
        <v>0</v>
      </c>
      <c r="AF8105" s="21">
        <v>0</v>
      </c>
      <c r="AG8105" s="21">
        <v>0</v>
      </c>
      <c r="AH8105" s="21">
        <f t="shared" si="160"/>
        <v>0</v>
      </c>
      <c r="AI8105" s="21"/>
      <c r="AJ8105" s="21"/>
      <c r="AK8105" s="21"/>
      <c r="AL8105" s="21"/>
      <c r="AM8105" s="21" t="s">
        <v>4368</v>
      </c>
      <c r="AN8105" s="21">
        <v>-122.459914133333</v>
      </c>
      <c r="AO8105" s="21">
        <v>37.7982828833333</v>
      </c>
      <c r="AP8105" s="21" t="s">
        <v>1915</v>
      </c>
    </row>
    <row r="8106" spans="1:42">
      <c r="A8106" s="20">
        <v>43878</v>
      </c>
      <c r="B8106" s="21">
        <v>1</v>
      </c>
      <c r="C8106" s="21">
        <v>574</v>
      </c>
      <c r="D8106" s="21">
        <v>11328</v>
      </c>
      <c r="E8106" t="s">
        <v>377</v>
      </c>
      <c r="F8106" s="21" t="s">
        <v>436</v>
      </c>
      <c r="G8106" s="21">
        <v>1</v>
      </c>
      <c r="H8106" s="21">
        <v>29</v>
      </c>
      <c r="I8106" s="23" t="s">
        <v>3437</v>
      </c>
      <c r="J8106" s="21"/>
      <c r="K8106" s="21" t="s">
        <v>4369</v>
      </c>
      <c r="L8106" s="21"/>
      <c r="M8106" s="21"/>
      <c r="N8106" s="21" t="s">
        <v>40</v>
      </c>
      <c r="O8106" s="21">
        <f>60+43</f>
        <v>103</v>
      </c>
      <c r="P8106" s="21"/>
      <c r="Q8106" s="21">
        <f t="shared" si="159"/>
        <v>1</v>
      </c>
      <c r="R8106" s="21"/>
      <c r="S8106" s="21">
        <v>0</v>
      </c>
      <c r="T8106" s="21">
        <v>0</v>
      </c>
      <c r="U8106" s="21">
        <v>0</v>
      </c>
      <c r="V8106" s="21">
        <v>0</v>
      </c>
      <c r="W8106" s="21">
        <v>0</v>
      </c>
      <c r="X8106" s="21">
        <v>0</v>
      </c>
      <c r="Y8106" s="21">
        <v>0</v>
      </c>
      <c r="Z8106" s="21">
        <v>0</v>
      </c>
      <c r="AA8106" s="21">
        <v>0</v>
      </c>
      <c r="AB8106" s="21">
        <v>1</v>
      </c>
      <c r="AC8106" s="21">
        <v>0</v>
      </c>
      <c r="AD8106" s="21">
        <v>0</v>
      </c>
      <c r="AE8106" s="21">
        <v>0</v>
      </c>
      <c r="AF8106" s="21">
        <v>0</v>
      </c>
      <c r="AG8106" s="21">
        <v>0</v>
      </c>
      <c r="AH8106" s="21">
        <f t="shared" si="160"/>
        <v>0</v>
      </c>
      <c r="AI8106" s="21"/>
      <c r="AJ8106" s="21"/>
      <c r="AK8106" s="21"/>
      <c r="AL8106" s="21" t="s">
        <v>4193</v>
      </c>
      <c r="AM8106" s="21" t="s">
        <v>4370</v>
      </c>
      <c r="AN8106" s="21">
        <v>-122.45955575000001</v>
      </c>
      <c r="AO8106" s="21">
        <v>37.797432483333303</v>
      </c>
      <c r="AP8106" s="21" t="s">
        <v>1915</v>
      </c>
    </row>
    <row r="8107" spans="1:42">
      <c r="A8107" s="20">
        <v>43878</v>
      </c>
      <c r="B8107" s="21">
        <v>1</v>
      </c>
      <c r="C8107" s="21">
        <v>574</v>
      </c>
      <c r="D8107" s="21">
        <v>11328</v>
      </c>
      <c r="E8107" t="s">
        <v>377</v>
      </c>
      <c r="F8107" s="21" t="s">
        <v>436</v>
      </c>
      <c r="G8107" s="21">
        <v>1</v>
      </c>
      <c r="H8107" s="21">
        <v>30</v>
      </c>
      <c r="I8107" s="23" t="s">
        <v>3752</v>
      </c>
      <c r="J8107" s="21"/>
      <c r="K8107" s="21" t="s">
        <v>3753</v>
      </c>
      <c r="L8107" s="21"/>
      <c r="M8107" s="21"/>
      <c r="N8107" s="21"/>
      <c r="O8107" s="21">
        <v>38</v>
      </c>
      <c r="P8107" s="21"/>
      <c r="Q8107" s="21">
        <f t="shared" si="159"/>
        <v>1</v>
      </c>
      <c r="R8107" s="21"/>
      <c r="S8107" s="21">
        <v>0</v>
      </c>
      <c r="T8107" s="21">
        <v>0</v>
      </c>
      <c r="U8107" s="21">
        <v>0</v>
      </c>
      <c r="V8107" s="21">
        <v>0</v>
      </c>
      <c r="W8107" s="21">
        <v>0</v>
      </c>
      <c r="X8107" s="21">
        <v>0</v>
      </c>
      <c r="Y8107" s="21">
        <v>0</v>
      </c>
      <c r="Z8107" s="21">
        <v>0</v>
      </c>
      <c r="AA8107" s="21">
        <v>0</v>
      </c>
      <c r="AB8107" s="21">
        <v>0</v>
      </c>
      <c r="AC8107" s="21">
        <v>1</v>
      </c>
      <c r="AD8107" s="21">
        <v>0</v>
      </c>
      <c r="AE8107" s="21">
        <v>0</v>
      </c>
      <c r="AF8107" s="21">
        <v>0</v>
      </c>
      <c r="AG8107" s="21">
        <v>0</v>
      </c>
      <c r="AH8107" s="21">
        <f t="shared" si="160"/>
        <v>0</v>
      </c>
      <c r="AI8107" s="21"/>
      <c r="AJ8107" s="21"/>
      <c r="AK8107" s="21"/>
      <c r="AL8107" s="21"/>
      <c r="AM8107" s="21" t="s">
        <v>4371</v>
      </c>
      <c r="AN8107" s="21">
        <v>-122.459580683333</v>
      </c>
      <c r="AO8107" s="21">
        <v>37.790930983333297</v>
      </c>
      <c r="AP8107" s="21" t="s">
        <v>1915</v>
      </c>
    </row>
    <row r="8108" spans="1:42">
      <c r="A8108" s="20">
        <v>43878</v>
      </c>
      <c r="B8108" s="21">
        <v>1</v>
      </c>
      <c r="C8108" s="21">
        <v>574</v>
      </c>
      <c r="D8108" s="21">
        <v>11328</v>
      </c>
      <c r="E8108" t="s">
        <v>377</v>
      </c>
      <c r="F8108" s="21" t="s">
        <v>436</v>
      </c>
      <c r="G8108" s="21">
        <v>1</v>
      </c>
      <c r="H8108" s="21">
        <v>31</v>
      </c>
      <c r="I8108" s="23">
        <v>999</v>
      </c>
      <c r="J8108" s="21"/>
      <c r="K8108" s="21" t="s">
        <v>415</v>
      </c>
      <c r="L8108" s="21"/>
      <c r="M8108" s="21"/>
      <c r="N8108" s="21" t="s">
        <v>40</v>
      </c>
      <c r="O8108" s="21">
        <v>37</v>
      </c>
      <c r="P8108" s="21"/>
      <c r="Q8108" s="21">
        <f t="shared" si="159"/>
        <v>1</v>
      </c>
      <c r="R8108" s="21"/>
      <c r="S8108" s="21">
        <v>0</v>
      </c>
      <c r="T8108" s="21">
        <v>0</v>
      </c>
      <c r="U8108" s="21">
        <v>0</v>
      </c>
      <c r="V8108" s="21">
        <v>0</v>
      </c>
      <c r="W8108" s="21">
        <v>0</v>
      </c>
      <c r="X8108" s="21">
        <v>0</v>
      </c>
      <c r="Y8108" s="21">
        <v>0</v>
      </c>
      <c r="Z8108" s="21">
        <v>0</v>
      </c>
      <c r="AA8108" s="21">
        <v>0</v>
      </c>
      <c r="AB8108" s="21">
        <v>0</v>
      </c>
      <c r="AC8108" s="21">
        <v>1</v>
      </c>
      <c r="AD8108" s="21">
        <v>0</v>
      </c>
      <c r="AE8108" s="21">
        <v>0</v>
      </c>
      <c r="AF8108" s="21">
        <v>0</v>
      </c>
      <c r="AG8108" s="21">
        <v>0</v>
      </c>
      <c r="AH8108" s="21">
        <f t="shared" si="160"/>
        <v>0</v>
      </c>
      <c r="AI8108" s="21"/>
      <c r="AJ8108" s="21" t="s">
        <v>54</v>
      </c>
      <c r="AK8108" s="21"/>
      <c r="AL8108" s="21" t="s">
        <v>379</v>
      </c>
      <c r="AM8108" s="21" t="s">
        <v>4372</v>
      </c>
      <c r="AN8108" s="21">
        <v>-122.422113333333</v>
      </c>
      <c r="AO8108" s="21">
        <v>37.7840223166667</v>
      </c>
      <c r="AP8108" s="21" t="s">
        <v>1915</v>
      </c>
    </row>
    <row r="8109" spans="1:42">
      <c r="A8109" s="20">
        <v>43878</v>
      </c>
      <c r="B8109" s="21">
        <v>1</v>
      </c>
      <c r="C8109" s="21">
        <v>574</v>
      </c>
      <c r="D8109" s="21">
        <v>11328</v>
      </c>
      <c r="E8109" t="s">
        <v>377</v>
      </c>
      <c r="F8109" s="21" t="s">
        <v>436</v>
      </c>
      <c r="G8109" s="21">
        <v>1</v>
      </c>
      <c r="H8109" s="21">
        <v>32</v>
      </c>
      <c r="I8109" s="23">
        <v>999</v>
      </c>
      <c r="J8109" s="21"/>
      <c r="K8109" s="21" t="s">
        <v>415</v>
      </c>
      <c r="L8109" s="21"/>
      <c r="M8109" s="21"/>
      <c r="N8109" s="21" t="s">
        <v>40</v>
      </c>
      <c r="O8109" s="21">
        <v>37</v>
      </c>
      <c r="P8109" s="21"/>
      <c r="Q8109" s="21">
        <f t="shared" si="159"/>
        <v>1</v>
      </c>
      <c r="R8109" s="21"/>
      <c r="S8109" s="21">
        <v>0</v>
      </c>
      <c r="T8109" s="21">
        <v>0</v>
      </c>
      <c r="U8109" s="21">
        <v>0</v>
      </c>
      <c r="V8109" s="21">
        <v>0</v>
      </c>
      <c r="W8109" s="21">
        <v>0</v>
      </c>
      <c r="X8109" s="21">
        <v>0</v>
      </c>
      <c r="Y8109" s="21">
        <v>0</v>
      </c>
      <c r="Z8109" s="21">
        <v>0</v>
      </c>
      <c r="AA8109" s="21">
        <v>0</v>
      </c>
      <c r="AB8109" s="21">
        <v>0</v>
      </c>
      <c r="AC8109" s="21">
        <v>1</v>
      </c>
      <c r="AD8109" s="21">
        <v>0</v>
      </c>
      <c r="AE8109" s="21">
        <v>0</v>
      </c>
      <c r="AF8109" s="21">
        <v>0</v>
      </c>
      <c r="AG8109" s="21">
        <v>0</v>
      </c>
      <c r="AH8109" s="21">
        <f t="shared" si="160"/>
        <v>0</v>
      </c>
      <c r="AI8109" s="21"/>
      <c r="AJ8109" s="21" t="s">
        <v>54</v>
      </c>
      <c r="AK8109" s="21"/>
      <c r="AL8109" s="21" t="s">
        <v>379</v>
      </c>
      <c r="AM8109" s="21" t="s">
        <v>4373</v>
      </c>
      <c r="AN8109" s="21">
        <v>-122.422113333333</v>
      </c>
      <c r="AO8109" s="21">
        <v>37.7840223166667</v>
      </c>
      <c r="AP8109" s="21" t="s">
        <v>1915</v>
      </c>
    </row>
    <row r="8110" spans="1:42">
      <c r="A8110" s="20">
        <v>43878</v>
      </c>
      <c r="B8110" s="21">
        <v>1</v>
      </c>
      <c r="C8110" s="21">
        <v>574</v>
      </c>
      <c r="D8110" s="21">
        <v>11328</v>
      </c>
      <c r="E8110" t="s">
        <v>377</v>
      </c>
      <c r="F8110" s="21" t="s">
        <v>436</v>
      </c>
      <c r="G8110" s="21">
        <v>1</v>
      </c>
      <c r="H8110" s="21">
        <v>33</v>
      </c>
      <c r="I8110" s="23" t="s">
        <v>3707</v>
      </c>
      <c r="J8110" s="21"/>
      <c r="K8110" s="21" t="s">
        <v>415</v>
      </c>
      <c r="L8110" s="21"/>
      <c r="M8110" s="21"/>
      <c r="N8110" s="21" t="s">
        <v>40</v>
      </c>
      <c r="O8110" s="21">
        <f>60+9</f>
        <v>69</v>
      </c>
      <c r="P8110" s="21"/>
      <c r="Q8110" s="21">
        <f t="shared" si="159"/>
        <v>1</v>
      </c>
      <c r="R8110" s="21"/>
      <c r="S8110" s="21">
        <v>0</v>
      </c>
      <c r="T8110" s="21">
        <v>0</v>
      </c>
      <c r="U8110" s="21">
        <v>0</v>
      </c>
      <c r="V8110" s="21">
        <v>0</v>
      </c>
      <c r="W8110" s="21">
        <v>0</v>
      </c>
      <c r="X8110" s="21">
        <v>0</v>
      </c>
      <c r="Y8110" s="21">
        <v>0</v>
      </c>
      <c r="Z8110" s="21">
        <v>0</v>
      </c>
      <c r="AA8110" s="21">
        <v>0</v>
      </c>
      <c r="AB8110" s="21">
        <v>0</v>
      </c>
      <c r="AC8110" s="21">
        <v>1</v>
      </c>
      <c r="AD8110" s="21">
        <v>0</v>
      </c>
      <c r="AE8110" s="21">
        <v>0</v>
      </c>
      <c r="AF8110" s="21">
        <v>0</v>
      </c>
      <c r="AG8110" s="21">
        <v>0</v>
      </c>
      <c r="AH8110" s="21">
        <f t="shared" si="160"/>
        <v>0</v>
      </c>
      <c r="AI8110" s="21"/>
      <c r="AJ8110" s="21" t="s">
        <v>51</v>
      </c>
      <c r="AK8110" s="21" t="s">
        <v>95</v>
      </c>
      <c r="AL8110" s="21" t="s">
        <v>379</v>
      </c>
      <c r="AM8110" s="21" t="s">
        <v>4374</v>
      </c>
      <c r="AN8110" s="21">
        <v>-122.420116616667</v>
      </c>
      <c r="AO8110" s="21">
        <v>37.775787133333303</v>
      </c>
      <c r="AP8110" s="21" t="s">
        <v>1915</v>
      </c>
    </row>
    <row r="8111" spans="1:42">
      <c r="A8111" s="20">
        <v>43878</v>
      </c>
      <c r="B8111" s="21">
        <v>1</v>
      </c>
      <c r="C8111" s="21">
        <v>574</v>
      </c>
      <c r="D8111" s="21">
        <v>11328</v>
      </c>
      <c r="E8111" t="s">
        <v>377</v>
      </c>
      <c r="F8111" s="21" t="s">
        <v>436</v>
      </c>
      <c r="G8111" s="21">
        <v>1</v>
      </c>
      <c r="H8111" s="21">
        <v>35</v>
      </c>
      <c r="I8111" s="23" t="s">
        <v>4375</v>
      </c>
      <c r="J8111" s="21"/>
      <c r="K8111" s="21" t="s">
        <v>828</v>
      </c>
      <c r="L8111" s="21"/>
      <c r="M8111" s="21"/>
      <c r="N8111" s="21" t="s">
        <v>40</v>
      </c>
      <c r="O8111" s="21">
        <f>60+33</f>
        <v>93</v>
      </c>
      <c r="P8111" s="21"/>
      <c r="Q8111" s="21">
        <f t="shared" si="159"/>
        <v>1</v>
      </c>
      <c r="R8111" s="21"/>
      <c r="S8111" s="21">
        <v>0</v>
      </c>
      <c r="T8111" s="21">
        <v>0</v>
      </c>
      <c r="U8111" s="21">
        <v>0</v>
      </c>
      <c r="V8111" s="21">
        <v>0</v>
      </c>
      <c r="W8111" s="21">
        <v>0</v>
      </c>
      <c r="X8111" s="21">
        <v>0</v>
      </c>
      <c r="Y8111" s="21">
        <v>0</v>
      </c>
      <c r="Z8111" s="21">
        <v>0</v>
      </c>
      <c r="AA8111" s="21">
        <v>0</v>
      </c>
      <c r="AB8111" s="21">
        <v>0</v>
      </c>
      <c r="AC8111" s="21">
        <v>1</v>
      </c>
      <c r="AD8111" s="21">
        <v>0</v>
      </c>
      <c r="AE8111" s="21">
        <v>0</v>
      </c>
      <c r="AF8111" s="21">
        <v>0</v>
      </c>
      <c r="AG8111" s="21">
        <v>0</v>
      </c>
      <c r="AH8111" s="21">
        <f t="shared" si="160"/>
        <v>0</v>
      </c>
      <c r="AI8111" s="21"/>
      <c r="AJ8111" s="21"/>
      <c r="AK8111" s="21"/>
      <c r="AL8111" s="21"/>
      <c r="AM8111" s="21" t="s">
        <v>4376</v>
      </c>
      <c r="AN8111" s="21">
        <v>-122.418140416667</v>
      </c>
      <c r="AO8111" s="21">
        <v>37.790816433333298</v>
      </c>
      <c r="AP8111" s="21" t="s">
        <v>1915</v>
      </c>
    </row>
    <row r="8112" spans="1:42">
      <c r="A8112" s="20">
        <v>43878</v>
      </c>
      <c r="B8112" s="21">
        <v>1</v>
      </c>
      <c r="C8112" s="21">
        <v>574</v>
      </c>
      <c r="D8112" s="21">
        <v>11328</v>
      </c>
      <c r="E8112" t="s">
        <v>377</v>
      </c>
      <c r="F8112" s="21" t="s">
        <v>436</v>
      </c>
      <c r="G8112" s="21">
        <v>1</v>
      </c>
      <c r="H8112" s="21">
        <v>36</v>
      </c>
      <c r="I8112" s="23" t="s">
        <v>4377</v>
      </c>
      <c r="J8112" s="21"/>
      <c r="K8112" s="21" t="s">
        <v>56</v>
      </c>
      <c r="L8112" s="21"/>
      <c r="M8112" s="21"/>
      <c r="N8112" s="21" t="s">
        <v>44</v>
      </c>
      <c r="O8112" s="21">
        <f>60+30</f>
        <v>90</v>
      </c>
      <c r="P8112" s="21"/>
      <c r="Q8112" s="21">
        <f t="shared" si="159"/>
        <v>1</v>
      </c>
      <c r="R8112" s="21"/>
      <c r="S8112" s="21">
        <v>0</v>
      </c>
      <c r="T8112" s="21">
        <v>0</v>
      </c>
      <c r="U8112" s="21">
        <v>0</v>
      </c>
      <c r="V8112" s="21">
        <v>0</v>
      </c>
      <c r="W8112" s="21">
        <v>0</v>
      </c>
      <c r="X8112" s="21">
        <v>0</v>
      </c>
      <c r="Y8112" s="21">
        <v>0</v>
      </c>
      <c r="Z8112" s="21">
        <v>0</v>
      </c>
      <c r="AA8112" s="21">
        <v>0</v>
      </c>
      <c r="AB8112" s="21">
        <v>0</v>
      </c>
      <c r="AC8112" s="21">
        <v>0</v>
      </c>
      <c r="AD8112" s="21">
        <v>0</v>
      </c>
      <c r="AE8112" s="21">
        <v>1</v>
      </c>
      <c r="AF8112" s="21">
        <v>0</v>
      </c>
      <c r="AG8112" s="21">
        <v>0</v>
      </c>
      <c r="AH8112" s="21">
        <f t="shared" si="160"/>
        <v>0</v>
      </c>
      <c r="AI8112" s="21"/>
      <c r="AJ8112" s="21" t="s">
        <v>54</v>
      </c>
      <c r="AK8112" s="21"/>
      <c r="AL8112" s="21" t="s">
        <v>4378</v>
      </c>
      <c r="AM8112" s="21" t="s">
        <v>4379</v>
      </c>
      <c r="AN8112" s="21">
        <v>-122.423144666667</v>
      </c>
      <c r="AO8112" s="21">
        <v>37.790351733333303</v>
      </c>
      <c r="AP8112" s="21" t="s">
        <v>1915</v>
      </c>
    </row>
    <row r="8113" spans="1:42">
      <c r="A8113" s="20">
        <v>43878</v>
      </c>
      <c r="B8113" s="21">
        <v>1</v>
      </c>
      <c r="C8113" s="21">
        <v>574</v>
      </c>
      <c r="D8113" s="21">
        <v>11328</v>
      </c>
      <c r="E8113" t="s">
        <v>377</v>
      </c>
      <c r="F8113" s="21" t="s">
        <v>436</v>
      </c>
      <c r="G8113" s="21">
        <v>1</v>
      </c>
      <c r="H8113" s="21">
        <v>37</v>
      </c>
      <c r="I8113" s="23" t="s">
        <v>3572</v>
      </c>
      <c r="J8113" s="21"/>
      <c r="K8113" s="21" t="s">
        <v>69</v>
      </c>
      <c r="L8113" s="21"/>
      <c r="M8113" s="21"/>
      <c r="N8113" s="21" t="s">
        <v>40</v>
      </c>
      <c r="O8113" s="21">
        <f>60+60+60+60+60+45</f>
        <v>345</v>
      </c>
      <c r="P8113" s="21"/>
      <c r="Q8113" s="21">
        <f t="shared" si="159"/>
        <v>4</v>
      </c>
      <c r="R8113" s="21"/>
      <c r="S8113" s="21">
        <v>0</v>
      </c>
      <c r="T8113" s="21">
        <v>0</v>
      </c>
      <c r="U8113" s="21">
        <v>0</v>
      </c>
      <c r="V8113" s="21">
        <v>0</v>
      </c>
      <c r="W8113" s="21">
        <v>0</v>
      </c>
      <c r="X8113" s="21">
        <v>0</v>
      </c>
      <c r="Y8113" s="21">
        <v>0</v>
      </c>
      <c r="Z8113" s="21">
        <v>0</v>
      </c>
      <c r="AA8113" s="21">
        <v>4</v>
      </c>
      <c r="AB8113" s="21">
        <v>0</v>
      </c>
      <c r="AC8113" s="21">
        <v>0</v>
      </c>
      <c r="AD8113" s="21">
        <v>0</v>
      </c>
      <c r="AE8113" s="21">
        <v>0</v>
      </c>
      <c r="AF8113" s="21">
        <v>0</v>
      </c>
      <c r="AG8113" s="21">
        <v>0</v>
      </c>
      <c r="AH8113" s="21">
        <f t="shared" si="160"/>
        <v>0</v>
      </c>
      <c r="AI8113" s="21"/>
      <c r="AJ8113" s="21" t="s">
        <v>54</v>
      </c>
      <c r="AK8113" s="21" t="s">
        <v>52</v>
      </c>
      <c r="AL8113" s="21" t="s">
        <v>4380</v>
      </c>
      <c r="AM8113" s="21" t="s">
        <v>4381</v>
      </c>
      <c r="AN8113" s="21">
        <v>-122.423491833333</v>
      </c>
      <c r="AO8113" s="21">
        <v>37.788834233333297</v>
      </c>
      <c r="AP8113" s="21" t="s">
        <v>1915</v>
      </c>
    </row>
    <row r="8114" spans="1:42">
      <c r="A8114" s="20">
        <v>43878</v>
      </c>
      <c r="B8114" s="21">
        <v>1</v>
      </c>
      <c r="C8114" s="21">
        <v>574</v>
      </c>
      <c r="D8114" s="21">
        <v>11328</v>
      </c>
      <c r="E8114" t="s">
        <v>377</v>
      </c>
      <c r="F8114" s="21" t="s">
        <v>436</v>
      </c>
      <c r="G8114" s="21">
        <v>1</v>
      </c>
      <c r="H8114" s="21">
        <v>38</v>
      </c>
      <c r="I8114" s="23" t="s">
        <v>4021</v>
      </c>
      <c r="J8114" s="21"/>
      <c r="K8114" s="21" t="s">
        <v>69</v>
      </c>
      <c r="L8114" s="21"/>
      <c r="M8114" s="21"/>
      <c r="N8114" s="21" t="s">
        <v>40</v>
      </c>
      <c r="O8114" s="21">
        <f>60+30</f>
        <v>90</v>
      </c>
      <c r="P8114" s="21"/>
      <c r="Q8114" s="21">
        <f t="shared" si="159"/>
        <v>1</v>
      </c>
      <c r="R8114" s="21"/>
      <c r="S8114" s="21">
        <v>0</v>
      </c>
      <c r="T8114" s="21">
        <v>0</v>
      </c>
      <c r="U8114" s="21">
        <v>0</v>
      </c>
      <c r="V8114" s="21">
        <v>0</v>
      </c>
      <c r="W8114" s="21">
        <v>0</v>
      </c>
      <c r="X8114" s="21">
        <v>0</v>
      </c>
      <c r="Y8114" s="21">
        <v>0</v>
      </c>
      <c r="Z8114" s="21">
        <v>0</v>
      </c>
      <c r="AA8114" s="21">
        <v>0</v>
      </c>
      <c r="AB8114" s="21">
        <v>0</v>
      </c>
      <c r="AC8114" s="21">
        <v>1</v>
      </c>
      <c r="AD8114" s="21">
        <v>0</v>
      </c>
      <c r="AE8114" s="21">
        <v>0</v>
      </c>
      <c r="AF8114" s="21">
        <v>0</v>
      </c>
      <c r="AG8114" s="21">
        <v>0</v>
      </c>
      <c r="AH8114" s="21">
        <f t="shared" si="160"/>
        <v>0</v>
      </c>
      <c r="AI8114" s="21"/>
      <c r="AJ8114" s="21" t="s">
        <v>51</v>
      </c>
      <c r="AK8114" s="21" t="s">
        <v>95</v>
      </c>
      <c r="AL8114" s="21"/>
      <c r="AM8114" s="21" t="s">
        <v>4382</v>
      </c>
      <c r="AN8114" s="21">
        <v>-122.4314035</v>
      </c>
      <c r="AO8114" s="21">
        <v>37.788233866666701</v>
      </c>
      <c r="AP8114" s="21" t="s">
        <v>1915</v>
      </c>
    </row>
    <row r="8115" spans="1:42">
      <c r="A8115" s="20">
        <v>43878</v>
      </c>
      <c r="B8115" s="21">
        <v>1</v>
      </c>
      <c r="C8115" s="21">
        <v>574</v>
      </c>
      <c r="D8115" s="21">
        <v>11328</v>
      </c>
      <c r="E8115" t="s">
        <v>377</v>
      </c>
      <c r="F8115" s="21" t="s">
        <v>436</v>
      </c>
      <c r="G8115" s="21">
        <v>1</v>
      </c>
      <c r="H8115" s="21">
        <v>39</v>
      </c>
      <c r="I8115" s="23" t="s">
        <v>2182</v>
      </c>
      <c r="J8115" s="21"/>
      <c r="K8115" s="21" t="s">
        <v>50</v>
      </c>
      <c r="L8115" s="21"/>
      <c r="M8115" s="21"/>
      <c r="N8115" s="21" t="s">
        <v>40</v>
      </c>
      <c r="O8115" s="21">
        <v>42</v>
      </c>
      <c r="P8115" s="21"/>
      <c r="Q8115" s="21">
        <f t="shared" si="159"/>
        <v>1</v>
      </c>
      <c r="R8115" s="21"/>
      <c r="S8115" s="21">
        <v>0</v>
      </c>
      <c r="T8115" s="21">
        <v>0</v>
      </c>
      <c r="U8115" s="21">
        <v>0</v>
      </c>
      <c r="V8115" s="21">
        <v>0</v>
      </c>
      <c r="W8115" s="21">
        <v>0</v>
      </c>
      <c r="X8115" s="21">
        <v>0</v>
      </c>
      <c r="Y8115" s="21">
        <v>0</v>
      </c>
      <c r="Z8115" s="21">
        <v>1</v>
      </c>
      <c r="AA8115" s="21">
        <v>0</v>
      </c>
      <c r="AB8115" s="21">
        <v>0</v>
      </c>
      <c r="AC8115" s="21">
        <v>0</v>
      </c>
      <c r="AD8115" s="21">
        <v>0</v>
      </c>
      <c r="AE8115" s="21">
        <v>0</v>
      </c>
      <c r="AF8115" s="21">
        <v>0</v>
      </c>
      <c r="AG8115" s="21">
        <v>0</v>
      </c>
      <c r="AH8115" s="21">
        <f t="shared" si="160"/>
        <v>0</v>
      </c>
      <c r="AI8115" s="21"/>
      <c r="AJ8115" s="21" t="s">
        <v>51</v>
      </c>
      <c r="AK8115" s="21" t="s">
        <v>95</v>
      </c>
      <c r="AL8115" s="21"/>
      <c r="AM8115" s="21" t="s">
        <v>4383</v>
      </c>
      <c r="AN8115" s="21">
        <v>-122.40978389999999</v>
      </c>
      <c r="AO8115" s="21">
        <v>37.806242016666701</v>
      </c>
      <c r="AP8115" s="21" t="s">
        <v>1915</v>
      </c>
    </row>
    <row r="8116" spans="1:42">
      <c r="A8116" s="20">
        <v>43878</v>
      </c>
      <c r="B8116" s="21">
        <v>1</v>
      </c>
      <c r="C8116" s="21">
        <v>574</v>
      </c>
      <c r="D8116" s="21">
        <v>11328</v>
      </c>
      <c r="E8116" t="s">
        <v>377</v>
      </c>
      <c r="F8116" s="21" t="s">
        <v>436</v>
      </c>
      <c r="G8116" s="21">
        <v>1</v>
      </c>
      <c r="H8116" s="21">
        <v>40</v>
      </c>
      <c r="I8116" s="23" t="s">
        <v>2182</v>
      </c>
      <c r="J8116" s="21"/>
      <c r="K8116" s="21" t="s">
        <v>50</v>
      </c>
      <c r="L8116" s="21"/>
      <c r="M8116" s="21"/>
      <c r="N8116" s="21" t="s">
        <v>40</v>
      </c>
      <c r="O8116" s="21">
        <v>52</v>
      </c>
      <c r="P8116" s="21"/>
      <c r="Q8116" s="21">
        <f t="shared" si="159"/>
        <v>1</v>
      </c>
      <c r="R8116" s="21"/>
      <c r="S8116" s="21">
        <v>0</v>
      </c>
      <c r="T8116" s="21">
        <v>0</v>
      </c>
      <c r="U8116" s="21">
        <v>0</v>
      </c>
      <c r="V8116" s="21">
        <v>0</v>
      </c>
      <c r="W8116" s="21">
        <v>0</v>
      </c>
      <c r="X8116" s="21">
        <v>0</v>
      </c>
      <c r="Y8116" s="21">
        <v>0</v>
      </c>
      <c r="Z8116" s="21">
        <v>1</v>
      </c>
      <c r="AA8116" s="21">
        <v>0</v>
      </c>
      <c r="AB8116" s="21">
        <v>0</v>
      </c>
      <c r="AC8116" s="21">
        <v>0</v>
      </c>
      <c r="AD8116" s="21">
        <v>0</v>
      </c>
      <c r="AE8116" s="21">
        <v>0</v>
      </c>
      <c r="AF8116" s="21">
        <v>0</v>
      </c>
      <c r="AG8116" s="21">
        <v>0</v>
      </c>
      <c r="AH8116" s="21">
        <f t="shared" si="160"/>
        <v>0</v>
      </c>
      <c r="AI8116" s="21"/>
      <c r="AJ8116" s="21"/>
      <c r="AK8116" s="21"/>
      <c r="AL8116" s="21"/>
      <c r="AM8116" s="21" t="s">
        <v>4384</v>
      </c>
      <c r="AN8116" s="21">
        <v>-122.40990499999999</v>
      </c>
      <c r="AO8116" s="21">
        <v>37.8061035666667</v>
      </c>
      <c r="AP8116" s="21" t="s">
        <v>1915</v>
      </c>
    </row>
    <row r="8117" spans="1:42">
      <c r="A8117" s="20">
        <v>43878</v>
      </c>
      <c r="B8117" s="21">
        <v>1</v>
      </c>
      <c r="C8117" s="21">
        <v>574</v>
      </c>
      <c r="D8117" s="21">
        <v>11328</v>
      </c>
      <c r="E8117" t="s">
        <v>377</v>
      </c>
      <c r="F8117" s="21" t="s">
        <v>436</v>
      </c>
      <c r="G8117" s="21">
        <v>1</v>
      </c>
      <c r="H8117" s="21">
        <v>41</v>
      </c>
      <c r="I8117" s="23" t="s">
        <v>2182</v>
      </c>
      <c r="J8117" s="21"/>
      <c r="K8117" s="21" t="s">
        <v>50</v>
      </c>
      <c r="L8117" s="21"/>
      <c r="M8117" s="21"/>
      <c r="N8117" s="21" t="s">
        <v>40</v>
      </c>
      <c r="O8117" s="21">
        <v>34</v>
      </c>
      <c r="P8117" s="21"/>
      <c r="Q8117" s="21">
        <f t="shared" si="159"/>
        <v>1</v>
      </c>
      <c r="R8117" s="21"/>
      <c r="S8117" s="21">
        <v>0</v>
      </c>
      <c r="T8117" s="21">
        <v>0</v>
      </c>
      <c r="U8117" s="21">
        <v>0</v>
      </c>
      <c r="V8117" s="21">
        <v>0</v>
      </c>
      <c r="W8117" s="21">
        <v>0</v>
      </c>
      <c r="X8117" s="21">
        <v>0</v>
      </c>
      <c r="Y8117" s="21">
        <v>0</v>
      </c>
      <c r="Z8117" s="21">
        <v>1</v>
      </c>
      <c r="AA8117" s="21">
        <v>0</v>
      </c>
      <c r="AB8117" s="21">
        <v>0</v>
      </c>
      <c r="AC8117" s="21">
        <v>0</v>
      </c>
      <c r="AD8117" s="21">
        <v>0</v>
      </c>
      <c r="AE8117" s="21">
        <v>0</v>
      </c>
      <c r="AF8117" s="21">
        <v>0</v>
      </c>
      <c r="AG8117" s="21">
        <v>0</v>
      </c>
      <c r="AH8117" s="21">
        <f t="shared" si="160"/>
        <v>0</v>
      </c>
      <c r="AI8117" s="21"/>
      <c r="AJ8117" s="21" t="s">
        <v>51</v>
      </c>
      <c r="AK8117" s="21" t="s">
        <v>95</v>
      </c>
      <c r="AL8117" s="21"/>
      <c r="AM8117" s="21" t="s">
        <v>4385</v>
      </c>
      <c r="AN8117" s="21">
        <v>-122.410558116667</v>
      </c>
      <c r="AO8117" s="21">
        <v>37.806039033333299</v>
      </c>
      <c r="AP8117" s="21" t="s">
        <v>1915</v>
      </c>
    </row>
    <row r="8118" spans="1:42">
      <c r="A8118" s="20">
        <v>43878</v>
      </c>
      <c r="B8118" s="21">
        <v>1</v>
      </c>
      <c r="C8118" s="21">
        <v>574</v>
      </c>
      <c r="D8118" s="21">
        <v>11328</v>
      </c>
      <c r="E8118" t="s">
        <v>377</v>
      </c>
      <c r="F8118" s="21" t="s">
        <v>436</v>
      </c>
      <c r="G8118" s="21">
        <v>1</v>
      </c>
      <c r="H8118" s="21">
        <v>42</v>
      </c>
      <c r="I8118" s="23" t="s">
        <v>2182</v>
      </c>
      <c r="J8118" s="21"/>
      <c r="K8118" s="21" t="s">
        <v>50</v>
      </c>
      <c r="L8118" s="21"/>
      <c r="M8118" s="21"/>
      <c r="N8118" s="21" t="s">
        <v>40</v>
      </c>
      <c r="O8118" s="21">
        <v>53</v>
      </c>
      <c r="P8118" s="21"/>
      <c r="Q8118" s="21">
        <f t="shared" si="159"/>
        <v>1</v>
      </c>
      <c r="R8118" s="21"/>
      <c r="S8118" s="21">
        <v>0</v>
      </c>
      <c r="T8118" s="21">
        <v>0</v>
      </c>
      <c r="U8118" s="21">
        <v>0</v>
      </c>
      <c r="V8118" s="21">
        <v>0</v>
      </c>
      <c r="W8118" s="21">
        <v>0</v>
      </c>
      <c r="X8118" s="21">
        <v>0</v>
      </c>
      <c r="Y8118" s="21">
        <v>0</v>
      </c>
      <c r="Z8118" s="21">
        <v>1</v>
      </c>
      <c r="AA8118" s="21">
        <v>0</v>
      </c>
      <c r="AB8118" s="21">
        <v>0</v>
      </c>
      <c r="AC8118" s="21">
        <v>0</v>
      </c>
      <c r="AD8118" s="21">
        <v>0</v>
      </c>
      <c r="AE8118" s="21">
        <v>0</v>
      </c>
      <c r="AF8118" s="21">
        <v>0</v>
      </c>
      <c r="AG8118" s="21">
        <v>0</v>
      </c>
      <c r="AH8118" s="21">
        <f t="shared" si="160"/>
        <v>0</v>
      </c>
      <c r="AI8118" s="21"/>
      <c r="AJ8118" s="21" t="s">
        <v>51</v>
      </c>
      <c r="AK8118" s="21" t="s">
        <v>52</v>
      </c>
      <c r="AL8118" s="21"/>
      <c r="AM8118" s="21" t="s">
        <v>4386</v>
      </c>
      <c r="AN8118" s="21">
        <v>-122.41113206666699</v>
      </c>
      <c r="AO8118" s="21">
        <v>37.805904383333299</v>
      </c>
      <c r="AP8118" s="21" t="s">
        <v>1915</v>
      </c>
    </row>
    <row r="8119" spans="1:42">
      <c r="A8119" s="20">
        <v>43878</v>
      </c>
      <c r="B8119" s="21">
        <v>1</v>
      </c>
      <c r="C8119" s="21">
        <v>574</v>
      </c>
      <c r="D8119" s="21">
        <v>11328</v>
      </c>
      <c r="E8119" t="s">
        <v>377</v>
      </c>
      <c r="F8119" s="21" t="s">
        <v>436</v>
      </c>
      <c r="G8119" s="21">
        <v>1</v>
      </c>
      <c r="H8119" s="21">
        <v>43</v>
      </c>
      <c r="I8119" s="23" t="s">
        <v>2182</v>
      </c>
      <c r="J8119" s="21"/>
      <c r="K8119" s="21" t="s">
        <v>50</v>
      </c>
      <c r="L8119" s="21"/>
      <c r="M8119" s="21"/>
      <c r="N8119" s="21" t="s">
        <v>40</v>
      </c>
      <c r="O8119" s="21">
        <f>60+54</f>
        <v>114</v>
      </c>
      <c r="P8119" s="21"/>
      <c r="Q8119" s="21">
        <f t="shared" si="159"/>
        <v>1</v>
      </c>
      <c r="R8119" s="21"/>
      <c r="S8119" s="21">
        <v>0</v>
      </c>
      <c r="T8119" s="21">
        <v>0</v>
      </c>
      <c r="U8119" s="21">
        <v>0</v>
      </c>
      <c r="V8119" s="21">
        <v>0</v>
      </c>
      <c r="W8119" s="21">
        <v>0</v>
      </c>
      <c r="X8119" s="21">
        <v>0</v>
      </c>
      <c r="Y8119" s="21">
        <v>0</v>
      </c>
      <c r="Z8119" s="21">
        <v>1</v>
      </c>
      <c r="AA8119" s="21">
        <v>0</v>
      </c>
      <c r="AB8119" s="21">
        <v>0</v>
      </c>
      <c r="AC8119" s="21">
        <v>0</v>
      </c>
      <c r="AD8119" s="21">
        <v>0</v>
      </c>
      <c r="AE8119" s="21">
        <v>0</v>
      </c>
      <c r="AF8119" s="21">
        <v>0</v>
      </c>
      <c r="AG8119" s="21">
        <v>0</v>
      </c>
      <c r="AH8119" s="21">
        <f t="shared" si="160"/>
        <v>0</v>
      </c>
      <c r="AI8119" s="21"/>
      <c r="AJ8119" s="21" t="s">
        <v>51</v>
      </c>
      <c r="AK8119" s="21" t="s">
        <v>52</v>
      </c>
      <c r="AL8119" s="21" t="s">
        <v>4387</v>
      </c>
      <c r="AM8119" s="21" t="s">
        <v>4388</v>
      </c>
      <c r="AN8119" s="21">
        <v>-122.411321966667</v>
      </c>
      <c r="AO8119" s="21">
        <v>37.805926266666702</v>
      </c>
      <c r="AP8119" s="21" t="s">
        <v>1915</v>
      </c>
    </row>
    <row r="8120" spans="1:42">
      <c r="A8120" s="20">
        <v>43878</v>
      </c>
      <c r="B8120" s="21">
        <v>1</v>
      </c>
      <c r="C8120" s="21">
        <v>574</v>
      </c>
      <c r="D8120" s="21">
        <v>11328</v>
      </c>
      <c r="E8120" t="s">
        <v>377</v>
      </c>
      <c r="F8120" s="21" t="s">
        <v>436</v>
      </c>
      <c r="G8120" s="21">
        <v>1</v>
      </c>
      <c r="H8120" s="21">
        <v>44</v>
      </c>
      <c r="I8120" s="23" t="s">
        <v>4109</v>
      </c>
      <c r="J8120" s="21"/>
      <c r="K8120" s="21" t="s">
        <v>407</v>
      </c>
      <c r="L8120" s="21"/>
      <c r="M8120" s="21"/>
      <c r="N8120" s="21" t="s">
        <v>40</v>
      </c>
      <c r="O8120" s="21">
        <v>58</v>
      </c>
      <c r="P8120" s="21"/>
      <c r="Q8120" s="21">
        <f t="shared" si="159"/>
        <v>1</v>
      </c>
      <c r="R8120" s="21"/>
      <c r="S8120" s="21">
        <v>0</v>
      </c>
      <c r="T8120" s="21">
        <v>0</v>
      </c>
      <c r="U8120" s="21">
        <v>0</v>
      </c>
      <c r="V8120" s="21">
        <v>0</v>
      </c>
      <c r="W8120" s="21">
        <v>0</v>
      </c>
      <c r="X8120" s="21">
        <v>0</v>
      </c>
      <c r="Y8120" s="21">
        <v>0</v>
      </c>
      <c r="Z8120" s="21">
        <v>0</v>
      </c>
      <c r="AA8120" s="21">
        <v>1</v>
      </c>
      <c r="AB8120" s="21">
        <v>0</v>
      </c>
      <c r="AC8120" s="21">
        <v>0</v>
      </c>
      <c r="AD8120" s="21">
        <v>0</v>
      </c>
      <c r="AE8120" s="21">
        <v>0</v>
      </c>
      <c r="AF8120" s="21">
        <v>0</v>
      </c>
      <c r="AG8120" s="21">
        <v>0</v>
      </c>
      <c r="AH8120" s="21">
        <f t="shared" si="160"/>
        <v>0</v>
      </c>
      <c r="AI8120" s="21"/>
      <c r="AJ8120" s="21" t="s">
        <v>51</v>
      </c>
      <c r="AK8120" s="21" t="s">
        <v>95</v>
      </c>
      <c r="AL8120" s="21"/>
      <c r="AM8120" s="21" t="s">
        <v>4389</v>
      </c>
      <c r="AN8120" s="21">
        <v>-122.41200138356599</v>
      </c>
      <c r="AO8120" s="21">
        <v>37.807063220571997</v>
      </c>
      <c r="AP8120" s="21" t="s">
        <v>1915</v>
      </c>
    </row>
    <row r="8121" spans="1:42">
      <c r="A8121" s="20">
        <v>43878</v>
      </c>
      <c r="B8121" s="21">
        <v>1</v>
      </c>
      <c r="C8121" s="21">
        <v>574</v>
      </c>
      <c r="D8121" s="21">
        <v>11328</v>
      </c>
      <c r="E8121" t="s">
        <v>377</v>
      </c>
      <c r="F8121" s="21" t="s">
        <v>436</v>
      </c>
      <c r="G8121" s="21">
        <v>1</v>
      </c>
      <c r="H8121" s="21">
        <v>46</v>
      </c>
      <c r="I8121" s="23" t="s">
        <v>2182</v>
      </c>
      <c r="J8121" s="21"/>
      <c r="K8121" s="21" t="s">
        <v>50</v>
      </c>
      <c r="L8121" s="21"/>
      <c r="M8121" s="21"/>
      <c r="N8121" s="21" t="s">
        <v>40</v>
      </c>
      <c r="O8121" s="21">
        <f>60+45</f>
        <v>105</v>
      </c>
      <c r="P8121" s="21"/>
      <c r="Q8121" s="21">
        <f t="shared" si="159"/>
        <v>1</v>
      </c>
      <c r="R8121" s="21"/>
      <c r="S8121" s="21">
        <v>0</v>
      </c>
      <c r="T8121" s="21">
        <v>0</v>
      </c>
      <c r="U8121" s="21">
        <v>0</v>
      </c>
      <c r="V8121" s="21">
        <v>0</v>
      </c>
      <c r="W8121" s="21">
        <v>0</v>
      </c>
      <c r="X8121" s="21">
        <v>0</v>
      </c>
      <c r="Y8121" s="21">
        <v>0</v>
      </c>
      <c r="Z8121" s="21">
        <v>1</v>
      </c>
      <c r="AA8121" s="21">
        <v>0</v>
      </c>
      <c r="AB8121" s="21">
        <v>0</v>
      </c>
      <c r="AC8121" s="21">
        <v>0</v>
      </c>
      <c r="AD8121" s="21">
        <v>0</v>
      </c>
      <c r="AE8121" s="21">
        <v>0</v>
      </c>
      <c r="AF8121" s="21">
        <v>0</v>
      </c>
      <c r="AG8121" s="21">
        <v>0</v>
      </c>
      <c r="AH8121" s="21">
        <f t="shared" si="160"/>
        <v>0</v>
      </c>
      <c r="AI8121" s="21"/>
      <c r="AJ8121" s="21" t="s">
        <v>51</v>
      </c>
      <c r="AK8121" s="21" t="s">
        <v>52</v>
      </c>
      <c r="AL8121" s="21" t="s">
        <v>4193</v>
      </c>
      <c r="AM8121" s="21" t="s">
        <v>4390</v>
      </c>
      <c r="AN8121" s="21">
        <v>-122.4116647</v>
      </c>
      <c r="AO8121" s="21">
        <v>37.806802699999999</v>
      </c>
      <c r="AP8121" s="21" t="s">
        <v>1915</v>
      </c>
    </row>
    <row r="8122" spans="1:42">
      <c r="A8122" s="20">
        <v>43878</v>
      </c>
      <c r="B8122" s="21">
        <v>1</v>
      </c>
      <c r="C8122" s="21">
        <v>574</v>
      </c>
      <c r="D8122" s="21">
        <v>11328</v>
      </c>
      <c r="E8122" t="s">
        <v>377</v>
      </c>
      <c r="F8122" s="21" t="s">
        <v>436</v>
      </c>
      <c r="G8122" s="21">
        <v>1</v>
      </c>
      <c r="H8122" s="21">
        <v>47</v>
      </c>
      <c r="I8122" s="23" t="s">
        <v>2182</v>
      </c>
      <c r="J8122" s="21"/>
      <c r="K8122" s="21" t="s">
        <v>50</v>
      </c>
      <c r="L8122" s="21"/>
      <c r="M8122" s="21"/>
      <c r="N8122" s="21" t="s">
        <v>40</v>
      </c>
      <c r="O8122" s="21">
        <f>120+17</f>
        <v>137</v>
      </c>
      <c r="P8122" s="21"/>
      <c r="Q8122" s="21">
        <f t="shared" si="159"/>
        <v>2</v>
      </c>
      <c r="R8122" s="21"/>
      <c r="S8122" s="21">
        <v>0</v>
      </c>
      <c r="T8122" s="21">
        <v>0</v>
      </c>
      <c r="U8122" s="21">
        <v>0</v>
      </c>
      <c r="V8122" s="21">
        <v>0</v>
      </c>
      <c r="W8122" s="21">
        <v>0</v>
      </c>
      <c r="X8122" s="21">
        <v>0</v>
      </c>
      <c r="Y8122" s="21">
        <v>0</v>
      </c>
      <c r="Z8122" s="21">
        <v>2</v>
      </c>
      <c r="AA8122" s="21">
        <v>0</v>
      </c>
      <c r="AB8122" s="21">
        <v>0</v>
      </c>
      <c r="AC8122" s="21">
        <v>0</v>
      </c>
      <c r="AD8122" s="21">
        <v>0</v>
      </c>
      <c r="AE8122" s="21">
        <v>0</v>
      </c>
      <c r="AF8122" s="21">
        <v>0</v>
      </c>
      <c r="AG8122" s="21">
        <v>0</v>
      </c>
      <c r="AH8122" s="21">
        <f t="shared" si="160"/>
        <v>0</v>
      </c>
      <c r="AI8122" s="21"/>
      <c r="AJ8122" s="21" t="s">
        <v>51</v>
      </c>
      <c r="AK8122" s="21" t="s">
        <v>95</v>
      </c>
      <c r="AL8122" s="21"/>
      <c r="AM8122" s="21" t="s">
        <v>4391</v>
      </c>
      <c r="AN8122" s="21">
        <v>-122.410822216667</v>
      </c>
      <c r="AO8122" s="21">
        <v>37.806890383333297</v>
      </c>
      <c r="AP8122" s="21" t="s">
        <v>1915</v>
      </c>
    </row>
    <row r="8123" spans="1:42">
      <c r="A8123" s="20">
        <v>43878</v>
      </c>
      <c r="B8123" s="21">
        <v>1</v>
      </c>
      <c r="C8123" s="21">
        <v>574</v>
      </c>
      <c r="D8123" s="21">
        <v>11328</v>
      </c>
      <c r="E8123" t="s">
        <v>377</v>
      </c>
      <c r="F8123" s="21" t="s">
        <v>436</v>
      </c>
      <c r="G8123" s="21">
        <v>1</v>
      </c>
      <c r="H8123" s="21">
        <v>48</v>
      </c>
      <c r="I8123" s="23" t="s">
        <v>2182</v>
      </c>
      <c r="J8123" s="21"/>
      <c r="K8123" s="21" t="s">
        <v>50</v>
      </c>
      <c r="L8123" s="21"/>
      <c r="M8123" s="21"/>
      <c r="N8123" s="21" t="s">
        <v>40</v>
      </c>
      <c r="O8123" s="21">
        <v>32</v>
      </c>
      <c r="P8123" s="21"/>
      <c r="Q8123" s="21">
        <f t="shared" si="159"/>
        <v>1</v>
      </c>
      <c r="R8123" s="21"/>
      <c r="S8123" s="21">
        <v>0</v>
      </c>
      <c r="T8123" s="21">
        <v>0</v>
      </c>
      <c r="U8123" s="21">
        <v>0</v>
      </c>
      <c r="V8123" s="21">
        <v>0</v>
      </c>
      <c r="W8123" s="21">
        <v>0</v>
      </c>
      <c r="X8123" s="21">
        <v>0</v>
      </c>
      <c r="Y8123" s="21">
        <v>0</v>
      </c>
      <c r="Z8123" s="21">
        <v>1</v>
      </c>
      <c r="AA8123" s="21">
        <v>0</v>
      </c>
      <c r="AB8123" s="21">
        <v>0</v>
      </c>
      <c r="AC8123" s="21">
        <v>0</v>
      </c>
      <c r="AD8123" s="21">
        <v>0</v>
      </c>
      <c r="AE8123" s="21">
        <v>0</v>
      </c>
      <c r="AF8123" s="21">
        <v>0</v>
      </c>
      <c r="AG8123" s="21">
        <v>0</v>
      </c>
      <c r="AH8123" s="21">
        <f t="shared" si="160"/>
        <v>0</v>
      </c>
      <c r="AI8123" s="21"/>
      <c r="AJ8123" s="21" t="s">
        <v>51</v>
      </c>
      <c r="AK8123" s="21" t="s">
        <v>52</v>
      </c>
      <c r="AL8123" s="21"/>
      <c r="AM8123" s="21" t="s">
        <v>4392</v>
      </c>
      <c r="AN8123" s="21">
        <v>-122.4105241</v>
      </c>
      <c r="AO8123" s="21">
        <v>37.806994466666701</v>
      </c>
      <c r="AP8123" s="21" t="s">
        <v>1915</v>
      </c>
    </row>
    <row r="8124" spans="1:42">
      <c r="A8124" s="20">
        <v>43878</v>
      </c>
      <c r="B8124" s="21">
        <v>1</v>
      </c>
      <c r="C8124" s="21">
        <v>574</v>
      </c>
      <c r="D8124" s="21">
        <v>11328</v>
      </c>
      <c r="E8124" t="s">
        <v>377</v>
      </c>
      <c r="F8124" s="21" t="s">
        <v>436</v>
      </c>
      <c r="G8124" s="21">
        <v>1</v>
      </c>
      <c r="H8124" s="21">
        <v>49</v>
      </c>
      <c r="I8124" s="23" t="s">
        <v>2182</v>
      </c>
      <c r="J8124" s="21"/>
      <c r="K8124" s="21" t="s">
        <v>50</v>
      </c>
      <c r="L8124" s="21"/>
      <c r="M8124" s="21"/>
      <c r="N8124" s="21" t="s">
        <v>40</v>
      </c>
      <c r="O8124" s="21">
        <v>50</v>
      </c>
      <c r="P8124" s="21"/>
      <c r="Q8124" s="21">
        <f t="shared" si="159"/>
        <v>1</v>
      </c>
      <c r="R8124" s="21"/>
      <c r="S8124" s="21">
        <v>0</v>
      </c>
      <c r="T8124" s="21">
        <v>0</v>
      </c>
      <c r="U8124" s="21">
        <v>0</v>
      </c>
      <c r="V8124" s="21">
        <v>0</v>
      </c>
      <c r="W8124" s="21">
        <v>0</v>
      </c>
      <c r="X8124" s="21">
        <v>0</v>
      </c>
      <c r="Y8124" s="21">
        <v>0</v>
      </c>
      <c r="Z8124" s="21">
        <v>1</v>
      </c>
      <c r="AA8124" s="21">
        <v>0</v>
      </c>
      <c r="AB8124" s="21">
        <v>0</v>
      </c>
      <c r="AC8124" s="21">
        <v>0</v>
      </c>
      <c r="AD8124" s="21">
        <v>0</v>
      </c>
      <c r="AE8124" s="21">
        <v>0</v>
      </c>
      <c r="AF8124" s="21">
        <v>0</v>
      </c>
      <c r="AG8124" s="21">
        <v>0</v>
      </c>
      <c r="AH8124" s="21">
        <f t="shared" si="160"/>
        <v>0</v>
      </c>
      <c r="AI8124" s="21"/>
      <c r="AJ8124" s="21" t="s">
        <v>51</v>
      </c>
      <c r="AK8124" s="21" t="s">
        <v>95</v>
      </c>
      <c r="AL8124" s="21"/>
      <c r="AM8124" s="21" t="s">
        <v>4393</v>
      </c>
      <c r="AN8124" s="21">
        <v>-122.409672683333</v>
      </c>
      <c r="AO8124" s="21">
        <v>37.807077916666699</v>
      </c>
      <c r="AP8124" s="21" t="s">
        <v>1915</v>
      </c>
    </row>
    <row r="8125" spans="1:42">
      <c r="A8125" s="20">
        <v>43878</v>
      </c>
      <c r="B8125" s="21">
        <v>1</v>
      </c>
      <c r="C8125" s="21">
        <v>574</v>
      </c>
      <c r="D8125" s="21">
        <v>11328</v>
      </c>
      <c r="E8125" t="s">
        <v>377</v>
      </c>
      <c r="F8125" s="21" t="s">
        <v>436</v>
      </c>
      <c r="G8125" s="21">
        <v>1</v>
      </c>
      <c r="H8125" s="21">
        <v>50</v>
      </c>
      <c r="I8125" s="23" t="s">
        <v>2182</v>
      </c>
      <c r="J8125" s="21"/>
      <c r="K8125" s="21" t="s">
        <v>50</v>
      </c>
      <c r="L8125" s="21"/>
      <c r="M8125" s="21"/>
      <c r="N8125" s="21" t="s">
        <v>40</v>
      </c>
      <c r="O8125" s="21">
        <v>56</v>
      </c>
      <c r="P8125" s="21"/>
      <c r="Q8125" s="21">
        <f t="shared" si="159"/>
        <v>1</v>
      </c>
      <c r="R8125" s="21"/>
      <c r="S8125" s="21">
        <v>0</v>
      </c>
      <c r="T8125" s="21">
        <v>0</v>
      </c>
      <c r="U8125" s="21">
        <v>0</v>
      </c>
      <c r="V8125" s="21">
        <v>0</v>
      </c>
      <c r="W8125" s="21">
        <v>0</v>
      </c>
      <c r="X8125" s="21">
        <v>0</v>
      </c>
      <c r="Y8125" s="21">
        <v>0</v>
      </c>
      <c r="Z8125" s="21">
        <v>1</v>
      </c>
      <c r="AA8125" s="21">
        <v>0</v>
      </c>
      <c r="AB8125" s="21">
        <v>0</v>
      </c>
      <c r="AC8125" s="21">
        <v>0</v>
      </c>
      <c r="AD8125" s="21">
        <v>0</v>
      </c>
      <c r="AE8125" s="21">
        <v>0</v>
      </c>
      <c r="AF8125" s="21">
        <v>0</v>
      </c>
      <c r="AG8125" s="21">
        <v>0</v>
      </c>
      <c r="AH8125" s="21">
        <f t="shared" si="160"/>
        <v>0</v>
      </c>
      <c r="AI8125" s="21"/>
      <c r="AJ8125" s="21" t="s">
        <v>51</v>
      </c>
      <c r="AK8125" s="21" t="s">
        <v>95</v>
      </c>
      <c r="AL8125" s="21"/>
      <c r="AM8125" s="21" t="s">
        <v>4394</v>
      </c>
      <c r="AN8125" s="21">
        <v>-122.41049375</v>
      </c>
      <c r="AO8125" s="21">
        <v>37.806517816666698</v>
      </c>
      <c r="AP8125" s="21" t="s">
        <v>1915</v>
      </c>
    </row>
    <row r="8126" spans="1:42">
      <c r="A8126" s="20">
        <v>43878</v>
      </c>
      <c r="B8126" s="21">
        <v>1</v>
      </c>
      <c r="C8126" s="21">
        <v>574</v>
      </c>
      <c r="D8126" s="21">
        <v>11328</v>
      </c>
      <c r="E8126" t="s">
        <v>377</v>
      </c>
      <c r="F8126" s="21" t="s">
        <v>436</v>
      </c>
      <c r="G8126" s="21">
        <v>1</v>
      </c>
      <c r="H8126" s="21">
        <v>51</v>
      </c>
      <c r="I8126" s="23" t="s">
        <v>4395</v>
      </c>
      <c r="J8126" s="21"/>
      <c r="K8126" s="21" t="s">
        <v>4396</v>
      </c>
      <c r="L8126" s="21"/>
      <c r="M8126" s="21"/>
      <c r="N8126" s="21" t="s">
        <v>40</v>
      </c>
      <c r="O8126" s="21">
        <f>60+60+60+60+60+60+35</f>
        <v>395</v>
      </c>
      <c r="P8126" s="21"/>
      <c r="Q8126" s="21">
        <f t="shared" si="159"/>
        <v>9</v>
      </c>
      <c r="R8126" s="21"/>
      <c r="S8126" s="21">
        <v>0</v>
      </c>
      <c r="T8126" s="21">
        <v>0</v>
      </c>
      <c r="U8126" s="21">
        <v>0</v>
      </c>
      <c r="V8126" s="21">
        <v>0</v>
      </c>
      <c r="W8126" s="21">
        <v>0</v>
      </c>
      <c r="X8126" s="21">
        <v>0</v>
      </c>
      <c r="Y8126" s="21">
        <v>0</v>
      </c>
      <c r="Z8126" s="21">
        <v>8</v>
      </c>
      <c r="AA8126" s="21">
        <v>1</v>
      </c>
      <c r="AB8126" s="21">
        <v>0</v>
      </c>
      <c r="AC8126" s="21">
        <v>0</v>
      </c>
      <c r="AD8126" s="21">
        <v>0</v>
      </c>
      <c r="AE8126" s="21">
        <v>0</v>
      </c>
      <c r="AF8126" s="21">
        <v>0</v>
      </c>
      <c r="AG8126" s="21">
        <v>0</v>
      </c>
      <c r="AH8126" s="21">
        <f t="shared" si="160"/>
        <v>0</v>
      </c>
      <c r="AI8126" s="21"/>
      <c r="AJ8126" s="21" t="s">
        <v>51</v>
      </c>
      <c r="AK8126" s="21" t="s">
        <v>95</v>
      </c>
      <c r="AL8126" s="21"/>
      <c r="AM8126" s="21" t="s">
        <v>4397</v>
      </c>
      <c r="AN8126" s="21">
        <v>-122.396405486593</v>
      </c>
      <c r="AO8126" s="21">
        <v>37.797071009841503</v>
      </c>
      <c r="AP8126" s="21" t="s">
        <v>1915</v>
      </c>
    </row>
    <row r="8127" spans="1:42">
      <c r="A8127" s="20">
        <v>43878</v>
      </c>
      <c r="B8127" s="21">
        <v>1</v>
      </c>
      <c r="C8127" s="21">
        <v>574</v>
      </c>
      <c r="D8127" s="21">
        <v>11328</v>
      </c>
      <c r="E8127" t="s">
        <v>377</v>
      </c>
      <c r="F8127" s="21" t="s">
        <v>436</v>
      </c>
      <c r="G8127" s="21">
        <v>1</v>
      </c>
      <c r="H8127" s="21">
        <v>52</v>
      </c>
      <c r="I8127" s="23" t="s">
        <v>3440</v>
      </c>
      <c r="J8127" s="21"/>
      <c r="K8127" t="s">
        <v>71</v>
      </c>
      <c r="L8127" s="21"/>
      <c r="M8127" s="21"/>
      <c r="N8127" s="21" t="s">
        <v>44</v>
      </c>
      <c r="O8127" s="21">
        <f>120+27</f>
        <v>147</v>
      </c>
      <c r="P8127" s="21"/>
      <c r="Q8127" s="21">
        <f t="shared" si="159"/>
        <v>1</v>
      </c>
      <c r="R8127" s="21"/>
      <c r="S8127" s="21">
        <v>0</v>
      </c>
      <c r="T8127" s="21">
        <v>0</v>
      </c>
      <c r="U8127" s="21">
        <v>0</v>
      </c>
      <c r="V8127" s="21">
        <v>0</v>
      </c>
      <c r="W8127" s="21">
        <v>0</v>
      </c>
      <c r="X8127" s="21">
        <v>0</v>
      </c>
      <c r="Y8127" s="21">
        <v>0</v>
      </c>
      <c r="Z8127" s="21">
        <v>0</v>
      </c>
      <c r="AA8127" s="21">
        <v>0</v>
      </c>
      <c r="AB8127" s="21">
        <v>0</v>
      </c>
      <c r="AC8127" s="21">
        <v>1</v>
      </c>
      <c r="AD8127" s="21">
        <v>0</v>
      </c>
      <c r="AE8127" s="21">
        <v>0</v>
      </c>
      <c r="AF8127" s="21">
        <v>0</v>
      </c>
      <c r="AG8127" s="21">
        <v>0</v>
      </c>
      <c r="AH8127" s="21">
        <f t="shared" si="160"/>
        <v>0</v>
      </c>
      <c r="AI8127" s="21"/>
      <c r="AJ8127" s="21" t="s">
        <v>51</v>
      </c>
      <c r="AK8127" s="21"/>
      <c r="AL8127" s="21"/>
      <c r="AM8127" s="21" t="s">
        <v>4398</v>
      </c>
      <c r="AN8127" s="21">
        <v>-122.4593327</v>
      </c>
      <c r="AO8127" s="21">
        <v>37.8016841166666</v>
      </c>
      <c r="AP8127" s="21" t="s">
        <v>1915</v>
      </c>
    </row>
    <row r="8128" spans="1:42">
      <c r="A8128" s="20">
        <v>43878</v>
      </c>
      <c r="B8128" s="21">
        <v>1</v>
      </c>
      <c r="C8128" s="21">
        <v>574</v>
      </c>
      <c r="D8128" s="21">
        <v>11328</v>
      </c>
      <c r="E8128" t="s">
        <v>377</v>
      </c>
      <c r="F8128" s="21" t="s">
        <v>436</v>
      </c>
      <c r="G8128" s="21">
        <v>1</v>
      </c>
      <c r="H8128" s="21">
        <v>53</v>
      </c>
      <c r="I8128" s="23">
        <v>101</v>
      </c>
      <c r="J8128" s="21"/>
      <c r="K8128" t="s">
        <v>71</v>
      </c>
      <c r="L8128" s="21"/>
      <c r="M8128" s="21"/>
      <c r="N8128" s="21" t="s">
        <v>44</v>
      </c>
      <c r="O8128" s="21">
        <f>60+47</f>
        <v>107</v>
      </c>
      <c r="P8128" s="21"/>
      <c r="Q8128" s="21">
        <f t="shared" ref="Q8128:Q8191" si="161">SUM(S8128:AE8128)</f>
        <v>1</v>
      </c>
      <c r="R8128" s="21"/>
      <c r="S8128" s="21">
        <v>0</v>
      </c>
      <c r="T8128" s="21">
        <v>0</v>
      </c>
      <c r="U8128" s="21">
        <v>0</v>
      </c>
      <c r="V8128" s="21">
        <v>0</v>
      </c>
      <c r="W8128" s="21">
        <v>0</v>
      </c>
      <c r="X8128" s="21">
        <v>0</v>
      </c>
      <c r="Y8128" s="21">
        <v>0</v>
      </c>
      <c r="Z8128" s="21">
        <v>0</v>
      </c>
      <c r="AA8128" s="21">
        <v>0</v>
      </c>
      <c r="AB8128" s="21">
        <v>1</v>
      </c>
      <c r="AC8128" s="21">
        <v>0</v>
      </c>
      <c r="AD8128" s="21">
        <v>0</v>
      </c>
      <c r="AE8128" s="21">
        <v>0</v>
      </c>
      <c r="AF8128" s="21">
        <v>0</v>
      </c>
      <c r="AG8128" s="21">
        <v>0</v>
      </c>
      <c r="AH8128" s="21">
        <f t="shared" ref="AH8128:AH8191" si="162">(S8128*16)+(T8128*20)+(U8128*32)+(V8128*64)+(W8128*96)</f>
        <v>0</v>
      </c>
      <c r="AI8128" s="21"/>
      <c r="AJ8128" s="21" t="s">
        <v>51</v>
      </c>
      <c r="AK8128" s="21"/>
      <c r="AL8128" s="21" t="s">
        <v>4399</v>
      </c>
      <c r="AM8128" s="21" t="s">
        <v>4400</v>
      </c>
      <c r="AN8128" s="21">
        <v>-122.46000138333299</v>
      </c>
      <c r="AO8128" s="21">
        <v>37.800224200000002</v>
      </c>
      <c r="AP8128" s="21" t="s">
        <v>1915</v>
      </c>
    </row>
    <row r="8129" spans="1:42">
      <c r="A8129" s="20">
        <v>43878</v>
      </c>
      <c r="B8129" s="21">
        <v>1</v>
      </c>
      <c r="C8129" s="21">
        <v>574</v>
      </c>
      <c r="D8129" s="21">
        <v>11328</v>
      </c>
      <c r="E8129" t="s">
        <v>377</v>
      </c>
      <c r="F8129" s="21" t="s">
        <v>436</v>
      </c>
      <c r="G8129" s="21">
        <v>1</v>
      </c>
      <c r="H8129" s="21">
        <v>54</v>
      </c>
      <c r="I8129" s="23" t="s">
        <v>4130</v>
      </c>
      <c r="J8129" s="21"/>
      <c r="K8129" s="21" t="s">
        <v>4401</v>
      </c>
      <c r="L8129" s="21"/>
      <c r="M8129" s="21"/>
      <c r="N8129" s="21" t="s">
        <v>40</v>
      </c>
      <c r="O8129" s="21">
        <v>56</v>
      </c>
      <c r="P8129" s="21"/>
      <c r="Q8129" s="21">
        <f t="shared" si="161"/>
        <v>1</v>
      </c>
      <c r="R8129" s="21"/>
      <c r="S8129" s="21">
        <v>0</v>
      </c>
      <c r="T8129" s="21">
        <v>0</v>
      </c>
      <c r="U8129" s="21">
        <v>0</v>
      </c>
      <c r="V8129" s="21">
        <v>0</v>
      </c>
      <c r="W8129" s="21">
        <v>0</v>
      </c>
      <c r="X8129" s="21">
        <v>0</v>
      </c>
      <c r="Y8129" s="21">
        <v>0</v>
      </c>
      <c r="Z8129" s="21">
        <v>0</v>
      </c>
      <c r="AA8129" s="21">
        <v>0</v>
      </c>
      <c r="AB8129" s="21">
        <v>0</v>
      </c>
      <c r="AC8129" s="21">
        <v>1</v>
      </c>
      <c r="AD8129" s="21">
        <v>0</v>
      </c>
      <c r="AE8129" s="21">
        <v>0</v>
      </c>
      <c r="AF8129" s="21">
        <v>0</v>
      </c>
      <c r="AG8129" s="21">
        <v>0</v>
      </c>
      <c r="AH8129" s="21">
        <f t="shared" si="162"/>
        <v>0</v>
      </c>
      <c r="AI8129" s="21"/>
      <c r="AJ8129" s="21" t="s">
        <v>51</v>
      </c>
      <c r="AK8129" s="21"/>
      <c r="AL8129" s="21" t="s">
        <v>379</v>
      </c>
      <c r="AM8129" s="21" t="s">
        <v>4402</v>
      </c>
      <c r="AN8129" s="21">
        <v>-122.461859933333</v>
      </c>
      <c r="AO8129" s="21">
        <v>37.800494466666699</v>
      </c>
      <c r="AP8129" s="21" t="s">
        <v>1915</v>
      </c>
    </row>
    <row r="8130" spans="1:42">
      <c r="A8130" s="20">
        <v>43878</v>
      </c>
      <c r="B8130" s="21">
        <v>1</v>
      </c>
      <c r="C8130" s="21">
        <v>574</v>
      </c>
      <c r="D8130" s="21">
        <v>11328</v>
      </c>
      <c r="E8130" t="s">
        <v>377</v>
      </c>
      <c r="F8130" s="21" t="s">
        <v>436</v>
      </c>
      <c r="G8130" s="21">
        <v>1</v>
      </c>
      <c r="H8130" s="21">
        <v>55</v>
      </c>
      <c r="I8130" s="23" t="s">
        <v>4403</v>
      </c>
      <c r="J8130" s="21"/>
      <c r="K8130" t="s">
        <v>102</v>
      </c>
      <c r="L8130" s="21"/>
      <c r="M8130" s="21"/>
      <c r="N8130" s="21" t="s">
        <v>44</v>
      </c>
      <c r="O8130" s="21">
        <f>60+60+60+16</f>
        <v>196</v>
      </c>
      <c r="P8130" s="21"/>
      <c r="Q8130" s="21">
        <f t="shared" si="161"/>
        <v>1</v>
      </c>
      <c r="R8130" s="21"/>
      <c r="S8130" s="21">
        <v>0</v>
      </c>
      <c r="T8130" s="21">
        <v>0</v>
      </c>
      <c r="U8130" s="21">
        <v>0</v>
      </c>
      <c r="V8130" s="21">
        <v>0</v>
      </c>
      <c r="W8130" s="21">
        <v>0</v>
      </c>
      <c r="X8130" s="21">
        <v>0</v>
      </c>
      <c r="Y8130" s="21">
        <v>0</v>
      </c>
      <c r="Z8130" s="21">
        <v>0</v>
      </c>
      <c r="AA8130" s="21">
        <v>0</v>
      </c>
      <c r="AB8130" s="21">
        <v>0</v>
      </c>
      <c r="AC8130" s="21">
        <v>1</v>
      </c>
      <c r="AD8130" s="21">
        <v>0</v>
      </c>
      <c r="AE8130" s="21">
        <v>0</v>
      </c>
      <c r="AF8130" s="21">
        <v>0</v>
      </c>
      <c r="AG8130" s="21">
        <v>0</v>
      </c>
      <c r="AH8130" s="21">
        <f t="shared" si="162"/>
        <v>0</v>
      </c>
      <c r="AI8130" s="21"/>
      <c r="AJ8130" s="21" t="s">
        <v>51</v>
      </c>
      <c r="AK8130" s="21"/>
      <c r="AL8130" s="21" t="s">
        <v>4404</v>
      </c>
      <c r="AM8130" s="21" t="s">
        <v>4405</v>
      </c>
      <c r="AN8130" s="21">
        <v>-122.468874183333</v>
      </c>
      <c r="AO8130" s="21">
        <v>37.804511233333301</v>
      </c>
      <c r="AP8130" s="21" t="s">
        <v>1915</v>
      </c>
    </row>
    <row r="8131" spans="1:42">
      <c r="A8131" s="20">
        <v>43878</v>
      </c>
      <c r="B8131" s="21">
        <v>1</v>
      </c>
      <c r="C8131" s="21">
        <v>574</v>
      </c>
      <c r="D8131" s="21">
        <v>11328</v>
      </c>
      <c r="E8131" t="s">
        <v>377</v>
      </c>
      <c r="F8131" s="21" t="s">
        <v>436</v>
      </c>
      <c r="G8131" s="21">
        <v>1</v>
      </c>
      <c r="H8131" s="21">
        <v>56</v>
      </c>
      <c r="I8131" s="23"/>
      <c r="J8131" s="21"/>
      <c r="K8131" s="21" t="s">
        <v>4406</v>
      </c>
      <c r="L8131" s="21"/>
      <c r="M8131" s="21"/>
      <c r="N8131" s="21" t="s">
        <v>44</v>
      </c>
      <c r="O8131" s="21">
        <f>60+60+60+17</f>
        <v>197</v>
      </c>
      <c r="P8131" s="21"/>
      <c r="Q8131" s="21">
        <f t="shared" si="161"/>
        <v>1</v>
      </c>
      <c r="R8131" s="21"/>
      <c r="S8131" s="21">
        <v>0</v>
      </c>
      <c r="T8131" s="21">
        <v>0</v>
      </c>
      <c r="U8131" s="21">
        <v>0</v>
      </c>
      <c r="V8131" s="21">
        <v>0</v>
      </c>
      <c r="W8131" s="21">
        <v>0</v>
      </c>
      <c r="X8131" s="21">
        <v>0</v>
      </c>
      <c r="Y8131" s="21">
        <v>0</v>
      </c>
      <c r="Z8131" s="21">
        <v>0</v>
      </c>
      <c r="AA8131" s="21">
        <v>0</v>
      </c>
      <c r="AB8131" s="21">
        <v>0</v>
      </c>
      <c r="AC8131" s="21">
        <v>1</v>
      </c>
      <c r="AD8131" s="21">
        <v>0</v>
      </c>
      <c r="AE8131" s="21">
        <v>0</v>
      </c>
      <c r="AF8131" s="21">
        <v>0</v>
      </c>
      <c r="AG8131" s="21">
        <v>0</v>
      </c>
      <c r="AH8131" s="21">
        <f t="shared" si="162"/>
        <v>0</v>
      </c>
      <c r="AI8131" s="21"/>
      <c r="AJ8131" s="21"/>
      <c r="AK8131" s="21"/>
      <c r="AL8131" s="21" t="s">
        <v>4407</v>
      </c>
      <c r="AM8131" s="21" t="s">
        <v>4408</v>
      </c>
      <c r="AN8131" s="21">
        <v>-122.473815733333</v>
      </c>
      <c r="AO8131" s="21">
        <v>37.807356216666697</v>
      </c>
      <c r="AP8131" s="21" t="s">
        <v>1915</v>
      </c>
    </row>
    <row r="8132" spans="1:42">
      <c r="A8132" s="20">
        <v>43878</v>
      </c>
      <c r="B8132" s="21">
        <v>1</v>
      </c>
      <c r="C8132" s="21">
        <v>574</v>
      </c>
      <c r="D8132" s="21">
        <v>11328</v>
      </c>
      <c r="E8132" t="s">
        <v>377</v>
      </c>
      <c r="F8132" s="21" t="s">
        <v>436</v>
      </c>
      <c r="G8132" s="21">
        <v>1</v>
      </c>
      <c r="H8132" s="21">
        <v>57</v>
      </c>
      <c r="I8132" s="23" t="s">
        <v>4409</v>
      </c>
      <c r="J8132" s="21"/>
      <c r="K8132" t="s">
        <v>102</v>
      </c>
      <c r="L8132" s="21"/>
      <c r="M8132" s="21"/>
      <c r="N8132" s="21" t="s">
        <v>40</v>
      </c>
      <c r="O8132" s="21">
        <f>120+30</f>
        <v>150</v>
      </c>
      <c r="P8132" s="21"/>
      <c r="Q8132" s="21">
        <f t="shared" si="161"/>
        <v>4</v>
      </c>
      <c r="R8132" s="21"/>
      <c r="S8132" s="21">
        <v>0</v>
      </c>
      <c r="T8132" s="21">
        <v>0</v>
      </c>
      <c r="U8132" s="21">
        <v>0</v>
      </c>
      <c r="V8132" s="21">
        <v>0</v>
      </c>
      <c r="W8132" s="21">
        <v>0</v>
      </c>
      <c r="X8132" s="21">
        <v>0</v>
      </c>
      <c r="Y8132" s="21">
        <v>0</v>
      </c>
      <c r="Z8132" s="21">
        <v>0</v>
      </c>
      <c r="AA8132" s="21">
        <v>0</v>
      </c>
      <c r="AB8132" s="21">
        <v>0</v>
      </c>
      <c r="AC8132" s="21">
        <v>4</v>
      </c>
      <c r="AD8132" s="21">
        <v>0</v>
      </c>
      <c r="AE8132" s="21">
        <v>0</v>
      </c>
      <c r="AF8132" s="21">
        <v>0</v>
      </c>
      <c r="AG8132" s="21">
        <v>0</v>
      </c>
      <c r="AH8132" s="21">
        <f t="shared" si="162"/>
        <v>0</v>
      </c>
      <c r="AI8132" s="21"/>
      <c r="AJ8132" s="21"/>
      <c r="AK8132" s="21"/>
      <c r="AL8132" s="21"/>
      <c r="AM8132" s="21" t="s">
        <v>4410</v>
      </c>
      <c r="AN8132" s="21">
        <v>-122.47332951666699</v>
      </c>
      <c r="AO8132" s="21">
        <v>37.802195066666599</v>
      </c>
      <c r="AP8132" s="21" t="s">
        <v>1915</v>
      </c>
    </row>
    <row r="8133" spans="1:42">
      <c r="A8133" s="20">
        <v>43878</v>
      </c>
      <c r="B8133" s="21">
        <v>1</v>
      </c>
      <c r="C8133" s="21">
        <v>574</v>
      </c>
      <c r="D8133" s="21">
        <v>11328</v>
      </c>
      <c r="E8133" t="s">
        <v>377</v>
      </c>
      <c r="F8133" s="21" t="s">
        <v>436</v>
      </c>
      <c r="G8133" s="21">
        <v>1</v>
      </c>
      <c r="H8133" s="21">
        <v>58</v>
      </c>
      <c r="I8133" s="23" t="s">
        <v>4411</v>
      </c>
      <c r="J8133" s="21"/>
      <c r="K8133" s="21" t="s">
        <v>4412</v>
      </c>
      <c r="L8133" s="21"/>
      <c r="M8133" s="21"/>
      <c r="N8133" s="21" t="s">
        <v>40</v>
      </c>
      <c r="O8133" s="21">
        <f>60+60+60+50</f>
        <v>230</v>
      </c>
      <c r="P8133" s="21"/>
      <c r="Q8133" s="21">
        <f t="shared" si="161"/>
        <v>4</v>
      </c>
      <c r="R8133" s="21"/>
      <c r="S8133" s="21">
        <v>0</v>
      </c>
      <c r="T8133" s="21">
        <v>0</v>
      </c>
      <c r="U8133" s="21">
        <v>0</v>
      </c>
      <c r="V8133" s="21">
        <v>0</v>
      </c>
      <c r="W8133" s="21">
        <v>0</v>
      </c>
      <c r="X8133" s="21">
        <v>0</v>
      </c>
      <c r="Y8133" s="21">
        <v>0</v>
      </c>
      <c r="Z8133" s="21">
        <v>0</v>
      </c>
      <c r="AA8133" s="21">
        <v>0</v>
      </c>
      <c r="AB8133" s="21">
        <v>0</v>
      </c>
      <c r="AC8133" s="21">
        <v>4</v>
      </c>
      <c r="AD8133" s="21">
        <v>0</v>
      </c>
      <c r="AE8133" s="21">
        <v>0</v>
      </c>
      <c r="AF8133" s="21">
        <v>0</v>
      </c>
      <c r="AG8133" s="21">
        <v>0</v>
      </c>
      <c r="AH8133" s="21">
        <f t="shared" si="162"/>
        <v>0</v>
      </c>
      <c r="AI8133" s="21"/>
      <c r="AJ8133" s="21" t="s">
        <v>51</v>
      </c>
      <c r="AK8133" s="21"/>
      <c r="AL8133" s="21"/>
      <c r="AM8133" s="21" t="s">
        <v>4413</v>
      </c>
      <c r="AN8133" s="21">
        <v>-122.472146034272</v>
      </c>
      <c r="AO8133" s="21">
        <v>37.802388485160598</v>
      </c>
      <c r="AP8133" s="21" t="s">
        <v>1915</v>
      </c>
    </row>
    <row r="8134" spans="1:42">
      <c r="A8134" s="20">
        <v>43878</v>
      </c>
      <c r="B8134" s="21">
        <v>1</v>
      </c>
      <c r="C8134" s="21">
        <v>574</v>
      </c>
      <c r="D8134" s="21">
        <v>11328</v>
      </c>
      <c r="E8134" t="s">
        <v>377</v>
      </c>
      <c r="F8134" s="21" t="s">
        <v>436</v>
      </c>
      <c r="G8134" s="21">
        <v>1</v>
      </c>
      <c r="H8134" s="21">
        <v>59</v>
      </c>
      <c r="I8134" s="23" t="s">
        <v>3596</v>
      </c>
      <c r="J8134" s="21"/>
      <c r="K8134" s="21" t="s">
        <v>2099</v>
      </c>
      <c r="L8134" s="21"/>
      <c r="M8134" s="21"/>
      <c r="N8134" s="21" t="s">
        <v>44</v>
      </c>
      <c r="O8134" s="21">
        <v>27</v>
      </c>
      <c r="P8134" s="21"/>
      <c r="Q8134" s="21">
        <f t="shared" si="161"/>
        <v>1</v>
      </c>
      <c r="R8134" s="21"/>
      <c r="S8134" s="21">
        <v>0</v>
      </c>
      <c r="T8134" s="21">
        <v>0</v>
      </c>
      <c r="U8134" s="21">
        <v>0</v>
      </c>
      <c r="V8134" s="21">
        <v>0</v>
      </c>
      <c r="W8134" s="21">
        <v>0</v>
      </c>
      <c r="X8134" s="21">
        <v>0</v>
      </c>
      <c r="Y8134" s="21">
        <v>0</v>
      </c>
      <c r="Z8134" s="21">
        <v>0</v>
      </c>
      <c r="AA8134" s="21">
        <v>0</v>
      </c>
      <c r="AB8134" s="21">
        <v>0</v>
      </c>
      <c r="AC8134" s="21">
        <v>1</v>
      </c>
      <c r="AD8134" s="21">
        <v>0</v>
      </c>
      <c r="AE8134" s="21">
        <v>0</v>
      </c>
      <c r="AF8134" s="21">
        <v>0</v>
      </c>
      <c r="AG8134" s="21">
        <v>0</v>
      </c>
      <c r="AH8134" s="21">
        <f t="shared" si="162"/>
        <v>0</v>
      </c>
      <c r="AI8134" s="21"/>
      <c r="AJ8134" s="21"/>
      <c r="AK8134" s="21"/>
      <c r="AL8134" s="21" t="s">
        <v>4337</v>
      </c>
      <c r="AM8134" s="21" t="s">
        <v>4414</v>
      </c>
      <c r="AN8134" s="21">
        <v>-122.479553083333</v>
      </c>
      <c r="AO8134" s="21">
        <v>37.793698466666697</v>
      </c>
      <c r="AP8134" s="21" t="s">
        <v>1915</v>
      </c>
    </row>
    <row r="8135" spans="1:42">
      <c r="A8135" s="20">
        <v>43878</v>
      </c>
      <c r="B8135" s="21">
        <v>1</v>
      </c>
      <c r="C8135" s="21">
        <v>574</v>
      </c>
      <c r="D8135" s="21">
        <v>11328</v>
      </c>
      <c r="E8135" t="s">
        <v>377</v>
      </c>
      <c r="F8135" s="21" t="s">
        <v>436</v>
      </c>
      <c r="G8135" s="21">
        <v>1</v>
      </c>
      <c r="H8135" s="21">
        <v>60</v>
      </c>
      <c r="I8135" s="23" t="s">
        <v>3599</v>
      </c>
      <c r="J8135" s="21"/>
      <c r="K8135" s="21" t="s">
        <v>2099</v>
      </c>
      <c r="L8135" s="21"/>
      <c r="M8135" s="21"/>
      <c r="N8135" s="21" t="s">
        <v>44</v>
      </c>
      <c r="O8135" s="21">
        <v>57</v>
      </c>
      <c r="P8135" s="21"/>
      <c r="Q8135" s="21">
        <f t="shared" si="161"/>
        <v>1</v>
      </c>
      <c r="R8135" s="21"/>
      <c r="S8135" s="21">
        <v>0</v>
      </c>
      <c r="T8135" s="21">
        <v>0</v>
      </c>
      <c r="U8135" s="21">
        <v>0</v>
      </c>
      <c r="V8135" s="21">
        <v>0</v>
      </c>
      <c r="W8135" s="21">
        <v>0</v>
      </c>
      <c r="X8135" s="21">
        <v>0</v>
      </c>
      <c r="Y8135" s="21">
        <v>0</v>
      </c>
      <c r="Z8135" s="21">
        <v>0</v>
      </c>
      <c r="AA8135" s="21">
        <v>0</v>
      </c>
      <c r="AB8135" s="21">
        <v>0</v>
      </c>
      <c r="AC8135" s="21">
        <v>1</v>
      </c>
      <c r="AD8135" s="21">
        <v>0</v>
      </c>
      <c r="AE8135" s="21">
        <v>0</v>
      </c>
      <c r="AF8135" s="21">
        <v>0</v>
      </c>
      <c r="AG8135" s="21">
        <v>0</v>
      </c>
      <c r="AH8135" s="21">
        <f t="shared" si="162"/>
        <v>0</v>
      </c>
      <c r="AI8135" s="21"/>
      <c r="AJ8135" s="21"/>
      <c r="AK8135" s="21"/>
      <c r="AL8135" s="21"/>
      <c r="AM8135" s="21" t="s">
        <v>4415</v>
      </c>
      <c r="AN8135" s="21">
        <v>-122.47848828333299</v>
      </c>
      <c r="AO8135" s="21">
        <v>37.793455516666697</v>
      </c>
      <c r="AP8135" s="21" t="s">
        <v>1915</v>
      </c>
    </row>
    <row r="8136" spans="1:42">
      <c r="A8136" s="20">
        <v>43878</v>
      </c>
      <c r="B8136" s="21">
        <v>1</v>
      </c>
      <c r="C8136" s="21">
        <v>574</v>
      </c>
      <c r="D8136" s="21">
        <v>11328</v>
      </c>
      <c r="E8136" t="s">
        <v>377</v>
      </c>
      <c r="F8136" s="21" t="s">
        <v>436</v>
      </c>
      <c r="G8136" s="21">
        <v>1</v>
      </c>
      <c r="H8136" s="21">
        <v>61</v>
      </c>
      <c r="I8136" s="23">
        <v>1552</v>
      </c>
      <c r="J8136" s="21"/>
      <c r="K8136" s="21" t="s">
        <v>2099</v>
      </c>
      <c r="L8136" s="21"/>
      <c r="M8136" s="21"/>
      <c r="N8136" s="21" t="s">
        <v>44</v>
      </c>
      <c r="O8136" s="21">
        <f>60+45</f>
        <v>105</v>
      </c>
      <c r="P8136" s="21"/>
      <c r="Q8136" s="21">
        <f t="shared" si="161"/>
        <v>1</v>
      </c>
      <c r="R8136" s="21"/>
      <c r="S8136" s="21">
        <v>0</v>
      </c>
      <c r="T8136" s="21">
        <v>0</v>
      </c>
      <c r="U8136" s="21">
        <v>0</v>
      </c>
      <c r="V8136" s="21">
        <v>0</v>
      </c>
      <c r="W8136" s="21">
        <v>0</v>
      </c>
      <c r="X8136" s="21">
        <v>0</v>
      </c>
      <c r="Y8136" s="21">
        <v>0</v>
      </c>
      <c r="Z8136" s="21">
        <v>0</v>
      </c>
      <c r="AA8136" s="21">
        <v>0</v>
      </c>
      <c r="AB8136" s="21">
        <v>0</v>
      </c>
      <c r="AC8136" s="21">
        <v>1</v>
      </c>
      <c r="AD8136" s="21">
        <v>0</v>
      </c>
      <c r="AE8136" s="21">
        <v>0</v>
      </c>
      <c r="AF8136" s="21">
        <v>0</v>
      </c>
      <c r="AG8136" s="21">
        <v>0</v>
      </c>
      <c r="AH8136" s="21">
        <f t="shared" si="162"/>
        <v>0</v>
      </c>
      <c r="AI8136" s="21"/>
      <c r="AJ8136" s="21" t="s">
        <v>54</v>
      </c>
      <c r="AK8136" s="21"/>
      <c r="AL8136" s="21" t="s">
        <v>4416</v>
      </c>
      <c r="AM8136" s="21" t="s">
        <v>4417</v>
      </c>
      <c r="AN8136" s="21">
        <v>-122.478046466667</v>
      </c>
      <c r="AO8136" s="21">
        <v>37.793265583333302</v>
      </c>
      <c r="AP8136" s="21" t="s">
        <v>1915</v>
      </c>
    </row>
    <row r="8137" spans="1:42">
      <c r="A8137" s="20">
        <v>43878</v>
      </c>
      <c r="B8137" s="21">
        <v>1</v>
      </c>
      <c r="C8137" s="21">
        <v>574</v>
      </c>
      <c r="D8137" s="21">
        <v>11328</v>
      </c>
      <c r="E8137" t="s">
        <v>377</v>
      </c>
      <c r="F8137" s="21" t="s">
        <v>436</v>
      </c>
      <c r="G8137" s="21">
        <v>1</v>
      </c>
      <c r="H8137" s="21">
        <v>62</v>
      </c>
      <c r="I8137" s="23">
        <v>1536</v>
      </c>
      <c r="J8137" s="21"/>
      <c r="K8137" s="21" t="s">
        <v>3641</v>
      </c>
      <c r="L8137" s="21"/>
      <c r="M8137" s="21"/>
      <c r="N8137" s="21" t="s">
        <v>44</v>
      </c>
      <c r="O8137" s="21">
        <v>39</v>
      </c>
      <c r="P8137" s="21"/>
      <c r="Q8137" s="21">
        <f t="shared" si="161"/>
        <v>1</v>
      </c>
      <c r="R8137" s="21"/>
      <c r="S8137" s="21">
        <v>0</v>
      </c>
      <c r="T8137" s="21">
        <v>0</v>
      </c>
      <c r="U8137" s="21">
        <v>0</v>
      </c>
      <c r="V8137" s="21">
        <v>0</v>
      </c>
      <c r="W8137" s="21">
        <v>0</v>
      </c>
      <c r="X8137" s="21">
        <v>0</v>
      </c>
      <c r="Y8137" s="21">
        <v>0</v>
      </c>
      <c r="Z8137" s="21">
        <v>0</v>
      </c>
      <c r="AA8137" s="21">
        <v>0</v>
      </c>
      <c r="AB8137" s="21">
        <v>0</v>
      </c>
      <c r="AC8137" s="21">
        <v>1</v>
      </c>
      <c r="AD8137" s="21">
        <v>0</v>
      </c>
      <c r="AE8137" s="21">
        <v>0</v>
      </c>
      <c r="AF8137" s="21">
        <v>0</v>
      </c>
      <c r="AG8137" s="21">
        <v>0</v>
      </c>
      <c r="AH8137" s="21">
        <f t="shared" si="162"/>
        <v>0</v>
      </c>
      <c r="AI8137" s="21"/>
      <c r="AJ8137" s="21"/>
      <c r="AK8137" s="21"/>
      <c r="AL8137" s="21"/>
      <c r="AM8137" s="21" t="s">
        <v>4418</v>
      </c>
      <c r="AN8137" s="21">
        <v>-122.47803356666699</v>
      </c>
      <c r="AO8137" s="21">
        <v>37.793631266666701</v>
      </c>
      <c r="AP8137" s="21" t="s">
        <v>1915</v>
      </c>
    </row>
    <row r="8138" spans="1:42">
      <c r="A8138" s="20">
        <v>43878</v>
      </c>
      <c r="B8138" s="21">
        <v>1</v>
      </c>
      <c r="C8138" s="21">
        <v>574</v>
      </c>
      <c r="D8138" s="21">
        <v>11328</v>
      </c>
      <c r="E8138" t="s">
        <v>377</v>
      </c>
      <c r="F8138" s="21" t="s">
        <v>436</v>
      </c>
      <c r="G8138" s="21">
        <v>1</v>
      </c>
      <c r="H8138" s="21">
        <v>63</v>
      </c>
      <c r="I8138" s="23" t="s">
        <v>3317</v>
      </c>
      <c r="J8138" s="21"/>
      <c r="K8138" s="21" t="s">
        <v>3641</v>
      </c>
      <c r="L8138" s="21"/>
      <c r="M8138" s="21"/>
      <c r="N8138" s="21" t="s">
        <v>44</v>
      </c>
      <c r="O8138" s="21">
        <v>27</v>
      </c>
      <c r="P8138" s="21"/>
      <c r="Q8138" s="21">
        <f t="shared" si="161"/>
        <v>1</v>
      </c>
      <c r="R8138" s="21"/>
      <c r="S8138" s="21">
        <v>0</v>
      </c>
      <c r="T8138" s="21">
        <v>0</v>
      </c>
      <c r="U8138" s="21">
        <v>0</v>
      </c>
      <c r="V8138" s="21">
        <v>0</v>
      </c>
      <c r="W8138" s="21">
        <v>0</v>
      </c>
      <c r="X8138" s="21">
        <v>0</v>
      </c>
      <c r="Y8138" s="21">
        <v>0</v>
      </c>
      <c r="Z8138" s="21">
        <v>0</v>
      </c>
      <c r="AA8138" s="21">
        <v>0</v>
      </c>
      <c r="AB8138" s="21">
        <v>0</v>
      </c>
      <c r="AC8138" s="21">
        <v>1</v>
      </c>
      <c r="AD8138" s="21">
        <v>0</v>
      </c>
      <c r="AE8138" s="21">
        <v>0</v>
      </c>
      <c r="AF8138" s="21">
        <v>0</v>
      </c>
      <c r="AG8138" s="21">
        <v>0</v>
      </c>
      <c r="AH8138" s="21">
        <f t="shared" si="162"/>
        <v>0</v>
      </c>
      <c r="AI8138" s="21"/>
      <c r="AJ8138" s="21"/>
      <c r="AK8138" s="21"/>
      <c r="AL8138" s="21"/>
      <c r="AM8138" s="21" t="s">
        <v>4419</v>
      </c>
      <c r="AN8138" s="21">
        <v>-122.477743279149</v>
      </c>
      <c r="AO8138" s="21">
        <v>37.793000960597801</v>
      </c>
      <c r="AP8138" s="21" t="s">
        <v>1915</v>
      </c>
    </row>
    <row r="8139" spans="1:42">
      <c r="A8139" s="20">
        <v>43878</v>
      </c>
      <c r="B8139" s="21">
        <v>1</v>
      </c>
      <c r="C8139" s="21">
        <v>574</v>
      </c>
      <c r="D8139" s="21">
        <v>11328</v>
      </c>
      <c r="E8139" t="s">
        <v>377</v>
      </c>
      <c r="F8139" s="21" t="s">
        <v>436</v>
      </c>
      <c r="G8139" s="21">
        <v>1</v>
      </c>
      <c r="H8139" s="21">
        <v>64</v>
      </c>
      <c r="I8139" s="23" t="s">
        <v>3603</v>
      </c>
      <c r="J8139" s="21"/>
      <c r="K8139" s="21" t="s">
        <v>3641</v>
      </c>
      <c r="L8139" s="21"/>
      <c r="M8139" s="21"/>
      <c r="N8139" s="21" t="s">
        <v>44</v>
      </c>
      <c r="O8139" s="21">
        <v>43</v>
      </c>
      <c r="P8139" s="21"/>
      <c r="Q8139" s="21">
        <f t="shared" si="161"/>
        <v>1</v>
      </c>
      <c r="R8139" s="21"/>
      <c r="S8139" s="21">
        <v>0</v>
      </c>
      <c r="T8139" s="21">
        <v>0</v>
      </c>
      <c r="U8139" s="21">
        <v>0</v>
      </c>
      <c r="V8139" s="21">
        <v>0</v>
      </c>
      <c r="W8139" s="21">
        <v>0</v>
      </c>
      <c r="X8139" s="21">
        <v>0</v>
      </c>
      <c r="Y8139" s="21">
        <v>0</v>
      </c>
      <c r="Z8139" s="21">
        <v>0</v>
      </c>
      <c r="AA8139" s="21">
        <v>0</v>
      </c>
      <c r="AB8139" s="21">
        <v>0</v>
      </c>
      <c r="AC8139" s="21">
        <v>1</v>
      </c>
      <c r="AD8139" s="21">
        <v>0</v>
      </c>
      <c r="AE8139" s="21">
        <v>0</v>
      </c>
      <c r="AF8139" s="21">
        <v>0</v>
      </c>
      <c r="AG8139" s="21">
        <v>0</v>
      </c>
      <c r="AH8139" s="21">
        <f t="shared" si="162"/>
        <v>0</v>
      </c>
      <c r="AI8139" s="21"/>
      <c r="AJ8139" s="21"/>
      <c r="AK8139" s="21"/>
      <c r="AL8139" s="21"/>
      <c r="AM8139" s="21" t="s">
        <v>4420</v>
      </c>
      <c r="AN8139" s="21">
        <v>-122.476824666667</v>
      </c>
      <c r="AO8139" s="21">
        <v>37.792659083333298</v>
      </c>
      <c r="AP8139" s="21" t="s">
        <v>1915</v>
      </c>
    </row>
    <row r="8140" spans="1:42">
      <c r="A8140" s="20">
        <v>43878</v>
      </c>
      <c r="B8140" s="21">
        <v>1</v>
      </c>
      <c r="C8140" s="21">
        <v>574</v>
      </c>
      <c r="D8140" s="21">
        <v>11328</v>
      </c>
      <c r="E8140" t="s">
        <v>377</v>
      </c>
      <c r="F8140" s="21" t="s">
        <v>436</v>
      </c>
      <c r="G8140" s="21">
        <v>1</v>
      </c>
      <c r="H8140" s="21">
        <v>65</v>
      </c>
      <c r="I8140" s="23" t="s">
        <v>4421</v>
      </c>
      <c r="J8140" s="21"/>
      <c r="K8140" s="21" t="s">
        <v>3641</v>
      </c>
      <c r="L8140" s="21"/>
      <c r="M8140" s="21"/>
      <c r="N8140" s="21" t="s">
        <v>44</v>
      </c>
      <c r="O8140" s="21">
        <v>24</v>
      </c>
      <c r="P8140" s="21"/>
      <c r="Q8140" s="21">
        <f t="shared" si="161"/>
        <v>1</v>
      </c>
      <c r="R8140" s="21"/>
      <c r="S8140" s="21">
        <v>0</v>
      </c>
      <c r="T8140" s="21">
        <v>0</v>
      </c>
      <c r="U8140" s="21">
        <v>0</v>
      </c>
      <c r="V8140" s="21">
        <v>0</v>
      </c>
      <c r="W8140" s="21">
        <v>0</v>
      </c>
      <c r="X8140" s="21">
        <v>0</v>
      </c>
      <c r="Y8140" s="21">
        <v>0</v>
      </c>
      <c r="Z8140" s="21">
        <v>0</v>
      </c>
      <c r="AA8140" s="21">
        <v>0</v>
      </c>
      <c r="AB8140" s="21">
        <v>0</v>
      </c>
      <c r="AC8140" s="21">
        <v>1</v>
      </c>
      <c r="AD8140" s="21">
        <v>0</v>
      </c>
      <c r="AE8140" s="21">
        <v>0</v>
      </c>
      <c r="AF8140" s="21">
        <v>0</v>
      </c>
      <c r="AG8140" s="21">
        <v>0</v>
      </c>
      <c r="AH8140" s="21">
        <f t="shared" si="162"/>
        <v>0</v>
      </c>
      <c r="AI8140" s="21"/>
      <c r="AJ8140" s="21"/>
      <c r="AK8140" s="21"/>
      <c r="AL8140" s="21"/>
      <c r="AM8140" s="21" t="s">
        <v>4422</v>
      </c>
      <c r="AN8140" s="21">
        <v>-122.47724573333301</v>
      </c>
      <c r="AO8140" s="21">
        <v>37.792395749999997</v>
      </c>
      <c r="AP8140" s="21" t="s">
        <v>1915</v>
      </c>
    </row>
    <row r="8141" spans="1:42">
      <c r="A8141" s="20">
        <v>43878</v>
      </c>
      <c r="B8141" s="21">
        <v>1</v>
      </c>
      <c r="C8141" s="21">
        <v>574</v>
      </c>
      <c r="D8141" s="21">
        <v>11328</v>
      </c>
      <c r="E8141" t="s">
        <v>377</v>
      </c>
      <c r="F8141" s="21" t="s">
        <v>436</v>
      </c>
      <c r="G8141" s="21">
        <v>1</v>
      </c>
      <c r="H8141" s="21">
        <v>66</v>
      </c>
      <c r="I8141" s="23">
        <v>1535</v>
      </c>
      <c r="J8141" s="21"/>
      <c r="K8141" s="21" t="s">
        <v>3641</v>
      </c>
      <c r="L8141" s="21"/>
      <c r="M8141" s="21"/>
      <c r="N8141" s="21" t="s">
        <v>44</v>
      </c>
      <c r="O8141" s="21">
        <v>28</v>
      </c>
      <c r="P8141" s="21"/>
      <c r="Q8141" s="21">
        <f t="shared" si="161"/>
        <v>1</v>
      </c>
      <c r="R8141" s="21"/>
      <c r="S8141" s="21">
        <v>0</v>
      </c>
      <c r="T8141" s="21">
        <v>0</v>
      </c>
      <c r="U8141" s="21">
        <v>0</v>
      </c>
      <c r="V8141" s="21">
        <v>0</v>
      </c>
      <c r="W8141" s="21">
        <v>0</v>
      </c>
      <c r="X8141" s="21">
        <v>0</v>
      </c>
      <c r="Y8141" s="21">
        <v>0</v>
      </c>
      <c r="Z8141" s="21">
        <v>0</v>
      </c>
      <c r="AA8141" s="21">
        <v>0</v>
      </c>
      <c r="AB8141" s="21">
        <v>0</v>
      </c>
      <c r="AC8141" s="21">
        <v>1</v>
      </c>
      <c r="AD8141" s="21">
        <v>0</v>
      </c>
      <c r="AE8141" s="21">
        <v>0</v>
      </c>
      <c r="AF8141" s="21">
        <v>0</v>
      </c>
      <c r="AG8141" s="21">
        <v>0</v>
      </c>
      <c r="AH8141" s="21">
        <f t="shared" si="162"/>
        <v>0</v>
      </c>
      <c r="AI8141" s="21"/>
      <c r="AJ8141" s="21"/>
      <c r="AK8141" s="21"/>
      <c r="AL8141" s="21"/>
      <c r="AM8141" s="21" t="s">
        <v>4423</v>
      </c>
      <c r="AN8141" s="21">
        <v>-122.477645716667</v>
      </c>
      <c r="AO8141" s="21">
        <v>37.792183483333297</v>
      </c>
      <c r="AP8141" s="21" t="s">
        <v>1915</v>
      </c>
    </row>
    <row r="8142" spans="1:42">
      <c r="A8142" s="20">
        <v>43878</v>
      </c>
      <c r="B8142" s="21">
        <v>1</v>
      </c>
      <c r="C8142" s="21">
        <v>574</v>
      </c>
      <c r="D8142" s="21">
        <v>11328</v>
      </c>
      <c r="E8142" t="s">
        <v>377</v>
      </c>
      <c r="F8142" s="21" t="s">
        <v>436</v>
      </c>
      <c r="G8142" s="21">
        <v>1</v>
      </c>
      <c r="H8142" s="21">
        <v>67</v>
      </c>
      <c r="I8142" s="23">
        <v>1533</v>
      </c>
      <c r="J8142" s="21"/>
      <c r="K8142" s="21" t="s">
        <v>3641</v>
      </c>
      <c r="L8142" s="21"/>
      <c r="M8142" s="21"/>
      <c r="N8142" s="21" t="s">
        <v>44</v>
      </c>
      <c r="O8142" s="21">
        <v>27</v>
      </c>
      <c r="P8142" s="21"/>
      <c r="Q8142" s="21">
        <f t="shared" si="161"/>
        <v>1</v>
      </c>
      <c r="R8142" s="21"/>
      <c r="S8142" s="21">
        <v>0</v>
      </c>
      <c r="T8142" s="21">
        <v>0</v>
      </c>
      <c r="U8142" s="21">
        <v>0</v>
      </c>
      <c r="V8142" s="21">
        <v>0</v>
      </c>
      <c r="W8142" s="21">
        <v>0</v>
      </c>
      <c r="X8142" s="21">
        <v>0</v>
      </c>
      <c r="Y8142" s="21">
        <v>0</v>
      </c>
      <c r="Z8142" s="21">
        <v>0</v>
      </c>
      <c r="AA8142" s="21">
        <v>0</v>
      </c>
      <c r="AB8142" s="21">
        <v>1</v>
      </c>
      <c r="AC8142" s="21">
        <v>0</v>
      </c>
      <c r="AD8142" s="21">
        <v>0</v>
      </c>
      <c r="AE8142" s="21">
        <v>0</v>
      </c>
      <c r="AF8142" s="21">
        <v>0</v>
      </c>
      <c r="AG8142" s="21">
        <v>0</v>
      </c>
      <c r="AH8142" s="21">
        <f t="shared" si="162"/>
        <v>0</v>
      </c>
      <c r="AI8142" s="21"/>
      <c r="AJ8142" s="21"/>
      <c r="AK8142" s="21"/>
      <c r="AL8142" s="21"/>
      <c r="AM8142" s="21" t="s">
        <v>4424</v>
      </c>
      <c r="AN8142" s="21">
        <v>-122.47709936666701</v>
      </c>
      <c r="AO8142" s="21">
        <v>37.791002949999999</v>
      </c>
      <c r="AP8142" s="21" t="s">
        <v>1915</v>
      </c>
    </row>
    <row r="8143" spans="1:42">
      <c r="A8143" s="20">
        <v>43878</v>
      </c>
      <c r="B8143" s="21">
        <v>1</v>
      </c>
      <c r="C8143" s="21">
        <v>574</v>
      </c>
      <c r="D8143" s="21">
        <v>11328</v>
      </c>
      <c r="E8143" t="s">
        <v>377</v>
      </c>
      <c r="F8143" s="21" t="s">
        <v>436</v>
      </c>
      <c r="G8143" s="21">
        <v>1</v>
      </c>
      <c r="H8143" s="21">
        <v>68</v>
      </c>
      <c r="I8143" s="23">
        <v>1524</v>
      </c>
      <c r="J8143" s="21"/>
      <c r="K8143" s="21" t="s">
        <v>3641</v>
      </c>
      <c r="L8143" s="21"/>
      <c r="M8143" s="21"/>
      <c r="N8143" s="21" t="s">
        <v>44</v>
      </c>
      <c r="O8143" s="21">
        <v>39</v>
      </c>
      <c r="P8143" s="21"/>
      <c r="Q8143" s="21">
        <f t="shared" si="161"/>
        <v>1</v>
      </c>
      <c r="R8143" s="21"/>
      <c r="S8143" s="21">
        <v>0</v>
      </c>
      <c r="T8143" s="21">
        <v>0</v>
      </c>
      <c r="U8143" s="21">
        <v>0</v>
      </c>
      <c r="V8143" s="21">
        <v>0</v>
      </c>
      <c r="W8143" s="21">
        <v>0</v>
      </c>
      <c r="X8143" s="21">
        <v>0</v>
      </c>
      <c r="Y8143" s="21">
        <v>0</v>
      </c>
      <c r="Z8143" s="21">
        <v>0</v>
      </c>
      <c r="AA8143" s="21">
        <v>0</v>
      </c>
      <c r="AB8143" s="21">
        <v>0</v>
      </c>
      <c r="AC8143" s="21">
        <v>1</v>
      </c>
      <c r="AD8143" s="21">
        <v>0</v>
      </c>
      <c r="AE8143" s="21">
        <v>0</v>
      </c>
      <c r="AF8143" s="21">
        <v>0</v>
      </c>
      <c r="AG8143" s="21">
        <v>0</v>
      </c>
      <c r="AH8143" s="21">
        <f t="shared" si="162"/>
        <v>0</v>
      </c>
      <c r="AI8143" s="21"/>
      <c r="AJ8143" s="21"/>
      <c r="AK8143" s="21"/>
      <c r="AL8143" s="21"/>
      <c r="AM8143" s="21" t="s">
        <v>4425</v>
      </c>
      <c r="AN8143" s="21">
        <v>-122.477593633333</v>
      </c>
      <c r="AO8143" s="21">
        <v>37.791046666666702</v>
      </c>
      <c r="AP8143" s="21" t="s">
        <v>1915</v>
      </c>
    </row>
    <row r="8144" spans="1:42">
      <c r="A8144" s="20">
        <v>43878</v>
      </c>
      <c r="B8144" s="21">
        <v>1</v>
      </c>
      <c r="C8144" s="21">
        <v>574</v>
      </c>
      <c r="D8144" s="21">
        <v>11328</v>
      </c>
      <c r="E8144" t="s">
        <v>377</v>
      </c>
      <c r="F8144" s="21" t="s">
        <v>436</v>
      </c>
      <c r="G8144" s="21">
        <v>1</v>
      </c>
      <c r="H8144" s="21">
        <v>69</v>
      </c>
      <c r="I8144" s="23">
        <v>1527</v>
      </c>
      <c r="J8144" s="21"/>
      <c r="K8144" s="21" t="s">
        <v>3641</v>
      </c>
      <c r="L8144" s="21"/>
      <c r="M8144" s="21"/>
      <c r="N8144" s="21" t="s">
        <v>44</v>
      </c>
      <c r="O8144" s="21">
        <v>34</v>
      </c>
      <c r="P8144" s="21"/>
      <c r="Q8144" s="21">
        <f t="shared" si="161"/>
        <v>1</v>
      </c>
      <c r="R8144" s="21"/>
      <c r="S8144" s="21">
        <v>0</v>
      </c>
      <c r="T8144" s="21">
        <v>0</v>
      </c>
      <c r="U8144" s="21">
        <v>0</v>
      </c>
      <c r="V8144" s="21">
        <v>0</v>
      </c>
      <c r="W8144" s="21">
        <v>0</v>
      </c>
      <c r="X8144" s="21">
        <v>0</v>
      </c>
      <c r="Y8144" s="21">
        <v>0</v>
      </c>
      <c r="Z8144" s="21">
        <v>0</v>
      </c>
      <c r="AA8144" s="21">
        <v>1</v>
      </c>
      <c r="AB8144" s="21">
        <v>0</v>
      </c>
      <c r="AC8144" s="21">
        <v>0</v>
      </c>
      <c r="AD8144" s="21">
        <v>0</v>
      </c>
      <c r="AE8144" s="21">
        <v>0</v>
      </c>
      <c r="AF8144" s="21">
        <v>0</v>
      </c>
      <c r="AG8144" s="21">
        <v>0</v>
      </c>
      <c r="AH8144" s="21">
        <f t="shared" si="162"/>
        <v>0</v>
      </c>
      <c r="AI8144" s="21"/>
      <c r="AJ8144" s="21"/>
      <c r="AK8144" s="21"/>
      <c r="AL8144" s="21"/>
      <c r="AM8144" s="21" t="s">
        <v>4426</v>
      </c>
      <c r="AN8144" s="21">
        <v>-122.477630066667</v>
      </c>
      <c r="AO8144" s="21">
        <v>37.791560599999997</v>
      </c>
      <c r="AP8144" s="21" t="s">
        <v>1915</v>
      </c>
    </row>
    <row r="8145" spans="1:42">
      <c r="A8145" s="20">
        <v>43878</v>
      </c>
      <c r="B8145" s="21">
        <v>1</v>
      </c>
      <c r="C8145" s="21">
        <v>574</v>
      </c>
      <c r="D8145" s="21">
        <v>11328</v>
      </c>
      <c r="E8145" t="s">
        <v>377</v>
      </c>
      <c r="F8145" s="21" t="s">
        <v>436</v>
      </c>
      <c r="G8145" s="21">
        <v>1</v>
      </c>
      <c r="H8145" s="21">
        <v>70</v>
      </c>
      <c r="I8145" s="23">
        <v>1520</v>
      </c>
      <c r="J8145" s="21"/>
      <c r="K8145" s="21" t="s">
        <v>3641</v>
      </c>
      <c r="L8145" s="21"/>
      <c r="M8145" s="21"/>
      <c r="N8145" s="21" t="s">
        <v>44</v>
      </c>
      <c r="O8145" s="21">
        <v>31</v>
      </c>
      <c r="P8145" s="21"/>
      <c r="Q8145" s="21">
        <f t="shared" si="161"/>
        <v>1</v>
      </c>
      <c r="R8145" s="21"/>
      <c r="S8145" s="21">
        <v>0</v>
      </c>
      <c r="T8145" s="21">
        <v>0</v>
      </c>
      <c r="U8145" s="21">
        <v>0</v>
      </c>
      <c r="V8145" s="21">
        <v>0</v>
      </c>
      <c r="W8145" s="21">
        <v>0</v>
      </c>
      <c r="X8145" s="21">
        <v>0</v>
      </c>
      <c r="Y8145" s="21">
        <v>0</v>
      </c>
      <c r="Z8145" s="21">
        <v>0</v>
      </c>
      <c r="AA8145" s="21">
        <v>0</v>
      </c>
      <c r="AB8145" s="21">
        <v>1</v>
      </c>
      <c r="AC8145" s="21">
        <v>0</v>
      </c>
      <c r="AD8145" s="21">
        <v>0</v>
      </c>
      <c r="AE8145" s="21">
        <v>0</v>
      </c>
      <c r="AF8145" s="21">
        <v>0</v>
      </c>
      <c r="AG8145" s="21">
        <v>0</v>
      </c>
      <c r="AH8145" s="21">
        <f t="shared" si="162"/>
        <v>0</v>
      </c>
      <c r="AI8145" s="21"/>
      <c r="AJ8145" s="21"/>
      <c r="AK8145" s="21"/>
      <c r="AL8145" s="21"/>
      <c r="AM8145" s="21" t="s">
        <v>4427</v>
      </c>
      <c r="AN8145" s="21">
        <v>-122.47789153333299</v>
      </c>
      <c r="AO8145" s="21">
        <v>37.791082166666598</v>
      </c>
      <c r="AP8145" s="21" t="s">
        <v>1915</v>
      </c>
    </row>
    <row r="8146" spans="1:42">
      <c r="A8146" s="20">
        <v>43878</v>
      </c>
      <c r="B8146" s="21">
        <v>1</v>
      </c>
      <c r="C8146" s="21">
        <v>574</v>
      </c>
      <c r="D8146" s="21">
        <v>11328</v>
      </c>
      <c r="E8146" t="s">
        <v>377</v>
      </c>
      <c r="F8146" s="21" t="s">
        <v>436</v>
      </c>
      <c r="G8146" s="21">
        <v>1</v>
      </c>
      <c r="H8146" s="21">
        <v>71</v>
      </c>
      <c r="I8146" s="23">
        <v>1523</v>
      </c>
      <c r="J8146" s="21"/>
      <c r="K8146" s="21" t="s">
        <v>3641</v>
      </c>
      <c r="L8146" s="21"/>
      <c r="M8146" s="21"/>
      <c r="N8146" s="21" t="s">
        <v>44</v>
      </c>
      <c r="O8146" s="21">
        <v>25</v>
      </c>
      <c r="P8146" s="21"/>
      <c r="Q8146" s="21">
        <f t="shared" si="161"/>
        <v>1</v>
      </c>
      <c r="R8146" s="21"/>
      <c r="S8146" s="21">
        <v>0</v>
      </c>
      <c r="T8146" s="21">
        <v>0</v>
      </c>
      <c r="U8146" s="21">
        <v>0</v>
      </c>
      <c r="V8146" s="21">
        <v>0</v>
      </c>
      <c r="W8146" s="21">
        <v>0</v>
      </c>
      <c r="X8146" s="21">
        <v>0</v>
      </c>
      <c r="Y8146" s="21">
        <v>0</v>
      </c>
      <c r="Z8146" s="21">
        <v>0</v>
      </c>
      <c r="AA8146" s="21">
        <v>0</v>
      </c>
      <c r="AB8146" s="21">
        <v>1</v>
      </c>
      <c r="AC8146" s="21">
        <v>0</v>
      </c>
      <c r="AD8146" s="21">
        <v>0</v>
      </c>
      <c r="AE8146" s="21">
        <v>0</v>
      </c>
      <c r="AF8146" s="21">
        <v>0</v>
      </c>
      <c r="AG8146" s="21">
        <v>0</v>
      </c>
      <c r="AH8146" s="21">
        <f t="shared" si="162"/>
        <v>0</v>
      </c>
      <c r="AI8146" s="21"/>
      <c r="AJ8146" s="21"/>
      <c r="AK8146" s="21"/>
      <c r="AL8146" s="21"/>
      <c r="AM8146" s="21" t="s">
        <v>4428</v>
      </c>
      <c r="AN8146" s="21">
        <v>-122.477816866667</v>
      </c>
      <c r="AO8146" s="21">
        <v>37.791909983333298</v>
      </c>
      <c r="AP8146" s="21" t="s">
        <v>1915</v>
      </c>
    </row>
    <row r="8147" spans="1:42">
      <c r="A8147" s="20">
        <v>43878</v>
      </c>
      <c r="B8147" s="21">
        <v>1</v>
      </c>
      <c r="C8147" s="21">
        <v>574</v>
      </c>
      <c r="D8147" s="21">
        <v>11328</v>
      </c>
      <c r="E8147" t="s">
        <v>377</v>
      </c>
      <c r="F8147" s="21" t="s">
        <v>436</v>
      </c>
      <c r="G8147" s="21">
        <v>1</v>
      </c>
      <c r="H8147" s="21">
        <v>72</v>
      </c>
      <c r="I8147" s="23">
        <v>1586</v>
      </c>
      <c r="J8147" s="21"/>
      <c r="K8147" s="21" t="s">
        <v>3626</v>
      </c>
      <c r="L8147" s="21"/>
      <c r="M8147" s="21"/>
      <c r="N8147" s="21"/>
      <c r="O8147" s="21">
        <v>41</v>
      </c>
      <c r="P8147" s="21"/>
      <c r="Q8147" s="21">
        <f t="shared" si="161"/>
        <v>1</v>
      </c>
      <c r="R8147" s="21"/>
      <c r="S8147" s="21">
        <v>0</v>
      </c>
      <c r="T8147" s="21">
        <v>0</v>
      </c>
      <c r="U8147" s="21">
        <v>0</v>
      </c>
      <c r="V8147" s="21">
        <v>0</v>
      </c>
      <c r="W8147" s="21">
        <v>0</v>
      </c>
      <c r="X8147" s="21">
        <v>0</v>
      </c>
      <c r="Y8147" s="21">
        <v>0</v>
      </c>
      <c r="Z8147" s="21">
        <v>0</v>
      </c>
      <c r="AA8147" s="21">
        <v>0</v>
      </c>
      <c r="AB8147" s="21">
        <v>1</v>
      </c>
      <c r="AC8147" s="21">
        <v>0</v>
      </c>
      <c r="AD8147" s="21">
        <v>0</v>
      </c>
      <c r="AE8147" s="21">
        <v>0</v>
      </c>
      <c r="AF8147" s="21">
        <v>0</v>
      </c>
      <c r="AG8147" s="21">
        <v>0</v>
      </c>
      <c r="AH8147" s="21">
        <f t="shared" si="162"/>
        <v>0</v>
      </c>
      <c r="AI8147" s="21"/>
      <c r="AJ8147" s="21"/>
      <c r="AK8147" s="21"/>
      <c r="AL8147" s="21"/>
      <c r="AM8147" s="21" t="s">
        <v>4429</v>
      </c>
      <c r="AN8147" s="21">
        <v>-122.47841226666699</v>
      </c>
      <c r="AO8147" s="21">
        <v>37.791187366666698</v>
      </c>
      <c r="AP8147" s="21" t="s">
        <v>1915</v>
      </c>
    </row>
    <row r="8148" spans="1:42">
      <c r="A8148" s="20">
        <v>43878</v>
      </c>
      <c r="B8148" s="21">
        <v>1</v>
      </c>
      <c r="C8148" s="21">
        <v>574</v>
      </c>
      <c r="D8148" s="21">
        <v>11328</v>
      </c>
      <c r="E8148" t="s">
        <v>377</v>
      </c>
      <c r="F8148" s="21" t="s">
        <v>436</v>
      </c>
      <c r="G8148" s="21">
        <v>1</v>
      </c>
      <c r="H8148" s="21">
        <v>73</v>
      </c>
      <c r="I8148" s="23">
        <v>1588</v>
      </c>
      <c r="J8148" s="21"/>
      <c r="K8148" s="21" t="s">
        <v>3626</v>
      </c>
      <c r="L8148" s="21"/>
      <c r="M8148" s="21"/>
      <c r="N8148" s="21" t="s">
        <v>44</v>
      </c>
      <c r="O8148" s="21">
        <v>33</v>
      </c>
      <c r="P8148" s="21"/>
      <c r="Q8148" s="21">
        <f t="shared" si="161"/>
        <v>1</v>
      </c>
      <c r="R8148" s="21"/>
      <c r="S8148" s="21">
        <v>0</v>
      </c>
      <c r="T8148" s="21">
        <v>0</v>
      </c>
      <c r="U8148" s="21">
        <v>0</v>
      </c>
      <c r="V8148" s="21">
        <v>0</v>
      </c>
      <c r="W8148" s="21">
        <v>0</v>
      </c>
      <c r="X8148" s="21">
        <v>0</v>
      </c>
      <c r="Y8148" s="21">
        <v>0</v>
      </c>
      <c r="Z8148" s="21">
        <v>0</v>
      </c>
      <c r="AA8148" s="21">
        <v>0</v>
      </c>
      <c r="AB8148" s="21">
        <v>0</v>
      </c>
      <c r="AC8148" s="21">
        <v>1</v>
      </c>
      <c r="AD8148" s="21">
        <v>0</v>
      </c>
      <c r="AE8148" s="21">
        <v>0</v>
      </c>
      <c r="AF8148" s="21">
        <v>0</v>
      </c>
      <c r="AG8148" s="21">
        <v>0</v>
      </c>
      <c r="AH8148" s="21">
        <f t="shared" si="162"/>
        <v>0</v>
      </c>
      <c r="AI8148" s="21"/>
      <c r="AJ8148" s="21"/>
      <c r="AK8148" s="21"/>
      <c r="AL8148" s="21"/>
      <c r="AM8148" s="21" t="s">
        <v>4430</v>
      </c>
      <c r="AN8148" s="21">
        <v>-122.479027983333</v>
      </c>
      <c r="AO8148" s="21">
        <v>37.792929100000002</v>
      </c>
      <c r="AP8148" s="21" t="s">
        <v>1915</v>
      </c>
    </row>
    <row r="8149" spans="1:42">
      <c r="A8149" s="20">
        <v>43878</v>
      </c>
      <c r="B8149" s="21">
        <v>1</v>
      </c>
      <c r="C8149" s="21">
        <v>574</v>
      </c>
      <c r="D8149" s="21">
        <v>11328</v>
      </c>
      <c r="E8149" t="s">
        <v>377</v>
      </c>
      <c r="F8149" s="21" t="s">
        <v>436</v>
      </c>
      <c r="G8149" s="21">
        <v>1</v>
      </c>
      <c r="H8149" s="21">
        <v>74</v>
      </c>
      <c r="I8149" s="23">
        <v>1592</v>
      </c>
      <c r="J8149" s="21"/>
      <c r="K8149" s="21" t="s">
        <v>3626</v>
      </c>
      <c r="L8149" s="21"/>
      <c r="M8149" s="21"/>
      <c r="N8149" s="21" t="s">
        <v>44</v>
      </c>
      <c r="O8149" s="21">
        <f>60+55</f>
        <v>115</v>
      </c>
      <c r="P8149" s="21"/>
      <c r="Q8149" s="21">
        <f t="shared" si="161"/>
        <v>1</v>
      </c>
      <c r="R8149" s="21"/>
      <c r="S8149" s="21">
        <v>0</v>
      </c>
      <c r="T8149" s="21">
        <v>0</v>
      </c>
      <c r="U8149" s="21">
        <v>0</v>
      </c>
      <c r="V8149" s="21">
        <v>0</v>
      </c>
      <c r="W8149" s="21">
        <v>0</v>
      </c>
      <c r="X8149" s="21">
        <v>0</v>
      </c>
      <c r="Y8149" s="21">
        <v>0</v>
      </c>
      <c r="Z8149" s="21">
        <v>0</v>
      </c>
      <c r="AA8149" s="21">
        <v>0</v>
      </c>
      <c r="AB8149" s="21">
        <v>1</v>
      </c>
      <c r="AC8149" s="21">
        <v>0</v>
      </c>
      <c r="AD8149" s="21">
        <v>0</v>
      </c>
      <c r="AE8149" s="21">
        <v>0</v>
      </c>
      <c r="AF8149" s="21">
        <v>0</v>
      </c>
      <c r="AG8149" s="21">
        <v>0</v>
      </c>
      <c r="AH8149" s="21">
        <f t="shared" si="162"/>
        <v>0</v>
      </c>
      <c r="AI8149" s="21"/>
      <c r="AJ8149" s="21"/>
      <c r="AK8149" s="21"/>
      <c r="AL8149" s="21"/>
      <c r="AM8149" s="21" t="s">
        <v>4431</v>
      </c>
      <c r="AN8149" s="21">
        <v>-122.47892563333301</v>
      </c>
      <c r="AO8149" s="21">
        <v>37.793336400000001</v>
      </c>
      <c r="AP8149" s="21" t="s">
        <v>1915</v>
      </c>
    </row>
    <row r="8150" spans="1:42">
      <c r="A8150" s="20">
        <v>43878</v>
      </c>
      <c r="B8150" s="21">
        <v>1</v>
      </c>
      <c r="C8150" s="21">
        <v>574</v>
      </c>
      <c r="D8150" s="21">
        <v>11328</v>
      </c>
      <c r="E8150" t="s">
        <v>377</v>
      </c>
      <c r="F8150" s="21" t="s">
        <v>436</v>
      </c>
      <c r="G8150" s="21">
        <v>1</v>
      </c>
      <c r="H8150" s="21">
        <v>75</v>
      </c>
      <c r="I8150" s="23">
        <v>1591</v>
      </c>
      <c r="J8150" s="21"/>
      <c r="K8150" s="21" t="s">
        <v>3626</v>
      </c>
      <c r="L8150" s="21"/>
      <c r="M8150" s="21"/>
      <c r="N8150" s="21" t="s">
        <v>44</v>
      </c>
      <c r="O8150" s="21">
        <v>39</v>
      </c>
      <c r="P8150" s="21"/>
      <c r="Q8150" s="21">
        <f t="shared" si="161"/>
        <v>1</v>
      </c>
      <c r="R8150" s="21"/>
      <c r="S8150" s="21">
        <v>0</v>
      </c>
      <c r="T8150" s="21">
        <v>0</v>
      </c>
      <c r="U8150" s="21">
        <v>0</v>
      </c>
      <c r="V8150" s="21">
        <v>0</v>
      </c>
      <c r="W8150" s="21">
        <v>0</v>
      </c>
      <c r="X8150" s="21">
        <v>0</v>
      </c>
      <c r="Y8150" s="21">
        <v>0</v>
      </c>
      <c r="Z8150" s="21">
        <v>0</v>
      </c>
      <c r="AA8150" s="21">
        <v>0</v>
      </c>
      <c r="AB8150" s="21">
        <v>0</v>
      </c>
      <c r="AC8150" s="21">
        <v>1</v>
      </c>
      <c r="AD8150" s="21">
        <v>0</v>
      </c>
      <c r="AE8150" s="21">
        <v>0</v>
      </c>
      <c r="AF8150" s="21">
        <v>0</v>
      </c>
      <c r="AG8150" s="21">
        <v>0</v>
      </c>
      <c r="AH8150" s="21">
        <f t="shared" si="162"/>
        <v>0</v>
      </c>
      <c r="AI8150" s="21"/>
      <c r="AJ8150" s="21"/>
      <c r="AK8150" s="21"/>
      <c r="AL8150" s="21"/>
      <c r="AM8150" s="21" t="s">
        <v>4432</v>
      </c>
      <c r="AN8150" s="21">
        <v>-122.4798004</v>
      </c>
      <c r="AO8150" s="21">
        <v>37.793380516666701</v>
      </c>
      <c r="AP8150" s="21" t="s">
        <v>1915</v>
      </c>
    </row>
    <row r="8151" spans="1:42">
      <c r="A8151" s="20">
        <v>43878</v>
      </c>
      <c r="B8151" s="21">
        <v>1</v>
      </c>
      <c r="C8151" s="21">
        <v>574</v>
      </c>
      <c r="D8151" s="21">
        <v>11328</v>
      </c>
      <c r="E8151" t="s">
        <v>377</v>
      </c>
      <c r="F8151" s="21" t="s">
        <v>436</v>
      </c>
      <c r="G8151" s="21">
        <v>1</v>
      </c>
      <c r="H8151" s="21">
        <v>76</v>
      </c>
      <c r="I8151" s="23">
        <v>1587</v>
      </c>
      <c r="J8151" s="21"/>
      <c r="K8151" s="21" t="s">
        <v>3626</v>
      </c>
      <c r="L8151" s="21"/>
      <c r="M8151" s="21"/>
      <c r="N8151" s="21" t="s">
        <v>44</v>
      </c>
      <c r="O8151" s="21">
        <v>51</v>
      </c>
      <c r="P8151" s="21"/>
      <c r="Q8151" s="21">
        <f t="shared" si="161"/>
        <v>1</v>
      </c>
      <c r="R8151" s="21"/>
      <c r="S8151" s="21">
        <v>0</v>
      </c>
      <c r="T8151" s="21">
        <v>0</v>
      </c>
      <c r="U8151" s="21">
        <v>0</v>
      </c>
      <c r="V8151" s="21">
        <v>0</v>
      </c>
      <c r="W8151" s="21">
        <v>0</v>
      </c>
      <c r="X8151" s="21">
        <v>0</v>
      </c>
      <c r="Y8151" s="21">
        <v>0</v>
      </c>
      <c r="Z8151" s="21">
        <v>0</v>
      </c>
      <c r="AA8151" s="21">
        <v>0</v>
      </c>
      <c r="AB8151" s="21">
        <v>0</v>
      </c>
      <c r="AC8151" s="21">
        <v>1</v>
      </c>
      <c r="AD8151" s="21">
        <v>0</v>
      </c>
      <c r="AE8151" s="21">
        <v>0</v>
      </c>
      <c r="AF8151" s="21">
        <v>0</v>
      </c>
      <c r="AG8151" s="21">
        <v>0</v>
      </c>
      <c r="AH8151" s="21">
        <f t="shared" si="162"/>
        <v>0</v>
      </c>
      <c r="AI8151" s="21"/>
      <c r="AJ8151" s="21"/>
      <c r="AK8151" s="21"/>
      <c r="AL8151" s="21"/>
      <c r="AM8151" s="21" t="s">
        <v>4433</v>
      </c>
      <c r="AN8151" s="21">
        <v>-122.488024469582</v>
      </c>
      <c r="AO8151" s="21">
        <v>37.799421910229398</v>
      </c>
      <c r="AP8151" s="21" t="s">
        <v>1915</v>
      </c>
    </row>
    <row r="8152" spans="1:42">
      <c r="A8152" s="20">
        <v>43878</v>
      </c>
      <c r="B8152" s="21">
        <v>1</v>
      </c>
      <c r="C8152" s="21">
        <v>574</v>
      </c>
      <c r="D8152" s="21">
        <v>11328</v>
      </c>
      <c r="E8152" t="s">
        <v>377</v>
      </c>
      <c r="F8152" s="21" t="s">
        <v>436</v>
      </c>
      <c r="G8152" s="21">
        <v>1</v>
      </c>
      <c r="H8152" s="21">
        <v>77</v>
      </c>
      <c r="I8152" s="23">
        <v>1583</v>
      </c>
      <c r="J8152" s="21"/>
      <c r="K8152" s="21" t="s">
        <v>3626</v>
      </c>
      <c r="L8152" s="21"/>
      <c r="M8152" s="21"/>
      <c r="N8152" s="21" t="s">
        <v>44</v>
      </c>
      <c r="O8152" s="21">
        <v>45</v>
      </c>
      <c r="P8152" s="21"/>
      <c r="Q8152" s="21">
        <f t="shared" si="161"/>
        <v>1</v>
      </c>
      <c r="R8152" s="21"/>
      <c r="S8152" s="21">
        <v>0</v>
      </c>
      <c r="T8152" s="21">
        <v>0</v>
      </c>
      <c r="U8152" s="21">
        <v>0</v>
      </c>
      <c r="V8152" s="21">
        <v>0</v>
      </c>
      <c r="W8152" s="21">
        <v>0</v>
      </c>
      <c r="X8152" s="21">
        <v>0</v>
      </c>
      <c r="Y8152" s="21">
        <v>0</v>
      </c>
      <c r="Z8152" s="21">
        <v>0</v>
      </c>
      <c r="AA8152" s="21">
        <v>0</v>
      </c>
      <c r="AB8152" s="21">
        <v>0</v>
      </c>
      <c r="AC8152" s="21">
        <v>1</v>
      </c>
      <c r="AD8152" s="21">
        <v>0</v>
      </c>
      <c r="AE8152" s="21">
        <v>0</v>
      </c>
      <c r="AF8152" s="21">
        <v>0</v>
      </c>
      <c r="AG8152" s="21">
        <v>0</v>
      </c>
      <c r="AH8152" s="21">
        <f t="shared" si="162"/>
        <v>0</v>
      </c>
      <c r="AI8152" s="21"/>
      <c r="AJ8152" s="21"/>
      <c r="AK8152" s="21"/>
      <c r="AL8152" s="21"/>
      <c r="AM8152" s="21" t="s">
        <v>4434</v>
      </c>
      <c r="AN8152" s="21">
        <v>-122.48002656666699</v>
      </c>
      <c r="AO8152" s="21">
        <v>37.792629233333301</v>
      </c>
      <c r="AP8152" s="21" t="s">
        <v>1915</v>
      </c>
    </row>
    <row r="8153" spans="1:42">
      <c r="A8153" s="20">
        <v>43878</v>
      </c>
      <c r="B8153" s="21">
        <v>1</v>
      </c>
      <c r="C8153" s="21">
        <v>574</v>
      </c>
      <c r="D8153" s="21">
        <v>11328</v>
      </c>
      <c r="E8153" t="s">
        <v>377</v>
      </c>
      <c r="F8153" s="21" t="s">
        <v>436</v>
      </c>
      <c r="G8153" s="21">
        <v>1</v>
      </c>
      <c r="H8153" s="21">
        <v>78</v>
      </c>
      <c r="I8153" s="23">
        <v>1516</v>
      </c>
      <c r="J8153" s="21"/>
      <c r="K8153" s="21" t="s">
        <v>3626</v>
      </c>
      <c r="L8153" s="21"/>
      <c r="M8153" s="21"/>
      <c r="N8153" s="21" t="s">
        <v>44</v>
      </c>
      <c r="O8153" s="21">
        <v>33</v>
      </c>
      <c r="P8153" s="21"/>
      <c r="Q8153" s="21">
        <f t="shared" si="161"/>
        <v>1</v>
      </c>
      <c r="R8153" s="21"/>
      <c r="S8153" s="21">
        <v>0</v>
      </c>
      <c r="T8153" s="21">
        <v>0</v>
      </c>
      <c r="U8153" s="21">
        <v>0</v>
      </c>
      <c r="V8153" s="21">
        <v>0</v>
      </c>
      <c r="W8153" s="21">
        <v>0</v>
      </c>
      <c r="X8153" s="21">
        <v>0</v>
      </c>
      <c r="Y8153" s="21">
        <v>0</v>
      </c>
      <c r="Z8153" s="21">
        <v>0</v>
      </c>
      <c r="AA8153" s="21">
        <v>0</v>
      </c>
      <c r="AB8153" s="21">
        <v>1</v>
      </c>
      <c r="AC8153" s="21">
        <v>0</v>
      </c>
      <c r="AD8153" s="21">
        <v>0</v>
      </c>
      <c r="AE8153" s="21">
        <v>0</v>
      </c>
      <c r="AF8153" s="21">
        <v>0</v>
      </c>
      <c r="AG8153" s="21">
        <v>0</v>
      </c>
      <c r="AH8153" s="21">
        <f t="shared" si="162"/>
        <v>0</v>
      </c>
      <c r="AI8153" s="21"/>
      <c r="AJ8153" s="21"/>
      <c r="AK8153" s="21"/>
      <c r="AL8153" s="21"/>
      <c r="AM8153" s="21" t="s">
        <v>4435</v>
      </c>
      <c r="AN8153" s="21">
        <v>-122.479374533333</v>
      </c>
      <c r="AO8153" s="21">
        <v>37.792438166666699</v>
      </c>
      <c r="AP8153" s="21" t="s">
        <v>1915</v>
      </c>
    </row>
    <row r="8154" spans="1:42">
      <c r="A8154" s="20">
        <v>43878</v>
      </c>
      <c r="B8154" s="21">
        <v>1</v>
      </c>
      <c r="C8154" s="21">
        <v>574</v>
      </c>
      <c r="D8154" s="21">
        <v>11328</v>
      </c>
      <c r="E8154" t="s">
        <v>377</v>
      </c>
      <c r="F8154" s="21" t="s">
        <v>436</v>
      </c>
      <c r="G8154" s="21">
        <v>1</v>
      </c>
      <c r="H8154" s="21">
        <v>79</v>
      </c>
      <c r="I8154" s="23">
        <v>1517</v>
      </c>
      <c r="J8154" s="21"/>
      <c r="K8154" s="21" t="s">
        <v>2099</v>
      </c>
      <c r="L8154" s="21"/>
      <c r="M8154" s="21"/>
      <c r="N8154" s="21" t="s">
        <v>44</v>
      </c>
      <c r="O8154" s="21">
        <v>28</v>
      </c>
      <c r="P8154" s="21"/>
      <c r="Q8154" s="21">
        <f t="shared" si="161"/>
        <v>1</v>
      </c>
      <c r="R8154" s="21"/>
      <c r="S8154" s="21">
        <v>0</v>
      </c>
      <c r="T8154" s="21">
        <v>0</v>
      </c>
      <c r="U8154" s="21">
        <v>0</v>
      </c>
      <c r="V8154" s="21">
        <v>0</v>
      </c>
      <c r="W8154" s="21">
        <v>0</v>
      </c>
      <c r="X8154" s="21">
        <v>0</v>
      </c>
      <c r="Y8154" s="21">
        <v>0</v>
      </c>
      <c r="Z8154" s="21">
        <v>0</v>
      </c>
      <c r="AA8154" s="21">
        <v>0</v>
      </c>
      <c r="AB8154" s="21">
        <v>1</v>
      </c>
      <c r="AC8154" s="21">
        <v>0</v>
      </c>
      <c r="AD8154" s="21">
        <v>0</v>
      </c>
      <c r="AE8154" s="21">
        <v>0</v>
      </c>
      <c r="AF8154" s="21">
        <v>0</v>
      </c>
      <c r="AG8154" s="21">
        <v>0</v>
      </c>
      <c r="AH8154" s="21">
        <f t="shared" si="162"/>
        <v>0</v>
      </c>
      <c r="AI8154" s="21"/>
      <c r="AJ8154" s="21"/>
      <c r="AK8154" s="21"/>
      <c r="AL8154" s="21"/>
      <c r="AM8154" s="21" t="s">
        <v>4436</v>
      </c>
      <c r="AN8154" s="21">
        <v>-122.47900370000001</v>
      </c>
      <c r="AO8154" s="21">
        <v>37.791009483333298</v>
      </c>
      <c r="AP8154" s="21" t="s">
        <v>1915</v>
      </c>
    </row>
    <row r="8155" spans="1:42">
      <c r="A8155" s="20">
        <v>43878</v>
      </c>
      <c r="B8155" s="21">
        <v>1</v>
      </c>
      <c r="C8155" s="21">
        <v>574</v>
      </c>
      <c r="D8155" s="21">
        <v>11328</v>
      </c>
      <c r="E8155" t="s">
        <v>377</v>
      </c>
      <c r="F8155" s="21" t="s">
        <v>436</v>
      </c>
      <c r="G8155" s="21">
        <v>1</v>
      </c>
      <c r="H8155" s="21">
        <v>80</v>
      </c>
      <c r="I8155" s="23" t="s">
        <v>3643</v>
      </c>
      <c r="J8155" s="21"/>
      <c r="K8155" s="21" t="s">
        <v>2099</v>
      </c>
      <c r="L8155" s="21"/>
      <c r="M8155" s="21"/>
      <c r="N8155" s="21" t="s">
        <v>44</v>
      </c>
      <c r="O8155" s="21">
        <v>22</v>
      </c>
      <c r="P8155" s="21"/>
      <c r="Q8155" s="21">
        <f t="shared" si="161"/>
        <v>1</v>
      </c>
      <c r="R8155" s="21"/>
      <c r="S8155" s="21">
        <v>0</v>
      </c>
      <c r="T8155" s="21">
        <v>0</v>
      </c>
      <c r="U8155" s="21">
        <v>0</v>
      </c>
      <c r="V8155" s="21">
        <v>0</v>
      </c>
      <c r="W8155" s="21">
        <v>0</v>
      </c>
      <c r="X8155" s="21">
        <v>0</v>
      </c>
      <c r="Y8155" s="21">
        <v>0</v>
      </c>
      <c r="Z8155" s="21">
        <v>0</v>
      </c>
      <c r="AA8155" s="21">
        <v>0</v>
      </c>
      <c r="AB8155" s="21">
        <v>0</v>
      </c>
      <c r="AC8155" s="21">
        <v>1</v>
      </c>
      <c r="AD8155" s="21">
        <v>0</v>
      </c>
      <c r="AE8155" s="21">
        <v>0</v>
      </c>
      <c r="AF8155" s="21">
        <v>0</v>
      </c>
      <c r="AG8155" s="21">
        <v>0</v>
      </c>
      <c r="AH8155" s="21">
        <f t="shared" si="162"/>
        <v>0</v>
      </c>
      <c r="AI8155" s="21"/>
      <c r="AJ8155" s="21"/>
      <c r="AK8155" s="21"/>
      <c r="AL8155" s="21"/>
      <c r="AM8155" s="21" t="s">
        <v>4437</v>
      </c>
      <c r="AN8155" s="21">
        <v>-122.47953168333299</v>
      </c>
      <c r="AO8155" s="21">
        <v>37.792200483333303</v>
      </c>
      <c r="AP8155" s="21" t="s">
        <v>1915</v>
      </c>
    </row>
    <row r="8156" spans="1:42">
      <c r="A8156" s="20">
        <v>43878</v>
      </c>
      <c r="B8156" s="21">
        <v>1</v>
      </c>
      <c r="C8156" s="21">
        <v>574</v>
      </c>
      <c r="D8156" s="21">
        <v>11328</v>
      </c>
      <c r="E8156" t="s">
        <v>377</v>
      </c>
      <c r="F8156" s="21" t="s">
        <v>436</v>
      </c>
      <c r="G8156" s="21">
        <v>1</v>
      </c>
      <c r="H8156" s="21">
        <v>81</v>
      </c>
      <c r="I8156" s="23" t="s">
        <v>3645</v>
      </c>
      <c r="J8156" s="21"/>
      <c r="K8156" s="21" t="s">
        <v>2099</v>
      </c>
      <c r="L8156" s="21"/>
      <c r="M8156" s="21"/>
      <c r="N8156" s="21" t="s">
        <v>44</v>
      </c>
      <c r="O8156" s="21">
        <v>25</v>
      </c>
      <c r="P8156" s="21"/>
      <c r="Q8156" s="21">
        <f t="shared" si="161"/>
        <v>1</v>
      </c>
      <c r="R8156" s="21"/>
      <c r="S8156" s="21">
        <v>0</v>
      </c>
      <c r="T8156" s="21">
        <v>0</v>
      </c>
      <c r="U8156" s="21">
        <v>0</v>
      </c>
      <c r="V8156" s="21">
        <v>0</v>
      </c>
      <c r="W8156" s="21">
        <v>0</v>
      </c>
      <c r="X8156" s="21">
        <v>0</v>
      </c>
      <c r="Y8156" s="21">
        <v>0</v>
      </c>
      <c r="Z8156" s="21">
        <v>0</v>
      </c>
      <c r="AA8156" s="21">
        <v>0</v>
      </c>
      <c r="AB8156" s="21">
        <v>0</v>
      </c>
      <c r="AC8156" s="21">
        <v>1</v>
      </c>
      <c r="AD8156" s="21">
        <v>0</v>
      </c>
      <c r="AE8156" s="21">
        <v>0</v>
      </c>
      <c r="AF8156" s="21">
        <v>0</v>
      </c>
      <c r="AG8156" s="21">
        <v>0</v>
      </c>
      <c r="AH8156" s="21">
        <f t="shared" si="162"/>
        <v>0</v>
      </c>
      <c r="AI8156" s="21"/>
      <c r="AJ8156" s="21"/>
      <c r="AK8156" s="21"/>
      <c r="AL8156" s="21"/>
      <c r="AM8156" s="21" t="s">
        <v>4438</v>
      </c>
      <c r="AN8156" s="21">
        <v>-122.479616133333</v>
      </c>
      <c r="AO8156" s="21">
        <v>37.791281550000001</v>
      </c>
      <c r="AP8156" s="21" t="s">
        <v>1915</v>
      </c>
    </row>
    <row r="8157" spans="1:42">
      <c r="A8157" s="20">
        <v>43878</v>
      </c>
      <c r="B8157" s="21">
        <v>1</v>
      </c>
      <c r="C8157" s="21">
        <v>574</v>
      </c>
      <c r="D8157" s="21">
        <v>11328</v>
      </c>
      <c r="E8157" t="s">
        <v>377</v>
      </c>
      <c r="F8157" s="21" t="s">
        <v>436</v>
      </c>
      <c r="G8157" s="21">
        <v>1</v>
      </c>
      <c r="H8157" s="21">
        <v>82</v>
      </c>
      <c r="I8157" s="23" t="s">
        <v>3649</v>
      </c>
      <c r="J8157" s="21"/>
      <c r="K8157" s="21" t="s">
        <v>2099</v>
      </c>
      <c r="L8157" s="21"/>
      <c r="M8157" s="21"/>
      <c r="N8157" s="21" t="s">
        <v>44</v>
      </c>
      <c r="O8157" s="21">
        <v>32</v>
      </c>
      <c r="P8157" s="21"/>
      <c r="Q8157" s="21">
        <f t="shared" si="161"/>
        <v>1</v>
      </c>
      <c r="R8157" s="21"/>
      <c r="S8157" s="21">
        <v>0</v>
      </c>
      <c r="T8157" s="21">
        <v>0</v>
      </c>
      <c r="U8157" s="21">
        <v>0</v>
      </c>
      <c r="V8157" s="21">
        <v>0</v>
      </c>
      <c r="W8157" s="21">
        <v>0</v>
      </c>
      <c r="X8157" s="21">
        <v>0</v>
      </c>
      <c r="Y8157" s="21">
        <v>0</v>
      </c>
      <c r="Z8157" s="21">
        <v>0</v>
      </c>
      <c r="AA8157" s="21">
        <v>1</v>
      </c>
      <c r="AB8157" s="21">
        <v>0</v>
      </c>
      <c r="AC8157" s="21">
        <v>0</v>
      </c>
      <c r="AD8157" s="21">
        <v>0</v>
      </c>
      <c r="AE8157" s="21">
        <v>0</v>
      </c>
      <c r="AF8157" s="21">
        <v>0</v>
      </c>
      <c r="AG8157" s="21">
        <v>0</v>
      </c>
      <c r="AH8157" s="21">
        <f t="shared" si="162"/>
        <v>0</v>
      </c>
      <c r="AI8157" s="21"/>
      <c r="AJ8157" s="21"/>
      <c r="AK8157" s="21"/>
      <c r="AL8157" s="21"/>
      <c r="AM8157" s="21" t="s">
        <v>4439</v>
      </c>
      <c r="AN8157" s="21">
        <v>-122.480204216667</v>
      </c>
      <c r="AO8157" s="21">
        <v>37.7917068</v>
      </c>
      <c r="AP8157" s="21" t="s">
        <v>1915</v>
      </c>
    </row>
    <row r="8158" spans="1:42">
      <c r="A8158" s="20">
        <v>43878</v>
      </c>
      <c r="B8158" s="21">
        <v>1</v>
      </c>
      <c r="C8158" s="21">
        <v>574</v>
      </c>
      <c r="D8158" s="21">
        <v>11328</v>
      </c>
      <c r="E8158" t="s">
        <v>377</v>
      </c>
      <c r="F8158" s="21" t="s">
        <v>436</v>
      </c>
      <c r="G8158" s="21">
        <v>1</v>
      </c>
      <c r="H8158" s="21">
        <v>83</v>
      </c>
      <c r="I8158" s="23" t="s">
        <v>3915</v>
      </c>
      <c r="J8158" s="21"/>
      <c r="K8158" s="21" t="s">
        <v>2099</v>
      </c>
      <c r="L8158" s="21"/>
      <c r="M8158" s="21"/>
      <c r="N8158" s="21" t="s">
        <v>44</v>
      </c>
      <c r="O8158" s="21">
        <v>21</v>
      </c>
      <c r="P8158" s="21"/>
      <c r="Q8158" s="21">
        <f t="shared" si="161"/>
        <v>1</v>
      </c>
      <c r="R8158" s="21"/>
      <c r="S8158" s="21">
        <v>0</v>
      </c>
      <c r="T8158" s="21">
        <v>0</v>
      </c>
      <c r="U8158" s="21">
        <v>0</v>
      </c>
      <c r="V8158" s="21">
        <v>0</v>
      </c>
      <c r="W8158" s="21">
        <v>0</v>
      </c>
      <c r="X8158" s="21">
        <v>0</v>
      </c>
      <c r="Y8158" s="21">
        <v>0</v>
      </c>
      <c r="Z8158" s="21">
        <v>0</v>
      </c>
      <c r="AA8158" s="21">
        <v>0</v>
      </c>
      <c r="AB8158" s="21">
        <v>0</v>
      </c>
      <c r="AC8158" s="21">
        <v>1</v>
      </c>
      <c r="AD8158" s="21">
        <v>0</v>
      </c>
      <c r="AE8158" s="21">
        <v>0</v>
      </c>
      <c r="AF8158" s="21">
        <v>0</v>
      </c>
      <c r="AG8158" s="21">
        <v>0</v>
      </c>
      <c r="AH8158" s="21">
        <f t="shared" si="162"/>
        <v>0</v>
      </c>
      <c r="AI8158" s="21"/>
      <c r="AJ8158" s="21"/>
      <c r="AK8158" s="21"/>
      <c r="AL8158" s="21"/>
      <c r="AM8158" s="21" t="s">
        <v>4440</v>
      </c>
      <c r="AN8158" s="21">
        <v>-122.480055416667</v>
      </c>
      <c r="AO8158" s="21">
        <v>37.791589583333298</v>
      </c>
      <c r="AP8158" s="21" t="s">
        <v>1915</v>
      </c>
    </row>
    <row r="8159" spans="1:42">
      <c r="A8159" s="20">
        <v>43878</v>
      </c>
      <c r="B8159" s="21">
        <v>1</v>
      </c>
      <c r="C8159" s="21">
        <v>574</v>
      </c>
      <c r="D8159" s="21">
        <v>11328</v>
      </c>
      <c r="E8159" t="s">
        <v>377</v>
      </c>
      <c r="F8159" s="21" t="s">
        <v>436</v>
      </c>
      <c r="G8159" s="21">
        <v>1</v>
      </c>
      <c r="H8159" s="21">
        <v>84</v>
      </c>
      <c r="I8159" s="23" t="s">
        <v>3647</v>
      </c>
      <c r="J8159" s="21"/>
      <c r="K8159" s="21" t="s">
        <v>2099</v>
      </c>
      <c r="L8159" s="21"/>
      <c r="M8159" s="21"/>
      <c r="N8159" s="21" t="s">
        <v>44</v>
      </c>
      <c r="O8159" s="21">
        <v>33</v>
      </c>
      <c r="P8159" s="21"/>
      <c r="Q8159" s="21">
        <f t="shared" si="161"/>
        <v>1</v>
      </c>
      <c r="R8159" s="21"/>
      <c r="S8159" s="21">
        <v>0</v>
      </c>
      <c r="T8159" s="21">
        <v>0</v>
      </c>
      <c r="U8159" s="21">
        <v>0</v>
      </c>
      <c r="V8159" s="21">
        <v>0</v>
      </c>
      <c r="W8159" s="21">
        <v>0</v>
      </c>
      <c r="X8159" s="21">
        <v>0</v>
      </c>
      <c r="Y8159" s="21">
        <v>0</v>
      </c>
      <c r="Z8159" s="21">
        <v>0</v>
      </c>
      <c r="AA8159" s="21">
        <v>0</v>
      </c>
      <c r="AB8159" s="21">
        <v>0</v>
      </c>
      <c r="AC8159" s="21">
        <v>1</v>
      </c>
      <c r="AD8159" s="21">
        <v>0</v>
      </c>
      <c r="AE8159" s="21">
        <v>0</v>
      </c>
      <c r="AF8159" s="21">
        <v>0</v>
      </c>
      <c r="AG8159" s="21">
        <v>0</v>
      </c>
      <c r="AH8159" s="21">
        <f t="shared" si="162"/>
        <v>0</v>
      </c>
      <c r="AI8159" s="21"/>
      <c r="AJ8159" s="21"/>
      <c r="AK8159" s="21"/>
      <c r="AL8159" s="21"/>
      <c r="AM8159" s="21" t="s">
        <v>4441</v>
      </c>
      <c r="AN8159" s="21">
        <v>-122.48066820172799</v>
      </c>
      <c r="AO8159" s="21">
        <v>37.792945412652301</v>
      </c>
      <c r="AP8159" s="21" t="s">
        <v>1915</v>
      </c>
    </row>
    <row r="8160" spans="1:42">
      <c r="A8160" s="20">
        <v>43878</v>
      </c>
      <c r="B8160" s="21">
        <v>1</v>
      </c>
      <c r="C8160" s="21">
        <v>574</v>
      </c>
      <c r="D8160" s="21">
        <v>11328</v>
      </c>
      <c r="E8160" t="s">
        <v>377</v>
      </c>
      <c r="F8160" s="21" t="s">
        <v>436</v>
      </c>
      <c r="G8160" s="21">
        <v>1</v>
      </c>
      <c r="H8160" s="21">
        <v>85</v>
      </c>
      <c r="I8160" s="23" t="s">
        <v>3651</v>
      </c>
      <c r="J8160" s="21"/>
      <c r="K8160" s="21" t="s">
        <v>2099</v>
      </c>
      <c r="L8160" s="21"/>
      <c r="M8160" s="21"/>
      <c r="N8160" s="21" t="s">
        <v>44</v>
      </c>
      <c r="O8160" s="21">
        <v>33</v>
      </c>
      <c r="P8160" s="21"/>
      <c r="Q8160" s="21">
        <f t="shared" si="161"/>
        <v>1</v>
      </c>
      <c r="R8160" s="21"/>
      <c r="S8160" s="21">
        <v>0</v>
      </c>
      <c r="T8160" s="21">
        <v>0</v>
      </c>
      <c r="U8160" s="21">
        <v>0</v>
      </c>
      <c r="V8160" s="21">
        <v>0</v>
      </c>
      <c r="W8160" s="21">
        <v>0</v>
      </c>
      <c r="X8160" s="21">
        <v>0</v>
      </c>
      <c r="Y8160" s="21">
        <v>0</v>
      </c>
      <c r="Z8160" s="21">
        <v>0</v>
      </c>
      <c r="AA8160" s="21">
        <v>0</v>
      </c>
      <c r="AB8160" s="21">
        <v>0</v>
      </c>
      <c r="AC8160" s="21">
        <v>1</v>
      </c>
      <c r="AD8160" s="21">
        <v>0</v>
      </c>
      <c r="AE8160" s="21">
        <v>0</v>
      </c>
      <c r="AF8160" s="21">
        <v>0</v>
      </c>
      <c r="AG8160" s="21">
        <v>0</v>
      </c>
      <c r="AH8160" s="21">
        <f t="shared" si="162"/>
        <v>0</v>
      </c>
      <c r="AI8160" s="21"/>
      <c r="AJ8160" s="21"/>
      <c r="AK8160" s="21"/>
      <c r="AL8160" s="21"/>
      <c r="AM8160" s="21" t="s">
        <v>4442</v>
      </c>
      <c r="AN8160" s="21">
        <v>-122.480847716667</v>
      </c>
      <c r="AO8160" s="21">
        <v>37.792109083333301</v>
      </c>
      <c r="AP8160" s="21" t="s">
        <v>1915</v>
      </c>
    </row>
    <row r="8161" spans="1:42">
      <c r="A8161" s="20">
        <v>43878</v>
      </c>
      <c r="B8161" s="21">
        <v>1</v>
      </c>
      <c r="C8161" s="21">
        <v>574</v>
      </c>
      <c r="D8161" s="21">
        <v>11328</v>
      </c>
      <c r="E8161" t="s">
        <v>377</v>
      </c>
      <c r="F8161" s="21" t="s">
        <v>436</v>
      </c>
      <c r="G8161" s="21">
        <v>1</v>
      </c>
      <c r="H8161" s="21">
        <v>86</v>
      </c>
      <c r="I8161" s="23" t="s">
        <v>3653</v>
      </c>
      <c r="J8161" s="21"/>
      <c r="K8161" s="21" t="s">
        <v>329</v>
      </c>
      <c r="L8161" s="21"/>
      <c r="M8161" s="21"/>
      <c r="N8161" s="21" t="s">
        <v>44</v>
      </c>
      <c r="O8161" s="21">
        <v>31</v>
      </c>
      <c r="P8161" s="21"/>
      <c r="Q8161" s="21">
        <f t="shared" si="161"/>
        <v>2</v>
      </c>
      <c r="R8161" s="21"/>
      <c r="S8161" s="21">
        <v>0</v>
      </c>
      <c r="T8161" s="21">
        <v>0</v>
      </c>
      <c r="U8161" s="21">
        <v>0</v>
      </c>
      <c r="V8161" s="21">
        <v>0</v>
      </c>
      <c r="W8161" s="21">
        <v>0</v>
      </c>
      <c r="X8161" s="21">
        <v>0</v>
      </c>
      <c r="Y8161" s="21">
        <v>0</v>
      </c>
      <c r="Z8161" s="21">
        <v>0</v>
      </c>
      <c r="AA8161" s="21">
        <v>0</v>
      </c>
      <c r="AB8161" s="21">
        <v>1</v>
      </c>
      <c r="AC8161" s="21">
        <v>1</v>
      </c>
      <c r="AD8161" s="21">
        <v>0</v>
      </c>
      <c r="AE8161" s="21">
        <v>0</v>
      </c>
      <c r="AF8161" s="21">
        <v>0</v>
      </c>
      <c r="AG8161" s="21">
        <v>0</v>
      </c>
      <c r="AH8161" s="21">
        <f t="shared" si="162"/>
        <v>0</v>
      </c>
      <c r="AI8161" s="21"/>
      <c r="AJ8161" s="21"/>
      <c r="AK8161" s="21"/>
      <c r="AL8161" s="21"/>
      <c r="AM8161" s="21" t="s">
        <v>4443</v>
      </c>
      <c r="AN8161" s="21">
        <v>-122.48027753333299</v>
      </c>
      <c r="AO8161" s="21">
        <v>37.790864283333299</v>
      </c>
      <c r="AP8161" s="21" t="s">
        <v>1915</v>
      </c>
    </row>
    <row r="8162" spans="1:42">
      <c r="A8162" s="20">
        <v>43878</v>
      </c>
      <c r="B8162" s="21">
        <v>1</v>
      </c>
      <c r="C8162" s="21">
        <v>574</v>
      </c>
      <c r="D8162" s="21">
        <v>11328</v>
      </c>
      <c r="E8162" t="s">
        <v>377</v>
      </c>
      <c r="F8162" s="21" t="s">
        <v>436</v>
      </c>
      <c r="G8162" s="21">
        <v>1</v>
      </c>
      <c r="H8162" s="21">
        <v>87</v>
      </c>
      <c r="I8162" s="23">
        <v>1703</v>
      </c>
      <c r="J8162" s="21"/>
      <c r="K8162" s="21" t="s">
        <v>329</v>
      </c>
      <c r="L8162" s="21"/>
      <c r="M8162" s="21"/>
      <c r="N8162" s="21" t="s">
        <v>44</v>
      </c>
      <c r="O8162" s="21">
        <v>33</v>
      </c>
      <c r="P8162" s="21"/>
      <c r="Q8162" s="21">
        <f t="shared" si="161"/>
        <v>1</v>
      </c>
      <c r="R8162" s="21"/>
      <c r="S8162" s="21">
        <v>0</v>
      </c>
      <c r="T8162" s="21">
        <v>0</v>
      </c>
      <c r="U8162" s="21">
        <v>0</v>
      </c>
      <c r="V8162" s="21">
        <v>0</v>
      </c>
      <c r="W8162" s="21">
        <v>0</v>
      </c>
      <c r="X8162" s="21">
        <v>0</v>
      </c>
      <c r="Y8162" s="21">
        <v>0</v>
      </c>
      <c r="Z8162" s="21">
        <v>0</v>
      </c>
      <c r="AA8162" s="21">
        <v>0</v>
      </c>
      <c r="AB8162" s="21">
        <v>0</v>
      </c>
      <c r="AC8162" s="21">
        <v>1</v>
      </c>
      <c r="AD8162" s="21">
        <v>0</v>
      </c>
      <c r="AE8162" s="21">
        <v>0</v>
      </c>
      <c r="AF8162" s="21">
        <v>0</v>
      </c>
      <c r="AG8162" s="21">
        <v>0</v>
      </c>
      <c r="AH8162" s="21">
        <f t="shared" si="162"/>
        <v>0</v>
      </c>
      <c r="AI8162" s="21"/>
      <c r="AJ8162" s="21"/>
      <c r="AK8162" s="21"/>
      <c r="AL8162" s="21"/>
      <c r="AM8162" s="21" t="s">
        <v>4444</v>
      </c>
      <c r="AN8162" s="21">
        <v>-122.48082316666699</v>
      </c>
      <c r="AO8162" s="21">
        <v>37.790564033333297</v>
      </c>
      <c r="AP8162" s="21" t="s">
        <v>1915</v>
      </c>
    </row>
    <row r="8163" spans="1:42">
      <c r="A8163" s="20">
        <v>43878</v>
      </c>
      <c r="B8163" s="21">
        <v>1</v>
      </c>
      <c r="C8163" s="21">
        <v>574</v>
      </c>
      <c r="D8163" s="21">
        <v>11328</v>
      </c>
      <c r="E8163" t="s">
        <v>377</v>
      </c>
      <c r="F8163" s="21" t="s">
        <v>436</v>
      </c>
      <c r="G8163" s="21">
        <v>1</v>
      </c>
      <c r="H8163" s="21">
        <v>88</v>
      </c>
      <c r="I8163" s="23">
        <v>1750</v>
      </c>
      <c r="J8163" s="21"/>
      <c r="K8163" s="21" t="s">
        <v>4445</v>
      </c>
      <c r="L8163" s="21"/>
      <c r="M8163" s="21"/>
      <c r="N8163" s="21" t="s">
        <v>44</v>
      </c>
      <c r="O8163" s="21">
        <v>42</v>
      </c>
      <c r="P8163" s="21"/>
      <c r="Q8163" s="21">
        <f t="shared" si="161"/>
        <v>1</v>
      </c>
      <c r="R8163" s="21"/>
      <c r="S8163" s="21">
        <v>0</v>
      </c>
      <c r="T8163" s="21">
        <v>0</v>
      </c>
      <c r="U8163" s="21">
        <v>0</v>
      </c>
      <c r="V8163" s="21">
        <v>0</v>
      </c>
      <c r="W8163" s="21">
        <v>0</v>
      </c>
      <c r="X8163" s="21">
        <v>0</v>
      </c>
      <c r="Y8163" s="21">
        <v>0</v>
      </c>
      <c r="Z8163" s="21">
        <v>0</v>
      </c>
      <c r="AA8163" s="21">
        <v>0</v>
      </c>
      <c r="AB8163" s="21">
        <v>0</v>
      </c>
      <c r="AC8163" s="21">
        <v>1</v>
      </c>
      <c r="AD8163" s="21">
        <v>0</v>
      </c>
      <c r="AE8163" s="21">
        <v>0</v>
      </c>
      <c r="AF8163" s="21">
        <v>0</v>
      </c>
      <c r="AG8163" s="21">
        <v>0</v>
      </c>
      <c r="AH8163" s="21">
        <f t="shared" si="162"/>
        <v>0</v>
      </c>
      <c r="AI8163" s="21"/>
      <c r="AJ8163" s="21"/>
      <c r="AK8163" s="21"/>
      <c r="AL8163" s="21"/>
      <c r="AM8163" s="21" t="s">
        <v>4446</v>
      </c>
      <c r="AN8163" s="21">
        <v>-122.480899116667</v>
      </c>
      <c r="AO8163" s="21">
        <v>37.790057016666601</v>
      </c>
      <c r="AP8163" s="21" t="s">
        <v>1915</v>
      </c>
    </row>
    <row r="8164" spans="1:42">
      <c r="A8164" s="20">
        <v>43878</v>
      </c>
      <c r="B8164" s="21">
        <v>1</v>
      </c>
      <c r="C8164" s="21">
        <v>574</v>
      </c>
      <c r="D8164" s="21">
        <v>11328</v>
      </c>
      <c r="E8164" t="s">
        <v>377</v>
      </c>
      <c r="F8164" s="21" t="s">
        <v>436</v>
      </c>
      <c r="G8164" s="21">
        <v>1</v>
      </c>
      <c r="H8164" s="21">
        <v>89</v>
      </c>
      <c r="I8164" s="23" t="s">
        <v>4447</v>
      </c>
      <c r="J8164" s="21"/>
      <c r="K8164" s="21" t="s">
        <v>4448</v>
      </c>
      <c r="L8164" s="21"/>
      <c r="M8164" s="21"/>
      <c r="N8164" s="21" t="s">
        <v>44</v>
      </c>
      <c r="O8164" s="21">
        <v>28</v>
      </c>
      <c r="P8164" s="21"/>
      <c r="Q8164" s="21">
        <f t="shared" si="161"/>
        <v>1</v>
      </c>
      <c r="R8164" s="21"/>
      <c r="S8164" s="21">
        <v>0</v>
      </c>
      <c r="T8164" s="21">
        <v>0</v>
      </c>
      <c r="U8164" s="21">
        <v>0</v>
      </c>
      <c r="V8164" s="21">
        <v>0</v>
      </c>
      <c r="W8164" s="21">
        <v>0</v>
      </c>
      <c r="X8164" s="21">
        <v>0</v>
      </c>
      <c r="Y8164" s="21">
        <v>0</v>
      </c>
      <c r="Z8164" s="21">
        <v>0</v>
      </c>
      <c r="AA8164" s="21">
        <v>1</v>
      </c>
      <c r="AB8164" s="21">
        <v>0</v>
      </c>
      <c r="AC8164" s="21">
        <v>0</v>
      </c>
      <c r="AD8164" s="21">
        <v>0</v>
      </c>
      <c r="AE8164" s="21">
        <v>0</v>
      </c>
      <c r="AF8164" s="21">
        <v>0</v>
      </c>
      <c r="AG8164" s="21">
        <v>0</v>
      </c>
      <c r="AH8164" s="21">
        <f t="shared" si="162"/>
        <v>0</v>
      </c>
      <c r="AI8164" s="21"/>
      <c r="AJ8164" s="21"/>
      <c r="AK8164" s="21"/>
      <c r="AL8164" s="21"/>
      <c r="AM8164" s="21" t="s">
        <v>4449</v>
      </c>
      <c r="AN8164" s="21">
        <v>-122.47392618333301</v>
      </c>
      <c r="AO8164" s="21">
        <v>37.789185150000002</v>
      </c>
      <c r="AP8164" s="21" t="s">
        <v>1915</v>
      </c>
    </row>
    <row r="8165" spans="1:42">
      <c r="A8165" s="20">
        <v>43859</v>
      </c>
      <c r="B8165" s="21">
        <v>3</v>
      </c>
      <c r="C8165" s="21">
        <v>207</v>
      </c>
      <c r="D8165" s="21">
        <v>14657</v>
      </c>
      <c r="E8165" s="21"/>
      <c r="F8165" s="21" t="s">
        <v>104</v>
      </c>
      <c r="G8165" s="21">
        <v>2</v>
      </c>
      <c r="H8165" s="21">
        <v>1</v>
      </c>
      <c r="I8165" s="23" t="s">
        <v>4450</v>
      </c>
      <c r="J8165" s="21"/>
      <c r="K8165" s="21" t="s">
        <v>909</v>
      </c>
      <c r="L8165" s="21"/>
      <c r="M8165" s="21"/>
      <c r="N8165" s="21" t="s">
        <v>44</v>
      </c>
      <c r="O8165" s="21">
        <v>45</v>
      </c>
      <c r="P8165" s="21"/>
      <c r="Q8165" s="21">
        <f t="shared" si="161"/>
        <v>1</v>
      </c>
      <c r="R8165" s="21">
        <v>1</v>
      </c>
      <c r="S8165" s="21">
        <v>0</v>
      </c>
      <c r="T8165" s="21">
        <v>0</v>
      </c>
      <c r="U8165" s="21">
        <v>0</v>
      </c>
      <c r="V8165" s="21">
        <v>0</v>
      </c>
      <c r="W8165" s="21">
        <v>1</v>
      </c>
      <c r="X8165" s="21">
        <v>0</v>
      </c>
      <c r="Y8165" s="21">
        <v>0</v>
      </c>
      <c r="Z8165" s="21">
        <v>0</v>
      </c>
      <c r="AA8165" s="21">
        <v>0</v>
      </c>
      <c r="AB8165" s="21">
        <v>0</v>
      </c>
      <c r="AC8165" s="21">
        <v>0</v>
      </c>
      <c r="AD8165" s="21">
        <v>0</v>
      </c>
      <c r="AE8165" s="21">
        <v>0</v>
      </c>
      <c r="AF8165" s="21"/>
      <c r="AG8165" s="21">
        <v>0</v>
      </c>
      <c r="AH8165" s="21">
        <f t="shared" si="162"/>
        <v>96</v>
      </c>
      <c r="AI8165" s="21"/>
      <c r="AJ8165" s="21" t="s">
        <v>51</v>
      </c>
      <c r="AK8165" s="21" t="s">
        <v>95</v>
      </c>
      <c r="AL8165" s="21"/>
      <c r="AM8165" s="21" t="s">
        <v>4451</v>
      </c>
      <c r="AN8165" s="21">
        <v>-122.436247516667</v>
      </c>
      <c r="AO8165" s="21">
        <v>37.800427650000003</v>
      </c>
      <c r="AP8165" s="21" t="s">
        <v>951</v>
      </c>
    </row>
    <row r="8166" spans="1:42">
      <c r="A8166" s="20">
        <v>43859</v>
      </c>
      <c r="B8166" s="21">
        <v>3</v>
      </c>
      <c r="C8166" s="21">
        <v>207</v>
      </c>
      <c r="D8166" s="21">
        <v>14657</v>
      </c>
      <c r="E8166" s="21"/>
      <c r="F8166" s="21" t="s">
        <v>104</v>
      </c>
      <c r="G8166" s="21">
        <v>2</v>
      </c>
      <c r="H8166" s="21">
        <v>2</v>
      </c>
      <c r="I8166" s="23" t="s">
        <v>4452</v>
      </c>
      <c r="J8166" s="21"/>
      <c r="K8166" s="21" t="s">
        <v>909</v>
      </c>
      <c r="L8166" s="21"/>
      <c r="M8166" s="21"/>
      <c r="N8166" s="21" t="s">
        <v>44</v>
      </c>
      <c r="O8166" s="21">
        <v>106</v>
      </c>
      <c r="P8166" s="21"/>
      <c r="Q8166" s="21">
        <f t="shared" si="161"/>
        <v>3</v>
      </c>
      <c r="R8166" s="21">
        <v>1</v>
      </c>
      <c r="S8166" s="21">
        <v>0</v>
      </c>
      <c r="T8166" s="21">
        <v>0</v>
      </c>
      <c r="U8166" s="21">
        <v>0</v>
      </c>
      <c r="V8166" s="21">
        <v>0</v>
      </c>
      <c r="W8166" s="21">
        <v>3</v>
      </c>
      <c r="X8166" s="21">
        <v>0</v>
      </c>
      <c r="Y8166" s="21">
        <v>0</v>
      </c>
      <c r="Z8166" s="21">
        <v>0</v>
      </c>
      <c r="AA8166" s="21">
        <v>0</v>
      </c>
      <c r="AB8166" s="21">
        <v>0</v>
      </c>
      <c r="AC8166" s="21">
        <v>0</v>
      </c>
      <c r="AD8166" s="21">
        <v>0</v>
      </c>
      <c r="AE8166" s="21">
        <v>0</v>
      </c>
      <c r="AF8166" s="21"/>
      <c r="AG8166" s="21">
        <v>0</v>
      </c>
      <c r="AH8166" s="21">
        <f t="shared" si="162"/>
        <v>288</v>
      </c>
      <c r="AI8166" s="21"/>
      <c r="AJ8166" s="21" t="s">
        <v>51</v>
      </c>
      <c r="AK8166" s="21" t="s">
        <v>95</v>
      </c>
      <c r="AL8166" s="21"/>
      <c r="AM8166" s="21" t="s">
        <v>4453</v>
      </c>
      <c r="AN8166" s="21">
        <v>-122.436193116667</v>
      </c>
      <c r="AO8166" s="21">
        <v>37.800567999999998</v>
      </c>
      <c r="AP8166" s="21" t="s">
        <v>951</v>
      </c>
    </row>
    <row r="8167" spans="1:42">
      <c r="A8167" s="20">
        <v>43859</v>
      </c>
      <c r="B8167" s="21">
        <v>3</v>
      </c>
      <c r="C8167" s="21">
        <v>207</v>
      </c>
      <c r="D8167" s="21">
        <v>14657</v>
      </c>
      <c r="E8167" s="21"/>
      <c r="F8167" s="21" t="s">
        <v>104</v>
      </c>
      <c r="G8167" s="21">
        <v>2</v>
      </c>
      <c r="H8167" s="21">
        <v>3</v>
      </c>
      <c r="I8167" s="23" t="s">
        <v>4454</v>
      </c>
      <c r="J8167" s="21"/>
      <c r="K8167" s="21" t="s">
        <v>324</v>
      </c>
      <c r="L8167" s="21" t="s">
        <v>114</v>
      </c>
      <c r="M8167" s="21"/>
      <c r="N8167" s="21" t="s">
        <v>40</v>
      </c>
      <c r="O8167" s="21">
        <v>43</v>
      </c>
      <c r="P8167" s="21"/>
      <c r="Q8167" s="21">
        <f t="shared" si="161"/>
        <v>2</v>
      </c>
      <c r="R8167" s="21">
        <v>1</v>
      </c>
      <c r="S8167" s="21">
        <v>0</v>
      </c>
      <c r="T8167" s="21">
        <v>0</v>
      </c>
      <c r="U8167" s="21">
        <v>1</v>
      </c>
      <c r="V8167" s="21">
        <v>1</v>
      </c>
      <c r="W8167" s="21">
        <v>0</v>
      </c>
      <c r="X8167" s="21">
        <v>0</v>
      </c>
      <c r="Y8167" s="21">
        <v>0</v>
      </c>
      <c r="Z8167" s="21">
        <v>0</v>
      </c>
      <c r="AA8167" s="21">
        <v>0</v>
      </c>
      <c r="AB8167" s="21">
        <v>0</v>
      </c>
      <c r="AC8167" s="21">
        <v>0</v>
      </c>
      <c r="AD8167" s="21">
        <v>0</v>
      </c>
      <c r="AE8167" s="21">
        <v>0</v>
      </c>
      <c r="AF8167" s="21"/>
      <c r="AG8167" s="21">
        <v>0</v>
      </c>
      <c r="AH8167" s="21">
        <f t="shared" si="162"/>
        <v>96</v>
      </c>
      <c r="AI8167" s="21"/>
      <c r="AJ8167" s="21" t="s">
        <v>51</v>
      </c>
      <c r="AK8167" s="21" t="s">
        <v>95</v>
      </c>
      <c r="AL8167" s="21"/>
      <c r="AM8167" s="21" t="s">
        <v>4455</v>
      </c>
      <c r="AN8167" s="21">
        <v>-122.437084583333</v>
      </c>
      <c r="AO8167" s="21">
        <v>37.800735183333401</v>
      </c>
      <c r="AP8167" s="21" t="s">
        <v>951</v>
      </c>
    </row>
    <row r="8168" spans="1:42">
      <c r="A8168" s="20">
        <v>43859</v>
      </c>
      <c r="B8168" s="21">
        <v>3</v>
      </c>
      <c r="C8168" s="21">
        <v>207</v>
      </c>
      <c r="D8168" s="21">
        <v>14657</v>
      </c>
      <c r="E8168" s="21"/>
      <c r="F8168" s="21" t="s">
        <v>104</v>
      </c>
      <c r="G8168" s="21">
        <v>2</v>
      </c>
      <c r="H8168" s="21">
        <v>4</v>
      </c>
      <c r="I8168" s="23" t="s">
        <v>4456</v>
      </c>
      <c r="J8168" s="21"/>
      <c r="K8168" s="21" t="s">
        <v>324</v>
      </c>
      <c r="L8168" s="21" t="s">
        <v>114</v>
      </c>
      <c r="M8168" s="21"/>
      <c r="N8168" s="21" t="s">
        <v>40</v>
      </c>
      <c r="O8168" s="21">
        <v>38</v>
      </c>
      <c r="P8168" s="21"/>
      <c r="Q8168" s="21">
        <f t="shared" si="161"/>
        <v>2</v>
      </c>
      <c r="R8168" s="21">
        <v>1</v>
      </c>
      <c r="S8168" s="21">
        <v>0</v>
      </c>
      <c r="T8168" s="21">
        <v>0</v>
      </c>
      <c r="U8168" s="21">
        <v>2</v>
      </c>
      <c r="V8168" s="21">
        <v>0</v>
      </c>
      <c r="W8168" s="21">
        <v>0</v>
      </c>
      <c r="X8168" s="21">
        <v>0</v>
      </c>
      <c r="Y8168" s="21">
        <v>0</v>
      </c>
      <c r="Z8168" s="21">
        <v>0</v>
      </c>
      <c r="AA8168" s="21">
        <v>0</v>
      </c>
      <c r="AB8168" s="21">
        <v>0</v>
      </c>
      <c r="AC8168" s="21">
        <v>0</v>
      </c>
      <c r="AD8168" s="21">
        <v>0</v>
      </c>
      <c r="AE8168" s="21">
        <v>0</v>
      </c>
      <c r="AF8168" s="21"/>
      <c r="AG8168" s="21">
        <v>0</v>
      </c>
      <c r="AH8168" s="21">
        <f t="shared" si="162"/>
        <v>64</v>
      </c>
      <c r="AI8168" s="21"/>
      <c r="AJ8168" s="21" t="s">
        <v>51</v>
      </c>
      <c r="AK8168" s="21" t="s">
        <v>95</v>
      </c>
      <c r="AL8168" s="21"/>
      <c r="AM8168" s="21" t="s">
        <v>4457</v>
      </c>
      <c r="AN8168" s="21">
        <v>-122.437039716667</v>
      </c>
      <c r="AO8168" s="21">
        <v>37.800790183333298</v>
      </c>
      <c r="AP8168" s="21" t="s">
        <v>951</v>
      </c>
    </row>
    <row r="8169" spans="1:42">
      <c r="A8169" s="20">
        <v>43859</v>
      </c>
      <c r="B8169" s="21">
        <v>3</v>
      </c>
      <c r="C8169" s="21">
        <v>207</v>
      </c>
      <c r="D8169" s="21">
        <v>14657</v>
      </c>
      <c r="E8169" s="21"/>
      <c r="F8169" s="21" t="s">
        <v>104</v>
      </c>
      <c r="G8169" s="21">
        <v>2</v>
      </c>
      <c r="H8169" s="21">
        <v>5</v>
      </c>
      <c r="I8169" s="23" t="s">
        <v>4458</v>
      </c>
      <c r="J8169" s="21"/>
      <c r="K8169" s="21" t="s">
        <v>324</v>
      </c>
      <c r="L8169" s="21" t="s">
        <v>114</v>
      </c>
      <c r="M8169" s="21"/>
      <c r="N8169" s="21" t="s">
        <v>40</v>
      </c>
      <c r="O8169" s="21">
        <v>28</v>
      </c>
      <c r="P8169" s="21"/>
      <c r="Q8169" s="21">
        <f t="shared" si="161"/>
        <v>2</v>
      </c>
      <c r="R8169" s="21">
        <v>1</v>
      </c>
      <c r="S8169" s="21">
        <v>0</v>
      </c>
      <c r="T8169" s="21">
        <v>0</v>
      </c>
      <c r="U8169" s="21">
        <v>2</v>
      </c>
      <c r="V8169" s="21">
        <v>0</v>
      </c>
      <c r="W8169" s="21">
        <v>0</v>
      </c>
      <c r="X8169" s="21">
        <v>0</v>
      </c>
      <c r="Y8169" s="21">
        <v>0</v>
      </c>
      <c r="Z8169" s="21">
        <v>0</v>
      </c>
      <c r="AA8169" s="21">
        <v>0</v>
      </c>
      <c r="AB8169" s="21">
        <v>0</v>
      </c>
      <c r="AC8169" s="21">
        <v>0</v>
      </c>
      <c r="AD8169" s="21">
        <v>0</v>
      </c>
      <c r="AE8169" s="21">
        <v>0</v>
      </c>
      <c r="AF8169" s="21"/>
      <c r="AG8169" s="21">
        <v>0</v>
      </c>
      <c r="AH8169" s="21">
        <f t="shared" si="162"/>
        <v>64</v>
      </c>
      <c r="AI8169" s="21"/>
      <c r="AJ8169" s="21" t="s">
        <v>51</v>
      </c>
      <c r="AK8169" s="21" t="s">
        <v>95</v>
      </c>
      <c r="AL8169" s="21"/>
      <c r="AM8169" s="21" t="s">
        <v>4459</v>
      </c>
      <c r="AN8169" s="21">
        <v>-122.43764728333301</v>
      </c>
      <c r="AO8169" s="21">
        <v>37.800734716666703</v>
      </c>
      <c r="AP8169" s="21" t="s">
        <v>951</v>
      </c>
    </row>
    <row r="8170" spans="1:42">
      <c r="A8170" s="20">
        <v>43859</v>
      </c>
      <c r="B8170" s="21">
        <v>3</v>
      </c>
      <c r="C8170" s="21">
        <v>207</v>
      </c>
      <c r="D8170" s="21">
        <v>14657</v>
      </c>
      <c r="E8170" s="21"/>
      <c r="F8170" s="21" t="s">
        <v>104</v>
      </c>
      <c r="G8170" s="21">
        <v>2</v>
      </c>
      <c r="H8170" s="21">
        <v>6</v>
      </c>
      <c r="I8170" s="23" t="s">
        <v>4460</v>
      </c>
      <c r="J8170" s="21"/>
      <c r="K8170" s="21" t="s">
        <v>324</v>
      </c>
      <c r="L8170" s="21" t="s">
        <v>114</v>
      </c>
      <c r="M8170" s="21"/>
      <c r="N8170" s="21" t="s">
        <v>40</v>
      </c>
      <c r="O8170" s="21">
        <v>47</v>
      </c>
      <c r="P8170" s="21"/>
      <c r="Q8170" s="21">
        <f t="shared" si="161"/>
        <v>2</v>
      </c>
      <c r="R8170" s="21">
        <v>1</v>
      </c>
      <c r="S8170" s="21">
        <v>0</v>
      </c>
      <c r="T8170" s="21">
        <v>0</v>
      </c>
      <c r="U8170" s="21">
        <v>0</v>
      </c>
      <c r="V8170" s="21">
        <v>0</v>
      </c>
      <c r="W8170" s="21">
        <v>2</v>
      </c>
      <c r="X8170" s="21">
        <v>0</v>
      </c>
      <c r="Y8170" s="21">
        <v>0</v>
      </c>
      <c r="Z8170" s="21">
        <v>0</v>
      </c>
      <c r="AA8170" s="21">
        <v>0</v>
      </c>
      <c r="AB8170" s="21">
        <v>0</v>
      </c>
      <c r="AC8170" s="21">
        <v>0</v>
      </c>
      <c r="AD8170" s="21">
        <v>0</v>
      </c>
      <c r="AE8170" s="21">
        <v>0</v>
      </c>
      <c r="AF8170" s="21"/>
      <c r="AG8170" s="21">
        <v>0</v>
      </c>
      <c r="AH8170" s="21">
        <f t="shared" si="162"/>
        <v>192</v>
      </c>
      <c r="AI8170" s="21"/>
      <c r="AJ8170" s="21" t="s">
        <v>51</v>
      </c>
      <c r="AK8170" s="21" t="s">
        <v>95</v>
      </c>
      <c r="AL8170" s="21"/>
      <c r="AM8170" s="21" t="s">
        <v>4461</v>
      </c>
      <c r="AN8170" s="21">
        <v>-122.437970533333</v>
      </c>
      <c r="AO8170" s="21">
        <v>37.800711399999997</v>
      </c>
      <c r="AP8170" s="21" t="s">
        <v>951</v>
      </c>
    </row>
    <row r="8171" spans="1:42">
      <c r="A8171" s="20">
        <v>43859</v>
      </c>
      <c r="B8171" s="21">
        <v>3</v>
      </c>
      <c r="C8171" s="21">
        <v>207</v>
      </c>
      <c r="D8171" s="21">
        <v>14657</v>
      </c>
      <c r="E8171" s="21"/>
      <c r="F8171" s="21" t="s">
        <v>104</v>
      </c>
      <c r="G8171" s="21">
        <v>2</v>
      </c>
      <c r="H8171" s="21">
        <v>7</v>
      </c>
      <c r="I8171" s="23" t="s">
        <v>4030</v>
      </c>
      <c r="J8171" s="21"/>
      <c r="K8171" s="21" t="s">
        <v>324</v>
      </c>
      <c r="L8171" s="21"/>
      <c r="M8171" s="21"/>
      <c r="N8171" s="21" t="s">
        <v>44</v>
      </c>
      <c r="O8171" s="21">
        <v>194</v>
      </c>
      <c r="P8171" s="21"/>
      <c r="Q8171" s="21">
        <f t="shared" si="161"/>
        <v>1</v>
      </c>
      <c r="R8171" s="21">
        <v>1</v>
      </c>
      <c r="S8171" s="21">
        <v>0</v>
      </c>
      <c r="T8171" s="21">
        <v>0</v>
      </c>
      <c r="U8171" s="21">
        <v>0</v>
      </c>
      <c r="V8171" s="21">
        <v>0</v>
      </c>
      <c r="W8171" s="21">
        <v>1</v>
      </c>
      <c r="X8171" s="21">
        <v>0</v>
      </c>
      <c r="Y8171" s="21">
        <v>0</v>
      </c>
      <c r="Z8171" s="21">
        <v>0</v>
      </c>
      <c r="AA8171" s="21">
        <v>0</v>
      </c>
      <c r="AB8171" s="21">
        <v>0</v>
      </c>
      <c r="AC8171" s="21">
        <v>0</v>
      </c>
      <c r="AD8171" s="21">
        <v>0</v>
      </c>
      <c r="AE8171" s="21">
        <v>0</v>
      </c>
      <c r="AF8171" s="21"/>
      <c r="AG8171" s="21">
        <v>0</v>
      </c>
      <c r="AH8171" s="21">
        <f t="shared" si="162"/>
        <v>96</v>
      </c>
      <c r="AI8171" s="21"/>
      <c r="AJ8171" s="21" t="s">
        <v>51</v>
      </c>
      <c r="AK8171" s="21" t="s">
        <v>95</v>
      </c>
      <c r="AL8171" s="21"/>
      <c r="AM8171" s="21" t="s">
        <v>4462</v>
      </c>
      <c r="AN8171" s="21">
        <v>-122.43823373333301</v>
      </c>
      <c r="AO8171" s="21">
        <v>37.8006796833333</v>
      </c>
      <c r="AP8171" s="21" t="s">
        <v>951</v>
      </c>
    </row>
    <row r="8172" spans="1:42">
      <c r="A8172" s="20">
        <v>43859</v>
      </c>
      <c r="B8172" s="21">
        <v>3</v>
      </c>
      <c r="C8172" s="21">
        <v>207</v>
      </c>
      <c r="D8172" s="21">
        <v>14657</v>
      </c>
      <c r="E8172" s="21"/>
      <c r="F8172" s="21" t="s">
        <v>104</v>
      </c>
      <c r="G8172" s="21">
        <v>2</v>
      </c>
      <c r="H8172" s="21">
        <v>8</v>
      </c>
      <c r="I8172" s="23" t="s">
        <v>4463</v>
      </c>
      <c r="J8172" s="21"/>
      <c r="K8172" s="21" t="s">
        <v>324</v>
      </c>
      <c r="L8172" s="21" t="s">
        <v>114</v>
      </c>
      <c r="M8172" s="21"/>
      <c r="N8172" s="21" t="s">
        <v>40</v>
      </c>
      <c r="O8172" s="21">
        <v>90</v>
      </c>
      <c r="P8172" s="21"/>
      <c r="Q8172" s="21">
        <f t="shared" si="161"/>
        <v>4</v>
      </c>
      <c r="R8172" s="21">
        <v>1</v>
      </c>
      <c r="S8172" s="21">
        <v>0</v>
      </c>
      <c r="T8172" s="21">
        <v>0</v>
      </c>
      <c r="U8172" s="21">
        <v>0</v>
      </c>
      <c r="V8172" s="21">
        <v>2</v>
      </c>
      <c r="W8172" s="21">
        <v>1</v>
      </c>
      <c r="X8172" s="21">
        <v>1</v>
      </c>
      <c r="Y8172" s="21">
        <v>0</v>
      </c>
      <c r="Z8172" s="21">
        <v>0</v>
      </c>
      <c r="AA8172" s="21">
        <v>0</v>
      </c>
      <c r="AB8172" s="21">
        <v>0</v>
      </c>
      <c r="AC8172" s="21">
        <v>0</v>
      </c>
      <c r="AD8172" s="21">
        <v>0</v>
      </c>
      <c r="AE8172" s="21">
        <v>0</v>
      </c>
      <c r="AF8172" s="21"/>
      <c r="AG8172" s="21">
        <v>0</v>
      </c>
      <c r="AH8172" s="21">
        <f t="shared" si="162"/>
        <v>224</v>
      </c>
      <c r="AI8172" s="21"/>
      <c r="AJ8172" s="21" t="s">
        <v>51</v>
      </c>
      <c r="AK8172" s="21" t="s">
        <v>95</v>
      </c>
      <c r="AL8172" s="21" t="s">
        <v>4464</v>
      </c>
      <c r="AM8172" s="21" t="s">
        <v>4465</v>
      </c>
      <c r="AN8172" s="21">
        <v>-122.438545783333</v>
      </c>
      <c r="AO8172" s="21">
        <v>37.800598966666598</v>
      </c>
      <c r="AP8172" s="21" t="s">
        <v>951</v>
      </c>
    </row>
    <row r="8173" spans="1:42">
      <c r="A8173" s="20">
        <v>43859</v>
      </c>
      <c r="B8173" s="21">
        <v>3</v>
      </c>
      <c r="C8173" s="21">
        <v>207</v>
      </c>
      <c r="D8173" s="21">
        <v>14657</v>
      </c>
      <c r="E8173" s="21"/>
      <c r="F8173" s="21" t="s">
        <v>104</v>
      </c>
      <c r="G8173" s="21">
        <v>2</v>
      </c>
      <c r="H8173" s="21">
        <v>9</v>
      </c>
      <c r="I8173" s="23" t="s">
        <v>4466</v>
      </c>
      <c r="J8173" s="21"/>
      <c r="K8173" s="21" t="s">
        <v>324</v>
      </c>
      <c r="L8173" s="21" t="s">
        <v>114</v>
      </c>
      <c r="M8173" s="21"/>
      <c r="N8173" s="21" t="s">
        <v>40</v>
      </c>
      <c r="O8173" s="21">
        <v>34</v>
      </c>
      <c r="P8173" s="21"/>
      <c r="Q8173" s="21">
        <f t="shared" si="161"/>
        <v>1</v>
      </c>
      <c r="R8173" s="21">
        <v>1</v>
      </c>
      <c r="S8173" s="21">
        <v>0</v>
      </c>
      <c r="T8173" s="21">
        <v>0</v>
      </c>
      <c r="U8173" s="21">
        <v>1</v>
      </c>
      <c r="V8173" s="21">
        <v>0</v>
      </c>
      <c r="W8173" s="21">
        <v>0</v>
      </c>
      <c r="X8173" s="21">
        <v>0</v>
      </c>
      <c r="Y8173" s="21">
        <v>0</v>
      </c>
      <c r="Z8173" s="21">
        <v>0</v>
      </c>
      <c r="AA8173" s="21">
        <v>0</v>
      </c>
      <c r="AB8173" s="21">
        <v>0</v>
      </c>
      <c r="AC8173" s="21">
        <v>0</v>
      </c>
      <c r="AD8173" s="21">
        <v>0</v>
      </c>
      <c r="AE8173" s="21">
        <v>0</v>
      </c>
      <c r="AF8173" s="21"/>
      <c r="AG8173" s="21">
        <v>0</v>
      </c>
      <c r="AH8173" s="21">
        <f t="shared" si="162"/>
        <v>32</v>
      </c>
      <c r="AI8173" s="21"/>
      <c r="AJ8173" s="21" t="s">
        <v>51</v>
      </c>
      <c r="AK8173" s="21" t="s">
        <v>95</v>
      </c>
      <c r="AL8173" s="21"/>
      <c r="AM8173" s="21" t="s">
        <v>4467</v>
      </c>
      <c r="AN8173" s="21">
        <v>-122.43942035000001</v>
      </c>
      <c r="AO8173" s="21">
        <v>37.800430866666701</v>
      </c>
      <c r="AP8173" s="21" t="s">
        <v>951</v>
      </c>
    </row>
    <row r="8174" spans="1:42">
      <c r="A8174" s="20">
        <v>43859</v>
      </c>
      <c r="B8174" s="21">
        <v>3</v>
      </c>
      <c r="C8174" s="21">
        <v>207</v>
      </c>
      <c r="D8174" s="21">
        <v>14657</v>
      </c>
      <c r="E8174" s="21"/>
      <c r="F8174" s="21" t="s">
        <v>104</v>
      </c>
      <c r="G8174" s="21">
        <v>2</v>
      </c>
      <c r="H8174" s="21">
        <v>10</v>
      </c>
      <c r="I8174" s="23" t="s">
        <v>2218</v>
      </c>
      <c r="J8174" s="21"/>
      <c r="K8174" s="21" t="s">
        <v>324</v>
      </c>
      <c r="L8174" s="21" t="s">
        <v>114</v>
      </c>
      <c r="M8174" s="21"/>
      <c r="N8174" s="21" t="s">
        <v>40</v>
      </c>
      <c r="O8174" s="21">
        <v>120</v>
      </c>
      <c r="P8174" s="21"/>
      <c r="Q8174" s="21">
        <f t="shared" si="161"/>
        <v>3</v>
      </c>
      <c r="R8174" s="21">
        <v>1</v>
      </c>
      <c r="S8174" s="21">
        <v>0</v>
      </c>
      <c r="T8174" s="21">
        <v>0</v>
      </c>
      <c r="U8174" s="21">
        <v>0</v>
      </c>
      <c r="V8174" s="21">
        <v>2</v>
      </c>
      <c r="W8174" s="21">
        <v>1</v>
      </c>
      <c r="X8174" s="21">
        <v>0</v>
      </c>
      <c r="Y8174" s="21">
        <v>0</v>
      </c>
      <c r="Z8174" s="21">
        <v>0</v>
      </c>
      <c r="AA8174" s="21">
        <v>0</v>
      </c>
      <c r="AB8174" s="21">
        <v>0</v>
      </c>
      <c r="AC8174" s="21">
        <v>0</v>
      </c>
      <c r="AD8174" s="21">
        <v>0</v>
      </c>
      <c r="AE8174" s="21">
        <v>0</v>
      </c>
      <c r="AF8174" s="21"/>
      <c r="AG8174" s="21">
        <v>0</v>
      </c>
      <c r="AH8174" s="21">
        <f t="shared" si="162"/>
        <v>224</v>
      </c>
      <c r="AI8174" s="21"/>
      <c r="AJ8174" s="21" t="s">
        <v>51</v>
      </c>
      <c r="AK8174" s="21" t="s">
        <v>95</v>
      </c>
      <c r="AL8174" s="21"/>
      <c r="AM8174" s="21" t="s">
        <v>4468</v>
      </c>
      <c r="AN8174" s="21">
        <v>-122.440454283333</v>
      </c>
      <c r="AO8174" s="21">
        <v>37.800327566666702</v>
      </c>
      <c r="AP8174" s="21" t="s">
        <v>951</v>
      </c>
    </row>
    <row r="8175" spans="1:42">
      <c r="A8175" s="20">
        <v>43859</v>
      </c>
      <c r="B8175" s="21">
        <v>3</v>
      </c>
      <c r="C8175" s="21">
        <v>207</v>
      </c>
      <c r="D8175" s="21">
        <v>14657</v>
      </c>
      <c r="E8175" s="21"/>
      <c r="F8175" s="21" t="s">
        <v>104</v>
      </c>
      <c r="G8175" s="21">
        <v>2</v>
      </c>
      <c r="H8175" s="21">
        <v>11</v>
      </c>
      <c r="I8175" s="23" t="s">
        <v>4469</v>
      </c>
      <c r="J8175" s="21"/>
      <c r="K8175" s="21" t="s">
        <v>324</v>
      </c>
      <c r="L8175" s="21" t="s">
        <v>141</v>
      </c>
      <c r="M8175" s="21"/>
      <c r="N8175" s="21" t="s">
        <v>40</v>
      </c>
      <c r="O8175" s="21">
        <v>36</v>
      </c>
      <c r="P8175" s="21"/>
      <c r="Q8175" s="21">
        <f t="shared" si="161"/>
        <v>2</v>
      </c>
      <c r="R8175" s="21">
        <v>1</v>
      </c>
      <c r="S8175" s="21">
        <v>0</v>
      </c>
      <c r="T8175" s="21">
        <v>0</v>
      </c>
      <c r="U8175" s="21">
        <v>2</v>
      </c>
      <c r="V8175" s="21">
        <v>0</v>
      </c>
      <c r="W8175" s="21">
        <v>0</v>
      </c>
      <c r="X8175" s="21">
        <v>0</v>
      </c>
      <c r="Y8175" s="21">
        <v>0</v>
      </c>
      <c r="Z8175" s="21">
        <v>0</v>
      </c>
      <c r="AA8175" s="21">
        <v>0</v>
      </c>
      <c r="AB8175" s="21">
        <v>0</v>
      </c>
      <c r="AC8175" s="21">
        <v>0</v>
      </c>
      <c r="AD8175" s="21">
        <v>0</v>
      </c>
      <c r="AE8175" s="21">
        <v>0</v>
      </c>
      <c r="AF8175" s="21"/>
      <c r="AG8175" s="21">
        <v>0</v>
      </c>
      <c r="AH8175" s="21">
        <f t="shared" si="162"/>
        <v>64</v>
      </c>
      <c r="AI8175" s="21"/>
      <c r="AJ8175" s="21" t="s">
        <v>51</v>
      </c>
      <c r="AK8175" s="21" t="s">
        <v>95</v>
      </c>
      <c r="AL8175" s="21"/>
      <c r="AM8175" s="21" t="s">
        <v>4470</v>
      </c>
      <c r="AN8175" s="21">
        <v>-122.4411879</v>
      </c>
      <c r="AO8175" s="21">
        <v>37.800094533333301</v>
      </c>
      <c r="AP8175" s="21" t="s">
        <v>951</v>
      </c>
    </row>
    <row r="8176" spans="1:42">
      <c r="A8176" s="20">
        <v>43859</v>
      </c>
      <c r="B8176" s="21">
        <v>3</v>
      </c>
      <c r="C8176" s="21">
        <v>207</v>
      </c>
      <c r="D8176" s="21">
        <v>14657</v>
      </c>
      <c r="E8176" s="21"/>
      <c r="F8176" s="21" t="s">
        <v>104</v>
      </c>
      <c r="G8176" s="21">
        <v>2</v>
      </c>
      <c r="H8176" s="21">
        <v>12</v>
      </c>
      <c r="I8176" s="23" t="s">
        <v>4471</v>
      </c>
      <c r="J8176" s="21"/>
      <c r="K8176" s="21" t="s">
        <v>324</v>
      </c>
      <c r="L8176" s="21" t="s">
        <v>141</v>
      </c>
      <c r="M8176" s="21"/>
      <c r="N8176" s="21" t="s">
        <v>40</v>
      </c>
      <c r="O8176" s="21">
        <v>117</v>
      </c>
      <c r="P8176" s="21"/>
      <c r="Q8176" s="21">
        <f t="shared" si="161"/>
        <v>6</v>
      </c>
      <c r="R8176" s="21">
        <v>1</v>
      </c>
      <c r="S8176" s="21">
        <v>0</v>
      </c>
      <c r="T8176" s="21">
        <v>0</v>
      </c>
      <c r="U8176" s="21">
        <v>0</v>
      </c>
      <c r="V8176" s="21">
        <v>3</v>
      </c>
      <c r="W8176" s="21">
        <v>3</v>
      </c>
      <c r="X8176" s="21">
        <v>0</v>
      </c>
      <c r="Y8176" s="21">
        <v>0</v>
      </c>
      <c r="Z8176" s="21">
        <v>0</v>
      </c>
      <c r="AA8176" s="21">
        <v>0</v>
      </c>
      <c r="AB8176" s="21">
        <v>0</v>
      </c>
      <c r="AC8176" s="21">
        <v>0</v>
      </c>
      <c r="AD8176" s="21">
        <v>0</v>
      </c>
      <c r="AE8176" s="21">
        <v>0</v>
      </c>
      <c r="AF8176" s="21"/>
      <c r="AG8176" s="21">
        <v>0</v>
      </c>
      <c r="AH8176" s="21">
        <f t="shared" si="162"/>
        <v>480</v>
      </c>
      <c r="AI8176" s="21"/>
      <c r="AJ8176" s="21" t="s">
        <v>51</v>
      </c>
      <c r="AK8176" s="21" t="s">
        <v>95</v>
      </c>
      <c r="AL8176" s="21"/>
      <c r="AM8176" s="21" t="s">
        <v>4472</v>
      </c>
      <c r="AN8176" s="21">
        <v>-122.440557566667</v>
      </c>
      <c r="AO8176" s="21">
        <v>37.800232933333298</v>
      </c>
      <c r="AP8176" s="21" t="s">
        <v>951</v>
      </c>
    </row>
    <row r="8177" spans="1:42">
      <c r="A8177" s="20">
        <v>43859</v>
      </c>
      <c r="B8177" s="21">
        <v>3</v>
      </c>
      <c r="C8177" s="21">
        <v>207</v>
      </c>
      <c r="D8177" s="21">
        <v>14657</v>
      </c>
      <c r="E8177" s="21"/>
      <c r="F8177" s="21" t="s">
        <v>104</v>
      </c>
      <c r="G8177" s="21">
        <v>2</v>
      </c>
      <c r="H8177" s="21">
        <v>13</v>
      </c>
      <c r="I8177" s="23" t="s">
        <v>4473</v>
      </c>
      <c r="J8177" s="21"/>
      <c r="K8177" s="21" t="s">
        <v>324</v>
      </c>
      <c r="L8177" s="21" t="s">
        <v>141</v>
      </c>
      <c r="M8177" s="21"/>
      <c r="N8177" s="21" t="s">
        <v>40</v>
      </c>
      <c r="O8177" s="21">
        <v>35</v>
      </c>
      <c r="P8177" s="21"/>
      <c r="Q8177" s="21">
        <f t="shared" si="161"/>
        <v>2</v>
      </c>
      <c r="R8177" s="21">
        <v>1</v>
      </c>
      <c r="S8177" s="21">
        <v>0</v>
      </c>
      <c r="T8177" s="21">
        <v>0</v>
      </c>
      <c r="U8177" s="21">
        <v>0</v>
      </c>
      <c r="V8177" s="21">
        <v>1</v>
      </c>
      <c r="W8177" s="21">
        <v>1</v>
      </c>
      <c r="X8177" s="21">
        <v>0</v>
      </c>
      <c r="Y8177" s="21">
        <v>0</v>
      </c>
      <c r="Z8177" s="21">
        <v>0</v>
      </c>
      <c r="AA8177" s="21">
        <v>0</v>
      </c>
      <c r="AB8177" s="21">
        <v>0</v>
      </c>
      <c r="AC8177" s="21">
        <v>0</v>
      </c>
      <c r="AD8177" s="21">
        <v>0</v>
      </c>
      <c r="AE8177" s="21">
        <v>0</v>
      </c>
      <c r="AF8177" s="21"/>
      <c r="AG8177" s="21">
        <v>0</v>
      </c>
      <c r="AH8177" s="21">
        <f t="shared" si="162"/>
        <v>160</v>
      </c>
      <c r="AI8177" s="21"/>
      <c r="AJ8177" s="21" t="s">
        <v>51</v>
      </c>
      <c r="AK8177" s="21" t="s">
        <v>95</v>
      </c>
      <c r="AL8177" s="21"/>
      <c r="AM8177" s="21" t="s">
        <v>4474</v>
      </c>
      <c r="AN8177" s="21">
        <v>-122.440113766667</v>
      </c>
      <c r="AO8177" s="21">
        <v>37.800273983333298</v>
      </c>
      <c r="AP8177" s="21" t="s">
        <v>951</v>
      </c>
    </row>
    <row r="8178" spans="1:42">
      <c r="A8178" s="20">
        <v>43859</v>
      </c>
      <c r="B8178" s="21">
        <v>3</v>
      </c>
      <c r="C8178" s="21">
        <v>207</v>
      </c>
      <c r="D8178" s="21">
        <v>14657</v>
      </c>
      <c r="E8178" s="21"/>
      <c r="F8178" s="21" t="s">
        <v>104</v>
      </c>
      <c r="G8178" s="21">
        <v>2</v>
      </c>
      <c r="H8178" s="21">
        <v>14</v>
      </c>
      <c r="I8178" s="23" t="s">
        <v>2130</v>
      </c>
      <c r="J8178" s="21"/>
      <c r="K8178" s="21" t="s">
        <v>324</v>
      </c>
      <c r="L8178" s="21" t="s">
        <v>141</v>
      </c>
      <c r="M8178" s="21"/>
      <c r="N8178" s="21" t="s">
        <v>40</v>
      </c>
      <c r="O8178" s="21">
        <v>27</v>
      </c>
      <c r="P8178" s="21"/>
      <c r="Q8178" s="21">
        <f t="shared" si="161"/>
        <v>2</v>
      </c>
      <c r="R8178" s="21">
        <v>1</v>
      </c>
      <c r="S8178" s="21">
        <v>0</v>
      </c>
      <c r="T8178" s="21">
        <v>0</v>
      </c>
      <c r="U8178" s="21">
        <v>1</v>
      </c>
      <c r="V8178" s="21">
        <v>1</v>
      </c>
      <c r="W8178" s="21">
        <v>0</v>
      </c>
      <c r="X8178" s="21">
        <v>0</v>
      </c>
      <c r="Y8178" s="21">
        <v>0</v>
      </c>
      <c r="Z8178" s="21">
        <v>0</v>
      </c>
      <c r="AA8178" s="21">
        <v>0</v>
      </c>
      <c r="AB8178" s="21">
        <v>0</v>
      </c>
      <c r="AC8178" s="21">
        <v>0</v>
      </c>
      <c r="AD8178" s="21">
        <v>0</v>
      </c>
      <c r="AE8178" s="21">
        <v>0</v>
      </c>
      <c r="AF8178" s="21"/>
      <c r="AG8178" s="21">
        <v>0</v>
      </c>
      <c r="AH8178" s="21">
        <f t="shared" si="162"/>
        <v>96</v>
      </c>
      <c r="AI8178" s="21"/>
      <c r="AJ8178" s="21" t="s">
        <v>51</v>
      </c>
      <c r="AK8178" s="21" t="s">
        <v>95</v>
      </c>
      <c r="AL8178" s="21"/>
      <c r="AM8178" s="21" t="s">
        <v>4475</v>
      </c>
      <c r="AN8178" s="21">
        <v>-122.439949966667</v>
      </c>
      <c r="AO8178" s="21">
        <v>37.800287816666597</v>
      </c>
      <c r="AP8178" s="21" t="s">
        <v>951</v>
      </c>
    </row>
    <row r="8179" spans="1:42">
      <c r="A8179" s="20">
        <v>43859</v>
      </c>
      <c r="B8179" s="21">
        <v>3</v>
      </c>
      <c r="C8179" s="21">
        <v>207</v>
      </c>
      <c r="D8179" s="21">
        <v>14657</v>
      </c>
      <c r="E8179" s="21"/>
      <c r="F8179" s="21" t="s">
        <v>104</v>
      </c>
      <c r="G8179" s="21">
        <v>2</v>
      </c>
      <c r="H8179" s="21">
        <v>15</v>
      </c>
      <c r="I8179" s="23" t="s">
        <v>4476</v>
      </c>
      <c r="J8179" s="21"/>
      <c r="K8179" s="21" t="s">
        <v>324</v>
      </c>
      <c r="L8179" s="21" t="s">
        <v>141</v>
      </c>
      <c r="M8179" s="21"/>
      <c r="N8179" s="21" t="s">
        <v>40</v>
      </c>
      <c r="O8179" s="21">
        <v>98</v>
      </c>
      <c r="P8179" s="21"/>
      <c r="Q8179" s="21">
        <f t="shared" si="161"/>
        <v>4</v>
      </c>
      <c r="R8179" s="21">
        <v>1</v>
      </c>
      <c r="S8179" s="21">
        <v>0</v>
      </c>
      <c r="T8179" s="21">
        <v>0</v>
      </c>
      <c r="U8179" s="21">
        <v>0</v>
      </c>
      <c r="V8179" s="21">
        <v>4</v>
      </c>
      <c r="W8179" s="21">
        <v>0</v>
      </c>
      <c r="X8179" s="21">
        <v>0</v>
      </c>
      <c r="Y8179" s="21">
        <v>0</v>
      </c>
      <c r="Z8179" s="21">
        <v>0</v>
      </c>
      <c r="AA8179" s="21">
        <v>0</v>
      </c>
      <c r="AB8179" s="21">
        <v>0</v>
      </c>
      <c r="AC8179" s="21">
        <v>0</v>
      </c>
      <c r="AD8179" s="21">
        <v>0</v>
      </c>
      <c r="AE8179" s="21">
        <v>0</v>
      </c>
      <c r="AF8179" s="21"/>
      <c r="AG8179" s="21">
        <v>0</v>
      </c>
      <c r="AH8179" s="21">
        <f t="shared" si="162"/>
        <v>256</v>
      </c>
      <c r="AI8179" s="21"/>
      <c r="AJ8179" s="21" t="s">
        <v>51</v>
      </c>
      <c r="AK8179" s="21" t="s">
        <v>95</v>
      </c>
      <c r="AL8179" s="21"/>
      <c r="AM8179" s="21" t="s">
        <v>4477</v>
      </c>
      <c r="AN8179" s="21">
        <v>-122.4398734</v>
      </c>
      <c r="AO8179" s="21">
        <v>37.800279916666597</v>
      </c>
      <c r="AP8179" s="21" t="s">
        <v>951</v>
      </c>
    </row>
    <row r="8180" spans="1:42">
      <c r="A8180" s="20">
        <v>43859</v>
      </c>
      <c r="B8180" s="21">
        <v>3</v>
      </c>
      <c r="C8180" s="21">
        <v>207</v>
      </c>
      <c r="D8180" s="21">
        <v>14657</v>
      </c>
      <c r="E8180" s="21"/>
      <c r="F8180" s="21" t="s">
        <v>104</v>
      </c>
      <c r="G8180" s="21">
        <v>2</v>
      </c>
      <c r="H8180" s="21">
        <v>16</v>
      </c>
      <c r="I8180" s="23" t="s">
        <v>4478</v>
      </c>
      <c r="J8180" s="21"/>
      <c r="K8180" s="21" t="s">
        <v>324</v>
      </c>
      <c r="L8180" s="21" t="s">
        <v>141</v>
      </c>
      <c r="M8180" s="21"/>
      <c r="N8180" s="21" t="s">
        <v>40</v>
      </c>
      <c r="O8180" s="21">
        <v>24</v>
      </c>
      <c r="P8180" s="21"/>
      <c r="Q8180" s="21">
        <f t="shared" si="161"/>
        <v>1</v>
      </c>
      <c r="R8180" s="21">
        <v>1</v>
      </c>
      <c r="S8180" s="21">
        <v>0</v>
      </c>
      <c r="T8180" s="21">
        <v>0</v>
      </c>
      <c r="U8180" s="21">
        <v>0</v>
      </c>
      <c r="V8180" s="21">
        <v>1</v>
      </c>
      <c r="W8180" s="21">
        <v>0</v>
      </c>
      <c r="X8180" s="21">
        <v>0</v>
      </c>
      <c r="Y8180" s="21">
        <v>0</v>
      </c>
      <c r="Z8180" s="21">
        <v>0</v>
      </c>
      <c r="AA8180" s="21">
        <v>0</v>
      </c>
      <c r="AB8180" s="21">
        <v>0</v>
      </c>
      <c r="AC8180" s="21">
        <v>0</v>
      </c>
      <c r="AD8180" s="21">
        <v>0</v>
      </c>
      <c r="AE8180" s="21">
        <v>0</v>
      </c>
      <c r="AF8180" s="21"/>
      <c r="AG8180" s="21">
        <v>0</v>
      </c>
      <c r="AH8180" s="21">
        <f t="shared" si="162"/>
        <v>64</v>
      </c>
      <c r="AI8180" s="21"/>
      <c r="AJ8180" s="21" t="s">
        <v>51</v>
      </c>
      <c r="AK8180" s="21" t="s">
        <v>95</v>
      </c>
      <c r="AL8180" s="21"/>
      <c r="AM8180" s="21" t="s">
        <v>4479</v>
      </c>
      <c r="AN8180" s="21">
        <v>-122.439294416667</v>
      </c>
      <c r="AO8180" s="21">
        <v>37.800382766666701</v>
      </c>
      <c r="AP8180" s="21" t="s">
        <v>951</v>
      </c>
    </row>
    <row r="8181" spans="1:42">
      <c r="A8181" s="20">
        <v>43859</v>
      </c>
      <c r="B8181" s="21">
        <v>3</v>
      </c>
      <c r="C8181" s="21">
        <v>207</v>
      </c>
      <c r="D8181" s="21">
        <v>14657</v>
      </c>
      <c r="E8181" s="21"/>
      <c r="F8181" s="21" t="s">
        <v>104</v>
      </c>
      <c r="G8181" s="21">
        <v>2</v>
      </c>
      <c r="H8181" s="21">
        <v>17</v>
      </c>
      <c r="I8181" s="23" t="s">
        <v>4480</v>
      </c>
      <c r="J8181" s="21"/>
      <c r="K8181" s="21" t="s">
        <v>324</v>
      </c>
      <c r="L8181" s="21" t="s">
        <v>141</v>
      </c>
      <c r="M8181" s="21"/>
      <c r="N8181" s="21" t="s">
        <v>40</v>
      </c>
      <c r="O8181" s="21">
        <v>45</v>
      </c>
      <c r="P8181" s="21"/>
      <c r="Q8181" s="21">
        <f t="shared" si="161"/>
        <v>2</v>
      </c>
      <c r="R8181" s="21">
        <v>1</v>
      </c>
      <c r="S8181" s="21">
        <v>0</v>
      </c>
      <c r="T8181" s="21">
        <v>0</v>
      </c>
      <c r="U8181" s="21">
        <v>0</v>
      </c>
      <c r="V8181" s="21">
        <v>1</v>
      </c>
      <c r="W8181" s="21">
        <v>1</v>
      </c>
      <c r="X8181" s="21">
        <v>0</v>
      </c>
      <c r="Y8181" s="21">
        <v>0</v>
      </c>
      <c r="Z8181" s="21">
        <v>0</v>
      </c>
      <c r="AA8181" s="21">
        <v>0</v>
      </c>
      <c r="AB8181" s="21">
        <v>0</v>
      </c>
      <c r="AC8181" s="21">
        <v>0</v>
      </c>
      <c r="AD8181" s="21">
        <v>0</v>
      </c>
      <c r="AE8181" s="21">
        <v>0</v>
      </c>
      <c r="AF8181" s="21"/>
      <c r="AG8181" s="21">
        <v>0</v>
      </c>
      <c r="AH8181" s="21">
        <f t="shared" si="162"/>
        <v>160</v>
      </c>
      <c r="AI8181" s="21"/>
      <c r="AJ8181" s="21" t="s">
        <v>51</v>
      </c>
      <c r="AK8181" s="21" t="s">
        <v>95</v>
      </c>
      <c r="AL8181" s="21"/>
      <c r="AM8181" s="21" t="s">
        <v>4481</v>
      </c>
      <c r="AN8181" s="21">
        <v>-122.439131316667</v>
      </c>
      <c r="AO8181" s="21">
        <v>37.800392316666702</v>
      </c>
      <c r="AP8181" s="21" t="s">
        <v>951</v>
      </c>
    </row>
    <row r="8182" spans="1:42">
      <c r="A8182" s="20">
        <v>43859</v>
      </c>
      <c r="B8182" s="21">
        <v>3</v>
      </c>
      <c r="C8182" s="21">
        <v>207</v>
      </c>
      <c r="D8182" s="21">
        <v>14657</v>
      </c>
      <c r="E8182" s="21"/>
      <c r="F8182" s="21" t="s">
        <v>104</v>
      </c>
      <c r="G8182" s="21">
        <v>2</v>
      </c>
      <c r="H8182" s="21">
        <v>18</v>
      </c>
      <c r="I8182" s="23" t="s">
        <v>4482</v>
      </c>
      <c r="J8182" s="21"/>
      <c r="K8182" s="21" t="s">
        <v>324</v>
      </c>
      <c r="L8182" s="21" t="s">
        <v>141</v>
      </c>
      <c r="M8182" s="21"/>
      <c r="N8182" s="21" t="s">
        <v>40</v>
      </c>
      <c r="O8182" s="21">
        <v>46</v>
      </c>
      <c r="P8182" s="21"/>
      <c r="Q8182" s="21">
        <f t="shared" si="161"/>
        <v>2</v>
      </c>
      <c r="R8182" s="21">
        <v>1</v>
      </c>
      <c r="S8182" s="21">
        <v>0</v>
      </c>
      <c r="T8182" s="21">
        <v>0</v>
      </c>
      <c r="U8182" s="21">
        <v>0</v>
      </c>
      <c r="V8182" s="21">
        <v>0</v>
      </c>
      <c r="W8182" s="21">
        <v>2</v>
      </c>
      <c r="X8182" s="21">
        <v>0</v>
      </c>
      <c r="Y8182" s="21">
        <v>0</v>
      </c>
      <c r="Z8182" s="21">
        <v>0</v>
      </c>
      <c r="AA8182" s="21">
        <v>0</v>
      </c>
      <c r="AB8182" s="21">
        <v>0</v>
      </c>
      <c r="AC8182" s="21">
        <v>0</v>
      </c>
      <c r="AD8182" s="21">
        <v>0</v>
      </c>
      <c r="AE8182" s="21">
        <v>0</v>
      </c>
      <c r="AF8182" s="21"/>
      <c r="AG8182" s="21">
        <v>0</v>
      </c>
      <c r="AH8182" s="21">
        <f t="shared" si="162"/>
        <v>192</v>
      </c>
      <c r="AI8182" s="21"/>
      <c r="AJ8182" s="21" t="s">
        <v>51</v>
      </c>
      <c r="AK8182" s="21" t="s">
        <v>95</v>
      </c>
      <c r="AL8182" s="21"/>
      <c r="AM8182" s="21" t="s">
        <v>4483</v>
      </c>
      <c r="AN8182" s="21">
        <v>-122.43861706666701</v>
      </c>
      <c r="AO8182" s="21">
        <v>37.800459250000003</v>
      </c>
      <c r="AP8182" s="21" t="s">
        <v>951</v>
      </c>
    </row>
    <row r="8183" spans="1:42">
      <c r="A8183" s="20">
        <v>43859</v>
      </c>
      <c r="B8183" s="21">
        <v>3</v>
      </c>
      <c r="C8183" s="21">
        <v>207</v>
      </c>
      <c r="D8183" s="21">
        <v>14657</v>
      </c>
      <c r="E8183" s="21"/>
      <c r="F8183" s="21" t="s">
        <v>104</v>
      </c>
      <c r="G8183" s="21">
        <v>2</v>
      </c>
      <c r="H8183" s="21">
        <v>19</v>
      </c>
      <c r="I8183" s="23" t="s">
        <v>2192</v>
      </c>
      <c r="J8183" s="21"/>
      <c r="K8183" s="21" t="s">
        <v>324</v>
      </c>
      <c r="L8183" s="21" t="s">
        <v>141</v>
      </c>
      <c r="M8183" s="21"/>
      <c r="N8183" s="21" t="s">
        <v>40</v>
      </c>
      <c r="O8183" s="21">
        <v>29</v>
      </c>
      <c r="P8183" s="21"/>
      <c r="Q8183" s="21">
        <f t="shared" si="161"/>
        <v>2</v>
      </c>
      <c r="R8183" s="21">
        <v>1</v>
      </c>
      <c r="S8183" s="21">
        <v>0</v>
      </c>
      <c r="T8183" s="21">
        <v>0</v>
      </c>
      <c r="U8183" s="21">
        <v>0</v>
      </c>
      <c r="V8183" s="21">
        <v>2</v>
      </c>
      <c r="W8183" s="21">
        <v>0</v>
      </c>
      <c r="X8183" s="21">
        <v>0</v>
      </c>
      <c r="Y8183" s="21">
        <v>0</v>
      </c>
      <c r="Z8183" s="21">
        <v>0</v>
      </c>
      <c r="AA8183" s="21">
        <v>0</v>
      </c>
      <c r="AB8183" s="21">
        <v>0</v>
      </c>
      <c r="AC8183" s="21">
        <v>0</v>
      </c>
      <c r="AD8183" s="21">
        <v>0</v>
      </c>
      <c r="AE8183" s="21">
        <v>0</v>
      </c>
      <c r="AF8183" s="21"/>
      <c r="AG8183" s="21">
        <v>0</v>
      </c>
      <c r="AH8183" s="21">
        <f t="shared" si="162"/>
        <v>128</v>
      </c>
      <c r="AI8183" s="21"/>
      <c r="AJ8183" s="21" t="s">
        <v>51</v>
      </c>
      <c r="AK8183" s="21" t="s">
        <v>95</v>
      </c>
      <c r="AL8183" s="21"/>
      <c r="AM8183" s="21" t="s">
        <v>4484</v>
      </c>
      <c r="AN8183" s="21">
        <v>-122.438314233333</v>
      </c>
      <c r="AO8183" s="21">
        <v>37.800509849999997</v>
      </c>
      <c r="AP8183" s="21" t="s">
        <v>951</v>
      </c>
    </row>
    <row r="8184" spans="1:42">
      <c r="A8184" s="20">
        <v>43859</v>
      </c>
      <c r="B8184" s="21">
        <v>3</v>
      </c>
      <c r="C8184" s="21">
        <v>207</v>
      </c>
      <c r="D8184" s="21">
        <v>14657</v>
      </c>
      <c r="E8184" s="21"/>
      <c r="F8184" s="21" t="s">
        <v>104</v>
      </c>
      <c r="G8184" s="21">
        <v>2</v>
      </c>
      <c r="H8184" s="21">
        <v>20</v>
      </c>
      <c r="I8184" s="23" t="s">
        <v>4485</v>
      </c>
      <c r="J8184" s="21"/>
      <c r="K8184" s="21" t="s">
        <v>324</v>
      </c>
      <c r="L8184" s="21" t="s">
        <v>141</v>
      </c>
      <c r="M8184" s="21"/>
      <c r="N8184" s="21" t="s">
        <v>40</v>
      </c>
      <c r="O8184" s="21">
        <v>39</v>
      </c>
      <c r="P8184" s="21"/>
      <c r="Q8184" s="21">
        <f t="shared" si="161"/>
        <v>2</v>
      </c>
      <c r="R8184" s="21">
        <v>1</v>
      </c>
      <c r="S8184" s="21">
        <v>0</v>
      </c>
      <c r="T8184" s="21">
        <v>0</v>
      </c>
      <c r="U8184" s="21">
        <v>1</v>
      </c>
      <c r="V8184" s="21">
        <v>1</v>
      </c>
      <c r="W8184" s="21">
        <v>0</v>
      </c>
      <c r="X8184" s="21">
        <v>0</v>
      </c>
      <c r="Y8184" s="21">
        <v>0</v>
      </c>
      <c r="Z8184" s="21">
        <v>0</v>
      </c>
      <c r="AA8184" s="21">
        <v>0</v>
      </c>
      <c r="AB8184" s="21">
        <v>0</v>
      </c>
      <c r="AC8184" s="21">
        <v>0</v>
      </c>
      <c r="AD8184" s="21">
        <v>0</v>
      </c>
      <c r="AE8184" s="21">
        <v>0</v>
      </c>
      <c r="AF8184" s="21"/>
      <c r="AG8184" s="21">
        <v>0</v>
      </c>
      <c r="AH8184" s="21">
        <f t="shared" si="162"/>
        <v>96</v>
      </c>
      <c r="AI8184" s="21"/>
      <c r="AJ8184" s="21" t="s">
        <v>51</v>
      </c>
      <c r="AK8184" s="21" t="s">
        <v>95</v>
      </c>
      <c r="AL8184" s="21"/>
      <c r="AM8184" s="21" t="s">
        <v>4486</v>
      </c>
      <c r="AN8184" s="21">
        <v>-122.438160016667</v>
      </c>
      <c r="AO8184" s="21">
        <v>37.800528983333301</v>
      </c>
      <c r="AP8184" s="21" t="s">
        <v>951</v>
      </c>
    </row>
    <row r="8185" spans="1:42">
      <c r="A8185" s="20">
        <v>43859</v>
      </c>
      <c r="B8185" s="21">
        <v>3</v>
      </c>
      <c r="C8185" s="21">
        <v>207</v>
      </c>
      <c r="D8185" s="21">
        <v>14657</v>
      </c>
      <c r="E8185" s="21"/>
      <c r="F8185" s="21" t="s">
        <v>104</v>
      </c>
      <c r="G8185" s="21">
        <v>2</v>
      </c>
      <c r="H8185" s="21">
        <v>21</v>
      </c>
      <c r="I8185" s="23" t="s">
        <v>4009</v>
      </c>
      <c r="J8185" s="21"/>
      <c r="K8185" s="21" t="s">
        <v>324</v>
      </c>
      <c r="L8185" s="21" t="s">
        <v>141</v>
      </c>
      <c r="M8185" s="21"/>
      <c r="N8185" s="21" t="s">
        <v>40</v>
      </c>
      <c r="O8185" s="21">
        <v>49</v>
      </c>
      <c r="P8185" s="21"/>
      <c r="Q8185" s="21">
        <f t="shared" si="161"/>
        <v>3</v>
      </c>
      <c r="R8185" s="21">
        <v>1</v>
      </c>
      <c r="S8185" s="21">
        <v>0</v>
      </c>
      <c r="T8185" s="21">
        <v>0</v>
      </c>
      <c r="U8185" s="21">
        <v>3</v>
      </c>
      <c r="V8185" s="21">
        <v>0</v>
      </c>
      <c r="W8185" s="21">
        <v>0</v>
      </c>
      <c r="X8185" s="21">
        <v>0</v>
      </c>
      <c r="Y8185" s="21">
        <v>0</v>
      </c>
      <c r="Z8185" s="21">
        <v>0</v>
      </c>
      <c r="AA8185" s="21">
        <v>0</v>
      </c>
      <c r="AB8185" s="21">
        <v>0</v>
      </c>
      <c r="AC8185" s="21">
        <v>0</v>
      </c>
      <c r="AD8185" s="21">
        <v>0</v>
      </c>
      <c r="AE8185" s="21">
        <v>0</v>
      </c>
      <c r="AF8185" s="21"/>
      <c r="AG8185" s="21">
        <v>0</v>
      </c>
      <c r="AH8185" s="21">
        <f t="shared" si="162"/>
        <v>96</v>
      </c>
      <c r="AI8185" s="21"/>
      <c r="AJ8185" s="21" t="s">
        <v>51</v>
      </c>
      <c r="AK8185" s="21" t="s">
        <v>95</v>
      </c>
      <c r="AL8185" s="21"/>
      <c r="AM8185" s="21" t="s">
        <v>4487</v>
      </c>
      <c r="AN8185" s="21">
        <v>-122.43777110000001</v>
      </c>
      <c r="AO8185" s="21">
        <v>37.800572333333299</v>
      </c>
      <c r="AP8185" s="21" t="s">
        <v>951</v>
      </c>
    </row>
    <row r="8186" spans="1:42">
      <c r="A8186" s="20">
        <v>43859</v>
      </c>
      <c r="B8186" s="21">
        <v>3</v>
      </c>
      <c r="C8186" s="21">
        <v>207</v>
      </c>
      <c r="D8186" s="21">
        <v>14657</v>
      </c>
      <c r="E8186" s="21"/>
      <c r="F8186" s="21" t="s">
        <v>104</v>
      </c>
      <c r="G8186" s="21">
        <v>2</v>
      </c>
      <c r="H8186" s="21">
        <v>22</v>
      </c>
      <c r="I8186" s="23" t="s">
        <v>2892</v>
      </c>
      <c r="J8186" s="21"/>
      <c r="K8186" s="21" t="s">
        <v>324</v>
      </c>
      <c r="L8186" s="21" t="s">
        <v>141</v>
      </c>
      <c r="M8186" s="21"/>
      <c r="N8186" s="21" t="s">
        <v>40</v>
      </c>
      <c r="O8186" s="21">
        <v>120</v>
      </c>
      <c r="P8186" s="21"/>
      <c r="Q8186" s="21">
        <f t="shared" si="161"/>
        <v>6</v>
      </c>
      <c r="R8186" s="21">
        <v>1</v>
      </c>
      <c r="S8186" s="21">
        <v>0</v>
      </c>
      <c r="T8186" s="21">
        <v>0</v>
      </c>
      <c r="U8186" s="21">
        <v>1</v>
      </c>
      <c r="V8186" s="21">
        <v>3</v>
      </c>
      <c r="W8186" s="21">
        <v>2</v>
      </c>
      <c r="X8186" s="21">
        <v>0</v>
      </c>
      <c r="Y8186" s="21">
        <v>0</v>
      </c>
      <c r="Z8186" s="21">
        <v>0</v>
      </c>
      <c r="AA8186" s="21">
        <v>0</v>
      </c>
      <c r="AB8186" s="21">
        <v>0</v>
      </c>
      <c r="AC8186" s="21">
        <v>0</v>
      </c>
      <c r="AD8186" s="21">
        <v>0</v>
      </c>
      <c r="AE8186" s="21">
        <v>0</v>
      </c>
      <c r="AF8186" s="21"/>
      <c r="AG8186" s="21">
        <v>0</v>
      </c>
      <c r="AH8186" s="21">
        <f t="shared" si="162"/>
        <v>416</v>
      </c>
      <c r="AI8186" s="21"/>
      <c r="AJ8186" s="21" t="s">
        <v>51</v>
      </c>
      <c r="AK8186" s="21" t="s">
        <v>95</v>
      </c>
      <c r="AL8186" s="21"/>
      <c r="AM8186" s="21" t="s">
        <v>4488</v>
      </c>
      <c r="AN8186" s="21">
        <v>-122.43740695</v>
      </c>
      <c r="AO8186" s="21">
        <v>37.800622816666603</v>
      </c>
      <c r="AP8186" s="21" t="s">
        <v>951</v>
      </c>
    </row>
    <row r="8187" spans="1:42">
      <c r="A8187" s="20">
        <v>43859</v>
      </c>
      <c r="B8187" s="21">
        <v>3</v>
      </c>
      <c r="C8187" s="21">
        <v>207</v>
      </c>
      <c r="D8187" s="21">
        <v>14657</v>
      </c>
      <c r="E8187" s="21"/>
      <c r="F8187" s="21" t="s">
        <v>104</v>
      </c>
      <c r="G8187" s="21">
        <v>2</v>
      </c>
      <c r="H8187" s="21">
        <v>23</v>
      </c>
      <c r="I8187" s="23" t="s">
        <v>4489</v>
      </c>
      <c r="J8187" s="21"/>
      <c r="K8187" s="21" t="s">
        <v>324</v>
      </c>
      <c r="L8187" s="21" t="s">
        <v>141</v>
      </c>
      <c r="M8187" s="21"/>
      <c r="N8187" s="21" t="s">
        <v>40</v>
      </c>
      <c r="O8187" s="21">
        <v>86</v>
      </c>
      <c r="P8187" s="21"/>
      <c r="Q8187" s="21">
        <f t="shared" si="161"/>
        <v>4</v>
      </c>
      <c r="R8187" s="21">
        <v>1</v>
      </c>
      <c r="S8187" s="21">
        <v>0</v>
      </c>
      <c r="T8187" s="21">
        <v>0</v>
      </c>
      <c r="U8187" s="21">
        <v>0</v>
      </c>
      <c r="V8187" s="21">
        <v>4</v>
      </c>
      <c r="W8187" s="21">
        <v>0</v>
      </c>
      <c r="X8187" s="21">
        <v>0</v>
      </c>
      <c r="Y8187" s="21">
        <v>0</v>
      </c>
      <c r="Z8187" s="21">
        <v>0</v>
      </c>
      <c r="AA8187" s="21">
        <v>0</v>
      </c>
      <c r="AB8187" s="21">
        <v>0</v>
      </c>
      <c r="AC8187" s="21">
        <v>0</v>
      </c>
      <c r="AD8187" s="21">
        <v>0</v>
      </c>
      <c r="AE8187" s="21">
        <v>0</v>
      </c>
      <c r="AF8187" s="21"/>
      <c r="AG8187" s="21">
        <v>0</v>
      </c>
      <c r="AH8187" s="21">
        <f t="shared" si="162"/>
        <v>256</v>
      </c>
      <c r="AI8187" s="21"/>
      <c r="AJ8187" s="21" t="s">
        <v>51</v>
      </c>
      <c r="AK8187" s="21" t="s">
        <v>95</v>
      </c>
      <c r="AL8187" s="21"/>
      <c r="AM8187" s="21" t="s">
        <v>4490</v>
      </c>
      <c r="AN8187" s="21">
        <v>-122.436828033333</v>
      </c>
      <c r="AO8187" s="21">
        <v>37.800744049999999</v>
      </c>
      <c r="AP8187" s="21" t="s">
        <v>951</v>
      </c>
    </row>
    <row r="8188" spans="1:42">
      <c r="A8188" s="20">
        <v>43859</v>
      </c>
      <c r="B8188" s="21">
        <v>3</v>
      </c>
      <c r="C8188" s="21">
        <v>207</v>
      </c>
      <c r="D8188" s="21">
        <v>14657</v>
      </c>
      <c r="E8188" s="21"/>
      <c r="F8188" s="21" t="s">
        <v>104</v>
      </c>
      <c r="G8188" s="21">
        <v>2</v>
      </c>
      <c r="H8188" s="21">
        <v>24</v>
      </c>
      <c r="I8188" s="23" t="s">
        <v>4491</v>
      </c>
      <c r="J8188" s="21"/>
      <c r="K8188" s="21" t="s">
        <v>909</v>
      </c>
      <c r="L8188" s="21" t="s">
        <v>141</v>
      </c>
      <c r="M8188" s="21"/>
      <c r="N8188" s="21" t="s">
        <v>40</v>
      </c>
      <c r="O8188" s="21">
        <v>115</v>
      </c>
      <c r="P8188" s="21"/>
      <c r="Q8188" s="21">
        <f t="shared" si="161"/>
        <v>5</v>
      </c>
      <c r="R8188" s="21">
        <v>1</v>
      </c>
      <c r="S8188" s="21">
        <v>0</v>
      </c>
      <c r="T8188" s="21">
        <v>0</v>
      </c>
      <c r="U8188" s="21">
        <v>1</v>
      </c>
      <c r="V8188" s="21">
        <v>3</v>
      </c>
      <c r="W8188" s="21">
        <v>1</v>
      </c>
      <c r="X8188" s="21">
        <v>0</v>
      </c>
      <c r="Y8188" s="21">
        <v>0</v>
      </c>
      <c r="Z8188" s="21">
        <v>0</v>
      </c>
      <c r="AA8188" s="21">
        <v>0</v>
      </c>
      <c r="AB8188" s="21">
        <v>0</v>
      </c>
      <c r="AC8188" s="21">
        <v>0</v>
      </c>
      <c r="AD8188" s="21">
        <v>0</v>
      </c>
      <c r="AE8188" s="21">
        <v>0</v>
      </c>
      <c r="AF8188" s="21"/>
      <c r="AG8188" s="21">
        <v>0</v>
      </c>
      <c r="AH8188" s="21">
        <f t="shared" si="162"/>
        <v>320</v>
      </c>
      <c r="AI8188" s="21"/>
      <c r="AJ8188" s="21" t="s">
        <v>51</v>
      </c>
      <c r="AK8188" s="21" t="s">
        <v>95</v>
      </c>
      <c r="AL8188" s="21"/>
      <c r="AM8188" s="21" t="s">
        <v>4492</v>
      </c>
      <c r="AN8188" s="21">
        <v>-122.43625041666699</v>
      </c>
      <c r="AO8188" s="21">
        <v>37.8005651</v>
      </c>
      <c r="AP8188" s="21" t="s">
        <v>951</v>
      </c>
    </row>
    <row r="8189" spans="1:42">
      <c r="A8189" s="20">
        <v>43859</v>
      </c>
      <c r="B8189" s="21">
        <v>3</v>
      </c>
      <c r="C8189" s="21">
        <v>207</v>
      </c>
      <c r="D8189" s="21">
        <v>14657</v>
      </c>
      <c r="E8189" s="21"/>
      <c r="F8189" s="21" t="s">
        <v>104</v>
      </c>
      <c r="G8189" s="21">
        <v>2</v>
      </c>
      <c r="H8189" s="21">
        <v>25</v>
      </c>
      <c r="I8189" s="23" t="s">
        <v>4493</v>
      </c>
      <c r="J8189" s="21"/>
      <c r="K8189" s="21" t="s">
        <v>909</v>
      </c>
      <c r="L8189" s="21" t="s">
        <v>141</v>
      </c>
      <c r="M8189" s="21"/>
      <c r="N8189" s="21" t="s">
        <v>42</v>
      </c>
      <c r="O8189" s="21">
        <v>83</v>
      </c>
      <c r="P8189" s="21"/>
      <c r="Q8189" s="21">
        <f t="shared" si="161"/>
        <v>2</v>
      </c>
      <c r="R8189" s="21">
        <v>1</v>
      </c>
      <c r="S8189" s="21">
        <v>0</v>
      </c>
      <c r="T8189" s="21">
        <v>0</v>
      </c>
      <c r="U8189" s="21">
        <v>0</v>
      </c>
      <c r="V8189" s="21">
        <v>2</v>
      </c>
      <c r="W8189" s="21">
        <v>0</v>
      </c>
      <c r="X8189" s="21">
        <v>0</v>
      </c>
      <c r="Y8189" s="21">
        <v>0</v>
      </c>
      <c r="Z8189" s="21">
        <v>0</v>
      </c>
      <c r="AA8189" s="21">
        <v>0</v>
      </c>
      <c r="AB8189" s="21">
        <v>0</v>
      </c>
      <c r="AC8189" s="21">
        <v>0</v>
      </c>
      <c r="AD8189" s="21">
        <v>0</v>
      </c>
      <c r="AE8189" s="21">
        <v>0</v>
      </c>
      <c r="AF8189" s="21"/>
      <c r="AG8189" s="21">
        <v>0</v>
      </c>
      <c r="AH8189" s="21">
        <f t="shared" si="162"/>
        <v>128</v>
      </c>
      <c r="AI8189" s="21"/>
      <c r="AJ8189" s="21" t="s">
        <v>51</v>
      </c>
      <c r="AK8189" s="21" t="s">
        <v>95</v>
      </c>
      <c r="AL8189" s="21"/>
      <c r="AM8189" s="21" t="s">
        <v>4494</v>
      </c>
      <c r="AN8189" s="21">
        <v>-122.43619561666701</v>
      </c>
      <c r="AO8189" s="21">
        <v>37.800355850000003</v>
      </c>
      <c r="AP8189" s="21" t="s">
        <v>951</v>
      </c>
    </row>
    <row r="8190" spans="1:42">
      <c r="A8190" s="20">
        <v>43859</v>
      </c>
      <c r="B8190" s="21">
        <v>3</v>
      </c>
      <c r="C8190" s="21">
        <v>207</v>
      </c>
      <c r="D8190" s="21">
        <v>14657</v>
      </c>
      <c r="E8190" s="21"/>
      <c r="F8190" s="21" t="s">
        <v>104</v>
      </c>
      <c r="G8190" s="21">
        <v>2</v>
      </c>
      <c r="H8190" s="21">
        <v>26</v>
      </c>
      <c r="I8190" s="23" t="s">
        <v>4495</v>
      </c>
      <c r="J8190" s="21"/>
      <c r="K8190" s="21" t="s">
        <v>909</v>
      </c>
      <c r="L8190" s="21"/>
      <c r="M8190" s="21"/>
      <c r="N8190" s="21" t="s">
        <v>44</v>
      </c>
      <c r="O8190" s="21">
        <v>120</v>
      </c>
      <c r="P8190" s="21"/>
      <c r="Q8190" s="21">
        <f t="shared" si="161"/>
        <v>2</v>
      </c>
      <c r="R8190" s="21">
        <v>1</v>
      </c>
      <c r="S8190" s="21">
        <v>0</v>
      </c>
      <c r="T8190" s="21">
        <v>0</v>
      </c>
      <c r="U8190" s="21">
        <v>0</v>
      </c>
      <c r="V8190" s="21">
        <v>1</v>
      </c>
      <c r="W8190" s="21">
        <v>1</v>
      </c>
      <c r="X8190" s="21">
        <v>0</v>
      </c>
      <c r="Y8190" s="21">
        <v>0</v>
      </c>
      <c r="Z8190" s="21">
        <v>0</v>
      </c>
      <c r="AA8190" s="21">
        <v>0</v>
      </c>
      <c r="AB8190" s="21">
        <v>0</v>
      </c>
      <c r="AC8190" s="21">
        <v>0</v>
      </c>
      <c r="AD8190" s="21">
        <v>0</v>
      </c>
      <c r="AE8190" s="21">
        <v>0</v>
      </c>
      <c r="AF8190" s="21"/>
      <c r="AG8190" s="21">
        <v>0</v>
      </c>
      <c r="AH8190" s="21">
        <f t="shared" si="162"/>
        <v>160</v>
      </c>
      <c r="AI8190" s="21"/>
      <c r="AJ8190" s="21" t="s">
        <v>51</v>
      </c>
      <c r="AK8190" s="21" t="s">
        <v>95</v>
      </c>
      <c r="AL8190" s="21"/>
      <c r="AM8190" s="21" t="s">
        <v>4496</v>
      </c>
      <c r="AN8190" s="21">
        <v>-122.436216883333</v>
      </c>
      <c r="AO8190" s="21">
        <v>37.800126916666699</v>
      </c>
      <c r="AP8190" s="21" t="s">
        <v>951</v>
      </c>
    </row>
    <row r="8191" spans="1:42">
      <c r="A8191" s="20">
        <v>43859</v>
      </c>
      <c r="B8191" s="21">
        <v>3</v>
      </c>
      <c r="C8191" s="21">
        <v>207</v>
      </c>
      <c r="D8191" s="21">
        <v>14657</v>
      </c>
      <c r="E8191" s="21"/>
      <c r="F8191" s="21" t="s">
        <v>104</v>
      </c>
      <c r="G8191" s="21">
        <v>2</v>
      </c>
      <c r="H8191" s="21">
        <v>27</v>
      </c>
      <c r="I8191" s="23" t="s">
        <v>4497</v>
      </c>
      <c r="J8191" s="21"/>
      <c r="K8191" s="21" t="s">
        <v>210</v>
      </c>
      <c r="L8191" s="21" t="s">
        <v>141</v>
      </c>
      <c r="M8191" s="21"/>
      <c r="N8191" s="21" t="s">
        <v>40</v>
      </c>
      <c r="O8191" s="21">
        <v>90</v>
      </c>
      <c r="P8191" s="21"/>
      <c r="Q8191" s="21">
        <f t="shared" si="161"/>
        <v>3</v>
      </c>
      <c r="R8191" s="21">
        <v>1</v>
      </c>
      <c r="S8191" s="21">
        <v>0</v>
      </c>
      <c r="T8191" s="21">
        <v>0</v>
      </c>
      <c r="U8191" s="21">
        <v>0</v>
      </c>
      <c r="V8191" s="21">
        <v>1</v>
      </c>
      <c r="W8191" s="21">
        <v>2</v>
      </c>
      <c r="X8191" s="21">
        <v>0</v>
      </c>
      <c r="Y8191" s="21">
        <v>0</v>
      </c>
      <c r="Z8191" s="21">
        <v>0</v>
      </c>
      <c r="AA8191" s="21">
        <v>0</v>
      </c>
      <c r="AB8191" s="21">
        <v>0</v>
      </c>
      <c r="AC8191" s="21">
        <v>0</v>
      </c>
      <c r="AD8191" s="21">
        <v>0</v>
      </c>
      <c r="AE8191" s="21">
        <v>0</v>
      </c>
      <c r="AF8191" s="21"/>
      <c r="AG8191" s="21">
        <v>0</v>
      </c>
      <c r="AH8191" s="21">
        <f t="shared" si="162"/>
        <v>256</v>
      </c>
      <c r="AI8191" s="21"/>
      <c r="AJ8191" s="21" t="s">
        <v>51</v>
      </c>
      <c r="AK8191" s="21" t="s">
        <v>95</v>
      </c>
      <c r="AL8191" s="21"/>
      <c r="AM8191" s="21" t="s">
        <v>4498</v>
      </c>
      <c r="AN8191" s="21">
        <v>-122.43736793333299</v>
      </c>
      <c r="AO8191" s="21">
        <v>37.799742533333301</v>
      </c>
      <c r="AP8191" s="21" t="s">
        <v>951</v>
      </c>
    </row>
    <row r="8192" spans="1:42">
      <c r="A8192" s="20">
        <v>43859</v>
      </c>
      <c r="B8192" s="21">
        <v>3</v>
      </c>
      <c r="C8192" s="21">
        <v>207</v>
      </c>
      <c r="D8192" s="21">
        <v>14657</v>
      </c>
      <c r="E8192" s="21"/>
      <c r="F8192" s="21" t="s">
        <v>104</v>
      </c>
      <c r="G8192" s="21">
        <v>2</v>
      </c>
      <c r="H8192" s="21">
        <v>28</v>
      </c>
      <c r="I8192" s="23" t="s">
        <v>4499</v>
      </c>
      <c r="J8192" s="21"/>
      <c r="K8192" s="21" t="s">
        <v>113</v>
      </c>
      <c r="L8192" s="21" t="s">
        <v>114</v>
      </c>
      <c r="M8192" s="21"/>
      <c r="N8192" s="21" t="s">
        <v>40</v>
      </c>
      <c r="O8192" s="21">
        <v>103</v>
      </c>
      <c r="P8192" s="21"/>
      <c r="Q8192" s="21">
        <f t="shared" ref="Q8192:Q8255" si="163">SUM(S8192:AE8192)</f>
        <v>6</v>
      </c>
      <c r="R8192" s="21">
        <v>1</v>
      </c>
      <c r="S8192" s="21">
        <v>0</v>
      </c>
      <c r="T8192" s="21">
        <v>0</v>
      </c>
      <c r="U8192" s="21">
        <v>5</v>
      </c>
      <c r="V8192" s="21">
        <v>1</v>
      </c>
      <c r="W8192" s="21">
        <v>0</v>
      </c>
      <c r="X8192" s="21">
        <v>0</v>
      </c>
      <c r="Y8192" s="21">
        <v>0</v>
      </c>
      <c r="Z8192" s="21">
        <v>0</v>
      </c>
      <c r="AA8192" s="21">
        <v>0</v>
      </c>
      <c r="AB8192" s="21">
        <v>0</v>
      </c>
      <c r="AC8192" s="21">
        <v>0</v>
      </c>
      <c r="AD8192" s="21">
        <v>0</v>
      </c>
      <c r="AE8192" s="21">
        <v>0</v>
      </c>
      <c r="AF8192" s="21"/>
      <c r="AG8192" s="21">
        <v>0</v>
      </c>
      <c r="AH8192" s="21">
        <f t="shared" ref="AH8192:AH8255" si="164">(S8192*16)+(T8192*20)+(U8192*32)+(V8192*64)+(W8192*96)</f>
        <v>224</v>
      </c>
      <c r="AI8192" s="21"/>
      <c r="AJ8192" s="21" t="s">
        <v>51</v>
      </c>
      <c r="AK8192" s="21" t="s">
        <v>95</v>
      </c>
      <c r="AL8192" s="21"/>
      <c r="AM8192" s="21" t="s">
        <v>4500</v>
      </c>
      <c r="AN8192" s="21">
        <v>-122.437751816667</v>
      </c>
      <c r="AO8192" s="21">
        <v>37.800036900000002</v>
      </c>
      <c r="AP8192" s="21" t="s">
        <v>951</v>
      </c>
    </row>
    <row r="8193" spans="1:42">
      <c r="A8193" s="20">
        <v>43859</v>
      </c>
      <c r="B8193" s="21">
        <v>3</v>
      </c>
      <c r="C8193" s="21">
        <v>207</v>
      </c>
      <c r="D8193" s="21">
        <v>14657</v>
      </c>
      <c r="E8193" s="21"/>
      <c r="F8193" s="21" t="s">
        <v>104</v>
      </c>
      <c r="G8193" s="21">
        <v>2</v>
      </c>
      <c r="H8193" s="21">
        <v>29</v>
      </c>
      <c r="I8193" s="23" t="s">
        <v>4501</v>
      </c>
      <c r="J8193" s="21"/>
      <c r="K8193" s="21" t="s">
        <v>113</v>
      </c>
      <c r="L8193" s="21" t="s">
        <v>114</v>
      </c>
      <c r="M8193" s="21"/>
      <c r="N8193" s="21" t="s">
        <v>40</v>
      </c>
      <c r="O8193" s="21">
        <v>151</v>
      </c>
      <c r="P8193" s="21"/>
      <c r="Q8193" s="21">
        <f t="shared" si="163"/>
        <v>5</v>
      </c>
      <c r="R8193" s="21">
        <v>1</v>
      </c>
      <c r="S8193" s="21">
        <v>0</v>
      </c>
      <c r="T8193" s="21">
        <v>0</v>
      </c>
      <c r="U8193" s="21">
        <v>0</v>
      </c>
      <c r="V8193" s="21">
        <v>4</v>
      </c>
      <c r="W8193" s="21">
        <v>1</v>
      </c>
      <c r="X8193" s="21">
        <v>0</v>
      </c>
      <c r="Y8193" s="21">
        <v>0</v>
      </c>
      <c r="Z8193" s="21">
        <v>0</v>
      </c>
      <c r="AA8193" s="21">
        <v>0</v>
      </c>
      <c r="AB8193" s="21">
        <v>0</v>
      </c>
      <c r="AC8193" s="21">
        <v>0</v>
      </c>
      <c r="AD8193" s="21">
        <v>0</v>
      </c>
      <c r="AE8193" s="21">
        <v>0</v>
      </c>
      <c r="AF8193" s="21"/>
      <c r="AG8193" s="21">
        <v>0</v>
      </c>
      <c r="AH8193" s="21">
        <f t="shared" si="164"/>
        <v>352</v>
      </c>
      <c r="AI8193" s="21"/>
      <c r="AJ8193" s="21" t="s">
        <v>51</v>
      </c>
      <c r="AK8193" s="21" t="s">
        <v>95</v>
      </c>
      <c r="AL8193" s="21"/>
      <c r="AM8193" s="21" t="s">
        <v>4502</v>
      </c>
      <c r="AN8193" s="21">
        <v>-122.437832983333</v>
      </c>
      <c r="AO8193" s="21">
        <v>37.800239216666597</v>
      </c>
      <c r="AP8193" s="21" t="s">
        <v>951</v>
      </c>
    </row>
    <row r="8194" spans="1:42">
      <c r="A8194" s="20">
        <v>43859</v>
      </c>
      <c r="B8194" s="21">
        <v>3</v>
      </c>
      <c r="C8194" s="21">
        <v>207</v>
      </c>
      <c r="D8194" s="21">
        <v>14657</v>
      </c>
      <c r="E8194" s="21"/>
      <c r="F8194" s="21" t="s">
        <v>104</v>
      </c>
      <c r="G8194" s="21">
        <v>2</v>
      </c>
      <c r="H8194" s="21">
        <v>30</v>
      </c>
      <c r="I8194" s="23" t="s">
        <v>4503</v>
      </c>
      <c r="J8194" s="21"/>
      <c r="K8194" s="21" t="s">
        <v>113</v>
      </c>
      <c r="L8194" s="21" t="s">
        <v>114</v>
      </c>
      <c r="M8194" s="21"/>
      <c r="N8194" s="21" t="s">
        <v>40</v>
      </c>
      <c r="O8194" s="21">
        <v>61</v>
      </c>
      <c r="P8194" s="21"/>
      <c r="Q8194" s="21">
        <f t="shared" si="163"/>
        <v>2</v>
      </c>
      <c r="R8194" s="21">
        <v>1</v>
      </c>
      <c r="S8194" s="21">
        <v>0</v>
      </c>
      <c r="T8194" s="21">
        <v>0</v>
      </c>
      <c r="U8194" s="21">
        <v>0</v>
      </c>
      <c r="V8194" s="21">
        <v>2</v>
      </c>
      <c r="W8194" s="21">
        <v>0</v>
      </c>
      <c r="X8194" s="21">
        <v>0</v>
      </c>
      <c r="Y8194" s="21">
        <v>0</v>
      </c>
      <c r="Z8194" s="21">
        <v>0</v>
      </c>
      <c r="AA8194" s="21">
        <v>0</v>
      </c>
      <c r="AB8194" s="21">
        <v>0</v>
      </c>
      <c r="AC8194" s="21">
        <v>0</v>
      </c>
      <c r="AD8194" s="21">
        <v>0</v>
      </c>
      <c r="AE8194" s="21">
        <v>0</v>
      </c>
      <c r="AF8194" s="21"/>
      <c r="AG8194" s="21">
        <v>0</v>
      </c>
      <c r="AH8194" s="21">
        <f t="shared" si="164"/>
        <v>128</v>
      </c>
      <c r="AI8194" s="21"/>
      <c r="AJ8194" s="21" t="s">
        <v>51</v>
      </c>
      <c r="AK8194" s="21" t="s">
        <v>95</v>
      </c>
      <c r="AL8194" s="21"/>
      <c r="AM8194" s="21" t="s">
        <v>4504</v>
      </c>
      <c r="AN8194" s="21">
        <v>-122.437883116667</v>
      </c>
      <c r="AO8194" s="21">
        <v>37.800377366666702</v>
      </c>
      <c r="AP8194" s="21" t="s">
        <v>951</v>
      </c>
    </row>
    <row r="8195" spans="1:42">
      <c r="A8195" s="20">
        <v>43859</v>
      </c>
      <c r="B8195" s="21">
        <v>3</v>
      </c>
      <c r="C8195" s="21">
        <v>207</v>
      </c>
      <c r="D8195" s="21">
        <v>14657</v>
      </c>
      <c r="E8195" s="21"/>
      <c r="F8195" s="21" t="s">
        <v>104</v>
      </c>
      <c r="G8195" s="21">
        <v>2</v>
      </c>
      <c r="H8195" s="21">
        <v>31</v>
      </c>
      <c r="I8195" s="23" t="s">
        <v>4505</v>
      </c>
      <c r="J8195" s="21"/>
      <c r="K8195" s="21" t="s">
        <v>113</v>
      </c>
      <c r="L8195" s="21" t="s">
        <v>114</v>
      </c>
      <c r="M8195" s="21"/>
      <c r="N8195" s="21" t="s">
        <v>40</v>
      </c>
      <c r="O8195" s="21">
        <v>45</v>
      </c>
      <c r="P8195" s="21"/>
      <c r="Q8195" s="21">
        <f t="shared" si="163"/>
        <v>2</v>
      </c>
      <c r="R8195" s="21">
        <v>1</v>
      </c>
      <c r="S8195" s="21">
        <v>0</v>
      </c>
      <c r="T8195" s="21">
        <v>0</v>
      </c>
      <c r="U8195" s="21">
        <v>1</v>
      </c>
      <c r="V8195" s="21">
        <v>1</v>
      </c>
      <c r="W8195" s="21">
        <v>0</v>
      </c>
      <c r="X8195" s="21">
        <v>0</v>
      </c>
      <c r="Y8195" s="21">
        <v>0</v>
      </c>
      <c r="Z8195" s="21">
        <v>0</v>
      </c>
      <c r="AA8195" s="21">
        <v>0</v>
      </c>
      <c r="AB8195" s="21">
        <v>0</v>
      </c>
      <c r="AC8195" s="21">
        <v>0</v>
      </c>
      <c r="AD8195" s="21">
        <v>0</v>
      </c>
      <c r="AE8195" s="21">
        <v>0</v>
      </c>
      <c r="AF8195" s="21"/>
      <c r="AG8195" s="21">
        <v>0</v>
      </c>
      <c r="AH8195" s="21">
        <f t="shared" si="164"/>
        <v>96</v>
      </c>
      <c r="AI8195" s="21"/>
      <c r="AJ8195" s="21" t="s">
        <v>51</v>
      </c>
      <c r="AK8195" s="21" t="s">
        <v>95</v>
      </c>
      <c r="AL8195" s="21"/>
      <c r="AM8195" s="21" t="s">
        <v>4506</v>
      </c>
      <c r="AN8195" s="21">
        <v>-122.43785528333299</v>
      </c>
      <c r="AO8195" s="21">
        <v>37.800435516666703</v>
      </c>
      <c r="AP8195" s="21" t="s">
        <v>951</v>
      </c>
    </row>
    <row r="8196" spans="1:42">
      <c r="A8196" s="20">
        <v>43859</v>
      </c>
      <c r="B8196" s="21">
        <v>3</v>
      </c>
      <c r="C8196" s="21">
        <v>207</v>
      </c>
      <c r="D8196" s="21">
        <v>14657</v>
      </c>
      <c r="E8196" s="21"/>
      <c r="F8196" s="21" t="s">
        <v>104</v>
      </c>
      <c r="G8196" s="21">
        <v>2</v>
      </c>
      <c r="H8196" s="21">
        <v>32</v>
      </c>
      <c r="I8196" s="23" t="s">
        <v>4507</v>
      </c>
      <c r="J8196" s="21"/>
      <c r="K8196" t="s">
        <v>192</v>
      </c>
      <c r="L8196" s="21" t="s">
        <v>141</v>
      </c>
      <c r="M8196" s="21"/>
      <c r="N8196" s="21" t="s">
        <v>40</v>
      </c>
      <c r="O8196" s="21">
        <v>115</v>
      </c>
      <c r="P8196" s="21"/>
      <c r="Q8196" s="21">
        <f t="shared" si="163"/>
        <v>6</v>
      </c>
      <c r="R8196" s="21">
        <v>1</v>
      </c>
      <c r="S8196" s="21">
        <v>0</v>
      </c>
      <c r="T8196" s="21">
        <v>0</v>
      </c>
      <c r="U8196" s="21">
        <v>3</v>
      </c>
      <c r="V8196" s="21">
        <v>3</v>
      </c>
      <c r="W8196" s="21">
        <v>0</v>
      </c>
      <c r="X8196" s="21">
        <v>0</v>
      </c>
      <c r="Y8196" s="21">
        <v>0</v>
      </c>
      <c r="Z8196" s="21">
        <v>0</v>
      </c>
      <c r="AA8196" s="21">
        <v>0</v>
      </c>
      <c r="AB8196" s="21">
        <v>0</v>
      </c>
      <c r="AC8196" s="21">
        <v>0</v>
      </c>
      <c r="AD8196" s="21">
        <v>0</v>
      </c>
      <c r="AE8196" s="21">
        <v>0</v>
      </c>
      <c r="AF8196" s="21"/>
      <c r="AG8196" s="21">
        <v>0</v>
      </c>
      <c r="AH8196" s="21">
        <f t="shared" si="164"/>
        <v>288</v>
      </c>
      <c r="AI8196" s="21"/>
      <c r="AJ8196" s="21" t="s">
        <v>51</v>
      </c>
      <c r="AK8196" s="21" t="s">
        <v>95</v>
      </c>
      <c r="AL8196" s="21"/>
      <c r="AM8196" s="21" t="s">
        <v>4508</v>
      </c>
      <c r="AN8196" s="21">
        <v>-122.43953945</v>
      </c>
      <c r="AO8196" s="21">
        <v>37.800152333333301</v>
      </c>
      <c r="AP8196" s="21" t="s">
        <v>951</v>
      </c>
    </row>
    <row r="8197" spans="1:42">
      <c r="A8197" s="20">
        <v>43859</v>
      </c>
      <c r="B8197" s="21">
        <v>3</v>
      </c>
      <c r="C8197" s="21">
        <v>207</v>
      </c>
      <c r="D8197" s="21">
        <v>14657</v>
      </c>
      <c r="E8197" s="21"/>
      <c r="F8197" s="21" t="s">
        <v>104</v>
      </c>
      <c r="G8197" s="21">
        <v>2</v>
      </c>
      <c r="H8197" s="21">
        <v>33</v>
      </c>
      <c r="I8197" s="23" t="s">
        <v>4509</v>
      </c>
      <c r="J8197" s="21"/>
      <c r="K8197" t="s">
        <v>192</v>
      </c>
      <c r="L8197" s="21" t="s">
        <v>141</v>
      </c>
      <c r="M8197" s="21"/>
      <c r="N8197" s="21" t="s">
        <v>40</v>
      </c>
      <c r="O8197" s="21">
        <v>27</v>
      </c>
      <c r="P8197" s="21"/>
      <c r="Q8197" s="21">
        <f t="shared" si="163"/>
        <v>1</v>
      </c>
      <c r="R8197" s="21">
        <v>1</v>
      </c>
      <c r="S8197" s="21">
        <v>0</v>
      </c>
      <c r="T8197" s="21">
        <v>0</v>
      </c>
      <c r="U8197" s="21">
        <v>0</v>
      </c>
      <c r="V8197" s="21">
        <v>0</v>
      </c>
      <c r="W8197" s="21">
        <v>1</v>
      </c>
      <c r="X8197" s="21">
        <v>0</v>
      </c>
      <c r="Y8197" s="21">
        <v>0</v>
      </c>
      <c r="Z8197" s="21">
        <v>0</v>
      </c>
      <c r="AA8197" s="21">
        <v>0</v>
      </c>
      <c r="AB8197" s="21">
        <v>0</v>
      </c>
      <c r="AC8197" s="21">
        <v>0</v>
      </c>
      <c r="AD8197" s="21">
        <v>0</v>
      </c>
      <c r="AE8197" s="21">
        <v>0</v>
      </c>
      <c r="AF8197" s="21"/>
      <c r="AG8197" s="21">
        <v>0</v>
      </c>
      <c r="AH8197" s="21">
        <f t="shared" si="164"/>
        <v>96</v>
      </c>
      <c r="AI8197" s="21"/>
      <c r="AJ8197" s="21" t="s">
        <v>51</v>
      </c>
      <c r="AK8197" s="21" t="s">
        <v>95</v>
      </c>
      <c r="AL8197" s="21"/>
      <c r="AM8197" s="21" t="s">
        <v>4510</v>
      </c>
      <c r="AN8197" s="21">
        <v>-122.439569816667</v>
      </c>
      <c r="AO8197" s="21">
        <v>37.800068183333302</v>
      </c>
      <c r="AP8197" s="21" t="s">
        <v>951</v>
      </c>
    </row>
    <row r="8198" spans="1:42">
      <c r="A8198" s="20">
        <v>43859</v>
      </c>
      <c r="B8198" s="21">
        <v>3</v>
      </c>
      <c r="C8198" s="21">
        <v>207</v>
      </c>
      <c r="D8198" s="21">
        <v>14657</v>
      </c>
      <c r="E8198" s="21"/>
      <c r="F8198" s="21" t="s">
        <v>104</v>
      </c>
      <c r="G8198" s="21">
        <v>2</v>
      </c>
      <c r="H8198" s="21">
        <v>34</v>
      </c>
      <c r="I8198" s="23" t="s">
        <v>4511</v>
      </c>
      <c r="J8198" s="21"/>
      <c r="K8198" t="s">
        <v>192</v>
      </c>
      <c r="L8198" s="21" t="s">
        <v>141</v>
      </c>
      <c r="M8198" s="21"/>
      <c r="N8198" s="21" t="s">
        <v>40</v>
      </c>
      <c r="O8198" s="21">
        <v>30</v>
      </c>
      <c r="P8198" s="21"/>
      <c r="Q8198" s="21">
        <f t="shared" si="163"/>
        <v>2</v>
      </c>
      <c r="R8198" s="21">
        <v>1</v>
      </c>
      <c r="S8198" s="21">
        <v>0</v>
      </c>
      <c r="T8198" s="21">
        <v>0</v>
      </c>
      <c r="U8198" s="21">
        <v>0</v>
      </c>
      <c r="V8198" s="21">
        <v>1</v>
      </c>
      <c r="W8198" s="21">
        <v>1</v>
      </c>
      <c r="X8198" s="21">
        <v>0</v>
      </c>
      <c r="Y8198" s="21">
        <v>0</v>
      </c>
      <c r="Z8198" s="21">
        <v>0</v>
      </c>
      <c r="AA8198" s="21">
        <v>0</v>
      </c>
      <c r="AB8198" s="21">
        <v>0</v>
      </c>
      <c r="AC8198" s="21">
        <v>0</v>
      </c>
      <c r="AD8198" s="21">
        <v>0</v>
      </c>
      <c r="AE8198" s="21">
        <v>0</v>
      </c>
      <c r="AF8198" s="21"/>
      <c r="AG8198" s="21">
        <v>0</v>
      </c>
      <c r="AH8198" s="21">
        <f t="shared" si="164"/>
        <v>160</v>
      </c>
      <c r="AI8198" s="21"/>
      <c r="AJ8198" s="21" t="s">
        <v>51</v>
      </c>
      <c r="AK8198" s="21" t="s">
        <v>95</v>
      </c>
      <c r="AL8198" s="21"/>
      <c r="AM8198" s="21" t="s">
        <v>4512</v>
      </c>
      <c r="AN8198" s="21">
        <v>-122.439208618658</v>
      </c>
      <c r="AO8198" s="21">
        <v>37.799590390251304</v>
      </c>
      <c r="AP8198" s="21" t="s">
        <v>951</v>
      </c>
    </row>
    <row r="8199" spans="1:42">
      <c r="A8199" s="20">
        <v>43859</v>
      </c>
      <c r="B8199" s="21">
        <v>3</v>
      </c>
      <c r="C8199" s="21">
        <v>207</v>
      </c>
      <c r="D8199" s="21">
        <v>14657</v>
      </c>
      <c r="E8199" s="21"/>
      <c r="F8199" s="21" t="s">
        <v>104</v>
      </c>
      <c r="G8199" s="21">
        <v>2</v>
      </c>
      <c r="H8199" s="21">
        <v>35</v>
      </c>
      <c r="I8199" s="23" t="s">
        <v>4513</v>
      </c>
      <c r="J8199" s="21"/>
      <c r="K8199" t="s">
        <v>192</v>
      </c>
      <c r="L8199" s="21"/>
      <c r="M8199" s="21"/>
      <c r="N8199" s="21" t="s">
        <v>44</v>
      </c>
      <c r="O8199" s="21">
        <v>72</v>
      </c>
      <c r="P8199" s="21"/>
      <c r="Q8199" s="21">
        <f t="shared" si="163"/>
        <v>2</v>
      </c>
      <c r="R8199" s="21">
        <v>1</v>
      </c>
      <c r="S8199" s="21">
        <v>0</v>
      </c>
      <c r="T8199" s="21">
        <v>0</v>
      </c>
      <c r="U8199" s="21">
        <v>0</v>
      </c>
      <c r="V8199" s="21">
        <v>2</v>
      </c>
      <c r="W8199" s="21">
        <v>0</v>
      </c>
      <c r="X8199" s="21">
        <v>0</v>
      </c>
      <c r="Y8199" s="21">
        <v>0</v>
      </c>
      <c r="Z8199" s="21">
        <v>0</v>
      </c>
      <c r="AA8199" s="21">
        <v>0</v>
      </c>
      <c r="AB8199" s="21">
        <v>0</v>
      </c>
      <c r="AC8199" s="21">
        <v>0</v>
      </c>
      <c r="AD8199" s="21">
        <v>0</v>
      </c>
      <c r="AE8199" s="21">
        <v>0</v>
      </c>
      <c r="AF8199" s="21"/>
      <c r="AG8199" s="21">
        <v>0</v>
      </c>
      <c r="AH8199" s="21">
        <f t="shared" si="164"/>
        <v>128</v>
      </c>
      <c r="AI8199" s="21"/>
      <c r="AJ8199" s="21" t="s">
        <v>51</v>
      </c>
      <c r="AK8199" s="21" t="s">
        <v>95</v>
      </c>
      <c r="AL8199" s="21"/>
      <c r="AM8199" s="21" t="s">
        <v>4514</v>
      </c>
      <c r="AN8199" s="21">
        <v>-122.439601633333</v>
      </c>
      <c r="AO8199" s="21">
        <v>37.799958250000003</v>
      </c>
      <c r="AP8199" s="21" t="s">
        <v>951</v>
      </c>
    </row>
    <row r="8200" spans="1:42">
      <c r="A8200" s="20">
        <v>43859</v>
      </c>
      <c r="B8200" s="21">
        <v>3</v>
      </c>
      <c r="C8200" s="21">
        <v>207</v>
      </c>
      <c r="D8200" s="21">
        <v>14657</v>
      </c>
      <c r="E8200" s="21"/>
      <c r="F8200" s="21" t="s">
        <v>104</v>
      </c>
      <c r="G8200" s="21">
        <v>2</v>
      </c>
      <c r="H8200" s="21">
        <v>36</v>
      </c>
      <c r="I8200" s="23" t="s">
        <v>4515</v>
      </c>
      <c r="J8200" s="21"/>
      <c r="K8200" s="21" t="s">
        <v>210</v>
      </c>
      <c r="L8200" s="21" t="s">
        <v>114</v>
      </c>
      <c r="M8200" s="21"/>
      <c r="N8200" s="21" t="s">
        <v>40</v>
      </c>
      <c r="O8200" s="21">
        <v>34</v>
      </c>
      <c r="P8200" s="21"/>
      <c r="Q8200" s="21">
        <f t="shared" si="163"/>
        <v>1</v>
      </c>
      <c r="R8200" s="21">
        <v>1</v>
      </c>
      <c r="S8200" s="21">
        <v>0</v>
      </c>
      <c r="T8200" s="21">
        <v>0</v>
      </c>
      <c r="U8200" s="21">
        <v>0</v>
      </c>
      <c r="V8200" s="21">
        <v>1</v>
      </c>
      <c r="W8200" s="21">
        <v>0</v>
      </c>
      <c r="X8200" s="21">
        <v>0</v>
      </c>
      <c r="Y8200" s="21">
        <v>0</v>
      </c>
      <c r="Z8200" s="21">
        <v>0</v>
      </c>
      <c r="AA8200" s="21">
        <v>0</v>
      </c>
      <c r="AB8200" s="21">
        <v>0</v>
      </c>
      <c r="AC8200" s="21">
        <v>0</v>
      </c>
      <c r="AD8200" s="21">
        <v>0</v>
      </c>
      <c r="AE8200" s="21">
        <v>0</v>
      </c>
      <c r="AF8200" s="21"/>
      <c r="AG8200" s="21">
        <v>0</v>
      </c>
      <c r="AH8200" s="21">
        <f t="shared" si="164"/>
        <v>64</v>
      </c>
      <c r="AI8200" s="21"/>
      <c r="AJ8200" s="21" t="s">
        <v>51</v>
      </c>
      <c r="AK8200" s="21" t="s">
        <v>52</v>
      </c>
      <c r="AL8200" s="21"/>
      <c r="AM8200" s="21" t="s">
        <v>4516</v>
      </c>
      <c r="AN8200" s="21">
        <v>-122.440135583333</v>
      </c>
      <c r="AO8200" s="21">
        <v>37.799453366666597</v>
      </c>
      <c r="AP8200" s="21" t="s">
        <v>951</v>
      </c>
    </row>
    <row r="8201" spans="1:42">
      <c r="A8201" s="20">
        <v>43859</v>
      </c>
      <c r="B8201" s="21">
        <v>3</v>
      </c>
      <c r="C8201" s="21">
        <v>207</v>
      </c>
      <c r="D8201" s="21">
        <v>14657</v>
      </c>
      <c r="E8201" s="21"/>
      <c r="F8201" s="21" t="s">
        <v>104</v>
      </c>
      <c r="G8201" s="21">
        <v>2</v>
      </c>
      <c r="H8201" s="21">
        <v>37</v>
      </c>
      <c r="I8201" s="23" t="s">
        <v>4517</v>
      </c>
      <c r="J8201" s="21"/>
      <c r="K8201" s="21" t="s">
        <v>210</v>
      </c>
      <c r="L8201" s="21"/>
      <c r="M8201" s="21"/>
      <c r="N8201" s="21" t="s">
        <v>44</v>
      </c>
      <c r="O8201" s="21">
        <v>98</v>
      </c>
      <c r="P8201" s="21"/>
      <c r="Q8201" s="21">
        <f t="shared" si="163"/>
        <v>1</v>
      </c>
      <c r="R8201" s="21">
        <v>1</v>
      </c>
      <c r="S8201" s="21">
        <v>0</v>
      </c>
      <c r="T8201" s="21">
        <v>0</v>
      </c>
      <c r="U8201" s="21">
        <v>0</v>
      </c>
      <c r="V8201" s="21">
        <v>0</v>
      </c>
      <c r="W8201" s="21">
        <v>1</v>
      </c>
      <c r="X8201" s="21">
        <v>0</v>
      </c>
      <c r="Y8201" s="21">
        <v>0</v>
      </c>
      <c r="Z8201" s="21">
        <v>0</v>
      </c>
      <c r="AA8201" s="21">
        <v>0</v>
      </c>
      <c r="AB8201" s="21">
        <v>0</v>
      </c>
      <c r="AC8201" s="21">
        <v>0</v>
      </c>
      <c r="AD8201" s="21">
        <v>0</v>
      </c>
      <c r="AE8201" s="21">
        <v>0</v>
      </c>
      <c r="AF8201" s="21"/>
      <c r="AG8201" s="21">
        <v>0</v>
      </c>
      <c r="AH8201" s="21">
        <f t="shared" si="164"/>
        <v>96</v>
      </c>
      <c r="AI8201" s="21"/>
      <c r="AJ8201" s="21" t="s">
        <v>51</v>
      </c>
      <c r="AK8201" s="21" t="s">
        <v>95</v>
      </c>
      <c r="AL8201" s="21" t="s">
        <v>4518</v>
      </c>
      <c r="AM8201" s="21" t="s">
        <v>4519</v>
      </c>
      <c r="AN8201" s="21">
        <v>-122.44076863333299</v>
      </c>
      <c r="AO8201" s="21">
        <v>37.799360583333304</v>
      </c>
      <c r="AP8201" s="21" t="s">
        <v>951</v>
      </c>
    </row>
    <row r="8202" spans="1:42">
      <c r="A8202" s="20">
        <v>43859</v>
      </c>
      <c r="B8202" s="21">
        <v>3</v>
      </c>
      <c r="C8202" s="21">
        <v>207</v>
      </c>
      <c r="D8202" s="21">
        <v>14657</v>
      </c>
      <c r="E8202" s="21"/>
      <c r="F8202" s="21" t="s">
        <v>104</v>
      </c>
      <c r="G8202" s="21">
        <v>2</v>
      </c>
      <c r="H8202" s="21">
        <v>38</v>
      </c>
      <c r="I8202" s="23" t="s">
        <v>4520</v>
      </c>
      <c r="J8202" s="21"/>
      <c r="K8202" s="21" t="s">
        <v>113</v>
      </c>
      <c r="L8202" s="21" t="s">
        <v>141</v>
      </c>
      <c r="M8202" s="21"/>
      <c r="N8202" s="21" t="s">
        <v>40</v>
      </c>
      <c r="O8202" s="21">
        <v>70</v>
      </c>
      <c r="P8202" s="21"/>
      <c r="Q8202" s="21">
        <f t="shared" si="163"/>
        <v>4</v>
      </c>
      <c r="R8202" s="21">
        <v>1</v>
      </c>
      <c r="S8202" s="21">
        <v>0</v>
      </c>
      <c r="T8202" s="21">
        <v>0</v>
      </c>
      <c r="U8202" s="21">
        <v>0</v>
      </c>
      <c r="V8202" s="21">
        <v>3</v>
      </c>
      <c r="W8202" s="21">
        <v>1</v>
      </c>
      <c r="X8202" s="21">
        <v>0</v>
      </c>
      <c r="Y8202" s="21">
        <v>0</v>
      </c>
      <c r="Z8202" s="21">
        <v>0</v>
      </c>
      <c r="AA8202" s="21">
        <v>0</v>
      </c>
      <c r="AB8202" s="21">
        <v>0</v>
      </c>
      <c r="AC8202" s="21">
        <v>0</v>
      </c>
      <c r="AD8202" s="21">
        <v>0</v>
      </c>
      <c r="AE8202" s="21">
        <v>0</v>
      </c>
      <c r="AF8202" s="21"/>
      <c r="AG8202" s="21">
        <v>0</v>
      </c>
      <c r="AH8202" s="21">
        <f t="shared" si="164"/>
        <v>288</v>
      </c>
      <c r="AI8202" s="21"/>
      <c r="AJ8202" s="21" t="s">
        <v>51</v>
      </c>
      <c r="AK8202" s="21" t="s">
        <v>95</v>
      </c>
      <c r="AL8202" s="21"/>
      <c r="AM8202" s="21" t="s">
        <v>4521</v>
      </c>
      <c r="AN8202" s="21">
        <v>-122.440581583333</v>
      </c>
      <c r="AO8202" s="21">
        <v>37.800320999999997</v>
      </c>
      <c r="AP8202" s="21" t="s">
        <v>951</v>
      </c>
    </row>
    <row r="8203" spans="1:42">
      <c r="A8203" s="20">
        <v>43859</v>
      </c>
      <c r="B8203" s="21">
        <v>3</v>
      </c>
      <c r="C8203" s="21">
        <v>207</v>
      </c>
      <c r="D8203" s="21">
        <v>14657</v>
      </c>
      <c r="E8203" s="21"/>
      <c r="F8203" s="21" t="s">
        <v>104</v>
      </c>
      <c r="G8203" s="21">
        <v>2</v>
      </c>
      <c r="H8203" s="21">
        <v>39</v>
      </c>
      <c r="I8203" s="23" t="s">
        <v>4522</v>
      </c>
      <c r="J8203" s="21"/>
      <c r="K8203" s="21" t="s">
        <v>113</v>
      </c>
      <c r="L8203" s="21" t="s">
        <v>141</v>
      </c>
      <c r="M8203" s="21"/>
      <c r="N8203" s="21" t="s">
        <v>42</v>
      </c>
      <c r="O8203" s="21">
        <v>248</v>
      </c>
      <c r="P8203" s="21"/>
      <c r="Q8203" s="21">
        <f t="shared" si="163"/>
        <v>6</v>
      </c>
      <c r="R8203" s="21">
        <v>1</v>
      </c>
      <c r="S8203" s="21">
        <v>0</v>
      </c>
      <c r="T8203" s="21">
        <v>0</v>
      </c>
      <c r="U8203" s="21">
        <v>0</v>
      </c>
      <c r="V8203" s="21">
        <v>3</v>
      </c>
      <c r="W8203" s="21">
        <v>3</v>
      </c>
      <c r="X8203" s="21">
        <v>0</v>
      </c>
      <c r="Y8203" s="21">
        <v>0</v>
      </c>
      <c r="Z8203" s="21">
        <v>0</v>
      </c>
      <c r="AA8203" s="21">
        <v>0</v>
      </c>
      <c r="AB8203" s="21">
        <v>0</v>
      </c>
      <c r="AC8203" s="21">
        <v>0</v>
      </c>
      <c r="AD8203" s="21">
        <v>0</v>
      </c>
      <c r="AE8203" s="21">
        <v>0</v>
      </c>
      <c r="AF8203" s="21"/>
      <c r="AG8203" s="21">
        <v>0</v>
      </c>
      <c r="AH8203" s="21">
        <f t="shared" si="164"/>
        <v>480</v>
      </c>
      <c r="AI8203" s="21"/>
      <c r="AJ8203" s="21" t="s">
        <v>51</v>
      </c>
      <c r="AK8203" s="21" t="s">
        <v>95</v>
      </c>
      <c r="AL8203" s="21" t="s">
        <v>1377</v>
      </c>
      <c r="AM8203" s="21" t="s">
        <v>4523</v>
      </c>
      <c r="AN8203" s="21">
        <v>-122.4378502</v>
      </c>
      <c r="AO8203" s="21">
        <v>37.8000051333333</v>
      </c>
      <c r="AP8203" s="21" t="s">
        <v>951</v>
      </c>
    </row>
    <row r="8204" spans="1:42">
      <c r="A8204" s="20">
        <v>43859</v>
      </c>
      <c r="B8204" s="21">
        <v>3</v>
      </c>
      <c r="C8204" s="21">
        <v>207</v>
      </c>
      <c r="D8204" s="21">
        <v>14657</v>
      </c>
      <c r="E8204" s="21"/>
      <c r="F8204" s="21" t="s">
        <v>104</v>
      </c>
      <c r="G8204" s="21">
        <v>2</v>
      </c>
      <c r="H8204" s="21">
        <v>40</v>
      </c>
      <c r="I8204" s="23" t="s">
        <v>2148</v>
      </c>
      <c r="J8204" s="21"/>
      <c r="K8204" s="21" t="s">
        <v>210</v>
      </c>
      <c r="L8204" s="21" t="s">
        <v>114</v>
      </c>
      <c r="M8204" s="21" t="s">
        <v>52</v>
      </c>
      <c r="N8204" s="21" t="s">
        <v>40</v>
      </c>
      <c r="O8204" s="21">
        <v>93</v>
      </c>
      <c r="P8204" s="21"/>
      <c r="Q8204" s="21">
        <f t="shared" si="163"/>
        <v>3</v>
      </c>
      <c r="R8204" s="21">
        <v>1</v>
      </c>
      <c r="S8204" s="21">
        <v>0</v>
      </c>
      <c r="T8204" s="21">
        <v>0</v>
      </c>
      <c r="U8204" s="21">
        <v>0</v>
      </c>
      <c r="V8204" s="21">
        <v>2</v>
      </c>
      <c r="W8204" s="21">
        <v>1</v>
      </c>
      <c r="X8204" s="21">
        <v>0</v>
      </c>
      <c r="Y8204" s="21">
        <v>0</v>
      </c>
      <c r="Z8204" s="21">
        <v>0</v>
      </c>
      <c r="AA8204" s="21">
        <v>0</v>
      </c>
      <c r="AB8204" s="21">
        <v>0</v>
      </c>
      <c r="AC8204" s="21">
        <v>0</v>
      </c>
      <c r="AD8204" s="21">
        <v>0</v>
      </c>
      <c r="AE8204" s="21">
        <v>0</v>
      </c>
      <c r="AF8204" s="21"/>
      <c r="AG8204" s="21">
        <v>0</v>
      </c>
      <c r="AH8204" s="21">
        <f t="shared" si="164"/>
        <v>224</v>
      </c>
      <c r="AI8204" s="21"/>
      <c r="AJ8204" s="21" t="s">
        <v>51</v>
      </c>
      <c r="AK8204" s="21" t="s">
        <v>95</v>
      </c>
      <c r="AL8204" s="21"/>
      <c r="AM8204" s="21" t="s">
        <v>4524</v>
      </c>
      <c r="AN8204" s="21">
        <v>-122.437719433333</v>
      </c>
      <c r="AO8204" s="21">
        <v>37.799736566666702</v>
      </c>
      <c r="AP8204" s="21" t="s">
        <v>951</v>
      </c>
    </row>
    <row r="8205" spans="1:42">
      <c r="A8205" s="20">
        <v>43859</v>
      </c>
      <c r="B8205" s="21">
        <v>3</v>
      </c>
      <c r="C8205" s="21">
        <v>207</v>
      </c>
      <c r="D8205" s="21">
        <v>14657</v>
      </c>
      <c r="E8205" s="21"/>
      <c r="F8205" s="21" t="s">
        <v>104</v>
      </c>
      <c r="G8205" s="21">
        <v>2</v>
      </c>
      <c r="H8205" s="21">
        <v>41</v>
      </c>
      <c r="I8205" s="23" t="s">
        <v>3992</v>
      </c>
      <c r="J8205" s="21"/>
      <c r="K8205" s="21" t="s">
        <v>210</v>
      </c>
      <c r="L8205" s="21"/>
      <c r="M8205" s="21"/>
      <c r="N8205" s="21" t="s">
        <v>44</v>
      </c>
      <c r="O8205" s="21">
        <v>100</v>
      </c>
      <c r="P8205" s="21"/>
      <c r="Q8205" s="21">
        <f t="shared" si="163"/>
        <v>2</v>
      </c>
      <c r="R8205" s="21">
        <v>1</v>
      </c>
      <c r="S8205" s="21">
        <v>0</v>
      </c>
      <c r="T8205" s="21">
        <v>0</v>
      </c>
      <c r="U8205" s="21">
        <v>1</v>
      </c>
      <c r="V8205" s="21">
        <v>0</v>
      </c>
      <c r="W8205" s="21">
        <v>1</v>
      </c>
      <c r="X8205" s="21">
        <v>0</v>
      </c>
      <c r="Y8205" s="21">
        <v>0</v>
      </c>
      <c r="Z8205" s="21">
        <v>0</v>
      </c>
      <c r="AA8205" s="21">
        <v>0</v>
      </c>
      <c r="AB8205" s="21">
        <v>0</v>
      </c>
      <c r="AC8205" s="21">
        <v>0</v>
      </c>
      <c r="AD8205" s="21">
        <v>0</v>
      </c>
      <c r="AE8205" s="21">
        <v>0</v>
      </c>
      <c r="AF8205" s="21"/>
      <c r="AG8205" s="21">
        <v>0</v>
      </c>
      <c r="AH8205" s="21">
        <f t="shared" si="164"/>
        <v>128</v>
      </c>
      <c r="AI8205" s="21"/>
      <c r="AJ8205" s="21" t="s">
        <v>51</v>
      </c>
      <c r="AK8205" s="21" t="s">
        <v>95</v>
      </c>
      <c r="AL8205" s="21" t="s">
        <v>1396</v>
      </c>
      <c r="AM8205" s="21" t="s">
        <v>4525</v>
      </c>
      <c r="AN8205" s="21">
        <v>-122.438480383333</v>
      </c>
      <c r="AO8205" s="21">
        <v>37.799628716666597</v>
      </c>
      <c r="AP8205" s="21" t="s">
        <v>951</v>
      </c>
    </row>
    <row r="8206" spans="1:42">
      <c r="A8206" s="20">
        <v>43859</v>
      </c>
      <c r="B8206" s="21">
        <v>3</v>
      </c>
      <c r="C8206" s="21">
        <v>207</v>
      </c>
      <c r="D8206" s="21">
        <v>14657</v>
      </c>
      <c r="E8206" s="21"/>
      <c r="F8206" s="21" t="s">
        <v>104</v>
      </c>
      <c r="G8206" s="21">
        <v>2</v>
      </c>
      <c r="H8206" s="21">
        <v>42</v>
      </c>
      <c r="I8206" s="23" t="s">
        <v>4526</v>
      </c>
      <c r="J8206" s="21"/>
      <c r="K8206" s="21" t="s">
        <v>210</v>
      </c>
      <c r="L8206" s="21" t="s">
        <v>114</v>
      </c>
      <c r="M8206" s="21"/>
      <c r="N8206" s="21" t="s">
        <v>40</v>
      </c>
      <c r="O8206" s="21">
        <v>110</v>
      </c>
      <c r="P8206" s="21"/>
      <c r="Q8206" s="21">
        <f t="shared" si="163"/>
        <v>4</v>
      </c>
      <c r="R8206" s="21">
        <v>1</v>
      </c>
      <c r="S8206" s="21">
        <v>0</v>
      </c>
      <c r="T8206" s="21">
        <v>0</v>
      </c>
      <c r="U8206" s="21">
        <v>2</v>
      </c>
      <c r="V8206" s="21">
        <v>0</v>
      </c>
      <c r="W8206" s="21">
        <v>2</v>
      </c>
      <c r="X8206" s="21">
        <v>0</v>
      </c>
      <c r="Y8206" s="21">
        <v>0</v>
      </c>
      <c r="Z8206" s="21">
        <v>0</v>
      </c>
      <c r="AA8206" s="21">
        <v>0</v>
      </c>
      <c r="AB8206" s="21">
        <v>0</v>
      </c>
      <c r="AC8206" s="21">
        <v>0</v>
      </c>
      <c r="AD8206" s="21">
        <v>0</v>
      </c>
      <c r="AE8206" s="21">
        <v>0</v>
      </c>
      <c r="AF8206" s="21"/>
      <c r="AG8206" s="21">
        <v>0</v>
      </c>
      <c r="AH8206" s="21">
        <f t="shared" si="164"/>
        <v>256</v>
      </c>
      <c r="AI8206" s="21"/>
      <c r="AJ8206" s="21" t="s">
        <v>51</v>
      </c>
      <c r="AK8206" s="21" t="s">
        <v>95</v>
      </c>
      <c r="AL8206" s="21"/>
      <c r="AM8206" s="21" t="s">
        <v>4527</v>
      </c>
      <c r="AN8206" s="21">
        <v>-122.438837716667</v>
      </c>
      <c r="AO8206" s="21">
        <v>37.799655383333302</v>
      </c>
      <c r="AP8206" s="21" t="s">
        <v>951</v>
      </c>
    </row>
    <row r="8207" spans="1:42">
      <c r="A8207" s="20">
        <v>43859</v>
      </c>
      <c r="B8207" s="21">
        <v>3</v>
      </c>
      <c r="C8207" s="21">
        <v>207</v>
      </c>
      <c r="D8207" s="21">
        <v>14657</v>
      </c>
      <c r="E8207" s="21"/>
      <c r="F8207" s="21" t="s">
        <v>104</v>
      </c>
      <c r="G8207" s="21">
        <v>2</v>
      </c>
      <c r="H8207" s="21">
        <v>43</v>
      </c>
      <c r="I8207" s="23" t="s">
        <v>4528</v>
      </c>
      <c r="J8207" s="21"/>
      <c r="K8207" t="s">
        <v>192</v>
      </c>
      <c r="L8207" s="21" t="s">
        <v>141</v>
      </c>
      <c r="M8207" s="21"/>
      <c r="N8207" s="21" t="s">
        <v>42</v>
      </c>
      <c r="O8207" s="21">
        <v>174</v>
      </c>
      <c r="P8207" s="21"/>
      <c r="Q8207" s="21">
        <f t="shared" si="163"/>
        <v>4</v>
      </c>
      <c r="R8207" s="21">
        <v>1</v>
      </c>
      <c r="S8207" s="21">
        <v>0</v>
      </c>
      <c r="T8207" s="21">
        <v>0</v>
      </c>
      <c r="U8207" s="21">
        <v>3</v>
      </c>
      <c r="V8207" s="21">
        <v>0</v>
      </c>
      <c r="W8207" s="21">
        <v>1</v>
      </c>
      <c r="X8207" s="21">
        <v>0</v>
      </c>
      <c r="Y8207" s="21">
        <v>0</v>
      </c>
      <c r="Z8207" s="21">
        <v>0</v>
      </c>
      <c r="AA8207" s="21">
        <v>0</v>
      </c>
      <c r="AB8207" s="21">
        <v>0</v>
      </c>
      <c r="AC8207" s="21">
        <v>0</v>
      </c>
      <c r="AD8207" s="21">
        <v>0</v>
      </c>
      <c r="AE8207" s="21">
        <v>0</v>
      </c>
      <c r="AF8207" s="21"/>
      <c r="AG8207" s="21">
        <v>0</v>
      </c>
      <c r="AH8207" s="21">
        <f t="shared" si="164"/>
        <v>192</v>
      </c>
      <c r="AI8207" s="21"/>
      <c r="AJ8207" s="21" t="s">
        <v>51</v>
      </c>
      <c r="AK8207" s="21" t="s">
        <v>95</v>
      </c>
      <c r="AL8207" s="21" t="s">
        <v>4529</v>
      </c>
      <c r="AM8207" s="21" t="s">
        <v>4530</v>
      </c>
      <c r="AN8207" s="21">
        <v>-122.439119066667</v>
      </c>
      <c r="AO8207" s="21">
        <v>37.8010971333333</v>
      </c>
      <c r="AP8207" s="21" t="s">
        <v>951</v>
      </c>
    </row>
    <row r="8208" spans="1:42">
      <c r="A8208" s="20">
        <v>43859</v>
      </c>
      <c r="B8208" s="21">
        <v>3</v>
      </c>
      <c r="C8208" s="21">
        <v>207</v>
      </c>
      <c r="D8208" s="21">
        <v>14657</v>
      </c>
      <c r="E8208" s="21"/>
      <c r="F8208" s="21" t="s">
        <v>104</v>
      </c>
      <c r="G8208" s="21">
        <v>2</v>
      </c>
      <c r="H8208" s="21">
        <v>44</v>
      </c>
      <c r="I8208" s="23" t="s">
        <v>4132</v>
      </c>
      <c r="J8208" s="21"/>
      <c r="K8208" s="21" t="s">
        <v>4531</v>
      </c>
      <c r="L8208" s="21" t="s">
        <v>141</v>
      </c>
      <c r="M8208" s="21"/>
      <c r="N8208" s="21" t="s">
        <v>40</v>
      </c>
      <c r="O8208" s="21">
        <v>42</v>
      </c>
      <c r="P8208" s="21"/>
      <c r="Q8208" s="21">
        <f t="shared" si="163"/>
        <v>2</v>
      </c>
      <c r="R8208" s="21">
        <v>1</v>
      </c>
      <c r="S8208" s="21">
        <v>0</v>
      </c>
      <c r="T8208" s="21">
        <v>0</v>
      </c>
      <c r="U8208" s="21">
        <v>2</v>
      </c>
      <c r="V8208" s="21">
        <v>0</v>
      </c>
      <c r="W8208" s="21">
        <v>0</v>
      </c>
      <c r="X8208" s="21">
        <v>0</v>
      </c>
      <c r="Y8208" s="21">
        <v>0</v>
      </c>
      <c r="Z8208" s="21">
        <v>0</v>
      </c>
      <c r="AA8208" s="21">
        <v>0</v>
      </c>
      <c r="AB8208" s="21">
        <v>0</v>
      </c>
      <c r="AC8208" s="21">
        <v>0</v>
      </c>
      <c r="AD8208" s="21">
        <v>0</v>
      </c>
      <c r="AE8208" s="21">
        <v>0</v>
      </c>
      <c r="AF8208" s="21"/>
      <c r="AG8208" s="21">
        <v>0</v>
      </c>
      <c r="AH8208" s="21">
        <f t="shared" si="164"/>
        <v>64</v>
      </c>
      <c r="AI8208" s="21"/>
      <c r="AJ8208" s="21" t="s">
        <v>51</v>
      </c>
      <c r="AK8208" s="21" t="s">
        <v>95</v>
      </c>
      <c r="AL8208" s="21"/>
      <c r="AM8208" s="21" t="s">
        <v>4532</v>
      </c>
      <c r="AN8208" s="21">
        <v>-122.43905530000001</v>
      </c>
      <c r="AO8208" s="21">
        <v>37.801084816666702</v>
      </c>
      <c r="AP8208" s="21" t="s">
        <v>951</v>
      </c>
    </row>
    <row r="8209" spans="1:42">
      <c r="A8209" s="20">
        <v>43859</v>
      </c>
      <c r="B8209" s="21">
        <v>3</v>
      </c>
      <c r="C8209" s="21">
        <v>207</v>
      </c>
      <c r="D8209" s="21">
        <v>14657</v>
      </c>
      <c r="E8209" s="21"/>
      <c r="F8209" s="21" t="s">
        <v>104</v>
      </c>
      <c r="G8209" s="21">
        <v>2</v>
      </c>
      <c r="H8209" s="21">
        <v>46</v>
      </c>
      <c r="I8209" s="23" t="s">
        <v>4533</v>
      </c>
      <c r="J8209" s="21"/>
      <c r="K8209" s="21" t="s">
        <v>4531</v>
      </c>
      <c r="L8209" s="21"/>
      <c r="M8209" s="21"/>
      <c r="N8209" s="21" t="s">
        <v>44</v>
      </c>
      <c r="O8209" s="21">
        <v>77</v>
      </c>
      <c r="P8209" s="21"/>
      <c r="Q8209" s="21">
        <f t="shared" si="163"/>
        <v>1</v>
      </c>
      <c r="R8209" s="21">
        <v>1</v>
      </c>
      <c r="S8209" s="21">
        <v>0</v>
      </c>
      <c r="T8209" s="21">
        <v>0</v>
      </c>
      <c r="U8209" s="21">
        <v>0</v>
      </c>
      <c r="V8209" s="21">
        <v>0</v>
      </c>
      <c r="W8209" s="21">
        <v>1</v>
      </c>
      <c r="X8209" s="21">
        <v>0</v>
      </c>
      <c r="Y8209" s="21">
        <v>0</v>
      </c>
      <c r="Z8209" s="21">
        <v>0</v>
      </c>
      <c r="AA8209" s="21">
        <v>0</v>
      </c>
      <c r="AB8209" s="21">
        <v>0</v>
      </c>
      <c r="AC8209" s="21">
        <v>0</v>
      </c>
      <c r="AD8209" s="21">
        <v>0</v>
      </c>
      <c r="AE8209" s="21">
        <v>0</v>
      </c>
      <c r="AF8209" s="21"/>
      <c r="AG8209" s="21">
        <v>0</v>
      </c>
      <c r="AH8209" s="21">
        <f t="shared" si="164"/>
        <v>96</v>
      </c>
      <c r="AI8209" s="21"/>
      <c r="AJ8209" s="21" t="s">
        <v>51</v>
      </c>
      <c r="AK8209" s="21" t="s">
        <v>95</v>
      </c>
      <c r="AL8209" s="21"/>
      <c r="AM8209" s="21" t="s">
        <v>4534</v>
      </c>
      <c r="AN8209" s="21">
        <v>-122.438718633333</v>
      </c>
      <c r="AO8209" s="21">
        <v>37.801105100000001</v>
      </c>
      <c r="AP8209" s="21" t="s">
        <v>951</v>
      </c>
    </row>
    <row r="8210" spans="1:42">
      <c r="A8210" s="20">
        <v>43859</v>
      </c>
      <c r="B8210" s="21">
        <v>3</v>
      </c>
      <c r="C8210" s="21">
        <v>207</v>
      </c>
      <c r="D8210" s="21">
        <v>14657</v>
      </c>
      <c r="E8210" s="21"/>
      <c r="F8210" s="21" t="s">
        <v>104</v>
      </c>
      <c r="G8210" s="21">
        <v>2</v>
      </c>
      <c r="H8210" s="21">
        <v>47</v>
      </c>
      <c r="I8210" s="23" t="s">
        <v>4535</v>
      </c>
      <c r="J8210" s="21"/>
      <c r="K8210" s="21" t="s">
        <v>4531</v>
      </c>
      <c r="L8210" s="21"/>
      <c r="M8210" s="21"/>
      <c r="N8210" s="21"/>
      <c r="O8210" s="21">
        <v>140</v>
      </c>
      <c r="P8210" s="21"/>
      <c r="Q8210" s="21">
        <f t="shared" si="163"/>
        <v>7</v>
      </c>
      <c r="R8210" s="21">
        <v>1</v>
      </c>
      <c r="S8210" s="21">
        <v>2</v>
      </c>
      <c r="T8210" s="21">
        <v>0</v>
      </c>
      <c r="U8210" s="21">
        <v>5</v>
      </c>
      <c r="V8210" s="21">
        <v>0</v>
      </c>
      <c r="W8210" s="21">
        <v>0</v>
      </c>
      <c r="X8210" s="21">
        <v>0</v>
      </c>
      <c r="Y8210" s="21">
        <v>0</v>
      </c>
      <c r="Z8210" s="21">
        <v>0</v>
      </c>
      <c r="AA8210" s="21">
        <v>0</v>
      </c>
      <c r="AB8210" s="21">
        <v>0</v>
      </c>
      <c r="AC8210" s="21">
        <v>0</v>
      </c>
      <c r="AD8210" s="21">
        <v>0</v>
      </c>
      <c r="AE8210" s="21">
        <v>0</v>
      </c>
      <c r="AF8210" s="21"/>
      <c r="AG8210" s="21">
        <v>0</v>
      </c>
      <c r="AH8210" s="21">
        <f t="shared" si="164"/>
        <v>192</v>
      </c>
      <c r="AI8210" s="21"/>
      <c r="AJ8210" s="21" t="s">
        <v>51</v>
      </c>
      <c r="AK8210" s="21" t="s">
        <v>95</v>
      </c>
      <c r="AL8210" s="21"/>
      <c r="AM8210" s="21" t="s">
        <v>4536</v>
      </c>
      <c r="AN8210" s="21">
        <v>-122.438523266667</v>
      </c>
      <c r="AO8210" s="21">
        <v>37.801237083333298</v>
      </c>
      <c r="AP8210" s="21" t="s">
        <v>951</v>
      </c>
    </row>
    <row r="8211" spans="1:42">
      <c r="A8211" s="20">
        <v>43859</v>
      </c>
      <c r="B8211" s="21">
        <v>3</v>
      </c>
      <c r="C8211" s="21">
        <v>207</v>
      </c>
      <c r="D8211" s="21">
        <v>14657</v>
      </c>
      <c r="E8211" s="21"/>
      <c r="F8211" s="21" t="s">
        <v>104</v>
      </c>
      <c r="G8211" s="21">
        <v>2</v>
      </c>
      <c r="H8211" s="21">
        <v>48</v>
      </c>
      <c r="I8211" s="23" t="s">
        <v>4537</v>
      </c>
      <c r="J8211" s="21"/>
      <c r="K8211" s="21" t="s">
        <v>4531</v>
      </c>
      <c r="L8211" s="21" t="s">
        <v>141</v>
      </c>
      <c r="M8211" s="21"/>
      <c r="N8211" s="21" t="s">
        <v>40</v>
      </c>
      <c r="O8211" s="21">
        <v>70</v>
      </c>
      <c r="P8211" s="21"/>
      <c r="Q8211" s="21">
        <f t="shared" si="163"/>
        <v>3</v>
      </c>
      <c r="R8211" s="21">
        <v>1</v>
      </c>
      <c r="S8211" s="21">
        <v>1</v>
      </c>
      <c r="T8211" s="21">
        <v>0</v>
      </c>
      <c r="U8211" s="21">
        <v>2</v>
      </c>
      <c r="V8211" s="21">
        <v>0</v>
      </c>
      <c r="W8211" s="21">
        <v>0</v>
      </c>
      <c r="X8211" s="21">
        <v>0</v>
      </c>
      <c r="Y8211" s="21">
        <v>0</v>
      </c>
      <c r="Z8211" s="21">
        <v>0</v>
      </c>
      <c r="AA8211" s="21">
        <v>0</v>
      </c>
      <c r="AB8211" s="21">
        <v>0</v>
      </c>
      <c r="AC8211" s="21">
        <v>0</v>
      </c>
      <c r="AD8211" s="21">
        <v>0</v>
      </c>
      <c r="AE8211" s="21">
        <v>0</v>
      </c>
      <c r="AF8211" s="21"/>
      <c r="AG8211" s="21">
        <v>0</v>
      </c>
      <c r="AH8211" s="21">
        <f t="shared" si="164"/>
        <v>80</v>
      </c>
      <c r="AI8211" s="21"/>
      <c r="AJ8211" s="21" t="s">
        <v>51</v>
      </c>
      <c r="AK8211" s="21" t="s">
        <v>95</v>
      </c>
      <c r="AL8211" s="21"/>
      <c r="AM8211" s="21" t="s">
        <v>4538</v>
      </c>
      <c r="AN8211" s="21">
        <v>-122.438309566667</v>
      </c>
      <c r="AO8211" s="21">
        <v>37.801285233333303</v>
      </c>
      <c r="AP8211" s="21" t="s">
        <v>951</v>
      </c>
    </row>
    <row r="8212" spans="1:42">
      <c r="A8212" s="20">
        <v>43859</v>
      </c>
      <c r="B8212" s="21">
        <v>3</v>
      </c>
      <c r="C8212" s="21">
        <v>207</v>
      </c>
      <c r="D8212" s="21">
        <v>14657</v>
      </c>
      <c r="E8212" s="21"/>
      <c r="F8212" s="21" t="s">
        <v>104</v>
      </c>
      <c r="G8212" s="21">
        <v>2</v>
      </c>
      <c r="H8212" s="21">
        <v>49</v>
      </c>
      <c r="I8212" s="23" t="s">
        <v>4539</v>
      </c>
      <c r="J8212" s="21"/>
      <c r="K8212" s="21" t="s">
        <v>4531</v>
      </c>
      <c r="L8212" s="21" t="s">
        <v>141</v>
      </c>
      <c r="M8212" s="21"/>
      <c r="N8212" s="21" t="s">
        <v>40</v>
      </c>
      <c r="O8212" s="21">
        <v>102</v>
      </c>
      <c r="P8212" s="21"/>
      <c r="Q8212" s="21">
        <f t="shared" si="163"/>
        <v>4</v>
      </c>
      <c r="R8212" s="21">
        <v>1</v>
      </c>
      <c r="S8212" s="21">
        <v>2</v>
      </c>
      <c r="T8212" s="21">
        <v>0</v>
      </c>
      <c r="U8212" s="21">
        <v>2</v>
      </c>
      <c r="V8212" s="21">
        <v>0</v>
      </c>
      <c r="W8212" s="21">
        <v>0</v>
      </c>
      <c r="X8212" s="21">
        <v>0</v>
      </c>
      <c r="Y8212" s="21">
        <v>0</v>
      </c>
      <c r="Z8212" s="21">
        <v>0</v>
      </c>
      <c r="AA8212" s="21">
        <v>0</v>
      </c>
      <c r="AB8212" s="21">
        <v>0</v>
      </c>
      <c r="AC8212" s="21">
        <v>0</v>
      </c>
      <c r="AD8212" s="21">
        <v>0</v>
      </c>
      <c r="AE8212" s="21">
        <v>0</v>
      </c>
      <c r="AF8212" s="21"/>
      <c r="AG8212" s="21">
        <v>0</v>
      </c>
      <c r="AH8212" s="21">
        <f t="shared" si="164"/>
        <v>96</v>
      </c>
      <c r="AI8212" s="21"/>
      <c r="AJ8212" s="21" t="s">
        <v>51</v>
      </c>
      <c r="AK8212" s="21" t="s">
        <v>95</v>
      </c>
      <c r="AL8212" s="21"/>
      <c r="AM8212" s="21" t="s">
        <v>4540</v>
      </c>
      <c r="AN8212" s="21">
        <v>-122.43821131666699</v>
      </c>
      <c r="AO8212" s="21">
        <v>37.801377033333303</v>
      </c>
      <c r="AP8212" s="21" t="s">
        <v>951</v>
      </c>
    </row>
    <row r="8213" spans="1:42">
      <c r="A8213" s="20">
        <v>43859</v>
      </c>
      <c r="B8213" s="21">
        <v>3</v>
      </c>
      <c r="C8213" s="21">
        <v>207</v>
      </c>
      <c r="D8213" s="21">
        <v>14657</v>
      </c>
      <c r="E8213" s="21"/>
      <c r="F8213" s="21" t="s">
        <v>104</v>
      </c>
      <c r="G8213" s="21">
        <v>2</v>
      </c>
      <c r="H8213" s="21">
        <v>50</v>
      </c>
      <c r="I8213" s="23" t="s">
        <v>4541</v>
      </c>
      <c r="J8213" s="21"/>
      <c r="K8213" s="21" t="s">
        <v>4531</v>
      </c>
      <c r="L8213" s="21" t="s">
        <v>141</v>
      </c>
      <c r="M8213" s="21"/>
      <c r="N8213" s="21" t="s">
        <v>40</v>
      </c>
      <c r="O8213" s="21">
        <v>48</v>
      </c>
      <c r="P8213" s="21"/>
      <c r="Q8213" s="21">
        <f t="shared" si="163"/>
        <v>2</v>
      </c>
      <c r="R8213" s="21">
        <v>1</v>
      </c>
      <c r="S8213" s="21">
        <v>1</v>
      </c>
      <c r="T8213" s="21">
        <v>0</v>
      </c>
      <c r="U8213" s="21">
        <v>1</v>
      </c>
      <c r="V8213" s="21">
        <v>0</v>
      </c>
      <c r="W8213" s="21">
        <v>0</v>
      </c>
      <c r="X8213" s="21">
        <v>0</v>
      </c>
      <c r="Y8213" s="21">
        <v>0</v>
      </c>
      <c r="Z8213" s="21">
        <v>0</v>
      </c>
      <c r="AA8213" s="21">
        <v>0</v>
      </c>
      <c r="AB8213" s="21">
        <v>0</v>
      </c>
      <c r="AC8213" s="21">
        <v>0</v>
      </c>
      <c r="AD8213" s="21">
        <v>0</v>
      </c>
      <c r="AE8213" s="21">
        <v>0</v>
      </c>
      <c r="AF8213" s="21"/>
      <c r="AG8213" s="21">
        <v>0</v>
      </c>
      <c r="AH8213" s="21">
        <f t="shared" si="164"/>
        <v>48</v>
      </c>
      <c r="AI8213" s="21"/>
      <c r="AJ8213" s="21" t="s">
        <v>51</v>
      </c>
      <c r="AK8213" s="21" t="s">
        <v>95</v>
      </c>
      <c r="AL8213" s="21"/>
      <c r="AM8213" s="21" t="s">
        <v>4542</v>
      </c>
      <c r="AN8213" s="21">
        <v>-122.4380973</v>
      </c>
      <c r="AO8213" s="21">
        <v>37.801457266666702</v>
      </c>
      <c r="AP8213" s="21" t="s">
        <v>951</v>
      </c>
    </row>
    <row r="8214" spans="1:42">
      <c r="A8214" s="20">
        <v>43859</v>
      </c>
      <c r="B8214" s="21">
        <v>3</v>
      </c>
      <c r="C8214" s="21">
        <v>207</v>
      </c>
      <c r="D8214" s="21">
        <v>14657</v>
      </c>
      <c r="E8214" s="21"/>
      <c r="F8214" s="21" t="s">
        <v>104</v>
      </c>
      <c r="G8214" s="21">
        <v>2</v>
      </c>
      <c r="H8214" s="21">
        <v>51</v>
      </c>
      <c r="I8214" s="23" t="s">
        <v>3707</v>
      </c>
      <c r="J8214" s="21"/>
      <c r="K8214" s="21" t="s">
        <v>4531</v>
      </c>
      <c r="L8214" s="21" t="s">
        <v>141</v>
      </c>
      <c r="M8214" s="21"/>
      <c r="N8214" s="21" t="s">
        <v>40</v>
      </c>
      <c r="O8214" s="21">
        <v>62</v>
      </c>
      <c r="P8214" s="21"/>
      <c r="Q8214" s="21">
        <f t="shared" si="163"/>
        <v>2</v>
      </c>
      <c r="R8214" s="21">
        <v>1</v>
      </c>
      <c r="S8214" s="21">
        <v>0</v>
      </c>
      <c r="T8214" s="21">
        <v>0</v>
      </c>
      <c r="U8214" s="21">
        <v>0</v>
      </c>
      <c r="V8214" s="21">
        <v>1</v>
      </c>
      <c r="W8214" s="21">
        <v>1</v>
      </c>
      <c r="X8214" s="21">
        <v>0</v>
      </c>
      <c r="Y8214" s="21">
        <v>0</v>
      </c>
      <c r="Z8214" s="21">
        <v>0</v>
      </c>
      <c r="AA8214" s="21">
        <v>0</v>
      </c>
      <c r="AB8214" s="21">
        <v>0</v>
      </c>
      <c r="AC8214" s="21">
        <v>0</v>
      </c>
      <c r="AD8214" s="21">
        <v>0</v>
      </c>
      <c r="AE8214" s="21">
        <v>0</v>
      </c>
      <c r="AF8214" s="21"/>
      <c r="AG8214" s="21">
        <v>0</v>
      </c>
      <c r="AH8214" s="21">
        <f t="shared" si="164"/>
        <v>160</v>
      </c>
      <c r="AI8214" s="21"/>
      <c r="AJ8214" s="21" t="s">
        <v>51</v>
      </c>
      <c r="AK8214" s="21" t="s">
        <v>95</v>
      </c>
      <c r="AL8214" s="21"/>
      <c r="AM8214" s="21" t="s">
        <v>4543</v>
      </c>
      <c r="AN8214" s="21">
        <v>-122.438183066733</v>
      </c>
      <c r="AO8214" s="21">
        <v>37.800679747137799</v>
      </c>
      <c r="AP8214" s="21" t="s">
        <v>951</v>
      </c>
    </row>
    <row r="8215" spans="1:42">
      <c r="A8215" s="20">
        <v>43859</v>
      </c>
      <c r="B8215" s="21">
        <v>3</v>
      </c>
      <c r="C8215" s="21">
        <v>207</v>
      </c>
      <c r="D8215" s="21">
        <v>14657</v>
      </c>
      <c r="E8215" s="21"/>
      <c r="F8215" s="21" t="s">
        <v>104</v>
      </c>
      <c r="G8215" s="21">
        <v>2</v>
      </c>
      <c r="H8215" s="21">
        <v>52</v>
      </c>
      <c r="I8215" s="23" t="s">
        <v>4270</v>
      </c>
      <c r="J8215" s="21"/>
      <c r="K8215" s="21" t="s">
        <v>4531</v>
      </c>
      <c r="L8215" s="21"/>
      <c r="M8215" s="21"/>
      <c r="N8215" s="21" t="s">
        <v>44</v>
      </c>
      <c r="O8215" s="21">
        <v>118</v>
      </c>
      <c r="P8215" s="21"/>
      <c r="Q8215" s="21">
        <f t="shared" si="163"/>
        <v>2</v>
      </c>
      <c r="R8215" s="21">
        <v>1</v>
      </c>
      <c r="S8215" s="21">
        <v>0</v>
      </c>
      <c r="T8215" s="21">
        <v>0</v>
      </c>
      <c r="U8215" s="21">
        <v>1</v>
      </c>
      <c r="V8215" s="21">
        <v>0</v>
      </c>
      <c r="W8215" s="21">
        <v>1</v>
      </c>
      <c r="X8215" s="21">
        <v>0</v>
      </c>
      <c r="Y8215" s="21">
        <v>0</v>
      </c>
      <c r="Z8215" s="21">
        <v>0</v>
      </c>
      <c r="AA8215" s="21">
        <v>0</v>
      </c>
      <c r="AB8215" s="21">
        <v>0</v>
      </c>
      <c r="AC8215" s="21">
        <v>0</v>
      </c>
      <c r="AD8215" s="21">
        <v>0</v>
      </c>
      <c r="AE8215" s="21">
        <v>0</v>
      </c>
      <c r="AF8215" s="21"/>
      <c r="AG8215" s="21">
        <v>0</v>
      </c>
      <c r="AH8215" s="21">
        <f t="shared" si="164"/>
        <v>128</v>
      </c>
      <c r="AI8215" s="21"/>
      <c r="AJ8215" s="21" t="s">
        <v>51</v>
      </c>
      <c r="AK8215" s="21" t="s">
        <v>95</v>
      </c>
      <c r="AL8215" s="21" t="s">
        <v>4544</v>
      </c>
      <c r="AM8215" s="21" t="s">
        <v>4545</v>
      </c>
      <c r="AN8215" s="21">
        <v>-122.43759900000001</v>
      </c>
      <c r="AO8215" s="21">
        <v>37.8017018166667</v>
      </c>
      <c r="AP8215" s="21" t="s">
        <v>951</v>
      </c>
    </row>
    <row r="8216" spans="1:42">
      <c r="A8216" s="20">
        <v>43859</v>
      </c>
      <c r="B8216" s="21">
        <v>3</v>
      </c>
      <c r="C8216" s="21">
        <v>207</v>
      </c>
      <c r="D8216" s="21">
        <v>14657</v>
      </c>
      <c r="E8216" s="21"/>
      <c r="F8216" s="21" t="s">
        <v>104</v>
      </c>
      <c r="G8216" s="21">
        <v>2</v>
      </c>
      <c r="H8216" s="21">
        <v>53</v>
      </c>
      <c r="I8216" s="23" t="s">
        <v>4546</v>
      </c>
      <c r="J8216" s="21"/>
      <c r="K8216" s="21" t="s">
        <v>1942</v>
      </c>
      <c r="L8216" s="21"/>
      <c r="M8216" s="21" t="s">
        <v>95</v>
      </c>
      <c r="N8216" s="21" t="s">
        <v>44</v>
      </c>
      <c r="O8216" s="21">
        <v>201</v>
      </c>
      <c r="P8216" s="21"/>
      <c r="Q8216" s="21">
        <f t="shared" si="163"/>
        <v>3</v>
      </c>
      <c r="R8216" s="21">
        <v>1</v>
      </c>
      <c r="S8216" s="21">
        <v>0</v>
      </c>
      <c r="T8216" s="21">
        <v>0</v>
      </c>
      <c r="U8216" s="21">
        <v>0</v>
      </c>
      <c r="V8216" s="21">
        <v>0</v>
      </c>
      <c r="W8216" s="21">
        <v>3</v>
      </c>
      <c r="X8216" s="21">
        <v>0</v>
      </c>
      <c r="Y8216" s="21">
        <v>0</v>
      </c>
      <c r="Z8216" s="21">
        <v>0</v>
      </c>
      <c r="AA8216" s="21">
        <v>0</v>
      </c>
      <c r="AB8216" s="21">
        <v>0</v>
      </c>
      <c r="AC8216" s="21">
        <v>0</v>
      </c>
      <c r="AD8216" s="21">
        <v>0</v>
      </c>
      <c r="AE8216" s="21">
        <v>0</v>
      </c>
      <c r="AF8216" s="21"/>
      <c r="AG8216" s="21">
        <v>0</v>
      </c>
      <c r="AH8216" s="21">
        <f t="shared" si="164"/>
        <v>288</v>
      </c>
      <c r="AI8216" s="21"/>
      <c r="AJ8216" s="21" t="s">
        <v>51</v>
      </c>
      <c r="AK8216" s="21" t="s">
        <v>95</v>
      </c>
      <c r="AL8216" s="21" t="s">
        <v>4547</v>
      </c>
      <c r="AM8216" s="21" t="s">
        <v>4548</v>
      </c>
      <c r="AN8216" s="21">
        <v>-122.437648966667</v>
      </c>
      <c r="AO8216" s="21">
        <v>37.802216250000001</v>
      </c>
      <c r="AP8216" s="21" t="s">
        <v>951</v>
      </c>
    </row>
    <row r="8217" spans="1:42">
      <c r="A8217" s="20">
        <v>43859</v>
      </c>
      <c r="B8217" s="21">
        <v>3</v>
      </c>
      <c r="C8217" s="21">
        <v>207</v>
      </c>
      <c r="D8217" s="21">
        <v>14657</v>
      </c>
      <c r="E8217" s="21"/>
      <c r="F8217" s="21" t="s">
        <v>104</v>
      </c>
      <c r="G8217" s="21">
        <v>2</v>
      </c>
      <c r="H8217" s="21">
        <v>54</v>
      </c>
      <c r="I8217" s="23" t="s">
        <v>4270</v>
      </c>
      <c r="J8217" s="21"/>
      <c r="K8217" s="21" t="s">
        <v>861</v>
      </c>
      <c r="L8217" s="21"/>
      <c r="M8217" s="21"/>
      <c r="N8217" s="21" t="s">
        <v>44</v>
      </c>
      <c r="O8217" s="21">
        <v>131</v>
      </c>
      <c r="P8217" s="21"/>
      <c r="Q8217" s="21">
        <f t="shared" si="163"/>
        <v>2</v>
      </c>
      <c r="R8217" s="21">
        <v>1</v>
      </c>
      <c r="S8217" s="21">
        <v>0</v>
      </c>
      <c r="T8217" s="21">
        <v>0</v>
      </c>
      <c r="U8217" s="21">
        <v>0</v>
      </c>
      <c r="V8217" s="21">
        <v>2</v>
      </c>
      <c r="W8217" s="21">
        <v>0</v>
      </c>
      <c r="X8217" s="21">
        <v>0</v>
      </c>
      <c r="Y8217" s="21">
        <v>0</v>
      </c>
      <c r="Z8217" s="21">
        <v>0</v>
      </c>
      <c r="AA8217" s="21">
        <v>0</v>
      </c>
      <c r="AB8217" s="21">
        <v>0</v>
      </c>
      <c r="AC8217" s="21">
        <v>0</v>
      </c>
      <c r="AD8217" s="21">
        <v>0</v>
      </c>
      <c r="AE8217" s="21">
        <v>0</v>
      </c>
      <c r="AF8217" s="21"/>
      <c r="AG8217" s="21">
        <v>0</v>
      </c>
      <c r="AH8217" s="21">
        <f t="shared" si="164"/>
        <v>128</v>
      </c>
      <c r="AI8217" s="21"/>
      <c r="AJ8217" s="21" t="s">
        <v>51</v>
      </c>
      <c r="AK8217" s="21" t="s">
        <v>95</v>
      </c>
      <c r="AL8217" s="21"/>
      <c r="AM8217" s="21" t="s">
        <v>4549</v>
      </c>
      <c r="AN8217" s="21">
        <v>-122.43775188333299</v>
      </c>
      <c r="AO8217" s="21">
        <v>37.802872899999997</v>
      </c>
      <c r="AP8217" s="21" t="s">
        <v>951</v>
      </c>
    </row>
    <row r="8218" spans="1:42">
      <c r="A8218" s="20">
        <v>43859</v>
      </c>
      <c r="B8218" s="21">
        <v>3</v>
      </c>
      <c r="C8218" s="21">
        <v>207</v>
      </c>
      <c r="D8218" s="21">
        <v>14657</v>
      </c>
      <c r="E8218" s="21"/>
      <c r="F8218" s="21" t="s">
        <v>104</v>
      </c>
      <c r="G8218" s="21">
        <v>2</v>
      </c>
      <c r="H8218" s="21">
        <v>55</v>
      </c>
      <c r="I8218" s="23" t="s">
        <v>4550</v>
      </c>
      <c r="J8218" s="21"/>
      <c r="K8218" s="21" t="s">
        <v>861</v>
      </c>
      <c r="L8218" s="21"/>
      <c r="M8218" s="21"/>
      <c r="N8218" s="21" t="s">
        <v>44</v>
      </c>
      <c r="O8218" s="21">
        <v>64</v>
      </c>
      <c r="P8218" s="21"/>
      <c r="Q8218" s="21">
        <f t="shared" si="163"/>
        <v>1</v>
      </c>
      <c r="R8218" s="21">
        <v>1</v>
      </c>
      <c r="S8218" s="21">
        <v>0</v>
      </c>
      <c r="T8218" s="21">
        <v>0</v>
      </c>
      <c r="U8218" s="21">
        <v>0</v>
      </c>
      <c r="V8218" s="21">
        <v>0</v>
      </c>
      <c r="W8218" s="21">
        <v>1</v>
      </c>
      <c r="X8218" s="21">
        <v>0</v>
      </c>
      <c r="Y8218" s="21">
        <v>0</v>
      </c>
      <c r="Z8218" s="21">
        <v>0</v>
      </c>
      <c r="AA8218" s="21">
        <v>0</v>
      </c>
      <c r="AB8218" s="21">
        <v>0</v>
      </c>
      <c r="AC8218" s="21">
        <v>0</v>
      </c>
      <c r="AD8218" s="21">
        <v>0</v>
      </c>
      <c r="AE8218" s="21">
        <v>0</v>
      </c>
      <c r="AF8218" s="21"/>
      <c r="AG8218" s="21">
        <v>0</v>
      </c>
      <c r="AH8218" s="21">
        <f t="shared" si="164"/>
        <v>96</v>
      </c>
      <c r="AI8218" s="21"/>
      <c r="AJ8218" s="21" t="s">
        <v>51</v>
      </c>
      <c r="AK8218" s="21" t="s">
        <v>95</v>
      </c>
      <c r="AL8218" s="21"/>
      <c r="AM8218" s="21" t="s">
        <v>4551</v>
      </c>
      <c r="AN8218" s="21">
        <v>-122.437820116667</v>
      </c>
      <c r="AO8218" s="21">
        <v>37.8028205833333</v>
      </c>
      <c r="AP8218" s="21" t="s">
        <v>951</v>
      </c>
    </row>
    <row r="8219" spans="1:42">
      <c r="A8219" s="20">
        <v>43859</v>
      </c>
      <c r="B8219" s="21">
        <v>3</v>
      </c>
      <c r="C8219" s="21">
        <v>207</v>
      </c>
      <c r="D8219" s="21">
        <v>14657</v>
      </c>
      <c r="E8219" s="21"/>
      <c r="F8219" s="21" t="s">
        <v>104</v>
      </c>
      <c r="G8219" s="21">
        <v>2</v>
      </c>
      <c r="H8219" s="21">
        <v>56</v>
      </c>
      <c r="I8219" s="23" t="s">
        <v>4552</v>
      </c>
      <c r="J8219" s="21"/>
      <c r="K8219" s="21" t="s">
        <v>1942</v>
      </c>
      <c r="L8219" s="21"/>
      <c r="M8219" s="21"/>
      <c r="N8219" s="21" t="s">
        <v>44</v>
      </c>
      <c r="O8219" s="21">
        <v>123</v>
      </c>
      <c r="P8219" s="21"/>
      <c r="Q8219" s="21">
        <f t="shared" si="163"/>
        <v>2</v>
      </c>
      <c r="R8219" s="21">
        <v>1</v>
      </c>
      <c r="S8219" s="21">
        <v>0</v>
      </c>
      <c r="T8219" s="21">
        <v>0</v>
      </c>
      <c r="U8219" s="21">
        <v>0</v>
      </c>
      <c r="V8219" s="21">
        <v>1</v>
      </c>
      <c r="W8219" s="21">
        <v>1</v>
      </c>
      <c r="X8219" s="21">
        <v>0</v>
      </c>
      <c r="Y8219" s="21">
        <v>0</v>
      </c>
      <c r="Z8219" s="21">
        <v>0</v>
      </c>
      <c r="AA8219" s="21">
        <v>0</v>
      </c>
      <c r="AB8219" s="21">
        <v>0</v>
      </c>
      <c r="AC8219" s="21">
        <v>0</v>
      </c>
      <c r="AD8219" s="21">
        <v>0</v>
      </c>
      <c r="AE8219" s="21">
        <v>0</v>
      </c>
      <c r="AF8219" s="21"/>
      <c r="AG8219" s="21">
        <v>0</v>
      </c>
      <c r="AH8219" s="21">
        <f t="shared" si="164"/>
        <v>160</v>
      </c>
      <c r="AI8219" s="21"/>
      <c r="AJ8219" s="21" t="s">
        <v>51</v>
      </c>
      <c r="AK8219" s="21" t="s">
        <v>95</v>
      </c>
      <c r="AL8219" s="21" t="s">
        <v>4553</v>
      </c>
      <c r="AM8219" s="21" t="s">
        <v>4554</v>
      </c>
      <c r="AN8219" s="21">
        <v>-122.437903216667</v>
      </c>
      <c r="AO8219" s="21">
        <v>37.802599633333301</v>
      </c>
      <c r="AP8219" s="21" t="s">
        <v>951</v>
      </c>
    </row>
    <row r="8220" spans="1:42">
      <c r="A8220" s="20">
        <v>43859</v>
      </c>
      <c r="B8220" s="21">
        <v>3</v>
      </c>
      <c r="C8220" s="21">
        <v>207</v>
      </c>
      <c r="D8220" s="21">
        <v>14657</v>
      </c>
      <c r="E8220" s="21"/>
      <c r="F8220" s="21" t="s">
        <v>104</v>
      </c>
      <c r="G8220" s="21">
        <v>2</v>
      </c>
      <c r="H8220" s="21">
        <v>57</v>
      </c>
      <c r="I8220" s="23"/>
      <c r="J8220" s="21"/>
      <c r="K8220" t="s">
        <v>902</v>
      </c>
      <c r="L8220" s="21"/>
      <c r="M8220" s="21"/>
      <c r="N8220" s="21" t="s">
        <v>44</v>
      </c>
      <c r="O8220" s="21">
        <v>95</v>
      </c>
      <c r="P8220" s="21"/>
      <c r="Q8220" s="21">
        <f t="shared" si="163"/>
        <v>2</v>
      </c>
      <c r="R8220" s="21">
        <v>1</v>
      </c>
      <c r="S8220" s="21">
        <v>0</v>
      </c>
      <c r="T8220" s="21">
        <v>0</v>
      </c>
      <c r="U8220" s="21">
        <v>1</v>
      </c>
      <c r="V8220" s="21">
        <v>0</v>
      </c>
      <c r="W8220" s="21">
        <v>1</v>
      </c>
      <c r="X8220" s="21">
        <v>0</v>
      </c>
      <c r="Y8220" s="21">
        <v>0</v>
      </c>
      <c r="Z8220" s="21">
        <v>0</v>
      </c>
      <c r="AA8220" s="21">
        <v>0</v>
      </c>
      <c r="AB8220" s="21">
        <v>0</v>
      </c>
      <c r="AC8220" s="21">
        <v>0</v>
      </c>
      <c r="AD8220" s="21">
        <v>0</v>
      </c>
      <c r="AE8220" s="21">
        <v>0</v>
      </c>
      <c r="AF8220" s="21"/>
      <c r="AG8220" s="21">
        <v>0</v>
      </c>
      <c r="AH8220" s="21">
        <f t="shared" si="164"/>
        <v>128</v>
      </c>
      <c r="AI8220" s="21"/>
      <c r="AJ8220" s="21" t="s">
        <v>51</v>
      </c>
      <c r="AK8220" s="21" t="s">
        <v>95</v>
      </c>
      <c r="AL8220" s="21"/>
      <c r="AM8220" s="21" t="s">
        <v>4555</v>
      </c>
      <c r="AN8220" s="21">
        <v>-122.4371476</v>
      </c>
      <c r="AO8220" s="21">
        <v>37.803013450000002</v>
      </c>
      <c r="AP8220" s="21" t="s">
        <v>951</v>
      </c>
    </row>
    <row r="8221" spans="1:42">
      <c r="A8221" s="20">
        <v>43859</v>
      </c>
      <c r="B8221" s="21">
        <v>3</v>
      </c>
      <c r="C8221" s="21">
        <v>207</v>
      </c>
      <c r="D8221" s="21">
        <v>14657</v>
      </c>
      <c r="E8221" s="21"/>
      <c r="F8221" s="21" t="s">
        <v>104</v>
      </c>
      <c r="G8221" s="21">
        <v>2</v>
      </c>
      <c r="H8221" s="21">
        <v>58</v>
      </c>
      <c r="I8221" s="23" t="s">
        <v>4556</v>
      </c>
      <c r="J8221" s="21"/>
      <c r="K8221" t="s">
        <v>902</v>
      </c>
      <c r="L8221" s="21"/>
      <c r="M8221" s="21"/>
      <c r="N8221" s="21" t="s">
        <v>44</v>
      </c>
      <c r="O8221" s="21">
        <v>28</v>
      </c>
      <c r="P8221" s="21"/>
      <c r="Q8221" s="21">
        <f t="shared" si="163"/>
        <v>1</v>
      </c>
      <c r="R8221" s="21">
        <v>1</v>
      </c>
      <c r="S8221" s="21">
        <v>0</v>
      </c>
      <c r="T8221" s="21">
        <v>0</v>
      </c>
      <c r="U8221" s="21">
        <v>0</v>
      </c>
      <c r="V8221" s="21">
        <v>0</v>
      </c>
      <c r="W8221" s="21">
        <v>1</v>
      </c>
      <c r="X8221" s="21">
        <v>0</v>
      </c>
      <c r="Y8221" s="21">
        <v>0</v>
      </c>
      <c r="Z8221" s="21">
        <v>0</v>
      </c>
      <c r="AA8221" s="21">
        <v>0</v>
      </c>
      <c r="AB8221" s="21">
        <v>0</v>
      </c>
      <c r="AC8221" s="21">
        <v>0</v>
      </c>
      <c r="AD8221" s="21">
        <v>0</v>
      </c>
      <c r="AE8221" s="21">
        <v>0</v>
      </c>
      <c r="AF8221" s="21"/>
      <c r="AG8221" s="21">
        <v>0</v>
      </c>
      <c r="AH8221" s="21">
        <f t="shared" si="164"/>
        <v>96</v>
      </c>
      <c r="AI8221" s="21"/>
      <c r="AJ8221" s="21" t="s">
        <v>51</v>
      </c>
      <c r="AK8221" s="21" t="s">
        <v>95</v>
      </c>
      <c r="AL8221" s="21" t="s">
        <v>4557</v>
      </c>
      <c r="AM8221" s="21" t="s">
        <v>4558</v>
      </c>
      <c r="AN8221" s="21">
        <v>-122.437011683333</v>
      </c>
      <c r="AO8221" s="21">
        <v>37.802855100000002</v>
      </c>
      <c r="AP8221" s="21" t="s">
        <v>951</v>
      </c>
    </row>
    <row r="8222" spans="1:42">
      <c r="A8222" s="20">
        <v>43859</v>
      </c>
      <c r="B8222" s="21">
        <v>3</v>
      </c>
      <c r="C8222" s="21">
        <v>207</v>
      </c>
      <c r="D8222" s="21">
        <v>14657</v>
      </c>
      <c r="E8222" s="21"/>
      <c r="F8222" s="21" t="s">
        <v>104</v>
      </c>
      <c r="G8222" s="21">
        <v>2</v>
      </c>
      <c r="H8222" s="21">
        <v>59</v>
      </c>
      <c r="I8222" s="23" t="s">
        <v>4559</v>
      </c>
      <c r="J8222" s="21"/>
      <c r="K8222" s="21" t="s">
        <v>909</v>
      </c>
      <c r="L8222" s="21"/>
      <c r="M8222" s="21"/>
      <c r="N8222" s="21" t="s">
        <v>44</v>
      </c>
      <c r="O8222" s="21">
        <v>84</v>
      </c>
      <c r="P8222" s="21"/>
      <c r="Q8222" s="21">
        <f t="shared" si="163"/>
        <v>1</v>
      </c>
      <c r="R8222" s="21">
        <v>1</v>
      </c>
      <c r="S8222" s="21">
        <v>0</v>
      </c>
      <c r="T8222" s="21">
        <v>0</v>
      </c>
      <c r="U8222" s="21">
        <v>0</v>
      </c>
      <c r="V8222" s="21">
        <v>0</v>
      </c>
      <c r="W8222" s="21">
        <v>1</v>
      </c>
      <c r="X8222" s="21">
        <v>0</v>
      </c>
      <c r="Y8222" s="21">
        <v>0</v>
      </c>
      <c r="Z8222" s="21">
        <v>0</v>
      </c>
      <c r="AA8222" s="21">
        <v>0</v>
      </c>
      <c r="AB8222" s="21">
        <v>0</v>
      </c>
      <c r="AC8222" s="21">
        <v>0</v>
      </c>
      <c r="AD8222" s="21">
        <v>0</v>
      </c>
      <c r="AE8222" s="21">
        <v>0</v>
      </c>
      <c r="AF8222" s="21"/>
      <c r="AG8222" s="21">
        <v>0</v>
      </c>
      <c r="AH8222" s="21">
        <f t="shared" si="164"/>
        <v>96</v>
      </c>
      <c r="AI8222" s="21"/>
      <c r="AJ8222" s="21" t="s">
        <v>51</v>
      </c>
      <c r="AK8222" s="21" t="s">
        <v>95</v>
      </c>
      <c r="AL8222" s="21"/>
      <c r="AM8222" s="21" t="s">
        <v>4560</v>
      </c>
      <c r="AN8222" s="21">
        <v>-122.437000333333</v>
      </c>
      <c r="AO8222" s="21">
        <v>37.8028668166667</v>
      </c>
      <c r="AP8222" s="21" t="s">
        <v>951</v>
      </c>
    </row>
    <row r="8223" spans="1:42">
      <c r="A8223" s="20">
        <v>43859</v>
      </c>
      <c r="B8223" s="21">
        <v>3</v>
      </c>
      <c r="C8223" s="21">
        <v>207</v>
      </c>
      <c r="D8223" s="21">
        <v>14657</v>
      </c>
      <c r="E8223" s="21"/>
      <c r="F8223" s="21" t="s">
        <v>104</v>
      </c>
      <c r="G8223" s="21">
        <v>2</v>
      </c>
      <c r="H8223" s="21">
        <v>60</v>
      </c>
      <c r="I8223" s="23" t="s">
        <v>4561</v>
      </c>
      <c r="J8223" s="21"/>
      <c r="K8223" s="21" t="s">
        <v>909</v>
      </c>
      <c r="L8223" s="21"/>
      <c r="M8223" s="21"/>
      <c r="N8223" s="21" t="s">
        <v>44</v>
      </c>
      <c r="O8223" s="21">
        <v>168</v>
      </c>
      <c r="P8223" s="21"/>
      <c r="Q8223" s="21">
        <f t="shared" si="163"/>
        <v>2</v>
      </c>
      <c r="R8223" s="21">
        <v>1</v>
      </c>
      <c r="S8223" s="21">
        <v>0</v>
      </c>
      <c r="T8223" s="21">
        <v>0</v>
      </c>
      <c r="U8223" s="21">
        <v>1</v>
      </c>
      <c r="V8223" s="21">
        <v>0</v>
      </c>
      <c r="W8223" s="21">
        <v>1</v>
      </c>
      <c r="X8223" s="21">
        <v>0</v>
      </c>
      <c r="Y8223" s="21">
        <v>0</v>
      </c>
      <c r="Z8223" s="21">
        <v>0</v>
      </c>
      <c r="AA8223" s="21">
        <v>0</v>
      </c>
      <c r="AB8223" s="21">
        <v>0</v>
      </c>
      <c r="AC8223" s="21">
        <v>0</v>
      </c>
      <c r="AD8223" s="21">
        <v>0</v>
      </c>
      <c r="AE8223" s="21">
        <v>0</v>
      </c>
      <c r="AF8223" s="21"/>
      <c r="AG8223" s="21">
        <v>0</v>
      </c>
      <c r="AH8223" s="21">
        <f t="shared" si="164"/>
        <v>128</v>
      </c>
      <c r="AI8223" s="21"/>
      <c r="AJ8223" s="21" t="s">
        <v>51</v>
      </c>
      <c r="AK8223" s="21" t="s">
        <v>95</v>
      </c>
      <c r="AL8223" s="21" t="s">
        <v>1405</v>
      </c>
      <c r="AM8223" s="21" t="s">
        <v>4562</v>
      </c>
      <c r="AN8223" s="21">
        <v>-122.436821966667</v>
      </c>
      <c r="AO8223" s="21">
        <v>37.802409316666697</v>
      </c>
      <c r="AP8223" s="21" t="s">
        <v>951</v>
      </c>
    </row>
    <row r="8224" spans="1:42">
      <c r="A8224" s="20">
        <v>43859</v>
      </c>
      <c r="B8224" s="21">
        <v>3</v>
      </c>
      <c r="C8224" s="21">
        <v>207</v>
      </c>
      <c r="D8224" s="21">
        <v>14657</v>
      </c>
      <c r="E8224" s="21"/>
      <c r="F8224" s="21" t="s">
        <v>104</v>
      </c>
      <c r="G8224" s="21">
        <v>2</v>
      </c>
      <c r="H8224" s="21">
        <v>61</v>
      </c>
      <c r="I8224" s="23" t="s">
        <v>4563</v>
      </c>
      <c r="J8224" s="21"/>
      <c r="K8224" s="21" t="s">
        <v>909</v>
      </c>
      <c r="L8224" s="21"/>
      <c r="M8224" s="21"/>
      <c r="N8224" s="21" t="s">
        <v>44</v>
      </c>
      <c r="O8224" s="21">
        <v>118</v>
      </c>
      <c r="P8224" s="21"/>
      <c r="Q8224" s="21">
        <f t="shared" si="163"/>
        <v>1</v>
      </c>
      <c r="R8224" s="21">
        <v>1</v>
      </c>
      <c r="S8224" s="21">
        <v>0</v>
      </c>
      <c r="T8224" s="21">
        <v>0</v>
      </c>
      <c r="U8224" s="21">
        <v>0</v>
      </c>
      <c r="V8224" s="21">
        <v>0</v>
      </c>
      <c r="W8224" s="21">
        <v>1</v>
      </c>
      <c r="X8224" s="21">
        <v>0</v>
      </c>
      <c r="Y8224" s="21">
        <v>0</v>
      </c>
      <c r="Z8224" s="21">
        <v>0</v>
      </c>
      <c r="AA8224" s="21">
        <v>0</v>
      </c>
      <c r="AB8224" s="21">
        <v>0</v>
      </c>
      <c r="AC8224" s="21">
        <v>0</v>
      </c>
      <c r="AD8224" s="21">
        <v>0</v>
      </c>
      <c r="AE8224" s="21">
        <v>0</v>
      </c>
      <c r="AF8224" s="21"/>
      <c r="AG8224" s="21">
        <v>0</v>
      </c>
      <c r="AH8224" s="21">
        <f t="shared" si="164"/>
        <v>96</v>
      </c>
      <c r="AI8224" s="21"/>
      <c r="AJ8224" s="21" t="s">
        <v>51</v>
      </c>
      <c r="AK8224" s="21" t="s">
        <v>95</v>
      </c>
      <c r="AL8224" s="21"/>
      <c r="AM8224" s="21" t="s">
        <v>4564</v>
      </c>
      <c r="AN8224" s="21">
        <v>-122.436742416667</v>
      </c>
      <c r="AO8224" s="21">
        <v>37.802090649999997</v>
      </c>
      <c r="AP8224" s="21" t="s">
        <v>951</v>
      </c>
    </row>
    <row r="8225" spans="1:42">
      <c r="A8225" s="20">
        <v>43859</v>
      </c>
      <c r="B8225" s="21">
        <v>3</v>
      </c>
      <c r="C8225" s="21">
        <v>207</v>
      </c>
      <c r="D8225" s="21">
        <v>14657</v>
      </c>
      <c r="E8225" s="21"/>
      <c r="F8225" s="21" t="s">
        <v>104</v>
      </c>
      <c r="G8225" s="21">
        <v>2</v>
      </c>
      <c r="H8225" s="21">
        <v>62</v>
      </c>
      <c r="I8225" s="23" t="s">
        <v>4559</v>
      </c>
      <c r="J8225" s="21"/>
      <c r="K8225" s="21" t="s">
        <v>909</v>
      </c>
      <c r="L8225" s="21"/>
      <c r="M8225" s="21"/>
      <c r="N8225" s="21" t="s">
        <v>44</v>
      </c>
      <c r="O8225" s="21">
        <v>60</v>
      </c>
      <c r="P8225" s="21"/>
      <c r="Q8225" s="21">
        <f t="shared" si="163"/>
        <v>1</v>
      </c>
      <c r="R8225" s="21">
        <v>1</v>
      </c>
      <c r="S8225" s="21">
        <v>0</v>
      </c>
      <c r="T8225" s="21">
        <v>0</v>
      </c>
      <c r="U8225" s="21">
        <v>0</v>
      </c>
      <c r="V8225" s="21">
        <v>1</v>
      </c>
      <c r="W8225" s="21">
        <v>0</v>
      </c>
      <c r="X8225" s="21">
        <v>0</v>
      </c>
      <c r="Y8225" s="21">
        <v>0</v>
      </c>
      <c r="Z8225" s="21">
        <v>0</v>
      </c>
      <c r="AA8225" s="21">
        <v>0</v>
      </c>
      <c r="AB8225" s="21">
        <v>0</v>
      </c>
      <c r="AC8225" s="21">
        <v>0</v>
      </c>
      <c r="AD8225" s="21">
        <v>0</v>
      </c>
      <c r="AE8225" s="21">
        <v>0</v>
      </c>
      <c r="AF8225" s="21"/>
      <c r="AG8225" s="21">
        <v>0</v>
      </c>
      <c r="AH8225" s="21">
        <f t="shared" si="164"/>
        <v>64</v>
      </c>
      <c r="AI8225" s="21"/>
      <c r="AJ8225" s="21" t="s">
        <v>51</v>
      </c>
      <c r="AK8225" s="21" t="s">
        <v>52</v>
      </c>
      <c r="AL8225" s="21"/>
      <c r="AM8225" s="21" t="s">
        <v>4565</v>
      </c>
      <c r="AN8225" s="21">
        <v>-122.436647666667</v>
      </c>
      <c r="AO8225" s="21">
        <v>37.801975183333298</v>
      </c>
      <c r="AP8225" s="21" t="s">
        <v>951</v>
      </c>
    </row>
    <row r="8226" spans="1:42">
      <c r="A8226" s="20">
        <v>43859</v>
      </c>
      <c r="B8226" s="21">
        <v>3</v>
      </c>
      <c r="C8226" s="21">
        <v>207</v>
      </c>
      <c r="D8226" s="21">
        <v>14657</v>
      </c>
      <c r="E8226" s="21"/>
      <c r="F8226" s="21" t="s">
        <v>104</v>
      </c>
      <c r="G8226" s="21">
        <v>2</v>
      </c>
      <c r="H8226" s="21">
        <v>63</v>
      </c>
      <c r="I8226" s="23" t="s">
        <v>4566</v>
      </c>
      <c r="J8226" s="21"/>
      <c r="K8226" s="21" t="s">
        <v>909</v>
      </c>
      <c r="L8226" s="21"/>
      <c r="M8226" s="21"/>
      <c r="N8226" s="21" t="s">
        <v>44</v>
      </c>
      <c r="O8226" s="21">
        <v>91</v>
      </c>
      <c r="P8226" s="21"/>
      <c r="Q8226" s="21">
        <f t="shared" si="163"/>
        <v>1</v>
      </c>
      <c r="R8226" s="21">
        <v>1</v>
      </c>
      <c r="S8226" s="21">
        <v>0</v>
      </c>
      <c r="T8226" s="21">
        <v>0</v>
      </c>
      <c r="U8226" s="21">
        <v>0</v>
      </c>
      <c r="V8226" s="21">
        <v>0</v>
      </c>
      <c r="W8226" s="21">
        <v>1</v>
      </c>
      <c r="X8226" s="21">
        <v>0</v>
      </c>
      <c r="Y8226" s="21">
        <v>0</v>
      </c>
      <c r="Z8226" s="21">
        <v>0</v>
      </c>
      <c r="AA8226" s="21">
        <v>0</v>
      </c>
      <c r="AB8226" s="21">
        <v>0</v>
      </c>
      <c r="AC8226" s="21">
        <v>0</v>
      </c>
      <c r="AD8226" s="21">
        <v>0</v>
      </c>
      <c r="AE8226" s="21">
        <v>0</v>
      </c>
      <c r="AF8226" s="21"/>
      <c r="AG8226" s="21">
        <v>0</v>
      </c>
      <c r="AH8226" s="21">
        <f t="shared" si="164"/>
        <v>96</v>
      </c>
      <c r="AI8226" s="21"/>
      <c r="AJ8226" s="21" t="s">
        <v>51</v>
      </c>
      <c r="AK8226" s="21" t="s">
        <v>95</v>
      </c>
      <c r="AL8226" s="21" t="s">
        <v>1393</v>
      </c>
      <c r="AM8226" s="21" t="s">
        <v>4567</v>
      </c>
      <c r="AN8226" s="21">
        <v>-122.4366339</v>
      </c>
      <c r="AO8226" s="21">
        <v>37.801767583333302</v>
      </c>
      <c r="AP8226" s="21" t="s">
        <v>951</v>
      </c>
    </row>
    <row r="8227" spans="1:42">
      <c r="A8227" s="20">
        <v>43859</v>
      </c>
      <c r="B8227" s="21">
        <v>3</v>
      </c>
      <c r="C8227" s="21">
        <v>207</v>
      </c>
      <c r="D8227" s="21">
        <v>14657</v>
      </c>
      <c r="E8227" s="21"/>
      <c r="F8227" s="21" t="s">
        <v>104</v>
      </c>
      <c r="G8227" s="21">
        <v>2</v>
      </c>
      <c r="H8227" s="21">
        <v>64</v>
      </c>
      <c r="I8227" s="23" t="s">
        <v>4568</v>
      </c>
      <c r="J8227" s="21"/>
      <c r="K8227" s="21" t="s">
        <v>909</v>
      </c>
      <c r="L8227" s="21"/>
      <c r="M8227" s="21"/>
      <c r="N8227" s="21" t="s">
        <v>44</v>
      </c>
      <c r="O8227" s="21">
        <v>107</v>
      </c>
      <c r="P8227" s="21"/>
      <c r="Q8227" s="21">
        <f t="shared" si="163"/>
        <v>1</v>
      </c>
      <c r="R8227" s="21">
        <v>1</v>
      </c>
      <c r="S8227" s="21">
        <v>0</v>
      </c>
      <c r="T8227" s="21">
        <v>0</v>
      </c>
      <c r="U8227" s="21">
        <v>0</v>
      </c>
      <c r="V8227" s="21">
        <v>0</v>
      </c>
      <c r="W8227" s="21">
        <v>1</v>
      </c>
      <c r="X8227" s="21">
        <v>0</v>
      </c>
      <c r="Y8227" s="21">
        <v>0</v>
      </c>
      <c r="Z8227" s="21">
        <v>0</v>
      </c>
      <c r="AA8227" s="21">
        <v>0</v>
      </c>
      <c r="AB8227" s="21">
        <v>0</v>
      </c>
      <c r="AC8227" s="21">
        <v>0</v>
      </c>
      <c r="AD8227" s="21">
        <v>0</v>
      </c>
      <c r="AE8227" s="21">
        <v>0</v>
      </c>
      <c r="AF8227" s="21"/>
      <c r="AG8227" s="21">
        <v>0</v>
      </c>
      <c r="AH8227" s="21">
        <f t="shared" si="164"/>
        <v>96</v>
      </c>
      <c r="AI8227" s="21"/>
      <c r="AJ8227" s="21" t="s">
        <v>51</v>
      </c>
      <c r="AK8227" s="21" t="s">
        <v>95</v>
      </c>
      <c r="AL8227" s="21" t="s">
        <v>1374</v>
      </c>
      <c r="AM8227" s="21" t="s">
        <v>4569</v>
      </c>
      <c r="AN8227" s="21">
        <v>-122.4365851</v>
      </c>
      <c r="AO8227" s="21">
        <v>37.801523633333296</v>
      </c>
      <c r="AP8227" s="21" t="s">
        <v>951</v>
      </c>
    </row>
    <row r="8228" spans="1:42">
      <c r="A8228" s="20">
        <v>43859</v>
      </c>
      <c r="B8228" s="21">
        <v>3</v>
      </c>
      <c r="C8228" s="21">
        <v>207</v>
      </c>
      <c r="D8228" s="21">
        <v>14657</v>
      </c>
      <c r="E8228" s="21"/>
      <c r="F8228" s="21" t="s">
        <v>104</v>
      </c>
      <c r="G8228" s="21">
        <v>2</v>
      </c>
      <c r="H8228" s="21">
        <v>65</v>
      </c>
      <c r="I8228" s="23" t="s">
        <v>4570</v>
      </c>
      <c r="J8228" s="21"/>
      <c r="K8228" s="21" t="s">
        <v>909</v>
      </c>
      <c r="L8228" s="21"/>
      <c r="M8228" s="21"/>
      <c r="N8228" s="21" t="s">
        <v>44</v>
      </c>
      <c r="O8228" s="21">
        <v>118</v>
      </c>
      <c r="P8228" s="21"/>
      <c r="Q8228" s="21">
        <f t="shared" si="163"/>
        <v>1</v>
      </c>
      <c r="R8228" s="21">
        <v>1</v>
      </c>
      <c r="S8228" s="21">
        <v>0</v>
      </c>
      <c r="T8228" s="21">
        <v>0</v>
      </c>
      <c r="U8228" s="21">
        <v>0</v>
      </c>
      <c r="V8228" s="21">
        <v>0</v>
      </c>
      <c r="W8228" s="21">
        <v>1</v>
      </c>
      <c r="X8228" s="21">
        <v>0</v>
      </c>
      <c r="Y8228" s="21">
        <v>0</v>
      </c>
      <c r="Z8228" s="21">
        <v>0</v>
      </c>
      <c r="AA8228" s="21">
        <v>0</v>
      </c>
      <c r="AB8228" s="21">
        <v>0</v>
      </c>
      <c r="AC8228" s="21">
        <v>0</v>
      </c>
      <c r="AD8228" s="21">
        <v>0</v>
      </c>
      <c r="AE8228" s="21">
        <v>0</v>
      </c>
      <c r="AF8228" s="21"/>
      <c r="AG8228" s="21">
        <v>0</v>
      </c>
      <c r="AH8228" s="21">
        <f t="shared" si="164"/>
        <v>96</v>
      </c>
      <c r="AI8228" s="21"/>
      <c r="AJ8228" s="21" t="s">
        <v>51</v>
      </c>
      <c r="AK8228" s="21" t="s">
        <v>95</v>
      </c>
      <c r="AL8228" s="21" t="s">
        <v>4571</v>
      </c>
      <c r="AM8228" s="21" t="s">
        <v>4572</v>
      </c>
      <c r="AN8228" s="21">
        <v>-122.43649001666699</v>
      </c>
      <c r="AO8228" s="21">
        <v>37.801130466666699</v>
      </c>
      <c r="AP8228" s="21" t="s">
        <v>951</v>
      </c>
    </row>
    <row r="8229" spans="1:42">
      <c r="A8229" s="20">
        <v>43859</v>
      </c>
      <c r="B8229" s="21">
        <v>3</v>
      </c>
      <c r="C8229" s="21">
        <v>207</v>
      </c>
      <c r="D8229" s="21">
        <v>14657</v>
      </c>
      <c r="E8229" s="21"/>
      <c r="F8229" s="21" t="s">
        <v>104</v>
      </c>
      <c r="G8229" s="21">
        <v>2</v>
      </c>
      <c r="H8229" s="21">
        <v>66</v>
      </c>
      <c r="I8229" s="23" t="s">
        <v>2551</v>
      </c>
      <c r="J8229" s="21"/>
      <c r="K8229" s="21" t="s">
        <v>324</v>
      </c>
      <c r="L8229" s="21"/>
      <c r="M8229" s="21"/>
      <c r="N8229" s="21" t="s">
        <v>44</v>
      </c>
      <c r="O8229" s="21">
        <v>266</v>
      </c>
      <c r="P8229" s="21"/>
      <c r="Q8229" s="21">
        <f t="shared" si="163"/>
        <v>2</v>
      </c>
      <c r="R8229" s="21">
        <v>1</v>
      </c>
      <c r="S8229" s="21">
        <v>0</v>
      </c>
      <c r="T8229" s="21">
        <v>0</v>
      </c>
      <c r="U8229" s="21">
        <v>0</v>
      </c>
      <c r="V8229" s="21">
        <v>0</v>
      </c>
      <c r="W8229" s="21">
        <v>2</v>
      </c>
      <c r="X8229" s="21">
        <v>0</v>
      </c>
      <c r="Y8229" s="21">
        <v>0</v>
      </c>
      <c r="Z8229" s="21">
        <v>0</v>
      </c>
      <c r="AA8229" s="21">
        <v>0</v>
      </c>
      <c r="AB8229" s="21">
        <v>0</v>
      </c>
      <c r="AC8229" s="21">
        <v>0</v>
      </c>
      <c r="AD8229" s="21">
        <v>0</v>
      </c>
      <c r="AE8229" s="21">
        <v>0</v>
      </c>
      <c r="AF8229" s="21"/>
      <c r="AG8229" s="21">
        <v>0</v>
      </c>
      <c r="AH8229" s="21">
        <f t="shared" si="164"/>
        <v>192</v>
      </c>
      <c r="AI8229" s="21"/>
      <c r="AJ8229" s="21" t="s">
        <v>51</v>
      </c>
      <c r="AK8229" s="21" t="s">
        <v>95</v>
      </c>
      <c r="AL8229" s="21" t="s">
        <v>4573</v>
      </c>
      <c r="AM8229" s="21" t="s">
        <v>4574</v>
      </c>
      <c r="AN8229" s="21">
        <v>-122.43654720000001</v>
      </c>
      <c r="AO8229" s="21">
        <v>37.801036316666703</v>
      </c>
      <c r="AP8229" s="21" t="s">
        <v>951</v>
      </c>
    </row>
    <row r="8230" spans="1:42">
      <c r="A8230" s="20">
        <v>43859</v>
      </c>
      <c r="B8230" s="21">
        <v>3</v>
      </c>
      <c r="C8230" s="21">
        <v>207</v>
      </c>
      <c r="D8230" s="21">
        <v>14657</v>
      </c>
      <c r="E8230" s="21"/>
      <c r="F8230" s="21" t="s">
        <v>104</v>
      </c>
      <c r="G8230" s="21">
        <v>2</v>
      </c>
      <c r="H8230" s="21">
        <v>67</v>
      </c>
      <c r="I8230" s="23" t="s">
        <v>4575</v>
      </c>
      <c r="J8230" s="21"/>
      <c r="K8230" s="21" t="s">
        <v>4531</v>
      </c>
      <c r="L8230" s="21"/>
      <c r="M8230" s="21"/>
      <c r="N8230" s="21" t="s">
        <v>44</v>
      </c>
      <c r="O8230" s="21">
        <v>90</v>
      </c>
      <c r="P8230" s="21"/>
      <c r="Q8230" s="21">
        <f t="shared" si="163"/>
        <v>2</v>
      </c>
      <c r="R8230" s="21">
        <v>1</v>
      </c>
      <c r="S8230" s="21">
        <v>0</v>
      </c>
      <c r="T8230" s="21">
        <v>0</v>
      </c>
      <c r="U8230" s="21">
        <v>1</v>
      </c>
      <c r="V8230" s="21">
        <v>0</v>
      </c>
      <c r="W8230" s="21">
        <v>1</v>
      </c>
      <c r="X8230" s="21">
        <v>0</v>
      </c>
      <c r="Y8230" s="21">
        <v>0</v>
      </c>
      <c r="Z8230" s="21">
        <v>0</v>
      </c>
      <c r="AA8230" s="21">
        <v>0</v>
      </c>
      <c r="AB8230" s="21">
        <v>0</v>
      </c>
      <c r="AC8230" s="21">
        <v>0</v>
      </c>
      <c r="AD8230" s="21">
        <v>0</v>
      </c>
      <c r="AE8230" s="21">
        <v>0</v>
      </c>
      <c r="AF8230" s="21"/>
      <c r="AG8230" s="21">
        <v>0</v>
      </c>
      <c r="AH8230" s="21">
        <f t="shared" si="164"/>
        <v>128</v>
      </c>
      <c r="AI8230" s="21"/>
      <c r="AJ8230" s="21" t="s">
        <v>51</v>
      </c>
      <c r="AK8230" s="21" t="s">
        <v>95</v>
      </c>
      <c r="AL8230" s="21" t="s">
        <v>4576</v>
      </c>
      <c r="AM8230" s="21" t="s">
        <v>4577</v>
      </c>
      <c r="AN8230" s="21">
        <v>-122.43873105</v>
      </c>
      <c r="AO8230" s="21">
        <v>37.8010989333333</v>
      </c>
      <c r="AP8230" s="21" t="s">
        <v>951</v>
      </c>
    </row>
    <row r="8231" spans="1:42">
      <c r="A8231" s="20">
        <v>43859</v>
      </c>
      <c r="B8231" s="21">
        <v>3</v>
      </c>
      <c r="C8231" s="21">
        <v>207</v>
      </c>
      <c r="D8231" s="21">
        <v>14657</v>
      </c>
      <c r="E8231" s="21"/>
      <c r="F8231" s="21" t="s">
        <v>104</v>
      </c>
      <c r="G8231" s="21">
        <v>2</v>
      </c>
      <c r="H8231" s="21">
        <v>68</v>
      </c>
      <c r="I8231" s="23" t="s">
        <v>4127</v>
      </c>
      <c r="J8231" s="21"/>
      <c r="K8231" s="21"/>
      <c r="L8231" s="21"/>
      <c r="M8231" s="21"/>
      <c r="N8231" s="21" t="s">
        <v>44</v>
      </c>
      <c r="O8231" s="21">
        <v>137</v>
      </c>
      <c r="P8231" s="21"/>
      <c r="Q8231" s="21">
        <f t="shared" si="163"/>
        <v>1</v>
      </c>
      <c r="R8231" s="21">
        <v>1</v>
      </c>
      <c r="S8231" s="21">
        <v>0</v>
      </c>
      <c r="T8231" s="21">
        <v>0</v>
      </c>
      <c r="U8231" s="21">
        <v>0</v>
      </c>
      <c r="V8231" s="21">
        <v>0</v>
      </c>
      <c r="W8231" s="21">
        <v>1</v>
      </c>
      <c r="X8231" s="21">
        <v>0</v>
      </c>
      <c r="Y8231" s="21">
        <v>0</v>
      </c>
      <c r="Z8231" s="21">
        <v>0</v>
      </c>
      <c r="AA8231" s="21">
        <v>0</v>
      </c>
      <c r="AB8231" s="21">
        <v>0</v>
      </c>
      <c r="AC8231" s="21">
        <v>0</v>
      </c>
      <c r="AD8231" s="21">
        <v>0</v>
      </c>
      <c r="AE8231" s="21">
        <v>0</v>
      </c>
      <c r="AF8231" s="21"/>
      <c r="AG8231" s="21">
        <v>0</v>
      </c>
      <c r="AH8231" s="21">
        <f t="shared" si="164"/>
        <v>96</v>
      </c>
      <c r="AI8231" s="21"/>
      <c r="AJ8231" s="21" t="s">
        <v>51</v>
      </c>
      <c r="AK8231" s="21" t="s">
        <v>95</v>
      </c>
      <c r="AL8231" s="21" t="s">
        <v>4518</v>
      </c>
      <c r="AM8231" s="21" t="s">
        <v>4578</v>
      </c>
      <c r="AN8231" s="21">
        <v>-122.439140166667</v>
      </c>
      <c r="AO8231" s="21">
        <v>37.801725033333298</v>
      </c>
      <c r="AP8231" s="21" t="s">
        <v>951</v>
      </c>
    </row>
    <row r="8232" spans="1:42">
      <c r="A8232" s="20">
        <v>43859</v>
      </c>
      <c r="B8232" s="21">
        <v>3</v>
      </c>
      <c r="C8232" s="21">
        <v>207</v>
      </c>
      <c r="D8232" s="21">
        <v>14657</v>
      </c>
      <c r="E8232" s="21"/>
      <c r="F8232" s="21" t="s">
        <v>104</v>
      </c>
      <c r="G8232" s="21">
        <v>2</v>
      </c>
      <c r="H8232" s="21">
        <v>69</v>
      </c>
      <c r="I8232" s="23" t="s">
        <v>4579</v>
      </c>
      <c r="J8232" s="21"/>
      <c r="K8232" s="21" t="s">
        <v>1942</v>
      </c>
      <c r="L8232" s="21"/>
      <c r="M8232" s="21"/>
      <c r="N8232" s="21" t="s">
        <v>44</v>
      </c>
      <c r="O8232" s="21">
        <v>95</v>
      </c>
      <c r="P8232" s="21"/>
      <c r="Q8232" s="21">
        <f t="shared" si="163"/>
        <v>1</v>
      </c>
      <c r="R8232" s="21">
        <v>1</v>
      </c>
      <c r="S8232" s="21">
        <v>0</v>
      </c>
      <c r="T8232" s="21">
        <v>0</v>
      </c>
      <c r="U8232" s="21">
        <v>0</v>
      </c>
      <c r="V8232" s="21">
        <v>0</v>
      </c>
      <c r="W8232" s="21">
        <v>1</v>
      </c>
      <c r="X8232" s="21">
        <v>0</v>
      </c>
      <c r="Y8232" s="21">
        <v>0</v>
      </c>
      <c r="Z8232" s="21">
        <v>0</v>
      </c>
      <c r="AA8232" s="21">
        <v>0</v>
      </c>
      <c r="AB8232" s="21">
        <v>0</v>
      </c>
      <c r="AC8232" s="21">
        <v>0</v>
      </c>
      <c r="AD8232" s="21">
        <v>0</v>
      </c>
      <c r="AE8232" s="21">
        <v>0</v>
      </c>
      <c r="AF8232" s="21"/>
      <c r="AG8232" s="21">
        <v>0</v>
      </c>
      <c r="AH8232" s="21">
        <f t="shared" si="164"/>
        <v>96</v>
      </c>
      <c r="AI8232" s="21"/>
      <c r="AJ8232" s="21" t="s">
        <v>51</v>
      </c>
      <c r="AK8232" s="21" t="s">
        <v>95</v>
      </c>
      <c r="AL8232" s="21"/>
      <c r="AM8232" s="21" t="s">
        <v>4580</v>
      </c>
      <c r="AN8232" s="21">
        <v>-122.43735725000001</v>
      </c>
      <c r="AO8232" s="21">
        <v>37.801063583333303</v>
      </c>
      <c r="AP8232" s="21" t="s">
        <v>951</v>
      </c>
    </row>
    <row r="8233" spans="1:42">
      <c r="A8233" s="20">
        <v>43859</v>
      </c>
      <c r="B8233" s="21">
        <v>3</v>
      </c>
      <c r="C8233" s="21">
        <v>207</v>
      </c>
      <c r="D8233" s="21">
        <v>14657</v>
      </c>
      <c r="E8233" s="21"/>
      <c r="F8233" s="21" t="s">
        <v>104</v>
      </c>
      <c r="G8233" s="21">
        <v>2</v>
      </c>
      <c r="H8233" s="21">
        <v>70</v>
      </c>
      <c r="I8233" s="23" t="s">
        <v>4581</v>
      </c>
      <c r="J8233" s="21"/>
      <c r="K8233" s="21" t="s">
        <v>1942</v>
      </c>
      <c r="L8233" s="21" t="s">
        <v>114</v>
      </c>
      <c r="M8233" s="21"/>
      <c r="N8233" s="21" t="s">
        <v>40</v>
      </c>
      <c r="O8233" s="21">
        <v>142</v>
      </c>
      <c r="P8233" s="21"/>
      <c r="Q8233" s="21">
        <f t="shared" si="163"/>
        <v>7</v>
      </c>
      <c r="R8233" s="21">
        <v>1</v>
      </c>
      <c r="S8233" s="21">
        <v>2</v>
      </c>
      <c r="T8233" s="21">
        <v>0</v>
      </c>
      <c r="U8233" s="21">
        <v>5</v>
      </c>
      <c r="V8233" s="21">
        <v>0</v>
      </c>
      <c r="W8233" s="21">
        <v>0</v>
      </c>
      <c r="X8233" s="21">
        <v>0</v>
      </c>
      <c r="Y8233" s="21">
        <v>0</v>
      </c>
      <c r="Z8233" s="21">
        <v>0</v>
      </c>
      <c r="AA8233" s="21">
        <v>0</v>
      </c>
      <c r="AB8233" s="21">
        <v>0</v>
      </c>
      <c r="AC8233" s="21">
        <v>0</v>
      </c>
      <c r="AD8233" s="21">
        <v>0</v>
      </c>
      <c r="AE8233" s="21">
        <v>0</v>
      </c>
      <c r="AF8233" s="21"/>
      <c r="AG8233" s="21">
        <v>0</v>
      </c>
      <c r="AH8233" s="21">
        <f t="shared" si="164"/>
        <v>192</v>
      </c>
      <c r="AI8233" s="21"/>
      <c r="AJ8233" s="21" t="s">
        <v>51</v>
      </c>
      <c r="AK8233" s="21" t="s">
        <v>95</v>
      </c>
      <c r="AL8233" s="21"/>
      <c r="AM8233" s="21" t="s">
        <v>4582</v>
      </c>
      <c r="AN8233" s="21">
        <v>-122.438135283333</v>
      </c>
      <c r="AO8233" s="21">
        <v>37.801514416666699</v>
      </c>
      <c r="AP8233" s="21" t="s">
        <v>951</v>
      </c>
    </row>
    <row r="8234" spans="1:42">
      <c r="A8234" s="20">
        <v>43859</v>
      </c>
      <c r="B8234" s="21">
        <v>3</v>
      </c>
      <c r="C8234" s="21">
        <v>207</v>
      </c>
      <c r="D8234" s="21">
        <v>14657</v>
      </c>
      <c r="E8234" s="21"/>
      <c r="F8234" s="21" t="s">
        <v>104</v>
      </c>
      <c r="G8234" s="21">
        <v>2</v>
      </c>
      <c r="H8234" s="21">
        <v>71</v>
      </c>
      <c r="I8234" s="23" t="s">
        <v>4583</v>
      </c>
      <c r="J8234" s="21"/>
      <c r="K8234" s="21" t="s">
        <v>4584</v>
      </c>
      <c r="L8234" s="21" t="s">
        <v>114</v>
      </c>
      <c r="M8234" s="21"/>
      <c r="N8234" s="21" t="s">
        <v>40</v>
      </c>
      <c r="O8234" s="21">
        <v>33</v>
      </c>
      <c r="P8234" s="21"/>
      <c r="Q8234" s="21">
        <f t="shared" si="163"/>
        <v>2</v>
      </c>
      <c r="R8234" s="21">
        <v>1</v>
      </c>
      <c r="S8234" s="21">
        <v>1</v>
      </c>
      <c r="T8234" s="21">
        <v>0</v>
      </c>
      <c r="U8234" s="21">
        <v>1</v>
      </c>
      <c r="V8234" s="21">
        <v>0</v>
      </c>
      <c r="W8234" s="21">
        <v>0</v>
      </c>
      <c r="X8234" s="21">
        <v>0</v>
      </c>
      <c r="Y8234" s="21">
        <v>0</v>
      </c>
      <c r="Z8234" s="21">
        <v>0</v>
      </c>
      <c r="AA8234" s="21">
        <v>0</v>
      </c>
      <c r="AB8234" s="21">
        <v>0</v>
      </c>
      <c r="AC8234" s="21">
        <v>0</v>
      </c>
      <c r="AD8234" s="21">
        <v>0</v>
      </c>
      <c r="AE8234" s="21">
        <v>0</v>
      </c>
      <c r="AF8234" s="21"/>
      <c r="AG8234" s="21">
        <v>0</v>
      </c>
      <c r="AH8234" s="21">
        <f t="shared" si="164"/>
        <v>48</v>
      </c>
      <c r="AI8234" s="21"/>
      <c r="AJ8234" s="21" t="s">
        <v>51</v>
      </c>
      <c r="AK8234" s="21" t="s">
        <v>95</v>
      </c>
      <c r="AL8234" s="21"/>
      <c r="AM8234" s="21" t="s">
        <v>4585</v>
      </c>
      <c r="AN8234" s="21">
        <v>-122.4384937</v>
      </c>
      <c r="AO8234" s="21">
        <v>37.801397916666701</v>
      </c>
      <c r="AP8234" s="21" t="s">
        <v>951</v>
      </c>
    </row>
    <row r="8235" spans="1:42">
      <c r="A8235" s="20">
        <v>43859</v>
      </c>
      <c r="B8235" s="21">
        <v>3</v>
      </c>
      <c r="C8235" s="21">
        <v>207</v>
      </c>
      <c r="D8235" s="21">
        <v>14657</v>
      </c>
      <c r="E8235" s="21"/>
      <c r="F8235" s="21" t="s">
        <v>104</v>
      </c>
      <c r="G8235" s="21">
        <v>2</v>
      </c>
      <c r="H8235" s="21">
        <v>72</v>
      </c>
      <c r="I8235" s="23" t="s">
        <v>4586</v>
      </c>
      <c r="J8235" s="21"/>
      <c r="K8235" s="21" t="s">
        <v>1942</v>
      </c>
      <c r="L8235" s="21" t="s">
        <v>114</v>
      </c>
      <c r="M8235" s="21"/>
      <c r="N8235" s="21" t="s">
        <v>40</v>
      </c>
      <c r="O8235" s="21">
        <v>34</v>
      </c>
      <c r="P8235" s="21"/>
      <c r="Q8235" s="21">
        <f t="shared" si="163"/>
        <v>2</v>
      </c>
      <c r="R8235" s="21">
        <v>1</v>
      </c>
      <c r="S8235" s="21">
        <v>0</v>
      </c>
      <c r="T8235" s="21">
        <v>0</v>
      </c>
      <c r="U8235" s="21">
        <v>2</v>
      </c>
      <c r="V8235" s="21">
        <v>0</v>
      </c>
      <c r="W8235" s="21">
        <v>0</v>
      </c>
      <c r="X8235" s="21">
        <v>0</v>
      </c>
      <c r="Y8235" s="21">
        <v>0</v>
      </c>
      <c r="Z8235" s="21">
        <v>0</v>
      </c>
      <c r="AA8235" s="21">
        <v>0</v>
      </c>
      <c r="AB8235" s="21">
        <v>0</v>
      </c>
      <c r="AC8235" s="21">
        <v>0</v>
      </c>
      <c r="AD8235" s="21">
        <v>0</v>
      </c>
      <c r="AE8235" s="21">
        <v>0</v>
      </c>
      <c r="AF8235" s="21"/>
      <c r="AG8235" s="21">
        <v>0</v>
      </c>
      <c r="AH8235" s="21">
        <f t="shared" si="164"/>
        <v>64</v>
      </c>
      <c r="AI8235" s="21"/>
      <c r="AJ8235" s="21" t="s">
        <v>51</v>
      </c>
      <c r="AK8235" s="21" t="s">
        <v>95</v>
      </c>
      <c r="AL8235" s="21"/>
      <c r="AM8235" s="21" t="s">
        <v>4587</v>
      </c>
      <c r="AN8235" s="21">
        <v>-122.438372685286</v>
      </c>
      <c r="AO8235" s="21">
        <v>37.801181998288001</v>
      </c>
      <c r="AP8235" s="21" t="s">
        <v>951</v>
      </c>
    </row>
    <row r="8236" spans="1:42">
      <c r="A8236" s="20">
        <v>43859</v>
      </c>
      <c r="B8236" s="21">
        <v>3</v>
      </c>
      <c r="C8236" s="21">
        <v>207</v>
      </c>
      <c r="D8236" s="21">
        <v>14657</v>
      </c>
      <c r="E8236" s="21"/>
      <c r="F8236" s="21" t="s">
        <v>104</v>
      </c>
      <c r="G8236" s="21">
        <v>2</v>
      </c>
      <c r="H8236" s="21">
        <v>73</v>
      </c>
      <c r="I8236" s="23" t="s">
        <v>4588</v>
      </c>
      <c r="J8236" s="21"/>
      <c r="K8236" s="21" t="s">
        <v>4531</v>
      </c>
      <c r="L8236" s="21" t="s">
        <v>114</v>
      </c>
      <c r="M8236" s="21"/>
      <c r="N8236" s="21" t="s">
        <v>40</v>
      </c>
      <c r="O8236" s="21">
        <v>60</v>
      </c>
      <c r="P8236" s="21"/>
      <c r="Q8236" s="21">
        <f t="shared" si="163"/>
        <v>4</v>
      </c>
      <c r="R8236" s="21">
        <v>1</v>
      </c>
      <c r="S8236" s="21">
        <v>3</v>
      </c>
      <c r="T8236" s="21">
        <v>0</v>
      </c>
      <c r="U8236" s="21">
        <v>1</v>
      </c>
      <c r="V8236" s="21">
        <v>0</v>
      </c>
      <c r="W8236" s="21">
        <v>0</v>
      </c>
      <c r="X8236" s="21">
        <v>0</v>
      </c>
      <c r="Y8236" s="21">
        <v>0</v>
      </c>
      <c r="Z8236" s="21">
        <v>0</v>
      </c>
      <c r="AA8236" s="21">
        <v>0</v>
      </c>
      <c r="AB8236" s="21">
        <v>0</v>
      </c>
      <c r="AC8236" s="21">
        <v>0</v>
      </c>
      <c r="AD8236" s="21">
        <v>0</v>
      </c>
      <c r="AE8236" s="21">
        <v>0</v>
      </c>
      <c r="AF8236" s="21"/>
      <c r="AG8236" s="21">
        <v>0</v>
      </c>
      <c r="AH8236" s="21">
        <f t="shared" si="164"/>
        <v>80</v>
      </c>
      <c r="AI8236" s="21"/>
      <c r="AJ8236" s="21" t="s">
        <v>51</v>
      </c>
      <c r="AK8236" s="21" t="s">
        <v>95</v>
      </c>
      <c r="AL8236" s="21"/>
      <c r="AM8236" s="21" t="s">
        <v>4589</v>
      </c>
      <c r="AN8236" s="21">
        <v>-122.438608433333</v>
      </c>
      <c r="AO8236" s="21">
        <v>37.801300283333298</v>
      </c>
      <c r="AP8236" s="21" t="s">
        <v>951</v>
      </c>
    </row>
    <row r="8237" spans="1:42">
      <c r="A8237" s="20">
        <v>43859</v>
      </c>
      <c r="B8237" s="21">
        <v>3</v>
      </c>
      <c r="C8237" s="21">
        <v>207</v>
      </c>
      <c r="D8237" s="21">
        <v>14657</v>
      </c>
      <c r="E8237" s="21"/>
      <c r="F8237" s="21" t="s">
        <v>104</v>
      </c>
      <c r="G8237" s="21">
        <v>2</v>
      </c>
      <c r="H8237" s="21">
        <v>74</v>
      </c>
      <c r="I8237" s="23" t="s">
        <v>4590</v>
      </c>
      <c r="J8237" s="21"/>
      <c r="K8237" s="21" t="s">
        <v>4531</v>
      </c>
      <c r="L8237" s="21" t="s">
        <v>114</v>
      </c>
      <c r="M8237" s="21"/>
      <c r="N8237" s="21" t="s">
        <v>40</v>
      </c>
      <c r="O8237" s="21">
        <v>70</v>
      </c>
      <c r="P8237" s="21"/>
      <c r="Q8237" s="21">
        <f t="shared" si="163"/>
        <v>6</v>
      </c>
      <c r="R8237" s="21">
        <v>1</v>
      </c>
      <c r="S8237" s="21">
        <v>2</v>
      </c>
      <c r="T8237" s="21">
        <v>0</v>
      </c>
      <c r="U8237" s="21">
        <v>3</v>
      </c>
      <c r="V8237" s="21">
        <v>1</v>
      </c>
      <c r="W8237" s="21">
        <v>0</v>
      </c>
      <c r="X8237" s="21">
        <v>0</v>
      </c>
      <c r="Y8237" s="21">
        <v>0</v>
      </c>
      <c r="Z8237" s="21">
        <v>0</v>
      </c>
      <c r="AA8237" s="21">
        <v>0</v>
      </c>
      <c r="AB8237" s="21">
        <v>0</v>
      </c>
      <c r="AC8237" s="21">
        <v>0</v>
      </c>
      <c r="AD8237" s="21">
        <v>0</v>
      </c>
      <c r="AE8237" s="21">
        <v>0</v>
      </c>
      <c r="AF8237" s="21"/>
      <c r="AG8237" s="21">
        <v>0</v>
      </c>
      <c r="AH8237" s="21">
        <f t="shared" si="164"/>
        <v>192</v>
      </c>
      <c r="AI8237" s="21"/>
      <c r="AJ8237" s="21" t="s">
        <v>51</v>
      </c>
      <c r="AK8237" s="21" t="s">
        <v>95</v>
      </c>
      <c r="AL8237" s="21"/>
      <c r="AM8237" s="21" t="s">
        <v>4591</v>
      </c>
      <c r="AN8237" s="21">
        <v>-122.4387278</v>
      </c>
      <c r="AO8237" s="21">
        <v>37.801206483333303</v>
      </c>
      <c r="AP8237" s="21" t="s">
        <v>951</v>
      </c>
    </row>
    <row r="8238" spans="1:42">
      <c r="A8238" s="20">
        <v>43859</v>
      </c>
      <c r="B8238" s="21">
        <v>3</v>
      </c>
      <c r="C8238" s="21">
        <v>207</v>
      </c>
      <c r="D8238" s="21">
        <v>14657</v>
      </c>
      <c r="E8238" s="21"/>
      <c r="F8238" s="21" t="s">
        <v>104</v>
      </c>
      <c r="G8238" s="21">
        <v>2</v>
      </c>
      <c r="H8238" s="21">
        <v>75</v>
      </c>
      <c r="I8238" s="23" t="s">
        <v>4592</v>
      </c>
      <c r="J8238" s="21"/>
      <c r="K8238" s="21" t="s">
        <v>4531</v>
      </c>
      <c r="L8238" s="21"/>
      <c r="M8238" s="21"/>
      <c r="N8238" s="21"/>
      <c r="O8238" s="21">
        <v>67</v>
      </c>
      <c r="P8238" s="21"/>
      <c r="Q8238" s="21">
        <f t="shared" si="163"/>
        <v>5</v>
      </c>
      <c r="R8238" s="21">
        <v>1</v>
      </c>
      <c r="S8238" s="21">
        <v>0</v>
      </c>
      <c r="T8238" s="21">
        <v>0</v>
      </c>
      <c r="U8238" s="21">
        <v>4</v>
      </c>
      <c r="V8238" s="21">
        <v>1</v>
      </c>
      <c r="W8238" s="21">
        <v>0</v>
      </c>
      <c r="X8238" s="21">
        <v>0</v>
      </c>
      <c r="Y8238" s="21">
        <v>0</v>
      </c>
      <c r="Z8238" s="21">
        <v>0</v>
      </c>
      <c r="AA8238" s="21">
        <v>0</v>
      </c>
      <c r="AB8238" s="21">
        <v>0</v>
      </c>
      <c r="AC8238" s="21">
        <v>0</v>
      </c>
      <c r="AD8238" s="21">
        <v>0</v>
      </c>
      <c r="AE8238" s="21">
        <v>0</v>
      </c>
      <c r="AF8238" s="21"/>
      <c r="AG8238" s="21">
        <v>0</v>
      </c>
      <c r="AH8238" s="21">
        <f t="shared" si="164"/>
        <v>192</v>
      </c>
      <c r="AI8238" s="21"/>
      <c r="AJ8238" s="21" t="s">
        <v>51</v>
      </c>
      <c r="AK8238" s="21" t="s">
        <v>95</v>
      </c>
      <c r="AL8238" s="21"/>
      <c r="AM8238" s="21" t="s">
        <v>4593</v>
      </c>
      <c r="AN8238" s="21">
        <v>-122.439099433333</v>
      </c>
      <c r="AO8238" s="21">
        <v>37.801171466666702</v>
      </c>
      <c r="AP8238" s="21" t="s">
        <v>951</v>
      </c>
    </row>
    <row r="8239" spans="1:42">
      <c r="A8239" s="20">
        <v>43859</v>
      </c>
      <c r="B8239" s="21">
        <v>3</v>
      </c>
      <c r="C8239" s="21">
        <v>207</v>
      </c>
      <c r="D8239" s="21">
        <v>14657</v>
      </c>
      <c r="E8239" s="21"/>
      <c r="F8239" s="21" t="s">
        <v>104</v>
      </c>
      <c r="G8239" s="21">
        <v>2</v>
      </c>
      <c r="H8239" s="21">
        <v>76</v>
      </c>
      <c r="I8239" s="23" t="s">
        <v>4127</v>
      </c>
      <c r="J8239" s="21"/>
      <c r="K8239" s="21" t="s">
        <v>861</v>
      </c>
      <c r="L8239" s="21"/>
      <c r="M8239" s="21"/>
      <c r="N8239" s="21" t="s">
        <v>44</v>
      </c>
      <c r="O8239" s="21">
        <v>101</v>
      </c>
      <c r="P8239" s="21"/>
      <c r="Q8239" s="21">
        <f t="shared" si="163"/>
        <v>1</v>
      </c>
      <c r="R8239" s="21">
        <v>1</v>
      </c>
      <c r="S8239" s="21">
        <v>0</v>
      </c>
      <c r="T8239" s="21">
        <v>0</v>
      </c>
      <c r="U8239" s="21">
        <v>0</v>
      </c>
      <c r="V8239" s="21">
        <v>0</v>
      </c>
      <c r="W8239" s="21">
        <v>1</v>
      </c>
      <c r="X8239" s="21">
        <v>0</v>
      </c>
      <c r="Y8239" s="21">
        <v>0</v>
      </c>
      <c r="Z8239" s="21">
        <v>0</v>
      </c>
      <c r="AA8239" s="21">
        <v>0</v>
      </c>
      <c r="AB8239" s="21">
        <v>0</v>
      </c>
      <c r="AC8239" s="21">
        <v>0</v>
      </c>
      <c r="AD8239" s="21">
        <v>0</v>
      </c>
      <c r="AE8239" s="21">
        <v>0</v>
      </c>
      <c r="AF8239" s="21"/>
      <c r="AG8239" s="21">
        <v>0</v>
      </c>
      <c r="AH8239" s="21">
        <f t="shared" si="164"/>
        <v>96</v>
      </c>
      <c r="AI8239" s="21"/>
      <c r="AJ8239" s="21" t="s">
        <v>51</v>
      </c>
      <c r="AK8239" s="21" t="s">
        <v>95</v>
      </c>
      <c r="AL8239" s="21" t="s">
        <v>4594</v>
      </c>
      <c r="AM8239" s="21" t="s">
        <v>4595</v>
      </c>
      <c r="AN8239" s="21">
        <v>-122.43968221666699</v>
      </c>
      <c r="AO8239" s="21">
        <v>37.801369483333303</v>
      </c>
      <c r="AP8239" s="21" t="s">
        <v>951</v>
      </c>
    </row>
    <row r="8240" spans="1:42">
      <c r="A8240" s="20">
        <v>43859</v>
      </c>
      <c r="B8240" s="21">
        <v>3</v>
      </c>
      <c r="C8240" s="21">
        <v>207</v>
      </c>
      <c r="D8240" s="21">
        <v>14657</v>
      </c>
      <c r="E8240" s="21"/>
      <c r="F8240" s="21" t="s">
        <v>104</v>
      </c>
      <c r="G8240" s="21">
        <v>2</v>
      </c>
      <c r="H8240" s="21">
        <v>77</v>
      </c>
      <c r="I8240" s="23" t="s">
        <v>4596</v>
      </c>
      <c r="J8240" s="21"/>
      <c r="K8240" t="s">
        <v>848</v>
      </c>
      <c r="L8240" s="21"/>
      <c r="M8240" s="21"/>
      <c r="N8240" s="21" t="s">
        <v>44</v>
      </c>
      <c r="O8240" s="21">
        <v>130</v>
      </c>
      <c r="P8240" s="21"/>
      <c r="Q8240" s="21">
        <f t="shared" si="163"/>
        <v>1</v>
      </c>
      <c r="R8240" s="21">
        <v>1</v>
      </c>
      <c r="S8240" s="21">
        <v>0</v>
      </c>
      <c r="T8240" s="21">
        <v>0</v>
      </c>
      <c r="U8240" s="21">
        <v>0</v>
      </c>
      <c r="V8240" s="21">
        <v>0</v>
      </c>
      <c r="W8240" s="21">
        <v>1</v>
      </c>
      <c r="X8240" s="21">
        <v>0</v>
      </c>
      <c r="Y8240" s="21">
        <v>0</v>
      </c>
      <c r="Z8240" s="21">
        <v>0</v>
      </c>
      <c r="AA8240" s="21">
        <v>0</v>
      </c>
      <c r="AB8240" s="21">
        <v>0</v>
      </c>
      <c r="AC8240" s="21">
        <v>0</v>
      </c>
      <c r="AD8240" s="21">
        <v>0</v>
      </c>
      <c r="AE8240" s="21">
        <v>0</v>
      </c>
      <c r="AF8240" s="21"/>
      <c r="AG8240" s="21">
        <v>0</v>
      </c>
      <c r="AH8240" s="21">
        <f t="shared" si="164"/>
        <v>96</v>
      </c>
      <c r="AI8240" s="21"/>
      <c r="AJ8240" s="21" t="s">
        <v>51</v>
      </c>
      <c r="AK8240" s="21" t="s">
        <v>95</v>
      </c>
      <c r="AL8240" s="21" t="s">
        <v>4597</v>
      </c>
      <c r="AM8240" s="21" t="s">
        <v>4598</v>
      </c>
      <c r="AN8240" s="21">
        <v>-122.43994523333301</v>
      </c>
      <c r="AO8240" s="21">
        <v>37.802658516666703</v>
      </c>
      <c r="AP8240" s="21" t="s">
        <v>951</v>
      </c>
    </row>
    <row r="8241" spans="1:42">
      <c r="A8241" s="20">
        <v>43859</v>
      </c>
      <c r="B8241" s="21">
        <v>3</v>
      </c>
      <c r="C8241" s="21">
        <v>207</v>
      </c>
      <c r="D8241" s="21">
        <v>14657</v>
      </c>
      <c r="E8241" s="21"/>
      <c r="F8241" s="21" t="s">
        <v>104</v>
      </c>
      <c r="G8241" s="21">
        <v>2</v>
      </c>
      <c r="H8241" s="21">
        <v>78</v>
      </c>
      <c r="I8241" s="23" t="s">
        <v>4599</v>
      </c>
      <c r="J8241" s="21"/>
      <c r="K8241" t="s">
        <v>848</v>
      </c>
      <c r="L8241" s="21"/>
      <c r="M8241" s="21"/>
      <c r="N8241" s="21" t="s">
        <v>44</v>
      </c>
      <c r="O8241" s="21">
        <v>147</v>
      </c>
      <c r="P8241" s="21"/>
      <c r="Q8241" s="21">
        <f t="shared" si="163"/>
        <v>2</v>
      </c>
      <c r="R8241" s="21">
        <v>1</v>
      </c>
      <c r="S8241" s="21">
        <v>0</v>
      </c>
      <c r="T8241" s="21">
        <v>0</v>
      </c>
      <c r="U8241" s="21">
        <v>0</v>
      </c>
      <c r="V8241" s="21">
        <v>0</v>
      </c>
      <c r="W8241" s="21">
        <v>2</v>
      </c>
      <c r="X8241" s="21">
        <v>0</v>
      </c>
      <c r="Y8241" s="21">
        <v>0</v>
      </c>
      <c r="Z8241" s="21">
        <v>0</v>
      </c>
      <c r="AA8241" s="21">
        <v>0</v>
      </c>
      <c r="AB8241" s="21">
        <v>0</v>
      </c>
      <c r="AC8241" s="21">
        <v>0</v>
      </c>
      <c r="AD8241" s="21">
        <v>0</v>
      </c>
      <c r="AE8241" s="21">
        <v>0</v>
      </c>
      <c r="AF8241" s="21"/>
      <c r="AG8241" s="21">
        <v>0</v>
      </c>
      <c r="AH8241" s="21">
        <f t="shared" si="164"/>
        <v>192</v>
      </c>
      <c r="AI8241" s="21"/>
      <c r="AJ8241" s="21" t="s">
        <v>51</v>
      </c>
      <c r="AK8241" s="21" t="s">
        <v>95</v>
      </c>
      <c r="AL8241" s="21" t="s">
        <v>4600</v>
      </c>
      <c r="AM8241" s="21" t="s">
        <v>4601</v>
      </c>
      <c r="AN8241" s="21">
        <v>-122.4400162</v>
      </c>
      <c r="AO8241" s="21">
        <v>37.802890716666603</v>
      </c>
      <c r="AP8241" s="21" t="s">
        <v>951</v>
      </c>
    </row>
    <row r="8242" spans="1:42">
      <c r="A8242" s="20">
        <v>43859</v>
      </c>
      <c r="B8242" s="21">
        <v>3</v>
      </c>
      <c r="C8242" s="21">
        <v>207</v>
      </c>
      <c r="D8242" s="21">
        <v>14657</v>
      </c>
      <c r="E8242" s="21"/>
      <c r="F8242" s="21" t="s">
        <v>104</v>
      </c>
      <c r="G8242" s="21">
        <v>2</v>
      </c>
      <c r="H8242" s="21">
        <v>79</v>
      </c>
      <c r="I8242" s="23" t="s">
        <v>4602</v>
      </c>
      <c r="J8242" s="21"/>
      <c r="K8242" t="s">
        <v>192</v>
      </c>
      <c r="L8242" s="21" t="s">
        <v>114</v>
      </c>
      <c r="M8242" s="21"/>
      <c r="N8242" s="21" t="s">
        <v>40</v>
      </c>
      <c r="O8242" s="21">
        <v>57</v>
      </c>
      <c r="P8242" s="21"/>
      <c r="Q8242" s="21">
        <f t="shared" si="163"/>
        <v>2</v>
      </c>
      <c r="R8242" s="21">
        <v>1</v>
      </c>
      <c r="S8242" s="21">
        <v>0</v>
      </c>
      <c r="T8242" s="21">
        <v>0</v>
      </c>
      <c r="U8242" s="21">
        <v>2</v>
      </c>
      <c r="V8242" s="21">
        <v>0</v>
      </c>
      <c r="W8242" s="21">
        <v>0</v>
      </c>
      <c r="X8242" s="21">
        <v>0</v>
      </c>
      <c r="Y8242" s="21">
        <v>0</v>
      </c>
      <c r="Z8242" s="21">
        <v>0</v>
      </c>
      <c r="AA8242" s="21">
        <v>0</v>
      </c>
      <c r="AB8242" s="21">
        <v>0</v>
      </c>
      <c r="AC8242" s="21">
        <v>0</v>
      </c>
      <c r="AD8242" s="21">
        <v>0</v>
      </c>
      <c r="AE8242" s="21">
        <v>0</v>
      </c>
      <c r="AF8242" s="21"/>
      <c r="AG8242" s="21">
        <v>0</v>
      </c>
      <c r="AH8242" s="21">
        <f t="shared" si="164"/>
        <v>64</v>
      </c>
      <c r="AI8242" s="21"/>
      <c r="AJ8242" s="21" t="s">
        <v>51</v>
      </c>
      <c r="AK8242" s="21" t="s">
        <v>95</v>
      </c>
      <c r="AL8242" s="21"/>
      <c r="AM8242" s="21" t="s">
        <v>4603</v>
      </c>
      <c r="AN8242" s="21">
        <v>-122.439991216667</v>
      </c>
      <c r="AO8242" s="21">
        <v>37.803057816666701</v>
      </c>
      <c r="AP8242" s="21" t="s">
        <v>951</v>
      </c>
    </row>
    <row r="8243" spans="1:42">
      <c r="A8243" s="20">
        <v>43859</v>
      </c>
      <c r="B8243" s="21">
        <v>3</v>
      </c>
      <c r="C8243" s="21">
        <v>207</v>
      </c>
      <c r="D8243" s="21">
        <v>14657</v>
      </c>
      <c r="E8243" s="21"/>
      <c r="F8243" s="21" t="s">
        <v>104</v>
      </c>
      <c r="G8243" s="21">
        <v>2</v>
      </c>
      <c r="H8243" s="21">
        <v>80</v>
      </c>
      <c r="I8243" s="23" t="s">
        <v>4604</v>
      </c>
      <c r="J8243" s="21"/>
      <c r="K8243" t="s">
        <v>192</v>
      </c>
      <c r="L8243" s="21" t="s">
        <v>141</v>
      </c>
      <c r="M8243" s="21"/>
      <c r="N8243" s="21" t="s">
        <v>40</v>
      </c>
      <c r="O8243" s="21">
        <v>47</v>
      </c>
      <c r="P8243" s="21"/>
      <c r="Q8243" s="21">
        <f t="shared" si="163"/>
        <v>3</v>
      </c>
      <c r="R8243" s="21">
        <v>1</v>
      </c>
      <c r="S8243" s="21">
        <v>0</v>
      </c>
      <c r="T8243" s="21">
        <v>0</v>
      </c>
      <c r="U8243" s="21">
        <v>3</v>
      </c>
      <c r="V8243" s="21">
        <v>0</v>
      </c>
      <c r="W8243" s="21">
        <v>0</v>
      </c>
      <c r="X8243" s="21">
        <v>0</v>
      </c>
      <c r="Y8243" s="21">
        <v>0</v>
      </c>
      <c r="Z8243" s="21">
        <v>0</v>
      </c>
      <c r="AA8243" s="21">
        <v>0</v>
      </c>
      <c r="AB8243" s="21">
        <v>0</v>
      </c>
      <c r="AC8243" s="21">
        <v>0</v>
      </c>
      <c r="AD8243" s="21">
        <v>0</v>
      </c>
      <c r="AE8243" s="21">
        <v>0</v>
      </c>
      <c r="AF8243" s="21"/>
      <c r="AG8243" s="21">
        <v>0</v>
      </c>
      <c r="AH8243" s="21">
        <f t="shared" si="164"/>
        <v>96</v>
      </c>
      <c r="AI8243" s="21"/>
      <c r="AJ8243" s="21" t="s">
        <v>51</v>
      </c>
      <c r="AK8243" s="21" t="s">
        <v>95</v>
      </c>
      <c r="AL8243" s="21"/>
      <c r="AM8243" s="21" t="s">
        <v>4605</v>
      </c>
      <c r="AN8243" s="21">
        <v>-122.43997444999999</v>
      </c>
      <c r="AO8243" s="21">
        <v>37.803049866666697</v>
      </c>
      <c r="AP8243" s="21" t="s">
        <v>951</v>
      </c>
    </row>
    <row r="8244" spans="1:42">
      <c r="A8244" s="20">
        <v>43859</v>
      </c>
      <c r="B8244" s="21">
        <v>3</v>
      </c>
      <c r="C8244" s="21">
        <v>207</v>
      </c>
      <c r="D8244" s="21">
        <v>14657</v>
      </c>
      <c r="E8244" s="21"/>
      <c r="F8244" s="21" t="s">
        <v>104</v>
      </c>
      <c r="G8244" s="21">
        <v>2</v>
      </c>
      <c r="H8244" s="21">
        <v>81</v>
      </c>
      <c r="I8244" s="23" t="s">
        <v>4606</v>
      </c>
      <c r="J8244" s="21"/>
      <c r="K8244" t="s">
        <v>192</v>
      </c>
      <c r="L8244" s="21" t="s">
        <v>114</v>
      </c>
      <c r="M8244" s="21"/>
      <c r="N8244" s="21" t="s">
        <v>40</v>
      </c>
      <c r="O8244" s="21">
        <v>57</v>
      </c>
      <c r="P8244" s="21"/>
      <c r="Q8244" s="21">
        <f t="shared" si="163"/>
        <v>3</v>
      </c>
      <c r="R8244" s="21">
        <v>1</v>
      </c>
      <c r="S8244" s="21">
        <v>2</v>
      </c>
      <c r="T8244" s="21">
        <v>0</v>
      </c>
      <c r="U8244" s="21">
        <v>1</v>
      </c>
      <c r="V8244" s="21">
        <v>0</v>
      </c>
      <c r="W8244" s="21">
        <v>0</v>
      </c>
      <c r="X8244" s="21">
        <v>0</v>
      </c>
      <c r="Y8244" s="21">
        <v>0</v>
      </c>
      <c r="Z8244" s="21">
        <v>0</v>
      </c>
      <c r="AA8244" s="21">
        <v>0</v>
      </c>
      <c r="AB8244" s="21">
        <v>0</v>
      </c>
      <c r="AC8244" s="21">
        <v>0</v>
      </c>
      <c r="AD8244" s="21">
        <v>0</v>
      </c>
      <c r="AE8244" s="21">
        <v>0</v>
      </c>
      <c r="AF8244" s="21"/>
      <c r="AG8244" s="21">
        <v>0</v>
      </c>
      <c r="AH8244" s="21">
        <f t="shared" si="164"/>
        <v>64</v>
      </c>
      <c r="AI8244" s="21"/>
      <c r="AJ8244" s="21" t="s">
        <v>51</v>
      </c>
      <c r="AK8244" s="21" t="s">
        <v>95</v>
      </c>
      <c r="AL8244" s="21"/>
      <c r="AM8244" s="21" t="s">
        <v>4607</v>
      </c>
      <c r="AN8244" s="21">
        <v>-122.439974283333</v>
      </c>
      <c r="AO8244" s="21">
        <v>37.803135766666699</v>
      </c>
      <c r="AP8244" s="21" t="s">
        <v>951</v>
      </c>
    </row>
    <row r="8245" spans="1:42">
      <c r="A8245" s="20">
        <v>43859</v>
      </c>
      <c r="B8245" s="21">
        <v>3</v>
      </c>
      <c r="C8245" s="21">
        <v>207</v>
      </c>
      <c r="D8245" s="21">
        <v>14657</v>
      </c>
      <c r="E8245" s="21"/>
      <c r="F8245" s="21" t="s">
        <v>104</v>
      </c>
      <c r="G8245" s="21">
        <v>2</v>
      </c>
      <c r="H8245" s="21">
        <v>82</v>
      </c>
      <c r="I8245" s="23" t="s">
        <v>4608</v>
      </c>
      <c r="J8245" s="21"/>
      <c r="K8245" t="s">
        <v>192</v>
      </c>
      <c r="L8245" s="21" t="s">
        <v>114</v>
      </c>
      <c r="M8245" s="21"/>
      <c r="N8245" s="21" t="s">
        <v>40</v>
      </c>
      <c r="O8245" s="21">
        <v>47</v>
      </c>
      <c r="P8245" s="21"/>
      <c r="Q8245" s="21">
        <f t="shared" si="163"/>
        <v>3</v>
      </c>
      <c r="R8245" s="21">
        <v>1</v>
      </c>
      <c r="S8245" s="21">
        <v>2</v>
      </c>
      <c r="T8245" s="21">
        <v>0</v>
      </c>
      <c r="U8245" s="21">
        <v>1</v>
      </c>
      <c r="V8245" s="21">
        <v>0</v>
      </c>
      <c r="W8245" s="21">
        <v>0</v>
      </c>
      <c r="X8245" s="21">
        <v>0</v>
      </c>
      <c r="Y8245" s="21">
        <v>0</v>
      </c>
      <c r="Z8245" s="21">
        <v>0</v>
      </c>
      <c r="AA8245" s="21">
        <v>0</v>
      </c>
      <c r="AB8245" s="21">
        <v>0</v>
      </c>
      <c r="AC8245" s="21">
        <v>0</v>
      </c>
      <c r="AD8245" s="21">
        <v>0</v>
      </c>
      <c r="AE8245" s="21">
        <v>0</v>
      </c>
      <c r="AF8245" s="21"/>
      <c r="AG8245" s="21">
        <v>0</v>
      </c>
      <c r="AH8245" s="21">
        <f t="shared" si="164"/>
        <v>64</v>
      </c>
      <c r="AI8245" s="21"/>
      <c r="AJ8245" s="21" t="s">
        <v>51</v>
      </c>
      <c r="AK8245" s="21" t="s">
        <v>95</v>
      </c>
      <c r="AL8245" s="21"/>
      <c r="AM8245" s="21" t="s">
        <v>4609</v>
      </c>
      <c r="AN8245" s="21">
        <v>-122.440032483333</v>
      </c>
      <c r="AO8245" s="21">
        <v>37.803298783333297</v>
      </c>
      <c r="AP8245" s="21" t="s">
        <v>951</v>
      </c>
    </row>
    <row r="8246" spans="1:42">
      <c r="A8246" s="20">
        <v>43859</v>
      </c>
      <c r="B8246" s="21">
        <v>3</v>
      </c>
      <c r="C8246" s="21">
        <v>207</v>
      </c>
      <c r="D8246" s="21">
        <v>14657</v>
      </c>
      <c r="E8246" s="21"/>
      <c r="F8246" s="21" t="s">
        <v>104</v>
      </c>
      <c r="G8246" s="21">
        <v>2</v>
      </c>
      <c r="H8246" s="21">
        <v>83</v>
      </c>
      <c r="I8246" s="23" t="s">
        <v>4610</v>
      </c>
      <c r="J8246" s="21"/>
      <c r="K8246" t="s">
        <v>192</v>
      </c>
      <c r="L8246" s="21"/>
      <c r="M8246" s="21"/>
      <c r="N8246" s="21" t="s">
        <v>44</v>
      </c>
      <c r="O8246" s="21">
        <v>60</v>
      </c>
      <c r="P8246" s="21"/>
      <c r="Q8246" s="21">
        <f t="shared" si="163"/>
        <v>1</v>
      </c>
      <c r="R8246" s="21">
        <v>1</v>
      </c>
      <c r="S8246" s="21">
        <v>0</v>
      </c>
      <c r="T8246" s="21">
        <v>0</v>
      </c>
      <c r="U8246" s="21">
        <v>0</v>
      </c>
      <c r="V8246" s="21">
        <v>0</v>
      </c>
      <c r="W8246" s="21">
        <v>1</v>
      </c>
      <c r="X8246" s="21">
        <v>0</v>
      </c>
      <c r="Y8246" s="21">
        <v>0</v>
      </c>
      <c r="Z8246" s="21">
        <v>0</v>
      </c>
      <c r="AA8246" s="21">
        <v>0</v>
      </c>
      <c r="AB8246" s="21">
        <v>0</v>
      </c>
      <c r="AC8246" s="21">
        <v>0</v>
      </c>
      <c r="AD8246" s="21">
        <v>0</v>
      </c>
      <c r="AE8246" s="21">
        <v>0</v>
      </c>
      <c r="AF8246" s="21"/>
      <c r="AG8246" s="21">
        <v>0</v>
      </c>
      <c r="AH8246" s="21">
        <f t="shared" si="164"/>
        <v>96</v>
      </c>
      <c r="AI8246" s="21"/>
      <c r="AJ8246" s="21" t="s">
        <v>51</v>
      </c>
      <c r="AK8246" s="21" t="s">
        <v>95</v>
      </c>
      <c r="AL8246" s="21"/>
      <c r="AM8246" s="21" t="s">
        <v>4611</v>
      </c>
      <c r="AN8246" s="21">
        <v>-122.44008023333301</v>
      </c>
      <c r="AO8246" s="21">
        <v>37.803551533333298</v>
      </c>
      <c r="AP8246" s="21" t="s">
        <v>951</v>
      </c>
    </row>
    <row r="8247" spans="1:42">
      <c r="A8247" s="20">
        <v>43859</v>
      </c>
      <c r="B8247" s="21">
        <v>3</v>
      </c>
      <c r="C8247" s="21">
        <v>207</v>
      </c>
      <c r="D8247" s="21">
        <v>14657</v>
      </c>
      <c r="E8247" s="21"/>
      <c r="F8247" s="21" t="s">
        <v>104</v>
      </c>
      <c r="G8247" s="21">
        <v>2</v>
      </c>
      <c r="H8247" s="21">
        <v>84</v>
      </c>
      <c r="I8247" s="23" t="s">
        <v>4612</v>
      </c>
      <c r="J8247" s="21"/>
      <c r="K8247" t="s">
        <v>192</v>
      </c>
      <c r="L8247" s="21"/>
      <c r="M8247" s="21"/>
      <c r="N8247" s="21" t="s">
        <v>44</v>
      </c>
      <c r="O8247" s="21">
        <v>95</v>
      </c>
      <c r="P8247" s="21"/>
      <c r="Q8247" s="21">
        <f t="shared" si="163"/>
        <v>1</v>
      </c>
      <c r="R8247" s="21">
        <v>1</v>
      </c>
      <c r="S8247" s="21">
        <v>0</v>
      </c>
      <c r="T8247" s="21">
        <v>0</v>
      </c>
      <c r="U8247" s="21">
        <v>0</v>
      </c>
      <c r="V8247" s="21">
        <v>0</v>
      </c>
      <c r="W8247" s="21">
        <v>1</v>
      </c>
      <c r="X8247" s="21">
        <v>0</v>
      </c>
      <c r="Y8247" s="21">
        <v>0</v>
      </c>
      <c r="Z8247" s="21">
        <v>0</v>
      </c>
      <c r="AA8247" s="21">
        <v>0</v>
      </c>
      <c r="AB8247" s="21">
        <v>0</v>
      </c>
      <c r="AC8247" s="21">
        <v>0</v>
      </c>
      <c r="AD8247" s="21">
        <v>0</v>
      </c>
      <c r="AE8247" s="21">
        <v>0</v>
      </c>
      <c r="AF8247" s="21"/>
      <c r="AG8247" s="21">
        <v>0</v>
      </c>
      <c r="AH8247" s="21">
        <f t="shared" si="164"/>
        <v>96</v>
      </c>
      <c r="AI8247" s="21"/>
      <c r="AJ8247" s="21" t="s">
        <v>51</v>
      </c>
      <c r="AK8247" s="21" t="s">
        <v>95</v>
      </c>
      <c r="AL8247" s="21" t="s">
        <v>4613</v>
      </c>
      <c r="AM8247" s="21" t="s">
        <v>4614</v>
      </c>
      <c r="AN8247" s="21">
        <v>-122.440035633333</v>
      </c>
      <c r="AO8247" s="21">
        <v>37.803603766666598</v>
      </c>
      <c r="AP8247" s="21" t="s">
        <v>951</v>
      </c>
    </row>
    <row r="8248" spans="1:42">
      <c r="A8248" s="20">
        <v>43859</v>
      </c>
      <c r="B8248" s="21">
        <v>3</v>
      </c>
      <c r="C8248" s="21">
        <v>207</v>
      </c>
      <c r="D8248" s="21">
        <v>14657</v>
      </c>
      <c r="E8248" s="21"/>
      <c r="F8248" s="21" t="s">
        <v>104</v>
      </c>
      <c r="G8248" s="21">
        <v>2</v>
      </c>
      <c r="H8248" s="21">
        <v>85</v>
      </c>
      <c r="I8248" s="23" t="s">
        <v>4615</v>
      </c>
      <c r="J8248" s="21"/>
      <c r="K8248" t="s">
        <v>192</v>
      </c>
      <c r="L8248" s="21" t="s">
        <v>114</v>
      </c>
      <c r="M8248" s="21"/>
      <c r="N8248" s="21" t="s">
        <v>40</v>
      </c>
      <c r="O8248" s="21">
        <v>34</v>
      </c>
      <c r="P8248" s="21"/>
      <c r="Q8248" s="21">
        <f t="shared" si="163"/>
        <v>1</v>
      </c>
      <c r="R8248" s="21">
        <v>1</v>
      </c>
      <c r="S8248" s="21">
        <v>0</v>
      </c>
      <c r="T8248" s="21">
        <v>0</v>
      </c>
      <c r="U8248" s="21">
        <v>1</v>
      </c>
      <c r="V8248" s="21">
        <v>0</v>
      </c>
      <c r="W8248" s="21">
        <v>0</v>
      </c>
      <c r="X8248" s="21">
        <v>0</v>
      </c>
      <c r="Y8248" s="21">
        <v>0</v>
      </c>
      <c r="Z8248" s="21">
        <v>0</v>
      </c>
      <c r="AA8248" s="21">
        <v>0</v>
      </c>
      <c r="AB8248" s="21">
        <v>0</v>
      </c>
      <c r="AC8248" s="21">
        <v>0</v>
      </c>
      <c r="AD8248" s="21">
        <v>0</v>
      </c>
      <c r="AE8248" s="21">
        <v>0</v>
      </c>
      <c r="AF8248" s="21"/>
      <c r="AG8248" s="21">
        <v>0</v>
      </c>
      <c r="AH8248" s="21">
        <f t="shared" si="164"/>
        <v>32</v>
      </c>
      <c r="AI8248" s="21"/>
      <c r="AJ8248" s="21" t="s">
        <v>51</v>
      </c>
      <c r="AK8248" s="21" t="s">
        <v>95</v>
      </c>
      <c r="AL8248" s="21"/>
      <c r="AM8248" s="21" t="s">
        <v>4616</v>
      </c>
      <c r="AN8248" s="21">
        <v>-122.4401159</v>
      </c>
      <c r="AO8248" s="21">
        <v>37.803687383333298</v>
      </c>
      <c r="AP8248" s="21" t="s">
        <v>951</v>
      </c>
    </row>
    <row r="8249" spans="1:42">
      <c r="A8249" s="20">
        <v>43859</v>
      </c>
      <c r="B8249" s="21">
        <v>3</v>
      </c>
      <c r="C8249" s="21">
        <v>207</v>
      </c>
      <c r="D8249" s="21">
        <v>14657</v>
      </c>
      <c r="E8249" s="21"/>
      <c r="F8249" s="21" t="s">
        <v>104</v>
      </c>
      <c r="G8249" s="21">
        <v>2</v>
      </c>
      <c r="H8249" s="21">
        <v>86</v>
      </c>
      <c r="I8249" s="23" t="s">
        <v>4617</v>
      </c>
      <c r="J8249" s="21"/>
      <c r="K8249" t="s">
        <v>192</v>
      </c>
      <c r="L8249" s="21" t="s">
        <v>114</v>
      </c>
      <c r="M8249" s="21"/>
      <c r="N8249" s="21" t="s">
        <v>40</v>
      </c>
      <c r="O8249" s="21">
        <v>105</v>
      </c>
      <c r="P8249" s="21"/>
      <c r="Q8249" s="21">
        <f t="shared" si="163"/>
        <v>5</v>
      </c>
      <c r="R8249" s="21">
        <v>1</v>
      </c>
      <c r="S8249" s="21">
        <v>2</v>
      </c>
      <c r="T8249" s="21">
        <v>0</v>
      </c>
      <c r="U8249" s="21">
        <v>2</v>
      </c>
      <c r="V8249" s="21">
        <v>1</v>
      </c>
      <c r="W8249" s="21">
        <v>0</v>
      </c>
      <c r="X8249" s="21">
        <v>0</v>
      </c>
      <c r="Y8249" s="21">
        <v>0</v>
      </c>
      <c r="Z8249" s="21">
        <v>0</v>
      </c>
      <c r="AA8249" s="21">
        <v>0</v>
      </c>
      <c r="AB8249" s="21">
        <v>0</v>
      </c>
      <c r="AC8249" s="21">
        <v>0</v>
      </c>
      <c r="AD8249" s="21">
        <v>0</v>
      </c>
      <c r="AE8249" s="21">
        <v>0</v>
      </c>
      <c r="AF8249" s="21"/>
      <c r="AG8249" s="21">
        <v>0</v>
      </c>
      <c r="AH8249" s="21">
        <f t="shared" si="164"/>
        <v>160</v>
      </c>
      <c r="AI8249" s="21"/>
      <c r="AJ8249" s="21" t="s">
        <v>51</v>
      </c>
      <c r="AK8249" s="21" t="s">
        <v>95</v>
      </c>
      <c r="AL8249" s="21"/>
      <c r="AM8249" s="21" t="s">
        <v>4618</v>
      </c>
      <c r="AN8249" s="21">
        <v>-122.440110116667</v>
      </c>
      <c r="AO8249" s="21">
        <v>37.803729966666701</v>
      </c>
      <c r="AP8249" s="21" t="s">
        <v>951</v>
      </c>
    </row>
    <row r="8250" spans="1:42">
      <c r="A8250" s="20">
        <v>43859</v>
      </c>
      <c r="B8250" s="21">
        <v>3</v>
      </c>
      <c r="C8250" s="21">
        <v>207</v>
      </c>
      <c r="D8250" s="21">
        <v>14657</v>
      </c>
      <c r="E8250" s="21"/>
      <c r="F8250" s="21" t="s">
        <v>104</v>
      </c>
      <c r="G8250" s="21">
        <v>2</v>
      </c>
      <c r="H8250" s="21">
        <v>87</v>
      </c>
      <c r="I8250" s="23" t="s">
        <v>4619</v>
      </c>
      <c r="J8250" s="21"/>
      <c r="K8250" t="s">
        <v>192</v>
      </c>
      <c r="L8250" s="21" t="s">
        <v>114</v>
      </c>
      <c r="M8250" s="21"/>
      <c r="N8250" s="21" t="s">
        <v>40</v>
      </c>
      <c r="O8250" s="21">
        <v>54</v>
      </c>
      <c r="P8250" s="21"/>
      <c r="Q8250" s="21">
        <f t="shared" si="163"/>
        <v>2</v>
      </c>
      <c r="R8250" s="21">
        <v>1</v>
      </c>
      <c r="S8250" s="21">
        <v>0</v>
      </c>
      <c r="T8250" s="21">
        <v>0</v>
      </c>
      <c r="U8250" s="21">
        <v>1</v>
      </c>
      <c r="V8250" s="21">
        <v>1</v>
      </c>
      <c r="W8250" s="21">
        <v>0</v>
      </c>
      <c r="X8250" s="21">
        <v>0</v>
      </c>
      <c r="Y8250" s="21">
        <v>0</v>
      </c>
      <c r="Z8250" s="21">
        <v>0</v>
      </c>
      <c r="AA8250" s="21">
        <v>0</v>
      </c>
      <c r="AB8250" s="21">
        <v>0</v>
      </c>
      <c r="AC8250" s="21">
        <v>0</v>
      </c>
      <c r="AD8250" s="21">
        <v>0</v>
      </c>
      <c r="AE8250" s="21">
        <v>0</v>
      </c>
      <c r="AF8250" s="21"/>
      <c r="AG8250" s="21">
        <v>0</v>
      </c>
      <c r="AH8250" s="21">
        <f t="shared" si="164"/>
        <v>96</v>
      </c>
      <c r="AI8250" s="21"/>
      <c r="AJ8250" s="21" t="s">
        <v>51</v>
      </c>
      <c r="AK8250" s="21" t="s">
        <v>95</v>
      </c>
      <c r="AL8250" s="21"/>
      <c r="AM8250" s="21" t="s">
        <v>4620</v>
      </c>
      <c r="AN8250" s="21">
        <v>-122.440160783333</v>
      </c>
      <c r="AO8250" s="21">
        <v>37.803888116666599</v>
      </c>
      <c r="AP8250" s="21" t="s">
        <v>951</v>
      </c>
    </row>
    <row r="8251" spans="1:42">
      <c r="A8251" s="20">
        <v>43859</v>
      </c>
      <c r="B8251" s="21">
        <v>3</v>
      </c>
      <c r="C8251" s="21">
        <v>207</v>
      </c>
      <c r="D8251" s="21">
        <v>14657</v>
      </c>
      <c r="E8251" s="21"/>
      <c r="F8251" s="21" t="s">
        <v>104</v>
      </c>
      <c r="G8251" s="21">
        <v>2</v>
      </c>
      <c r="H8251" s="21">
        <v>88</v>
      </c>
      <c r="I8251" s="23" t="s">
        <v>2791</v>
      </c>
      <c r="J8251" s="21"/>
      <c r="K8251" s="21" t="s">
        <v>906</v>
      </c>
      <c r="L8251" s="21"/>
      <c r="M8251" s="21"/>
      <c r="N8251" s="21" t="s">
        <v>44</v>
      </c>
      <c r="O8251" s="21">
        <v>106</v>
      </c>
      <c r="P8251" s="21"/>
      <c r="Q8251" s="21">
        <f t="shared" si="163"/>
        <v>1</v>
      </c>
      <c r="R8251" s="21">
        <v>1</v>
      </c>
      <c r="S8251" s="21">
        <v>0</v>
      </c>
      <c r="T8251" s="21">
        <v>0</v>
      </c>
      <c r="U8251" s="21">
        <v>0</v>
      </c>
      <c r="V8251" s="21">
        <v>0</v>
      </c>
      <c r="W8251" s="21">
        <v>1</v>
      </c>
      <c r="X8251" s="21">
        <v>0</v>
      </c>
      <c r="Y8251" s="21">
        <v>0</v>
      </c>
      <c r="Z8251" s="21">
        <v>0</v>
      </c>
      <c r="AA8251" s="21">
        <v>0</v>
      </c>
      <c r="AB8251" s="21">
        <v>0</v>
      </c>
      <c r="AC8251" s="21">
        <v>0</v>
      </c>
      <c r="AD8251" s="21">
        <v>0</v>
      </c>
      <c r="AE8251" s="21">
        <v>0</v>
      </c>
      <c r="AF8251" s="21"/>
      <c r="AG8251" s="21">
        <v>0</v>
      </c>
      <c r="AH8251" s="21">
        <f t="shared" si="164"/>
        <v>96</v>
      </c>
      <c r="AI8251" s="21"/>
      <c r="AJ8251" s="21" t="s">
        <v>51</v>
      </c>
      <c r="AK8251" s="21" t="s">
        <v>95</v>
      </c>
      <c r="AL8251" s="21" t="s">
        <v>4621</v>
      </c>
      <c r="AM8251" s="21" t="s">
        <v>4622</v>
      </c>
      <c r="AN8251" s="21">
        <v>-122.44065621666699</v>
      </c>
      <c r="AO8251" s="21">
        <v>37.803936466666698</v>
      </c>
      <c r="AP8251" s="21" t="s">
        <v>951</v>
      </c>
    </row>
    <row r="8252" spans="1:42">
      <c r="A8252" s="20">
        <v>43859</v>
      </c>
      <c r="B8252" s="21">
        <v>3</v>
      </c>
      <c r="C8252" s="21">
        <v>207</v>
      </c>
      <c r="D8252" s="21">
        <v>14657</v>
      </c>
      <c r="E8252" s="21"/>
      <c r="F8252" s="21" t="s">
        <v>104</v>
      </c>
      <c r="G8252" s="21">
        <v>2</v>
      </c>
      <c r="H8252" s="21">
        <v>89</v>
      </c>
      <c r="I8252" s="23" t="s">
        <v>4623</v>
      </c>
      <c r="J8252" s="21"/>
      <c r="K8252" s="21"/>
      <c r="L8252" s="21" t="s">
        <v>114</v>
      </c>
      <c r="M8252" s="21"/>
      <c r="N8252" s="21" t="s">
        <v>40</v>
      </c>
      <c r="O8252" s="21">
        <v>50</v>
      </c>
      <c r="P8252" s="21"/>
      <c r="Q8252" s="21">
        <f t="shared" si="163"/>
        <v>2</v>
      </c>
      <c r="R8252" s="21">
        <v>1</v>
      </c>
      <c r="S8252" s="21">
        <v>0</v>
      </c>
      <c r="T8252" s="21">
        <v>0</v>
      </c>
      <c r="U8252" s="21">
        <v>2</v>
      </c>
      <c r="V8252" s="21">
        <v>0</v>
      </c>
      <c r="W8252" s="21">
        <v>0</v>
      </c>
      <c r="X8252" s="21">
        <v>0</v>
      </c>
      <c r="Y8252" s="21">
        <v>0</v>
      </c>
      <c r="Z8252" s="21">
        <v>0</v>
      </c>
      <c r="AA8252" s="21">
        <v>0</v>
      </c>
      <c r="AB8252" s="21">
        <v>0</v>
      </c>
      <c r="AC8252" s="21">
        <v>0</v>
      </c>
      <c r="AD8252" s="21">
        <v>0</v>
      </c>
      <c r="AE8252" s="21">
        <v>0</v>
      </c>
      <c r="AF8252" s="21"/>
      <c r="AG8252" s="21">
        <v>0</v>
      </c>
      <c r="AH8252" s="21">
        <f t="shared" si="164"/>
        <v>64</v>
      </c>
      <c r="AI8252" s="21"/>
      <c r="AJ8252" s="21" t="s">
        <v>51</v>
      </c>
      <c r="AK8252" s="21" t="s">
        <v>95</v>
      </c>
      <c r="AL8252" s="21"/>
      <c r="AM8252" s="21" t="s">
        <v>4624</v>
      </c>
      <c r="AN8252" s="21">
        <v>-122.44182555</v>
      </c>
      <c r="AO8252" s="21">
        <v>37.803778733333303</v>
      </c>
      <c r="AP8252" s="21" t="s">
        <v>951</v>
      </c>
    </row>
    <row r="8253" spans="1:42">
      <c r="A8253" s="20">
        <v>43859</v>
      </c>
      <c r="B8253" s="21">
        <v>3</v>
      </c>
      <c r="C8253" s="21">
        <v>207</v>
      </c>
      <c r="D8253" s="21">
        <v>14657</v>
      </c>
      <c r="E8253" s="21"/>
      <c r="F8253" s="21" t="s">
        <v>104</v>
      </c>
      <c r="G8253" s="21">
        <v>2</v>
      </c>
      <c r="H8253" s="21">
        <v>90</v>
      </c>
      <c r="I8253" s="23" t="s">
        <v>3413</v>
      </c>
      <c r="J8253" s="21"/>
      <c r="K8253" s="21" t="s">
        <v>907</v>
      </c>
      <c r="L8253" s="21" t="s">
        <v>114</v>
      </c>
      <c r="M8253" s="21"/>
      <c r="N8253" s="21" t="s">
        <v>42</v>
      </c>
      <c r="O8253" s="21">
        <v>230</v>
      </c>
      <c r="P8253" s="21"/>
      <c r="Q8253" s="21">
        <f t="shared" si="163"/>
        <v>5</v>
      </c>
      <c r="R8253" s="21">
        <v>1</v>
      </c>
      <c r="S8253" s="21">
        <v>0</v>
      </c>
      <c r="T8253" s="21">
        <v>0</v>
      </c>
      <c r="U8253" s="21">
        <v>3</v>
      </c>
      <c r="V8253" s="21">
        <v>1</v>
      </c>
      <c r="W8253" s="21">
        <v>1</v>
      </c>
      <c r="X8253" s="21">
        <v>0</v>
      </c>
      <c r="Y8253" s="21">
        <v>0</v>
      </c>
      <c r="Z8253" s="21">
        <v>0</v>
      </c>
      <c r="AA8253" s="21">
        <v>0</v>
      </c>
      <c r="AB8253" s="21">
        <v>0</v>
      </c>
      <c r="AC8253" s="21">
        <v>0</v>
      </c>
      <c r="AD8253" s="21">
        <v>0</v>
      </c>
      <c r="AE8253" s="21">
        <v>0</v>
      </c>
      <c r="AF8253" s="21"/>
      <c r="AG8253" s="21">
        <v>0</v>
      </c>
      <c r="AH8253" s="21">
        <f t="shared" si="164"/>
        <v>256</v>
      </c>
      <c r="AI8253" s="21"/>
      <c r="AJ8253" s="21" t="s">
        <v>51</v>
      </c>
      <c r="AK8253" s="21" t="s">
        <v>95</v>
      </c>
      <c r="AL8253" s="21"/>
      <c r="AM8253" s="21" t="s">
        <v>4625</v>
      </c>
      <c r="AN8253" s="21">
        <v>-122.44121294999999</v>
      </c>
      <c r="AO8253" s="21">
        <v>37.804690583333297</v>
      </c>
      <c r="AP8253" s="21" t="s">
        <v>951</v>
      </c>
    </row>
    <row r="8254" spans="1:42">
      <c r="A8254" s="20">
        <v>43859</v>
      </c>
      <c r="B8254" s="21">
        <v>3</v>
      </c>
      <c r="C8254" s="21">
        <v>207</v>
      </c>
      <c r="D8254" s="21">
        <v>14657</v>
      </c>
      <c r="E8254" s="21"/>
      <c r="F8254" s="21" t="s">
        <v>104</v>
      </c>
      <c r="G8254" s="21">
        <v>2</v>
      </c>
      <c r="H8254" s="21">
        <v>91</v>
      </c>
      <c r="I8254" s="23" t="s">
        <v>4626</v>
      </c>
      <c r="J8254" s="21"/>
      <c r="K8254" s="21"/>
      <c r="L8254" s="21" t="s">
        <v>141</v>
      </c>
      <c r="M8254" s="21"/>
      <c r="N8254" s="21" t="s">
        <v>40</v>
      </c>
      <c r="O8254" s="21">
        <v>59</v>
      </c>
      <c r="P8254" s="21"/>
      <c r="Q8254" s="21">
        <f t="shared" si="163"/>
        <v>2</v>
      </c>
      <c r="R8254" s="21">
        <v>1</v>
      </c>
      <c r="S8254" s="21">
        <v>0</v>
      </c>
      <c r="T8254" s="21">
        <v>0</v>
      </c>
      <c r="U8254" s="21">
        <v>1</v>
      </c>
      <c r="V8254" s="21">
        <v>1</v>
      </c>
      <c r="W8254" s="21">
        <v>0</v>
      </c>
      <c r="X8254" s="21">
        <v>0</v>
      </c>
      <c r="Y8254" s="21">
        <v>0</v>
      </c>
      <c r="Z8254" s="21">
        <v>0</v>
      </c>
      <c r="AA8254" s="21">
        <v>0</v>
      </c>
      <c r="AB8254" s="21">
        <v>0</v>
      </c>
      <c r="AC8254" s="21">
        <v>0</v>
      </c>
      <c r="AD8254" s="21">
        <v>0</v>
      </c>
      <c r="AE8254" s="21">
        <v>0</v>
      </c>
      <c r="AF8254" s="21"/>
      <c r="AG8254" s="21">
        <v>0</v>
      </c>
      <c r="AH8254" s="21">
        <f t="shared" si="164"/>
        <v>96</v>
      </c>
      <c r="AI8254" s="21"/>
      <c r="AJ8254" s="21" t="s">
        <v>51</v>
      </c>
      <c r="AK8254" s="21" t="s">
        <v>95</v>
      </c>
      <c r="AL8254" s="21"/>
      <c r="AM8254" s="21" t="s">
        <v>4627</v>
      </c>
      <c r="AN8254" s="21">
        <v>-122.441075</v>
      </c>
      <c r="AO8254" s="21">
        <v>37.804747516666701</v>
      </c>
      <c r="AP8254" s="21" t="s">
        <v>951</v>
      </c>
    </row>
    <row r="8255" spans="1:42">
      <c r="A8255" s="20">
        <v>43859</v>
      </c>
      <c r="B8255" s="21">
        <v>3</v>
      </c>
      <c r="C8255" s="21">
        <v>207</v>
      </c>
      <c r="D8255" s="21">
        <v>14657</v>
      </c>
      <c r="E8255" s="21"/>
      <c r="F8255" s="21" t="s">
        <v>104</v>
      </c>
      <c r="G8255" s="21">
        <v>2</v>
      </c>
      <c r="H8255" s="21">
        <v>92</v>
      </c>
      <c r="I8255" s="23" t="s">
        <v>4628</v>
      </c>
      <c r="J8255" s="21"/>
      <c r="K8255" s="21"/>
      <c r="L8255" s="21"/>
      <c r="M8255" s="21"/>
      <c r="N8255" s="21" t="s">
        <v>44</v>
      </c>
      <c r="O8255" s="21">
        <v>128</v>
      </c>
      <c r="P8255" s="21"/>
      <c r="Q8255" s="21">
        <f t="shared" si="163"/>
        <v>1</v>
      </c>
      <c r="R8255" s="21">
        <v>1</v>
      </c>
      <c r="S8255" s="21">
        <v>0</v>
      </c>
      <c r="T8255" s="21">
        <v>0</v>
      </c>
      <c r="U8255" s="21">
        <v>0</v>
      </c>
      <c r="V8255" s="21">
        <v>0</v>
      </c>
      <c r="W8255" s="21">
        <v>1</v>
      </c>
      <c r="X8255" s="21">
        <v>0</v>
      </c>
      <c r="Y8255" s="21">
        <v>0</v>
      </c>
      <c r="Z8255" s="21">
        <v>0</v>
      </c>
      <c r="AA8255" s="21">
        <v>0</v>
      </c>
      <c r="AB8255" s="21">
        <v>0</v>
      </c>
      <c r="AC8255" s="21">
        <v>0</v>
      </c>
      <c r="AD8255" s="21">
        <v>0</v>
      </c>
      <c r="AE8255" s="21">
        <v>0</v>
      </c>
      <c r="AF8255" s="21"/>
      <c r="AG8255" s="21">
        <v>0</v>
      </c>
      <c r="AH8255" s="21">
        <f t="shared" si="164"/>
        <v>96</v>
      </c>
      <c r="AI8255" s="21"/>
      <c r="AJ8255" s="21" t="s">
        <v>51</v>
      </c>
      <c r="AK8255" s="21" t="s">
        <v>95</v>
      </c>
      <c r="AL8255" s="21"/>
      <c r="AM8255" s="21" t="s">
        <v>4629</v>
      </c>
      <c r="AN8255" s="21">
        <v>-122.440734166667</v>
      </c>
      <c r="AO8255" s="21">
        <v>37.804755516666702</v>
      </c>
      <c r="AP8255" s="21" t="s">
        <v>951</v>
      </c>
    </row>
    <row r="8256" spans="1:42">
      <c r="A8256" s="20">
        <v>43859</v>
      </c>
      <c r="B8256" s="21">
        <v>3</v>
      </c>
      <c r="C8256" s="21">
        <v>207</v>
      </c>
      <c r="D8256" s="21">
        <v>14657</v>
      </c>
      <c r="E8256" s="21"/>
      <c r="F8256" s="21" t="s">
        <v>104</v>
      </c>
      <c r="G8256" s="21">
        <v>2</v>
      </c>
      <c r="H8256" s="21">
        <v>93</v>
      </c>
      <c r="I8256" s="23" t="s">
        <v>3442</v>
      </c>
      <c r="J8256" s="21"/>
      <c r="K8256" t="s">
        <v>902</v>
      </c>
      <c r="L8256" s="21"/>
      <c r="M8256" s="21"/>
      <c r="N8256" s="21" t="s">
        <v>44</v>
      </c>
      <c r="O8256" s="21">
        <v>197</v>
      </c>
      <c r="P8256" s="21"/>
      <c r="Q8256" s="21">
        <f t="shared" ref="Q8256:Q8319" si="165">SUM(S8256:AE8256)</f>
        <v>5</v>
      </c>
      <c r="R8256" s="21">
        <v>1</v>
      </c>
      <c r="S8256" s="21">
        <v>0</v>
      </c>
      <c r="T8256" s="21">
        <v>0</v>
      </c>
      <c r="U8256" s="21">
        <v>1</v>
      </c>
      <c r="V8256" s="21">
        <v>2</v>
      </c>
      <c r="W8256" s="21">
        <v>2</v>
      </c>
      <c r="X8256" s="21">
        <v>0</v>
      </c>
      <c r="Y8256" s="21">
        <v>0</v>
      </c>
      <c r="Z8256" s="21">
        <v>0</v>
      </c>
      <c r="AA8256" s="21">
        <v>0</v>
      </c>
      <c r="AB8256" s="21">
        <v>0</v>
      </c>
      <c r="AC8256" s="21">
        <v>0</v>
      </c>
      <c r="AD8256" s="21">
        <v>0</v>
      </c>
      <c r="AE8256" s="21">
        <v>0</v>
      </c>
      <c r="AF8256" s="21"/>
      <c r="AG8256" s="21">
        <v>0</v>
      </c>
      <c r="AH8256" s="21">
        <f t="shared" ref="AH8256:AH8319" si="166">(S8256*16)+(T8256*20)+(U8256*32)+(V8256*64)+(W8256*96)</f>
        <v>352</v>
      </c>
      <c r="AI8256" s="21"/>
      <c r="AJ8256" s="21" t="s">
        <v>51</v>
      </c>
      <c r="AK8256" s="21" t="s">
        <v>95</v>
      </c>
      <c r="AL8256" s="21" t="s">
        <v>4621</v>
      </c>
      <c r="AM8256" s="21" t="s">
        <v>4630</v>
      </c>
      <c r="AN8256" s="21">
        <v>-122.439842466667</v>
      </c>
      <c r="AO8256" s="21">
        <v>37.804034366666698</v>
      </c>
      <c r="AP8256" s="21" t="s">
        <v>951</v>
      </c>
    </row>
    <row r="8257" spans="1:42">
      <c r="A8257" s="20">
        <v>43859</v>
      </c>
      <c r="B8257" s="21">
        <v>3</v>
      </c>
      <c r="C8257" s="21">
        <v>207</v>
      </c>
      <c r="D8257" s="21">
        <v>14657</v>
      </c>
      <c r="E8257" s="21"/>
      <c r="F8257" s="21" t="s">
        <v>104</v>
      </c>
      <c r="G8257" s="21">
        <v>2</v>
      </c>
      <c r="H8257" s="21">
        <v>94</v>
      </c>
      <c r="I8257" s="23" t="s">
        <v>4631</v>
      </c>
      <c r="J8257" s="21"/>
      <c r="K8257" t="s">
        <v>192</v>
      </c>
      <c r="L8257" s="21" t="s">
        <v>141</v>
      </c>
      <c r="M8257" s="21"/>
      <c r="N8257" s="21" t="s">
        <v>40</v>
      </c>
      <c r="O8257" s="21">
        <v>82</v>
      </c>
      <c r="P8257" s="21"/>
      <c r="Q8257" s="21">
        <f t="shared" si="165"/>
        <v>3</v>
      </c>
      <c r="R8257" s="21">
        <v>1</v>
      </c>
      <c r="S8257" s="21">
        <v>0</v>
      </c>
      <c r="T8257" s="21">
        <v>0</v>
      </c>
      <c r="U8257" s="21">
        <v>2</v>
      </c>
      <c r="V8257" s="21">
        <v>1</v>
      </c>
      <c r="W8257" s="21">
        <v>0</v>
      </c>
      <c r="X8257" s="21">
        <v>0</v>
      </c>
      <c r="Y8257" s="21">
        <v>0</v>
      </c>
      <c r="Z8257" s="21">
        <v>0</v>
      </c>
      <c r="AA8257" s="21">
        <v>0</v>
      </c>
      <c r="AB8257" s="21">
        <v>0</v>
      </c>
      <c r="AC8257" s="21">
        <v>0</v>
      </c>
      <c r="AD8257" s="21">
        <v>0</v>
      </c>
      <c r="AE8257" s="21">
        <v>0</v>
      </c>
      <c r="AF8257" s="21"/>
      <c r="AG8257" s="21">
        <v>0</v>
      </c>
      <c r="AH8257" s="21">
        <f t="shared" si="166"/>
        <v>128</v>
      </c>
      <c r="AI8257" s="21"/>
      <c r="AJ8257" s="21" t="s">
        <v>51</v>
      </c>
      <c r="AK8257" s="21" t="s">
        <v>95</v>
      </c>
      <c r="AL8257" s="21"/>
      <c r="AM8257" s="21" t="s">
        <v>4632</v>
      </c>
      <c r="AN8257" s="21">
        <v>-122.439768782922</v>
      </c>
      <c r="AO8257" s="21">
        <v>37.8038221165354</v>
      </c>
      <c r="AP8257" s="21" t="s">
        <v>951</v>
      </c>
    </row>
    <row r="8258" spans="1:42">
      <c r="A8258" s="20">
        <v>43859</v>
      </c>
      <c r="B8258" s="21">
        <v>3</v>
      </c>
      <c r="C8258" s="21">
        <v>207</v>
      </c>
      <c r="D8258" s="21">
        <v>14657</v>
      </c>
      <c r="E8258" s="21"/>
      <c r="F8258" s="21" t="s">
        <v>104</v>
      </c>
      <c r="G8258" s="21">
        <v>2</v>
      </c>
      <c r="H8258" s="21">
        <v>95</v>
      </c>
      <c r="I8258" s="23" t="s">
        <v>4559</v>
      </c>
      <c r="J8258" s="21"/>
      <c r="K8258" t="s">
        <v>192</v>
      </c>
      <c r="L8258" s="21" t="s">
        <v>141</v>
      </c>
      <c r="M8258" s="21" t="s">
        <v>52</v>
      </c>
      <c r="N8258" s="21" t="s">
        <v>40</v>
      </c>
      <c r="O8258" s="21">
        <v>66</v>
      </c>
      <c r="P8258" s="21"/>
      <c r="Q8258" s="21">
        <f t="shared" si="165"/>
        <v>3</v>
      </c>
      <c r="R8258" s="21">
        <v>1</v>
      </c>
      <c r="S8258" s="21">
        <v>1</v>
      </c>
      <c r="T8258" s="21">
        <v>0</v>
      </c>
      <c r="U8258" s="21">
        <v>2</v>
      </c>
      <c r="V8258" s="21">
        <v>0</v>
      </c>
      <c r="W8258" s="21">
        <v>0</v>
      </c>
      <c r="X8258" s="21">
        <v>0</v>
      </c>
      <c r="Y8258" s="21">
        <v>0</v>
      </c>
      <c r="Z8258" s="21">
        <v>0</v>
      </c>
      <c r="AA8258" s="21">
        <v>0</v>
      </c>
      <c r="AB8258" s="21">
        <v>0</v>
      </c>
      <c r="AC8258" s="21">
        <v>0</v>
      </c>
      <c r="AD8258" s="21">
        <v>0</v>
      </c>
      <c r="AE8258" s="21">
        <v>0</v>
      </c>
      <c r="AF8258" s="21"/>
      <c r="AG8258" s="21">
        <v>0</v>
      </c>
      <c r="AH8258" s="21">
        <f t="shared" si="166"/>
        <v>80</v>
      </c>
      <c r="AI8258" s="21"/>
      <c r="AJ8258" s="21" t="s">
        <v>51</v>
      </c>
      <c r="AK8258" s="21" t="s">
        <v>95</v>
      </c>
      <c r="AL8258" s="21"/>
      <c r="AM8258" s="21" t="s">
        <v>4633</v>
      </c>
      <c r="AN8258" s="21">
        <v>-122.44008651666699</v>
      </c>
      <c r="AO8258" s="21">
        <v>37.803569250000002</v>
      </c>
      <c r="AP8258" s="21" t="s">
        <v>951</v>
      </c>
    </row>
    <row r="8259" spans="1:42">
      <c r="A8259" s="20">
        <v>43859</v>
      </c>
      <c r="B8259" s="21">
        <v>3</v>
      </c>
      <c r="C8259" s="21">
        <v>207</v>
      </c>
      <c r="D8259" s="21">
        <v>14657</v>
      </c>
      <c r="E8259" s="21"/>
      <c r="F8259" s="21" t="s">
        <v>104</v>
      </c>
      <c r="G8259" s="21">
        <v>2</v>
      </c>
      <c r="H8259" s="21">
        <v>96</v>
      </c>
      <c r="I8259" s="23" t="s">
        <v>4634</v>
      </c>
      <c r="J8259" s="21"/>
      <c r="K8259" t="s">
        <v>192</v>
      </c>
      <c r="L8259" s="21"/>
      <c r="M8259" s="21"/>
      <c r="N8259" s="21" t="s">
        <v>44</v>
      </c>
      <c r="O8259" s="21">
        <v>100</v>
      </c>
      <c r="P8259" s="21"/>
      <c r="Q8259" s="21">
        <f t="shared" si="165"/>
        <v>2</v>
      </c>
      <c r="R8259" s="21">
        <v>1</v>
      </c>
      <c r="S8259" s="21">
        <v>0</v>
      </c>
      <c r="T8259" s="21">
        <v>0</v>
      </c>
      <c r="U8259" s="21">
        <v>1</v>
      </c>
      <c r="V8259" s="21">
        <v>1</v>
      </c>
      <c r="W8259" s="21">
        <v>0</v>
      </c>
      <c r="X8259" s="21">
        <v>0</v>
      </c>
      <c r="Y8259" s="21">
        <v>0</v>
      </c>
      <c r="Z8259" s="21">
        <v>0</v>
      </c>
      <c r="AA8259" s="21">
        <v>0</v>
      </c>
      <c r="AB8259" s="21">
        <v>0</v>
      </c>
      <c r="AC8259" s="21">
        <v>0</v>
      </c>
      <c r="AD8259" s="21">
        <v>0</v>
      </c>
      <c r="AE8259" s="21">
        <v>0</v>
      </c>
      <c r="AF8259" s="21"/>
      <c r="AG8259" s="21">
        <v>0</v>
      </c>
      <c r="AH8259" s="21">
        <f t="shared" si="166"/>
        <v>96</v>
      </c>
      <c r="AI8259" s="21"/>
      <c r="AJ8259" s="21" t="s">
        <v>51</v>
      </c>
      <c r="AK8259" s="21" t="s">
        <v>95</v>
      </c>
      <c r="AL8259" s="21" t="s">
        <v>1405</v>
      </c>
      <c r="AM8259" s="21" t="s">
        <v>4635</v>
      </c>
      <c r="AN8259" s="21">
        <v>-122.440168266667</v>
      </c>
      <c r="AO8259" s="21">
        <v>37.8035371</v>
      </c>
      <c r="AP8259" s="21" t="s">
        <v>951</v>
      </c>
    </row>
    <row r="8260" spans="1:42">
      <c r="A8260" s="20">
        <v>43859</v>
      </c>
      <c r="B8260" s="21">
        <v>3</v>
      </c>
      <c r="C8260" s="21">
        <v>207</v>
      </c>
      <c r="D8260" s="21">
        <v>14657</v>
      </c>
      <c r="E8260" s="21"/>
      <c r="F8260" s="21" t="s">
        <v>104</v>
      </c>
      <c r="G8260" s="21">
        <v>2</v>
      </c>
      <c r="H8260" s="21">
        <v>97</v>
      </c>
      <c r="I8260" s="23" t="s">
        <v>4636</v>
      </c>
      <c r="J8260" s="21"/>
      <c r="K8260" t="s">
        <v>192</v>
      </c>
      <c r="L8260" s="21"/>
      <c r="M8260" s="21"/>
      <c r="N8260" s="21"/>
      <c r="O8260" s="21">
        <v>111</v>
      </c>
      <c r="P8260" s="21"/>
      <c r="Q8260" s="21">
        <f t="shared" si="165"/>
        <v>5</v>
      </c>
      <c r="R8260" s="21">
        <v>1</v>
      </c>
      <c r="S8260" s="21">
        <v>0</v>
      </c>
      <c r="T8260" s="21">
        <v>0</v>
      </c>
      <c r="U8260" s="21">
        <v>1</v>
      </c>
      <c r="V8260" s="21">
        <v>4</v>
      </c>
      <c r="W8260" s="21">
        <v>0</v>
      </c>
      <c r="X8260" s="21">
        <v>0</v>
      </c>
      <c r="Y8260" s="21">
        <v>0</v>
      </c>
      <c r="Z8260" s="21">
        <v>0</v>
      </c>
      <c r="AA8260" s="21">
        <v>0</v>
      </c>
      <c r="AB8260" s="21">
        <v>0</v>
      </c>
      <c r="AC8260" s="21">
        <v>0</v>
      </c>
      <c r="AD8260" s="21">
        <v>0</v>
      </c>
      <c r="AE8260" s="21">
        <v>0</v>
      </c>
      <c r="AF8260" s="21"/>
      <c r="AG8260" s="21">
        <v>0</v>
      </c>
      <c r="AH8260" s="21">
        <f t="shared" si="166"/>
        <v>288</v>
      </c>
      <c r="AI8260" s="21"/>
      <c r="AJ8260" s="21" t="s">
        <v>51</v>
      </c>
      <c r="AK8260" s="21" t="s">
        <v>95</v>
      </c>
      <c r="AL8260" s="21"/>
      <c r="AM8260" s="21" t="s">
        <v>4637</v>
      </c>
      <c r="AN8260" s="21">
        <v>-122.440110766667</v>
      </c>
      <c r="AO8260" s="21">
        <v>37.803470599999997</v>
      </c>
      <c r="AP8260" s="21" t="s">
        <v>951</v>
      </c>
    </row>
    <row r="8261" spans="1:42">
      <c r="A8261" s="20">
        <v>43859</v>
      </c>
      <c r="B8261" s="21">
        <v>3</v>
      </c>
      <c r="C8261" s="21">
        <v>207</v>
      </c>
      <c r="D8261" s="21">
        <v>14657</v>
      </c>
      <c r="E8261" s="21"/>
      <c r="F8261" s="21" t="s">
        <v>104</v>
      </c>
      <c r="G8261" s="21">
        <v>2</v>
      </c>
      <c r="H8261" s="21">
        <v>98</v>
      </c>
      <c r="I8261" s="23" t="s">
        <v>4638</v>
      </c>
      <c r="J8261" s="21"/>
      <c r="K8261" t="s">
        <v>192</v>
      </c>
      <c r="L8261" s="21" t="s">
        <v>141</v>
      </c>
      <c r="M8261" s="21"/>
      <c r="N8261" s="21" t="s">
        <v>40</v>
      </c>
      <c r="O8261" s="21">
        <v>37</v>
      </c>
      <c r="P8261" s="21"/>
      <c r="Q8261" s="21">
        <f t="shared" si="165"/>
        <v>3</v>
      </c>
      <c r="R8261" s="21">
        <v>1</v>
      </c>
      <c r="S8261" s="21">
        <v>1</v>
      </c>
      <c r="T8261" s="21">
        <v>0</v>
      </c>
      <c r="U8261" s="21">
        <v>0</v>
      </c>
      <c r="V8261" s="21">
        <v>2</v>
      </c>
      <c r="W8261" s="21">
        <v>0</v>
      </c>
      <c r="X8261" s="21">
        <v>0</v>
      </c>
      <c r="Y8261" s="21">
        <v>0</v>
      </c>
      <c r="Z8261" s="21">
        <v>0</v>
      </c>
      <c r="AA8261" s="21">
        <v>0</v>
      </c>
      <c r="AB8261" s="21">
        <v>0</v>
      </c>
      <c r="AC8261" s="21">
        <v>0</v>
      </c>
      <c r="AD8261" s="21">
        <v>0</v>
      </c>
      <c r="AE8261" s="21">
        <v>0</v>
      </c>
      <c r="AF8261" s="21"/>
      <c r="AG8261" s="21">
        <v>0</v>
      </c>
      <c r="AH8261" s="21">
        <f t="shared" si="166"/>
        <v>144</v>
      </c>
      <c r="AI8261" s="21"/>
      <c r="AJ8261" s="21" t="s">
        <v>51</v>
      </c>
      <c r="AK8261" s="21" t="s">
        <v>95</v>
      </c>
      <c r="AL8261" s="21"/>
      <c r="AM8261" s="21" t="s">
        <v>4639</v>
      </c>
      <c r="AN8261" s="21">
        <v>-122.440106133333</v>
      </c>
      <c r="AO8261" s="21">
        <v>37.803213533333299</v>
      </c>
      <c r="AP8261" s="21" t="s">
        <v>951</v>
      </c>
    </row>
    <row r="8262" spans="1:42">
      <c r="A8262" s="20">
        <v>43859</v>
      </c>
      <c r="B8262" s="21">
        <v>3</v>
      </c>
      <c r="C8262" s="21">
        <v>207</v>
      </c>
      <c r="D8262" s="21">
        <v>14657</v>
      </c>
      <c r="E8262" s="21"/>
      <c r="F8262" s="21" t="s">
        <v>104</v>
      </c>
      <c r="G8262" s="21">
        <v>2</v>
      </c>
      <c r="H8262" s="21">
        <v>99</v>
      </c>
      <c r="I8262" s="23" t="s">
        <v>4640</v>
      </c>
      <c r="J8262" s="21"/>
      <c r="K8262" t="s">
        <v>192</v>
      </c>
      <c r="L8262" s="21" t="s">
        <v>141</v>
      </c>
      <c r="M8262" s="21"/>
      <c r="N8262" s="21" t="s">
        <v>40</v>
      </c>
      <c r="O8262" s="21">
        <v>47</v>
      </c>
      <c r="P8262" s="21"/>
      <c r="Q8262" s="21">
        <f t="shared" si="165"/>
        <v>2</v>
      </c>
      <c r="R8262" s="21">
        <v>1</v>
      </c>
      <c r="S8262" s="21">
        <v>1</v>
      </c>
      <c r="T8262" s="21">
        <v>0</v>
      </c>
      <c r="U8262" s="21">
        <v>0</v>
      </c>
      <c r="V8262" s="21">
        <v>1</v>
      </c>
      <c r="W8262" s="21">
        <v>0</v>
      </c>
      <c r="X8262" s="21">
        <v>0</v>
      </c>
      <c r="Y8262" s="21">
        <v>0</v>
      </c>
      <c r="Z8262" s="21">
        <v>0</v>
      </c>
      <c r="AA8262" s="21">
        <v>0</v>
      </c>
      <c r="AB8262" s="21">
        <v>0</v>
      </c>
      <c r="AC8262" s="21">
        <v>0</v>
      </c>
      <c r="AD8262" s="21">
        <v>0</v>
      </c>
      <c r="AE8262" s="21">
        <v>0</v>
      </c>
      <c r="AF8262" s="21"/>
      <c r="AG8262" s="21">
        <v>0</v>
      </c>
      <c r="AH8262" s="21">
        <f t="shared" si="166"/>
        <v>80</v>
      </c>
      <c r="AI8262" s="21"/>
      <c r="AJ8262" s="21" t="s">
        <v>51</v>
      </c>
      <c r="AK8262" s="21" t="s">
        <v>95</v>
      </c>
      <c r="AL8262" s="21"/>
      <c r="AM8262" s="21" t="s">
        <v>4641</v>
      </c>
      <c r="AN8262" s="21">
        <v>-122.440096516667</v>
      </c>
      <c r="AO8262" s="21">
        <v>37.803058583333303</v>
      </c>
      <c r="AP8262" s="21" t="s">
        <v>951</v>
      </c>
    </row>
    <row r="8263" spans="1:42">
      <c r="A8263" s="20">
        <v>43859</v>
      </c>
      <c r="B8263" s="21">
        <v>3</v>
      </c>
      <c r="C8263" s="21">
        <v>207</v>
      </c>
      <c r="D8263" s="21">
        <v>14657</v>
      </c>
      <c r="E8263" s="21"/>
      <c r="F8263" s="21" t="s">
        <v>104</v>
      </c>
      <c r="G8263" s="21">
        <v>2</v>
      </c>
      <c r="H8263" s="21">
        <v>100</v>
      </c>
      <c r="I8263" s="23" t="s">
        <v>4642</v>
      </c>
      <c r="J8263" s="21"/>
      <c r="K8263" t="s">
        <v>192</v>
      </c>
      <c r="L8263" s="21"/>
      <c r="M8263" s="21"/>
      <c r="N8263" s="21" t="s">
        <v>44</v>
      </c>
      <c r="O8263" s="21">
        <v>90</v>
      </c>
      <c r="P8263" s="21"/>
      <c r="Q8263" s="21">
        <f t="shared" si="165"/>
        <v>2</v>
      </c>
      <c r="R8263" s="21">
        <v>1</v>
      </c>
      <c r="S8263" s="21">
        <v>0</v>
      </c>
      <c r="T8263" s="21">
        <v>0</v>
      </c>
      <c r="U8263" s="21">
        <v>1</v>
      </c>
      <c r="V8263" s="21">
        <v>1</v>
      </c>
      <c r="W8263" s="21">
        <v>0</v>
      </c>
      <c r="X8263" s="21">
        <v>0</v>
      </c>
      <c r="Y8263" s="21">
        <v>0</v>
      </c>
      <c r="Z8263" s="21">
        <v>0</v>
      </c>
      <c r="AA8263" s="21">
        <v>0</v>
      </c>
      <c r="AB8263" s="21">
        <v>0</v>
      </c>
      <c r="AC8263" s="21">
        <v>0</v>
      </c>
      <c r="AD8263" s="21">
        <v>0</v>
      </c>
      <c r="AE8263" s="21">
        <v>0</v>
      </c>
      <c r="AF8263" s="21"/>
      <c r="AG8263" s="21">
        <v>0</v>
      </c>
      <c r="AH8263" s="21">
        <f t="shared" si="166"/>
        <v>96</v>
      </c>
      <c r="AI8263" s="21"/>
      <c r="AJ8263" s="21" t="s">
        <v>51</v>
      </c>
      <c r="AK8263" s="21" t="s">
        <v>95</v>
      </c>
      <c r="AL8263" s="21"/>
      <c r="AM8263" s="21" t="s">
        <v>4643</v>
      </c>
      <c r="AN8263" s="21">
        <v>-122.440076083333</v>
      </c>
      <c r="AO8263" s="21">
        <v>37.802921383333299</v>
      </c>
      <c r="AP8263" s="21" t="s">
        <v>951</v>
      </c>
    </row>
    <row r="8264" spans="1:42">
      <c r="A8264" s="20">
        <v>43859</v>
      </c>
      <c r="B8264" s="21">
        <v>3</v>
      </c>
      <c r="C8264" s="21">
        <v>207</v>
      </c>
      <c r="D8264" s="21">
        <v>14657</v>
      </c>
      <c r="E8264" s="21"/>
      <c r="F8264" s="21" t="s">
        <v>104</v>
      </c>
      <c r="G8264" s="21">
        <v>2</v>
      </c>
      <c r="H8264" s="21">
        <v>101</v>
      </c>
      <c r="I8264" s="23" t="s">
        <v>4644</v>
      </c>
      <c r="J8264" s="21"/>
      <c r="K8264" t="s">
        <v>192</v>
      </c>
      <c r="L8264" s="21"/>
      <c r="M8264" s="21"/>
      <c r="N8264" s="21" t="s">
        <v>44</v>
      </c>
      <c r="O8264" s="21">
        <v>102</v>
      </c>
      <c r="P8264" s="21"/>
      <c r="Q8264" s="21">
        <f t="shared" si="165"/>
        <v>2</v>
      </c>
      <c r="R8264" s="21">
        <v>1</v>
      </c>
      <c r="S8264" s="21">
        <v>0</v>
      </c>
      <c r="T8264" s="21">
        <v>0</v>
      </c>
      <c r="U8264" s="21">
        <v>1</v>
      </c>
      <c r="V8264" s="21">
        <v>0</v>
      </c>
      <c r="W8264" s="21">
        <v>1</v>
      </c>
      <c r="X8264" s="21">
        <v>0</v>
      </c>
      <c r="Y8264" s="21">
        <v>0</v>
      </c>
      <c r="Z8264" s="21">
        <v>0</v>
      </c>
      <c r="AA8264" s="21">
        <v>0</v>
      </c>
      <c r="AB8264" s="21">
        <v>0</v>
      </c>
      <c r="AC8264" s="21">
        <v>0</v>
      </c>
      <c r="AD8264" s="21">
        <v>0</v>
      </c>
      <c r="AE8264" s="21">
        <v>0</v>
      </c>
      <c r="AF8264" s="21"/>
      <c r="AG8264" s="21">
        <v>0</v>
      </c>
      <c r="AH8264" s="21">
        <f t="shared" si="166"/>
        <v>128</v>
      </c>
      <c r="AI8264" s="21"/>
      <c r="AJ8264" s="21" t="s">
        <v>51</v>
      </c>
      <c r="AK8264" s="21" t="s">
        <v>95</v>
      </c>
      <c r="AL8264" s="21" t="s">
        <v>1405</v>
      </c>
      <c r="AM8264" s="21" t="s">
        <v>4645</v>
      </c>
      <c r="AN8264" s="21">
        <v>-122.43992415</v>
      </c>
      <c r="AO8264" s="21">
        <v>37.802527233333301</v>
      </c>
      <c r="AP8264" s="21" t="s">
        <v>951</v>
      </c>
    </row>
    <row r="8265" spans="1:42">
      <c r="A8265" s="20">
        <v>43859</v>
      </c>
      <c r="B8265" s="21">
        <v>3</v>
      </c>
      <c r="C8265" s="21">
        <v>207</v>
      </c>
      <c r="D8265" s="21">
        <v>14657</v>
      </c>
      <c r="E8265" s="21"/>
      <c r="F8265" s="21" t="s">
        <v>104</v>
      </c>
      <c r="G8265" s="21">
        <v>2</v>
      </c>
      <c r="H8265" s="21">
        <v>102</v>
      </c>
      <c r="I8265" s="23" t="s">
        <v>4568</v>
      </c>
      <c r="J8265" s="21"/>
      <c r="K8265" t="s">
        <v>192</v>
      </c>
      <c r="L8265" s="21"/>
      <c r="M8265" s="21"/>
      <c r="N8265" s="21" t="s">
        <v>44</v>
      </c>
      <c r="O8265" s="21">
        <v>105</v>
      </c>
      <c r="P8265" s="21"/>
      <c r="Q8265" s="21">
        <f t="shared" si="165"/>
        <v>2</v>
      </c>
      <c r="R8265" s="21">
        <v>1</v>
      </c>
      <c r="S8265" s="21">
        <v>0</v>
      </c>
      <c r="T8265" s="21">
        <v>0</v>
      </c>
      <c r="U8265" s="21">
        <v>1</v>
      </c>
      <c r="V8265" s="21">
        <v>0</v>
      </c>
      <c r="W8265" s="21">
        <v>1</v>
      </c>
      <c r="X8265" s="21">
        <v>0</v>
      </c>
      <c r="Y8265" s="21">
        <v>0</v>
      </c>
      <c r="Z8265" s="21">
        <v>0</v>
      </c>
      <c r="AA8265" s="21">
        <v>0</v>
      </c>
      <c r="AB8265" s="21">
        <v>0</v>
      </c>
      <c r="AC8265" s="21">
        <v>0</v>
      </c>
      <c r="AD8265" s="21">
        <v>0</v>
      </c>
      <c r="AE8265" s="21">
        <v>0</v>
      </c>
      <c r="AF8265" s="21"/>
      <c r="AG8265" s="21">
        <v>0</v>
      </c>
      <c r="AH8265" s="21">
        <f t="shared" si="166"/>
        <v>128</v>
      </c>
      <c r="AI8265" s="21"/>
      <c r="AJ8265" s="21" t="s">
        <v>51</v>
      </c>
      <c r="AK8265" s="21" t="s">
        <v>95</v>
      </c>
      <c r="AL8265" s="21"/>
      <c r="AM8265" s="21" t="s">
        <v>4646</v>
      </c>
      <c r="AN8265" s="21">
        <v>-122.43982826666701</v>
      </c>
      <c r="AO8265" s="21">
        <v>37.802198316666697</v>
      </c>
      <c r="AP8265" s="21" t="s">
        <v>951</v>
      </c>
    </row>
    <row r="8266" spans="1:42">
      <c r="A8266" s="20">
        <v>43859</v>
      </c>
      <c r="B8266" s="21">
        <v>3</v>
      </c>
      <c r="C8266" s="21">
        <v>207</v>
      </c>
      <c r="D8266" s="21">
        <v>14657</v>
      </c>
      <c r="E8266" s="21"/>
      <c r="F8266" s="21" t="s">
        <v>104</v>
      </c>
      <c r="G8266" s="21">
        <v>2</v>
      </c>
      <c r="H8266" s="21">
        <v>103</v>
      </c>
      <c r="I8266" s="23" t="s">
        <v>4647</v>
      </c>
      <c r="J8266" s="21"/>
      <c r="K8266" t="s">
        <v>192</v>
      </c>
      <c r="L8266" s="21"/>
      <c r="M8266" s="21"/>
      <c r="N8266" s="21" t="s">
        <v>44</v>
      </c>
      <c r="O8266" s="21">
        <v>135</v>
      </c>
      <c r="P8266" s="21"/>
      <c r="Q8266" s="21">
        <f t="shared" si="165"/>
        <v>3</v>
      </c>
      <c r="R8266" s="21">
        <v>1</v>
      </c>
      <c r="S8266" s="21">
        <v>0</v>
      </c>
      <c r="T8266" s="21">
        <v>0</v>
      </c>
      <c r="U8266" s="21">
        <v>2</v>
      </c>
      <c r="V8266" s="21">
        <v>0</v>
      </c>
      <c r="W8266" s="21">
        <v>1</v>
      </c>
      <c r="X8266" s="21">
        <v>0</v>
      </c>
      <c r="Y8266" s="21">
        <v>0</v>
      </c>
      <c r="Z8266" s="21">
        <v>0</v>
      </c>
      <c r="AA8266" s="21">
        <v>0</v>
      </c>
      <c r="AB8266" s="21">
        <v>0</v>
      </c>
      <c r="AC8266" s="21">
        <v>0</v>
      </c>
      <c r="AD8266" s="21">
        <v>0</v>
      </c>
      <c r="AE8266" s="21">
        <v>0</v>
      </c>
      <c r="AF8266" s="21"/>
      <c r="AG8266" s="21">
        <v>0</v>
      </c>
      <c r="AH8266" s="21">
        <f t="shared" si="166"/>
        <v>160</v>
      </c>
      <c r="AI8266" s="21"/>
      <c r="AJ8266" s="21" t="s">
        <v>51</v>
      </c>
      <c r="AK8266" s="21" t="s">
        <v>95</v>
      </c>
      <c r="AL8266" s="21"/>
      <c r="AM8266" s="21" t="s">
        <v>4648</v>
      </c>
      <c r="AN8266" s="21">
        <v>-122.43977905</v>
      </c>
      <c r="AO8266" s="21">
        <v>37.801984333333301</v>
      </c>
      <c r="AP8266" s="21" t="s">
        <v>951</v>
      </c>
    </row>
    <row r="8267" spans="1:42">
      <c r="A8267" s="20">
        <v>43859</v>
      </c>
      <c r="B8267" s="21">
        <v>3</v>
      </c>
      <c r="C8267" s="21">
        <v>207</v>
      </c>
      <c r="D8267" s="21">
        <v>14657</v>
      </c>
      <c r="E8267" s="21"/>
      <c r="F8267" s="21" t="s">
        <v>104</v>
      </c>
      <c r="G8267" s="21">
        <v>2</v>
      </c>
      <c r="H8267" s="21">
        <v>104</v>
      </c>
      <c r="I8267" s="23" t="s">
        <v>4649</v>
      </c>
      <c r="J8267" s="21"/>
      <c r="K8267" t="s">
        <v>192</v>
      </c>
      <c r="L8267" s="21"/>
      <c r="M8267" s="21"/>
      <c r="N8267" s="21" t="s">
        <v>44</v>
      </c>
      <c r="O8267" s="21">
        <v>101</v>
      </c>
      <c r="P8267" s="21"/>
      <c r="Q8267" s="21">
        <f t="shared" si="165"/>
        <v>2</v>
      </c>
      <c r="R8267" s="21">
        <v>1</v>
      </c>
      <c r="S8267" s="21">
        <v>0</v>
      </c>
      <c r="T8267" s="21">
        <v>0</v>
      </c>
      <c r="U8267" s="21">
        <v>1</v>
      </c>
      <c r="V8267" s="21">
        <v>0</v>
      </c>
      <c r="W8267" s="21">
        <v>1</v>
      </c>
      <c r="X8267" s="21">
        <v>0</v>
      </c>
      <c r="Y8267" s="21">
        <v>0</v>
      </c>
      <c r="Z8267" s="21">
        <v>0</v>
      </c>
      <c r="AA8267" s="21">
        <v>0</v>
      </c>
      <c r="AB8267" s="21">
        <v>0</v>
      </c>
      <c r="AC8267" s="21">
        <v>0</v>
      </c>
      <c r="AD8267" s="21">
        <v>0</v>
      </c>
      <c r="AE8267" s="21">
        <v>0</v>
      </c>
      <c r="AF8267" s="21"/>
      <c r="AG8267" s="21">
        <v>0</v>
      </c>
      <c r="AH8267" s="21">
        <f t="shared" si="166"/>
        <v>128</v>
      </c>
      <c r="AI8267" s="21"/>
      <c r="AJ8267" s="21" t="s">
        <v>51</v>
      </c>
      <c r="AK8267" s="21" t="s">
        <v>95</v>
      </c>
      <c r="AL8267" s="21" t="s">
        <v>1405</v>
      </c>
      <c r="AM8267" s="21" t="s">
        <v>4650</v>
      </c>
      <c r="AN8267" s="21">
        <v>-122.439788366667</v>
      </c>
      <c r="AO8267" s="21">
        <v>37.801808616666698</v>
      </c>
      <c r="AP8267" s="21" t="s">
        <v>951</v>
      </c>
    </row>
    <row r="8268" spans="1:42">
      <c r="A8268" s="20">
        <v>43859</v>
      </c>
      <c r="B8268" s="21">
        <v>3</v>
      </c>
      <c r="C8268" s="21">
        <v>207</v>
      </c>
      <c r="D8268" s="21">
        <v>14657</v>
      </c>
      <c r="E8268" s="21"/>
      <c r="F8268" s="21" t="s">
        <v>104</v>
      </c>
      <c r="G8268" s="21">
        <v>2</v>
      </c>
      <c r="H8268" s="21">
        <v>105</v>
      </c>
      <c r="I8268" s="23" t="s">
        <v>4651</v>
      </c>
      <c r="J8268" s="21"/>
      <c r="K8268" s="21" t="s">
        <v>4652</v>
      </c>
      <c r="L8268" s="21"/>
      <c r="M8268" s="21"/>
      <c r="N8268" s="21" t="s">
        <v>44</v>
      </c>
      <c r="O8268" s="21">
        <v>111</v>
      </c>
      <c r="P8268" s="21"/>
      <c r="Q8268" s="21">
        <f t="shared" si="165"/>
        <v>2</v>
      </c>
      <c r="R8268" s="21">
        <v>1</v>
      </c>
      <c r="S8268" s="21">
        <v>0</v>
      </c>
      <c r="T8268" s="21">
        <v>0</v>
      </c>
      <c r="U8268" s="21">
        <v>1</v>
      </c>
      <c r="V8268" s="21">
        <v>0</v>
      </c>
      <c r="W8268" s="21">
        <v>1</v>
      </c>
      <c r="X8268" s="21">
        <v>0</v>
      </c>
      <c r="Y8268" s="21">
        <v>0</v>
      </c>
      <c r="Z8268" s="21">
        <v>0</v>
      </c>
      <c r="AA8268" s="21">
        <v>0</v>
      </c>
      <c r="AB8268" s="21">
        <v>0</v>
      </c>
      <c r="AC8268" s="21">
        <v>0</v>
      </c>
      <c r="AD8268" s="21">
        <v>0</v>
      </c>
      <c r="AE8268" s="21">
        <v>0</v>
      </c>
      <c r="AF8268" s="21"/>
      <c r="AG8268" s="21">
        <v>0</v>
      </c>
      <c r="AH8268" s="21">
        <f t="shared" si="166"/>
        <v>128</v>
      </c>
      <c r="AI8268" s="21"/>
      <c r="AJ8268" s="21" t="s">
        <v>51</v>
      </c>
      <c r="AK8268" s="21" t="s">
        <v>95</v>
      </c>
      <c r="AL8268" s="21" t="s">
        <v>4576</v>
      </c>
      <c r="AM8268" s="21" t="s">
        <v>4653</v>
      </c>
      <c r="AN8268" s="21">
        <v>-122.439876433333</v>
      </c>
      <c r="AO8268" s="21">
        <v>37.801568116666701</v>
      </c>
      <c r="AP8268" s="21" t="s">
        <v>951</v>
      </c>
    </row>
    <row r="8269" spans="1:42">
      <c r="A8269" s="20">
        <v>43859</v>
      </c>
      <c r="B8269" s="21">
        <v>3</v>
      </c>
      <c r="C8269" s="21">
        <v>207</v>
      </c>
      <c r="D8269" s="21">
        <v>14657</v>
      </c>
      <c r="E8269" s="21"/>
      <c r="F8269" s="21" t="s">
        <v>104</v>
      </c>
      <c r="G8269" s="21">
        <v>2</v>
      </c>
      <c r="H8269" s="21">
        <v>106</v>
      </c>
      <c r="I8269" s="23" t="s">
        <v>4654</v>
      </c>
      <c r="J8269" s="21"/>
      <c r="K8269" s="21"/>
      <c r="L8269" s="21" t="s">
        <v>141</v>
      </c>
      <c r="M8269" s="21"/>
      <c r="N8269" s="21" t="s">
        <v>40</v>
      </c>
      <c r="O8269" s="21">
        <v>40</v>
      </c>
      <c r="P8269" s="21"/>
      <c r="Q8269" s="21">
        <f t="shared" si="165"/>
        <v>2</v>
      </c>
      <c r="R8269" s="21">
        <v>1</v>
      </c>
      <c r="S8269" s="21">
        <v>0</v>
      </c>
      <c r="T8269" s="21">
        <v>0</v>
      </c>
      <c r="U8269" s="21">
        <v>1</v>
      </c>
      <c r="V8269" s="21">
        <v>1</v>
      </c>
      <c r="W8269" s="21">
        <v>0</v>
      </c>
      <c r="X8269" s="21">
        <v>0</v>
      </c>
      <c r="Y8269" s="21">
        <v>0</v>
      </c>
      <c r="Z8269" s="21">
        <v>0</v>
      </c>
      <c r="AA8269" s="21">
        <v>0</v>
      </c>
      <c r="AB8269" s="21">
        <v>0</v>
      </c>
      <c r="AC8269" s="21">
        <v>0</v>
      </c>
      <c r="AD8269" s="21">
        <v>0</v>
      </c>
      <c r="AE8269" s="21">
        <v>0</v>
      </c>
      <c r="AF8269" s="21"/>
      <c r="AG8269" s="21">
        <v>0</v>
      </c>
      <c r="AH8269" s="21">
        <f t="shared" si="166"/>
        <v>96</v>
      </c>
      <c r="AI8269" s="21"/>
      <c r="AJ8269" s="21" t="s">
        <v>51</v>
      </c>
      <c r="AK8269" s="21" t="s">
        <v>95</v>
      </c>
      <c r="AL8269" s="21"/>
      <c r="AM8269" s="21" t="s">
        <v>4655</v>
      </c>
      <c r="AN8269" s="21">
        <v>-122.44063679999999</v>
      </c>
      <c r="AO8269" s="21">
        <v>37.802711283333302</v>
      </c>
      <c r="AP8269" s="21" t="s">
        <v>951</v>
      </c>
    </row>
    <row r="8270" spans="1:42">
      <c r="A8270" s="20">
        <v>43859</v>
      </c>
      <c r="B8270" s="21">
        <v>3</v>
      </c>
      <c r="C8270" s="21">
        <v>207</v>
      </c>
      <c r="D8270" s="21">
        <v>14657</v>
      </c>
      <c r="E8270" s="21"/>
      <c r="F8270" s="21" t="s">
        <v>104</v>
      </c>
      <c r="G8270" s="21">
        <v>2</v>
      </c>
      <c r="H8270" s="21">
        <v>107</v>
      </c>
      <c r="I8270" s="23" t="s">
        <v>4626</v>
      </c>
      <c r="J8270" s="21"/>
      <c r="K8270" t="s">
        <v>848</v>
      </c>
      <c r="L8270" s="21" t="s">
        <v>141</v>
      </c>
      <c r="M8270" s="21"/>
      <c r="N8270" s="21" t="s">
        <v>40</v>
      </c>
      <c r="O8270" s="21">
        <v>96</v>
      </c>
      <c r="P8270" s="21"/>
      <c r="Q8270" s="21">
        <f t="shared" si="165"/>
        <v>4</v>
      </c>
      <c r="R8270" s="21">
        <v>1</v>
      </c>
      <c r="S8270" s="21">
        <v>0</v>
      </c>
      <c r="T8270" s="21">
        <v>0</v>
      </c>
      <c r="U8270" s="21">
        <v>3</v>
      </c>
      <c r="V8270" s="21">
        <v>1</v>
      </c>
      <c r="W8270" s="21">
        <v>0</v>
      </c>
      <c r="X8270" s="21">
        <v>0</v>
      </c>
      <c r="Y8270" s="21">
        <v>0</v>
      </c>
      <c r="Z8270" s="21">
        <v>0</v>
      </c>
      <c r="AA8270" s="21">
        <v>0</v>
      </c>
      <c r="AB8270" s="21">
        <v>0</v>
      </c>
      <c r="AC8270" s="21">
        <v>0</v>
      </c>
      <c r="AD8270" s="21">
        <v>0</v>
      </c>
      <c r="AE8270" s="21">
        <v>0</v>
      </c>
      <c r="AF8270" s="21"/>
      <c r="AG8270" s="21">
        <v>0</v>
      </c>
      <c r="AH8270" s="21">
        <f t="shared" si="166"/>
        <v>160</v>
      </c>
      <c r="AI8270" s="21"/>
      <c r="AJ8270" s="21" t="s">
        <v>51</v>
      </c>
      <c r="AK8270" s="21" t="s">
        <v>52</v>
      </c>
      <c r="AL8270" s="21" t="s">
        <v>4656</v>
      </c>
      <c r="AM8270" s="21" t="s">
        <v>4657</v>
      </c>
      <c r="AN8270" s="21">
        <v>-122.439369383333</v>
      </c>
      <c r="AO8270" s="21">
        <v>37.802824683333299</v>
      </c>
      <c r="AP8270" s="21" t="s">
        <v>951</v>
      </c>
    </row>
    <row r="8271" spans="1:42">
      <c r="A8271" s="20">
        <v>43859</v>
      </c>
      <c r="B8271" s="21">
        <v>3</v>
      </c>
      <c r="C8271" s="21">
        <v>207</v>
      </c>
      <c r="D8271" s="21">
        <v>14657</v>
      </c>
      <c r="E8271" s="21"/>
      <c r="F8271" s="21" t="s">
        <v>104</v>
      </c>
      <c r="G8271" s="21">
        <v>2</v>
      </c>
      <c r="H8271" s="21">
        <v>108</v>
      </c>
      <c r="I8271" s="23" t="s">
        <v>4658</v>
      </c>
      <c r="J8271" s="21"/>
      <c r="K8271" s="21" t="s">
        <v>1942</v>
      </c>
      <c r="L8271" s="21"/>
      <c r="M8271" s="21"/>
      <c r="N8271" s="21" t="s">
        <v>44</v>
      </c>
      <c r="O8271" s="21">
        <v>122</v>
      </c>
      <c r="P8271" s="21"/>
      <c r="Q8271" s="21">
        <f t="shared" si="165"/>
        <v>2</v>
      </c>
      <c r="R8271" s="21">
        <v>1</v>
      </c>
      <c r="S8271" s="21">
        <v>0</v>
      </c>
      <c r="T8271" s="21">
        <v>0</v>
      </c>
      <c r="U8271" s="21">
        <v>0</v>
      </c>
      <c r="V8271" s="21">
        <v>0</v>
      </c>
      <c r="W8271" s="21">
        <v>2</v>
      </c>
      <c r="X8271" s="21">
        <v>0</v>
      </c>
      <c r="Y8271" s="21">
        <v>0</v>
      </c>
      <c r="Z8271" s="21">
        <v>0</v>
      </c>
      <c r="AA8271" s="21">
        <v>0</v>
      </c>
      <c r="AB8271" s="21">
        <v>0</v>
      </c>
      <c r="AC8271" s="21">
        <v>0</v>
      </c>
      <c r="AD8271" s="21">
        <v>0</v>
      </c>
      <c r="AE8271" s="21">
        <v>0</v>
      </c>
      <c r="AF8271" s="21"/>
      <c r="AG8271" s="21">
        <v>0</v>
      </c>
      <c r="AH8271" s="21">
        <f t="shared" si="166"/>
        <v>192</v>
      </c>
      <c r="AI8271" s="21"/>
      <c r="AJ8271" s="21" t="s">
        <v>51</v>
      </c>
      <c r="AK8271" s="21" t="s">
        <v>95</v>
      </c>
      <c r="AL8271" s="21" t="s">
        <v>1405</v>
      </c>
      <c r="AM8271" s="21" t="s">
        <v>4659</v>
      </c>
      <c r="AN8271" s="21">
        <v>-122.438556533333</v>
      </c>
      <c r="AO8271" s="21">
        <v>37.802831133333299</v>
      </c>
      <c r="AP8271" s="21" t="s">
        <v>951</v>
      </c>
    </row>
    <row r="8272" spans="1:42">
      <c r="A8272" s="20">
        <v>43859</v>
      </c>
      <c r="B8272" s="21">
        <v>3</v>
      </c>
      <c r="C8272" s="21">
        <v>207</v>
      </c>
      <c r="D8272" s="21">
        <v>14657</v>
      </c>
      <c r="E8272" s="21"/>
      <c r="F8272" s="21" t="s">
        <v>104</v>
      </c>
      <c r="G8272" s="21">
        <v>2</v>
      </c>
      <c r="H8272" s="21">
        <v>109</v>
      </c>
      <c r="I8272" s="23" t="s">
        <v>3568</v>
      </c>
      <c r="J8272" s="21"/>
      <c r="K8272" s="21" t="s">
        <v>4652</v>
      </c>
      <c r="L8272" s="21"/>
      <c r="M8272" s="21"/>
      <c r="N8272" s="21" t="s">
        <v>44</v>
      </c>
      <c r="O8272" s="21">
        <v>89</v>
      </c>
      <c r="P8272" s="21"/>
      <c r="Q8272" s="21">
        <f t="shared" si="165"/>
        <v>1</v>
      </c>
      <c r="R8272" s="21">
        <v>1</v>
      </c>
      <c r="S8272" s="21">
        <v>0</v>
      </c>
      <c r="T8272" s="21">
        <v>0</v>
      </c>
      <c r="U8272" s="21">
        <v>0</v>
      </c>
      <c r="V8272" s="21">
        <v>0</v>
      </c>
      <c r="W8272" s="21">
        <v>1</v>
      </c>
      <c r="X8272" s="21">
        <v>0</v>
      </c>
      <c r="Y8272" s="21">
        <v>0</v>
      </c>
      <c r="Z8272" s="21">
        <v>0</v>
      </c>
      <c r="AA8272" s="21">
        <v>0</v>
      </c>
      <c r="AB8272" s="21">
        <v>0</v>
      </c>
      <c r="AC8272" s="21">
        <v>0</v>
      </c>
      <c r="AD8272" s="21">
        <v>0</v>
      </c>
      <c r="AE8272" s="21">
        <v>0</v>
      </c>
      <c r="AF8272" s="21"/>
      <c r="AG8272" s="21">
        <v>0</v>
      </c>
      <c r="AH8272" s="21">
        <f t="shared" si="166"/>
        <v>96</v>
      </c>
      <c r="AI8272" s="21"/>
      <c r="AJ8272" s="21" t="s">
        <v>51</v>
      </c>
      <c r="AK8272" s="21" t="s">
        <v>95</v>
      </c>
      <c r="AL8272" s="21" t="s">
        <v>4660</v>
      </c>
      <c r="AM8272" s="21" t="s">
        <v>4661</v>
      </c>
      <c r="AN8272" s="21">
        <v>-122.438133916667</v>
      </c>
      <c r="AO8272" s="21">
        <v>37.8026117333333</v>
      </c>
      <c r="AP8272" s="21" t="s">
        <v>951</v>
      </c>
    </row>
    <row r="8273" spans="1:42">
      <c r="A8273" s="20">
        <v>43859</v>
      </c>
      <c r="B8273" s="21">
        <v>3</v>
      </c>
      <c r="C8273" s="21">
        <v>207</v>
      </c>
      <c r="D8273" s="21">
        <v>14657</v>
      </c>
      <c r="E8273" s="21"/>
      <c r="F8273" s="21" t="s">
        <v>104</v>
      </c>
      <c r="G8273" s="21">
        <v>2</v>
      </c>
      <c r="H8273" s="21">
        <v>110</v>
      </c>
      <c r="I8273" s="23" t="s">
        <v>3413</v>
      </c>
      <c r="J8273" s="21"/>
      <c r="K8273" s="21" t="s">
        <v>1942</v>
      </c>
      <c r="L8273" s="21"/>
      <c r="M8273" s="21"/>
      <c r="N8273" s="21" t="s">
        <v>44</v>
      </c>
      <c r="O8273" s="21">
        <v>64</v>
      </c>
      <c r="P8273" s="21"/>
      <c r="Q8273" s="21">
        <f t="shared" si="165"/>
        <v>1</v>
      </c>
      <c r="R8273" s="21">
        <v>1</v>
      </c>
      <c r="S8273" s="21">
        <v>0</v>
      </c>
      <c r="T8273" s="21">
        <v>0</v>
      </c>
      <c r="U8273" s="21">
        <v>0</v>
      </c>
      <c r="V8273" s="21">
        <v>0</v>
      </c>
      <c r="W8273" s="21">
        <v>1</v>
      </c>
      <c r="X8273" s="21">
        <v>0</v>
      </c>
      <c r="Y8273" s="21">
        <v>0</v>
      </c>
      <c r="Z8273" s="21">
        <v>0</v>
      </c>
      <c r="AA8273" s="21">
        <v>0</v>
      </c>
      <c r="AB8273" s="21">
        <v>0</v>
      </c>
      <c r="AC8273" s="21">
        <v>0</v>
      </c>
      <c r="AD8273" s="21">
        <v>0</v>
      </c>
      <c r="AE8273" s="21">
        <v>0</v>
      </c>
      <c r="AF8273" s="21"/>
      <c r="AG8273" s="21">
        <v>0</v>
      </c>
      <c r="AH8273" s="21">
        <f t="shared" si="166"/>
        <v>96</v>
      </c>
      <c r="AI8273" s="21"/>
      <c r="AJ8273" s="21" t="s">
        <v>51</v>
      </c>
      <c r="AK8273" s="21" t="s">
        <v>95</v>
      </c>
      <c r="AL8273" s="21" t="s">
        <v>1405</v>
      </c>
      <c r="AM8273" s="21" t="s">
        <v>4662</v>
      </c>
      <c r="AN8273" s="21">
        <v>-122.438220683333</v>
      </c>
      <c r="AO8273" s="21">
        <v>37.802471116666702</v>
      </c>
      <c r="AP8273" s="21" t="s">
        <v>951</v>
      </c>
    </row>
    <row r="8274" spans="1:42">
      <c r="A8274" s="20">
        <v>43859</v>
      </c>
      <c r="B8274" s="21">
        <v>3</v>
      </c>
      <c r="C8274" s="21">
        <v>207</v>
      </c>
      <c r="D8274" s="21">
        <v>14657</v>
      </c>
      <c r="E8274" s="21"/>
      <c r="F8274" s="21" t="s">
        <v>104</v>
      </c>
      <c r="G8274" s="21">
        <v>2</v>
      </c>
      <c r="H8274" s="21">
        <v>111</v>
      </c>
      <c r="I8274" s="23" t="s">
        <v>4663</v>
      </c>
      <c r="J8274" s="21"/>
      <c r="K8274" s="21" t="s">
        <v>4652</v>
      </c>
      <c r="L8274" s="21"/>
      <c r="M8274" s="21"/>
      <c r="N8274" s="21" t="s">
        <v>44</v>
      </c>
      <c r="O8274" s="21">
        <v>114</v>
      </c>
      <c r="P8274" s="21"/>
      <c r="Q8274" s="21">
        <f t="shared" si="165"/>
        <v>2</v>
      </c>
      <c r="R8274" s="21">
        <v>1</v>
      </c>
      <c r="S8274" s="21">
        <v>0</v>
      </c>
      <c r="T8274" s="21">
        <v>0</v>
      </c>
      <c r="U8274" s="21">
        <v>1</v>
      </c>
      <c r="V8274" s="21">
        <v>0</v>
      </c>
      <c r="W8274" s="21">
        <v>1</v>
      </c>
      <c r="X8274" s="21">
        <v>0</v>
      </c>
      <c r="Y8274" s="21">
        <v>0</v>
      </c>
      <c r="Z8274" s="21">
        <v>0</v>
      </c>
      <c r="AA8274" s="21">
        <v>0</v>
      </c>
      <c r="AB8274" s="21">
        <v>0</v>
      </c>
      <c r="AC8274" s="21">
        <v>0</v>
      </c>
      <c r="AD8274" s="21">
        <v>0</v>
      </c>
      <c r="AE8274" s="21">
        <v>0</v>
      </c>
      <c r="AF8274" s="21"/>
      <c r="AG8274" s="21">
        <v>0</v>
      </c>
      <c r="AH8274" s="21">
        <f t="shared" si="166"/>
        <v>128</v>
      </c>
      <c r="AI8274" s="21"/>
      <c r="AJ8274" s="21" t="s">
        <v>51</v>
      </c>
      <c r="AK8274" s="21" t="s">
        <v>95</v>
      </c>
      <c r="AL8274" s="21" t="s">
        <v>4621</v>
      </c>
      <c r="AM8274" s="21" t="s">
        <v>4664</v>
      </c>
      <c r="AN8274" s="21">
        <v>-122.43947756666699</v>
      </c>
      <c r="AO8274" s="21">
        <v>37.801701666666702</v>
      </c>
      <c r="AP8274" s="21" t="s">
        <v>951</v>
      </c>
    </row>
    <row r="8275" spans="1:42">
      <c r="A8275" s="20">
        <v>43859</v>
      </c>
      <c r="B8275" s="21">
        <v>3</v>
      </c>
      <c r="C8275" s="21">
        <v>207</v>
      </c>
      <c r="D8275" s="21">
        <v>14657</v>
      </c>
      <c r="E8275" s="21"/>
      <c r="F8275" s="21" t="s">
        <v>104</v>
      </c>
      <c r="G8275" s="21">
        <v>2</v>
      </c>
      <c r="H8275" s="21">
        <v>112</v>
      </c>
      <c r="I8275" s="23" t="s">
        <v>4665</v>
      </c>
      <c r="J8275" s="21"/>
      <c r="K8275" s="21" t="s">
        <v>906</v>
      </c>
      <c r="L8275" s="21" t="s">
        <v>141</v>
      </c>
      <c r="M8275" s="21"/>
      <c r="N8275" s="21" t="s">
        <v>42</v>
      </c>
      <c r="O8275" s="21">
        <v>27</v>
      </c>
      <c r="P8275" s="21"/>
      <c r="Q8275" s="21">
        <f t="shared" si="165"/>
        <v>1</v>
      </c>
      <c r="R8275" s="21">
        <v>1</v>
      </c>
      <c r="S8275" s="21">
        <v>0</v>
      </c>
      <c r="T8275" s="21">
        <v>0</v>
      </c>
      <c r="U8275" s="21">
        <v>1</v>
      </c>
      <c r="V8275" s="21">
        <v>0</v>
      </c>
      <c r="W8275" s="21">
        <v>0</v>
      </c>
      <c r="X8275" s="21">
        <v>0</v>
      </c>
      <c r="Y8275" s="21">
        <v>0</v>
      </c>
      <c r="Z8275" s="21">
        <v>0</v>
      </c>
      <c r="AA8275" s="21">
        <v>0</v>
      </c>
      <c r="AB8275" s="21">
        <v>0</v>
      </c>
      <c r="AC8275" s="21">
        <v>0</v>
      </c>
      <c r="AD8275" s="21">
        <v>0</v>
      </c>
      <c r="AE8275" s="21">
        <v>0</v>
      </c>
      <c r="AF8275" s="21"/>
      <c r="AG8275" s="21">
        <v>0</v>
      </c>
      <c r="AH8275" s="21">
        <f t="shared" si="166"/>
        <v>32</v>
      </c>
      <c r="AI8275" s="21"/>
      <c r="AJ8275" s="21" t="s">
        <v>51</v>
      </c>
      <c r="AK8275" s="21" t="s">
        <v>95</v>
      </c>
      <c r="AL8275" s="21"/>
      <c r="AM8275" s="21" t="s">
        <v>4666</v>
      </c>
      <c r="AN8275" s="21">
        <v>-122.440137033333</v>
      </c>
      <c r="AO8275" s="21">
        <v>37.803975049999998</v>
      </c>
      <c r="AP8275" s="21" t="s">
        <v>951</v>
      </c>
    </row>
    <row r="8276" spans="1:42">
      <c r="A8276" s="20">
        <v>43859</v>
      </c>
      <c r="B8276" s="21">
        <v>3</v>
      </c>
      <c r="C8276" s="21">
        <v>207</v>
      </c>
      <c r="D8276" s="21">
        <v>14657</v>
      </c>
      <c r="E8276" s="21"/>
      <c r="F8276" s="21" t="s">
        <v>104</v>
      </c>
      <c r="G8276" s="21">
        <v>2</v>
      </c>
      <c r="H8276" s="21">
        <v>113</v>
      </c>
      <c r="I8276" s="23" t="s">
        <v>4667</v>
      </c>
      <c r="J8276" s="21"/>
      <c r="K8276" s="21" t="s">
        <v>909</v>
      </c>
      <c r="L8276" s="21"/>
      <c r="M8276" s="21"/>
      <c r="N8276" s="21" t="s">
        <v>44</v>
      </c>
      <c r="O8276" s="21">
        <v>239</v>
      </c>
      <c r="P8276" s="21"/>
      <c r="Q8276" s="21">
        <f t="shared" si="165"/>
        <v>3</v>
      </c>
      <c r="R8276" s="21">
        <v>1</v>
      </c>
      <c r="S8276" s="21">
        <v>0</v>
      </c>
      <c r="T8276" s="21">
        <v>0</v>
      </c>
      <c r="U8276" s="21">
        <v>0</v>
      </c>
      <c r="V8276" s="21">
        <v>0</v>
      </c>
      <c r="W8276" s="21">
        <v>3</v>
      </c>
      <c r="X8276" s="21">
        <v>0</v>
      </c>
      <c r="Y8276" s="21">
        <v>0</v>
      </c>
      <c r="Z8276" s="21">
        <v>0</v>
      </c>
      <c r="AA8276" s="21">
        <v>0</v>
      </c>
      <c r="AB8276" s="21">
        <v>0</v>
      </c>
      <c r="AC8276" s="21">
        <v>0</v>
      </c>
      <c r="AD8276" s="21">
        <v>0</v>
      </c>
      <c r="AE8276" s="21">
        <v>0</v>
      </c>
      <c r="AF8276" s="21"/>
      <c r="AG8276" s="21">
        <v>0</v>
      </c>
      <c r="AH8276" s="21">
        <f t="shared" si="166"/>
        <v>288</v>
      </c>
      <c r="AI8276" s="21"/>
      <c r="AJ8276" s="21" t="s">
        <v>51</v>
      </c>
      <c r="AK8276" s="21" t="s">
        <v>52</v>
      </c>
      <c r="AL8276" s="21" t="s">
        <v>1393</v>
      </c>
      <c r="AM8276" s="21" t="s">
        <v>4668</v>
      </c>
      <c r="AN8276" s="21">
        <v>-122.436994583333</v>
      </c>
      <c r="AO8276" s="21">
        <v>37.802854983333297</v>
      </c>
      <c r="AP8276" s="21" t="s">
        <v>951</v>
      </c>
    </row>
    <row r="8277" spans="1:42">
      <c r="A8277" s="20">
        <v>43859</v>
      </c>
      <c r="B8277" s="21">
        <v>3</v>
      </c>
      <c r="C8277" s="21">
        <v>207</v>
      </c>
      <c r="D8277" s="21">
        <v>14657</v>
      </c>
      <c r="E8277" s="21"/>
      <c r="F8277" s="21" t="s">
        <v>104</v>
      </c>
      <c r="G8277" s="21">
        <v>2</v>
      </c>
      <c r="H8277" s="21">
        <v>114</v>
      </c>
      <c r="I8277" s="23" t="s">
        <v>4669</v>
      </c>
      <c r="J8277" s="21"/>
      <c r="K8277" s="21" t="s">
        <v>906</v>
      </c>
      <c r="L8277" s="21"/>
      <c r="M8277" s="21"/>
      <c r="N8277" s="21" t="s">
        <v>44</v>
      </c>
      <c r="O8277" s="21">
        <v>59</v>
      </c>
      <c r="P8277" s="21"/>
      <c r="Q8277" s="21">
        <f t="shared" si="165"/>
        <v>1</v>
      </c>
      <c r="R8277" s="21">
        <v>1</v>
      </c>
      <c r="S8277" s="21">
        <v>0</v>
      </c>
      <c r="T8277" s="21">
        <v>0</v>
      </c>
      <c r="U8277" s="21">
        <v>0</v>
      </c>
      <c r="V8277" s="21">
        <v>0</v>
      </c>
      <c r="W8277" s="21">
        <v>1</v>
      </c>
      <c r="X8277" s="21">
        <v>0</v>
      </c>
      <c r="Y8277" s="21">
        <v>0</v>
      </c>
      <c r="Z8277" s="21">
        <v>0</v>
      </c>
      <c r="AA8277" s="21">
        <v>0</v>
      </c>
      <c r="AB8277" s="21">
        <v>0</v>
      </c>
      <c r="AC8277" s="21">
        <v>0</v>
      </c>
      <c r="AD8277" s="21">
        <v>0</v>
      </c>
      <c r="AE8277" s="21">
        <v>0</v>
      </c>
      <c r="AF8277" s="21"/>
      <c r="AG8277" s="21">
        <v>0</v>
      </c>
      <c r="AH8277" s="21">
        <f t="shared" si="166"/>
        <v>96</v>
      </c>
      <c r="AI8277" s="21"/>
      <c r="AJ8277" s="21" t="s">
        <v>51</v>
      </c>
      <c r="AK8277" s="21" t="s">
        <v>95</v>
      </c>
      <c r="AL8277" s="21" t="s">
        <v>4670</v>
      </c>
      <c r="AM8277" s="21" t="s">
        <v>4671</v>
      </c>
      <c r="AN8277" s="21">
        <v>-122.43678466666699</v>
      </c>
      <c r="AO8277" s="21">
        <v>37.804496666666701</v>
      </c>
      <c r="AP8277" s="21" t="s">
        <v>951</v>
      </c>
    </row>
    <row r="8278" spans="1:42">
      <c r="A8278" s="20">
        <v>43859</v>
      </c>
      <c r="B8278" s="21">
        <v>3</v>
      </c>
      <c r="C8278" s="21">
        <v>207</v>
      </c>
      <c r="D8278" s="21">
        <v>14657</v>
      </c>
      <c r="E8278" s="21"/>
      <c r="F8278" s="21" t="s">
        <v>104</v>
      </c>
      <c r="G8278" s="21">
        <v>2</v>
      </c>
      <c r="H8278" s="21">
        <v>115</v>
      </c>
      <c r="I8278" s="23" t="s">
        <v>4672</v>
      </c>
      <c r="J8278" s="21"/>
      <c r="K8278" s="21" t="s">
        <v>906</v>
      </c>
      <c r="L8278" s="21"/>
      <c r="M8278" s="21"/>
      <c r="N8278" s="21" t="s">
        <v>44</v>
      </c>
      <c r="O8278" s="21">
        <v>70</v>
      </c>
      <c r="P8278" s="21"/>
      <c r="Q8278" s="21">
        <f t="shared" si="165"/>
        <v>1</v>
      </c>
      <c r="R8278" s="21">
        <v>1</v>
      </c>
      <c r="S8278" s="21">
        <v>0</v>
      </c>
      <c r="T8278" s="21">
        <v>0</v>
      </c>
      <c r="U8278" s="21">
        <v>0</v>
      </c>
      <c r="V8278" s="21">
        <v>0</v>
      </c>
      <c r="W8278" s="21">
        <v>1</v>
      </c>
      <c r="X8278" s="21">
        <v>0</v>
      </c>
      <c r="Y8278" s="21">
        <v>0</v>
      </c>
      <c r="Z8278" s="21">
        <v>0</v>
      </c>
      <c r="AA8278" s="21">
        <v>0</v>
      </c>
      <c r="AB8278" s="21">
        <v>0</v>
      </c>
      <c r="AC8278" s="21">
        <v>0</v>
      </c>
      <c r="AD8278" s="21">
        <v>0</v>
      </c>
      <c r="AE8278" s="21">
        <v>0</v>
      </c>
      <c r="AF8278" s="21"/>
      <c r="AG8278" s="21">
        <v>0</v>
      </c>
      <c r="AH8278" s="21">
        <f t="shared" si="166"/>
        <v>96</v>
      </c>
      <c r="AI8278" s="21"/>
      <c r="AJ8278" s="21" t="s">
        <v>51</v>
      </c>
      <c r="AK8278" s="21" t="s">
        <v>95</v>
      </c>
      <c r="AL8278" s="21" t="s">
        <v>4673</v>
      </c>
      <c r="AM8278" s="21" t="s">
        <v>4674</v>
      </c>
      <c r="AN8278" s="21">
        <v>-122.436971583333</v>
      </c>
      <c r="AO8278" s="21">
        <v>37.804612166666701</v>
      </c>
      <c r="AP8278" s="21" t="s">
        <v>951</v>
      </c>
    </row>
    <row r="8279" spans="1:42">
      <c r="A8279" s="20">
        <v>43859</v>
      </c>
      <c r="B8279" s="21">
        <v>3</v>
      </c>
      <c r="C8279" s="21">
        <v>207</v>
      </c>
      <c r="D8279" s="21">
        <v>14657</v>
      </c>
      <c r="E8279" s="21"/>
      <c r="F8279" s="21" t="s">
        <v>104</v>
      </c>
      <c r="G8279" s="21">
        <v>2</v>
      </c>
      <c r="H8279" s="21">
        <v>116</v>
      </c>
      <c r="I8279" s="23" t="s">
        <v>4675</v>
      </c>
      <c r="J8279" s="21"/>
      <c r="K8279" s="21" t="s">
        <v>909</v>
      </c>
      <c r="L8279" s="21"/>
      <c r="M8279" s="21" t="s">
        <v>52</v>
      </c>
      <c r="N8279" s="21" t="s">
        <v>44</v>
      </c>
      <c r="O8279" s="21">
        <v>70</v>
      </c>
      <c r="P8279" s="21"/>
      <c r="Q8279" s="21">
        <f t="shared" si="165"/>
        <v>1</v>
      </c>
      <c r="R8279" s="21">
        <v>1</v>
      </c>
      <c r="S8279" s="21">
        <v>0</v>
      </c>
      <c r="T8279" s="21">
        <v>0</v>
      </c>
      <c r="U8279" s="21">
        <v>0</v>
      </c>
      <c r="V8279" s="21">
        <v>0</v>
      </c>
      <c r="W8279" s="21">
        <v>1</v>
      </c>
      <c r="X8279" s="21">
        <v>0</v>
      </c>
      <c r="Y8279" s="21">
        <v>0</v>
      </c>
      <c r="Z8279" s="21">
        <v>0</v>
      </c>
      <c r="AA8279" s="21">
        <v>0</v>
      </c>
      <c r="AB8279" s="21">
        <v>0</v>
      </c>
      <c r="AC8279" s="21">
        <v>0</v>
      </c>
      <c r="AD8279" s="21">
        <v>0</v>
      </c>
      <c r="AE8279" s="21">
        <v>0</v>
      </c>
      <c r="AF8279" s="21"/>
      <c r="AG8279" s="21">
        <v>0</v>
      </c>
      <c r="AH8279" s="21">
        <f t="shared" si="166"/>
        <v>96</v>
      </c>
      <c r="AI8279" s="21"/>
      <c r="AJ8279" s="21" t="s">
        <v>51</v>
      </c>
      <c r="AK8279" s="21" t="s">
        <v>95</v>
      </c>
      <c r="AL8279" s="21"/>
      <c r="AM8279" s="21" t="s">
        <v>4676</v>
      </c>
      <c r="AN8279" s="21">
        <v>-122.437051783333</v>
      </c>
      <c r="AO8279" s="21">
        <v>37.804999616666699</v>
      </c>
      <c r="AP8279" s="21" t="s">
        <v>951</v>
      </c>
    </row>
    <row r="8280" spans="1:42">
      <c r="A8280" s="20">
        <v>43859</v>
      </c>
      <c r="B8280" s="21">
        <v>3</v>
      </c>
      <c r="C8280" s="21">
        <v>207</v>
      </c>
      <c r="D8280" s="21">
        <v>14657</v>
      </c>
      <c r="E8280" s="21"/>
      <c r="F8280" s="21" t="s">
        <v>104</v>
      </c>
      <c r="G8280" s="21">
        <v>2</v>
      </c>
      <c r="H8280" s="21">
        <v>117</v>
      </c>
      <c r="I8280" s="23" t="s">
        <v>3854</v>
      </c>
      <c r="J8280" s="21"/>
      <c r="K8280" s="21" t="s">
        <v>913</v>
      </c>
      <c r="L8280" s="21"/>
      <c r="M8280" s="21"/>
      <c r="N8280" s="21" t="s">
        <v>42</v>
      </c>
      <c r="O8280" s="21">
        <v>93</v>
      </c>
      <c r="P8280" s="21"/>
      <c r="Q8280" s="21">
        <f t="shared" si="165"/>
        <v>2</v>
      </c>
      <c r="R8280" s="21">
        <v>1</v>
      </c>
      <c r="S8280" s="21">
        <v>0</v>
      </c>
      <c r="T8280" s="21">
        <v>0</v>
      </c>
      <c r="U8280" s="21">
        <v>1</v>
      </c>
      <c r="V8280" s="21">
        <v>0</v>
      </c>
      <c r="W8280" s="21">
        <v>1</v>
      </c>
      <c r="X8280" s="21">
        <v>0</v>
      </c>
      <c r="Y8280" s="21">
        <v>0</v>
      </c>
      <c r="Z8280" s="21">
        <v>0</v>
      </c>
      <c r="AA8280" s="21">
        <v>0</v>
      </c>
      <c r="AB8280" s="21">
        <v>0</v>
      </c>
      <c r="AC8280" s="21">
        <v>0</v>
      </c>
      <c r="AD8280" s="21">
        <v>0</v>
      </c>
      <c r="AE8280" s="21">
        <v>0</v>
      </c>
      <c r="AF8280" s="21"/>
      <c r="AG8280" s="21">
        <v>0</v>
      </c>
      <c r="AH8280" s="21">
        <f t="shared" si="166"/>
        <v>128</v>
      </c>
      <c r="AI8280" s="21"/>
      <c r="AJ8280" s="21" t="s">
        <v>51</v>
      </c>
      <c r="AK8280" s="21" t="s">
        <v>95</v>
      </c>
      <c r="AL8280" s="21" t="s">
        <v>4677</v>
      </c>
      <c r="AM8280" s="21" t="s">
        <v>4678</v>
      </c>
      <c r="AN8280" s="21">
        <v>-122.437224883333</v>
      </c>
      <c r="AO8280" s="21">
        <v>37.8055734</v>
      </c>
      <c r="AP8280" s="21" t="s">
        <v>951</v>
      </c>
    </row>
    <row r="8281" spans="1:42">
      <c r="A8281" s="20">
        <v>43859</v>
      </c>
      <c r="B8281" s="21">
        <v>3</v>
      </c>
      <c r="C8281" s="21">
        <v>207</v>
      </c>
      <c r="D8281" s="21">
        <v>14657</v>
      </c>
      <c r="E8281" s="21"/>
      <c r="F8281" s="21" t="s">
        <v>104</v>
      </c>
      <c r="G8281" s="21">
        <v>2</v>
      </c>
      <c r="H8281" s="21">
        <v>118</v>
      </c>
      <c r="I8281" s="23" t="s">
        <v>4679</v>
      </c>
      <c r="J8281" s="21"/>
      <c r="K8281" s="21" t="s">
        <v>909</v>
      </c>
      <c r="L8281" s="21"/>
      <c r="M8281" s="21"/>
      <c r="N8281" s="21" t="s">
        <v>44</v>
      </c>
      <c r="O8281" s="21">
        <v>200</v>
      </c>
      <c r="P8281" s="21"/>
      <c r="Q8281" s="21">
        <f t="shared" si="165"/>
        <v>2</v>
      </c>
      <c r="R8281" s="21">
        <v>1</v>
      </c>
      <c r="S8281" s="21">
        <v>0</v>
      </c>
      <c r="T8281" s="21">
        <v>0</v>
      </c>
      <c r="U8281" s="21">
        <v>1</v>
      </c>
      <c r="V8281" s="21">
        <v>0</v>
      </c>
      <c r="W8281" s="21">
        <v>1</v>
      </c>
      <c r="X8281" s="21">
        <v>0</v>
      </c>
      <c r="Y8281" s="21">
        <v>0</v>
      </c>
      <c r="Z8281" s="21">
        <v>0</v>
      </c>
      <c r="AA8281" s="21">
        <v>0</v>
      </c>
      <c r="AB8281" s="21">
        <v>0</v>
      </c>
      <c r="AC8281" s="21">
        <v>0</v>
      </c>
      <c r="AD8281" s="21">
        <v>0</v>
      </c>
      <c r="AE8281" s="21">
        <v>0</v>
      </c>
      <c r="AF8281" s="21"/>
      <c r="AG8281" s="21">
        <v>0</v>
      </c>
      <c r="AH8281" s="21">
        <f t="shared" si="166"/>
        <v>128</v>
      </c>
      <c r="AI8281" s="21"/>
      <c r="AJ8281" s="21" t="s">
        <v>51</v>
      </c>
      <c r="AK8281" s="21" t="s">
        <v>95</v>
      </c>
      <c r="AL8281" s="21" t="s">
        <v>1377</v>
      </c>
      <c r="AM8281" s="21" t="s">
        <v>4680</v>
      </c>
      <c r="AN8281" s="21">
        <v>-122.437204016667</v>
      </c>
      <c r="AO8281" s="21">
        <v>37.8049884666667</v>
      </c>
      <c r="AP8281" s="21" t="s">
        <v>951</v>
      </c>
    </row>
    <row r="8282" spans="1:42">
      <c r="A8282" s="20">
        <v>43859</v>
      </c>
      <c r="B8282" s="21">
        <v>3</v>
      </c>
      <c r="C8282" s="21">
        <v>207</v>
      </c>
      <c r="D8282" s="21">
        <v>14657</v>
      </c>
      <c r="E8282" s="21"/>
      <c r="F8282" s="21" t="s">
        <v>104</v>
      </c>
      <c r="G8282" s="21">
        <v>2</v>
      </c>
      <c r="H8282" s="21">
        <v>119</v>
      </c>
      <c r="I8282" s="23" t="s">
        <v>4681</v>
      </c>
      <c r="J8282" s="21"/>
      <c r="K8282" s="21" t="s">
        <v>909</v>
      </c>
      <c r="L8282" s="21"/>
      <c r="M8282" s="21"/>
      <c r="N8282" s="21" t="s">
        <v>44</v>
      </c>
      <c r="O8282" s="21">
        <v>62</v>
      </c>
      <c r="P8282" s="21"/>
      <c r="Q8282" s="21">
        <f t="shared" si="165"/>
        <v>1</v>
      </c>
      <c r="R8282" s="21">
        <v>1</v>
      </c>
      <c r="S8282" s="21">
        <v>0</v>
      </c>
      <c r="T8282" s="21">
        <v>0</v>
      </c>
      <c r="U8282" s="21">
        <v>0</v>
      </c>
      <c r="V8282" s="21">
        <v>0</v>
      </c>
      <c r="W8282" s="21">
        <v>1</v>
      </c>
      <c r="X8282" s="21">
        <v>0</v>
      </c>
      <c r="Y8282" s="21">
        <v>0</v>
      </c>
      <c r="Z8282" s="21">
        <v>0</v>
      </c>
      <c r="AA8282" s="21">
        <v>0</v>
      </c>
      <c r="AB8282" s="21">
        <v>0</v>
      </c>
      <c r="AC8282" s="21">
        <v>0</v>
      </c>
      <c r="AD8282" s="21">
        <v>0</v>
      </c>
      <c r="AE8282" s="21">
        <v>0</v>
      </c>
      <c r="AF8282" s="21"/>
      <c r="AG8282" s="21">
        <v>0</v>
      </c>
      <c r="AH8282" s="21">
        <f t="shared" si="166"/>
        <v>96</v>
      </c>
      <c r="AI8282" s="21"/>
      <c r="AJ8282" s="21" t="s">
        <v>51</v>
      </c>
      <c r="AK8282" s="21" t="s">
        <v>95</v>
      </c>
      <c r="AL8282" s="21" t="s">
        <v>4621</v>
      </c>
      <c r="AM8282" s="21" t="s">
        <v>4682</v>
      </c>
      <c r="AN8282" s="21">
        <v>-122.437231633333</v>
      </c>
      <c r="AO8282" s="21">
        <v>37.804706950000003</v>
      </c>
      <c r="AP8282" s="21" t="s">
        <v>951</v>
      </c>
    </row>
    <row r="8283" spans="1:42">
      <c r="A8283" s="20">
        <v>43859</v>
      </c>
      <c r="B8283" s="21">
        <v>3</v>
      </c>
      <c r="C8283" s="21">
        <v>207</v>
      </c>
      <c r="D8283" s="21">
        <v>14657</v>
      </c>
      <c r="E8283" s="21"/>
      <c r="F8283" s="21" t="s">
        <v>104</v>
      </c>
      <c r="G8283" s="21">
        <v>2</v>
      </c>
      <c r="H8283" s="21">
        <v>120</v>
      </c>
      <c r="I8283" s="23" t="s">
        <v>4683</v>
      </c>
      <c r="J8283" s="21"/>
      <c r="K8283" s="21" t="s">
        <v>909</v>
      </c>
      <c r="L8283" s="21"/>
      <c r="M8283" s="21"/>
      <c r="N8283" s="21" t="s">
        <v>44</v>
      </c>
      <c r="O8283" s="21">
        <v>56</v>
      </c>
      <c r="P8283" s="21"/>
      <c r="Q8283" s="21">
        <f t="shared" si="165"/>
        <v>1</v>
      </c>
      <c r="R8283" s="21">
        <v>1</v>
      </c>
      <c r="S8283" s="21">
        <v>0</v>
      </c>
      <c r="T8283" s="21">
        <v>0</v>
      </c>
      <c r="U8283" s="21">
        <v>0</v>
      </c>
      <c r="V8283" s="21">
        <v>0</v>
      </c>
      <c r="W8283" s="21">
        <v>1</v>
      </c>
      <c r="X8283" s="21">
        <v>0</v>
      </c>
      <c r="Y8283" s="21">
        <v>0</v>
      </c>
      <c r="Z8283" s="21">
        <v>0</v>
      </c>
      <c r="AA8283" s="21">
        <v>0</v>
      </c>
      <c r="AB8283" s="21">
        <v>0</v>
      </c>
      <c r="AC8283" s="21">
        <v>0</v>
      </c>
      <c r="AD8283" s="21">
        <v>0</v>
      </c>
      <c r="AE8283" s="21">
        <v>0</v>
      </c>
      <c r="AF8283" s="21"/>
      <c r="AG8283" s="21">
        <v>0</v>
      </c>
      <c r="AH8283" s="21">
        <f t="shared" si="166"/>
        <v>96</v>
      </c>
      <c r="AI8283" s="21"/>
      <c r="AJ8283" s="21" t="s">
        <v>51</v>
      </c>
      <c r="AK8283" s="21" t="s">
        <v>95</v>
      </c>
      <c r="AL8283" s="21" t="s">
        <v>1377</v>
      </c>
      <c r="AM8283" s="21" t="s">
        <v>4684</v>
      </c>
      <c r="AN8283" s="21">
        <v>-122.437320433333</v>
      </c>
      <c r="AO8283" s="21">
        <v>37.804674466666597</v>
      </c>
      <c r="AP8283" s="21" t="s">
        <v>951</v>
      </c>
    </row>
    <row r="8284" spans="1:42">
      <c r="A8284" s="20">
        <v>43859</v>
      </c>
      <c r="B8284" s="21">
        <v>3</v>
      </c>
      <c r="C8284" s="21">
        <v>207</v>
      </c>
      <c r="D8284" s="21">
        <v>14657</v>
      </c>
      <c r="E8284" s="21"/>
      <c r="F8284" s="21" t="s">
        <v>104</v>
      </c>
      <c r="G8284" s="21">
        <v>2</v>
      </c>
      <c r="H8284" s="21">
        <v>121</v>
      </c>
      <c r="I8284" s="23" t="s">
        <v>2787</v>
      </c>
      <c r="J8284" s="21"/>
      <c r="K8284" s="21" t="s">
        <v>906</v>
      </c>
      <c r="L8284" s="21"/>
      <c r="M8284" s="21"/>
      <c r="N8284" s="21" t="s">
        <v>44</v>
      </c>
      <c r="O8284" s="21">
        <v>68</v>
      </c>
      <c r="P8284" s="21"/>
      <c r="Q8284" s="21">
        <f t="shared" si="165"/>
        <v>1</v>
      </c>
      <c r="R8284" s="21">
        <v>1</v>
      </c>
      <c r="S8284" s="21">
        <v>0</v>
      </c>
      <c r="T8284" s="21">
        <v>0</v>
      </c>
      <c r="U8284" s="21">
        <v>0</v>
      </c>
      <c r="V8284" s="21">
        <v>0</v>
      </c>
      <c r="W8284" s="21">
        <v>1</v>
      </c>
      <c r="X8284" s="21">
        <v>0</v>
      </c>
      <c r="Y8284" s="21">
        <v>0</v>
      </c>
      <c r="Z8284" s="21">
        <v>0</v>
      </c>
      <c r="AA8284" s="21">
        <v>0</v>
      </c>
      <c r="AB8284" s="21">
        <v>0</v>
      </c>
      <c r="AC8284" s="21">
        <v>0</v>
      </c>
      <c r="AD8284" s="21">
        <v>0</v>
      </c>
      <c r="AE8284" s="21">
        <v>0</v>
      </c>
      <c r="AF8284" s="21"/>
      <c r="AG8284" s="21">
        <v>0</v>
      </c>
      <c r="AH8284" s="21">
        <f t="shared" si="166"/>
        <v>96</v>
      </c>
      <c r="AI8284" s="21"/>
      <c r="AJ8284" s="21" t="s">
        <v>51</v>
      </c>
      <c r="AK8284" s="21" t="s">
        <v>95</v>
      </c>
      <c r="AL8284" s="21" t="s">
        <v>4685</v>
      </c>
      <c r="AM8284" s="21" t="s">
        <v>4686</v>
      </c>
      <c r="AN8284" s="21">
        <v>-122.437269366667</v>
      </c>
      <c r="AO8284" s="21">
        <v>37.804520166666599</v>
      </c>
      <c r="AP8284" s="21" t="s">
        <v>951</v>
      </c>
    </row>
    <row r="8285" spans="1:42">
      <c r="A8285" s="20">
        <v>43859</v>
      </c>
      <c r="B8285" s="21">
        <v>3</v>
      </c>
      <c r="C8285" s="21">
        <v>207</v>
      </c>
      <c r="D8285" s="21">
        <v>14657</v>
      </c>
      <c r="E8285" s="21"/>
      <c r="F8285" s="21" t="s">
        <v>104</v>
      </c>
      <c r="G8285" s="21">
        <v>2</v>
      </c>
      <c r="H8285" s="21">
        <v>122</v>
      </c>
      <c r="I8285" s="23" t="s">
        <v>4687</v>
      </c>
      <c r="J8285" s="21"/>
      <c r="K8285" s="21" t="s">
        <v>909</v>
      </c>
      <c r="L8285" s="21"/>
      <c r="M8285" s="21"/>
      <c r="N8285" s="21" t="s">
        <v>44</v>
      </c>
      <c r="O8285" s="21">
        <v>96</v>
      </c>
      <c r="P8285" s="21"/>
      <c r="Q8285" s="21">
        <f t="shared" si="165"/>
        <v>1</v>
      </c>
      <c r="R8285" s="21">
        <v>1</v>
      </c>
      <c r="S8285" s="21">
        <v>0</v>
      </c>
      <c r="T8285" s="21">
        <v>0</v>
      </c>
      <c r="U8285" s="21">
        <v>0</v>
      </c>
      <c r="V8285" s="21">
        <v>0</v>
      </c>
      <c r="W8285" s="21">
        <v>1</v>
      </c>
      <c r="X8285" s="21">
        <v>0</v>
      </c>
      <c r="Y8285" s="21">
        <v>0</v>
      </c>
      <c r="Z8285" s="21">
        <v>0</v>
      </c>
      <c r="AA8285" s="21">
        <v>0</v>
      </c>
      <c r="AB8285" s="21">
        <v>0</v>
      </c>
      <c r="AC8285" s="21">
        <v>0</v>
      </c>
      <c r="AD8285" s="21">
        <v>0</v>
      </c>
      <c r="AE8285" s="21">
        <v>0</v>
      </c>
      <c r="AF8285" s="21"/>
      <c r="AG8285" s="21">
        <v>0</v>
      </c>
      <c r="AH8285" s="21">
        <f t="shared" si="166"/>
        <v>96</v>
      </c>
      <c r="AI8285" s="21"/>
      <c r="AJ8285" s="21" t="s">
        <v>51</v>
      </c>
      <c r="AK8285" s="21" t="s">
        <v>95</v>
      </c>
      <c r="AL8285" s="21"/>
      <c r="AM8285" s="21" t="s">
        <v>4688</v>
      </c>
      <c r="AN8285" s="21">
        <v>-122.437003433333</v>
      </c>
      <c r="AO8285" s="21">
        <v>37.803862616666599</v>
      </c>
      <c r="AP8285" s="21" t="s">
        <v>951</v>
      </c>
    </row>
    <row r="8286" spans="1:42">
      <c r="A8286" s="20">
        <v>43859</v>
      </c>
      <c r="B8286" s="21">
        <v>3</v>
      </c>
      <c r="C8286" s="21">
        <v>207</v>
      </c>
      <c r="D8286" s="21">
        <v>14657</v>
      </c>
      <c r="E8286" s="21"/>
      <c r="F8286" s="21" t="s">
        <v>104</v>
      </c>
      <c r="G8286" s="21">
        <v>2</v>
      </c>
      <c r="H8286" s="21">
        <v>123</v>
      </c>
      <c r="I8286" s="23" t="s">
        <v>4689</v>
      </c>
      <c r="J8286" s="21"/>
      <c r="K8286" s="21" t="s">
        <v>909</v>
      </c>
      <c r="L8286" s="21"/>
      <c r="M8286" s="21"/>
      <c r="N8286" s="21" t="s">
        <v>44</v>
      </c>
      <c r="O8286" s="21">
        <v>76</v>
      </c>
      <c r="P8286" s="21"/>
      <c r="Q8286" s="21">
        <f t="shared" si="165"/>
        <v>1</v>
      </c>
      <c r="R8286" s="21">
        <v>1</v>
      </c>
      <c r="S8286" s="21">
        <v>0</v>
      </c>
      <c r="T8286" s="21">
        <v>0</v>
      </c>
      <c r="U8286" s="21">
        <v>0</v>
      </c>
      <c r="V8286" s="21">
        <v>0</v>
      </c>
      <c r="W8286" s="21">
        <v>1</v>
      </c>
      <c r="X8286" s="21">
        <v>0</v>
      </c>
      <c r="Y8286" s="21">
        <v>0</v>
      </c>
      <c r="Z8286" s="21">
        <v>0</v>
      </c>
      <c r="AA8286" s="21">
        <v>0</v>
      </c>
      <c r="AB8286" s="21">
        <v>0</v>
      </c>
      <c r="AC8286" s="21">
        <v>0</v>
      </c>
      <c r="AD8286" s="21">
        <v>0</v>
      </c>
      <c r="AE8286" s="21">
        <v>0</v>
      </c>
      <c r="AF8286" s="21"/>
      <c r="AG8286" s="21">
        <v>0</v>
      </c>
      <c r="AH8286" s="21">
        <f t="shared" si="166"/>
        <v>96</v>
      </c>
      <c r="AI8286" s="21"/>
      <c r="AJ8286" s="21" t="s">
        <v>51</v>
      </c>
      <c r="AK8286" s="21" t="s">
        <v>95</v>
      </c>
      <c r="AL8286" s="21"/>
      <c r="AM8286" s="21" t="s">
        <v>4690</v>
      </c>
      <c r="AN8286" s="21">
        <v>-122.436964516667</v>
      </c>
      <c r="AO8286" s="21">
        <v>37.803528066666601</v>
      </c>
      <c r="AP8286" s="21" t="s">
        <v>951</v>
      </c>
    </row>
    <row r="8287" spans="1:42">
      <c r="A8287" s="20">
        <v>43859</v>
      </c>
      <c r="B8287" s="21">
        <v>3</v>
      </c>
      <c r="C8287" s="21">
        <v>207</v>
      </c>
      <c r="D8287" s="21">
        <v>14657</v>
      </c>
      <c r="E8287" s="21"/>
      <c r="F8287" s="21" t="s">
        <v>104</v>
      </c>
      <c r="G8287" s="21">
        <v>2</v>
      </c>
      <c r="H8287" s="21">
        <v>124</v>
      </c>
      <c r="I8287" s="23" t="s">
        <v>4270</v>
      </c>
      <c r="J8287" s="21"/>
      <c r="K8287" t="s">
        <v>902</v>
      </c>
      <c r="L8287" s="21"/>
      <c r="M8287" s="21"/>
      <c r="N8287" s="21" t="s">
        <v>42</v>
      </c>
      <c r="O8287" s="21">
        <v>180</v>
      </c>
      <c r="P8287" s="21"/>
      <c r="Q8287" s="21">
        <f t="shared" si="165"/>
        <v>3</v>
      </c>
      <c r="R8287" s="21">
        <v>1</v>
      </c>
      <c r="S8287" s="21">
        <v>0</v>
      </c>
      <c r="T8287" s="21">
        <v>0</v>
      </c>
      <c r="U8287" s="21">
        <v>1</v>
      </c>
      <c r="V8287" s="21">
        <v>1</v>
      </c>
      <c r="W8287" s="21">
        <v>1</v>
      </c>
      <c r="X8287" s="21">
        <v>0</v>
      </c>
      <c r="Y8287" s="21">
        <v>0</v>
      </c>
      <c r="Z8287" s="21">
        <v>0</v>
      </c>
      <c r="AA8287" s="21">
        <v>0</v>
      </c>
      <c r="AB8287" s="21">
        <v>0</v>
      </c>
      <c r="AC8287" s="21">
        <v>0</v>
      </c>
      <c r="AD8287" s="21">
        <v>0</v>
      </c>
      <c r="AE8287" s="21">
        <v>0</v>
      </c>
      <c r="AF8287" s="21"/>
      <c r="AG8287" s="21">
        <v>0</v>
      </c>
      <c r="AH8287" s="21">
        <f t="shared" si="166"/>
        <v>192</v>
      </c>
      <c r="AI8287" s="21"/>
      <c r="AJ8287" s="21" t="s">
        <v>51</v>
      </c>
      <c r="AK8287" s="21" t="s">
        <v>95</v>
      </c>
      <c r="AL8287" s="21" t="s">
        <v>1369</v>
      </c>
      <c r="AM8287" s="21" t="s">
        <v>4691</v>
      </c>
      <c r="AN8287" s="21">
        <v>-122.436838266667</v>
      </c>
      <c r="AO8287" s="21">
        <v>37.803253266666701</v>
      </c>
      <c r="AP8287" s="21" t="s">
        <v>951</v>
      </c>
    </row>
    <row r="8288" spans="1:42">
      <c r="A8288" s="20">
        <v>43859</v>
      </c>
      <c r="B8288" s="21">
        <v>3</v>
      </c>
      <c r="C8288" s="21">
        <v>207</v>
      </c>
      <c r="D8288" s="21">
        <v>14657</v>
      </c>
      <c r="E8288" s="21"/>
      <c r="F8288" s="21" t="s">
        <v>104</v>
      </c>
      <c r="G8288" s="21">
        <v>2</v>
      </c>
      <c r="H8288" s="21">
        <v>125</v>
      </c>
      <c r="I8288" s="23" t="s">
        <v>4692</v>
      </c>
      <c r="J8288" s="21"/>
      <c r="K8288" s="21" t="s">
        <v>906</v>
      </c>
      <c r="L8288" s="21"/>
      <c r="M8288" s="21"/>
      <c r="N8288" s="21" t="s">
        <v>44</v>
      </c>
      <c r="O8288" s="21">
        <v>230</v>
      </c>
      <c r="P8288" s="21"/>
      <c r="Q8288" s="21">
        <f t="shared" si="165"/>
        <v>2</v>
      </c>
      <c r="R8288" s="21">
        <v>1</v>
      </c>
      <c r="S8288" s="21">
        <v>0</v>
      </c>
      <c r="T8288" s="21">
        <v>0</v>
      </c>
      <c r="U8288" s="21">
        <v>0</v>
      </c>
      <c r="V8288" s="21">
        <v>1</v>
      </c>
      <c r="W8288" s="21">
        <v>1</v>
      </c>
      <c r="X8288" s="21">
        <v>0</v>
      </c>
      <c r="Y8288" s="21">
        <v>0</v>
      </c>
      <c r="Z8288" s="21">
        <v>0</v>
      </c>
      <c r="AA8288" s="21">
        <v>0</v>
      </c>
      <c r="AB8288" s="21">
        <v>0</v>
      </c>
      <c r="AC8288" s="21">
        <v>0</v>
      </c>
      <c r="AD8288" s="21">
        <v>0</v>
      </c>
      <c r="AE8288" s="21">
        <v>0</v>
      </c>
      <c r="AF8288" s="21"/>
      <c r="AG8288" s="21">
        <v>0</v>
      </c>
      <c r="AH8288" s="21">
        <f t="shared" si="166"/>
        <v>160</v>
      </c>
      <c r="AI8288" s="21"/>
      <c r="AJ8288" s="21" t="s">
        <v>51</v>
      </c>
      <c r="AK8288" s="21" t="s">
        <v>52</v>
      </c>
      <c r="AL8288" s="21" t="s">
        <v>4693</v>
      </c>
      <c r="AM8288" s="21" t="s">
        <v>4694</v>
      </c>
      <c r="AN8288" s="21">
        <v>-122.438055566667</v>
      </c>
      <c r="AO8288" s="21">
        <v>37.804173300000002</v>
      </c>
      <c r="AP8288" s="21" t="s">
        <v>951</v>
      </c>
    </row>
    <row r="8289" spans="1:42">
      <c r="A8289" s="20">
        <v>43859</v>
      </c>
      <c r="B8289" s="21">
        <v>3</v>
      </c>
      <c r="C8289" s="21">
        <v>207</v>
      </c>
      <c r="D8289" s="21">
        <v>14657</v>
      </c>
      <c r="E8289" s="21"/>
      <c r="F8289" s="21" t="s">
        <v>104</v>
      </c>
      <c r="G8289" s="21">
        <v>2</v>
      </c>
      <c r="H8289" s="21">
        <v>126</v>
      </c>
      <c r="I8289" s="23" t="s">
        <v>3314</v>
      </c>
      <c r="J8289" s="21"/>
      <c r="K8289" s="21" t="s">
        <v>906</v>
      </c>
      <c r="L8289" s="21"/>
      <c r="M8289" s="21"/>
      <c r="N8289" s="21" t="s">
        <v>44</v>
      </c>
      <c r="O8289" s="21">
        <v>90</v>
      </c>
      <c r="P8289" s="21"/>
      <c r="Q8289" s="21">
        <f t="shared" si="165"/>
        <v>2</v>
      </c>
      <c r="R8289" s="21">
        <v>1</v>
      </c>
      <c r="S8289" s="21">
        <v>0</v>
      </c>
      <c r="T8289" s="21">
        <v>0</v>
      </c>
      <c r="U8289" s="21">
        <v>1</v>
      </c>
      <c r="V8289" s="21">
        <v>0</v>
      </c>
      <c r="W8289" s="21">
        <v>1</v>
      </c>
      <c r="X8289" s="21">
        <v>0</v>
      </c>
      <c r="Y8289" s="21">
        <v>0</v>
      </c>
      <c r="Z8289" s="21">
        <v>0</v>
      </c>
      <c r="AA8289" s="21">
        <v>0</v>
      </c>
      <c r="AB8289" s="21">
        <v>0</v>
      </c>
      <c r="AC8289" s="21">
        <v>0</v>
      </c>
      <c r="AD8289" s="21">
        <v>0</v>
      </c>
      <c r="AE8289" s="21">
        <v>0</v>
      </c>
      <c r="AF8289" s="21"/>
      <c r="AG8289" s="21">
        <v>0</v>
      </c>
      <c r="AH8289" s="21">
        <f t="shared" si="166"/>
        <v>128</v>
      </c>
      <c r="AI8289" s="21"/>
      <c r="AJ8289" s="21" t="s">
        <v>51</v>
      </c>
      <c r="AK8289" s="21" t="s">
        <v>52</v>
      </c>
      <c r="AL8289" s="21"/>
      <c r="AM8289" s="21" t="s">
        <v>4695</v>
      </c>
      <c r="AN8289" s="21">
        <v>-122.43736315</v>
      </c>
      <c r="AO8289" s="21">
        <v>37.804312383333297</v>
      </c>
      <c r="AP8289" s="21" t="s">
        <v>951</v>
      </c>
    </row>
    <row r="8290" spans="1:42">
      <c r="A8290" s="20">
        <v>43859</v>
      </c>
      <c r="B8290" s="21">
        <v>3</v>
      </c>
      <c r="C8290" s="21">
        <v>207</v>
      </c>
      <c r="D8290" s="21">
        <v>14657</v>
      </c>
      <c r="E8290" s="21"/>
      <c r="F8290" s="21" t="s">
        <v>104</v>
      </c>
      <c r="G8290" s="21">
        <v>2</v>
      </c>
      <c r="H8290" s="21">
        <v>127</v>
      </c>
      <c r="I8290" s="23" t="s">
        <v>4696</v>
      </c>
      <c r="J8290" s="21"/>
      <c r="K8290" s="21" t="s">
        <v>4697</v>
      </c>
      <c r="L8290" s="21" t="s">
        <v>114</v>
      </c>
      <c r="M8290" s="21"/>
      <c r="N8290" s="21" t="s">
        <v>40</v>
      </c>
      <c r="O8290" s="21">
        <v>45</v>
      </c>
      <c r="P8290" s="21"/>
      <c r="Q8290" s="21">
        <f t="shared" si="165"/>
        <v>2</v>
      </c>
      <c r="R8290" s="21">
        <v>1</v>
      </c>
      <c r="S8290" s="21">
        <v>0</v>
      </c>
      <c r="T8290" s="21">
        <v>0</v>
      </c>
      <c r="U8290" s="21">
        <v>1</v>
      </c>
      <c r="V8290" s="21">
        <v>0</v>
      </c>
      <c r="W8290" s="21">
        <v>1</v>
      </c>
      <c r="X8290" s="21">
        <v>0</v>
      </c>
      <c r="Y8290" s="21">
        <v>0</v>
      </c>
      <c r="Z8290" s="21">
        <v>0</v>
      </c>
      <c r="AA8290" s="21">
        <v>0</v>
      </c>
      <c r="AB8290" s="21">
        <v>0</v>
      </c>
      <c r="AC8290" s="21">
        <v>0</v>
      </c>
      <c r="AD8290" s="21">
        <v>0</v>
      </c>
      <c r="AE8290" s="21">
        <v>0</v>
      </c>
      <c r="AF8290" s="21"/>
      <c r="AG8290" s="21">
        <v>0</v>
      </c>
      <c r="AH8290" s="21">
        <f t="shared" si="166"/>
        <v>128</v>
      </c>
      <c r="AI8290" s="21"/>
      <c r="AJ8290" s="21" t="s">
        <v>51</v>
      </c>
      <c r="AK8290" s="21" t="s">
        <v>95</v>
      </c>
      <c r="AL8290" s="21"/>
      <c r="AM8290" s="21" t="s">
        <v>4698</v>
      </c>
      <c r="AN8290" s="21">
        <v>-122.438058766667</v>
      </c>
      <c r="AO8290" s="21">
        <v>37.804240666666701</v>
      </c>
      <c r="AP8290" s="21" t="s">
        <v>951</v>
      </c>
    </row>
    <row r="8291" spans="1:42">
      <c r="A8291" s="20">
        <v>43859</v>
      </c>
      <c r="B8291" s="21">
        <v>3</v>
      </c>
      <c r="C8291" s="21">
        <v>207</v>
      </c>
      <c r="D8291" s="21">
        <v>14657</v>
      </c>
      <c r="E8291" s="21"/>
      <c r="F8291" s="21" t="s">
        <v>104</v>
      </c>
      <c r="G8291" s="21">
        <v>2</v>
      </c>
      <c r="H8291" s="21">
        <v>128</v>
      </c>
      <c r="I8291" s="23" t="s">
        <v>4663</v>
      </c>
      <c r="J8291" s="21"/>
      <c r="K8291" t="s">
        <v>902</v>
      </c>
      <c r="L8291" s="21" t="s">
        <v>114</v>
      </c>
      <c r="M8291" s="21"/>
      <c r="N8291" s="21" t="s">
        <v>40</v>
      </c>
      <c r="O8291" s="21">
        <v>37</v>
      </c>
      <c r="P8291" s="21"/>
      <c r="Q8291" s="21">
        <f t="shared" si="165"/>
        <v>2</v>
      </c>
      <c r="R8291" s="21">
        <v>1</v>
      </c>
      <c r="S8291" s="21">
        <v>0</v>
      </c>
      <c r="T8291" s="21">
        <v>0</v>
      </c>
      <c r="U8291" s="21">
        <v>1</v>
      </c>
      <c r="V8291" s="21">
        <v>1</v>
      </c>
      <c r="W8291" s="21">
        <v>0</v>
      </c>
      <c r="X8291" s="21">
        <v>0</v>
      </c>
      <c r="Y8291" s="21">
        <v>0</v>
      </c>
      <c r="Z8291" s="21">
        <v>0</v>
      </c>
      <c r="AA8291" s="21">
        <v>0</v>
      </c>
      <c r="AB8291" s="21">
        <v>0</v>
      </c>
      <c r="AC8291" s="21">
        <v>0</v>
      </c>
      <c r="AD8291" s="21">
        <v>0</v>
      </c>
      <c r="AE8291" s="21">
        <v>0</v>
      </c>
      <c r="AF8291" s="21"/>
      <c r="AG8291" s="21">
        <v>0</v>
      </c>
      <c r="AH8291" s="21">
        <f t="shared" si="166"/>
        <v>96</v>
      </c>
      <c r="AI8291" s="21"/>
      <c r="AJ8291" s="21" t="s">
        <v>51</v>
      </c>
      <c r="AK8291" s="21" t="s">
        <v>95</v>
      </c>
      <c r="AL8291" s="21"/>
      <c r="AM8291" s="21" t="s">
        <v>4699</v>
      </c>
      <c r="AN8291" s="21">
        <v>-122.43954391666701</v>
      </c>
      <c r="AO8291" s="21">
        <v>37.804217533333301</v>
      </c>
      <c r="AP8291" s="21" t="s">
        <v>951</v>
      </c>
    </row>
    <row r="8292" spans="1:42">
      <c r="A8292" s="20">
        <v>43858</v>
      </c>
      <c r="B8292" s="21">
        <v>2</v>
      </c>
      <c r="C8292" s="21">
        <v>217</v>
      </c>
      <c r="D8292" s="21">
        <v>14443</v>
      </c>
      <c r="E8292" s="21"/>
      <c r="F8292" s="21" t="s">
        <v>104</v>
      </c>
      <c r="G8292" s="21">
        <v>2</v>
      </c>
      <c r="H8292" s="21">
        <v>1</v>
      </c>
      <c r="I8292" s="23" t="s">
        <v>2551</v>
      </c>
      <c r="J8292" s="21"/>
      <c r="K8292" s="21" t="s">
        <v>414</v>
      </c>
      <c r="L8292" s="21" t="s">
        <v>114</v>
      </c>
      <c r="M8292" s="21"/>
      <c r="N8292" s="21" t="s">
        <v>40</v>
      </c>
      <c r="O8292" s="21">
        <v>44</v>
      </c>
      <c r="P8292" s="21"/>
      <c r="Q8292" s="21">
        <f t="shared" si="165"/>
        <v>1</v>
      </c>
      <c r="R8292" s="21">
        <v>1</v>
      </c>
      <c r="S8292" s="21">
        <v>0</v>
      </c>
      <c r="T8292" s="21">
        <v>0</v>
      </c>
      <c r="U8292" s="21">
        <v>0</v>
      </c>
      <c r="V8292" s="21">
        <v>0</v>
      </c>
      <c r="W8292" s="21">
        <v>0</v>
      </c>
      <c r="X8292" s="21">
        <v>1</v>
      </c>
      <c r="Y8292" s="21">
        <v>0</v>
      </c>
      <c r="Z8292" s="21">
        <v>0</v>
      </c>
      <c r="AA8292" s="21">
        <v>0</v>
      </c>
      <c r="AB8292" s="21">
        <v>0</v>
      </c>
      <c r="AC8292" s="21">
        <v>0</v>
      </c>
      <c r="AD8292" s="21">
        <v>0</v>
      </c>
      <c r="AE8292" s="21">
        <v>0</v>
      </c>
      <c r="AF8292" s="21">
        <v>0</v>
      </c>
      <c r="AG8292" s="21">
        <v>0</v>
      </c>
      <c r="AH8292" s="21">
        <f t="shared" si="166"/>
        <v>0</v>
      </c>
      <c r="AI8292" s="21"/>
      <c r="AJ8292" s="21" t="s">
        <v>51</v>
      </c>
      <c r="AK8292" s="21" t="s">
        <v>95</v>
      </c>
      <c r="AL8292" s="21" t="s">
        <v>125</v>
      </c>
      <c r="AM8292" s="21" t="s">
        <v>4700</v>
      </c>
      <c r="AN8292" s="21">
        <v>-122.42160124999999</v>
      </c>
      <c r="AO8292" s="21">
        <v>37.7951980333333</v>
      </c>
      <c r="AP8292" s="21" t="s">
        <v>951</v>
      </c>
    </row>
    <row r="8293" spans="1:42">
      <c r="A8293" s="20">
        <v>43858</v>
      </c>
      <c r="B8293" s="21">
        <v>2</v>
      </c>
      <c r="C8293" s="21">
        <v>217</v>
      </c>
      <c r="D8293" s="21">
        <v>14443</v>
      </c>
      <c r="E8293" s="21"/>
      <c r="F8293" s="21" t="s">
        <v>104</v>
      </c>
      <c r="G8293" s="21">
        <v>2</v>
      </c>
      <c r="H8293" s="21">
        <v>2</v>
      </c>
      <c r="I8293" s="23" t="s">
        <v>4701</v>
      </c>
      <c r="J8293" s="21"/>
      <c r="K8293" s="21" t="s">
        <v>414</v>
      </c>
      <c r="L8293" s="21" t="s">
        <v>114</v>
      </c>
      <c r="M8293" s="21"/>
      <c r="N8293" s="21" t="s">
        <v>40</v>
      </c>
      <c r="O8293" s="21">
        <v>34</v>
      </c>
      <c r="P8293" s="21"/>
      <c r="Q8293" s="21">
        <f t="shared" si="165"/>
        <v>2</v>
      </c>
      <c r="R8293" s="21">
        <v>1</v>
      </c>
      <c r="S8293" s="21">
        <v>0</v>
      </c>
      <c r="T8293" s="21">
        <v>0</v>
      </c>
      <c r="U8293" s="21">
        <v>2</v>
      </c>
      <c r="V8293" s="21">
        <v>0</v>
      </c>
      <c r="W8293" s="21">
        <v>0</v>
      </c>
      <c r="X8293" s="21">
        <v>0</v>
      </c>
      <c r="Y8293" s="21">
        <v>0</v>
      </c>
      <c r="Z8293" s="21">
        <v>0</v>
      </c>
      <c r="AA8293" s="21">
        <v>0</v>
      </c>
      <c r="AB8293" s="21">
        <v>0</v>
      </c>
      <c r="AC8293" s="21">
        <v>0</v>
      </c>
      <c r="AD8293" s="21">
        <v>0</v>
      </c>
      <c r="AE8293" s="21">
        <v>0</v>
      </c>
      <c r="AF8293" s="21">
        <v>0</v>
      </c>
      <c r="AG8293" s="21">
        <v>0</v>
      </c>
      <c r="AH8293" s="21">
        <f t="shared" si="166"/>
        <v>64</v>
      </c>
      <c r="AI8293" s="21"/>
      <c r="AJ8293" s="21" t="s">
        <v>51</v>
      </c>
      <c r="AK8293" s="21" t="s">
        <v>95</v>
      </c>
      <c r="AL8293" s="21"/>
      <c r="AM8293" s="21" t="s">
        <v>4702</v>
      </c>
      <c r="AN8293" s="21">
        <v>-122.421739966667</v>
      </c>
      <c r="AO8293" s="21">
        <v>37.795769783333299</v>
      </c>
      <c r="AP8293" s="21" t="s">
        <v>951</v>
      </c>
    </row>
    <row r="8294" spans="1:42">
      <c r="A8294" s="20">
        <v>43858</v>
      </c>
      <c r="B8294" s="21">
        <v>2</v>
      </c>
      <c r="C8294" s="21">
        <v>217</v>
      </c>
      <c r="D8294" s="21">
        <v>14443</v>
      </c>
      <c r="E8294" s="21"/>
      <c r="F8294" s="21" t="s">
        <v>104</v>
      </c>
      <c r="G8294" s="21">
        <v>2</v>
      </c>
      <c r="H8294" s="21">
        <v>3</v>
      </c>
      <c r="I8294" s="23" t="s">
        <v>4703</v>
      </c>
      <c r="J8294" s="21"/>
      <c r="K8294" s="21" t="s">
        <v>4704</v>
      </c>
      <c r="L8294" s="21"/>
      <c r="M8294" s="21"/>
      <c r="N8294" s="21" t="s">
        <v>44</v>
      </c>
      <c r="O8294" s="21">
        <v>91</v>
      </c>
      <c r="P8294" s="21"/>
      <c r="Q8294" s="21">
        <f t="shared" si="165"/>
        <v>1</v>
      </c>
      <c r="R8294" s="21">
        <v>1</v>
      </c>
      <c r="S8294" s="21">
        <v>0</v>
      </c>
      <c r="T8294" s="21">
        <v>0</v>
      </c>
      <c r="U8294" s="21">
        <v>0</v>
      </c>
      <c r="V8294" s="21">
        <v>0</v>
      </c>
      <c r="W8294" s="21">
        <v>1</v>
      </c>
      <c r="X8294" s="21">
        <v>0</v>
      </c>
      <c r="Y8294" s="21">
        <v>0</v>
      </c>
      <c r="Z8294" s="21">
        <v>0</v>
      </c>
      <c r="AA8294" s="21">
        <v>0</v>
      </c>
      <c r="AB8294" s="21">
        <v>0</v>
      </c>
      <c r="AC8294" s="21">
        <v>0</v>
      </c>
      <c r="AD8294" s="21">
        <v>0</v>
      </c>
      <c r="AE8294" s="21">
        <v>0</v>
      </c>
      <c r="AF8294" s="21">
        <v>0</v>
      </c>
      <c r="AG8294" s="21">
        <v>0</v>
      </c>
      <c r="AH8294" s="21">
        <f t="shared" si="166"/>
        <v>96</v>
      </c>
      <c r="AI8294" s="21"/>
      <c r="AJ8294" s="21" t="s">
        <v>51</v>
      </c>
      <c r="AK8294" s="21" t="s">
        <v>95</v>
      </c>
      <c r="AL8294" s="21"/>
      <c r="AM8294" s="21" t="s">
        <v>4705</v>
      </c>
      <c r="AN8294" s="21">
        <v>-122.421473133333</v>
      </c>
      <c r="AO8294" s="21">
        <v>37.795987599999997</v>
      </c>
      <c r="AP8294" s="21" t="s">
        <v>951</v>
      </c>
    </row>
    <row r="8295" spans="1:42">
      <c r="A8295" s="20">
        <v>43858</v>
      </c>
      <c r="B8295" s="21">
        <v>2</v>
      </c>
      <c r="C8295" s="21">
        <v>217</v>
      </c>
      <c r="D8295" s="21">
        <v>14443</v>
      </c>
      <c r="E8295" s="21"/>
      <c r="F8295" s="21" t="s">
        <v>104</v>
      </c>
      <c r="G8295" s="21">
        <v>2</v>
      </c>
      <c r="H8295" s="21">
        <v>4</v>
      </c>
      <c r="I8295" s="23" t="s">
        <v>4082</v>
      </c>
      <c r="J8295" s="21"/>
      <c r="K8295" s="21" t="s">
        <v>414</v>
      </c>
      <c r="L8295" s="21" t="s">
        <v>141</v>
      </c>
      <c r="M8295" s="21"/>
      <c r="N8295" s="21" t="s">
        <v>40</v>
      </c>
      <c r="O8295" s="21">
        <v>61</v>
      </c>
      <c r="P8295" s="21"/>
      <c r="Q8295" s="21">
        <f t="shared" si="165"/>
        <v>2</v>
      </c>
      <c r="R8295" s="21">
        <v>1</v>
      </c>
      <c r="S8295" s="21">
        <v>0</v>
      </c>
      <c r="T8295" s="21">
        <v>0</v>
      </c>
      <c r="U8295" s="21">
        <v>1</v>
      </c>
      <c r="V8295" s="21">
        <v>0</v>
      </c>
      <c r="W8295" s="21">
        <v>1</v>
      </c>
      <c r="X8295" s="21">
        <v>0</v>
      </c>
      <c r="Y8295" s="21">
        <v>0</v>
      </c>
      <c r="Z8295" s="21">
        <v>0</v>
      </c>
      <c r="AA8295" s="21">
        <v>0</v>
      </c>
      <c r="AB8295" s="21">
        <v>0</v>
      </c>
      <c r="AC8295" s="21">
        <v>0</v>
      </c>
      <c r="AD8295" s="21">
        <v>0</v>
      </c>
      <c r="AE8295" s="21">
        <v>0</v>
      </c>
      <c r="AF8295" s="21">
        <v>0</v>
      </c>
      <c r="AG8295" s="21">
        <v>0</v>
      </c>
      <c r="AH8295" s="21">
        <f t="shared" si="166"/>
        <v>128</v>
      </c>
      <c r="AI8295" s="21"/>
      <c r="AJ8295" s="21" t="s">
        <v>51</v>
      </c>
      <c r="AK8295" s="21" t="s">
        <v>95</v>
      </c>
      <c r="AL8295" s="21" t="s">
        <v>4706</v>
      </c>
      <c r="AM8295" s="21" t="s">
        <v>4707</v>
      </c>
      <c r="AN8295" s="21">
        <v>-122.420355316667</v>
      </c>
      <c r="AO8295" s="21">
        <v>37.795143816666702</v>
      </c>
      <c r="AP8295" s="21" t="s">
        <v>951</v>
      </c>
    </row>
    <row r="8296" spans="1:42">
      <c r="A8296" s="20">
        <v>43858</v>
      </c>
      <c r="B8296" s="21">
        <v>2</v>
      </c>
      <c r="C8296" s="21">
        <v>217</v>
      </c>
      <c r="D8296" s="21">
        <v>14443</v>
      </c>
      <c r="E8296" s="21"/>
      <c r="F8296" s="21" t="s">
        <v>104</v>
      </c>
      <c r="G8296" s="21">
        <v>2</v>
      </c>
      <c r="H8296" s="21">
        <v>5</v>
      </c>
      <c r="I8296" s="23" t="s">
        <v>4062</v>
      </c>
      <c r="J8296" s="21"/>
      <c r="K8296" s="21" t="s">
        <v>414</v>
      </c>
      <c r="L8296" s="21" t="s">
        <v>114</v>
      </c>
      <c r="M8296" s="21"/>
      <c r="N8296" s="21" t="s">
        <v>40</v>
      </c>
      <c r="O8296" s="21">
        <v>114</v>
      </c>
      <c r="P8296" s="21"/>
      <c r="Q8296" s="21">
        <f t="shared" si="165"/>
        <v>3</v>
      </c>
      <c r="R8296" s="21">
        <v>1</v>
      </c>
      <c r="S8296" s="21">
        <v>0</v>
      </c>
      <c r="T8296" s="21">
        <v>0</v>
      </c>
      <c r="U8296" s="21">
        <v>0</v>
      </c>
      <c r="V8296" s="21">
        <v>0</v>
      </c>
      <c r="W8296" s="21">
        <v>3</v>
      </c>
      <c r="X8296" s="21">
        <v>0</v>
      </c>
      <c r="Y8296" s="21">
        <v>0</v>
      </c>
      <c r="Z8296" s="21">
        <v>0</v>
      </c>
      <c r="AA8296" s="21">
        <v>0</v>
      </c>
      <c r="AB8296" s="21">
        <v>0</v>
      </c>
      <c r="AC8296" s="21">
        <v>0</v>
      </c>
      <c r="AD8296" s="21">
        <v>0</v>
      </c>
      <c r="AE8296" s="21">
        <v>0</v>
      </c>
      <c r="AF8296" s="21">
        <v>0</v>
      </c>
      <c r="AG8296" s="21">
        <v>0</v>
      </c>
      <c r="AH8296" s="21">
        <f t="shared" si="166"/>
        <v>288</v>
      </c>
      <c r="AI8296" s="21"/>
      <c r="AJ8296" s="21" t="s">
        <v>51</v>
      </c>
      <c r="AK8296" s="21" t="s">
        <v>95</v>
      </c>
      <c r="AL8296" s="21"/>
      <c r="AM8296" s="21" t="s">
        <v>4708</v>
      </c>
      <c r="AN8296" s="21">
        <v>-122.42194833333301</v>
      </c>
      <c r="AO8296" s="21">
        <v>37.796608466666598</v>
      </c>
      <c r="AP8296" s="21" t="s">
        <v>951</v>
      </c>
    </row>
    <row r="8297" spans="1:42">
      <c r="A8297" s="20">
        <v>43858</v>
      </c>
      <c r="B8297" s="21">
        <v>2</v>
      </c>
      <c r="C8297" s="21">
        <v>217</v>
      </c>
      <c r="D8297" s="21">
        <v>14443</v>
      </c>
      <c r="E8297" s="21"/>
      <c r="F8297" s="21" t="s">
        <v>104</v>
      </c>
      <c r="G8297" s="21">
        <v>2</v>
      </c>
      <c r="H8297" s="21">
        <v>6</v>
      </c>
      <c r="I8297" s="23" t="s">
        <v>4497</v>
      </c>
      <c r="J8297" s="21"/>
      <c r="K8297" s="21" t="s">
        <v>414</v>
      </c>
      <c r="L8297" s="21" t="s">
        <v>114</v>
      </c>
      <c r="M8297" s="21"/>
      <c r="N8297" s="21" t="s">
        <v>40</v>
      </c>
      <c r="O8297" s="21">
        <v>83</v>
      </c>
      <c r="P8297" s="21"/>
      <c r="Q8297" s="21">
        <f t="shared" si="165"/>
        <v>2</v>
      </c>
      <c r="R8297" s="21">
        <v>1</v>
      </c>
      <c r="S8297" s="21">
        <v>0</v>
      </c>
      <c r="T8297" s="21">
        <v>0</v>
      </c>
      <c r="U8297" s="21">
        <v>1</v>
      </c>
      <c r="V8297" s="21">
        <v>0</v>
      </c>
      <c r="W8297" s="21">
        <v>1</v>
      </c>
      <c r="X8297" s="21">
        <v>0</v>
      </c>
      <c r="Y8297" s="21">
        <v>0</v>
      </c>
      <c r="Z8297" s="21">
        <v>0</v>
      </c>
      <c r="AA8297" s="21">
        <v>0</v>
      </c>
      <c r="AB8297" s="21">
        <v>0</v>
      </c>
      <c r="AC8297" s="21">
        <v>0</v>
      </c>
      <c r="AD8297" s="21">
        <v>0</v>
      </c>
      <c r="AE8297" s="21">
        <v>0</v>
      </c>
      <c r="AF8297" s="21">
        <v>0</v>
      </c>
      <c r="AG8297" s="21">
        <v>0</v>
      </c>
      <c r="AH8297" s="21">
        <f t="shared" si="166"/>
        <v>128</v>
      </c>
      <c r="AI8297" s="21"/>
      <c r="AJ8297" s="21" t="s">
        <v>51</v>
      </c>
      <c r="AK8297" s="21" t="s">
        <v>95</v>
      </c>
      <c r="AL8297" s="21"/>
      <c r="AM8297" s="21" t="s">
        <v>4709</v>
      </c>
      <c r="AN8297" s="21">
        <v>-122.42198639999999</v>
      </c>
      <c r="AO8297" s="21">
        <v>37.796636766666701</v>
      </c>
      <c r="AP8297" s="21" t="s">
        <v>951</v>
      </c>
    </row>
    <row r="8298" spans="1:42">
      <c r="A8298" s="20">
        <v>43858</v>
      </c>
      <c r="B8298" s="21">
        <v>2</v>
      </c>
      <c r="C8298" s="21">
        <v>217</v>
      </c>
      <c r="D8298" s="21">
        <v>14443</v>
      </c>
      <c r="E8298" s="21"/>
      <c r="F8298" s="21" t="s">
        <v>104</v>
      </c>
      <c r="G8298" s="21">
        <v>2</v>
      </c>
      <c r="H8298" s="21">
        <v>7</v>
      </c>
      <c r="I8298" s="23" t="s">
        <v>2831</v>
      </c>
      <c r="J8298" s="21"/>
      <c r="K8298" s="21" t="s">
        <v>414</v>
      </c>
      <c r="L8298" s="21" t="s">
        <v>114</v>
      </c>
      <c r="M8298" s="21"/>
      <c r="N8298" s="21" t="s">
        <v>40</v>
      </c>
      <c r="O8298" s="21">
        <v>28</v>
      </c>
      <c r="P8298" s="21"/>
      <c r="Q8298" s="21">
        <f t="shared" si="165"/>
        <v>1</v>
      </c>
      <c r="R8298" s="21">
        <v>1</v>
      </c>
      <c r="S8298" s="21">
        <v>0</v>
      </c>
      <c r="T8298" s="21">
        <v>0</v>
      </c>
      <c r="U8298" s="21">
        <v>0</v>
      </c>
      <c r="V8298" s="21">
        <v>1</v>
      </c>
      <c r="W8298" s="21">
        <v>0</v>
      </c>
      <c r="X8298" s="21">
        <v>0</v>
      </c>
      <c r="Y8298" s="21">
        <v>0</v>
      </c>
      <c r="Z8298" s="21">
        <v>0</v>
      </c>
      <c r="AA8298" s="21">
        <v>0</v>
      </c>
      <c r="AB8298" s="21">
        <v>0</v>
      </c>
      <c r="AC8298" s="21">
        <v>0</v>
      </c>
      <c r="AD8298" s="21">
        <v>0</v>
      </c>
      <c r="AE8298" s="21">
        <v>0</v>
      </c>
      <c r="AF8298" s="21">
        <v>0</v>
      </c>
      <c r="AG8298" s="21">
        <v>0</v>
      </c>
      <c r="AH8298" s="21">
        <f t="shared" si="166"/>
        <v>64</v>
      </c>
      <c r="AI8298" s="21"/>
      <c r="AJ8298" s="21" t="s">
        <v>51</v>
      </c>
      <c r="AK8298" s="21" t="s">
        <v>95</v>
      </c>
      <c r="AL8298" s="21"/>
      <c r="AM8298" s="21" t="s">
        <v>4710</v>
      </c>
      <c r="AN8298" s="21">
        <v>-122.422074866667</v>
      </c>
      <c r="AO8298" s="21">
        <v>37.797205949999999</v>
      </c>
      <c r="AP8298" s="21" t="s">
        <v>951</v>
      </c>
    </row>
    <row r="8299" spans="1:42">
      <c r="A8299" s="20">
        <v>43858</v>
      </c>
      <c r="B8299" s="21">
        <v>2</v>
      </c>
      <c r="C8299" s="21">
        <v>217</v>
      </c>
      <c r="D8299" s="21">
        <v>14443</v>
      </c>
      <c r="E8299" s="21"/>
      <c r="F8299" s="21" t="s">
        <v>104</v>
      </c>
      <c r="G8299" s="21">
        <v>2</v>
      </c>
      <c r="H8299" s="21">
        <v>8</v>
      </c>
      <c r="I8299" s="23" t="s">
        <v>4466</v>
      </c>
      <c r="J8299" s="21"/>
      <c r="K8299" s="21" t="s">
        <v>414</v>
      </c>
      <c r="L8299" s="21" t="s">
        <v>114</v>
      </c>
      <c r="M8299" s="21"/>
      <c r="N8299" s="21" t="s">
        <v>40</v>
      </c>
      <c r="O8299" s="21">
        <v>174</v>
      </c>
      <c r="P8299" s="21"/>
      <c r="Q8299" s="21">
        <f t="shared" si="165"/>
        <v>4</v>
      </c>
      <c r="R8299" s="21">
        <v>1</v>
      </c>
      <c r="S8299" s="21">
        <v>0</v>
      </c>
      <c r="T8299" s="21">
        <v>0</v>
      </c>
      <c r="U8299" s="21">
        <v>0</v>
      </c>
      <c r="V8299" s="21">
        <v>3</v>
      </c>
      <c r="W8299" s="21">
        <v>1</v>
      </c>
      <c r="X8299" s="21">
        <v>0</v>
      </c>
      <c r="Y8299" s="21">
        <v>0</v>
      </c>
      <c r="Z8299" s="21">
        <v>0</v>
      </c>
      <c r="AA8299" s="21">
        <v>0</v>
      </c>
      <c r="AB8299" s="21">
        <v>0</v>
      </c>
      <c r="AC8299" s="21">
        <v>0</v>
      </c>
      <c r="AD8299" s="21">
        <v>0</v>
      </c>
      <c r="AE8299" s="21">
        <v>0</v>
      </c>
      <c r="AF8299" s="21">
        <v>0</v>
      </c>
      <c r="AG8299" s="21">
        <v>0</v>
      </c>
      <c r="AH8299" s="21">
        <f t="shared" si="166"/>
        <v>288</v>
      </c>
      <c r="AI8299" s="21"/>
      <c r="AJ8299" s="21" t="s">
        <v>51</v>
      </c>
      <c r="AK8299" s="21" t="s">
        <v>95</v>
      </c>
      <c r="AL8299" s="21" t="s">
        <v>4711</v>
      </c>
      <c r="AM8299" s="21" t="s">
        <v>4712</v>
      </c>
      <c r="AN8299" s="21">
        <v>-122.42215256666699</v>
      </c>
      <c r="AO8299" s="21">
        <v>37.797443333333298</v>
      </c>
      <c r="AP8299" s="21" t="s">
        <v>951</v>
      </c>
    </row>
    <row r="8300" spans="1:42">
      <c r="A8300" s="20">
        <v>43858</v>
      </c>
      <c r="B8300" s="21">
        <v>2</v>
      </c>
      <c r="C8300" s="21">
        <v>217</v>
      </c>
      <c r="D8300" s="21">
        <v>14443</v>
      </c>
      <c r="E8300" s="21"/>
      <c r="F8300" s="21" t="s">
        <v>104</v>
      </c>
      <c r="G8300" s="21">
        <v>2</v>
      </c>
      <c r="H8300" s="21">
        <v>9</v>
      </c>
      <c r="I8300" s="23" t="s">
        <v>2536</v>
      </c>
      <c r="J8300" s="21"/>
      <c r="K8300" s="21" t="s">
        <v>414</v>
      </c>
      <c r="L8300" s="21"/>
      <c r="M8300" s="21"/>
      <c r="N8300" s="21" t="s">
        <v>40</v>
      </c>
      <c r="O8300" s="21">
        <v>143</v>
      </c>
      <c r="P8300" s="21"/>
      <c r="Q8300" s="21">
        <f t="shared" si="165"/>
        <v>4</v>
      </c>
      <c r="R8300" s="21">
        <v>1</v>
      </c>
      <c r="S8300" s="21">
        <v>0</v>
      </c>
      <c r="T8300" s="21">
        <v>0</v>
      </c>
      <c r="U8300" s="21">
        <v>1</v>
      </c>
      <c r="V8300" s="21">
        <v>3</v>
      </c>
      <c r="W8300" s="21">
        <v>0</v>
      </c>
      <c r="X8300" s="21">
        <v>0</v>
      </c>
      <c r="Y8300" s="21">
        <v>0</v>
      </c>
      <c r="Z8300" s="21">
        <v>0</v>
      </c>
      <c r="AA8300" s="21">
        <v>0</v>
      </c>
      <c r="AB8300" s="21">
        <v>0</v>
      </c>
      <c r="AC8300" s="21">
        <v>0</v>
      </c>
      <c r="AD8300" s="21">
        <v>0</v>
      </c>
      <c r="AE8300" s="21">
        <v>0</v>
      </c>
      <c r="AF8300" s="21">
        <v>0</v>
      </c>
      <c r="AG8300" s="21">
        <v>0</v>
      </c>
      <c r="AH8300" s="21">
        <f t="shared" si="166"/>
        <v>224</v>
      </c>
      <c r="AI8300" s="21"/>
      <c r="AJ8300" s="21" t="s">
        <v>51</v>
      </c>
      <c r="AK8300" s="21" t="s">
        <v>95</v>
      </c>
      <c r="AL8300" s="21"/>
      <c r="AM8300" s="21" t="s">
        <v>4713</v>
      </c>
      <c r="AN8300" s="21">
        <v>-122.422185716667</v>
      </c>
      <c r="AO8300" s="21">
        <v>37.798051316666701</v>
      </c>
      <c r="AP8300" s="21" t="s">
        <v>951</v>
      </c>
    </row>
    <row r="8301" spans="1:42">
      <c r="A8301" s="20">
        <v>43858</v>
      </c>
      <c r="B8301" s="21">
        <v>2</v>
      </c>
      <c r="C8301" s="21">
        <v>217</v>
      </c>
      <c r="D8301" s="21">
        <v>14443</v>
      </c>
      <c r="E8301" s="21"/>
      <c r="F8301" s="21" t="s">
        <v>104</v>
      </c>
      <c r="G8301" s="21">
        <v>2</v>
      </c>
      <c r="H8301" s="21">
        <v>10</v>
      </c>
      <c r="I8301" s="23" t="s">
        <v>2877</v>
      </c>
      <c r="J8301" s="21"/>
      <c r="K8301" s="21" t="s">
        <v>414</v>
      </c>
      <c r="L8301" s="21" t="s">
        <v>114</v>
      </c>
      <c r="M8301" s="21"/>
      <c r="N8301" s="21" t="s">
        <v>40</v>
      </c>
      <c r="O8301" s="21">
        <v>32</v>
      </c>
      <c r="P8301" s="21"/>
      <c r="Q8301" s="21">
        <f t="shared" si="165"/>
        <v>1</v>
      </c>
      <c r="R8301" s="21">
        <v>1</v>
      </c>
      <c r="S8301" s="21">
        <v>0</v>
      </c>
      <c r="T8301" s="21">
        <v>0</v>
      </c>
      <c r="U8301" s="21">
        <v>0</v>
      </c>
      <c r="V8301" s="21">
        <v>1</v>
      </c>
      <c r="W8301" s="21">
        <v>0</v>
      </c>
      <c r="X8301" s="21">
        <v>0</v>
      </c>
      <c r="Y8301" s="21">
        <v>0</v>
      </c>
      <c r="Z8301" s="21">
        <v>0</v>
      </c>
      <c r="AA8301" s="21">
        <v>0</v>
      </c>
      <c r="AB8301" s="21">
        <v>0</v>
      </c>
      <c r="AC8301" s="21">
        <v>0</v>
      </c>
      <c r="AD8301" s="21">
        <v>0</v>
      </c>
      <c r="AE8301" s="21">
        <v>0</v>
      </c>
      <c r="AF8301" s="21">
        <v>0</v>
      </c>
      <c r="AG8301" s="21">
        <v>0</v>
      </c>
      <c r="AH8301" s="21">
        <f t="shared" si="166"/>
        <v>64</v>
      </c>
      <c r="AI8301" s="21"/>
      <c r="AJ8301" s="21" t="s">
        <v>51</v>
      </c>
      <c r="AK8301" s="21" t="s">
        <v>95</v>
      </c>
      <c r="AL8301" s="21"/>
      <c r="AM8301" s="21" t="s">
        <v>4714</v>
      </c>
      <c r="AN8301" s="21">
        <v>-122.4223363</v>
      </c>
      <c r="AO8301" s="21">
        <v>37.798496766666702</v>
      </c>
      <c r="AP8301" s="21" t="s">
        <v>951</v>
      </c>
    </row>
    <row r="8302" spans="1:42">
      <c r="A8302" s="20">
        <v>43858</v>
      </c>
      <c r="B8302" s="21">
        <v>2</v>
      </c>
      <c r="C8302" s="21">
        <v>217</v>
      </c>
      <c r="D8302" s="21">
        <v>14443</v>
      </c>
      <c r="E8302" s="21"/>
      <c r="F8302" s="21" t="s">
        <v>104</v>
      </c>
      <c r="G8302" s="21">
        <v>2</v>
      </c>
      <c r="H8302" s="21">
        <v>11</v>
      </c>
      <c r="I8302" s="23" t="s">
        <v>4715</v>
      </c>
      <c r="J8302" s="21"/>
      <c r="K8302" s="21" t="s">
        <v>414</v>
      </c>
      <c r="L8302" s="21" t="s">
        <v>114</v>
      </c>
      <c r="M8302" s="21"/>
      <c r="N8302" s="21" t="s">
        <v>40</v>
      </c>
      <c r="O8302" s="21">
        <v>35</v>
      </c>
      <c r="P8302" s="21"/>
      <c r="Q8302" s="21">
        <f t="shared" si="165"/>
        <v>1</v>
      </c>
      <c r="R8302" s="21">
        <v>1</v>
      </c>
      <c r="S8302" s="21">
        <v>0</v>
      </c>
      <c r="T8302" s="21">
        <v>0</v>
      </c>
      <c r="U8302" s="21">
        <v>1</v>
      </c>
      <c r="V8302" s="21">
        <v>0</v>
      </c>
      <c r="W8302" s="21">
        <v>0</v>
      </c>
      <c r="X8302" s="21">
        <v>0</v>
      </c>
      <c r="Y8302" s="21">
        <v>0</v>
      </c>
      <c r="Z8302" s="21">
        <v>0</v>
      </c>
      <c r="AA8302" s="21">
        <v>0</v>
      </c>
      <c r="AB8302" s="21">
        <v>0</v>
      </c>
      <c r="AC8302" s="21">
        <v>0</v>
      </c>
      <c r="AD8302" s="21">
        <v>0</v>
      </c>
      <c r="AE8302" s="21">
        <v>0</v>
      </c>
      <c r="AF8302" s="21">
        <v>0</v>
      </c>
      <c r="AG8302" s="21">
        <v>0</v>
      </c>
      <c r="AH8302" s="21">
        <f t="shared" si="166"/>
        <v>32</v>
      </c>
      <c r="AI8302" s="21"/>
      <c r="AJ8302" s="21" t="s">
        <v>51</v>
      </c>
      <c r="AK8302" s="21" t="s">
        <v>95</v>
      </c>
      <c r="AL8302" s="21"/>
      <c r="AM8302" s="21" t="s">
        <v>4716</v>
      </c>
      <c r="AN8302" s="21">
        <v>-122.42243228333299</v>
      </c>
      <c r="AO8302" s="21">
        <v>37.798595166666701</v>
      </c>
      <c r="AP8302" s="21" t="s">
        <v>951</v>
      </c>
    </row>
    <row r="8303" spans="1:42">
      <c r="A8303" s="20">
        <v>43858</v>
      </c>
      <c r="B8303" s="21">
        <v>2</v>
      </c>
      <c r="C8303" s="21">
        <v>217</v>
      </c>
      <c r="D8303" s="21">
        <v>14443</v>
      </c>
      <c r="E8303" s="21"/>
      <c r="F8303" s="21" t="s">
        <v>104</v>
      </c>
      <c r="G8303" s="21">
        <v>2</v>
      </c>
      <c r="H8303" s="21">
        <v>12</v>
      </c>
      <c r="I8303" s="23" t="s">
        <v>4717</v>
      </c>
      <c r="J8303" s="21"/>
      <c r="K8303" s="21" t="s">
        <v>414</v>
      </c>
      <c r="L8303" s="21" t="s">
        <v>114</v>
      </c>
      <c r="M8303" s="21"/>
      <c r="N8303" s="21" t="s">
        <v>40</v>
      </c>
      <c r="O8303" s="21">
        <v>32</v>
      </c>
      <c r="P8303" s="21"/>
      <c r="Q8303" s="21">
        <f t="shared" si="165"/>
        <v>1</v>
      </c>
      <c r="R8303" s="21">
        <v>1</v>
      </c>
      <c r="S8303" s="21">
        <v>0</v>
      </c>
      <c r="T8303" s="21">
        <v>0</v>
      </c>
      <c r="U8303" s="21">
        <v>0</v>
      </c>
      <c r="V8303" s="21">
        <v>0</v>
      </c>
      <c r="W8303" s="21">
        <v>0</v>
      </c>
      <c r="X8303" s="21">
        <v>1</v>
      </c>
      <c r="Y8303" s="21">
        <v>0</v>
      </c>
      <c r="Z8303" s="21">
        <v>0</v>
      </c>
      <c r="AA8303" s="21">
        <v>0</v>
      </c>
      <c r="AB8303" s="21">
        <v>0</v>
      </c>
      <c r="AC8303" s="21">
        <v>0</v>
      </c>
      <c r="AD8303" s="21">
        <v>0</v>
      </c>
      <c r="AE8303" s="21">
        <v>0</v>
      </c>
      <c r="AF8303" s="21">
        <v>0</v>
      </c>
      <c r="AG8303" s="21">
        <v>0</v>
      </c>
      <c r="AH8303" s="21">
        <f t="shared" si="166"/>
        <v>0</v>
      </c>
      <c r="AI8303" s="21"/>
      <c r="AJ8303" s="21" t="s">
        <v>51</v>
      </c>
      <c r="AK8303" s="21" t="s">
        <v>95</v>
      </c>
      <c r="AL8303" s="21" t="s">
        <v>4718</v>
      </c>
      <c r="AM8303" s="21" t="s">
        <v>4719</v>
      </c>
      <c r="AN8303" s="21">
        <v>-122.422389966667</v>
      </c>
      <c r="AO8303" s="21">
        <v>37.798718316666701</v>
      </c>
      <c r="AP8303" s="21" t="s">
        <v>951</v>
      </c>
    </row>
    <row r="8304" spans="1:42">
      <c r="A8304" s="20">
        <v>43858</v>
      </c>
      <c r="B8304" s="21">
        <v>2</v>
      </c>
      <c r="C8304" s="21">
        <v>217</v>
      </c>
      <c r="D8304" s="21">
        <v>14443</v>
      </c>
      <c r="E8304" s="21"/>
      <c r="F8304" s="21" t="s">
        <v>104</v>
      </c>
      <c r="G8304" s="21">
        <v>2</v>
      </c>
      <c r="H8304" s="21">
        <v>13</v>
      </c>
      <c r="I8304" s="23" t="s">
        <v>2164</v>
      </c>
      <c r="J8304" s="21"/>
      <c r="K8304" s="21" t="s">
        <v>414</v>
      </c>
      <c r="L8304" s="21" t="s">
        <v>114</v>
      </c>
      <c r="M8304" s="21"/>
      <c r="N8304" s="21" t="s">
        <v>40</v>
      </c>
      <c r="O8304" s="21">
        <v>44</v>
      </c>
      <c r="P8304" s="21"/>
      <c r="Q8304" s="21">
        <f t="shared" si="165"/>
        <v>2</v>
      </c>
      <c r="R8304" s="21">
        <v>1</v>
      </c>
      <c r="S8304" s="21">
        <v>0</v>
      </c>
      <c r="T8304" s="21">
        <v>0</v>
      </c>
      <c r="U8304" s="21">
        <v>2</v>
      </c>
      <c r="V8304" s="21">
        <v>0</v>
      </c>
      <c r="W8304" s="21">
        <v>0</v>
      </c>
      <c r="X8304" s="21">
        <v>0</v>
      </c>
      <c r="Y8304" s="21">
        <v>0</v>
      </c>
      <c r="Z8304" s="21">
        <v>0</v>
      </c>
      <c r="AA8304" s="21">
        <v>0</v>
      </c>
      <c r="AB8304" s="21">
        <v>0</v>
      </c>
      <c r="AC8304" s="21">
        <v>0</v>
      </c>
      <c r="AD8304" s="21">
        <v>0</v>
      </c>
      <c r="AE8304" s="21">
        <v>0</v>
      </c>
      <c r="AF8304" s="21">
        <v>0</v>
      </c>
      <c r="AG8304" s="21">
        <v>0</v>
      </c>
      <c r="AH8304" s="21">
        <f t="shared" si="166"/>
        <v>64</v>
      </c>
      <c r="AI8304" s="21"/>
      <c r="AJ8304" s="21" t="s">
        <v>51</v>
      </c>
      <c r="AK8304" s="21" t="s">
        <v>95</v>
      </c>
      <c r="AL8304" s="21"/>
      <c r="AM8304" s="21" t="s">
        <v>4720</v>
      </c>
      <c r="AN8304" s="21">
        <v>-122.42241035000001</v>
      </c>
      <c r="AO8304" s="21">
        <v>37.7989696</v>
      </c>
      <c r="AP8304" s="21" t="s">
        <v>951</v>
      </c>
    </row>
    <row r="8305" spans="1:42">
      <c r="A8305" s="20">
        <v>43858</v>
      </c>
      <c r="B8305" s="21">
        <v>2</v>
      </c>
      <c r="C8305" s="21">
        <v>217</v>
      </c>
      <c r="D8305" s="21">
        <v>14443</v>
      </c>
      <c r="E8305" s="21"/>
      <c r="F8305" s="21" t="s">
        <v>104</v>
      </c>
      <c r="G8305" s="21">
        <v>2</v>
      </c>
      <c r="H8305" s="21">
        <v>14</v>
      </c>
      <c r="I8305" s="23" t="s">
        <v>3968</v>
      </c>
      <c r="J8305" s="21"/>
      <c r="K8305" s="21" t="s">
        <v>414</v>
      </c>
      <c r="L8305" s="21"/>
      <c r="M8305" s="21"/>
      <c r="N8305" s="21" t="s">
        <v>44</v>
      </c>
      <c r="O8305" s="21">
        <v>78</v>
      </c>
      <c r="P8305" s="21"/>
      <c r="Q8305" s="21">
        <f t="shared" si="165"/>
        <v>1</v>
      </c>
      <c r="R8305" s="21">
        <v>1</v>
      </c>
      <c r="S8305" s="21">
        <v>0</v>
      </c>
      <c r="T8305" s="21">
        <v>0</v>
      </c>
      <c r="U8305" s="21">
        <v>0</v>
      </c>
      <c r="V8305" s="21">
        <v>0</v>
      </c>
      <c r="W8305" s="21">
        <v>1</v>
      </c>
      <c r="X8305" s="21">
        <v>0</v>
      </c>
      <c r="Y8305" s="21">
        <v>0</v>
      </c>
      <c r="Z8305" s="21">
        <v>0</v>
      </c>
      <c r="AA8305" s="21">
        <v>0</v>
      </c>
      <c r="AB8305" s="21">
        <v>0</v>
      </c>
      <c r="AC8305" s="21">
        <v>0</v>
      </c>
      <c r="AD8305" s="21">
        <v>0</v>
      </c>
      <c r="AE8305" s="21">
        <v>0</v>
      </c>
      <c r="AF8305" s="21">
        <v>0</v>
      </c>
      <c r="AG8305" s="21">
        <v>0</v>
      </c>
      <c r="AH8305" s="21">
        <f t="shared" si="166"/>
        <v>96</v>
      </c>
      <c r="AI8305" s="21"/>
      <c r="AJ8305" s="21" t="s">
        <v>51</v>
      </c>
      <c r="AK8305" s="21" t="s">
        <v>95</v>
      </c>
      <c r="AL8305" s="21" t="s">
        <v>4721</v>
      </c>
      <c r="AM8305" s="21" t="s">
        <v>4722</v>
      </c>
      <c r="AN8305" s="21">
        <v>-122.4224877</v>
      </c>
      <c r="AO8305" s="21">
        <v>37.799089283333402</v>
      </c>
      <c r="AP8305" s="21" t="s">
        <v>951</v>
      </c>
    </row>
    <row r="8306" spans="1:42">
      <c r="A8306" s="20">
        <v>43858</v>
      </c>
      <c r="B8306" s="21">
        <v>2</v>
      </c>
      <c r="C8306" s="21">
        <v>217</v>
      </c>
      <c r="D8306" s="21">
        <v>14443</v>
      </c>
      <c r="E8306" s="21"/>
      <c r="F8306" s="21" t="s">
        <v>104</v>
      </c>
      <c r="G8306" s="21">
        <v>2</v>
      </c>
      <c r="H8306" s="21">
        <v>15</v>
      </c>
      <c r="I8306" s="23" t="s">
        <v>2962</v>
      </c>
      <c r="J8306" s="21"/>
      <c r="K8306" s="21" t="s">
        <v>414</v>
      </c>
      <c r="L8306" s="21" t="s">
        <v>114</v>
      </c>
      <c r="M8306" s="21"/>
      <c r="N8306" s="21" t="s">
        <v>40</v>
      </c>
      <c r="O8306" s="21">
        <v>45</v>
      </c>
      <c r="P8306" s="21"/>
      <c r="Q8306" s="21">
        <f t="shared" si="165"/>
        <v>3</v>
      </c>
      <c r="R8306" s="21">
        <v>1</v>
      </c>
      <c r="S8306" s="21">
        <v>0</v>
      </c>
      <c r="T8306" s="21">
        <v>0</v>
      </c>
      <c r="U8306" s="21">
        <v>3</v>
      </c>
      <c r="V8306" s="21">
        <v>0</v>
      </c>
      <c r="W8306" s="21">
        <v>0</v>
      </c>
      <c r="X8306" s="21">
        <v>0</v>
      </c>
      <c r="Y8306" s="21">
        <v>0</v>
      </c>
      <c r="Z8306" s="21">
        <v>0</v>
      </c>
      <c r="AA8306" s="21">
        <v>0</v>
      </c>
      <c r="AB8306" s="21">
        <v>0</v>
      </c>
      <c r="AC8306" s="21">
        <v>0</v>
      </c>
      <c r="AD8306" s="21">
        <v>0</v>
      </c>
      <c r="AE8306" s="21">
        <v>0</v>
      </c>
      <c r="AF8306" s="21">
        <v>0</v>
      </c>
      <c r="AG8306" s="21">
        <v>0</v>
      </c>
      <c r="AH8306" s="21">
        <f t="shared" si="166"/>
        <v>96</v>
      </c>
      <c r="AI8306" s="21"/>
      <c r="AJ8306" s="21" t="s">
        <v>51</v>
      </c>
      <c r="AK8306" s="21" t="s">
        <v>95</v>
      </c>
      <c r="AL8306" s="21"/>
      <c r="AM8306" s="21" t="s">
        <v>4723</v>
      </c>
      <c r="AN8306" s="21">
        <v>-122.422448266667</v>
      </c>
      <c r="AO8306" s="21">
        <v>37.799203650000003</v>
      </c>
      <c r="AP8306" s="21" t="s">
        <v>951</v>
      </c>
    </row>
    <row r="8307" spans="1:42">
      <c r="A8307" s="20">
        <v>43858</v>
      </c>
      <c r="B8307" s="21">
        <v>2</v>
      </c>
      <c r="C8307" s="21">
        <v>217</v>
      </c>
      <c r="D8307" s="21">
        <v>14443</v>
      </c>
      <c r="E8307" s="21"/>
      <c r="F8307" s="21" t="s">
        <v>104</v>
      </c>
      <c r="G8307" s="21">
        <v>2</v>
      </c>
      <c r="H8307" s="21">
        <v>16</v>
      </c>
      <c r="I8307" s="23" t="s">
        <v>4724</v>
      </c>
      <c r="J8307" s="21"/>
      <c r="K8307" s="21" t="s">
        <v>414</v>
      </c>
      <c r="L8307" s="21" t="s">
        <v>114</v>
      </c>
      <c r="M8307" s="21"/>
      <c r="N8307" s="21" t="s">
        <v>40</v>
      </c>
      <c r="O8307" s="21">
        <v>129</v>
      </c>
      <c r="P8307" s="21"/>
      <c r="Q8307" s="21">
        <f t="shared" si="165"/>
        <v>6</v>
      </c>
      <c r="R8307" s="21">
        <v>1</v>
      </c>
      <c r="S8307" s="21">
        <v>0</v>
      </c>
      <c r="T8307" s="21">
        <v>0</v>
      </c>
      <c r="U8307" s="21">
        <v>6</v>
      </c>
      <c r="V8307" s="21">
        <v>0</v>
      </c>
      <c r="W8307" s="21">
        <v>0</v>
      </c>
      <c r="X8307" s="21">
        <v>0</v>
      </c>
      <c r="Y8307" s="21">
        <v>0</v>
      </c>
      <c r="Z8307" s="21">
        <v>0</v>
      </c>
      <c r="AA8307" s="21">
        <v>0</v>
      </c>
      <c r="AB8307" s="21">
        <v>0</v>
      </c>
      <c r="AC8307" s="21">
        <v>0</v>
      </c>
      <c r="AD8307" s="21">
        <v>0</v>
      </c>
      <c r="AE8307" s="21">
        <v>0</v>
      </c>
      <c r="AF8307" s="21">
        <v>0</v>
      </c>
      <c r="AG8307" s="21">
        <v>0</v>
      </c>
      <c r="AH8307" s="21">
        <f t="shared" si="166"/>
        <v>192</v>
      </c>
      <c r="AI8307" s="21"/>
      <c r="AJ8307" s="21" t="s">
        <v>51</v>
      </c>
      <c r="AK8307" s="21" t="s">
        <v>95</v>
      </c>
      <c r="AL8307" s="21"/>
      <c r="AM8307" s="21" t="s">
        <v>4725</v>
      </c>
      <c r="AN8307" s="21">
        <v>-122.422524183333</v>
      </c>
      <c r="AO8307" s="21">
        <v>37.799331033333303</v>
      </c>
      <c r="AP8307" s="21" t="s">
        <v>951</v>
      </c>
    </row>
    <row r="8308" spans="1:42">
      <c r="A8308" s="20">
        <v>43858</v>
      </c>
      <c r="B8308" s="21">
        <v>2</v>
      </c>
      <c r="C8308" s="21">
        <v>217</v>
      </c>
      <c r="D8308" s="21">
        <v>14443</v>
      </c>
      <c r="E8308" s="21"/>
      <c r="F8308" s="21" t="s">
        <v>104</v>
      </c>
      <c r="G8308" s="21">
        <v>2</v>
      </c>
      <c r="H8308" s="21">
        <v>17</v>
      </c>
      <c r="I8308" s="23" t="s">
        <v>4726</v>
      </c>
      <c r="J8308" s="21"/>
      <c r="K8308" s="21" t="s">
        <v>414</v>
      </c>
      <c r="L8308" s="21" t="s">
        <v>114</v>
      </c>
      <c r="M8308" s="21"/>
      <c r="N8308" s="21" t="s">
        <v>42</v>
      </c>
      <c r="O8308" s="21">
        <v>234</v>
      </c>
      <c r="P8308" s="21"/>
      <c r="Q8308" s="21">
        <f t="shared" si="165"/>
        <v>4</v>
      </c>
      <c r="R8308" s="21">
        <v>1</v>
      </c>
      <c r="S8308" s="21">
        <v>0</v>
      </c>
      <c r="T8308" s="21">
        <v>0</v>
      </c>
      <c r="U8308" s="21">
        <v>2</v>
      </c>
      <c r="V8308" s="21">
        <v>1</v>
      </c>
      <c r="W8308" s="21">
        <v>1</v>
      </c>
      <c r="X8308" s="21">
        <v>0</v>
      </c>
      <c r="Y8308" s="21">
        <v>0</v>
      </c>
      <c r="Z8308" s="21">
        <v>0</v>
      </c>
      <c r="AA8308" s="21">
        <v>0</v>
      </c>
      <c r="AB8308" s="21">
        <v>0</v>
      </c>
      <c r="AC8308" s="21">
        <v>0</v>
      </c>
      <c r="AD8308" s="21">
        <v>0</v>
      </c>
      <c r="AE8308" s="21">
        <v>0</v>
      </c>
      <c r="AF8308" s="21">
        <v>1</v>
      </c>
      <c r="AG8308" s="21">
        <v>0</v>
      </c>
      <c r="AH8308" s="21">
        <f t="shared" si="166"/>
        <v>224</v>
      </c>
      <c r="AI8308" s="21"/>
      <c r="AJ8308" s="21" t="s">
        <v>51</v>
      </c>
      <c r="AK8308" s="21" t="s">
        <v>95</v>
      </c>
      <c r="AL8308" s="21" t="s">
        <v>4727</v>
      </c>
      <c r="AM8308" s="21" t="s">
        <v>4728</v>
      </c>
      <c r="AN8308" s="21">
        <v>-122.42258218333301</v>
      </c>
      <c r="AO8308" s="21">
        <v>37.799441166666597</v>
      </c>
      <c r="AP8308" s="21" t="s">
        <v>951</v>
      </c>
    </row>
    <row r="8309" spans="1:42">
      <c r="A8309" s="20">
        <v>43858</v>
      </c>
      <c r="B8309" s="21">
        <v>2</v>
      </c>
      <c r="C8309" s="21">
        <v>217</v>
      </c>
      <c r="D8309" s="21">
        <v>14443</v>
      </c>
      <c r="E8309" s="21"/>
      <c r="F8309" s="21" t="s">
        <v>104</v>
      </c>
      <c r="G8309" s="21">
        <v>2</v>
      </c>
      <c r="H8309" s="21">
        <v>18</v>
      </c>
      <c r="I8309" s="23" t="s">
        <v>4729</v>
      </c>
      <c r="J8309" s="21"/>
      <c r="K8309" s="21" t="s">
        <v>414</v>
      </c>
      <c r="L8309" s="21" t="s">
        <v>114</v>
      </c>
      <c r="M8309" s="21"/>
      <c r="N8309" s="21" t="s">
        <v>42</v>
      </c>
      <c r="O8309" s="21">
        <v>109</v>
      </c>
      <c r="P8309" s="21"/>
      <c r="Q8309" s="21">
        <f t="shared" si="165"/>
        <v>3</v>
      </c>
      <c r="R8309" s="21">
        <v>1</v>
      </c>
      <c r="S8309" s="21">
        <v>0</v>
      </c>
      <c r="T8309" s="21">
        <v>0</v>
      </c>
      <c r="U8309" s="21">
        <v>0</v>
      </c>
      <c r="V8309" s="21">
        <v>0</v>
      </c>
      <c r="W8309" s="21">
        <v>1</v>
      </c>
      <c r="X8309" s="21">
        <v>2</v>
      </c>
      <c r="Y8309" s="21">
        <v>0</v>
      </c>
      <c r="Z8309" s="21">
        <v>0</v>
      </c>
      <c r="AA8309" s="21">
        <v>0</v>
      </c>
      <c r="AB8309" s="21">
        <v>0</v>
      </c>
      <c r="AC8309" s="21">
        <v>0</v>
      </c>
      <c r="AD8309" s="21">
        <v>0</v>
      </c>
      <c r="AE8309" s="21">
        <v>0</v>
      </c>
      <c r="AF8309" s="21">
        <v>0</v>
      </c>
      <c r="AG8309" s="21">
        <v>0</v>
      </c>
      <c r="AH8309" s="21">
        <f t="shared" si="166"/>
        <v>96</v>
      </c>
      <c r="AI8309" s="21"/>
      <c r="AJ8309" s="21" t="s">
        <v>51</v>
      </c>
      <c r="AK8309" s="21" t="s">
        <v>95</v>
      </c>
      <c r="AL8309" s="21" t="s">
        <v>4718</v>
      </c>
      <c r="AM8309" s="21" t="s">
        <v>4730</v>
      </c>
      <c r="AN8309" s="21">
        <v>-122.422474583333</v>
      </c>
      <c r="AO8309" s="21">
        <v>37.799521233333301</v>
      </c>
      <c r="AP8309" s="21" t="s">
        <v>951</v>
      </c>
    </row>
    <row r="8310" spans="1:42">
      <c r="A8310" s="20">
        <v>43858</v>
      </c>
      <c r="B8310" s="21">
        <v>2</v>
      </c>
      <c r="C8310" s="21">
        <v>217</v>
      </c>
      <c r="D8310" s="21">
        <v>14443</v>
      </c>
      <c r="E8310" s="21"/>
      <c r="F8310" s="21" t="s">
        <v>104</v>
      </c>
      <c r="G8310" s="21">
        <v>2</v>
      </c>
      <c r="H8310" s="21">
        <v>19</v>
      </c>
      <c r="I8310" s="23" t="s">
        <v>2946</v>
      </c>
      <c r="J8310" s="21"/>
      <c r="K8310" s="21" t="s">
        <v>414</v>
      </c>
      <c r="L8310" s="21"/>
      <c r="M8310" s="21"/>
      <c r="N8310" s="21" t="s">
        <v>44</v>
      </c>
      <c r="O8310" s="21">
        <v>140</v>
      </c>
      <c r="P8310" s="21"/>
      <c r="Q8310" s="21">
        <f t="shared" si="165"/>
        <v>1</v>
      </c>
      <c r="R8310" s="21">
        <v>1</v>
      </c>
      <c r="S8310" s="21">
        <v>0</v>
      </c>
      <c r="T8310" s="21">
        <v>0</v>
      </c>
      <c r="U8310" s="21">
        <v>0</v>
      </c>
      <c r="V8310" s="21">
        <v>0</v>
      </c>
      <c r="W8310" s="21">
        <v>1</v>
      </c>
      <c r="X8310" s="21">
        <v>0</v>
      </c>
      <c r="Y8310" s="21">
        <v>0</v>
      </c>
      <c r="Z8310" s="21">
        <v>0</v>
      </c>
      <c r="AA8310" s="21">
        <v>0</v>
      </c>
      <c r="AB8310" s="21">
        <v>0</v>
      </c>
      <c r="AC8310" s="21">
        <v>0</v>
      </c>
      <c r="AD8310" s="21">
        <v>0</v>
      </c>
      <c r="AE8310" s="21">
        <v>0</v>
      </c>
      <c r="AF8310" s="21">
        <v>0</v>
      </c>
      <c r="AG8310" s="21">
        <v>0</v>
      </c>
      <c r="AH8310" s="21">
        <f t="shared" si="166"/>
        <v>96</v>
      </c>
      <c r="AI8310" s="21"/>
      <c r="AJ8310" s="21" t="s">
        <v>51</v>
      </c>
      <c r="AK8310" s="21" t="s">
        <v>95</v>
      </c>
      <c r="AL8310" s="21" t="s">
        <v>1393</v>
      </c>
      <c r="AM8310" s="21" t="s">
        <v>4731</v>
      </c>
      <c r="AN8310" s="21">
        <v>-122.421148166667</v>
      </c>
      <c r="AO8310" s="21">
        <v>37.799768916666601</v>
      </c>
      <c r="AP8310" s="21" t="s">
        <v>951</v>
      </c>
    </row>
    <row r="8311" spans="1:42">
      <c r="A8311" s="20">
        <v>43858</v>
      </c>
      <c r="B8311" s="21">
        <v>2</v>
      </c>
      <c r="C8311" s="21">
        <v>217</v>
      </c>
      <c r="D8311" s="21">
        <v>14443</v>
      </c>
      <c r="E8311" s="21"/>
      <c r="F8311" s="21" t="s">
        <v>104</v>
      </c>
      <c r="G8311" s="21">
        <v>2</v>
      </c>
      <c r="H8311" s="21">
        <v>20</v>
      </c>
      <c r="I8311" s="23" t="s">
        <v>4732</v>
      </c>
      <c r="J8311" s="21"/>
      <c r="K8311" s="21" t="s">
        <v>414</v>
      </c>
      <c r="L8311" s="21"/>
      <c r="M8311" s="21"/>
      <c r="N8311" s="21" t="s">
        <v>44</v>
      </c>
      <c r="O8311" s="21">
        <v>108</v>
      </c>
      <c r="P8311" s="21"/>
      <c r="Q8311" s="21">
        <f t="shared" si="165"/>
        <v>1</v>
      </c>
      <c r="R8311" s="21">
        <v>1</v>
      </c>
      <c r="S8311" s="21">
        <v>0</v>
      </c>
      <c r="T8311" s="21">
        <v>0</v>
      </c>
      <c r="U8311" s="21">
        <v>0</v>
      </c>
      <c r="V8311" s="21">
        <v>0</v>
      </c>
      <c r="W8311" s="21">
        <v>1</v>
      </c>
      <c r="X8311" s="21">
        <v>0</v>
      </c>
      <c r="Y8311" s="21">
        <v>0</v>
      </c>
      <c r="Z8311" s="21">
        <v>0</v>
      </c>
      <c r="AA8311" s="21">
        <v>0</v>
      </c>
      <c r="AB8311" s="21">
        <v>0</v>
      </c>
      <c r="AC8311" s="21">
        <v>0</v>
      </c>
      <c r="AD8311" s="21">
        <v>0</v>
      </c>
      <c r="AE8311" s="21">
        <v>0</v>
      </c>
      <c r="AF8311" s="21">
        <v>0</v>
      </c>
      <c r="AG8311" s="21">
        <v>0</v>
      </c>
      <c r="AH8311" s="21">
        <f t="shared" si="166"/>
        <v>96</v>
      </c>
      <c r="AI8311" s="21"/>
      <c r="AJ8311" s="21" t="s">
        <v>51</v>
      </c>
      <c r="AK8311" s="21" t="s">
        <v>95</v>
      </c>
      <c r="AL8311" s="21" t="s">
        <v>1457</v>
      </c>
      <c r="AM8311" s="21" t="s">
        <v>4733</v>
      </c>
      <c r="AN8311" s="21">
        <v>-122.422467316667</v>
      </c>
      <c r="AO8311" s="21">
        <v>37.799294666666597</v>
      </c>
      <c r="AP8311" s="21" t="s">
        <v>951</v>
      </c>
    </row>
    <row r="8312" spans="1:42">
      <c r="A8312" s="20">
        <v>43858</v>
      </c>
      <c r="B8312" s="21">
        <v>2</v>
      </c>
      <c r="C8312" s="21">
        <v>217</v>
      </c>
      <c r="D8312" s="21">
        <v>14443</v>
      </c>
      <c r="E8312" s="21"/>
      <c r="F8312" s="21" t="s">
        <v>104</v>
      </c>
      <c r="G8312" s="21">
        <v>2</v>
      </c>
      <c r="H8312" s="21">
        <v>21</v>
      </c>
      <c r="I8312" s="23" t="s">
        <v>3980</v>
      </c>
      <c r="J8312" s="21"/>
      <c r="K8312" s="21" t="s">
        <v>414</v>
      </c>
      <c r="L8312" s="21" t="s">
        <v>141</v>
      </c>
      <c r="M8312" s="21"/>
      <c r="N8312" s="21" t="s">
        <v>40</v>
      </c>
      <c r="O8312" s="21">
        <v>65</v>
      </c>
      <c r="P8312" s="21"/>
      <c r="Q8312" s="21">
        <f t="shared" si="165"/>
        <v>3</v>
      </c>
      <c r="R8312" s="21">
        <v>1</v>
      </c>
      <c r="S8312" s="21">
        <v>0</v>
      </c>
      <c r="T8312" s="21">
        <v>0</v>
      </c>
      <c r="U8312" s="21">
        <v>3</v>
      </c>
      <c r="V8312" s="21">
        <v>0</v>
      </c>
      <c r="W8312" s="21">
        <v>0</v>
      </c>
      <c r="X8312" s="21">
        <v>0</v>
      </c>
      <c r="Y8312" s="21">
        <v>0</v>
      </c>
      <c r="Z8312" s="21">
        <v>0</v>
      </c>
      <c r="AA8312" s="21">
        <v>0</v>
      </c>
      <c r="AB8312" s="21">
        <v>0</v>
      </c>
      <c r="AC8312" s="21">
        <v>0</v>
      </c>
      <c r="AD8312" s="21">
        <v>0</v>
      </c>
      <c r="AE8312" s="21">
        <v>0</v>
      </c>
      <c r="AF8312" s="21">
        <v>0</v>
      </c>
      <c r="AG8312" s="21">
        <v>0</v>
      </c>
      <c r="AH8312" s="21">
        <f t="shared" si="166"/>
        <v>96</v>
      </c>
      <c r="AI8312" s="21"/>
      <c r="AJ8312" s="21" t="s">
        <v>51</v>
      </c>
      <c r="AK8312" s="21" t="s">
        <v>95</v>
      </c>
      <c r="AL8312" s="21"/>
      <c r="AM8312" s="21" t="s">
        <v>4734</v>
      </c>
      <c r="AN8312" s="21">
        <v>-122.42243135</v>
      </c>
      <c r="AO8312" s="21">
        <v>37.799096466666597</v>
      </c>
      <c r="AP8312" s="21" t="s">
        <v>951</v>
      </c>
    </row>
    <row r="8313" spans="1:42">
      <c r="A8313" s="20">
        <v>43858</v>
      </c>
      <c r="B8313" s="21">
        <v>2</v>
      </c>
      <c r="C8313" s="21">
        <v>217</v>
      </c>
      <c r="D8313" s="21">
        <v>14443</v>
      </c>
      <c r="E8313" s="21"/>
      <c r="F8313" s="21" t="s">
        <v>104</v>
      </c>
      <c r="G8313" s="21">
        <v>2</v>
      </c>
      <c r="H8313" s="21">
        <v>22</v>
      </c>
      <c r="I8313" s="23" t="s">
        <v>2164</v>
      </c>
      <c r="J8313" s="21"/>
      <c r="K8313" s="21" t="s">
        <v>414</v>
      </c>
      <c r="L8313" s="21" t="s">
        <v>141</v>
      </c>
      <c r="M8313" s="21"/>
      <c r="N8313" s="21" t="s">
        <v>40</v>
      </c>
      <c r="O8313" s="21">
        <v>57</v>
      </c>
      <c r="P8313" s="21"/>
      <c r="Q8313" s="21">
        <f t="shared" si="165"/>
        <v>3</v>
      </c>
      <c r="R8313" s="21">
        <v>1</v>
      </c>
      <c r="S8313" s="21">
        <v>0</v>
      </c>
      <c r="T8313" s="21">
        <v>0</v>
      </c>
      <c r="U8313" s="21">
        <v>0</v>
      </c>
      <c r="V8313" s="21">
        <v>1</v>
      </c>
      <c r="W8313" s="21">
        <v>0</v>
      </c>
      <c r="X8313" s="21">
        <v>2</v>
      </c>
      <c r="Y8313" s="21">
        <v>0</v>
      </c>
      <c r="Z8313" s="21">
        <v>0</v>
      </c>
      <c r="AA8313" s="21">
        <v>0</v>
      </c>
      <c r="AB8313" s="21">
        <v>0</v>
      </c>
      <c r="AC8313" s="21">
        <v>0</v>
      </c>
      <c r="AD8313" s="21">
        <v>0</v>
      </c>
      <c r="AE8313" s="21">
        <v>0</v>
      </c>
      <c r="AF8313" s="21">
        <v>0</v>
      </c>
      <c r="AG8313" s="21">
        <v>0</v>
      </c>
      <c r="AH8313" s="21">
        <f t="shared" si="166"/>
        <v>64</v>
      </c>
      <c r="AI8313" s="21"/>
      <c r="AJ8313" s="21" t="s">
        <v>3023</v>
      </c>
      <c r="AK8313" s="21" t="s">
        <v>95</v>
      </c>
      <c r="AL8313" s="21" t="s">
        <v>456</v>
      </c>
      <c r="AM8313" s="21" t="s">
        <v>4735</v>
      </c>
      <c r="AN8313" s="21">
        <v>-122.42236674999999</v>
      </c>
      <c r="AO8313" s="21">
        <v>37.798923466666601</v>
      </c>
      <c r="AP8313" s="21" t="s">
        <v>951</v>
      </c>
    </row>
    <row r="8314" spans="1:42">
      <c r="A8314" s="20">
        <v>43858</v>
      </c>
      <c r="B8314" s="21">
        <v>2</v>
      </c>
      <c r="C8314" s="21">
        <v>217</v>
      </c>
      <c r="D8314" s="21">
        <v>14443</v>
      </c>
      <c r="E8314" s="21"/>
      <c r="F8314" s="21" t="s">
        <v>104</v>
      </c>
      <c r="G8314" s="21">
        <v>2</v>
      </c>
      <c r="H8314" s="21">
        <v>23</v>
      </c>
      <c r="I8314" s="23" t="s">
        <v>2536</v>
      </c>
      <c r="J8314" s="21"/>
      <c r="K8314" s="21" t="s">
        <v>414</v>
      </c>
      <c r="L8314" s="21" t="s">
        <v>141</v>
      </c>
      <c r="M8314" s="21"/>
      <c r="N8314" s="21" t="s">
        <v>40</v>
      </c>
      <c r="O8314" s="21">
        <v>30</v>
      </c>
      <c r="P8314" s="21"/>
      <c r="Q8314" s="21">
        <f t="shared" si="165"/>
        <v>1</v>
      </c>
      <c r="R8314" s="21">
        <v>1</v>
      </c>
      <c r="S8314" s="21">
        <v>0</v>
      </c>
      <c r="T8314" s="21">
        <v>0</v>
      </c>
      <c r="U8314" s="21">
        <v>0</v>
      </c>
      <c r="V8314" s="21">
        <v>0</v>
      </c>
      <c r="W8314" s="21">
        <v>0</v>
      </c>
      <c r="X8314" s="21">
        <v>1</v>
      </c>
      <c r="Y8314" s="21">
        <v>0</v>
      </c>
      <c r="Z8314" s="21">
        <v>0</v>
      </c>
      <c r="AA8314" s="21">
        <v>0</v>
      </c>
      <c r="AB8314" s="21">
        <v>0</v>
      </c>
      <c r="AC8314" s="21">
        <v>0</v>
      </c>
      <c r="AD8314" s="21">
        <v>0</v>
      </c>
      <c r="AE8314" s="21">
        <v>0</v>
      </c>
      <c r="AF8314" s="21">
        <v>0</v>
      </c>
      <c r="AG8314" s="21">
        <v>0</v>
      </c>
      <c r="AH8314" s="21">
        <f t="shared" si="166"/>
        <v>0</v>
      </c>
      <c r="AI8314" s="21"/>
      <c r="AJ8314" s="21" t="s">
        <v>51</v>
      </c>
      <c r="AK8314" s="21" t="s">
        <v>95</v>
      </c>
      <c r="AL8314" s="21" t="s">
        <v>125</v>
      </c>
      <c r="AM8314" s="21" t="s">
        <v>4736</v>
      </c>
      <c r="AN8314" s="21">
        <v>-122.422421583333</v>
      </c>
      <c r="AO8314" s="21">
        <v>37.798512700000003</v>
      </c>
      <c r="AP8314" s="21" t="s">
        <v>951</v>
      </c>
    </row>
    <row r="8315" spans="1:42">
      <c r="A8315" s="20">
        <v>43858</v>
      </c>
      <c r="B8315" s="21">
        <v>2</v>
      </c>
      <c r="C8315" s="21">
        <v>217</v>
      </c>
      <c r="D8315" s="21">
        <v>14443</v>
      </c>
      <c r="E8315" s="21"/>
      <c r="F8315" s="21" t="s">
        <v>104</v>
      </c>
      <c r="G8315" s="21">
        <v>2</v>
      </c>
      <c r="H8315" s="21">
        <v>24</v>
      </c>
      <c r="I8315" s="23" t="s">
        <v>2998</v>
      </c>
      <c r="J8315" s="21"/>
      <c r="K8315" s="21" t="s">
        <v>414</v>
      </c>
      <c r="L8315" s="21"/>
      <c r="M8315" s="21"/>
      <c r="N8315" s="21" t="s">
        <v>44</v>
      </c>
      <c r="O8315" s="21">
        <v>59</v>
      </c>
      <c r="P8315" s="21"/>
      <c r="Q8315" s="21">
        <f t="shared" si="165"/>
        <v>1</v>
      </c>
      <c r="R8315" s="21">
        <v>1</v>
      </c>
      <c r="S8315" s="21">
        <v>0</v>
      </c>
      <c r="T8315" s="21">
        <v>0</v>
      </c>
      <c r="U8315" s="21">
        <v>0</v>
      </c>
      <c r="V8315" s="21">
        <v>1</v>
      </c>
      <c r="W8315" s="21">
        <v>0</v>
      </c>
      <c r="X8315" s="21">
        <v>0</v>
      </c>
      <c r="Y8315" s="21">
        <v>0</v>
      </c>
      <c r="Z8315" s="21">
        <v>0</v>
      </c>
      <c r="AA8315" s="21">
        <v>0</v>
      </c>
      <c r="AB8315" s="21">
        <v>0</v>
      </c>
      <c r="AC8315" s="21">
        <v>0</v>
      </c>
      <c r="AD8315" s="21">
        <v>0</v>
      </c>
      <c r="AE8315" s="21">
        <v>0</v>
      </c>
      <c r="AF8315" s="21">
        <v>0</v>
      </c>
      <c r="AG8315" s="21">
        <v>0</v>
      </c>
      <c r="AH8315" s="21">
        <f t="shared" si="166"/>
        <v>64</v>
      </c>
      <c r="AI8315" s="21"/>
      <c r="AJ8315" s="21" t="s">
        <v>51</v>
      </c>
      <c r="AK8315" s="21" t="s">
        <v>95</v>
      </c>
      <c r="AL8315" s="21" t="s">
        <v>618</v>
      </c>
      <c r="AM8315" s="21" t="s">
        <v>4737</v>
      </c>
      <c r="AN8315" s="21">
        <v>-122.421205722819</v>
      </c>
      <c r="AO8315" s="21">
        <v>37.796019484457297</v>
      </c>
      <c r="AP8315" s="21" t="s">
        <v>951</v>
      </c>
    </row>
    <row r="8316" spans="1:42">
      <c r="A8316" s="20">
        <v>43858</v>
      </c>
      <c r="B8316" s="21">
        <v>2</v>
      </c>
      <c r="C8316" s="21">
        <v>217</v>
      </c>
      <c r="D8316" s="21">
        <v>14443</v>
      </c>
      <c r="E8316" s="21"/>
      <c r="F8316" s="21" t="s">
        <v>104</v>
      </c>
      <c r="G8316" s="21">
        <v>2</v>
      </c>
      <c r="H8316" s="21">
        <v>25</v>
      </c>
      <c r="I8316" s="23" t="s">
        <v>4011</v>
      </c>
      <c r="J8316" s="21"/>
      <c r="K8316" s="21" t="s">
        <v>414</v>
      </c>
      <c r="L8316" s="21" t="s">
        <v>141</v>
      </c>
      <c r="M8316" s="21"/>
      <c r="N8316" s="21" t="s">
        <v>40</v>
      </c>
      <c r="O8316" s="21">
        <v>173</v>
      </c>
      <c r="P8316" s="21"/>
      <c r="Q8316" s="21">
        <f t="shared" si="165"/>
        <v>3</v>
      </c>
      <c r="R8316" s="21">
        <v>1</v>
      </c>
      <c r="S8316" s="21">
        <v>0</v>
      </c>
      <c r="T8316" s="21">
        <v>0</v>
      </c>
      <c r="U8316" s="21">
        <v>0</v>
      </c>
      <c r="V8316" s="21">
        <v>2</v>
      </c>
      <c r="W8316" s="21">
        <v>1</v>
      </c>
      <c r="X8316" s="21">
        <v>0</v>
      </c>
      <c r="Y8316" s="21">
        <v>0</v>
      </c>
      <c r="Z8316" s="21">
        <v>0</v>
      </c>
      <c r="AA8316" s="21">
        <v>0</v>
      </c>
      <c r="AB8316" s="21">
        <v>0</v>
      </c>
      <c r="AC8316" s="21">
        <v>0</v>
      </c>
      <c r="AD8316" s="21">
        <v>0</v>
      </c>
      <c r="AE8316" s="21">
        <v>0</v>
      </c>
      <c r="AF8316" s="21">
        <v>0</v>
      </c>
      <c r="AG8316" s="21">
        <v>0</v>
      </c>
      <c r="AH8316" s="21">
        <f t="shared" si="166"/>
        <v>224</v>
      </c>
      <c r="AI8316" s="21"/>
      <c r="AJ8316" s="21" t="s">
        <v>51</v>
      </c>
      <c r="AK8316" s="21" t="s">
        <v>52</v>
      </c>
      <c r="AL8316" s="21"/>
      <c r="AM8316" s="21" t="s">
        <v>4738</v>
      </c>
      <c r="AN8316" s="21">
        <v>-122.42203113333299</v>
      </c>
      <c r="AO8316" s="21">
        <v>37.797411333333301</v>
      </c>
      <c r="AP8316" s="21" t="s">
        <v>951</v>
      </c>
    </row>
    <row r="8317" spans="1:42">
      <c r="A8317" s="20">
        <v>43858</v>
      </c>
      <c r="B8317" s="21">
        <v>2</v>
      </c>
      <c r="C8317" s="21">
        <v>217</v>
      </c>
      <c r="D8317" s="21">
        <v>14443</v>
      </c>
      <c r="E8317" s="21"/>
      <c r="F8317" s="21" t="s">
        <v>104</v>
      </c>
      <c r="G8317" s="21">
        <v>2</v>
      </c>
      <c r="H8317" s="21">
        <v>26</v>
      </c>
      <c r="I8317" s="23" t="s">
        <v>4739</v>
      </c>
      <c r="J8317" s="21"/>
      <c r="K8317" t="s">
        <v>585</v>
      </c>
      <c r="L8317" s="21"/>
      <c r="M8317" s="21"/>
      <c r="N8317" s="21" t="s">
        <v>44</v>
      </c>
      <c r="O8317" s="21">
        <v>147</v>
      </c>
      <c r="P8317" s="21"/>
      <c r="Q8317" s="21">
        <f t="shared" si="165"/>
        <v>3</v>
      </c>
      <c r="R8317" s="21">
        <v>1</v>
      </c>
      <c r="S8317" s="21">
        <v>0</v>
      </c>
      <c r="T8317" s="21">
        <v>0</v>
      </c>
      <c r="U8317" s="21">
        <v>1</v>
      </c>
      <c r="V8317" s="21">
        <v>0</v>
      </c>
      <c r="W8317" s="21">
        <v>2</v>
      </c>
      <c r="X8317" s="21">
        <v>0</v>
      </c>
      <c r="Y8317" s="21">
        <v>0</v>
      </c>
      <c r="Z8317" s="21">
        <v>0</v>
      </c>
      <c r="AA8317" s="21">
        <v>0</v>
      </c>
      <c r="AB8317" s="21">
        <v>0</v>
      </c>
      <c r="AC8317" s="21">
        <v>0</v>
      </c>
      <c r="AD8317" s="21">
        <v>0</v>
      </c>
      <c r="AE8317" s="21">
        <v>0</v>
      </c>
      <c r="AF8317" s="21">
        <v>0</v>
      </c>
      <c r="AG8317" s="21">
        <v>0</v>
      </c>
      <c r="AH8317" s="21">
        <f t="shared" si="166"/>
        <v>224</v>
      </c>
      <c r="AI8317" s="21"/>
      <c r="AJ8317" s="21" t="s">
        <v>51</v>
      </c>
      <c r="AK8317" s="21" t="s">
        <v>95</v>
      </c>
      <c r="AL8317" s="21" t="s">
        <v>4740</v>
      </c>
      <c r="AM8317" s="21" t="s">
        <v>4741</v>
      </c>
      <c r="AN8317" s="21">
        <v>-122.422321883333</v>
      </c>
      <c r="AO8317" s="21">
        <v>37.797246383333302</v>
      </c>
      <c r="AP8317" s="21" t="s">
        <v>951</v>
      </c>
    </row>
    <row r="8318" spans="1:42">
      <c r="A8318" s="20">
        <v>43858</v>
      </c>
      <c r="B8318" s="21">
        <v>2</v>
      </c>
      <c r="C8318" s="21">
        <v>217</v>
      </c>
      <c r="D8318" s="21">
        <v>14443</v>
      </c>
      <c r="E8318" s="21"/>
      <c r="F8318" s="21" t="s">
        <v>104</v>
      </c>
      <c r="G8318" s="21">
        <v>2</v>
      </c>
      <c r="H8318" s="21">
        <v>27</v>
      </c>
      <c r="I8318" s="23" t="s">
        <v>4742</v>
      </c>
      <c r="J8318" s="21"/>
      <c r="K8318" s="21" t="s">
        <v>2107</v>
      </c>
      <c r="L8318" s="21" t="s">
        <v>114</v>
      </c>
      <c r="M8318" s="21" t="s">
        <v>95</v>
      </c>
      <c r="N8318" s="21" t="s">
        <v>40</v>
      </c>
      <c r="O8318" s="21">
        <v>81</v>
      </c>
      <c r="P8318" s="21"/>
      <c r="Q8318" s="21">
        <f t="shared" si="165"/>
        <v>5</v>
      </c>
      <c r="R8318" s="21">
        <v>1</v>
      </c>
      <c r="S8318" s="21">
        <v>0</v>
      </c>
      <c r="T8318" s="21">
        <v>0</v>
      </c>
      <c r="U8318" s="21">
        <v>3</v>
      </c>
      <c r="V8318" s="21">
        <v>2</v>
      </c>
      <c r="W8318" s="21">
        <v>0</v>
      </c>
      <c r="X8318" s="21">
        <v>0</v>
      </c>
      <c r="Y8318" s="21">
        <v>0</v>
      </c>
      <c r="Z8318" s="21">
        <v>0</v>
      </c>
      <c r="AA8318" s="21">
        <v>0</v>
      </c>
      <c r="AB8318" s="21">
        <v>0</v>
      </c>
      <c r="AC8318" s="21">
        <v>0</v>
      </c>
      <c r="AD8318" s="21">
        <v>0</v>
      </c>
      <c r="AE8318" s="21">
        <v>0</v>
      </c>
      <c r="AF8318" s="21">
        <v>0</v>
      </c>
      <c r="AG8318" s="21">
        <v>0</v>
      </c>
      <c r="AH8318" s="21">
        <f t="shared" si="166"/>
        <v>224</v>
      </c>
      <c r="AI8318" s="21"/>
      <c r="AJ8318" s="21" t="s">
        <v>51</v>
      </c>
      <c r="AK8318" s="21" t="s">
        <v>95</v>
      </c>
      <c r="AL8318" s="21"/>
      <c r="AM8318" s="21" t="s">
        <v>4743</v>
      </c>
      <c r="AN8318" s="21">
        <v>-122.4229117</v>
      </c>
      <c r="AO8318" s="21">
        <v>37.797247633333299</v>
      </c>
      <c r="AP8318" s="21" t="s">
        <v>951</v>
      </c>
    </row>
    <row r="8319" spans="1:42">
      <c r="A8319" s="20">
        <v>43858</v>
      </c>
      <c r="B8319" s="21">
        <v>2</v>
      </c>
      <c r="C8319" s="21">
        <v>217</v>
      </c>
      <c r="D8319" s="21">
        <v>14443</v>
      </c>
      <c r="E8319" s="21"/>
      <c r="F8319" s="21" t="s">
        <v>104</v>
      </c>
      <c r="G8319" s="21">
        <v>2</v>
      </c>
      <c r="H8319" s="21">
        <v>28</v>
      </c>
      <c r="I8319" s="23" t="s">
        <v>3180</v>
      </c>
      <c r="J8319" s="21"/>
      <c r="K8319" s="21" t="s">
        <v>2107</v>
      </c>
      <c r="L8319" s="21" t="s">
        <v>141</v>
      </c>
      <c r="M8319" s="21"/>
      <c r="N8319" s="21" t="s">
        <v>40</v>
      </c>
      <c r="O8319" s="21">
        <v>34</v>
      </c>
      <c r="P8319" s="21"/>
      <c r="Q8319" s="21">
        <f t="shared" si="165"/>
        <v>1</v>
      </c>
      <c r="R8319" s="21">
        <v>1</v>
      </c>
      <c r="S8319" s="21">
        <v>0</v>
      </c>
      <c r="T8319" s="21">
        <v>0</v>
      </c>
      <c r="U8319" s="21">
        <v>1</v>
      </c>
      <c r="V8319" s="21">
        <v>0</v>
      </c>
      <c r="W8319" s="21">
        <v>0</v>
      </c>
      <c r="X8319" s="21">
        <v>0</v>
      </c>
      <c r="Y8319" s="21">
        <v>0</v>
      </c>
      <c r="Z8319" s="21">
        <v>0</v>
      </c>
      <c r="AA8319" s="21">
        <v>0</v>
      </c>
      <c r="AB8319" s="21">
        <v>0</v>
      </c>
      <c r="AC8319" s="21">
        <v>0</v>
      </c>
      <c r="AD8319" s="21">
        <v>0</v>
      </c>
      <c r="AE8319" s="21">
        <v>0</v>
      </c>
      <c r="AF8319" s="21">
        <v>0</v>
      </c>
      <c r="AG8319" s="21">
        <v>0</v>
      </c>
      <c r="AH8319" s="21">
        <f t="shared" si="166"/>
        <v>32</v>
      </c>
      <c r="AI8319" s="21"/>
      <c r="AJ8319" s="21" t="s">
        <v>51</v>
      </c>
      <c r="AK8319" s="21" t="s">
        <v>95</v>
      </c>
      <c r="AL8319" s="21"/>
      <c r="AM8319" s="21" t="s">
        <v>4744</v>
      </c>
      <c r="AN8319" s="21">
        <v>-122.42271408333301</v>
      </c>
      <c r="AO8319" s="21">
        <v>37.797323900000002</v>
      </c>
      <c r="AP8319" s="21" t="s">
        <v>951</v>
      </c>
    </row>
    <row r="8320" spans="1:42">
      <c r="A8320" s="20">
        <v>43858</v>
      </c>
      <c r="B8320" s="21">
        <v>2</v>
      </c>
      <c r="C8320" s="21">
        <v>217</v>
      </c>
      <c r="D8320" s="21">
        <v>14443</v>
      </c>
      <c r="E8320" s="21"/>
      <c r="F8320" s="21" t="s">
        <v>104</v>
      </c>
      <c r="G8320" s="21">
        <v>2</v>
      </c>
      <c r="H8320" s="21">
        <v>29</v>
      </c>
      <c r="I8320" s="23" t="s">
        <v>4745</v>
      </c>
      <c r="J8320" s="21"/>
      <c r="K8320" s="21" t="s">
        <v>2107</v>
      </c>
      <c r="L8320" s="21" t="s">
        <v>114</v>
      </c>
      <c r="M8320" s="21" t="s">
        <v>95</v>
      </c>
      <c r="N8320" s="21" t="s">
        <v>40</v>
      </c>
      <c r="O8320" s="21">
        <v>107</v>
      </c>
      <c r="P8320" s="21"/>
      <c r="Q8320" s="21">
        <f t="shared" ref="Q8320:Q8383" si="167">SUM(S8320:AE8320)</f>
        <v>3</v>
      </c>
      <c r="R8320" s="21">
        <v>1</v>
      </c>
      <c r="S8320" s="21">
        <v>0</v>
      </c>
      <c r="T8320" s="21">
        <v>0</v>
      </c>
      <c r="U8320" s="21">
        <v>2</v>
      </c>
      <c r="V8320" s="21">
        <v>1</v>
      </c>
      <c r="W8320" s="21">
        <v>0</v>
      </c>
      <c r="X8320" s="21">
        <v>0</v>
      </c>
      <c r="Y8320" s="21">
        <v>0</v>
      </c>
      <c r="Z8320" s="21">
        <v>0</v>
      </c>
      <c r="AA8320" s="21">
        <v>0</v>
      </c>
      <c r="AB8320" s="21">
        <v>0</v>
      </c>
      <c r="AC8320" s="21">
        <v>0</v>
      </c>
      <c r="AD8320" s="21">
        <v>0</v>
      </c>
      <c r="AE8320" s="21">
        <v>0</v>
      </c>
      <c r="AF8320" s="21">
        <v>0</v>
      </c>
      <c r="AG8320" s="21">
        <v>0</v>
      </c>
      <c r="AH8320" s="21">
        <f t="shared" ref="AH8320:AH8383" si="168">(S8320*16)+(T8320*20)+(U8320*32)+(V8320*64)+(W8320*96)</f>
        <v>128</v>
      </c>
      <c r="AI8320" s="21"/>
      <c r="AJ8320" s="21" t="s">
        <v>51</v>
      </c>
      <c r="AK8320" s="21" t="s">
        <v>95</v>
      </c>
      <c r="AL8320" s="21"/>
      <c r="AM8320" s="21" t="s">
        <v>4746</v>
      </c>
      <c r="AN8320" s="21">
        <v>-122.42271341666699</v>
      </c>
      <c r="AO8320" s="21">
        <v>37.7973237666667</v>
      </c>
      <c r="AP8320" s="21" t="s">
        <v>951</v>
      </c>
    </row>
    <row r="8321" spans="1:42">
      <c r="A8321" s="20">
        <v>43858</v>
      </c>
      <c r="B8321" s="21">
        <v>2</v>
      </c>
      <c r="C8321" s="21">
        <v>217</v>
      </c>
      <c r="D8321" s="21">
        <v>14443</v>
      </c>
      <c r="E8321" s="21"/>
      <c r="F8321" s="21" t="s">
        <v>104</v>
      </c>
      <c r="G8321" s="21">
        <v>2</v>
      </c>
      <c r="H8321" s="21">
        <v>30</v>
      </c>
      <c r="I8321" s="23" t="s">
        <v>3707</v>
      </c>
      <c r="J8321" s="21"/>
      <c r="K8321" s="21" t="s">
        <v>2107</v>
      </c>
      <c r="L8321" s="21" t="s">
        <v>141</v>
      </c>
      <c r="M8321" s="21" t="s">
        <v>95</v>
      </c>
      <c r="N8321" s="21" t="s">
        <v>40</v>
      </c>
      <c r="O8321" s="21">
        <v>186</v>
      </c>
      <c r="P8321" s="21"/>
      <c r="Q8321" s="21">
        <f t="shared" si="167"/>
        <v>6</v>
      </c>
      <c r="R8321" s="21">
        <v>1</v>
      </c>
      <c r="S8321" s="21">
        <v>0</v>
      </c>
      <c r="T8321" s="21">
        <v>0</v>
      </c>
      <c r="U8321" s="21">
        <v>3</v>
      </c>
      <c r="V8321" s="21">
        <v>3</v>
      </c>
      <c r="W8321" s="21">
        <v>0</v>
      </c>
      <c r="X8321" s="21">
        <v>0</v>
      </c>
      <c r="Y8321" s="21">
        <v>0</v>
      </c>
      <c r="Z8321" s="21">
        <v>0</v>
      </c>
      <c r="AA8321" s="21">
        <v>0</v>
      </c>
      <c r="AB8321" s="21">
        <v>0</v>
      </c>
      <c r="AC8321" s="21">
        <v>0</v>
      </c>
      <c r="AD8321" s="21">
        <v>0</v>
      </c>
      <c r="AE8321" s="21">
        <v>0</v>
      </c>
      <c r="AF8321" s="21">
        <v>0</v>
      </c>
      <c r="AG8321" s="21">
        <v>0</v>
      </c>
      <c r="AH8321" s="21">
        <f t="shared" si="168"/>
        <v>288</v>
      </c>
      <c r="AI8321" s="21"/>
      <c r="AJ8321" s="21" t="s">
        <v>51</v>
      </c>
      <c r="AK8321" s="21" t="s">
        <v>95</v>
      </c>
      <c r="AL8321" s="21"/>
      <c r="AM8321" s="21" t="s">
        <v>4747</v>
      </c>
      <c r="AN8321" s="21">
        <v>-122.42260450000001</v>
      </c>
      <c r="AO8321" s="21">
        <v>37.797367333333298</v>
      </c>
      <c r="AP8321" s="21" t="s">
        <v>951</v>
      </c>
    </row>
    <row r="8322" spans="1:42">
      <c r="A8322" s="20">
        <v>43858</v>
      </c>
      <c r="B8322" s="21">
        <v>2</v>
      </c>
      <c r="C8322" s="21">
        <v>217</v>
      </c>
      <c r="D8322" s="21">
        <v>14443</v>
      </c>
      <c r="E8322" s="21"/>
      <c r="F8322" s="21" t="s">
        <v>104</v>
      </c>
      <c r="G8322" s="21">
        <v>2</v>
      </c>
      <c r="H8322" s="21">
        <v>31</v>
      </c>
      <c r="I8322" s="23" t="s">
        <v>4748</v>
      </c>
      <c r="J8322" s="21"/>
      <c r="K8322" s="21" t="s">
        <v>414</v>
      </c>
      <c r="L8322" s="21" t="s">
        <v>141</v>
      </c>
      <c r="M8322" s="21"/>
      <c r="N8322" s="21" t="s">
        <v>40</v>
      </c>
      <c r="O8322" s="21">
        <v>145</v>
      </c>
      <c r="P8322" s="21"/>
      <c r="Q8322" s="21">
        <f t="shared" si="167"/>
        <v>5</v>
      </c>
      <c r="R8322" s="21">
        <v>1</v>
      </c>
      <c r="S8322" s="21">
        <v>0</v>
      </c>
      <c r="T8322" s="21">
        <v>0</v>
      </c>
      <c r="U8322" s="21">
        <v>3</v>
      </c>
      <c r="V8322" s="21">
        <v>1</v>
      </c>
      <c r="W8322" s="21">
        <v>1</v>
      </c>
      <c r="X8322" s="21">
        <v>0</v>
      </c>
      <c r="Y8322" s="21">
        <v>0</v>
      </c>
      <c r="Z8322" s="21">
        <v>0</v>
      </c>
      <c r="AA8322" s="21">
        <v>0</v>
      </c>
      <c r="AB8322" s="21">
        <v>0</v>
      </c>
      <c r="AC8322" s="21">
        <v>0</v>
      </c>
      <c r="AD8322" s="21">
        <v>0</v>
      </c>
      <c r="AE8322" s="21">
        <v>0</v>
      </c>
      <c r="AF8322" s="21">
        <v>0</v>
      </c>
      <c r="AG8322" s="21">
        <v>0</v>
      </c>
      <c r="AH8322" s="21">
        <f t="shared" si="168"/>
        <v>256</v>
      </c>
      <c r="AI8322" s="21"/>
      <c r="AJ8322" s="21" t="s">
        <v>51</v>
      </c>
      <c r="AK8322" s="21" t="s">
        <v>52</v>
      </c>
      <c r="AL8322" s="21"/>
      <c r="AM8322" s="21" t="s">
        <v>4749</v>
      </c>
      <c r="AN8322" s="21">
        <v>-122.42203068333301</v>
      </c>
      <c r="AO8322" s="21">
        <v>37.797154483333301</v>
      </c>
      <c r="AP8322" s="21" t="s">
        <v>951</v>
      </c>
    </row>
    <row r="8323" spans="1:42">
      <c r="A8323" s="20">
        <v>43858</v>
      </c>
      <c r="B8323" s="21">
        <v>2</v>
      </c>
      <c r="C8323" s="21">
        <v>217</v>
      </c>
      <c r="D8323" s="21">
        <v>14443</v>
      </c>
      <c r="E8323" s="21"/>
      <c r="F8323" s="21" t="s">
        <v>104</v>
      </c>
      <c r="G8323" s="21">
        <v>2</v>
      </c>
      <c r="H8323" s="21">
        <v>32</v>
      </c>
      <c r="I8323" s="23" t="s">
        <v>4750</v>
      </c>
      <c r="J8323" s="21"/>
      <c r="K8323" s="21" t="s">
        <v>414</v>
      </c>
      <c r="L8323" s="21" t="s">
        <v>141</v>
      </c>
      <c r="M8323" s="21"/>
      <c r="N8323" s="21" t="s">
        <v>40</v>
      </c>
      <c r="O8323" s="21">
        <v>45</v>
      </c>
      <c r="P8323" s="21"/>
      <c r="Q8323" s="21">
        <f t="shared" si="167"/>
        <v>2</v>
      </c>
      <c r="R8323" s="21">
        <v>1</v>
      </c>
      <c r="S8323" s="21">
        <v>0</v>
      </c>
      <c r="T8323" s="21">
        <v>0</v>
      </c>
      <c r="U8323" s="21">
        <v>0</v>
      </c>
      <c r="V8323" s="21">
        <v>1</v>
      </c>
      <c r="W8323" s="21">
        <v>0</v>
      </c>
      <c r="X8323" s="21">
        <v>1</v>
      </c>
      <c r="Y8323" s="21">
        <v>0</v>
      </c>
      <c r="Z8323" s="21">
        <v>0</v>
      </c>
      <c r="AA8323" s="21">
        <v>0</v>
      </c>
      <c r="AB8323" s="21">
        <v>0</v>
      </c>
      <c r="AC8323" s="21">
        <v>0</v>
      </c>
      <c r="AD8323" s="21">
        <v>0</v>
      </c>
      <c r="AE8323" s="21">
        <v>0</v>
      </c>
      <c r="AF8323" s="21">
        <v>0</v>
      </c>
      <c r="AG8323" s="21">
        <v>0</v>
      </c>
      <c r="AH8323" s="21">
        <f t="shared" si="168"/>
        <v>64</v>
      </c>
      <c r="AI8323" s="21"/>
      <c r="AJ8323" s="21" t="s">
        <v>51</v>
      </c>
      <c r="AK8323" s="21" t="s">
        <v>52</v>
      </c>
      <c r="AL8323" s="21" t="s">
        <v>4751</v>
      </c>
      <c r="AM8323" s="21" t="s">
        <v>4752</v>
      </c>
      <c r="AN8323" s="21">
        <v>-122.421934966667</v>
      </c>
      <c r="AO8323" s="21">
        <v>37.796741283333297</v>
      </c>
      <c r="AP8323" s="21" t="s">
        <v>951</v>
      </c>
    </row>
    <row r="8324" spans="1:42">
      <c r="A8324" s="20">
        <v>43858</v>
      </c>
      <c r="B8324" s="21">
        <v>2</v>
      </c>
      <c r="C8324" s="21">
        <v>217</v>
      </c>
      <c r="D8324" s="21">
        <v>14443</v>
      </c>
      <c r="E8324" s="21"/>
      <c r="F8324" s="21" t="s">
        <v>104</v>
      </c>
      <c r="G8324" s="21">
        <v>2</v>
      </c>
      <c r="H8324" s="21">
        <v>33</v>
      </c>
      <c r="I8324" s="23" t="s">
        <v>4753</v>
      </c>
      <c r="J8324" s="21"/>
      <c r="K8324" s="21" t="s">
        <v>414</v>
      </c>
      <c r="L8324" s="21" t="s">
        <v>141</v>
      </c>
      <c r="M8324" s="21"/>
      <c r="N8324" s="21" t="s">
        <v>40</v>
      </c>
      <c r="O8324" s="21">
        <v>83</v>
      </c>
      <c r="P8324" s="21"/>
      <c r="Q8324" s="21">
        <f t="shared" si="167"/>
        <v>2</v>
      </c>
      <c r="R8324" s="21">
        <v>1</v>
      </c>
      <c r="S8324" s="21">
        <v>0</v>
      </c>
      <c r="T8324" s="21">
        <v>0</v>
      </c>
      <c r="U8324" s="21">
        <v>0</v>
      </c>
      <c r="V8324" s="21">
        <v>1</v>
      </c>
      <c r="W8324" s="21">
        <v>1</v>
      </c>
      <c r="X8324" s="21">
        <v>0</v>
      </c>
      <c r="Y8324" s="21">
        <v>0</v>
      </c>
      <c r="Z8324" s="21">
        <v>0</v>
      </c>
      <c r="AA8324" s="21">
        <v>0</v>
      </c>
      <c r="AB8324" s="21">
        <v>0</v>
      </c>
      <c r="AC8324" s="21">
        <v>0</v>
      </c>
      <c r="AD8324" s="21">
        <v>0</v>
      </c>
      <c r="AE8324" s="21">
        <v>0</v>
      </c>
      <c r="AF8324" s="21">
        <v>0</v>
      </c>
      <c r="AG8324" s="21">
        <v>0</v>
      </c>
      <c r="AH8324" s="21">
        <f t="shared" si="168"/>
        <v>160</v>
      </c>
      <c r="AI8324" s="21"/>
      <c r="AJ8324" s="21" t="s">
        <v>51</v>
      </c>
      <c r="AK8324" s="21" t="s">
        <v>52</v>
      </c>
      <c r="AL8324" s="21"/>
      <c r="AM8324" s="21" t="s">
        <v>4754</v>
      </c>
      <c r="AN8324" s="21">
        <v>-122.42191851666701</v>
      </c>
      <c r="AO8324" s="21">
        <v>37.796501050000003</v>
      </c>
      <c r="AP8324" s="21" t="s">
        <v>951</v>
      </c>
    </row>
    <row r="8325" spans="1:42">
      <c r="A8325" s="20">
        <v>43858</v>
      </c>
      <c r="B8325" s="21">
        <v>2</v>
      </c>
      <c r="C8325" s="21">
        <v>217</v>
      </c>
      <c r="D8325" s="21">
        <v>14443</v>
      </c>
      <c r="E8325" s="21"/>
      <c r="F8325" s="21" t="s">
        <v>104</v>
      </c>
      <c r="G8325" s="21">
        <v>2</v>
      </c>
      <c r="H8325" s="21">
        <v>34</v>
      </c>
      <c r="I8325" s="23" t="s">
        <v>4755</v>
      </c>
      <c r="J8325" s="21"/>
      <c r="K8325" s="21"/>
      <c r="L8325" s="21" t="s">
        <v>141</v>
      </c>
      <c r="M8325" s="21"/>
      <c r="N8325" s="21" t="s">
        <v>40</v>
      </c>
      <c r="O8325" s="21">
        <v>77</v>
      </c>
      <c r="P8325" s="21"/>
      <c r="Q8325" s="21">
        <f t="shared" si="167"/>
        <v>4</v>
      </c>
      <c r="R8325" s="21">
        <v>1</v>
      </c>
      <c r="S8325" s="21">
        <v>0</v>
      </c>
      <c r="T8325" s="21">
        <v>0</v>
      </c>
      <c r="U8325" s="21">
        <v>4</v>
      </c>
      <c r="V8325" s="21">
        <v>0</v>
      </c>
      <c r="W8325" s="21">
        <v>0</v>
      </c>
      <c r="X8325" s="21">
        <v>0</v>
      </c>
      <c r="Y8325" s="21">
        <v>0</v>
      </c>
      <c r="Z8325" s="21">
        <v>0</v>
      </c>
      <c r="AA8325" s="21">
        <v>0</v>
      </c>
      <c r="AB8325" s="21">
        <v>0</v>
      </c>
      <c r="AC8325" s="21">
        <v>0</v>
      </c>
      <c r="AD8325" s="21">
        <v>0</v>
      </c>
      <c r="AE8325" s="21">
        <v>0</v>
      </c>
      <c r="AF8325" s="21">
        <v>0</v>
      </c>
      <c r="AG8325" s="21">
        <v>0</v>
      </c>
      <c r="AH8325" s="21">
        <f t="shared" si="168"/>
        <v>128</v>
      </c>
      <c r="AI8325" s="21"/>
      <c r="AJ8325" s="21" t="s">
        <v>51</v>
      </c>
      <c r="AK8325" s="21" t="s">
        <v>52</v>
      </c>
      <c r="AL8325" s="21"/>
      <c r="AM8325" s="21" t="s">
        <v>4756</v>
      </c>
      <c r="AN8325" s="21">
        <v>-122.42189835000001</v>
      </c>
      <c r="AO8325" s="21">
        <v>37.796360566666699</v>
      </c>
      <c r="AP8325" s="21" t="s">
        <v>951</v>
      </c>
    </row>
    <row r="8326" spans="1:42">
      <c r="A8326" s="20">
        <v>43858</v>
      </c>
      <c r="B8326" s="21">
        <v>2</v>
      </c>
      <c r="C8326" s="21">
        <v>217</v>
      </c>
      <c r="D8326" s="21">
        <v>14443</v>
      </c>
      <c r="E8326" s="21"/>
      <c r="F8326" s="21" t="s">
        <v>104</v>
      </c>
      <c r="G8326" s="21">
        <v>2</v>
      </c>
      <c r="H8326" s="21">
        <v>35</v>
      </c>
      <c r="I8326" s="23" t="s">
        <v>4757</v>
      </c>
      <c r="J8326" s="21"/>
      <c r="K8326" s="21" t="s">
        <v>414</v>
      </c>
      <c r="L8326" s="21" t="s">
        <v>141</v>
      </c>
      <c r="M8326" s="21"/>
      <c r="N8326" s="21" t="s">
        <v>40</v>
      </c>
      <c r="O8326" s="21">
        <v>49</v>
      </c>
      <c r="P8326" s="21"/>
      <c r="Q8326" s="21">
        <f t="shared" si="167"/>
        <v>2</v>
      </c>
      <c r="R8326" s="21">
        <v>1</v>
      </c>
      <c r="S8326" s="21">
        <v>0</v>
      </c>
      <c r="T8326" s="21">
        <v>0</v>
      </c>
      <c r="U8326" s="21">
        <v>2</v>
      </c>
      <c r="V8326" s="21">
        <v>0</v>
      </c>
      <c r="W8326" s="21">
        <v>0</v>
      </c>
      <c r="X8326" s="21">
        <v>0</v>
      </c>
      <c r="Y8326" s="21">
        <v>0</v>
      </c>
      <c r="Z8326" s="21">
        <v>0</v>
      </c>
      <c r="AA8326" s="21">
        <v>0</v>
      </c>
      <c r="AB8326" s="21">
        <v>0</v>
      </c>
      <c r="AC8326" s="21">
        <v>0</v>
      </c>
      <c r="AD8326" s="21">
        <v>0</v>
      </c>
      <c r="AE8326" s="21">
        <v>0</v>
      </c>
      <c r="AF8326" s="21">
        <v>0</v>
      </c>
      <c r="AG8326" s="21">
        <v>0</v>
      </c>
      <c r="AH8326" s="21">
        <f t="shared" si="168"/>
        <v>64</v>
      </c>
      <c r="AI8326" s="21"/>
      <c r="AJ8326" s="21" t="s">
        <v>51</v>
      </c>
      <c r="AK8326" s="21" t="s">
        <v>52</v>
      </c>
      <c r="AL8326" s="21"/>
      <c r="AM8326" s="21" t="s">
        <v>4758</v>
      </c>
      <c r="AN8326" s="21">
        <v>-122.421835366667</v>
      </c>
      <c r="AO8326" s="21">
        <v>37.796294666666697</v>
      </c>
      <c r="AP8326" s="21" t="s">
        <v>951</v>
      </c>
    </row>
    <row r="8327" spans="1:42">
      <c r="A8327" s="20">
        <v>43858</v>
      </c>
      <c r="B8327" s="21">
        <v>2</v>
      </c>
      <c r="C8327" s="21">
        <v>217</v>
      </c>
      <c r="D8327" s="21">
        <v>14443</v>
      </c>
      <c r="E8327" s="21"/>
      <c r="F8327" s="21" t="s">
        <v>104</v>
      </c>
      <c r="G8327" s="21">
        <v>2</v>
      </c>
      <c r="H8327" s="21">
        <v>36</v>
      </c>
      <c r="I8327" s="23" t="s">
        <v>2603</v>
      </c>
      <c r="J8327" s="21"/>
      <c r="K8327" s="21" t="s">
        <v>414</v>
      </c>
      <c r="L8327" s="21" t="s">
        <v>141</v>
      </c>
      <c r="M8327" s="21"/>
      <c r="N8327" s="21" t="s">
        <v>40</v>
      </c>
      <c r="O8327" s="21">
        <v>78</v>
      </c>
      <c r="P8327" s="21"/>
      <c r="Q8327" s="21">
        <f t="shared" si="167"/>
        <v>3</v>
      </c>
      <c r="R8327" s="21">
        <v>1</v>
      </c>
      <c r="S8327" s="21">
        <v>0</v>
      </c>
      <c r="T8327" s="21">
        <v>0</v>
      </c>
      <c r="U8327" s="21">
        <v>0</v>
      </c>
      <c r="V8327" s="21">
        <v>0</v>
      </c>
      <c r="W8327" s="21">
        <v>2</v>
      </c>
      <c r="X8327" s="21">
        <v>1</v>
      </c>
      <c r="Y8327" s="21">
        <v>0</v>
      </c>
      <c r="Z8327" s="21">
        <v>0</v>
      </c>
      <c r="AA8327" s="21">
        <v>0</v>
      </c>
      <c r="AB8327" s="21">
        <v>0</v>
      </c>
      <c r="AC8327" s="21">
        <v>0</v>
      </c>
      <c r="AD8327" s="21">
        <v>0</v>
      </c>
      <c r="AE8327" s="21">
        <v>0</v>
      </c>
      <c r="AF8327" s="21">
        <v>0</v>
      </c>
      <c r="AG8327" s="21">
        <v>0</v>
      </c>
      <c r="AH8327" s="21">
        <f t="shared" si="168"/>
        <v>192</v>
      </c>
      <c r="AI8327" s="21"/>
      <c r="AJ8327" s="21" t="s">
        <v>51</v>
      </c>
      <c r="AK8327" s="21" t="s">
        <v>95</v>
      </c>
      <c r="AL8327" s="21" t="s">
        <v>4751</v>
      </c>
      <c r="AM8327" s="21" t="s">
        <v>4759</v>
      </c>
      <c r="AN8327" s="21">
        <v>-122.42183943333301</v>
      </c>
      <c r="AO8327" s="21">
        <v>37.796115633333301</v>
      </c>
      <c r="AP8327" s="21" t="s">
        <v>951</v>
      </c>
    </row>
    <row r="8328" spans="1:42">
      <c r="A8328" s="20">
        <v>43858</v>
      </c>
      <c r="B8328" s="21">
        <v>2</v>
      </c>
      <c r="C8328" s="21">
        <v>217</v>
      </c>
      <c r="D8328" s="21">
        <v>14443</v>
      </c>
      <c r="E8328" s="21"/>
      <c r="F8328" s="21" t="s">
        <v>104</v>
      </c>
      <c r="G8328" s="21">
        <v>2</v>
      </c>
      <c r="H8328" s="21">
        <v>37</v>
      </c>
      <c r="I8328" s="23" t="s">
        <v>2551</v>
      </c>
      <c r="J8328" s="21"/>
      <c r="K8328" s="21" t="s">
        <v>414</v>
      </c>
      <c r="L8328" s="21" t="s">
        <v>141</v>
      </c>
      <c r="M8328" s="21"/>
      <c r="N8328" s="21" t="s">
        <v>40</v>
      </c>
      <c r="O8328" s="21">
        <v>20</v>
      </c>
      <c r="P8328" s="21"/>
      <c r="Q8328" s="21">
        <f t="shared" si="167"/>
        <v>1</v>
      </c>
      <c r="R8328" s="21">
        <v>1</v>
      </c>
      <c r="S8328" s="21">
        <v>0</v>
      </c>
      <c r="T8328" s="21">
        <v>0</v>
      </c>
      <c r="U8328" s="21">
        <v>0</v>
      </c>
      <c r="V8328" s="21">
        <v>0</v>
      </c>
      <c r="W8328" s="21">
        <v>0</v>
      </c>
      <c r="X8328" s="21">
        <v>1</v>
      </c>
      <c r="Y8328" s="21">
        <v>0</v>
      </c>
      <c r="Z8328" s="21">
        <v>0</v>
      </c>
      <c r="AA8328" s="21">
        <v>0</v>
      </c>
      <c r="AB8328" s="21">
        <v>0</v>
      </c>
      <c r="AC8328" s="21">
        <v>0</v>
      </c>
      <c r="AD8328" s="21">
        <v>0</v>
      </c>
      <c r="AE8328" s="21">
        <v>0</v>
      </c>
      <c r="AF8328" s="21">
        <v>0</v>
      </c>
      <c r="AG8328" s="21">
        <v>0</v>
      </c>
      <c r="AH8328" s="21">
        <f t="shared" si="168"/>
        <v>0</v>
      </c>
      <c r="AI8328" s="21"/>
      <c r="AJ8328" s="21" t="s">
        <v>51</v>
      </c>
      <c r="AK8328" s="21" t="s">
        <v>52</v>
      </c>
      <c r="AL8328" s="21" t="s">
        <v>470</v>
      </c>
      <c r="AM8328" s="21" t="s">
        <v>4760</v>
      </c>
      <c r="AN8328" s="21">
        <v>-122.42170666666701</v>
      </c>
      <c r="AO8328" s="21">
        <v>37.795585483333298</v>
      </c>
      <c r="AP8328" s="21" t="s">
        <v>951</v>
      </c>
    </row>
    <row r="8329" spans="1:42">
      <c r="A8329" s="20">
        <v>43858</v>
      </c>
      <c r="B8329" s="21">
        <v>2</v>
      </c>
      <c r="C8329" s="21">
        <v>217</v>
      </c>
      <c r="D8329" s="21">
        <v>14443</v>
      </c>
      <c r="E8329" s="21"/>
      <c r="F8329" s="21" t="s">
        <v>104</v>
      </c>
      <c r="G8329" s="21">
        <v>2</v>
      </c>
      <c r="H8329" s="21">
        <v>38</v>
      </c>
      <c r="I8329" s="23" t="s">
        <v>4489</v>
      </c>
      <c r="J8329" s="21"/>
      <c r="K8329" s="21" t="s">
        <v>414</v>
      </c>
      <c r="L8329" s="21" t="s">
        <v>141</v>
      </c>
      <c r="M8329" s="21"/>
      <c r="N8329" s="21" t="s">
        <v>40</v>
      </c>
      <c r="O8329" s="21">
        <v>71</v>
      </c>
      <c r="P8329" s="21"/>
      <c r="Q8329" s="21">
        <f t="shared" si="167"/>
        <v>1</v>
      </c>
      <c r="R8329" s="21">
        <v>1</v>
      </c>
      <c r="S8329" s="21">
        <v>0</v>
      </c>
      <c r="T8329" s="21">
        <v>0</v>
      </c>
      <c r="U8329" s="21">
        <v>0</v>
      </c>
      <c r="V8329" s="21">
        <v>1</v>
      </c>
      <c r="W8329" s="21">
        <v>0</v>
      </c>
      <c r="X8329" s="21">
        <v>0</v>
      </c>
      <c r="Y8329" s="21">
        <v>0</v>
      </c>
      <c r="Z8329" s="21">
        <v>0</v>
      </c>
      <c r="AA8329" s="21">
        <v>0</v>
      </c>
      <c r="AB8329" s="21">
        <v>0</v>
      </c>
      <c r="AC8329" s="21">
        <v>0</v>
      </c>
      <c r="AD8329" s="21">
        <v>0</v>
      </c>
      <c r="AE8329" s="21">
        <v>0</v>
      </c>
      <c r="AF8329" s="21">
        <v>0</v>
      </c>
      <c r="AG8329" s="21">
        <v>0</v>
      </c>
      <c r="AH8329" s="21">
        <f t="shared" si="168"/>
        <v>64</v>
      </c>
      <c r="AI8329" s="21"/>
      <c r="AJ8329" s="21" t="s">
        <v>51</v>
      </c>
      <c r="AK8329" s="21" t="s">
        <v>52</v>
      </c>
      <c r="AL8329" s="21"/>
      <c r="AM8329" s="21" t="s">
        <v>4761</v>
      </c>
      <c r="AN8329" s="21">
        <v>-122.42171228333299</v>
      </c>
      <c r="AO8329" s="21">
        <v>37.795461733333298</v>
      </c>
      <c r="AP8329" s="21" t="s">
        <v>951</v>
      </c>
    </row>
    <row r="8330" spans="1:42">
      <c r="A8330" s="20">
        <v>43858</v>
      </c>
      <c r="B8330" s="21">
        <v>2</v>
      </c>
      <c r="C8330" s="21">
        <v>217</v>
      </c>
      <c r="D8330" s="21">
        <v>14443</v>
      </c>
      <c r="E8330" s="21"/>
      <c r="F8330" s="21" t="s">
        <v>104</v>
      </c>
      <c r="G8330" s="21">
        <v>2</v>
      </c>
      <c r="H8330" s="21">
        <v>39</v>
      </c>
      <c r="I8330" s="23" t="s">
        <v>4762</v>
      </c>
      <c r="J8330" s="21"/>
      <c r="K8330" s="21" t="s">
        <v>414</v>
      </c>
      <c r="L8330" s="21"/>
      <c r="M8330" s="21"/>
      <c r="N8330" s="21" t="s">
        <v>44</v>
      </c>
      <c r="O8330" s="21">
        <v>130</v>
      </c>
      <c r="P8330" s="21"/>
      <c r="Q8330" s="21">
        <f t="shared" si="167"/>
        <v>2</v>
      </c>
      <c r="R8330" s="21">
        <v>1</v>
      </c>
      <c r="S8330" s="21">
        <v>0</v>
      </c>
      <c r="T8330" s="21">
        <v>0</v>
      </c>
      <c r="U8330" s="21">
        <v>1</v>
      </c>
      <c r="V8330" s="21">
        <v>0</v>
      </c>
      <c r="W8330" s="21">
        <v>1</v>
      </c>
      <c r="X8330" s="21">
        <v>0</v>
      </c>
      <c r="Y8330" s="21">
        <v>0</v>
      </c>
      <c r="Z8330" s="21">
        <v>0</v>
      </c>
      <c r="AA8330" s="21">
        <v>0</v>
      </c>
      <c r="AB8330" s="21">
        <v>0</v>
      </c>
      <c r="AC8330" s="21">
        <v>0</v>
      </c>
      <c r="AD8330" s="21">
        <v>0</v>
      </c>
      <c r="AE8330" s="21">
        <v>0</v>
      </c>
      <c r="AF8330" s="21">
        <v>0</v>
      </c>
      <c r="AG8330" s="21">
        <v>0</v>
      </c>
      <c r="AH8330" s="21">
        <f t="shared" si="168"/>
        <v>128</v>
      </c>
      <c r="AI8330" s="21"/>
      <c r="AJ8330" s="21" t="s">
        <v>51</v>
      </c>
      <c r="AK8330" s="21" t="s">
        <v>52</v>
      </c>
      <c r="AL8330" s="21" t="s">
        <v>4763</v>
      </c>
      <c r="AM8330" s="21" t="s">
        <v>4764</v>
      </c>
      <c r="AN8330" s="21">
        <v>-122.421657966667</v>
      </c>
      <c r="AO8330" s="21">
        <v>37.7954455</v>
      </c>
      <c r="AP8330" s="21" t="s">
        <v>951</v>
      </c>
    </row>
    <row r="8331" spans="1:42">
      <c r="A8331" s="20">
        <v>43858</v>
      </c>
      <c r="B8331" s="21">
        <v>2</v>
      </c>
      <c r="C8331" s="21">
        <v>217</v>
      </c>
      <c r="D8331" s="21">
        <v>14443</v>
      </c>
      <c r="E8331" s="21"/>
      <c r="F8331" s="21" t="s">
        <v>104</v>
      </c>
      <c r="G8331" s="21">
        <v>2</v>
      </c>
      <c r="H8331" s="21">
        <v>40</v>
      </c>
      <c r="I8331" s="23" t="s">
        <v>2896</v>
      </c>
      <c r="J8331" s="21"/>
      <c r="K8331" s="21" t="s">
        <v>414</v>
      </c>
      <c r="L8331" s="21"/>
      <c r="M8331" s="21"/>
      <c r="N8331" s="21" t="s">
        <v>44</v>
      </c>
      <c r="O8331" s="21">
        <v>82</v>
      </c>
      <c r="P8331" s="21"/>
      <c r="Q8331" s="21">
        <f t="shared" si="167"/>
        <v>2</v>
      </c>
      <c r="R8331" s="21">
        <v>1</v>
      </c>
      <c r="S8331" s="21">
        <v>0</v>
      </c>
      <c r="T8331" s="21">
        <v>0</v>
      </c>
      <c r="U8331" s="21">
        <v>0</v>
      </c>
      <c r="V8331" s="21">
        <v>2</v>
      </c>
      <c r="W8331" s="21">
        <v>0</v>
      </c>
      <c r="X8331" s="21">
        <v>0</v>
      </c>
      <c r="Y8331" s="21">
        <v>0</v>
      </c>
      <c r="Z8331" s="21">
        <v>0</v>
      </c>
      <c r="AA8331" s="21">
        <v>0</v>
      </c>
      <c r="AB8331" s="21">
        <v>0</v>
      </c>
      <c r="AC8331" s="21">
        <v>0</v>
      </c>
      <c r="AD8331" s="21">
        <v>0</v>
      </c>
      <c r="AE8331" s="21">
        <v>0</v>
      </c>
      <c r="AF8331" s="21">
        <v>0</v>
      </c>
      <c r="AG8331" s="21">
        <v>0</v>
      </c>
      <c r="AH8331" s="21">
        <f t="shared" si="168"/>
        <v>128</v>
      </c>
      <c r="AI8331" s="21"/>
      <c r="AJ8331" s="21" t="s">
        <v>51</v>
      </c>
      <c r="AK8331" s="21" t="s">
        <v>52</v>
      </c>
      <c r="AL8331" s="21"/>
      <c r="AM8331" s="21" t="s">
        <v>4765</v>
      </c>
      <c r="AN8331" s="21">
        <v>-122.421687866667</v>
      </c>
      <c r="AO8331" s="21">
        <v>37.795241033333298</v>
      </c>
      <c r="AP8331" s="21" t="s">
        <v>951</v>
      </c>
    </row>
    <row r="8332" spans="1:42">
      <c r="A8332" s="20">
        <v>43858</v>
      </c>
      <c r="B8332" s="21">
        <v>2</v>
      </c>
      <c r="C8332" s="21">
        <v>217</v>
      </c>
      <c r="D8332" s="21">
        <v>14443</v>
      </c>
      <c r="E8332" s="21"/>
      <c r="F8332" s="21" t="s">
        <v>104</v>
      </c>
      <c r="G8332" s="21">
        <v>2</v>
      </c>
      <c r="H8332" s="21">
        <v>41</v>
      </c>
      <c r="I8332" s="23" t="s">
        <v>4766</v>
      </c>
      <c r="J8332" s="21"/>
      <c r="K8332" t="s">
        <v>605</v>
      </c>
      <c r="L8332" s="21" t="s">
        <v>114</v>
      </c>
      <c r="M8332" s="21"/>
      <c r="N8332" s="21" t="s">
        <v>40</v>
      </c>
      <c r="O8332" s="21">
        <v>35</v>
      </c>
      <c r="P8332" s="21"/>
      <c r="Q8332" s="21">
        <f t="shared" si="167"/>
        <v>2</v>
      </c>
      <c r="R8332" s="21">
        <v>1</v>
      </c>
      <c r="S8332" s="21">
        <v>0</v>
      </c>
      <c r="T8332" s="21">
        <v>0</v>
      </c>
      <c r="U8332" s="21">
        <v>0</v>
      </c>
      <c r="V8332" s="21">
        <v>1</v>
      </c>
      <c r="W8332" s="21">
        <v>1</v>
      </c>
      <c r="X8332" s="21">
        <v>0</v>
      </c>
      <c r="Y8332" s="21">
        <v>0</v>
      </c>
      <c r="Z8332" s="21">
        <v>0</v>
      </c>
      <c r="AA8332" s="21">
        <v>0</v>
      </c>
      <c r="AB8332" s="21">
        <v>0</v>
      </c>
      <c r="AC8332" s="21">
        <v>0</v>
      </c>
      <c r="AD8332" s="21">
        <v>0</v>
      </c>
      <c r="AE8332" s="21">
        <v>0</v>
      </c>
      <c r="AF8332" s="21">
        <v>0</v>
      </c>
      <c r="AG8332" s="21">
        <v>0</v>
      </c>
      <c r="AH8332" s="21">
        <f t="shared" si="168"/>
        <v>160</v>
      </c>
      <c r="AI8332" s="21"/>
      <c r="AJ8332" s="21" t="s">
        <v>51</v>
      </c>
      <c r="AK8332" s="21" t="s">
        <v>95</v>
      </c>
      <c r="AL8332" s="21"/>
      <c r="AM8332" s="21" t="s">
        <v>4767</v>
      </c>
      <c r="AN8332" s="21">
        <v>-122.422421766667</v>
      </c>
      <c r="AO8332" s="21">
        <v>37.794919983333301</v>
      </c>
      <c r="AP8332" s="21" t="s">
        <v>951</v>
      </c>
    </row>
    <row r="8333" spans="1:42">
      <c r="A8333" s="20">
        <v>43858</v>
      </c>
      <c r="B8333" s="21">
        <v>2</v>
      </c>
      <c r="C8333" s="21">
        <v>217</v>
      </c>
      <c r="D8333" s="21">
        <v>14443</v>
      </c>
      <c r="E8333" s="21"/>
      <c r="F8333" s="21" t="s">
        <v>104</v>
      </c>
      <c r="G8333" s="21">
        <v>2</v>
      </c>
      <c r="H8333" s="21">
        <v>42</v>
      </c>
      <c r="I8333" s="23" t="s">
        <v>3298</v>
      </c>
      <c r="J8333" s="21"/>
      <c r="K8333" t="s">
        <v>605</v>
      </c>
      <c r="L8333" s="21" t="s">
        <v>114</v>
      </c>
      <c r="M8333" s="21"/>
      <c r="N8333" s="21" t="s">
        <v>40</v>
      </c>
      <c r="O8333" s="21">
        <v>41</v>
      </c>
      <c r="P8333" s="21"/>
      <c r="Q8333" s="21">
        <f t="shared" si="167"/>
        <v>2</v>
      </c>
      <c r="R8333" s="21">
        <v>1</v>
      </c>
      <c r="S8333" s="21">
        <v>0</v>
      </c>
      <c r="T8333" s="21">
        <v>0</v>
      </c>
      <c r="U8333" s="21">
        <v>0</v>
      </c>
      <c r="V8333" s="21">
        <v>0</v>
      </c>
      <c r="W8333" s="21">
        <v>2</v>
      </c>
      <c r="X8333" s="21">
        <v>0</v>
      </c>
      <c r="Y8333" s="21">
        <v>0</v>
      </c>
      <c r="Z8333" s="21">
        <v>0</v>
      </c>
      <c r="AA8333" s="21">
        <v>0</v>
      </c>
      <c r="AB8333" s="21">
        <v>0</v>
      </c>
      <c r="AC8333" s="21">
        <v>0</v>
      </c>
      <c r="AD8333" s="21">
        <v>0</v>
      </c>
      <c r="AE8333" s="21">
        <v>0</v>
      </c>
      <c r="AF8333" s="21">
        <v>0</v>
      </c>
      <c r="AG8333" s="21">
        <v>0</v>
      </c>
      <c r="AH8333" s="21">
        <f t="shared" si="168"/>
        <v>192</v>
      </c>
      <c r="AI8333" s="21"/>
      <c r="AJ8333" s="21" t="s">
        <v>51</v>
      </c>
      <c r="AK8333" s="21" t="s">
        <v>52</v>
      </c>
      <c r="AL8333" s="21"/>
      <c r="AM8333" s="21" t="s">
        <v>4768</v>
      </c>
      <c r="AN8333" s="21">
        <v>-122.4225028</v>
      </c>
      <c r="AO8333" s="21">
        <v>37.794945533333298</v>
      </c>
      <c r="AP8333" s="21" t="s">
        <v>951</v>
      </c>
    </row>
    <row r="8334" spans="1:42">
      <c r="A8334" s="20">
        <v>43858</v>
      </c>
      <c r="B8334" s="21">
        <v>2</v>
      </c>
      <c r="C8334" s="21">
        <v>217</v>
      </c>
      <c r="D8334" s="21">
        <v>14443</v>
      </c>
      <c r="E8334" s="21"/>
      <c r="F8334" s="21" t="s">
        <v>104</v>
      </c>
      <c r="G8334" s="21">
        <v>2</v>
      </c>
      <c r="H8334" s="21">
        <v>43</v>
      </c>
      <c r="I8334" s="23" t="s">
        <v>3100</v>
      </c>
      <c r="J8334" s="21"/>
      <c r="K8334" s="21" t="s">
        <v>415</v>
      </c>
      <c r="L8334" s="21" t="s">
        <v>114</v>
      </c>
      <c r="M8334" s="21"/>
      <c r="N8334" s="21" t="s">
        <v>40</v>
      </c>
      <c r="O8334" s="21">
        <v>76</v>
      </c>
      <c r="P8334" s="21"/>
      <c r="Q8334" s="21">
        <f t="shared" si="167"/>
        <v>3</v>
      </c>
      <c r="R8334" s="21">
        <v>1</v>
      </c>
      <c r="S8334" s="21">
        <v>0</v>
      </c>
      <c r="T8334" s="21">
        <v>0</v>
      </c>
      <c r="U8334" s="21">
        <v>1</v>
      </c>
      <c r="V8334" s="21">
        <v>1</v>
      </c>
      <c r="W8334" s="21">
        <v>1</v>
      </c>
      <c r="X8334" s="21">
        <v>0</v>
      </c>
      <c r="Y8334" s="21">
        <v>0</v>
      </c>
      <c r="Z8334" s="21">
        <v>0</v>
      </c>
      <c r="AA8334" s="21">
        <v>0</v>
      </c>
      <c r="AB8334" s="21">
        <v>0</v>
      </c>
      <c r="AC8334" s="21">
        <v>0</v>
      </c>
      <c r="AD8334" s="21">
        <v>0</v>
      </c>
      <c r="AE8334" s="21">
        <v>0</v>
      </c>
      <c r="AF8334" s="21">
        <v>0</v>
      </c>
      <c r="AG8334" s="21">
        <v>0</v>
      </c>
      <c r="AH8334" s="21">
        <f t="shared" si="168"/>
        <v>192</v>
      </c>
      <c r="AI8334" s="21"/>
      <c r="AJ8334" s="21" t="s">
        <v>51</v>
      </c>
      <c r="AK8334" s="21" t="s">
        <v>95</v>
      </c>
      <c r="AL8334" s="21" t="s">
        <v>4769</v>
      </c>
      <c r="AM8334" s="21" t="s">
        <v>4770</v>
      </c>
      <c r="AN8334" s="21">
        <v>-122.422800133333</v>
      </c>
      <c r="AO8334" s="21">
        <v>37.794913100000002</v>
      </c>
      <c r="AP8334" s="21" t="s">
        <v>951</v>
      </c>
    </row>
    <row r="8335" spans="1:42">
      <c r="A8335" s="20">
        <v>43858</v>
      </c>
      <c r="B8335" s="21">
        <v>2</v>
      </c>
      <c r="C8335" s="21">
        <v>217</v>
      </c>
      <c r="D8335" s="21">
        <v>14443</v>
      </c>
      <c r="E8335" s="21"/>
      <c r="F8335" s="21" t="s">
        <v>104</v>
      </c>
      <c r="G8335" s="21">
        <v>2</v>
      </c>
      <c r="H8335" s="21">
        <v>44</v>
      </c>
      <c r="I8335" s="23" t="s">
        <v>3100</v>
      </c>
      <c r="J8335" s="21"/>
      <c r="K8335" t="s">
        <v>605</v>
      </c>
      <c r="L8335" s="21" t="s">
        <v>141</v>
      </c>
      <c r="M8335" s="21"/>
      <c r="N8335" s="21" t="s">
        <v>40</v>
      </c>
      <c r="O8335" s="21">
        <v>48</v>
      </c>
      <c r="P8335" s="21"/>
      <c r="Q8335" s="21">
        <f t="shared" si="167"/>
        <v>1</v>
      </c>
      <c r="R8335" s="21">
        <v>1</v>
      </c>
      <c r="S8335" s="21">
        <v>0</v>
      </c>
      <c r="T8335" s="21">
        <v>0</v>
      </c>
      <c r="U8335" s="21">
        <v>0</v>
      </c>
      <c r="V8335" s="21">
        <v>0</v>
      </c>
      <c r="W8335" s="21">
        <v>0</v>
      </c>
      <c r="X8335" s="21">
        <v>1</v>
      </c>
      <c r="Y8335" s="21">
        <v>0</v>
      </c>
      <c r="Z8335" s="21">
        <v>0</v>
      </c>
      <c r="AA8335" s="21">
        <v>0</v>
      </c>
      <c r="AB8335" s="21">
        <v>0</v>
      </c>
      <c r="AC8335" s="21">
        <v>0</v>
      </c>
      <c r="AD8335" s="21">
        <v>0</v>
      </c>
      <c r="AE8335" s="21">
        <v>0</v>
      </c>
      <c r="AF8335" s="21">
        <v>0</v>
      </c>
      <c r="AG8335" s="21">
        <v>0</v>
      </c>
      <c r="AH8335" s="21">
        <f t="shared" si="168"/>
        <v>0</v>
      </c>
      <c r="AI8335" s="21"/>
      <c r="AJ8335" s="21" t="s">
        <v>51</v>
      </c>
      <c r="AK8335" s="21" t="s">
        <v>95</v>
      </c>
      <c r="AL8335" s="21" t="s">
        <v>4771</v>
      </c>
      <c r="AM8335" s="21" t="s">
        <v>4772</v>
      </c>
      <c r="AN8335" s="21">
        <v>-122.42292948333299</v>
      </c>
      <c r="AO8335" s="21">
        <v>37.794874016666597</v>
      </c>
      <c r="AP8335" s="21" t="s">
        <v>951</v>
      </c>
    </row>
    <row r="8336" spans="1:42">
      <c r="A8336" s="20">
        <v>43858</v>
      </c>
      <c r="B8336" s="21">
        <v>2</v>
      </c>
      <c r="C8336" s="21">
        <v>217</v>
      </c>
      <c r="D8336" s="21">
        <v>14443</v>
      </c>
      <c r="E8336" s="21"/>
      <c r="F8336" s="21" t="s">
        <v>104</v>
      </c>
      <c r="G8336" s="21">
        <v>2</v>
      </c>
      <c r="H8336" s="21">
        <v>45</v>
      </c>
      <c r="I8336" s="23" t="s">
        <v>4773</v>
      </c>
      <c r="J8336" s="21"/>
      <c r="K8336" s="21" t="s">
        <v>185</v>
      </c>
      <c r="L8336" s="21"/>
      <c r="M8336" s="21"/>
      <c r="N8336" s="21" t="s">
        <v>44</v>
      </c>
      <c r="O8336" s="21">
        <v>281</v>
      </c>
      <c r="P8336" s="21"/>
      <c r="Q8336" s="21">
        <f t="shared" si="167"/>
        <v>8</v>
      </c>
      <c r="R8336" s="21">
        <v>1</v>
      </c>
      <c r="S8336" s="21">
        <v>0</v>
      </c>
      <c r="T8336" s="21">
        <v>0</v>
      </c>
      <c r="U8336" s="21">
        <v>2</v>
      </c>
      <c r="V8336" s="21">
        <v>0</v>
      </c>
      <c r="W8336" s="21">
        <v>6</v>
      </c>
      <c r="X8336" s="21">
        <v>0</v>
      </c>
      <c r="Y8336" s="21">
        <v>0</v>
      </c>
      <c r="Z8336" s="21">
        <v>0</v>
      </c>
      <c r="AA8336" s="21">
        <v>0</v>
      </c>
      <c r="AB8336" s="21">
        <v>0</v>
      </c>
      <c r="AC8336" s="21">
        <v>0</v>
      </c>
      <c r="AD8336" s="21">
        <v>0</v>
      </c>
      <c r="AE8336" s="21">
        <v>0</v>
      </c>
      <c r="AF8336" s="21">
        <v>0</v>
      </c>
      <c r="AG8336" s="21">
        <v>0</v>
      </c>
      <c r="AH8336" s="21">
        <f t="shared" si="168"/>
        <v>640</v>
      </c>
      <c r="AI8336" s="21"/>
      <c r="AJ8336" s="21" t="s">
        <v>51</v>
      </c>
      <c r="AK8336" s="21" t="s">
        <v>95</v>
      </c>
      <c r="AL8336" s="21"/>
      <c r="AM8336" s="21" t="s">
        <v>4774</v>
      </c>
      <c r="AN8336" s="21">
        <v>-122.4235256</v>
      </c>
      <c r="AO8336" s="21">
        <v>37.796353033333297</v>
      </c>
      <c r="AP8336" s="21" t="s">
        <v>951</v>
      </c>
    </row>
    <row r="8337" spans="1:42">
      <c r="A8337" s="20">
        <v>43858</v>
      </c>
      <c r="B8337" s="21">
        <v>2</v>
      </c>
      <c r="C8337" s="21">
        <v>217</v>
      </c>
      <c r="D8337" s="21">
        <v>14443</v>
      </c>
      <c r="E8337" s="21"/>
      <c r="F8337" s="21" t="s">
        <v>104</v>
      </c>
      <c r="G8337" s="21">
        <v>2</v>
      </c>
      <c r="H8337" s="21">
        <v>46</v>
      </c>
      <c r="I8337" s="23" t="s">
        <v>4775</v>
      </c>
      <c r="J8337" s="21"/>
      <c r="K8337" s="21" t="s">
        <v>415</v>
      </c>
      <c r="L8337" s="21" t="s">
        <v>114</v>
      </c>
      <c r="M8337" s="21"/>
      <c r="N8337" s="21" t="s">
        <v>40</v>
      </c>
      <c r="O8337" s="21">
        <v>110</v>
      </c>
      <c r="P8337" s="21"/>
      <c r="Q8337" s="21">
        <f t="shared" si="167"/>
        <v>5</v>
      </c>
      <c r="R8337" s="21">
        <v>1</v>
      </c>
      <c r="S8337" s="21">
        <v>0</v>
      </c>
      <c r="T8337" s="21">
        <v>0</v>
      </c>
      <c r="U8337" s="21">
        <v>4</v>
      </c>
      <c r="V8337" s="21">
        <v>1</v>
      </c>
      <c r="W8337" s="21">
        <v>0</v>
      </c>
      <c r="X8337" s="21">
        <v>0</v>
      </c>
      <c r="Y8337" s="21">
        <v>0</v>
      </c>
      <c r="Z8337" s="21">
        <v>0</v>
      </c>
      <c r="AA8337" s="21">
        <v>0</v>
      </c>
      <c r="AB8337" s="21">
        <v>0</v>
      </c>
      <c r="AC8337" s="21">
        <v>0</v>
      </c>
      <c r="AD8337" s="21">
        <v>0</v>
      </c>
      <c r="AE8337" s="21">
        <v>0</v>
      </c>
      <c r="AF8337" s="21">
        <v>0</v>
      </c>
      <c r="AG8337" s="21">
        <v>0</v>
      </c>
      <c r="AH8337" s="21">
        <f t="shared" si="168"/>
        <v>192</v>
      </c>
      <c r="AI8337" s="21"/>
      <c r="AJ8337" s="21" t="s">
        <v>51</v>
      </c>
      <c r="AK8337" s="21" t="s">
        <v>95</v>
      </c>
      <c r="AL8337" s="21"/>
      <c r="AM8337" s="21" t="s">
        <v>4776</v>
      </c>
      <c r="AN8337" s="21">
        <v>-122.42297733333299</v>
      </c>
      <c r="AO8337" s="21">
        <v>37.796690883333298</v>
      </c>
      <c r="AP8337" s="21" t="s">
        <v>951</v>
      </c>
    </row>
    <row r="8338" spans="1:42">
      <c r="A8338" s="20">
        <v>43858</v>
      </c>
      <c r="B8338" s="21">
        <v>2</v>
      </c>
      <c r="C8338" s="21">
        <v>217</v>
      </c>
      <c r="D8338" s="21">
        <v>14443</v>
      </c>
      <c r="E8338" s="21"/>
      <c r="F8338" s="21" t="s">
        <v>104</v>
      </c>
      <c r="G8338" s="21">
        <v>2</v>
      </c>
      <c r="H8338" s="21">
        <v>47</v>
      </c>
      <c r="I8338" s="23" t="s">
        <v>4421</v>
      </c>
      <c r="J8338" s="21"/>
      <c r="K8338" t="s">
        <v>585</v>
      </c>
      <c r="L8338" s="21" t="s">
        <v>141</v>
      </c>
      <c r="M8338" s="21"/>
      <c r="N8338" s="21" t="s">
        <v>42</v>
      </c>
      <c r="O8338" s="21">
        <v>102</v>
      </c>
      <c r="P8338" s="21"/>
      <c r="Q8338" s="21">
        <f t="shared" si="167"/>
        <v>2</v>
      </c>
      <c r="R8338" s="21">
        <v>1</v>
      </c>
      <c r="S8338" s="21">
        <v>0</v>
      </c>
      <c r="T8338" s="21">
        <v>0</v>
      </c>
      <c r="U8338" s="21">
        <v>1</v>
      </c>
      <c r="V8338" s="21">
        <v>0</v>
      </c>
      <c r="W8338" s="21">
        <v>1</v>
      </c>
      <c r="X8338" s="21">
        <v>0</v>
      </c>
      <c r="Y8338" s="21">
        <v>0</v>
      </c>
      <c r="Z8338" s="21">
        <v>0</v>
      </c>
      <c r="AA8338" s="21">
        <v>0</v>
      </c>
      <c r="AB8338" s="21">
        <v>0</v>
      </c>
      <c r="AC8338" s="21">
        <v>0</v>
      </c>
      <c r="AD8338" s="21">
        <v>0</v>
      </c>
      <c r="AE8338" s="21">
        <v>0</v>
      </c>
      <c r="AF8338" s="21">
        <v>0</v>
      </c>
      <c r="AG8338" s="21">
        <v>0</v>
      </c>
      <c r="AH8338" s="21">
        <f t="shared" si="168"/>
        <v>128</v>
      </c>
      <c r="AI8338" s="21"/>
      <c r="AJ8338" s="21" t="s">
        <v>51</v>
      </c>
      <c r="AK8338" s="21" t="s">
        <v>95</v>
      </c>
      <c r="AL8338" s="21"/>
      <c r="AM8338" s="21" t="s">
        <v>4777</v>
      </c>
      <c r="AN8338" s="21">
        <v>-122.422763283333</v>
      </c>
      <c r="AO8338" s="21">
        <v>37.796820183333303</v>
      </c>
      <c r="AP8338" s="21" t="s">
        <v>951</v>
      </c>
    </row>
    <row r="8339" spans="1:42">
      <c r="A8339" s="20">
        <v>43858</v>
      </c>
      <c r="B8339" s="21">
        <v>2</v>
      </c>
      <c r="C8339" s="21">
        <v>217</v>
      </c>
      <c r="D8339" s="21">
        <v>14443</v>
      </c>
      <c r="E8339" s="21"/>
      <c r="F8339" s="21" t="s">
        <v>104</v>
      </c>
      <c r="G8339" s="21">
        <v>2</v>
      </c>
      <c r="H8339" s="21">
        <v>48</v>
      </c>
      <c r="I8339" s="23" t="s">
        <v>4778</v>
      </c>
      <c r="J8339" s="21"/>
      <c r="K8339" t="s">
        <v>605</v>
      </c>
      <c r="L8339" s="21" t="s">
        <v>141</v>
      </c>
      <c r="M8339" s="21"/>
      <c r="N8339" s="21" t="s">
        <v>40</v>
      </c>
      <c r="O8339" s="21">
        <v>96</v>
      </c>
      <c r="P8339" s="21"/>
      <c r="Q8339" s="21">
        <f t="shared" si="167"/>
        <v>5</v>
      </c>
      <c r="R8339" s="21">
        <v>1</v>
      </c>
      <c r="S8339" s="21">
        <v>0</v>
      </c>
      <c r="T8339" s="21">
        <v>0</v>
      </c>
      <c r="U8339" s="21">
        <v>5</v>
      </c>
      <c r="V8339" s="21">
        <v>0</v>
      </c>
      <c r="W8339" s="21">
        <v>0</v>
      </c>
      <c r="X8339" s="21">
        <v>0</v>
      </c>
      <c r="Y8339" s="21">
        <v>0</v>
      </c>
      <c r="Z8339" s="21">
        <v>0</v>
      </c>
      <c r="AA8339" s="21">
        <v>0</v>
      </c>
      <c r="AB8339" s="21">
        <v>0</v>
      </c>
      <c r="AC8339" s="21">
        <v>0</v>
      </c>
      <c r="AD8339" s="21">
        <v>0</v>
      </c>
      <c r="AE8339" s="21">
        <v>0</v>
      </c>
      <c r="AF8339" s="21">
        <v>0</v>
      </c>
      <c r="AG8339" s="21">
        <v>0</v>
      </c>
      <c r="AH8339" s="21">
        <f t="shared" si="168"/>
        <v>160</v>
      </c>
      <c r="AI8339" s="21"/>
      <c r="AJ8339" s="21" t="s">
        <v>51</v>
      </c>
      <c r="AK8339" s="21" t="s">
        <v>95</v>
      </c>
      <c r="AL8339" s="21"/>
      <c r="AM8339" s="21" t="s">
        <v>4779</v>
      </c>
      <c r="AN8339" s="21">
        <v>-122.42284841666699</v>
      </c>
      <c r="AO8339" s="21">
        <v>37.7940112</v>
      </c>
      <c r="AP8339" s="21" t="s">
        <v>951</v>
      </c>
    </row>
    <row r="8340" spans="1:42">
      <c r="A8340" s="20">
        <v>43858</v>
      </c>
      <c r="B8340" s="21">
        <v>2</v>
      </c>
      <c r="C8340" s="21">
        <v>217</v>
      </c>
      <c r="D8340" s="21">
        <v>14443</v>
      </c>
      <c r="E8340" s="21"/>
      <c r="F8340" s="21" t="s">
        <v>104</v>
      </c>
      <c r="G8340" s="21">
        <v>2</v>
      </c>
      <c r="H8340" s="21">
        <v>50</v>
      </c>
      <c r="I8340" s="23" t="s">
        <v>3623</v>
      </c>
      <c r="J8340" s="21"/>
      <c r="K8340" t="s">
        <v>605</v>
      </c>
      <c r="L8340" s="21"/>
      <c r="M8340" s="21"/>
      <c r="N8340" s="21" t="s">
        <v>44</v>
      </c>
      <c r="O8340" s="21">
        <v>301</v>
      </c>
      <c r="P8340" s="21"/>
      <c r="Q8340" s="21">
        <f t="shared" si="167"/>
        <v>2</v>
      </c>
      <c r="R8340" s="21">
        <v>1</v>
      </c>
      <c r="S8340" s="21">
        <v>0</v>
      </c>
      <c r="T8340" s="21">
        <v>0</v>
      </c>
      <c r="U8340" s="21">
        <v>1</v>
      </c>
      <c r="V8340" s="21">
        <v>0</v>
      </c>
      <c r="W8340" s="21">
        <v>1</v>
      </c>
      <c r="X8340" s="21">
        <v>0</v>
      </c>
      <c r="Y8340" s="21">
        <v>0</v>
      </c>
      <c r="Z8340" s="21">
        <v>0</v>
      </c>
      <c r="AA8340" s="21">
        <v>0</v>
      </c>
      <c r="AB8340" s="21">
        <v>0</v>
      </c>
      <c r="AC8340" s="21">
        <v>0</v>
      </c>
      <c r="AD8340" s="21">
        <v>0</v>
      </c>
      <c r="AE8340" s="21">
        <v>0</v>
      </c>
      <c r="AF8340" s="21">
        <v>0</v>
      </c>
      <c r="AG8340" s="21">
        <v>0</v>
      </c>
      <c r="AH8340" s="21">
        <f t="shared" si="168"/>
        <v>128</v>
      </c>
      <c r="AI8340" s="21"/>
      <c r="AJ8340" s="21" t="s">
        <v>51</v>
      </c>
      <c r="AK8340" s="21" t="s">
        <v>95</v>
      </c>
      <c r="AL8340" s="21" t="s">
        <v>4780</v>
      </c>
      <c r="AM8340" s="21" t="s">
        <v>4781</v>
      </c>
      <c r="AN8340" s="21">
        <v>-122.418248110676</v>
      </c>
      <c r="AO8340" s="21">
        <v>37.793586083467098</v>
      </c>
      <c r="AP8340" s="21" t="s">
        <v>951</v>
      </c>
    </row>
    <row r="8341" spans="1:42">
      <c r="A8341" s="20">
        <v>43858</v>
      </c>
      <c r="B8341" s="21">
        <v>2</v>
      </c>
      <c r="C8341" s="21">
        <v>217</v>
      </c>
      <c r="D8341" s="21">
        <v>14443</v>
      </c>
      <c r="E8341" s="21"/>
      <c r="F8341" s="21" t="s">
        <v>104</v>
      </c>
      <c r="G8341" s="21">
        <v>2</v>
      </c>
      <c r="H8341" s="21">
        <v>51</v>
      </c>
      <c r="I8341" s="23" t="s">
        <v>3605</v>
      </c>
      <c r="J8341" s="21"/>
      <c r="K8341" t="s">
        <v>605</v>
      </c>
      <c r="L8341" s="21" t="s">
        <v>141</v>
      </c>
      <c r="M8341" s="21"/>
      <c r="N8341" s="21" t="s">
        <v>40</v>
      </c>
      <c r="O8341" s="21">
        <v>110</v>
      </c>
      <c r="P8341" s="21"/>
      <c r="Q8341" s="21">
        <f t="shared" si="167"/>
        <v>4</v>
      </c>
      <c r="R8341" s="21">
        <v>1</v>
      </c>
      <c r="S8341" s="21">
        <v>0</v>
      </c>
      <c r="T8341" s="21">
        <v>0</v>
      </c>
      <c r="U8341" s="21">
        <v>2</v>
      </c>
      <c r="V8341" s="21">
        <v>2</v>
      </c>
      <c r="W8341" s="21">
        <v>0</v>
      </c>
      <c r="X8341" s="21">
        <v>0</v>
      </c>
      <c r="Y8341" s="21">
        <v>0</v>
      </c>
      <c r="Z8341" s="21">
        <v>0</v>
      </c>
      <c r="AA8341" s="21">
        <v>0</v>
      </c>
      <c r="AB8341" s="21">
        <v>0</v>
      </c>
      <c r="AC8341" s="21">
        <v>0</v>
      </c>
      <c r="AD8341" s="21">
        <v>0</v>
      </c>
      <c r="AE8341" s="21">
        <v>0</v>
      </c>
      <c r="AF8341" s="21">
        <v>0</v>
      </c>
      <c r="AG8341" s="21">
        <v>0</v>
      </c>
      <c r="AH8341" s="21">
        <f t="shared" si="168"/>
        <v>192</v>
      </c>
      <c r="AI8341" s="21"/>
      <c r="AJ8341" s="21" t="s">
        <v>51</v>
      </c>
      <c r="AK8341" s="21" t="s">
        <v>95</v>
      </c>
      <c r="AL8341" s="21"/>
      <c r="AM8341" s="21" t="s">
        <v>4782</v>
      </c>
      <c r="AN8341" s="21">
        <v>-122.42042456666699</v>
      </c>
      <c r="AO8341" s="21">
        <v>37.795207816666696</v>
      </c>
      <c r="AP8341" s="21" t="s">
        <v>951</v>
      </c>
    </row>
    <row r="8342" spans="1:42">
      <c r="A8342" s="20">
        <v>43858</v>
      </c>
      <c r="B8342" s="21">
        <v>2</v>
      </c>
      <c r="C8342" s="21">
        <v>217</v>
      </c>
      <c r="D8342" s="21">
        <v>14443</v>
      </c>
      <c r="E8342" s="21"/>
      <c r="F8342" s="21" t="s">
        <v>104</v>
      </c>
      <c r="G8342" s="21">
        <v>2</v>
      </c>
      <c r="H8342" s="21">
        <v>52</v>
      </c>
      <c r="I8342" s="23" t="s">
        <v>3651</v>
      </c>
      <c r="J8342" s="21"/>
      <c r="K8342" t="s">
        <v>605</v>
      </c>
      <c r="L8342" s="21" t="s">
        <v>141</v>
      </c>
      <c r="M8342" s="21"/>
      <c r="N8342" s="21" t="s">
        <v>40</v>
      </c>
      <c r="O8342" s="21">
        <v>50</v>
      </c>
      <c r="P8342" s="21"/>
      <c r="Q8342" s="21">
        <f t="shared" si="167"/>
        <v>2</v>
      </c>
      <c r="R8342" s="21">
        <v>1</v>
      </c>
      <c r="S8342" s="21">
        <v>0</v>
      </c>
      <c r="T8342" s="21">
        <v>0</v>
      </c>
      <c r="U8342" s="21">
        <v>1</v>
      </c>
      <c r="V8342" s="21">
        <v>0</v>
      </c>
      <c r="W8342" s="21">
        <v>1</v>
      </c>
      <c r="X8342" s="21">
        <v>0</v>
      </c>
      <c r="Y8342" s="21">
        <v>0</v>
      </c>
      <c r="Z8342" s="21">
        <v>0</v>
      </c>
      <c r="AA8342" s="21">
        <v>0</v>
      </c>
      <c r="AB8342" s="21">
        <v>0</v>
      </c>
      <c r="AC8342" s="21">
        <v>0</v>
      </c>
      <c r="AD8342" s="21">
        <v>0</v>
      </c>
      <c r="AE8342" s="21">
        <v>0</v>
      </c>
      <c r="AF8342" s="21">
        <v>0</v>
      </c>
      <c r="AG8342" s="21">
        <v>0</v>
      </c>
      <c r="AH8342" s="21">
        <f t="shared" si="168"/>
        <v>128</v>
      </c>
      <c r="AI8342" s="21"/>
      <c r="AJ8342" s="21" t="s">
        <v>51</v>
      </c>
      <c r="AK8342" s="21" t="s">
        <v>95</v>
      </c>
      <c r="AL8342" s="21"/>
      <c r="AM8342" s="21" t="s">
        <v>4783</v>
      </c>
      <c r="AN8342" s="21">
        <v>-122.42019361666701</v>
      </c>
      <c r="AO8342" s="21">
        <v>37.795217616666598</v>
      </c>
      <c r="AP8342" s="21" t="s">
        <v>951</v>
      </c>
    </row>
    <row r="8343" spans="1:42">
      <c r="A8343" s="20">
        <v>43858</v>
      </c>
      <c r="B8343" s="21">
        <v>2</v>
      </c>
      <c r="C8343" s="21">
        <v>217</v>
      </c>
      <c r="D8343" s="21">
        <v>14443</v>
      </c>
      <c r="E8343" s="21"/>
      <c r="F8343" s="21" t="s">
        <v>104</v>
      </c>
      <c r="G8343" s="21">
        <v>2</v>
      </c>
      <c r="H8343" s="21">
        <v>53</v>
      </c>
      <c r="I8343" s="23" t="s">
        <v>2791</v>
      </c>
      <c r="J8343" s="21"/>
      <c r="K8343" s="21" t="s">
        <v>414</v>
      </c>
      <c r="L8343" s="21" t="s">
        <v>114</v>
      </c>
      <c r="M8343" s="21"/>
      <c r="N8343" s="21" t="s">
        <v>40</v>
      </c>
      <c r="O8343" s="21">
        <v>59</v>
      </c>
      <c r="P8343" s="21"/>
      <c r="Q8343" s="21">
        <f t="shared" si="167"/>
        <v>2</v>
      </c>
      <c r="R8343" s="21">
        <v>1</v>
      </c>
      <c r="S8343" s="21">
        <v>0</v>
      </c>
      <c r="T8343" s="21">
        <v>0</v>
      </c>
      <c r="U8343" s="21">
        <v>0</v>
      </c>
      <c r="V8343" s="21">
        <v>2</v>
      </c>
      <c r="W8343" s="21">
        <v>0</v>
      </c>
      <c r="X8343" s="21">
        <v>0</v>
      </c>
      <c r="Y8343" s="21">
        <v>0</v>
      </c>
      <c r="Z8343" s="21">
        <v>0</v>
      </c>
      <c r="AA8343" s="21">
        <v>0</v>
      </c>
      <c r="AB8343" s="21">
        <v>0</v>
      </c>
      <c r="AC8343" s="21">
        <v>0</v>
      </c>
      <c r="AD8343" s="21">
        <v>0</v>
      </c>
      <c r="AE8343" s="21">
        <v>0</v>
      </c>
      <c r="AF8343" s="21">
        <v>0</v>
      </c>
      <c r="AG8343" s="21">
        <v>0</v>
      </c>
      <c r="AH8343" s="21">
        <f t="shared" si="168"/>
        <v>128</v>
      </c>
      <c r="AI8343" s="21"/>
      <c r="AJ8343" s="21" t="s">
        <v>51</v>
      </c>
      <c r="AK8343" s="21" t="s">
        <v>95</v>
      </c>
      <c r="AL8343" s="21"/>
      <c r="AM8343" s="21" t="s">
        <v>4784</v>
      </c>
      <c r="AN8343" s="21">
        <v>-122.42105535</v>
      </c>
      <c r="AO8343" s="21">
        <v>37.794198066666702</v>
      </c>
      <c r="AP8343" s="21" t="s">
        <v>951</v>
      </c>
    </row>
    <row r="8344" spans="1:42">
      <c r="A8344" s="20">
        <v>43858</v>
      </c>
      <c r="B8344" s="21">
        <v>2</v>
      </c>
      <c r="C8344" s="21">
        <v>217</v>
      </c>
      <c r="D8344" s="21">
        <v>14443</v>
      </c>
      <c r="E8344" s="21"/>
      <c r="F8344" s="21" t="s">
        <v>104</v>
      </c>
      <c r="G8344" s="21">
        <v>2</v>
      </c>
      <c r="H8344" s="21">
        <v>54</v>
      </c>
      <c r="I8344" s="23" t="s">
        <v>2791</v>
      </c>
      <c r="J8344" s="21"/>
      <c r="K8344" s="21" t="s">
        <v>415</v>
      </c>
      <c r="L8344" s="21"/>
      <c r="M8344" s="21"/>
      <c r="N8344" s="21" t="s">
        <v>44</v>
      </c>
      <c r="O8344" s="21">
        <v>135</v>
      </c>
      <c r="P8344" s="21"/>
      <c r="Q8344" s="21">
        <f t="shared" si="167"/>
        <v>2</v>
      </c>
      <c r="R8344" s="21">
        <v>1</v>
      </c>
      <c r="S8344" s="21">
        <v>0</v>
      </c>
      <c r="T8344" s="21">
        <v>0</v>
      </c>
      <c r="U8344" s="21">
        <v>1</v>
      </c>
      <c r="V8344" s="21">
        <v>0</v>
      </c>
      <c r="W8344" s="21">
        <v>1</v>
      </c>
      <c r="X8344" s="21">
        <v>0</v>
      </c>
      <c r="Y8344" s="21">
        <v>0</v>
      </c>
      <c r="Z8344" s="21">
        <v>0</v>
      </c>
      <c r="AA8344" s="21">
        <v>0</v>
      </c>
      <c r="AB8344" s="21">
        <v>0</v>
      </c>
      <c r="AC8344" s="21">
        <v>0</v>
      </c>
      <c r="AD8344" s="21">
        <v>0</v>
      </c>
      <c r="AE8344" s="21">
        <v>0</v>
      </c>
      <c r="AF8344" s="21">
        <v>0</v>
      </c>
      <c r="AG8344" s="21">
        <v>0</v>
      </c>
      <c r="AH8344" s="21">
        <f t="shared" si="168"/>
        <v>128</v>
      </c>
      <c r="AI8344" s="21"/>
      <c r="AJ8344" s="21" t="s">
        <v>51</v>
      </c>
      <c r="AK8344" s="21" t="s">
        <v>95</v>
      </c>
      <c r="AL8344" s="21"/>
      <c r="AM8344" s="21" t="s">
        <v>4785</v>
      </c>
      <c r="AN8344" s="21">
        <v>-122.421483560515</v>
      </c>
      <c r="AO8344" s="21">
        <v>37.791474407663003</v>
      </c>
      <c r="AP8344" s="21" t="s">
        <v>951</v>
      </c>
    </row>
    <row r="8345" spans="1:42">
      <c r="A8345" s="20">
        <v>43858</v>
      </c>
      <c r="B8345" s="21">
        <v>2</v>
      </c>
      <c r="C8345" s="21">
        <v>217</v>
      </c>
      <c r="D8345" s="21">
        <v>14443</v>
      </c>
      <c r="E8345" s="21"/>
      <c r="F8345" s="21" t="s">
        <v>104</v>
      </c>
      <c r="G8345" s="21">
        <v>2</v>
      </c>
      <c r="H8345" s="21">
        <v>55</v>
      </c>
      <c r="I8345" s="23" t="s">
        <v>4786</v>
      </c>
      <c r="J8345" s="21"/>
      <c r="K8345" s="21" t="s">
        <v>414</v>
      </c>
      <c r="L8345" s="21"/>
      <c r="M8345" s="21"/>
      <c r="N8345" s="21" t="s">
        <v>44</v>
      </c>
      <c r="O8345" s="21">
        <v>405</v>
      </c>
      <c r="P8345" s="21"/>
      <c r="Q8345" s="21">
        <f t="shared" si="167"/>
        <v>4</v>
      </c>
      <c r="R8345" s="21">
        <v>1</v>
      </c>
      <c r="S8345" s="21">
        <v>0</v>
      </c>
      <c r="T8345" s="21">
        <v>0</v>
      </c>
      <c r="U8345" s="21">
        <v>0</v>
      </c>
      <c r="V8345" s="21">
        <v>1</v>
      </c>
      <c r="W8345" s="21">
        <v>3</v>
      </c>
      <c r="X8345" s="21">
        <v>0</v>
      </c>
      <c r="Y8345" s="21">
        <v>0</v>
      </c>
      <c r="Z8345" s="21">
        <v>0</v>
      </c>
      <c r="AA8345" s="21">
        <v>0</v>
      </c>
      <c r="AB8345" s="21">
        <v>0</v>
      </c>
      <c r="AC8345" s="21">
        <v>0</v>
      </c>
      <c r="AD8345" s="21">
        <v>0</v>
      </c>
      <c r="AE8345" s="21">
        <v>0</v>
      </c>
      <c r="AF8345" s="21">
        <v>0</v>
      </c>
      <c r="AG8345" s="21">
        <v>0</v>
      </c>
      <c r="AH8345" s="21">
        <f t="shared" si="168"/>
        <v>352</v>
      </c>
      <c r="AI8345" s="21"/>
      <c r="AJ8345" s="21" t="s">
        <v>51</v>
      </c>
      <c r="AK8345" s="21" t="s">
        <v>95</v>
      </c>
      <c r="AL8345" s="21" t="s">
        <v>4787</v>
      </c>
      <c r="AM8345" s="21" t="s">
        <v>4788</v>
      </c>
      <c r="AN8345" s="21">
        <v>-122.421404533333</v>
      </c>
      <c r="AO8345" s="21">
        <v>37.793705166666697</v>
      </c>
      <c r="AP8345" s="21" t="s">
        <v>951</v>
      </c>
    </row>
    <row r="8346" spans="1:42">
      <c r="A8346" s="20">
        <v>43858</v>
      </c>
      <c r="B8346" s="21">
        <v>2</v>
      </c>
      <c r="C8346" s="21">
        <v>217</v>
      </c>
      <c r="D8346" s="21">
        <v>14443</v>
      </c>
      <c r="E8346" s="21"/>
      <c r="F8346" s="21" t="s">
        <v>104</v>
      </c>
      <c r="G8346" s="21">
        <v>2</v>
      </c>
      <c r="H8346" s="21">
        <v>56</v>
      </c>
      <c r="I8346" s="23" t="s">
        <v>4789</v>
      </c>
      <c r="J8346" s="21"/>
      <c r="K8346" s="21" t="s">
        <v>420</v>
      </c>
      <c r="L8346" s="21" t="s">
        <v>114</v>
      </c>
      <c r="M8346" s="21"/>
      <c r="N8346" s="21" t="s">
        <v>44</v>
      </c>
      <c r="O8346" s="21">
        <v>78</v>
      </c>
      <c r="P8346" s="21"/>
      <c r="Q8346" s="21">
        <f t="shared" si="167"/>
        <v>2</v>
      </c>
      <c r="R8346" s="21">
        <v>1</v>
      </c>
      <c r="S8346" s="21">
        <v>0</v>
      </c>
      <c r="T8346" s="21">
        <v>0</v>
      </c>
      <c r="U8346" s="21">
        <v>0</v>
      </c>
      <c r="V8346" s="21">
        <v>1</v>
      </c>
      <c r="W8346" s="21">
        <v>1</v>
      </c>
      <c r="X8346" s="21">
        <v>0</v>
      </c>
      <c r="Y8346" s="21">
        <v>0</v>
      </c>
      <c r="Z8346" s="21">
        <v>0</v>
      </c>
      <c r="AA8346" s="21">
        <v>0</v>
      </c>
      <c r="AB8346" s="21">
        <v>0</v>
      </c>
      <c r="AC8346" s="21">
        <v>0</v>
      </c>
      <c r="AD8346" s="21">
        <v>0</v>
      </c>
      <c r="AE8346" s="21">
        <v>0</v>
      </c>
      <c r="AF8346" s="21">
        <v>0</v>
      </c>
      <c r="AG8346" s="21">
        <v>0</v>
      </c>
      <c r="AH8346" s="21">
        <f t="shared" si="168"/>
        <v>160</v>
      </c>
      <c r="AI8346" s="21"/>
      <c r="AJ8346" s="21" t="s">
        <v>51</v>
      </c>
      <c r="AK8346" s="21" t="s">
        <v>95</v>
      </c>
      <c r="AL8346" s="21" t="s">
        <v>4790</v>
      </c>
      <c r="AM8346" s="21" t="s">
        <v>4791</v>
      </c>
      <c r="AN8346" s="21">
        <v>-122.4202761</v>
      </c>
      <c r="AO8346" s="21">
        <v>37.795202866666699</v>
      </c>
      <c r="AP8346" s="21" t="s">
        <v>951</v>
      </c>
    </row>
    <row r="8347" spans="1:42">
      <c r="A8347" s="20">
        <v>43858</v>
      </c>
      <c r="B8347" s="21">
        <v>2</v>
      </c>
      <c r="C8347" s="21">
        <v>217</v>
      </c>
      <c r="D8347" s="21">
        <v>14443</v>
      </c>
      <c r="E8347" s="21"/>
      <c r="F8347" s="21" t="s">
        <v>104</v>
      </c>
      <c r="G8347" s="21">
        <v>2</v>
      </c>
      <c r="H8347" s="21">
        <v>57</v>
      </c>
      <c r="I8347" s="23" t="s">
        <v>3337</v>
      </c>
      <c r="J8347" s="21"/>
      <c r="K8347" t="s">
        <v>605</v>
      </c>
      <c r="L8347" s="21" t="s">
        <v>114</v>
      </c>
      <c r="M8347" s="21"/>
      <c r="N8347" s="21" t="s">
        <v>40</v>
      </c>
      <c r="O8347" s="21">
        <v>87</v>
      </c>
      <c r="P8347" s="21"/>
      <c r="Q8347" s="21">
        <f t="shared" si="167"/>
        <v>5</v>
      </c>
      <c r="R8347" s="21">
        <v>1</v>
      </c>
      <c r="S8347" s="21">
        <v>0</v>
      </c>
      <c r="T8347" s="21">
        <v>0</v>
      </c>
      <c r="U8347" s="21">
        <v>2</v>
      </c>
      <c r="V8347" s="21">
        <v>3</v>
      </c>
      <c r="W8347" s="21">
        <v>0</v>
      </c>
      <c r="X8347" s="21">
        <v>0</v>
      </c>
      <c r="Y8347" s="21">
        <v>0</v>
      </c>
      <c r="Z8347" s="21">
        <v>0</v>
      </c>
      <c r="AA8347" s="21">
        <v>0</v>
      </c>
      <c r="AB8347" s="21">
        <v>0</v>
      </c>
      <c r="AC8347" s="21">
        <v>0</v>
      </c>
      <c r="AD8347" s="21">
        <v>0</v>
      </c>
      <c r="AE8347" s="21">
        <v>0</v>
      </c>
      <c r="AF8347" s="21">
        <v>0</v>
      </c>
      <c r="AG8347" s="21">
        <v>0</v>
      </c>
      <c r="AH8347" s="21">
        <f t="shared" si="168"/>
        <v>256</v>
      </c>
      <c r="AI8347" s="21"/>
      <c r="AJ8347" s="21"/>
      <c r="AK8347" s="21"/>
      <c r="AL8347" s="21"/>
      <c r="AM8347" s="21" t="s">
        <v>4792</v>
      </c>
      <c r="AN8347" s="21">
        <v>-122.42042643333301</v>
      </c>
      <c r="AO8347" s="21">
        <v>37.795189933333297</v>
      </c>
      <c r="AP8347" s="21" t="s">
        <v>951</v>
      </c>
    </row>
    <row r="8348" spans="1:42">
      <c r="A8348" s="20">
        <v>43858</v>
      </c>
      <c r="B8348" s="21">
        <v>2</v>
      </c>
      <c r="C8348" s="21">
        <v>217</v>
      </c>
      <c r="D8348" s="21">
        <v>14443</v>
      </c>
      <c r="E8348" s="21"/>
      <c r="F8348" s="21" t="s">
        <v>104</v>
      </c>
      <c r="G8348" s="21">
        <v>2</v>
      </c>
      <c r="H8348" s="21">
        <v>58</v>
      </c>
      <c r="I8348" s="23" t="s">
        <v>4793</v>
      </c>
      <c r="J8348" s="21"/>
      <c r="K8348" t="s">
        <v>605</v>
      </c>
      <c r="L8348" s="21" t="s">
        <v>114</v>
      </c>
      <c r="M8348" s="21"/>
      <c r="N8348" s="21" t="s">
        <v>40</v>
      </c>
      <c r="O8348" s="21">
        <v>31</v>
      </c>
      <c r="P8348" s="21"/>
      <c r="Q8348" s="21">
        <f t="shared" si="167"/>
        <v>2</v>
      </c>
      <c r="R8348" s="21">
        <v>1</v>
      </c>
      <c r="S8348" s="21">
        <v>0</v>
      </c>
      <c r="T8348" s="21">
        <v>0</v>
      </c>
      <c r="U8348" s="21">
        <v>0</v>
      </c>
      <c r="V8348" s="21">
        <v>2</v>
      </c>
      <c r="W8348" s="21">
        <v>0</v>
      </c>
      <c r="X8348" s="21">
        <v>0</v>
      </c>
      <c r="Y8348" s="21">
        <v>0</v>
      </c>
      <c r="Z8348" s="21">
        <v>0</v>
      </c>
      <c r="AA8348" s="21">
        <v>0</v>
      </c>
      <c r="AB8348" s="21">
        <v>0</v>
      </c>
      <c r="AC8348" s="21">
        <v>0</v>
      </c>
      <c r="AD8348" s="21">
        <v>0</v>
      </c>
      <c r="AE8348" s="21">
        <v>0</v>
      </c>
      <c r="AF8348" s="21">
        <v>0</v>
      </c>
      <c r="AG8348" s="21">
        <v>0</v>
      </c>
      <c r="AH8348" s="21">
        <f t="shared" si="168"/>
        <v>128</v>
      </c>
      <c r="AI8348" s="21"/>
      <c r="AJ8348" s="21" t="s">
        <v>51</v>
      </c>
      <c r="AK8348" s="21" t="s">
        <v>52</v>
      </c>
      <c r="AL8348" s="21"/>
      <c r="AM8348" s="21" t="s">
        <v>4794</v>
      </c>
      <c r="AN8348" s="21">
        <v>-122.42056821666699</v>
      </c>
      <c r="AO8348" s="21">
        <v>37.7951981</v>
      </c>
      <c r="AP8348" s="21" t="s">
        <v>951</v>
      </c>
    </row>
    <row r="8349" spans="1:42">
      <c r="A8349" s="20">
        <v>43858</v>
      </c>
      <c r="B8349" s="21">
        <v>2</v>
      </c>
      <c r="C8349" s="21">
        <v>217</v>
      </c>
      <c r="D8349" s="21">
        <v>14443</v>
      </c>
      <c r="E8349" s="21"/>
      <c r="F8349" s="21" t="s">
        <v>104</v>
      </c>
      <c r="G8349" s="21">
        <v>2</v>
      </c>
      <c r="H8349" s="21">
        <v>59</v>
      </c>
      <c r="I8349" s="23" t="s">
        <v>4793</v>
      </c>
      <c r="J8349" s="21"/>
      <c r="K8349" t="s">
        <v>605</v>
      </c>
      <c r="L8349" s="21"/>
      <c r="M8349" s="21"/>
      <c r="N8349" s="21" t="s">
        <v>44</v>
      </c>
      <c r="O8349" s="21">
        <v>226</v>
      </c>
      <c r="P8349" s="21"/>
      <c r="Q8349" s="21">
        <f t="shared" si="167"/>
        <v>3</v>
      </c>
      <c r="R8349" s="21">
        <v>1</v>
      </c>
      <c r="S8349" s="21">
        <v>0</v>
      </c>
      <c r="T8349" s="21">
        <v>0</v>
      </c>
      <c r="U8349" s="21">
        <v>0</v>
      </c>
      <c r="V8349" s="21">
        <v>0</v>
      </c>
      <c r="W8349" s="21">
        <v>3</v>
      </c>
      <c r="X8349" s="21">
        <v>0</v>
      </c>
      <c r="Y8349" s="21">
        <v>0</v>
      </c>
      <c r="Z8349" s="21">
        <v>0</v>
      </c>
      <c r="AA8349" s="21">
        <v>0</v>
      </c>
      <c r="AB8349" s="21">
        <v>0</v>
      </c>
      <c r="AC8349" s="21">
        <v>0</v>
      </c>
      <c r="AD8349" s="21">
        <v>0</v>
      </c>
      <c r="AE8349" s="21">
        <v>0</v>
      </c>
      <c r="AF8349" s="21">
        <v>0</v>
      </c>
      <c r="AG8349" s="21">
        <v>0</v>
      </c>
      <c r="AH8349" s="21">
        <f t="shared" si="168"/>
        <v>288</v>
      </c>
      <c r="AI8349" s="21"/>
      <c r="AJ8349" s="21" t="s">
        <v>51</v>
      </c>
      <c r="AK8349" s="21" t="s">
        <v>95</v>
      </c>
      <c r="AL8349" s="21" t="s">
        <v>4795</v>
      </c>
      <c r="AM8349" s="21" t="s">
        <v>4796</v>
      </c>
      <c r="AN8349" s="21">
        <v>-122.420574616667</v>
      </c>
      <c r="AO8349" s="21">
        <v>37.795178433333298</v>
      </c>
      <c r="AP8349" s="21" t="s">
        <v>951</v>
      </c>
    </row>
    <row r="8350" spans="1:42">
      <c r="A8350" s="20">
        <v>43858</v>
      </c>
      <c r="B8350" s="21">
        <v>2</v>
      </c>
      <c r="C8350" s="21">
        <v>217</v>
      </c>
      <c r="D8350" s="21">
        <v>14443</v>
      </c>
      <c r="E8350" s="21"/>
      <c r="F8350" s="21" t="s">
        <v>104</v>
      </c>
      <c r="G8350" s="21">
        <v>2</v>
      </c>
      <c r="H8350" s="21">
        <v>60</v>
      </c>
      <c r="I8350" s="23" t="s">
        <v>4797</v>
      </c>
      <c r="J8350" s="21"/>
      <c r="K8350" t="s">
        <v>605</v>
      </c>
      <c r="L8350" s="21" t="s">
        <v>114</v>
      </c>
      <c r="M8350" s="21"/>
      <c r="N8350" s="21" t="s">
        <v>44</v>
      </c>
      <c r="O8350" s="21">
        <v>51</v>
      </c>
      <c r="P8350" s="21"/>
      <c r="Q8350" s="21">
        <f t="shared" si="167"/>
        <v>2</v>
      </c>
      <c r="R8350" s="21">
        <v>1</v>
      </c>
      <c r="S8350" s="21">
        <v>0</v>
      </c>
      <c r="T8350" s="21">
        <v>0</v>
      </c>
      <c r="U8350" s="21">
        <v>1</v>
      </c>
      <c r="V8350" s="21">
        <v>1</v>
      </c>
      <c r="W8350" s="21">
        <v>0</v>
      </c>
      <c r="X8350" s="21">
        <v>0</v>
      </c>
      <c r="Y8350" s="21">
        <v>0</v>
      </c>
      <c r="Z8350" s="21">
        <v>0</v>
      </c>
      <c r="AA8350" s="21">
        <v>0</v>
      </c>
      <c r="AB8350" s="21">
        <v>0</v>
      </c>
      <c r="AC8350" s="21">
        <v>0</v>
      </c>
      <c r="AD8350" s="21">
        <v>0</v>
      </c>
      <c r="AE8350" s="21">
        <v>0</v>
      </c>
      <c r="AF8350" s="21">
        <v>0</v>
      </c>
      <c r="AG8350" s="21">
        <v>0</v>
      </c>
      <c r="AH8350" s="21">
        <f t="shared" si="168"/>
        <v>96</v>
      </c>
      <c r="AI8350" s="21"/>
      <c r="AJ8350" s="21" t="s">
        <v>51</v>
      </c>
      <c r="AK8350" s="21" t="s">
        <v>95</v>
      </c>
      <c r="AL8350" s="21"/>
      <c r="AM8350" s="21" t="s">
        <v>4798</v>
      </c>
      <c r="AN8350" s="21">
        <v>-122.42073481666699</v>
      </c>
      <c r="AO8350" s="21">
        <v>37.7951448833333</v>
      </c>
      <c r="AP8350" s="21" t="s">
        <v>951</v>
      </c>
    </row>
    <row r="8351" spans="1:42">
      <c r="A8351" s="20">
        <v>43858</v>
      </c>
      <c r="B8351" s="21">
        <v>2</v>
      </c>
      <c r="C8351" s="21">
        <v>217</v>
      </c>
      <c r="D8351" s="21">
        <v>14443</v>
      </c>
      <c r="E8351" s="21"/>
      <c r="F8351" s="21" t="s">
        <v>104</v>
      </c>
      <c r="G8351" s="21">
        <v>2</v>
      </c>
      <c r="H8351" s="21">
        <v>61</v>
      </c>
      <c r="I8351" s="23" t="s">
        <v>4799</v>
      </c>
      <c r="J8351" s="21"/>
      <c r="K8351" t="s">
        <v>605</v>
      </c>
      <c r="L8351" s="21" t="s">
        <v>114</v>
      </c>
      <c r="M8351" s="21"/>
      <c r="N8351" s="21" t="s">
        <v>40</v>
      </c>
      <c r="O8351" s="21">
        <v>38</v>
      </c>
      <c r="P8351" s="21"/>
      <c r="Q8351" s="21">
        <f t="shared" si="167"/>
        <v>1</v>
      </c>
      <c r="R8351" s="21">
        <v>1</v>
      </c>
      <c r="S8351" s="21">
        <v>0</v>
      </c>
      <c r="T8351" s="21">
        <v>0</v>
      </c>
      <c r="U8351" s="21">
        <v>0</v>
      </c>
      <c r="V8351" s="21">
        <v>0</v>
      </c>
      <c r="W8351" s="21">
        <v>1</v>
      </c>
      <c r="X8351" s="21">
        <v>0</v>
      </c>
      <c r="Y8351" s="21">
        <v>0</v>
      </c>
      <c r="Z8351" s="21">
        <v>0</v>
      </c>
      <c r="AA8351" s="21">
        <v>0</v>
      </c>
      <c r="AB8351" s="21">
        <v>0</v>
      </c>
      <c r="AC8351" s="21">
        <v>0</v>
      </c>
      <c r="AD8351" s="21">
        <v>0</v>
      </c>
      <c r="AE8351" s="21">
        <v>0</v>
      </c>
      <c r="AF8351" s="21">
        <v>0</v>
      </c>
      <c r="AG8351" s="21">
        <v>0</v>
      </c>
      <c r="AH8351" s="21">
        <f t="shared" si="168"/>
        <v>96</v>
      </c>
      <c r="AI8351" s="21"/>
      <c r="AJ8351" s="21" t="s">
        <v>51</v>
      </c>
      <c r="AK8351" s="21" t="s">
        <v>95</v>
      </c>
      <c r="AL8351" s="21"/>
      <c r="AM8351" s="21" t="s">
        <v>4800</v>
      </c>
      <c r="AN8351" s="21">
        <v>-122.421080666667</v>
      </c>
      <c r="AO8351" s="21">
        <v>37.795095416666697</v>
      </c>
      <c r="AP8351" s="21" t="s">
        <v>951</v>
      </c>
    </row>
    <row r="8352" spans="1:42">
      <c r="A8352" s="20">
        <v>43858</v>
      </c>
      <c r="B8352" s="21">
        <v>2</v>
      </c>
      <c r="C8352" s="21">
        <v>217</v>
      </c>
      <c r="D8352" s="21">
        <v>14443</v>
      </c>
      <c r="E8352" s="21"/>
      <c r="F8352" s="21" t="s">
        <v>104</v>
      </c>
      <c r="G8352" s="21">
        <v>2</v>
      </c>
      <c r="H8352" s="21">
        <v>62</v>
      </c>
      <c r="I8352" s="23" t="s">
        <v>4801</v>
      </c>
      <c r="J8352" s="21"/>
      <c r="K8352" t="s">
        <v>585</v>
      </c>
      <c r="L8352" s="21" t="s">
        <v>141</v>
      </c>
      <c r="M8352" s="21"/>
      <c r="N8352" s="21" t="s">
        <v>40</v>
      </c>
      <c r="O8352" s="21">
        <v>74</v>
      </c>
      <c r="P8352" s="21"/>
      <c r="Q8352" s="21">
        <f t="shared" si="167"/>
        <v>3</v>
      </c>
      <c r="R8352" s="21">
        <v>1</v>
      </c>
      <c r="S8352" s="21">
        <v>0</v>
      </c>
      <c r="T8352" s="21">
        <v>0</v>
      </c>
      <c r="U8352" s="21">
        <v>3</v>
      </c>
      <c r="V8352" s="21">
        <v>0</v>
      </c>
      <c r="W8352" s="21">
        <v>0</v>
      </c>
      <c r="X8352" s="21">
        <v>0</v>
      </c>
      <c r="Y8352" s="21">
        <v>0</v>
      </c>
      <c r="Z8352" s="21">
        <v>0</v>
      </c>
      <c r="AA8352" s="21">
        <v>0</v>
      </c>
      <c r="AB8352" s="21">
        <v>0</v>
      </c>
      <c r="AC8352" s="21">
        <v>0</v>
      </c>
      <c r="AD8352" s="21">
        <v>0</v>
      </c>
      <c r="AE8352" s="21">
        <v>0</v>
      </c>
      <c r="AF8352" s="21">
        <v>0</v>
      </c>
      <c r="AG8352" s="21">
        <v>0</v>
      </c>
      <c r="AH8352" s="21">
        <f t="shared" si="168"/>
        <v>96</v>
      </c>
      <c r="AI8352" s="21"/>
      <c r="AJ8352" s="21" t="s">
        <v>54</v>
      </c>
      <c r="AK8352" s="21" t="s">
        <v>95</v>
      </c>
      <c r="AL8352" s="21"/>
      <c r="AM8352" s="21" t="s">
        <v>4802</v>
      </c>
      <c r="AN8352" s="21">
        <v>-122.42004365</v>
      </c>
      <c r="AO8352" s="21">
        <v>37.797245599999997</v>
      </c>
      <c r="AP8352" s="21" t="s">
        <v>951</v>
      </c>
    </row>
    <row r="8353" spans="1:42">
      <c r="A8353" s="20">
        <v>43858</v>
      </c>
      <c r="B8353" s="21">
        <v>2</v>
      </c>
      <c r="C8353" s="21">
        <v>217</v>
      </c>
      <c r="D8353" s="21">
        <v>14443</v>
      </c>
      <c r="E8353" s="21"/>
      <c r="F8353" s="21" t="s">
        <v>104</v>
      </c>
      <c r="G8353" s="21">
        <v>2</v>
      </c>
      <c r="H8353" s="21">
        <v>63</v>
      </c>
      <c r="I8353" s="23" t="s">
        <v>3475</v>
      </c>
      <c r="J8353" s="21"/>
      <c r="K8353" t="s">
        <v>585</v>
      </c>
      <c r="L8353" s="21" t="s">
        <v>141</v>
      </c>
      <c r="M8353" s="21"/>
      <c r="N8353" s="21" t="s">
        <v>42</v>
      </c>
      <c r="O8353" s="21">
        <v>126</v>
      </c>
      <c r="P8353" s="21"/>
      <c r="Q8353" s="21">
        <f t="shared" si="167"/>
        <v>3</v>
      </c>
      <c r="R8353" s="21">
        <v>1</v>
      </c>
      <c r="S8353" s="21">
        <v>0</v>
      </c>
      <c r="T8353" s="21">
        <v>0</v>
      </c>
      <c r="U8353" s="21">
        <v>2</v>
      </c>
      <c r="V8353" s="21">
        <v>0</v>
      </c>
      <c r="W8353" s="21">
        <v>1</v>
      </c>
      <c r="X8353" s="21">
        <v>0</v>
      </c>
      <c r="Y8353" s="21">
        <v>0</v>
      </c>
      <c r="Z8353" s="21">
        <v>0</v>
      </c>
      <c r="AA8353" s="21">
        <v>0</v>
      </c>
      <c r="AB8353" s="21">
        <v>0</v>
      </c>
      <c r="AC8353" s="21">
        <v>0</v>
      </c>
      <c r="AD8353" s="21">
        <v>0</v>
      </c>
      <c r="AE8353" s="21">
        <v>0</v>
      </c>
      <c r="AF8353" s="21">
        <v>0</v>
      </c>
      <c r="AG8353" s="21">
        <v>0</v>
      </c>
      <c r="AH8353" s="21">
        <f t="shared" si="168"/>
        <v>160</v>
      </c>
      <c r="AI8353" s="21"/>
      <c r="AJ8353" s="21" t="s">
        <v>54</v>
      </c>
      <c r="AK8353" s="21" t="s">
        <v>4803</v>
      </c>
      <c r="AL8353" s="21" t="s">
        <v>4804</v>
      </c>
      <c r="AM8353" s="21" t="s">
        <v>4805</v>
      </c>
      <c r="AN8353" s="21">
        <v>-122.421244950158</v>
      </c>
      <c r="AO8353" s="21">
        <v>37.793291430953403</v>
      </c>
      <c r="AP8353" s="21" t="s">
        <v>951</v>
      </c>
    </row>
    <row r="8354" spans="1:42">
      <c r="A8354" s="20">
        <v>43858</v>
      </c>
      <c r="B8354" s="21">
        <v>2</v>
      </c>
      <c r="C8354" s="21">
        <v>217</v>
      </c>
      <c r="D8354" s="21">
        <v>14443</v>
      </c>
      <c r="E8354" s="21"/>
      <c r="F8354" s="21" t="s">
        <v>104</v>
      </c>
      <c r="G8354" s="21">
        <v>2</v>
      </c>
      <c r="H8354" s="21">
        <v>64</v>
      </c>
      <c r="I8354" s="23" t="s">
        <v>4806</v>
      </c>
      <c r="J8354" s="21"/>
      <c r="K8354" t="s">
        <v>585</v>
      </c>
      <c r="L8354" s="21" t="s">
        <v>141</v>
      </c>
      <c r="M8354" s="21"/>
      <c r="N8354" s="21" t="s">
        <v>40</v>
      </c>
      <c r="O8354" s="21">
        <v>39</v>
      </c>
      <c r="P8354" s="21"/>
      <c r="Q8354" s="21">
        <f t="shared" si="167"/>
        <v>2</v>
      </c>
      <c r="R8354" s="21">
        <v>1</v>
      </c>
      <c r="S8354" s="21">
        <v>0</v>
      </c>
      <c r="T8354" s="21">
        <v>0</v>
      </c>
      <c r="U8354" s="21">
        <v>1</v>
      </c>
      <c r="V8354" s="21">
        <v>1</v>
      </c>
      <c r="W8354" s="21">
        <v>0</v>
      </c>
      <c r="X8354" s="21">
        <v>0</v>
      </c>
      <c r="Y8354" s="21">
        <v>0</v>
      </c>
      <c r="Z8354" s="21">
        <v>0</v>
      </c>
      <c r="AA8354" s="21">
        <v>0</v>
      </c>
      <c r="AB8354" s="21">
        <v>0</v>
      </c>
      <c r="AC8354" s="21">
        <v>0</v>
      </c>
      <c r="AD8354" s="21">
        <v>0</v>
      </c>
      <c r="AE8354" s="21">
        <v>0</v>
      </c>
      <c r="AF8354" s="21">
        <v>0</v>
      </c>
      <c r="AG8354" s="21">
        <v>0</v>
      </c>
      <c r="AH8354" s="21">
        <f t="shared" si="168"/>
        <v>96</v>
      </c>
      <c r="AI8354" s="21"/>
      <c r="AJ8354" s="21" t="s">
        <v>54</v>
      </c>
      <c r="AK8354" s="21" t="s">
        <v>52</v>
      </c>
      <c r="AL8354" s="21"/>
      <c r="AM8354" s="21" t="s">
        <v>4807</v>
      </c>
      <c r="AN8354" s="21">
        <v>-122.4197983</v>
      </c>
      <c r="AO8354" s="21">
        <v>37.797208349999998</v>
      </c>
      <c r="AP8354" s="21" t="s">
        <v>951</v>
      </c>
    </row>
    <row r="8355" spans="1:42">
      <c r="A8355" s="20">
        <v>43858</v>
      </c>
      <c r="B8355" s="21">
        <v>2</v>
      </c>
      <c r="C8355" s="21">
        <v>217</v>
      </c>
      <c r="D8355" s="21">
        <v>14443</v>
      </c>
      <c r="E8355" s="21"/>
      <c r="F8355" s="21" t="s">
        <v>104</v>
      </c>
      <c r="G8355" s="21">
        <v>2</v>
      </c>
      <c r="H8355" s="21">
        <v>65</v>
      </c>
      <c r="I8355" s="23" t="s">
        <v>3164</v>
      </c>
      <c r="J8355" s="21"/>
      <c r="K8355" t="s">
        <v>605</v>
      </c>
      <c r="L8355" s="21" t="s">
        <v>141</v>
      </c>
      <c r="M8355" s="21"/>
      <c r="N8355" s="21" t="s">
        <v>40</v>
      </c>
      <c r="O8355" s="21">
        <v>45</v>
      </c>
      <c r="P8355" s="21"/>
      <c r="Q8355" s="21">
        <f t="shared" si="167"/>
        <v>2</v>
      </c>
      <c r="R8355" s="21">
        <v>1</v>
      </c>
      <c r="S8355" s="21">
        <v>0</v>
      </c>
      <c r="T8355" s="21">
        <v>0</v>
      </c>
      <c r="U8355" s="21">
        <v>2</v>
      </c>
      <c r="V8355" s="21">
        <v>0</v>
      </c>
      <c r="W8355" s="21">
        <v>0</v>
      </c>
      <c r="X8355" s="21">
        <v>0</v>
      </c>
      <c r="Y8355" s="21">
        <v>0</v>
      </c>
      <c r="Z8355" s="21">
        <v>0</v>
      </c>
      <c r="AA8355" s="21">
        <v>0</v>
      </c>
      <c r="AB8355" s="21">
        <v>0</v>
      </c>
      <c r="AC8355" s="21">
        <v>0</v>
      </c>
      <c r="AD8355" s="21">
        <v>0</v>
      </c>
      <c r="AE8355" s="21">
        <v>0</v>
      </c>
      <c r="AF8355" s="21">
        <v>0</v>
      </c>
      <c r="AG8355" s="21">
        <v>0</v>
      </c>
      <c r="AH8355" s="21">
        <f t="shared" si="168"/>
        <v>64</v>
      </c>
      <c r="AI8355" s="21"/>
      <c r="AJ8355" s="21" t="s">
        <v>54</v>
      </c>
      <c r="AK8355" s="21" t="s">
        <v>52</v>
      </c>
      <c r="AL8355" s="21"/>
      <c r="AM8355" s="21" t="s">
        <v>4808</v>
      </c>
      <c r="AN8355" s="21">
        <v>-122.41962681666701</v>
      </c>
      <c r="AO8355" s="21">
        <v>37.797209416666703</v>
      </c>
      <c r="AP8355" s="21" t="s">
        <v>951</v>
      </c>
    </row>
    <row r="8356" spans="1:42">
      <c r="A8356" s="20">
        <v>43858</v>
      </c>
      <c r="B8356" s="21">
        <v>2</v>
      </c>
      <c r="C8356" s="21">
        <v>217</v>
      </c>
      <c r="D8356" s="21">
        <v>14443</v>
      </c>
      <c r="E8356" s="21"/>
      <c r="F8356" s="21" t="s">
        <v>104</v>
      </c>
      <c r="G8356" s="21">
        <v>2</v>
      </c>
      <c r="H8356" s="21">
        <v>66</v>
      </c>
      <c r="I8356" s="23" t="s">
        <v>4809</v>
      </c>
      <c r="J8356" s="21"/>
      <c r="K8356" t="s">
        <v>585</v>
      </c>
      <c r="L8356" s="21" t="s">
        <v>141</v>
      </c>
      <c r="M8356" s="21"/>
      <c r="N8356" s="21" t="s">
        <v>40</v>
      </c>
      <c r="O8356" s="21">
        <v>178</v>
      </c>
      <c r="P8356" s="21"/>
      <c r="Q8356" s="21">
        <f t="shared" si="167"/>
        <v>6</v>
      </c>
      <c r="R8356" s="21">
        <v>1</v>
      </c>
      <c r="S8356" s="21">
        <v>0</v>
      </c>
      <c r="T8356" s="21">
        <v>0</v>
      </c>
      <c r="U8356" s="21">
        <v>4</v>
      </c>
      <c r="V8356" s="21">
        <v>2</v>
      </c>
      <c r="W8356" s="21">
        <v>0</v>
      </c>
      <c r="X8356" s="21">
        <v>0</v>
      </c>
      <c r="Y8356" s="21">
        <v>0</v>
      </c>
      <c r="Z8356" s="21">
        <v>0</v>
      </c>
      <c r="AA8356" s="21">
        <v>0</v>
      </c>
      <c r="AB8356" s="21">
        <v>0</v>
      </c>
      <c r="AC8356" s="21">
        <v>0</v>
      </c>
      <c r="AD8356" s="21">
        <v>0</v>
      </c>
      <c r="AE8356" s="21">
        <v>0</v>
      </c>
      <c r="AF8356" s="21">
        <v>0</v>
      </c>
      <c r="AG8356" s="21">
        <v>0</v>
      </c>
      <c r="AH8356" s="21">
        <f t="shared" si="168"/>
        <v>256</v>
      </c>
      <c r="AI8356" s="21"/>
      <c r="AJ8356" s="21" t="s">
        <v>54</v>
      </c>
      <c r="AK8356" s="21" t="s">
        <v>52</v>
      </c>
      <c r="AL8356" s="21"/>
      <c r="AM8356" s="21" t="s">
        <v>4810</v>
      </c>
      <c r="AN8356" s="21">
        <v>-122.41945815</v>
      </c>
      <c r="AO8356" s="21">
        <v>37.7972187833333</v>
      </c>
      <c r="AP8356" s="21" t="s">
        <v>951</v>
      </c>
    </row>
    <row r="8357" spans="1:42">
      <c r="A8357" s="20">
        <v>43858</v>
      </c>
      <c r="B8357" s="21">
        <v>2</v>
      </c>
      <c r="C8357" s="21">
        <v>217</v>
      </c>
      <c r="D8357" s="21">
        <v>14443</v>
      </c>
      <c r="E8357" s="21"/>
      <c r="F8357" s="21" t="s">
        <v>104</v>
      </c>
      <c r="G8357" s="21">
        <v>2</v>
      </c>
      <c r="H8357" s="21">
        <v>67</v>
      </c>
      <c r="I8357" s="23" t="s">
        <v>4811</v>
      </c>
      <c r="J8357" s="21"/>
      <c r="K8357" t="s">
        <v>585</v>
      </c>
      <c r="L8357" s="21" t="s">
        <v>114</v>
      </c>
      <c r="M8357" s="21"/>
      <c r="N8357" s="21" t="s">
        <v>40</v>
      </c>
      <c r="O8357" s="21">
        <v>55</v>
      </c>
      <c r="P8357" s="21"/>
      <c r="Q8357" s="21">
        <f t="shared" si="167"/>
        <v>1</v>
      </c>
      <c r="R8357" s="21">
        <v>1</v>
      </c>
      <c r="S8357" s="21">
        <v>0</v>
      </c>
      <c r="T8357" s="21">
        <v>0</v>
      </c>
      <c r="U8357" s="21">
        <v>0</v>
      </c>
      <c r="V8357" s="21">
        <v>1</v>
      </c>
      <c r="W8357" s="21">
        <v>0</v>
      </c>
      <c r="X8357" s="21">
        <v>0</v>
      </c>
      <c r="Y8357" s="21">
        <v>0</v>
      </c>
      <c r="Z8357" s="21">
        <v>0</v>
      </c>
      <c r="AA8357" s="21">
        <v>0</v>
      </c>
      <c r="AB8357" s="21">
        <v>0</v>
      </c>
      <c r="AC8357" s="21">
        <v>0</v>
      </c>
      <c r="AD8357" s="21">
        <v>0</v>
      </c>
      <c r="AE8357" s="21">
        <v>0</v>
      </c>
      <c r="AF8357" s="21">
        <v>0</v>
      </c>
      <c r="AG8357" s="21">
        <v>0</v>
      </c>
      <c r="AH8357" s="21">
        <f t="shared" si="168"/>
        <v>64</v>
      </c>
      <c r="AI8357" s="21"/>
      <c r="AJ8357" s="21" t="s">
        <v>54</v>
      </c>
      <c r="AK8357" s="21" t="s">
        <v>52</v>
      </c>
      <c r="AL8357" s="21"/>
      <c r="AM8357" s="21" t="s">
        <v>4812</v>
      </c>
      <c r="AN8357" s="21">
        <v>-122.419343766667</v>
      </c>
      <c r="AO8357" s="21">
        <v>37.797282133333297</v>
      </c>
      <c r="AP8357" s="21" t="s">
        <v>951</v>
      </c>
    </row>
    <row r="8358" spans="1:42">
      <c r="A8358" s="20">
        <v>43858</v>
      </c>
      <c r="B8358" s="21">
        <v>2</v>
      </c>
      <c r="C8358" s="21">
        <v>217</v>
      </c>
      <c r="D8358" s="21">
        <v>14443</v>
      </c>
      <c r="E8358" s="21"/>
      <c r="F8358" s="21" t="s">
        <v>104</v>
      </c>
      <c r="G8358" s="21">
        <v>2</v>
      </c>
      <c r="H8358" s="21">
        <v>68</v>
      </c>
      <c r="I8358" s="23" t="s">
        <v>4813</v>
      </c>
      <c r="J8358" s="21"/>
      <c r="K8358" t="s">
        <v>585</v>
      </c>
      <c r="L8358" s="21" t="s">
        <v>141</v>
      </c>
      <c r="M8358" s="21"/>
      <c r="N8358" s="21" t="s">
        <v>40</v>
      </c>
      <c r="O8358" s="21">
        <v>20</v>
      </c>
      <c r="P8358" s="21"/>
      <c r="Q8358" s="21">
        <f t="shared" si="167"/>
        <v>1</v>
      </c>
      <c r="R8358" s="21">
        <v>1</v>
      </c>
      <c r="S8358" s="21">
        <v>0</v>
      </c>
      <c r="T8358" s="21">
        <v>0</v>
      </c>
      <c r="U8358" s="21">
        <v>1</v>
      </c>
      <c r="V8358" s="21">
        <v>0</v>
      </c>
      <c r="W8358" s="21">
        <v>0</v>
      </c>
      <c r="X8358" s="21">
        <v>0</v>
      </c>
      <c r="Y8358" s="21">
        <v>0</v>
      </c>
      <c r="Z8358" s="21">
        <v>0</v>
      </c>
      <c r="AA8358" s="21">
        <v>0</v>
      </c>
      <c r="AB8358" s="21">
        <v>0</v>
      </c>
      <c r="AC8358" s="21">
        <v>0</v>
      </c>
      <c r="AD8358" s="21">
        <v>0</v>
      </c>
      <c r="AE8358" s="21">
        <v>0</v>
      </c>
      <c r="AF8358" s="21">
        <v>0</v>
      </c>
      <c r="AG8358" s="21">
        <v>0</v>
      </c>
      <c r="AH8358" s="21">
        <f t="shared" si="168"/>
        <v>32</v>
      </c>
      <c r="AI8358" s="21"/>
      <c r="AJ8358" s="21" t="s">
        <v>54</v>
      </c>
      <c r="AK8358" s="21" t="s">
        <v>52</v>
      </c>
      <c r="AL8358" s="21"/>
      <c r="AM8358" s="21" t="s">
        <v>4814</v>
      </c>
      <c r="AN8358" s="21">
        <v>-122.41917334999999</v>
      </c>
      <c r="AO8358" s="21">
        <v>37.797313150000001</v>
      </c>
      <c r="AP8358" s="21" t="s">
        <v>951</v>
      </c>
    </row>
    <row r="8359" spans="1:42">
      <c r="A8359" s="20">
        <v>43858</v>
      </c>
      <c r="B8359" s="21">
        <v>2</v>
      </c>
      <c r="C8359" s="21">
        <v>217</v>
      </c>
      <c r="D8359" s="21">
        <v>14443</v>
      </c>
      <c r="E8359" s="21"/>
      <c r="F8359" s="21" t="s">
        <v>104</v>
      </c>
      <c r="G8359" s="21">
        <v>2</v>
      </c>
      <c r="H8359" s="21">
        <v>69</v>
      </c>
      <c r="I8359" s="23" t="s">
        <v>4815</v>
      </c>
      <c r="J8359" s="21"/>
      <c r="K8359" t="s">
        <v>585</v>
      </c>
      <c r="L8359" s="21" t="s">
        <v>141</v>
      </c>
      <c r="M8359" s="21"/>
      <c r="N8359" s="21" t="s">
        <v>40</v>
      </c>
      <c r="O8359" s="21">
        <v>79</v>
      </c>
      <c r="P8359" s="21"/>
      <c r="Q8359" s="21">
        <f t="shared" si="167"/>
        <v>3</v>
      </c>
      <c r="R8359" s="21">
        <v>1</v>
      </c>
      <c r="S8359" s="21">
        <v>0</v>
      </c>
      <c r="T8359" s="21">
        <v>0</v>
      </c>
      <c r="U8359" s="21">
        <v>1</v>
      </c>
      <c r="V8359" s="21">
        <v>2</v>
      </c>
      <c r="W8359" s="21">
        <v>0</v>
      </c>
      <c r="X8359" s="21">
        <v>0</v>
      </c>
      <c r="Y8359" s="21">
        <v>0</v>
      </c>
      <c r="Z8359" s="21">
        <v>0</v>
      </c>
      <c r="AA8359" s="21">
        <v>0</v>
      </c>
      <c r="AB8359" s="21">
        <v>0</v>
      </c>
      <c r="AC8359" s="21">
        <v>0</v>
      </c>
      <c r="AD8359" s="21">
        <v>0</v>
      </c>
      <c r="AE8359" s="21">
        <v>0</v>
      </c>
      <c r="AF8359" s="21">
        <v>0</v>
      </c>
      <c r="AG8359" s="21">
        <v>0</v>
      </c>
      <c r="AH8359" s="21">
        <f t="shared" si="168"/>
        <v>160</v>
      </c>
      <c r="AI8359" s="21"/>
      <c r="AJ8359" s="21" t="s">
        <v>54</v>
      </c>
      <c r="AK8359" s="21"/>
      <c r="AL8359" s="21" t="s">
        <v>4816</v>
      </c>
      <c r="AM8359" s="21" t="s">
        <v>4817</v>
      </c>
      <c r="AN8359" s="21">
        <v>-122.41908435000001</v>
      </c>
      <c r="AO8359" s="21">
        <v>37.797316666666603</v>
      </c>
      <c r="AP8359" s="21" t="s">
        <v>951</v>
      </c>
    </row>
    <row r="8360" spans="1:42">
      <c r="A8360" s="20">
        <v>43858</v>
      </c>
      <c r="B8360" s="21">
        <v>2</v>
      </c>
      <c r="C8360" s="21">
        <v>217</v>
      </c>
      <c r="D8360" s="21">
        <v>14443</v>
      </c>
      <c r="E8360" s="21"/>
      <c r="F8360" s="21" t="s">
        <v>104</v>
      </c>
      <c r="G8360" s="21">
        <v>2</v>
      </c>
      <c r="H8360" s="21">
        <v>70</v>
      </c>
      <c r="I8360" s="23" t="s">
        <v>4818</v>
      </c>
      <c r="J8360" s="21"/>
      <c r="K8360" t="s">
        <v>585</v>
      </c>
      <c r="L8360" s="21" t="s">
        <v>141</v>
      </c>
      <c r="M8360" s="21"/>
      <c r="N8360" s="21" t="s">
        <v>40</v>
      </c>
      <c r="O8360" s="21">
        <v>37</v>
      </c>
      <c r="P8360" s="21"/>
      <c r="Q8360" s="21">
        <f t="shared" si="167"/>
        <v>1</v>
      </c>
      <c r="R8360" s="21">
        <v>1</v>
      </c>
      <c r="S8360" s="21">
        <v>0</v>
      </c>
      <c r="T8360" s="21">
        <v>0</v>
      </c>
      <c r="U8360" s="21">
        <v>1</v>
      </c>
      <c r="V8360" s="21">
        <v>0</v>
      </c>
      <c r="W8360" s="21">
        <v>0</v>
      </c>
      <c r="X8360" s="21">
        <v>0</v>
      </c>
      <c r="Y8360" s="21">
        <v>0</v>
      </c>
      <c r="Z8360" s="21">
        <v>0</v>
      </c>
      <c r="AA8360" s="21">
        <v>0</v>
      </c>
      <c r="AB8360" s="21">
        <v>0</v>
      </c>
      <c r="AC8360" s="21">
        <v>0</v>
      </c>
      <c r="AD8360" s="21">
        <v>0</v>
      </c>
      <c r="AE8360" s="21">
        <v>0</v>
      </c>
      <c r="AF8360" s="21">
        <v>0</v>
      </c>
      <c r="AG8360" s="21">
        <v>0</v>
      </c>
      <c r="AH8360" s="21">
        <f t="shared" si="168"/>
        <v>32</v>
      </c>
      <c r="AI8360" s="21"/>
      <c r="AJ8360" s="21" t="s">
        <v>54</v>
      </c>
      <c r="AK8360" s="21" t="s">
        <v>52</v>
      </c>
      <c r="AL8360" s="21"/>
      <c r="AM8360" s="21" t="s">
        <v>4819</v>
      </c>
      <c r="AN8360" s="21">
        <v>-122.418982733333</v>
      </c>
      <c r="AO8360" s="21">
        <v>37.797331933333297</v>
      </c>
      <c r="AP8360" s="21" t="s">
        <v>951</v>
      </c>
    </row>
    <row r="8361" spans="1:42">
      <c r="A8361" s="20">
        <v>43858</v>
      </c>
      <c r="B8361" s="21">
        <v>2</v>
      </c>
      <c r="C8361" s="21">
        <v>217</v>
      </c>
      <c r="D8361" s="21">
        <v>14443</v>
      </c>
      <c r="E8361" s="21"/>
      <c r="F8361" s="21" t="s">
        <v>104</v>
      </c>
      <c r="G8361" s="21">
        <v>2</v>
      </c>
      <c r="H8361" s="21">
        <v>71</v>
      </c>
      <c r="I8361" s="23" t="s">
        <v>4820</v>
      </c>
      <c r="J8361" s="21"/>
      <c r="K8361" s="21"/>
      <c r="L8361" s="21" t="s">
        <v>114</v>
      </c>
      <c r="M8361" s="21"/>
      <c r="N8361" s="21" t="s">
        <v>44</v>
      </c>
      <c r="O8361" s="21">
        <v>75</v>
      </c>
      <c r="P8361" s="21"/>
      <c r="Q8361" s="21">
        <f t="shared" si="167"/>
        <v>1</v>
      </c>
      <c r="R8361" s="21">
        <v>1</v>
      </c>
      <c r="S8361" s="21">
        <v>0</v>
      </c>
      <c r="T8361" s="21">
        <v>0</v>
      </c>
      <c r="U8361" s="21">
        <v>0</v>
      </c>
      <c r="V8361" s="21">
        <v>1</v>
      </c>
      <c r="W8361" s="21">
        <v>0</v>
      </c>
      <c r="X8361" s="21">
        <v>0</v>
      </c>
      <c r="Y8361" s="21">
        <v>0</v>
      </c>
      <c r="Z8361" s="21">
        <v>0</v>
      </c>
      <c r="AA8361" s="21">
        <v>0</v>
      </c>
      <c r="AB8361" s="21">
        <v>0</v>
      </c>
      <c r="AC8361" s="21">
        <v>0</v>
      </c>
      <c r="AD8361" s="21">
        <v>0</v>
      </c>
      <c r="AE8361" s="21">
        <v>0</v>
      </c>
      <c r="AF8361" s="21">
        <v>0</v>
      </c>
      <c r="AG8361" s="21">
        <v>0</v>
      </c>
      <c r="AH8361" s="21">
        <f t="shared" si="168"/>
        <v>64</v>
      </c>
      <c r="AI8361" s="21"/>
      <c r="AJ8361" s="21" t="s">
        <v>51</v>
      </c>
      <c r="AK8361" s="21" t="s">
        <v>52</v>
      </c>
      <c r="AL8361" s="21"/>
      <c r="AM8361" s="21" t="s">
        <v>4821</v>
      </c>
      <c r="AN8361" s="21">
        <v>-122.42004600870099</v>
      </c>
      <c r="AO8361" s="21">
        <v>37.795275161712603</v>
      </c>
      <c r="AP8361" s="21" t="s">
        <v>951</v>
      </c>
    </row>
    <row r="8362" spans="1:42">
      <c r="A8362" s="20">
        <v>43858</v>
      </c>
      <c r="B8362" s="21">
        <v>2</v>
      </c>
      <c r="C8362" s="21">
        <v>217</v>
      </c>
      <c r="D8362" s="21">
        <v>14443</v>
      </c>
      <c r="E8362" s="21"/>
      <c r="F8362" s="21" t="s">
        <v>104</v>
      </c>
      <c r="G8362" s="21">
        <v>2</v>
      </c>
      <c r="H8362" s="21">
        <v>72</v>
      </c>
      <c r="I8362" s="23" t="s">
        <v>4822</v>
      </c>
      <c r="J8362" s="21"/>
      <c r="K8362" s="21" t="s">
        <v>185</v>
      </c>
      <c r="L8362" s="21" t="s">
        <v>114</v>
      </c>
      <c r="M8362" s="21"/>
      <c r="N8362" s="21" t="s">
        <v>40</v>
      </c>
      <c r="O8362" s="21">
        <v>31</v>
      </c>
      <c r="P8362" s="21"/>
      <c r="Q8362" s="21">
        <f t="shared" si="167"/>
        <v>1</v>
      </c>
      <c r="R8362" s="21">
        <v>1</v>
      </c>
      <c r="S8362" s="21">
        <v>0</v>
      </c>
      <c r="T8362" s="21">
        <v>0</v>
      </c>
      <c r="U8362" s="21">
        <v>0</v>
      </c>
      <c r="V8362" s="21">
        <v>1</v>
      </c>
      <c r="W8362" s="21">
        <v>0</v>
      </c>
      <c r="X8362" s="21">
        <v>0</v>
      </c>
      <c r="Y8362" s="21">
        <v>0</v>
      </c>
      <c r="Z8362" s="21">
        <v>0</v>
      </c>
      <c r="AA8362" s="21">
        <v>0</v>
      </c>
      <c r="AB8362" s="21">
        <v>0</v>
      </c>
      <c r="AC8362" s="21">
        <v>0</v>
      </c>
      <c r="AD8362" s="21">
        <v>0</v>
      </c>
      <c r="AE8362" s="21">
        <v>0</v>
      </c>
      <c r="AF8362" s="21">
        <v>0</v>
      </c>
      <c r="AG8362" s="21">
        <v>0</v>
      </c>
      <c r="AH8362" s="21">
        <f t="shared" si="168"/>
        <v>64</v>
      </c>
      <c r="AI8362" s="21"/>
      <c r="AJ8362" s="21" t="s">
        <v>51</v>
      </c>
      <c r="AK8362" s="21" t="s">
        <v>52</v>
      </c>
      <c r="AL8362" s="21"/>
      <c r="AM8362" s="21" t="s">
        <v>4823</v>
      </c>
      <c r="AN8362" s="21">
        <v>-122.41904321666701</v>
      </c>
      <c r="AO8362" s="21">
        <v>37.796402016666697</v>
      </c>
      <c r="AP8362" s="21" t="s">
        <v>951</v>
      </c>
    </row>
    <row r="8363" spans="1:42">
      <c r="A8363" s="20">
        <v>43858</v>
      </c>
      <c r="B8363" s="21">
        <v>2</v>
      </c>
      <c r="C8363" s="21">
        <v>217</v>
      </c>
      <c r="D8363" s="21">
        <v>14443</v>
      </c>
      <c r="E8363" s="21"/>
      <c r="F8363" s="21" t="s">
        <v>104</v>
      </c>
      <c r="G8363" s="21">
        <v>2</v>
      </c>
      <c r="H8363" s="21">
        <v>73</v>
      </c>
      <c r="I8363" s="23" t="s">
        <v>4824</v>
      </c>
      <c r="J8363" s="21"/>
      <c r="K8363" s="21" t="s">
        <v>185</v>
      </c>
      <c r="L8363" s="21"/>
      <c r="M8363" s="21"/>
      <c r="N8363" s="21" t="s">
        <v>44</v>
      </c>
      <c r="O8363" s="21">
        <v>177</v>
      </c>
      <c r="P8363" s="21"/>
      <c r="Q8363" s="21">
        <f t="shared" si="167"/>
        <v>7</v>
      </c>
      <c r="R8363" s="21">
        <v>1</v>
      </c>
      <c r="S8363" s="21">
        <v>2</v>
      </c>
      <c r="T8363" s="21">
        <v>0</v>
      </c>
      <c r="U8363" s="21">
        <v>4</v>
      </c>
      <c r="V8363" s="21">
        <v>1</v>
      </c>
      <c r="W8363" s="21">
        <v>0</v>
      </c>
      <c r="X8363" s="21">
        <v>0</v>
      </c>
      <c r="Y8363" s="21">
        <v>0</v>
      </c>
      <c r="Z8363" s="21">
        <v>0</v>
      </c>
      <c r="AA8363" s="21">
        <v>0</v>
      </c>
      <c r="AB8363" s="21">
        <v>0</v>
      </c>
      <c r="AC8363" s="21">
        <v>0</v>
      </c>
      <c r="AD8363" s="21">
        <v>0</v>
      </c>
      <c r="AE8363" s="21">
        <v>0</v>
      </c>
      <c r="AF8363" s="21">
        <v>0</v>
      </c>
      <c r="AG8363" s="21">
        <v>0</v>
      </c>
      <c r="AH8363" s="21">
        <f t="shared" si="168"/>
        <v>224</v>
      </c>
      <c r="AI8363" s="21"/>
      <c r="AJ8363" s="21" t="s">
        <v>51</v>
      </c>
      <c r="AK8363" s="21" t="s">
        <v>52</v>
      </c>
      <c r="AL8363" s="21"/>
      <c r="AM8363" s="21" t="s">
        <v>4825</v>
      </c>
      <c r="AN8363" s="21">
        <v>-122.419251516667</v>
      </c>
      <c r="AO8363" s="21">
        <v>37.796399583333297</v>
      </c>
      <c r="AP8363" s="21" t="s">
        <v>951</v>
      </c>
    </row>
    <row r="8364" spans="1:42">
      <c r="A8364" s="20">
        <v>43858</v>
      </c>
      <c r="B8364" s="21">
        <v>2</v>
      </c>
      <c r="C8364" s="21">
        <v>217</v>
      </c>
      <c r="D8364" s="21">
        <v>14443</v>
      </c>
      <c r="E8364" s="21"/>
      <c r="F8364" s="21" t="s">
        <v>104</v>
      </c>
      <c r="G8364" s="21">
        <v>2</v>
      </c>
      <c r="H8364" s="21">
        <v>74</v>
      </c>
      <c r="I8364" s="23" t="s">
        <v>4826</v>
      </c>
      <c r="J8364" s="21"/>
      <c r="K8364" s="21" t="s">
        <v>4704</v>
      </c>
      <c r="L8364" s="21" t="s">
        <v>114</v>
      </c>
      <c r="M8364" s="21"/>
      <c r="N8364" s="21" t="s">
        <v>44</v>
      </c>
      <c r="O8364" s="21">
        <v>55</v>
      </c>
      <c r="P8364" s="21"/>
      <c r="Q8364" s="21">
        <f t="shared" si="167"/>
        <v>3</v>
      </c>
      <c r="R8364" s="21">
        <v>1</v>
      </c>
      <c r="S8364" s="21">
        <v>0</v>
      </c>
      <c r="T8364" s="21">
        <v>0</v>
      </c>
      <c r="U8364" s="21">
        <v>2</v>
      </c>
      <c r="V8364" s="21">
        <v>1</v>
      </c>
      <c r="W8364" s="21">
        <v>0</v>
      </c>
      <c r="X8364" s="21">
        <v>0</v>
      </c>
      <c r="Y8364" s="21">
        <v>0</v>
      </c>
      <c r="Z8364" s="21">
        <v>0</v>
      </c>
      <c r="AA8364" s="21">
        <v>0</v>
      </c>
      <c r="AB8364" s="21">
        <v>0</v>
      </c>
      <c r="AC8364" s="21">
        <v>0</v>
      </c>
      <c r="AD8364" s="21">
        <v>0</v>
      </c>
      <c r="AE8364" s="21">
        <v>0</v>
      </c>
      <c r="AF8364" s="21">
        <v>0</v>
      </c>
      <c r="AG8364" s="21">
        <v>0</v>
      </c>
      <c r="AH8364" s="21">
        <f t="shared" si="168"/>
        <v>128</v>
      </c>
      <c r="AI8364" s="21"/>
      <c r="AJ8364" s="21" t="s">
        <v>51</v>
      </c>
      <c r="AK8364" s="21" t="s">
        <v>95</v>
      </c>
      <c r="AL8364" s="21"/>
      <c r="AM8364" s="21" t="s">
        <v>4827</v>
      </c>
      <c r="AN8364" s="21">
        <v>-122.41942265</v>
      </c>
      <c r="AO8364" s="21">
        <v>37.796367099999998</v>
      </c>
      <c r="AP8364" s="21" t="s">
        <v>951</v>
      </c>
    </row>
    <row r="8365" spans="1:42">
      <c r="A8365" s="20">
        <v>43858</v>
      </c>
      <c r="B8365" s="21">
        <v>2</v>
      </c>
      <c r="C8365" s="21">
        <v>217</v>
      </c>
      <c r="D8365" s="21">
        <v>14443</v>
      </c>
      <c r="E8365" s="21"/>
      <c r="F8365" s="21" t="s">
        <v>104</v>
      </c>
      <c r="G8365" s="21">
        <v>2</v>
      </c>
      <c r="H8365" s="21">
        <v>75</v>
      </c>
      <c r="I8365" s="23" t="s">
        <v>4828</v>
      </c>
      <c r="J8365" s="21"/>
      <c r="K8365" s="21" t="s">
        <v>4704</v>
      </c>
      <c r="L8365" s="21" t="s">
        <v>114</v>
      </c>
      <c r="M8365" s="21"/>
      <c r="N8365" s="21" t="s">
        <v>40</v>
      </c>
      <c r="O8365" s="21">
        <v>50</v>
      </c>
      <c r="P8365" s="21"/>
      <c r="Q8365" s="21">
        <f t="shared" si="167"/>
        <v>2</v>
      </c>
      <c r="R8365" s="21">
        <v>1</v>
      </c>
      <c r="S8365" s="21">
        <v>0</v>
      </c>
      <c r="T8365" s="21">
        <v>0</v>
      </c>
      <c r="U8365" s="21">
        <v>0</v>
      </c>
      <c r="V8365" s="21">
        <v>2</v>
      </c>
      <c r="W8365" s="21">
        <v>0</v>
      </c>
      <c r="X8365" s="21">
        <v>0</v>
      </c>
      <c r="Y8365" s="21">
        <v>0</v>
      </c>
      <c r="Z8365" s="21">
        <v>0</v>
      </c>
      <c r="AA8365" s="21">
        <v>0</v>
      </c>
      <c r="AB8365" s="21">
        <v>0</v>
      </c>
      <c r="AC8365" s="21">
        <v>0</v>
      </c>
      <c r="AD8365" s="21">
        <v>0</v>
      </c>
      <c r="AE8365" s="21">
        <v>0</v>
      </c>
      <c r="AF8365" s="21">
        <v>0</v>
      </c>
      <c r="AG8365" s="21">
        <v>0</v>
      </c>
      <c r="AH8365" s="21">
        <f t="shared" si="168"/>
        <v>128</v>
      </c>
      <c r="AI8365" s="21"/>
      <c r="AJ8365" s="21" t="s">
        <v>51</v>
      </c>
      <c r="AK8365" s="21" t="s">
        <v>95</v>
      </c>
      <c r="AL8365" s="21"/>
      <c r="AM8365" s="21" t="s">
        <v>4829</v>
      </c>
      <c r="AN8365" s="21">
        <v>-122.41953531666699</v>
      </c>
      <c r="AO8365" s="21">
        <v>37.7963356333333</v>
      </c>
      <c r="AP8365" s="21" t="s">
        <v>951</v>
      </c>
    </row>
    <row r="8366" spans="1:42">
      <c r="A8366" s="20">
        <v>43858</v>
      </c>
      <c r="B8366" s="21">
        <v>2</v>
      </c>
      <c r="C8366" s="21">
        <v>217</v>
      </c>
      <c r="D8366" s="21">
        <v>14443</v>
      </c>
      <c r="E8366" s="21"/>
      <c r="F8366" s="21" t="s">
        <v>104</v>
      </c>
      <c r="G8366" s="21">
        <v>2</v>
      </c>
      <c r="H8366" s="21">
        <v>76</v>
      </c>
      <c r="I8366" s="23" t="s">
        <v>4830</v>
      </c>
      <c r="J8366" s="21"/>
      <c r="K8366" s="21" t="s">
        <v>185</v>
      </c>
      <c r="L8366" s="21"/>
      <c r="M8366" s="21"/>
      <c r="N8366" s="21"/>
      <c r="O8366" s="21">
        <v>128</v>
      </c>
      <c r="P8366" s="21"/>
      <c r="Q8366" s="21">
        <f t="shared" si="167"/>
        <v>2</v>
      </c>
      <c r="R8366" s="21">
        <v>1</v>
      </c>
      <c r="S8366" s="21">
        <v>0</v>
      </c>
      <c r="T8366" s="21">
        <v>0</v>
      </c>
      <c r="U8366" s="21">
        <v>1</v>
      </c>
      <c r="V8366" s="21">
        <v>0</v>
      </c>
      <c r="W8366" s="21">
        <v>1</v>
      </c>
      <c r="X8366" s="21">
        <v>0</v>
      </c>
      <c r="Y8366" s="21">
        <v>0</v>
      </c>
      <c r="Z8366" s="21">
        <v>0</v>
      </c>
      <c r="AA8366" s="21">
        <v>0</v>
      </c>
      <c r="AB8366" s="21">
        <v>0</v>
      </c>
      <c r="AC8366" s="21">
        <v>0</v>
      </c>
      <c r="AD8366" s="21">
        <v>0</v>
      </c>
      <c r="AE8366" s="21">
        <v>0</v>
      </c>
      <c r="AF8366" s="21">
        <v>0</v>
      </c>
      <c r="AG8366" s="21">
        <v>0</v>
      </c>
      <c r="AH8366" s="21">
        <f t="shared" si="168"/>
        <v>128</v>
      </c>
      <c r="AI8366" s="21"/>
      <c r="AJ8366" s="21" t="s">
        <v>51</v>
      </c>
      <c r="AK8366" s="21" t="s">
        <v>95</v>
      </c>
      <c r="AL8366" s="21" t="s">
        <v>2111</v>
      </c>
      <c r="AM8366" s="21" t="s">
        <v>4831</v>
      </c>
      <c r="AN8366" s="21">
        <v>-122.419485116667</v>
      </c>
      <c r="AO8366" s="21">
        <v>37.796259166666701</v>
      </c>
      <c r="AP8366" s="21" t="s">
        <v>951</v>
      </c>
    </row>
    <row r="8367" spans="1:42">
      <c r="A8367" s="20">
        <v>43858</v>
      </c>
      <c r="B8367" s="21">
        <v>2</v>
      </c>
      <c r="C8367" s="21">
        <v>217</v>
      </c>
      <c r="D8367" s="21">
        <v>14443</v>
      </c>
      <c r="E8367" s="21"/>
      <c r="F8367" s="21" t="s">
        <v>104</v>
      </c>
      <c r="G8367" s="21">
        <v>2</v>
      </c>
      <c r="H8367" s="21">
        <v>77</v>
      </c>
      <c r="I8367" s="23" t="s">
        <v>4832</v>
      </c>
      <c r="J8367" s="21"/>
      <c r="K8367" s="21" t="s">
        <v>4704</v>
      </c>
      <c r="L8367" s="21"/>
      <c r="M8367" s="21"/>
      <c r="N8367" s="21" t="s">
        <v>44</v>
      </c>
      <c r="O8367" s="21">
        <v>51</v>
      </c>
      <c r="P8367" s="21"/>
      <c r="Q8367" s="21">
        <f t="shared" si="167"/>
        <v>1</v>
      </c>
      <c r="R8367" s="21">
        <v>1</v>
      </c>
      <c r="S8367" s="21">
        <v>0</v>
      </c>
      <c r="T8367" s="21">
        <v>0</v>
      </c>
      <c r="U8367" s="21">
        <v>0</v>
      </c>
      <c r="V8367" s="21">
        <v>1</v>
      </c>
      <c r="W8367" s="21">
        <v>0</v>
      </c>
      <c r="X8367" s="21">
        <v>0</v>
      </c>
      <c r="Y8367" s="21">
        <v>0</v>
      </c>
      <c r="Z8367" s="21">
        <v>0</v>
      </c>
      <c r="AA8367" s="21">
        <v>0</v>
      </c>
      <c r="AB8367" s="21">
        <v>0</v>
      </c>
      <c r="AC8367" s="21">
        <v>0</v>
      </c>
      <c r="AD8367" s="21">
        <v>0</v>
      </c>
      <c r="AE8367" s="21">
        <v>0</v>
      </c>
      <c r="AF8367" s="21">
        <v>0</v>
      </c>
      <c r="AG8367" s="21">
        <v>0</v>
      </c>
      <c r="AH8367" s="21">
        <f t="shared" si="168"/>
        <v>64</v>
      </c>
      <c r="AI8367" s="21"/>
      <c r="AJ8367" s="21" t="s">
        <v>51</v>
      </c>
      <c r="AK8367" s="21" t="s">
        <v>95</v>
      </c>
      <c r="AL8367" s="21" t="s">
        <v>4804</v>
      </c>
      <c r="AM8367" s="21" t="s">
        <v>4833</v>
      </c>
      <c r="AN8367" s="21">
        <v>-122.419620916667</v>
      </c>
      <c r="AO8367" s="21">
        <v>37.796190799999998</v>
      </c>
      <c r="AP8367" s="21" t="s">
        <v>951</v>
      </c>
    </row>
    <row r="8368" spans="1:42">
      <c r="A8368" s="20">
        <v>43858</v>
      </c>
      <c r="B8368" s="21">
        <v>2</v>
      </c>
      <c r="C8368" s="21">
        <v>217</v>
      </c>
      <c r="D8368" s="21">
        <v>14443</v>
      </c>
      <c r="E8368" s="21"/>
      <c r="F8368" s="21" t="s">
        <v>104</v>
      </c>
      <c r="G8368" s="21">
        <v>2</v>
      </c>
      <c r="H8368" s="21">
        <v>78</v>
      </c>
      <c r="I8368" s="23" t="s">
        <v>4834</v>
      </c>
      <c r="J8368" s="21"/>
      <c r="K8368" s="21" t="s">
        <v>4704</v>
      </c>
      <c r="L8368" s="21" t="s">
        <v>114</v>
      </c>
      <c r="M8368" s="21"/>
      <c r="N8368" s="21" t="s">
        <v>40</v>
      </c>
      <c r="O8368" s="21">
        <v>84</v>
      </c>
      <c r="P8368" s="21"/>
      <c r="Q8368" s="21">
        <f t="shared" si="167"/>
        <v>2</v>
      </c>
      <c r="R8368" s="21">
        <v>1</v>
      </c>
      <c r="S8368" s="21">
        <v>0</v>
      </c>
      <c r="T8368" s="21">
        <v>0</v>
      </c>
      <c r="U8368" s="21">
        <v>1</v>
      </c>
      <c r="V8368" s="21">
        <v>1</v>
      </c>
      <c r="W8368" s="21">
        <v>0</v>
      </c>
      <c r="X8368" s="21">
        <v>0</v>
      </c>
      <c r="Y8368" s="21">
        <v>0</v>
      </c>
      <c r="Z8368" s="21">
        <v>0</v>
      </c>
      <c r="AA8368" s="21">
        <v>0</v>
      </c>
      <c r="AB8368" s="21">
        <v>0</v>
      </c>
      <c r="AC8368" s="21">
        <v>0</v>
      </c>
      <c r="AD8368" s="21">
        <v>0</v>
      </c>
      <c r="AE8368" s="21">
        <v>0</v>
      </c>
      <c r="AF8368" s="21">
        <v>0</v>
      </c>
      <c r="AG8368" s="21">
        <v>0</v>
      </c>
      <c r="AH8368" s="21">
        <f t="shared" si="168"/>
        <v>96</v>
      </c>
      <c r="AI8368" s="21"/>
      <c r="AJ8368" s="21" t="s">
        <v>51</v>
      </c>
      <c r="AK8368" s="21" t="s">
        <v>95</v>
      </c>
      <c r="AL8368" s="21"/>
      <c r="AM8368" s="21" t="s">
        <v>4835</v>
      </c>
      <c r="AN8368" s="21">
        <v>-122.4197023</v>
      </c>
      <c r="AO8368" s="21">
        <v>37.796276833333302</v>
      </c>
      <c r="AP8368" s="21" t="s">
        <v>951</v>
      </c>
    </row>
    <row r="8369" spans="1:42">
      <c r="A8369" s="20">
        <v>43858</v>
      </c>
      <c r="B8369" s="21">
        <v>2</v>
      </c>
      <c r="C8369" s="21">
        <v>217</v>
      </c>
      <c r="D8369" s="21">
        <v>14443</v>
      </c>
      <c r="E8369" s="21"/>
      <c r="F8369" s="21" t="s">
        <v>104</v>
      </c>
      <c r="G8369" s="21">
        <v>2</v>
      </c>
      <c r="H8369" s="21">
        <v>79</v>
      </c>
      <c r="I8369" s="23" t="s">
        <v>4836</v>
      </c>
      <c r="J8369" s="21"/>
      <c r="K8369" t="s">
        <v>585</v>
      </c>
      <c r="L8369" s="21" t="s">
        <v>114</v>
      </c>
      <c r="M8369" s="21"/>
      <c r="N8369" s="21" t="s">
        <v>40</v>
      </c>
      <c r="O8369" s="21">
        <v>37</v>
      </c>
      <c r="P8369" s="21"/>
      <c r="Q8369" s="21">
        <f t="shared" si="167"/>
        <v>2</v>
      </c>
      <c r="R8369" s="21">
        <v>1</v>
      </c>
      <c r="S8369" s="21">
        <v>0</v>
      </c>
      <c r="T8369" s="21">
        <v>0</v>
      </c>
      <c r="U8369" s="21">
        <v>2</v>
      </c>
      <c r="V8369" s="21">
        <v>0</v>
      </c>
      <c r="W8369" s="21">
        <v>0</v>
      </c>
      <c r="X8369" s="21">
        <v>0</v>
      </c>
      <c r="Y8369" s="21">
        <v>0</v>
      </c>
      <c r="Z8369" s="21">
        <v>0</v>
      </c>
      <c r="AA8369" s="21">
        <v>0</v>
      </c>
      <c r="AB8369" s="21">
        <v>0</v>
      </c>
      <c r="AC8369" s="21">
        <v>0</v>
      </c>
      <c r="AD8369" s="21">
        <v>0</v>
      </c>
      <c r="AE8369" s="21">
        <v>0</v>
      </c>
      <c r="AF8369" s="21">
        <v>0</v>
      </c>
      <c r="AG8369" s="21">
        <v>0</v>
      </c>
      <c r="AH8369" s="21">
        <f t="shared" si="168"/>
        <v>64</v>
      </c>
      <c r="AI8369" s="21"/>
      <c r="AJ8369" s="21" t="s">
        <v>51</v>
      </c>
      <c r="AK8369" s="21" t="s">
        <v>95</v>
      </c>
      <c r="AL8369" s="21"/>
      <c r="AM8369" s="21" t="s">
        <v>4837</v>
      </c>
      <c r="AN8369" s="21">
        <v>-122.42101308333299</v>
      </c>
      <c r="AO8369" s="21">
        <v>37.796987566666601</v>
      </c>
      <c r="AP8369" s="21" t="s">
        <v>951</v>
      </c>
    </row>
    <row r="8370" spans="1:42">
      <c r="A8370" s="20">
        <v>43858</v>
      </c>
      <c r="B8370" s="21">
        <v>2</v>
      </c>
      <c r="C8370" s="21">
        <v>217</v>
      </c>
      <c r="D8370" s="21">
        <v>14443</v>
      </c>
      <c r="E8370" s="21"/>
      <c r="F8370" s="21" t="s">
        <v>104</v>
      </c>
      <c r="G8370" s="21">
        <v>2</v>
      </c>
      <c r="H8370" s="21">
        <v>80</v>
      </c>
      <c r="I8370" s="23" t="s">
        <v>3786</v>
      </c>
      <c r="J8370" s="21"/>
      <c r="K8370" t="s">
        <v>585</v>
      </c>
      <c r="L8370" s="21"/>
      <c r="M8370" s="21"/>
      <c r="N8370" s="21" t="s">
        <v>44</v>
      </c>
      <c r="O8370" s="21">
        <v>110</v>
      </c>
      <c r="P8370" s="21"/>
      <c r="Q8370" s="21">
        <f t="shared" si="167"/>
        <v>1</v>
      </c>
      <c r="R8370" s="21">
        <v>1</v>
      </c>
      <c r="S8370" s="21">
        <v>0</v>
      </c>
      <c r="T8370" s="21">
        <v>0</v>
      </c>
      <c r="U8370" s="21">
        <v>0</v>
      </c>
      <c r="V8370" s="21">
        <v>1</v>
      </c>
      <c r="W8370" s="21">
        <v>0</v>
      </c>
      <c r="X8370" s="21">
        <v>0</v>
      </c>
      <c r="Y8370" s="21">
        <v>0</v>
      </c>
      <c r="Z8370" s="21">
        <v>0</v>
      </c>
      <c r="AA8370" s="21">
        <v>0</v>
      </c>
      <c r="AB8370" s="21">
        <v>0</v>
      </c>
      <c r="AC8370" s="21">
        <v>0</v>
      </c>
      <c r="AD8370" s="21">
        <v>0</v>
      </c>
      <c r="AE8370" s="21">
        <v>0</v>
      </c>
      <c r="AF8370" s="21">
        <v>0</v>
      </c>
      <c r="AG8370" s="21">
        <v>0</v>
      </c>
      <c r="AH8370" s="21">
        <f t="shared" si="168"/>
        <v>64</v>
      </c>
      <c r="AI8370" s="21"/>
      <c r="AJ8370" s="21" t="s">
        <v>51</v>
      </c>
      <c r="AK8370" s="21" t="s">
        <v>95</v>
      </c>
      <c r="AL8370" s="21"/>
      <c r="AM8370" s="21" t="s">
        <v>4838</v>
      </c>
      <c r="AN8370" s="21">
        <v>-122.422829333333</v>
      </c>
      <c r="AO8370" s="21">
        <v>37.7968433333333</v>
      </c>
      <c r="AP8370" s="21" t="s">
        <v>951</v>
      </c>
    </row>
    <row r="8371" spans="1:42">
      <c r="A8371" s="20">
        <v>43858</v>
      </c>
      <c r="B8371" s="21">
        <v>2</v>
      </c>
      <c r="C8371" s="21">
        <v>217</v>
      </c>
      <c r="D8371" s="21">
        <v>14443</v>
      </c>
      <c r="E8371" s="21"/>
      <c r="F8371" s="21" t="s">
        <v>104</v>
      </c>
      <c r="G8371" s="21">
        <v>2</v>
      </c>
      <c r="H8371" s="21">
        <v>81</v>
      </c>
      <c r="I8371" s="23" t="s">
        <v>4839</v>
      </c>
      <c r="J8371" s="21"/>
      <c r="K8371" t="s">
        <v>585</v>
      </c>
      <c r="L8371" s="21" t="s">
        <v>114</v>
      </c>
      <c r="M8371" s="21" t="s">
        <v>52</v>
      </c>
      <c r="N8371" s="21" t="s">
        <v>40</v>
      </c>
      <c r="O8371" s="21">
        <v>33</v>
      </c>
      <c r="P8371" s="21"/>
      <c r="Q8371" s="21">
        <f t="shared" si="167"/>
        <v>2</v>
      </c>
      <c r="R8371" s="21">
        <v>1</v>
      </c>
      <c r="S8371" s="21">
        <v>0</v>
      </c>
      <c r="T8371" s="21">
        <v>0</v>
      </c>
      <c r="U8371" s="21">
        <v>1</v>
      </c>
      <c r="V8371" s="21">
        <v>1</v>
      </c>
      <c r="W8371" s="21">
        <v>0</v>
      </c>
      <c r="X8371" s="21">
        <v>0</v>
      </c>
      <c r="Y8371" s="21">
        <v>0</v>
      </c>
      <c r="Z8371" s="21">
        <v>0</v>
      </c>
      <c r="AA8371" s="21">
        <v>0</v>
      </c>
      <c r="AB8371" s="21">
        <v>0</v>
      </c>
      <c r="AC8371" s="21">
        <v>0</v>
      </c>
      <c r="AD8371" s="21">
        <v>0</v>
      </c>
      <c r="AE8371" s="21">
        <v>0</v>
      </c>
      <c r="AF8371" s="21">
        <v>0</v>
      </c>
      <c r="AG8371" s="21">
        <v>0</v>
      </c>
      <c r="AH8371" s="21">
        <f t="shared" si="168"/>
        <v>96</v>
      </c>
      <c r="AI8371" s="21"/>
      <c r="AJ8371" s="21" t="s">
        <v>51</v>
      </c>
      <c r="AK8371" s="21" t="s">
        <v>95</v>
      </c>
      <c r="AL8371" s="21"/>
      <c r="AM8371" s="21" t="s">
        <v>4840</v>
      </c>
      <c r="AN8371" s="21">
        <v>-122.422870733333</v>
      </c>
      <c r="AO8371" s="21">
        <v>37.796817949999998</v>
      </c>
      <c r="AP8371" s="21" t="s">
        <v>951</v>
      </c>
    </row>
    <row r="8372" spans="1:42">
      <c r="A8372" s="20">
        <v>43858</v>
      </c>
      <c r="B8372" s="21">
        <v>2</v>
      </c>
      <c r="C8372" s="21">
        <v>217</v>
      </c>
      <c r="D8372" s="21">
        <v>14443</v>
      </c>
      <c r="E8372" s="21"/>
      <c r="F8372" s="21" t="s">
        <v>104</v>
      </c>
      <c r="G8372" s="21">
        <v>2</v>
      </c>
      <c r="H8372" s="21">
        <v>82</v>
      </c>
      <c r="I8372" s="23" t="s">
        <v>4841</v>
      </c>
      <c r="J8372" s="21"/>
      <c r="K8372" t="s">
        <v>585</v>
      </c>
      <c r="L8372" s="21" t="s">
        <v>114</v>
      </c>
      <c r="M8372" s="21"/>
      <c r="N8372" s="21" t="s">
        <v>40</v>
      </c>
      <c r="O8372" s="21">
        <v>52</v>
      </c>
      <c r="P8372" s="21"/>
      <c r="Q8372" s="21">
        <f t="shared" si="167"/>
        <v>2</v>
      </c>
      <c r="R8372" s="21">
        <v>1</v>
      </c>
      <c r="S8372" s="21">
        <v>0</v>
      </c>
      <c r="T8372" s="21">
        <v>0</v>
      </c>
      <c r="U8372" s="21">
        <v>0</v>
      </c>
      <c r="V8372" s="21">
        <v>2</v>
      </c>
      <c r="W8372" s="21">
        <v>0</v>
      </c>
      <c r="X8372" s="21">
        <v>0</v>
      </c>
      <c r="Y8372" s="21">
        <v>0</v>
      </c>
      <c r="Z8372" s="21">
        <v>0</v>
      </c>
      <c r="AA8372" s="21">
        <v>0</v>
      </c>
      <c r="AB8372" s="21">
        <v>0</v>
      </c>
      <c r="AC8372" s="21">
        <v>0</v>
      </c>
      <c r="AD8372" s="21">
        <v>0</v>
      </c>
      <c r="AE8372" s="21">
        <v>0</v>
      </c>
      <c r="AF8372" s="21">
        <v>0</v>
      </c>
      <c r="AG8372" s="21">
        <v>0</v>
      </c>
      <c r="AH8372" s="21">
        <f t="shared" si="168"/>
        <v>128</v>
      </c>
      <c r="AI8372" s="21"/>
      <c r="AJ8372" s="21" t="s">
        <v>51</v>
      </c>
      <c r="AK8372" s="21" t="s">
        <v>95</v>
      </c>
      <c r="AL8372" s="21"/>
      <c r="AM8372" s="21" t="s">
        <v>4842</v>
      </c>
      <c r="AN8372" s="21">
        <v>-122.423067783333</v>
      </c>
      <c r="AO8372" s="21">
        <v>37.796741949999998</v>
      </c>
      <c r="AP8372" s="21" t="s">
        <v>951</v>
      </c>
    </row>
    <row r="8373" spans="1:42">
      <c r="A8373" s="20">
        <v>43858</v>
      </c>
      <c r="B8373" s="21">
        <v>2</v>
      </c>
      <c r="C8373" s="21">
        <v>217</v>
      </c>
      <c r="D8373" s="21">
        <v>14443</v>
      </c>
      <c r="E8373" s="21"/>
      <c r="F8373" s="21" t="s">
        <v>104</v>
      </c>
      <c r="G8373" s="21">
        <v>2</v>
      </c>
      <c r="H8373" s="21">
        <v>83</v>
      </c>
      <c r="I8373" s="23" t="s">
        <v>2536</v>
      </c>
      <c r="J8373" s="21"/>
      <c r="K8373" s="21" t="s">
        <v>415</v>
      </c>
      <c r="L8373" s="21"/>
      <c r="M8373" s="21"/>
      <c r="N8373" s="21" t="s">
        <v>44</v>
      </c>
      <c r="O8373" s="21">
        <v>58</v>
      </c>
      <c r="P8373" s="21"/>
      <c r="Q8373" s="21">
        <f t="shared" si="167"/>
        <v>1</v>
      </c>
      <c r="R8373" s="21">
        <v>1</v>
      </c>
      <c r="S8373" s="21">
        <v>0</v>
      </c>
      <c r="T8373" s="21">
        <v>0</v>
      </c>
      <c r="U8373" s="21">
        <v>0</v>
      </c>
      <c r="V8373" s="21">
        <v>1</v>
      </c>
      <c r="W8373" s="21">
        <v>0</v>
      </c>
      <c r="X8373" s="21">
        <v>0</v>
      </c>
      <c r="Y8373" s="21">
        <v>0</v>
      </c>
      <c r="Z8373" s="21">
        <v>0</v>
      </c>
      <c r="AA8373" s="21">
        <v>0</v>
      </c>
      <c r="AB8373" s="21">
        <v>0</v>
      </c>
      <c r="AC8373" s="21">
        <v>0</v>
      </c>
      <c r="AD8373" s="21">
        <v>0</v>
      </c>
      <c r="AE8373" s="21">
        <v>0</v>
      </c>
      <c r="AF8373" s="21">
        <v>0</v>
      </c>
      <c r="AG8373" s="21">
        <v>0</v>
      </c>
      <c r="AH8373" s="21">
        <f t="shared" si="168"/>
        <v>64</v>
      </c>
      <c r="AI8373" s="21"/>
      <c r="AJ8373" s="21" t="s">
        <v>51</v>
      </c>
      <c r="AK8373" s="21" t="s">
        <v>95</v>
      </c>
      <c r="AL8373" s="21" t="s">
        <v>4843</v>
      </c>
      <c r="AM8373" s="21" t="s">
        <v>4844</v>
      </c>
      <c r="AN8373" s="21">
        <v>-122.423602</v>
      </c>
      <c r="AO8373" s="21">
        <v>37.7970160666667</v>
      </c>
      <c r="AP8373" s="21" t="s">
        <v>951</v>
      </c>
    </row>
    <row r="8374" spans="1:42">
      <c r="A8374" s="20">
        <v>43858</v>
      </c>
      <c r="B8374" s="21">
        <v>2</v>
      </c>
      <c r="C8374" s="21">
        <v>217</v>
      </c>
      <c r="D8374" s="21">
        <v>14443</v>
      </c>
      <c r="E8374" s="21"/>
      <c r="F8374" s="21" t="s">
        <v>104</v>
      </c>
      <c r="G8374" s="21">
        <v>2</v>
      </c>
      <c r="H8374" s="21">
        <v>84</v>
      </c>
      <c r="I8374" s="23" t="s">
        <v>4845</v>
      </c>
      <c r="J8374" s="21"/>
      <c r="K8374" s="21" t="s">
        <v>415</v>
      </c>
      <c r="L8374" s="21"/>
      <c r="M8374" s="21"/>
      <c r="N8374" s="21" t="s">
        <v>44</v>
      </c>
      <c r="O8374" s="21">
        <v>230</v>
      </c>
      <c r="P8374" s="21"/>
      <c r="Q8374" s="21">
        <f t="shared" si="167"/>
        <v>3</v>
      </c>
      <c r="R8374" s="21">
        <v>1</v>
      </c>
      <c r="S8374" s="21">
        <v>0</v>
      </c>
      <c r="T8374" s="21">
        <v>0</v>
      </c>
      <c r="U8374" s="21">
        <v>0</v>
      </c>
      <c r="V8374" s="21">
        <v>1</v>
      </c>
      <c r="W8374" s="21">
        <v>2</v>
      </c>
      <c r="X8374" s="21">
        <v>0</v>
      </c>
      <c r="Y8374" s="21">
        <v>0</v>
      </c>
      <c r="Z8374" s="21">
        <v>0</v>
      </c>
      <c r="AA8374" s="21">
        <v>0</v>
      </c>
      <c r="AB8374" s="21">
        <v>0</v>
      </c>
      <c r="AC8374" s="21">
        <v>0</v>
      </c>
      <c r="AD8374" s="21">
        <v>0</v>
      </c>
      <c r="AE8374" s="21">
        <v>0</v>
      </c>
      <c r="AF8374" s="21">
        <v>0</v>
      </c>
      <c r="AG8374" s="21">
        <v>0</v>
      </c>
      <c r="AH8374" s="21">
        <f t="shared" si="168"/>
        <v>256</v>
      </c>
      <c r="AI8374" s="21"/>
      <c r="AJ8374" s="21" t="s">
        <v>51</v>
      </c>
      <c r="AK8374" s="21" t="s">
        <v>95</v>
      </c>
      <c r="AL8374" s="21"/>
      <c r="AM8374" s="21" t="s">
        <v>4846</v>
      </c>
      <c r="AN8374" s="21">
        <v>-122.423824966667</v>
      </c>
      <c r="AO8374" s="21">
        <v>37.797520833333301</v>
      </c>
      <c r="AP8374" s="21" t="s">
        <v>951</v>
      </c>
    </row>
    <row r="8375" spans="1:42">
      <c r="A8375" s="20">
        <v>43858</v>
      </c>
      <c r="B8375" s="21">
        <v>2</v>
      </c>
      <c r="C8375" s="21">
        <v>217</v>
      </c>
      <c r="D8375" s="21">
        <v>14443</v>
      </c>
      <c r="E8375" s="21"/>
      <c r="F8375" s="21" t="s">
        <v>104</v>
      </c>
      <c r="G8375" s="21">
        <v>2</v>
      </c>
      <c r="H8375" s="21">
        <v>85</v>
      </c>
      <c r="I8375" s="23" t="s">
        <v>4847</v>
      </c>
      <c r="J8375" s="21"/>
      <c r="K8375" s="21" t="s">
        <v>119</v>
      </c>
      <c r="L8375" s="21" t="s">
        <v>141</v>
      </c>
      <c r="M8375" s="21"/>
      <c r="N8375" s="21" t="s">
        <v>40</v>
      </c>
      <c r="O8375" s="21">
        <v>29</v>
      </c>
      <c r="P8375" s="21"/>
      <c r="Q8375" s="21">
        <f t="shared" si="167"/>
        <v>2</v>
      </c>
      <c r="R8375" s="21">
        <v>1</v>
      </c>
      <c r="S8375" s="21">
        <v>0</v>
      </c>
      <c r="T8375" s="21">
        <v>0</v>
      </c>
      <c r="U8375" s="21">
        <v>2</v>
      </c>
      <c r="V8375" s="21">
        <v>0</v>
      </c>
      <c r="W8375" s="21">
        <v>0</v>
      </c>
      <c r="X8375" s="21">
        <v>0</v>
      </c>
      <c r="Y8375" s="21">
        <v>0</v>
      </c>
      <c r="Z8375" s="21">
        <v>0</v>
      </c>
      <c r="AA8375" s="21">
        <v>0</v>
      </c>
      <c r="AB8375" s="21">
        <v>0</v>
      </c>
      <c r="AC8375" s="21">
        <v>0</v>
      </c>
      <c r="AD8375" s="21">
        <v>0</v>
      </c>
      <c r="AE8375" s="21">
        <v>0</v>
      </c>
      <c r="AF8375" s="21">
        <v>0</v>
      </c>
      <c r="AG8375" s="21">
        <v>0</v>
      </c>
      <c r="AH8375" s="21">
        <f t="shared" si="168"/>
        <v>64</v>
      </c>
      <c r="AI8375" s="21"/>
      <c r="AJ8375" s="21" t="s">
        <v>51</v>
      </c>
      <c r="AK8375" s="21" t="s">
        <v>95</v>
      </c>
      <c r="AL8375" s="21"/>
      <c r="AM8375" s="21" t="s">
        <v>4848</v>
      </c>
      <c r="AN8375" s="21">
        <v>-122.42320475</v>
      </c>
      <c r="AO8375" s="21">
        <v>37.797734583333302</v>
      </c>
      <c r="AP8375" s="21" t="s">
        <v>951</v>
      </c>
    </row>
    <row r="8376" spans="1:42">
      <c r="A8376" s="20">
        <v>43858</v>
      </c>
      <c r="B8376" s="21">
        <v>2</v>
      </c>
      <c r="C8376" s="21">
        <v>217</v>
      </c>
      <c r="D8376" s="21">
        <v>14443</v>
      </c>
      <c r="E8376" s="21"/>
      <c r="F8376" s="21" t="s">
        <v>104</v>
      </c>
      <c r="G8376" s="21">
        <v>2</v>
      </c>
      <c r="H8376" s="21">
        <v>86</v>
      </c>
      <c r="I8376" s="23" t="s">
        <v>4849</v>
      </c>
      <c r="J8376" s="21"/>
      <c r="K8376" s="21" t="s">
        <v>162</v>
      </c>
      <c r="L8376" s="21"/>
      <c r="M8376" s="21"/>
      <c r="N8376" s="21" t="s">
        <v>40</v>
      </c>
      <c r="O8376" s="21">
        <v>63</v>
      </c>
      <c r="P8376" s="21"/>
      <c r="Q8376" s="21">
        <f t="shared" si="167"/>
        <v>3</v>
      </c>
      <c r="R8376" s="21">
        <v>1</v>
      </c>
      <c r="S8376" s="21">
        <v>0</v>
      </c>
      <c r="T8376" s="21">
        <v>0</v>
      </c>
      <c r="U8376" s="21">
        <v>2</v>
      </c>
      <c r="V8376" s="21">
        <v>1</v>
      </c>
      <c r="W8376" s="21">
        <v>0</v>
      </c>
      <c r="X8376" s="21">
        <v>0</v>
      </c>
      <c r="Y8376" s="21">
        <v>0</v>
      </c>
      <c r="Z8376" s="21">
        <v>0</v>
      </c>
      <c r="AA8376" s="21">
        <v>0</v>
      </c>
      <c r="AB8376" s="21">
        <v>0</v>
      </c>
      <c r="AC8376" s="21">
        <v>0</v>
      </c>
      <c r="AD8376" s="21">
        <v>0</v>
      </c>
      <c r="AE8376" s="21">
        <v>0</v>
      </c>
      <c r="AF8376" s="21">
        <v>0</v>
      </c>
      <c r="AG8376" s="21">
        <v>0</v>
      </c>
      <c r="AH8376" s="21">
        <f t="shared" si="168"/>
        <v>128</v>
      </c>
      <c r="AI8376" s="21"/>
      <c r="AJ8376" s="21" t="s">
        <v>51</v>
      </c>
      <c r="AK8376" s="21" t="s">
        <v>95</v>
      </c>
      <c r="AL8376" s="21"/>
      <c r="AM8376" s="21" t="s">
        <v>4850</v>
      </c>
      <c r="AN8376" s="21">
        <v>-122.42288283333301</v>
      </c>
      <c r="AO8376" s="21">
        <v>37.797667966666701</v>
      </c>
      <c r="AP8376" s="21" t="s">
        <v>951</v>
      </c>
    </row>
    <row r="8377" spans="1:42">
      <c r="A8377" s="20">
        <v>43858</v>
      </c>
      <c r="B8377" s="21">
        <v>2</v>
      </c>
      <c r="C8377" s="21">
        <v>217</v>
      </c>
      <c r="D8377" s="21">
        <v>14443</v>
      </c>
      <c r="E8377" s="21"/>
      <c r="F8377" s="21" t="s">
        <v>104</v>
      </c>
      <c r="G8377" s="21">
        <v>2</v>
      </c>
      <c r="H8377" s="21">
        <v>87</v>
      </c>
      <c r="I8377" s="23" t="s">
        <v>4851</v>
      </c>
      <c r="J8377" s="21"/>
      <c r="K8377" s="21" t="s">
        <v>119</v>
      </c>
      <c r="L8377" s="21" t="s">
        <v>141</v>
      </c>
      <c r="M8377" s="21"/>
      <c r="N8377" s="21" t="s">
        <v>40</v>
      </c>
      <c r="O8377" s="21">
        <v>33</v>
      </c>
      <c r="P8377" s="21"/>
      <c r="Q8377" s="21">
        <f t="shared" si="167"/>
        <v>2</v>
      </c>
      <c r="R8377" s="21">
        <v>1</v>
      </c>
      <c r="S8377" s="21">
        <v>0</v>
      </c>
      <c r="T8377" s="21">
        <v>0</v>
      </c>
      <c r="U8377" s="21">
        <v>1</v>
      </c>
      <c r="V8377" s="21">
        <v>1</v>
      </c>
      <c r="W8377" s="21">
        <v>0</v>
      </c>
      <c r="X8377" s="21">
        <v>0</v>
      </c>
      <c r="Y8377" s="21">
        <v>0</v>
      </c>
      <c r="Z8377" s="21">
        <v>0</v>
      </c>
      <c r="AA8377" s="21">
        <v>0</v>
      </c>
      <c r="AB8377" s="21">
        <v>0</v>
      </c>
      <c r="AC8377" s="21">
        <v>0</v>
      </c>
      <c r="AD8377" s="21">
        <v>0</v>
      </c>
      <c r="AE8377" s="21">
        <v>0</v>
      </c>
      <c r="AF8377" s="21">
        <v>0</v>
      </c>
      <c r="AG8377" s="21">
        <v>0</v>
      </c>
      <c r="AH8377" s="21">
        <f t="shared" si="168"/>
        <v>96</v>
      </c>
      <c r="AI8377" s="21"/>
      <c r="AJ8377" s="21" t="s">
        <v>51</v>
      </c>
      <c r="AK8377" s="21" t="s">
        <v>52</v>
      </c>
      <c r="AL8377" s="21"/>
      <c r="AM8377" s="21" t="s">
        <v>4852</v>
      </c>
      <c r="AN8377" s="21">
        <v>-122.42282976666699</v>
      </c>
      <c r="AO8377" s="21">
        <v>37.797789416666603</v>
      </c>
      <c r="AP8377" s="21" t="s">
        <v>951</v>
      </c>
    </row>
    <row r="8378" spans="1:42">
      <c r="A8378" s="20">
        <v>43858</v>
      </c>
      <c r="B8378" s="21">
        <v>2</v>
      </c>
      <c r="C8378" s="21">
        <v>217</v>
      </c>
      <c r="D8378" s="21">
        <v>14443</v>
      </c>
      <c r="E8378" s="21"/>
      <c r="F8378" s="21" t="s">
        <v>104</v>
      </c>
      <c r="G8378" s="21">
        <v>2</v>
      </c>
      <c r="H8378" s="21">
        <v>88</v>
      </c>
      <c r="I8378" s="23" t="s">
        <v>4853</v>
      </c>
      <c r="J8378" s="21"/>
      <c r="K8378" s="21" t="s">
        <v>119</v>
      </c>
      <c r="L8378" s="21" t="s">
        <v>141</v>
      </c>
      <c r="M8378" s="21"/>
      <c r="N8378" s="21" t="s">
        <v>40</v>
      </c>
      <c r="O8378" s="21">
        <v>47</v>
      </c>
      <c r="P8378" s="21"/>
      <c r="Q8378" s="21">
        <f t="shared" si="167"/>
        <v>1</v>
      </c>
      <c r="R8378" s="21">
        <v>1</v>
      </c>
      <c r="S8378" s="21">
        <v>0</v>
      </c>
      <c r="T8378" s="21">
        <v>0</v>
      </c>
      <c r="U8378" s="21">
        <v>0</v>
      </c>
      <c r="V8378" s="21">
        <v>1</v>
      </c>
      <c r="W8378" s="21">
        <v>0</v>
      </c>
      <c r="X8378" s="21">
        <v>0</v>
      </c>
      <c r="Y8378" s="21">
        <v>0</v>
      </c>
      <c r="Z8378" s="21">
        <v>0</v>
      </c>
      <c r="AA8378" s="21">
        <v>0</v>
      </c>
      <c r="AB8378" s="21">
        <v>0</v>
      </c>
      <c r="AC8378" s="21">
        <v>0</v>
      </c>
      <c r="AD8378" s="21">
        <v>0</v>
      </c>
      <c r="AE8378" s="21">
        <v>0</v>
      </c>
      <c r="AF8378" s="21">
        <v>0</v>
      </c>
      <c r="AG8378" s="21">
        <v>0</v>
      </c>
      <c r="AH8378" s="21">
        <f t="shared" si="168"/>
        <v>64</v>
      </c>
      <c r="AI8378" s="21"/>
      <c r="AJ8378" s="21" t="s">
        <v>51</v>
      </c>
      <c r="AK8378" s="21" t="s">
        <v>52</v>
      </c>
      <c r="AL8378" s="21"/>
      <c r="AM8378" s="21" t="s">
        <v>4854</v>
      </c>
      <c r="AN8378" s="21">
        <v>-122.422673883333</v>
      </c>
      <c r="AO8378" s="21">
        <v>37.797757633333298</v>
      </c>
      <c r="AP8378" s="21" t="s">
        <v>951</v>
      </c>
    </row>
    <row r="8379" spans="1:42">
      <c r="A8379" s="20">
        <v>43858</v>
      </c>
      <c r="B8379" s="21">
        <v>2</v>
      </c>
      <c r="C8379" s="21">
        <v>217</v>
      </c>
      <c r="D8379" s="21">
        <v>14443</v>
      </c>
      <c r="E8379" s="21"/>
      <c r="F8379" s="21" t="s">
        <v>104</v>
      </c>
      <c r="G8379" s="21">
        <v>2</v>
      </c>
      <c r="H8379" s="21">
        <v>89</v>
      </c>
      <c r="I8379" s="23" t="s">
        <v>4855</v>
      </c>
      <c r="J8379" s="21"/>
      <c r="K8379" s="21" t="s">
        <v>119</v>
      </c>
      <c r="L8379" s="21" t="s">
        <v>141</v>
      </c>
      <c r="M8379" s="21"/>
      <c r="N8379" s="21" t="s">
        <v>40</v>
      </c>
      <c r="O8379" s="21">
        <v>80</v>
      </c>
      <c r="P8379" s="21"/>
      <c r="Q8379" s="21">
        <f t="shared" si="167"/>
        <v>3</v>
      </c>
      <c r="R8379" s="21">
        <v>1</v>
      </c>
      <c r="S8379" s="21">
        <v>2</v>
      </c>
      <c r="T8379" s="21">
        <v>0</v>
      </c>
      <c r="U8379" s="21">
        <v>1</v>
      </c>
      <c r="V8379" s="21">
        <v>0</v>
      </c>
      <c r="W8379" s="21">
        <v>0</v>
      </c>
      <c r="X8379" s="21">
        <v>0</v>
      </c>
      <c r="Y8379" s="21">
        <v>0</v>
      </c>
      <c r="Z8379" s="21">
        <v>0</v>
      </c>
      <c r="AA8379" s="21">
        <v>0</v>
      </c>
      <c r="AB8379" s="21">
        <v>0</v>
      </c>
      <c r="AC8379" s="21">
        <v>0</v>
      </c>
      <c r="AD8379" s="21">
        <v>0</v>
      </c>
      <c r="AE8379" s="21">
        <v>0</v>
      </c>
      <c r="AF8379" s="21">
        <v>0</v>
      </c>
      <c r="AG8379" s="21">
        <v>0</v>
      </c>
      <c r="AH8379" s="21">
        <f t="shared" si="168"/>
        <v>64</v>
      </c>
      <c r="AI8379" s="21"/>
      <c r="AJ8379" s="21" t="s">
        <v>51</v>
      </c>
      <c r="AK8379" s="21" t="s">
        <v>52</v>
      </c>
      <c r="AL8379" s="21"/>
      <c r="AM8379" s="21" t="s">
        <v>4856</v>
      </c>
      <c r="AN8379" s="21">
        <v>-122.422551516667</v>
      </c>
      <c r="AO8379" s="21">
        <v>37.7977477833333</v>
      </c>
      <c r="AP8379" s="21" t="s">
        <v>951</v>
      </c>
    </row>
    <row r="8380" spans="1:42">
      <c r="A8380" s="20">
        <v>43858</v>
      </c>
      <c r="B8380" s="21">
        <v>2</v>
      </c>
      <c r="C8380" s="21">
        <v>217</v>
      </c>
      <c r="D8380" s="21">
        <v>14443</v>
      </c>
      <c r="E8380" s="21"/>
      <c r="F8380" s="21" t="s">
        <v>104</v>
      </c>
      <c r="G8380" s="21">
        <v>2</v>
      </c>
      <c r="H8380" s="21">
        <v>90</v>
      </c>
      <c r="I8380" s="23" t="s">
        <v>3013</v>
      </c>
      <c r="J8380" s="21"/>
      <c r="K8380" s="21" t="s">
        <v>119</v>
      </c>
      <c r="L8380" s="21" t="s">
        <v>141</v>
      </c>
      <c r="M8380" s="21"/>
      <c r="N8380" s="21" t="s">
        <v>40</v>
      </c>
      <c r="O8380" s="21">
        <v>53</v>
      </c>
      <c r="P8380" s="21"/>
      <c r="Q8380" s="21">
        <f t="shared" si="167"/>
        <v>2</v>
      </c>
      <c r="R8380" s="21">
        <v>1</v>
      </c>
      <c r="S8380" s="21">
        <v>0</v>
      </c>
      <c r="T8380" s="21">
        <v>0</v>
      </c>
      <c r="U8380" s="21">
        <v>1</v>
      </c>
      <c r="V8380" s="21">
        <v>1</v>
      </c>
      <c r="W8380" s="21">
        <v>0</v>
      </c>
      <c r="X8380" s="21">
        <v>0</v>
      </c>
      <c r="Y8380" s="21">
        <v>0</v>
      </c>
      <c r="Z8380" s="21">
        <v>0</v>
      </c>
      <c r="AA8380" s="21">
        <v>0</v>
      </c>
      <c r="AB8380" s="21">
        <v>0</v>
      </c>
      <c r="AC8380" s="21">
        <v>0</v>
      </c>
      <c r="AD8380" s="21">
        <v>0</v>
      </c>
      <c r="AE8380" s="21">
        <v>0</v>
      </c>
      <c r="AF8380" s="21">
        <v>0</v>
      </c>
      <c r="AG8380" s="21">
        <v>0</v>
      </c>
      <c r="AH8380" s="21">
        <f t="shared" si="168"/>
        <v>96</v>
      </c>
      <c r="AI8380" s="21"/>
      <c r="AJ8380" s="21" t="s">
        <v>51</v>
      </c>
      <c r="AK8380" s="21" t="s">
        <v>95</v>
      </c>
      <c r="AL8380" s="21"/>
      <c r="AM8380" s="21" t="s">
        <v>4857</v>
      </c>
      <c r="AN8380" s="21">
        <v>-122.422231883333</v>
      </c>
      <c r="AO8380" s="21">
        <v>37.797796650000002</v>
      </c>
      <c r="AP8380" s="21" t="s">
        <v>951</v>
      </c>
    </row>
    <row r="8381" spans="1:42">
      <c r="A8381" s="20">
        <v>43858</v>
      </c>
      <c r="B8381" s="21">
        <v>2</v>
      </c>
      <c r="C8381" s="21">
        <v>217</v>
      </c>
      <c r="D8381" s="21">
        <v>14443</v>
      </c>
      <c r="E8381" s="21"/>
      <c r="F8381" s="21" t="s">
        <v>104</v>
      </c>
      <c r="G8381" s="21">
        <v>2</v>
      </c>
      <c r="H8381" s="21">
        <v>91</v>
      </c>
      <c r="I8381" s="23" t="s">
        <v>4858</v>
      </c>
      <c r="J8381" s="21"/>
      <c r="K8381" s="21" t="s">
        <v>119</v>
      </c>
      <c r="L8381" s="21"/>
      <c r="M8381" s="21"/>
      <c r="N8381" s="21" t="s">
        <v>44</v>
      </c>
      <c r="O8381" s="21">
        <v>154</v>
      </c>
      <c r="P8381" s="21"/>
      <c r="Q8381" s="21">
        <f t="shared" si="167"/>
        <v>1</v>
      </c>
      <c r="R8381" s="21">
        <v>1</v>
      </c>
      <c r="S8381" s="21">
        <v>0</v>
      </c>
      <c r="T8381" s="21">
        <v>0</v>
      </c>
      <c r="U8381" s="21">
        <v>0</v>
      </c>
      <c r="V8381" s="21">
        <v>0</v>
      </c>
      <c r="W8381" s="21">
        <v>1</v>
      </c>
      <c r="X8381" s="21">
        <v>0</v>
      </c>
      <c r="Y8381" s="21">
        <v>0</v>
      </c>
      <c r="Z8381" s="21">
        <v>0</v>
      </c>
      <c r="AA8381" s="21">
        <v>0</v>
      </c>
      <c r="AB8381" s="21">
        <v>0</v>
      </c>
      <c r="AC8381" s="21">
        <v>0</v>
      </c>
      <c r="AD8381" s="21">
        <v>0</v>
      </c>
      <c r="AE8381" s="21">
        <v>0</v>
      </c>
      <c r="AF8381" s="21">
        <v>0</v>
      </c>
      <c r="AG8381" s="21">
        <v>0</v>
      </c>
      <c r="AH8381" s="21">
        <f t="shared" si="168"/>
        <v>96</v>
      </c>
      <c r="AI8381" s="21"/>
      <c r="AJ8381" s="21" t="s">
        <v>54</v>
      </c>
      <c r="AK8381" s="21" t="s">
        <v>4803</v>
      </c>
      <c r="AL8381" s="21" t="s">
        <v>4859</v>
      </c>
      <c r="AM8381" s="21" t="s">
        <v>4860</v>
      </c>
      <c r="AN8381" s="21">
        <v>-122.421802983333</v>
      </c>
      <c r="AO8381" s="21">
        <v>37.797884683333301</v>
      </c>
      <c r="AP8381" s="21" t="s">
        <v>951</v>
      </c>
    </row>
    <row r="8382" spans="1:42">
      <c r="A8382" s="20">
        <v>43858</v>
      </c>
      <c r="B8382" s="21">
        <v>2</v>
      </c>
      <c r="C8382" s="21">
        <v>217</v>
      </c>
      <c r="D8382" s="21">
        <v>14443</v>
      </c>
      <c r="E8382" s="21"/>
      <c r="F8382" s="21" t="s">
        <v>104</v>
      </c>
      <c r="G8382" s="21">
        <v>2</v>
      </c>
      <c r="H8382" s="21">
        <v>92</v>
      </c>
      <c r="I8382" s="23" t="s">
        <v>4861</v>
      </c>
      <c r="J8382" s="21"/>
      <c r="K8382" s="21" t="s">
        <v>119</v>
      </c>
      <c r="L8382" s="21" t="s">
        <v>141</v>
      </c>
      <c r="M8382" s="21"/>
      <c r="N8382" s="21" t="s">
        <v>40</v>
      </c>
      <c r="O8382" s="21">
        <v>108</v>
      </c>
      <c r="P8382" s="21"/>
      <c r="Q8382" s="21">
        <f t="shared" si="167"/>
        <v>3</v>
      </c>
      <c r="R8382" s="21">
        <v>1</v>
      </c>
      <c r="S8382" s="21">
        <v>0</v>
      </c>
      <c r="T8382" s="21">
        <v>0</v>
      </c>
      <c r="U8382" s="21">
        <v>3</v>
      </c>
      <c r="V8382" s="21">
        <v>0</v>
      </c>
      <c r="W8382" s="21">
        <v>0</v>
      </c>
      <c r="X8382" s="21">
        <v>0</v>
      </c>
      <c r="Y8382" s="21">
        <v>0</v>
      </c>
      <c r="Z8382" s="21">
        <v>0</v>
      </c>
      <c r="AA8382" s="21">
        <v>0</v>
      </c>
      <c r="AB8382" s="21">
        <v>0</v>
      </c>
      <c r="AC8382" s="21">
        <v>0</v>
      </c>
      <c r="AD8382" s="21">
        <v>0</v>
      </c>
      <c r="AE8382" s="21">
        <v>0</v>
      </c>
      <c r="AF8382" s="21">
        <v>0</v>
      </c>
      <c r="AG8382" s="21">
        <v>0</v>
      </c>
      <c r="AH8382" s="21">
        <f t="shared" si="168"/>
        <v>96</v>
      </c>
      <c r="AI8382" s="21"/>
      <c r="AJ8382" s="21" t="s">
        <v>54</v>
      </c>
      <c r="AK8382" s="21" t="s">
        <v>52</v>
      </c>
      <c r="AL8382" s="21"/>
      <c r="AM8382" s="21" t="s">
        <v>4862</v>
      </c>
      <c r="AN8382" s="21">
        <v>-122.426502247382</v>
      </c>
      <c r="AO8382" s="21">
        <v>37.801637075394503</v>
      </c>
      <c r="AP8382" s="21" t="s">
        <v>951</v>
      </c>
    </row>
    <row r="8383" spans="1:42">
      <c r="A8383" s="20">
        <v>43858</v>
      </c>
      <c r="B8383" s="21">
        <v>2</v>
      </c>
      <c r="C8383" s="21">
        <v>217</v>
      </c>
      <c r="D8383" s="21">
        <v>14443</v>
      </c>
      <c r="E8383" s="21"/>
      <c r="F8383" s="21" t="s">
        <v>104</v>
      </c>
      <c r="G8383" s="21">
        <v>2</v>
      </c>
      <c r="H8383" s="21">
        <v>93</v>
      </c>
      <c r="I8383" s="23"/>
      <c r="J8383" s="21"/>
      <c r="K8383" s="21"/>
      <c r="L8383" s="21" t="s">
        <v>141</v>
      </c>
      <c r="M8383" s="21"/>
      <c r="N8383" s="21" t="s">
        <v>40</v>
      </c>
      <c r="O8383" s="21">
        <v>36</v>
      </c>
      <c r="P8383" s="21"/>
      <c r="Q8383" s="21">
        <f t="shared" si="167"/>
        <v>2</v>
      </c>
      <c r="R8383" s="21">
        <v>1</v>
      </c>
      <c r="S8383" s="21">
        <v>0</v>
      </c>
      <c r="T8383" s="21">
        <v>0</v>
      </c>
      <c r="U8383" s="21">
        <v>0</v>
      </c>
      <c r="V8383" s="21">
        <v>2</v>
      </c>
      <c r="W8383" s="21">
        <v>0</v>
      </c>
      <c r="X8383" s="21">
        <v>0</v>
      </c>
      <c r="Y8383" s="21">
        <v>0</v>
      </c>
      <c r="Z8383" s="21">
        <v>0</v>
      </c>
      <c r="AA8383" s="21">
        <v>0</v>
      </c>
      <c r="AB8383" s="21">
        <v>0</v>
      </c>
      <c r="AC8383" s="21">
        <v>0</v>
      </c>
      <c r="AD8383" s="21">
        <v>0</v>
      </c>
      <c r="AE8383" s="21">
        <v>0</v>
      </c>
      <c r="AF8383" s="21">
        <v>0</v>
      </c>
      <c r="AG8383" s="21">
        <v>0</v>
      </c>
      <c r="AH8383" s="21">
        <f t="shared" si="168"/>
        <v>128</v>
      </c>
      <c r="AI8383" s="21"/>
      <c r="AJ8383" s="21" t="s">
        <v>54</v>
      </c>
      <c r="AK8383" s="21" t="s">
        <v>52</v>
      </c>
      <c r="AL8383" s="21"/>
      <c r="AM8383" s="21" t="s">
        <v>4863</v>
      </c>
      <c r="AN8383" s="21">
        <v>-122.421230466667</v>
      </c>
      <c r="AO8383" s="21">
        <v>37.797968916666697</v>
      </c>
      <c r="AP8383" s="21" t="s">
        <v>951</v>
      </c>
    </row>
    <row r="8384" spans="1:42">
      <c r="A8384" s="20">
        <v>43858</v>
      </c>
      <c r="B8384" s="21">
        <v>2</v>
      </c>
      <c r="C8384" s="21">
        <v>217</v>
      </c>
      <c r="D8384" s="21">
        <v>14443</v>
      </c>
      <c r="E8384" s="21"/>
      <c r="F8384" s="21" t="s">
        <v>104</v>
      </c>
      <c r="G8384" s="21">
        <v>2</v>
      </c>
      <c r="H8384" s="21">
        <v>94</v>
      </c>
      <c r="I8384" s="23" t="s">
        <v>4864</v>
      </c>
      <c r="J8384" s="21"/>
      <c r="K8384" s="21" t="s">
        <v>119</v>
      </c>
      <c r="L8384" s="21"/>
      <c r="M8384" s="21"/>
      <c r="N8384" s="21" t="s">
        <v>44</v>
      </c>
      <c r="O8384" s="21">
        <v>90</v>
      </c>
      <c r="P8384" s="21"/>
      <c r="Q8384" s="21">
        <f t="shared" ref="Q8384:Q8447" si="169">SUM(S8384:AE8384)</f>
        <v>2</v>
      </c>
      <c r="R8384" s="21">
        <v>1</v>
      </c>
      <c r="S8384" s="21">
        <v>0</v>
      </c>
      <c r="T8384" s="21">
        <v>0</v>
      </c>
      <c r="U8384" s="21">
        <v>1</v>
      </c>
      <c r="V8384" s="21">
        <v>1</v>
      </c>
      <c r="W8384" s="21">
        <v>0</v>
      </c>
      <c r="X8384" s="21">
        <v>0</v>
      </c>
      <c r="Y8384" s="21">
        <v>0</v>
      </c>
      <c r="Z8384" s="21">
        <v>0</v>
      </c>
      <c r="AA8384" s="21">
        <v>0</v>
      </c>
      <c r="AB8384" s="21">
        <v>0</v>
      </c>
      <c r="AC8384" s="21">
        <v>0</v>
      </c>
      <c r="AD8384" s="21">
        <v>0</v>
      </c>
      <c r="AE8384" s="21">
        <v>0</v>
      </c>
      <c r="AF8384" s="21">
        <v>0</v>
      </c>
      <c r="AG8384" s="21">
        <v>0</v>
      </c>
      <c r="AH8384" s="21">
        <f t="shared" ref="AH8384:AH8447" si="170">(S8384*16)+(T8384*20)+(U8384*32)+(V8384*64)+(W8384*96)</f>
        <v>96</v>
      </c>
      <c r="AI8384" s="21"/>
      <c r="AJ8384" s="21" t="s">
        <v>54</v>
      </c>
      <c r="AK8384" s="21" t="s">
        <v>95</v>
      </c>
      <c r="AL8384" s="21"/>
      <c r="AM8384" s="21" t="s">
        <v>4865</v>
      </c>
      <c r="AN8384" s="21">
        <v>-122.42123656666701</v>
      </c>
      <c r="AO8384" s="21">
        <v>37.798002683333301</v>
      </c>
      <c r="AP8384" s="21" t="s">
        <v>951</v>
      </c>
    </row>
    <row r="8385" spans="1:42">
      <c r="A8385" s="20">
        <v>43858</v>
      </c>
      <c r="B8385" s="21">
        <v>2</v>
      </c>
      <c r="C8385" s="21">
        <v>217</v>
      </c>
      <c r="D8385" s="21">
        <v>14443</v>
      </c>
      <c r="E8385" s="21"/>
      <c r="F8385" s="21" t="s">
        <v>104</v>
      </c>
      <c r="G8385" s="21">
        <v>2</v>
      </c>
      <c r="H8385" s="21">
        <v>95</v>
      </c>
      <c r="I8385" s="23" t="s">
        <v>4866</v>
      </c>
      <c r="J8385" s="21"/>
      <c r="K8385" s="21" t="s">
        <v>119</v>
      </c>
      <c r="L8385" s="21" t="s">
        <v>141</v>
      </c>
      <c r="M8385" s="21"/>
      <c r="N8385" s="21" t="s">
        <v>40</v>
      </c>
      <c r="O8385" s="21">
        <v>58</v>
      </c>
      <c r="P8385" s="21"/>
      <c r="Q8385" s="21">
        <f t="shared" si="169"/>
        <v>4</v>
      </c>
      <c r="R8385" s="21">
        <v>1</v>
      </c>
      <c r="S8385" s="21">
        <v>0</v>
      </c>
      <c r="T8385" s="21">
        <v>0</v>
      </c>
      <c r="U8385" s="21">
        <v>4</v>
      </c>
      <c r="V8385" s="21">
        <v>0</v>
      </c>
      <c r="W8385" s="21">
        <v>0</v>
      </c>
      <c r="X8385" s="21">
        <v>0</v>
      </c>
      <c r="Y8385" s="21">
        <v>0</v>
      </c>
      <c r="Z8385" s="21">
        <v>0</v>
      </c>
      <c r="AA8385" s="21">
        <v>0</v>
      </c>
      <c r="AB8385" s="21">
        <v>0</v>
      </c>
      <c r="AC8385" s="21">
        <v>0</v>
      </c>
      <c r="AD8385" s="21">
        <v>0</v>
      </c>
      <c r="AE8385" s="21">
        <v>0</v>
      </c>
      <c r="AF8385" s="21">
        <v>0</v>
      </c>
      <c r="AG8385" s="21">
        <v>0</v>
      </c>
      <c r="AH8385" s="21">
        <f t="shared" si="170"/>
        <v>128</v>
      </c>
      <c r="AI8385" s="21"/>
      <c r="AJ8385" s="21" t="s">
        <v>54</v>
      </c>
      <c r="AK8385" s="21" t="s">
        <v>95</v>
      </c>
      <c r="AL8385" s="21"/>
      <c r="AM8385" s="21" t="s">
        <v>4867</v>
      </c>
      <c r="AN8385" s="21">
        <v>-122.421026683333</v>
      </c>
      <c r="AO8385" s="21">
        <v>37.797960216666702</v>
      </c>
      <c r="AP8385" s="21" t="s">
        <v>951</v>
      </c>
    </row>
    <row r="8386" spans="1:42">
      <c r="A8386" s="20">
        <v>43858</v>
      </c>
      <c r="B8386" s="21">
        <v>2</v>
      </c>
      <c r="C8386" s="21">
        <v>217</v>
      </c>
      <c r="D8386" s="21">
        <v>14443</v>
      </c>
      <c r="E8386" s="21"/>
      <c r="F8386" s="21" t="s">
        <v>104</v>
      </c>
      <c r="G8386" s="21">
        <v>2</v>
      </c>
      <c r="H8386" s="21">
        <v>96</v>
      </c>
      <c r="I8386" s="23" t="s">
        <v>4815</v>
      </c>
      <c r="J8386" s="21"/>
      <c r="K8386" s="21" t="s">
        <v>119</v>
      </c>
      <c r="L8386" s="21" t="s">
        <v>141</v>
      </c>
      <c r="M8386" s="21"/>
      <c r="N8386" s="21" t="s">
        <v>40</v>
      </c>
      <c r="O8386" s="21">
        <v>69</v>
      </c>
      <c r="P8386" s="21"/>
      <c r="Q8386" s="21">
        <f t="shared" si="169"/>
        <v>1</v>
      </c>
      <c r="R8386" s="21">
        <v>1</v>
      </c>
      <c r="S8386" s="21">
        <v>0</v>
      </c>
      <c r="T8386" s="21">
        <v>0</v>
      </c>
      <c r="U8386" s="21">
        <v>1</v>
      </c>
      <c r="V8386" s="21">
        <v>0</v>
      </c>
      <c r="W8386" s="21">
        <v>0</v>
      </c>
      <c r="X8386" s="21">
        <v>0</v>
      </c>
      <c r="Y8386" s="21">
        <v>0</v>
      </c>
      <c r="Z8386" s="21">
        <v>0</v>
      </c>
      <c r="AA8386" s="21">
        <v>0</v>
      </c>
      <c r="AB8386" s="21">
        <v>0</v>
      </c>
      <c r="AC8386" s="21">
        <v>0</v>
      </c>
      <c r="AD8386" s="21">
        <v>0</v>
      </c>
      <c r="AE8386" s="21">
        <v>0</v>
      </c>
      <c r="AF8386" s="21">
        <v>0</v>
      </c>
      <c r="AG8386" s="21">
        <v>0</v>
      </c>
      <c r="AH8386" s="21">
        <f t="shared" si="170"/>
        <v>32</v>
      </c>
      <c r="AI8386" s="21"/>
      <c r="AJ8386" s="21" t="s">
        <v>54</v>
      </c>
      <c r="AK8386" s="21" t="s">
        <v>95</v>
      </c>
      <c r="AL8386" s="21"/>
      <c r="AM8386" s="21" t="s">
        <v>4868</v>
      </c>
      <c r="AN8386" s="21">
        <v>-122.420848116667</v>
      </c>
      <c r="AO8386" s="21">
        <v>37.797991816666702</v>
      </c>
      <c r="AP8386" s="21" t="s">
        <v>951</v>
      </c>
    </row>
    <row r="8387" spans="1:42">
      <c r="A8387" s="20">
        <v>43858</v>
      </c>
      <c r="B8387" s="21">
        <v>2</v>
      </c>
      <c r="C8387" s="21">
        <v>217</v>
      </c>
      <c r="D8387" s="21">
        <v>14443</v>
      </c>
      <c r="E8387" s="21"/>
      <c r="F8387" s="21" t="s">
        <v>104</v>
      </c>
      <c r="G8387" s="21">
        <v>2</v>
      </c>
      <c r="H8387" s="21">
        <v>97</v>
      </c>
      <c r="I8387" s="23" t="s">
        <v>4789</v>
      </c>
      <c r="J8387" s="21"/>
      <c r="K8387" s="21" t="s">
        <v>828</v>
      </c>
      <c r="L8387" s="21" t="s">
        <v>114</v>
      </c>
      <c r="M8387" s="21" t="s">
        <v>52</v>
      </c>
      <c r="N8387" s="21" t="s">
        <v>40</v>
      </c>
      <c r="O8387" s="21">
        <v>47</v>
      </c>
      <c r="P8387" s="21"/>
      <c r="Q8387" s="21">
        <f t="shared" si="169"/>
        <v>2</v>
      </c>
      <c r="R8387" s="21">
        <v>1</v>
      </c>
      <c r="S8387" s="21">
        <v>0</v>
      </c>
      <c r="T8387" s="21">
        <v>0</v>
      </c>
      <c r="U8387" s="21">
        <v>0</v>
      </c>
      <c r="V8387" s="21">
        <v>2</v>
      </c>
      <c r="W8387" s="21">
        <v>0</v>
      </c>
      <c r="X8387" s="21">
        <v>0</v>
      </c>
      <c r="Y8387" s="21">
        <v>0</v>
      </c>
      <c r="Z8387" s="21">
        <v>0</v>
      </c>
      <c r="AA8387" s="21">
        <v>0</v>
      </c>
      <c r="AB8387" s="21">
        <v>0</v>
      </c>
      <c r="AC8387" s="21">
        <v>0</v>
      </c>
      <c r="AD8387" s="21">
        <v>0</v>
      </c>
      <c r="AE8387" s="21">
        <v>0</v>
      </c>
      <c r="AF8387" s="21">
        <v>0</v>
      </c>
      <c r="AG8387" s="21">
        <v>0</v>
      </c>
      <c r="AH8387" s="21">
        <f t="shared" si="170"/>
        <v>128</v>
      </c>
      <c r="AI8387" s="21"/>
      <c r="AJ8387" s="21" t="s">
        <v>54</v>
      </c>
      <c r="AK8387" s="21" t="s">
        <v>95</v>
      </c>
      <c r="AL8387" s="21" t="s">
        <v>4869</v>
      </c>
      <c r="AM8387" s="21" t="s">
        <v>4870</v>
      </c>
      <c r="AN8387" s="21">
        <v>-122.41923041666701</v>
      </c>
      <c r="AO8387" s="21">
        <v>37.79815095</v>
      </c>
      <c r="AP8387" s="21" t="s">
        <v>951</v>
      </c>
    </row>
    <row r="8388" spans="1:42">
      <c r="A8388" s="20">
        <v>43858</v>
      </c>
      <c r="B8388" s="21">
        <v>2</v>
      </c>
      <c r="C8388" s="21">
        <v>217</v>
      </c>
      <c r="D8388" s="21">
        <v>14443</v>
      </c>
      <c r="E8388" s="21"/>
      <c r="F8388" s="21" t="s">
        <v>104</v>
      </c>
      <c r="G8388" s="21">
        <v>2</v>
      </c>
      <c r="H8388" s="21">
        <v>98</v>
      </c>
      <c r="I8388" s="23" t="s">
        <v>4871</v>
      </c>
      <c r="J8388" s="21"/>
      <c r="K8388" s="21" t="s">
        <v>119</v>
      </c>
      <c r="L8388" s="21" t="s">
        <v>114</v>
      </c>
      <c r="M8388" s="21"/>
      <c r="N8388" s="21" t="s">
        <v>40</v>
      </c>
      <c r="O8388" s="21">
        <v>87</v>
      </c>
      <c r="P8388" s="21"/>
      <c r="Q8388" s="21">
        <f t="shared" si="169"/>
        <v>4</v>
      </c>
      <c r="R8388" s="21">
        <v>1</v>
      </c>
      <c r="S8388" s="21">
        <v>0</v>
      </c>
      <c r="T8388" s="21">
        <v>0</v>
      </c>
      <c r="U8388" s="21">
        <v>4</v>
      </c>
      <c r="V8388" s="21">
        <v>0</v>
      </c>
      <c r="W8388" s="21">
        <v>0</v>
      </c>
      <c r="X8388" s="21">
        <v>0</v>
      </c>
      <c r="Y8388" s="21">
        <v>0</v>
      </c>
      <c r="Z8388" s="21">
        <v>0</v>
      </c>
      <c r="AA8388" s="21">
        <v>0</v>
      </c>
      <c r="AB8388" s="21">
        <v>0</v>
      </c>
      <c r="AC8388" s="21">
        <v>0</v>
      </c>
      <c r="AD8388" s="21">
        <v>0</v>
      </c>
      <c r="AE8388" s="21">
        <v>0</v>
      </c>
      <c r="AF8388" s="21">
        <v>0</v>
      </c>
      <c r="AG8388" s="21">
        <v>0</v>
      </c>
      <c r="AH8388" s="21">
        <f t="shared" si="170"/>
        <v>128</v>
      </c>
      <c r="AI8388" s="21"/>
      <c r="AJ8388" s="21" t="s">
        <v>54</v>
      </c>
      <c r="AK8388" s="21" t="s">
        <v>95</v>
      </c>
      <c r="AL8388" s="21"/>
      <c r="AM8388" s="21" t="s">
        <v>4872</v>
      </c>
      <c r="AN8388" s="21">
        <v>-122.419365483333</v>
      </c>
      <c r="AO8388" s="21">
        <v>37.798186833333297</v>
      </c>
      <c r="AP8388" s="21" t="s">
        <v>951</v>
      </c>
    </row>
    <row r="8389" spans="1:42">
      <c r="A8389" s="20">
        <v>43858</v>
      </c>
      <c r="B8389" s="21">
        <v>2</v>
      </c>
      <c r="C8389" s="21">
        <v>217</v>
      </c>
      <c r="D8389" s="21">
        <v>14443</v>
      </c>
      <c r="E8389" s="21"/>
      <c r="F8389" s="21" t="s">
        <v>104</v>
      </c>
      <c r="G8389" s="21">
        <v>2</v>
      </c>
      <c r="H8389" s="21">
        <v>99</v>
      </c>
      <c r="I8389" s="23" t="s">
        <v>4873</v>
      </c>
      <c r="J8389" s="21"/>
      <c r="K8389" s="21" t="s">
        <v>119</v>
      </c>
      <c r="L8389" s="21" t="s">
        <v>114</v>
      </c>
      <c r="M8389" s="21"/>
      <c r="N8389" s="21" t="s">
        <v>40</v>
      </c>
      <c r="O8389" s="21">
        <v>45</v>
      </c>
      <c r="P8389" s="21"/>
      <c r="Q8389" s="21">
        <f t="shared" si="169"/>
        <v>2</v>
      </c>
      <c r="R8389" s="21">
        <v>1</v>
      </c>
      <c r="S8389" s="21">
        <v>0</v>
      </c>
      <c r="T8389" s="21">
        <v>0</v>
      </c>
      <c r="U8389" s="21">
        <v>2</v>
      </c>
      <c r="V8389" s="21">
        <v>0</v>
      </c>
      <c r="W8389" s="21">
        <v>0</v>
      </c>
      <c r="X8389" s="21">
        <v>0</v>
      </c>
      <c r="Y8389" s="21">
        <v>0</v>
      </c>
      <c r="Z8389" s="21">
        <v>0</v>
      </c>
      <c r="AA8389" s="21">
        <v>0</v>
      </c>
      <c r="AB8389" s="21">
        <v>0</v>
      </c>
      <c r="AC8389" s="21">
        <v>0</v>
      </c>
      <c r="AD8389" s="21">
        <v>0</v>
      </c>
      <c r="AE8389" s="21">
        <v>0</v>
      </c>
      <c r="AF8389" s="21">
        <v>0</v>
      </c>
      <c r="AG8389" s="21">
        <v>0</v>
      </c>
      <c r="AH8389" s="21">
        <f t="shared" si="170"/>
        <v>64</v>
      </c>
      <c r="AI8389" s="21"/>
      <c r="AJ8389" s="21" t="s">
        <v>54</v>
      </c>
      <c r="AK8389" s="21" t="s">
        <v>95</v>
      </c>
      <c r="AL8389" s="21"/>
      <c r="AM8389" s="21" t="s">
        <v>4874</v>
      </c>
      <c r="AN8389" s="21">
        <v>-122.41953473333299</v>
      </c>
      <c r="AO8389" s="21">
        <v>37.798126533333303</v>
      </c>
      <c r="AP8389" s="21" t="s">
        <v>951</v>
      </c>
    </row>
    <row r="8390" spans="1:42">
      <c r="A8390" s="20">
        <v>43858</v>
      </c>
      <c r="B8390" s="21">
        <v>2</v>
      </c>
      <c r="C8390" s="21">
        <v>217</v>
      </c>
      <c r="D8390" s="21">
        <v>14443</v>
      </c>
      <c r="E8390" s="21"/>
      <c r="F8390" s="21" t="s">
        <v>104</v>
      </c>
      <c r="G8390" s="21">
        <v>2</v>
      </c>
      <c r="H8390" s="21">
        <v>100</v>
      </c>
      <c r="I8390" s="23" t="s">
        <v>4875</v>
      </c>
      <c r="J8390" s="21"/>
      <c r="K8390" s="21" t="s">
        <v>119</v>
      </c>
      <c r="L8390" s="21"/>
      <c r="M8390" s="21"/>
      <c r="N8390" s="21" t="s">
        <v>44</v>
      </c>
      <c r="O8390" s="21">
        <v>90</v>
      </c>
      <c r="P8390" s="21"/>
      <c r="Q8390" s="21">
        <f t="shared" si="169"/>
        <v>1</v>
      </c>
      <c r="R8390" s="21">
        <v>1</v>
      </c>
      <c r="S8390" s="21">
        <v>0</v>
      </c>
      <c r="T8390" s="21">
        <v>0</v>
      </c>
      <c r="U8390" s="21">
        <v>0</v>
      </c>
      <c r="V8390" s="21">
        <v>0</v>
      </c>
      <c r="W8390" s="21">
        <v>1</v>
      </c>
      <c r="X8390" s="21">
        <v>0</v>
      </c>
      <c r="Y8390" s="21">
        <v>0</v>
      </c>
      <c r="Z8390" s="21">
        <v>0</v>
      </c>
      <c r="AA8390" s="21">
        <v>0</v>
      </c>
      <c r="AB8390" s="21">
        <v>0</v>
      </c>
      <c r="AC8390" s="21">
        <v>0</v>
      </c>
      <c r="AD8390" s="21">
        <v>0</v>
      </c>
      <c r="AE8390" s="21">
        <v>0</v>
      </c>
      <c r="AF8390" s="21">
        <v>0</v>
      </c>
      <c r="AG8390" s="21">
        <v>0</v>
      </c>
      <c r="AH8390" s="21">
        <f t="shared" si="170"/>
        <v>96</v>
      </c>
      <c r="AI8390" s="21"/>
      <c r="AJ8390" s="21" t="s">
        <v>54</v>
      </c>
      <c r="AK8390" s="21" t="s">
        <v>95</v>
      </c>
      <c r="AL8390" s="21" t="s">
        <v>4876</v>
      </c>
      <c r="AM8390" s="21" t="s">
        <v>4877</v>
      </c>
      <c r="AN8390" s="21">
        <v>-122.419403783333</v>
      </c>
      <c r="AO8390" s="21">
        <v>37.798227716666702</v>
      </c>
      <c r="AP8390" s="21" t="s">
        <v>951</v>
      </c>
    </row>
    <row r="8391" spans="1:42">
      <c r="A8391" s="20">
        <v>43858</v>
      </c>
      <c r="B8391" s="21">
        <v>2</v>
      </c>
      <c r="C8391" s="21">
        <v>217</v>
      </c>
      <c r="D8391" s="21">
        <v>14443</v>
      </c>
      <c r="E8391" s="21"/>
      <c r="F8391" s="21" t="s">
        <v>104</v>
      </c>
      <c r="G8391" s="21">
        <v>2</v>
      </c>
      <c r="H8391" s="21">
        <v>101</v>
      </c>
      <c r="I8391" s="23" t="s">
        <v>4878</v>
      </c>
      <c r="J8391" s="21"/>
      <c r="K8391" s="21" t="s">
        <v>119</v>
      </c>
      <c r="L8391" s="21" t="s">
        <v>114</v>
      </c>
      <c r="M8391" s="21"/>
      <c r="N8391" s="21" t="s">
        <v>40</v>
      </c>
      <c r="O8391" s="21">
        <v>34</v>
      </c>
      <c r="P8391" s="21"/>
      <c r="Q8391" s="21">
        <f t="shared" si="169"/>
        <v>2</v>
      </c>
      <c r="R8391" s="21">
        <v>1</v>
      </c>
      <c r="S8391" s="21">
        <v>0</v>
      </c>
      <c r="T8391" s="21">
        <v>0</v>
      </c>
      <c r="U8391" s="21">
        <v>2</v>
      </c>
      <c r="V8391" s="21">
        <v>0</v>
      </c>
      <c r="W8391" s="21">
        <v>0</v>
      </c>
      <c r="X8391" s="21">
        <v>0</v>
      </c>
      <c r="Y8391" s="21">
        <v>0</v>
      </c>
      <c r="Z8391" s="21">
        <v>0</v>
      </c>
      <c r="AA8391" s="21">
        <v>0</v>
      </c>
      <c r="AB8391" s="21">
        <v>0</v>
      </c>
      <c r="AC8391" s="21">
        <v>0</v>
      </c>
      <c r="AD8391" s="21">
        <v>0</v>
      </c>
      <c r="AE8391" s="21">
        <v>0</v>
      </c>
      <c r="AF8391" s="21">
        <v>0</v>
      </c>
      <c r="AG8391" s="21">
        <v>0</v>
      </c>
      <c r="AH8391" s="21">
        <f t="shared" si="170"/>
        <v>64</v>
      </c>
      <c r="AI8391" s="21"/>
      <c r="AJ8391" s="21" t="s">
        <v>54</v>
      </c>
      <c r="AK8391" s="21" t="s">
        <v>52</v>
      </c>
      <c r="AL8391" s="21"/>
      <c r="AM8391" s="21" t="s">
        <v>4879</v>
      </c>
      <c r="AN8391" s="21">
        <v>-122.419595033333</v>
      </c>
      <c r="AO8391" s="21">
        <v>37.798101633333303</v>
      </c>
      <c r="AP8391" s="21" t="s">
        <v>951</v>
      </c>
    </row>
    <row r="8392" spans="1:42">
      <c r="A8392" s="20">
        <v>43858</v>
      </c>
      <c r="B8392" s="21">
        <v>2</v>
      </c>
      <c r="C8392" s="21">
        <v>217</v>
      </c>
      <c r="D8392" s="21">
        <v>14443</v>
      </c>
      <c r="E8392" s="21"/>
      <c r="F8392" s="21" t="s">
        <v>104</v>
      </c>
      <c r="G8392" s="21">
        <v>2</v>
      </c>
      <c r="H8392" s="21">
        <v>102</v>
      </c>
      <c r="I8392" s="23" t="s">
        <v>3591</v>
      </c>
      <c r="J8392" s="21"/>
      <c r="K8392" s="21" t="s">
        <v>119</v>
      </c>
      <c r="L8392" s="21" t="s">
        <v>114</v>
      </c>
      <c r="M8392" s="21"/>
      <c r="N8392" s="21" t="s">
        <v>40</v>
      </c>
      <c r="O8392" s="21">
        <v>46</v>
      </c>
      <c r="P8392" s="21"/>
      <c r="Q8392" s="21">
        <f t="shared" si="169"/>
        <v>2</v>
      </c>
      <c r="R8392" s="21">
        <v>1</v>
      </c>
      <c r="S8392" s="21">
        <v>0</v>
      </c>
      <c r="T8392" s="21">
        <v>2</v>
      </c>
      <c r="U8392" s="21">
        <v>0</v>
      </c>
      <c r="V8392" s="21">
        <v>0</v>
      </c>
      <c r="W8392" s="21">
        <v>0</v>
      </c>
      <c r="X8392" s="21">
        <v>0</v>
      </c>
      <c r="Y8392" s="21">
        <v>0</v>
      </c>
      <c r="Z8392" s="21">
        <v>0</v>
      </c>
      <c r="AA8392" s="21">
        <v>0</v>
      </c>
      <c r="AB8392" s="21">
        <v>0</v>
      </c>
      <c r="AC8392" s="21">
        <v>0</v>
      </c>
      <c r="AD8392" s="21">
        <v>0</v>
      </c>
      <c r="AE8392" s="21">
        <v>0</v>
      </c>
      <c r="AF8392" s="21">
        <v>0</v>
      </c>
      <c r="AG8392" s="21">
        <v>0</v>
      </c>
      <c r="AH8392" s="21">
        <f t="shared" si="170"/>
        <v>40</v>
      </c>
      <c r="AI8392" s="21"/>
      <c r="AJ8392" s="21" t="s">
        <v>54</v>
      </c>
      <c r="AK8392" s="21" t="s">
        <v>52</v>
      </c>
      <c r="AL8392" s="21"/>
      <c r="AM8392" s="21" t="s">
        <v>4880</v>
      </c>
      <c r="AN8392" s="21">
        <v>-122.419602083333</v>
      </c>
      <c r="AO8392" s="21">
        <v>37.798106033333298</v>
      </c>
      <c r="AP8392" s="21" t="s">
        <v>951</v>
      </c>
    </row>
    <row r="8393" spans="1:42">
      <c r="A8393" s="20">
        <v>43858</v>
      </c>
      <c r="B8393" s="21">
        <v>2</v>
      </c>
      <c r="C8393" s="21">
        <v>217</v>
      </c>
      <c r="D8393" s="21">
        <v>14443</v>
      </c>
      <c r="E8393" s="21"/>
      <c r="F8393" s="21" t="s">
        <v>104</v>
      </c>
      <c r="G8393" s="21">
        <v>2</v>
      </c>
      <c r="H8393" s="21">
        <v>103</v>
      </c>
      <c r="I8393" s="23" t="s">
        <v>4881</v>
      </c>
      <c r="J8393" s="21"/>
      <c r="K8393" s="21" t="s">
        <v>119</v>
      </c>
      <c r="L8393" s="21" t="s">
        <v>114</v>
      </c>
      <c r="M8393" s="21"/>
      <c r="N8393" s="21" t="s">
        <v>40</v>
      </c>
      <c r="O8393" s="21">
        <v>91</v>
      </c>
      <c r="P8393" s="21"/>
      <c r="Q8393" s="21">
        <f t="shared" si="169"/>
        <v>3</v>
      </c>
      <c r="R8393" s="21">
        <v>1</v>
      </c>
      <c r="S8393" s="21">
        <v>0</v>
      </c>
      <c r="T8393" s="21">
        <v>0</v>
      </c>
      <c r="U8393" s="21">
        <v>3</v>
      </c>
      <c r="V8393" s="21">
        <v>0</v>
      </c>
      <c r="W8393" s="21">
        <v>0</v>
      </c>
      <c r="X8393" s="21">
        <v>0</v>
      </c>
      <c r="Y8393" s="21">
        <v>0</v>
      </c>
      <c r="Z8393" s="21">
        <v>0</v>
      </c>
      <c r="AA8393" s="21">
        <v>0</v>
      </c>
      <c r="AB8393" s="21">
        <v>0</v>
      </c>
      <c r="AC8393" s="21">
        <v>0</v>
      </c>
      <c r="AD8393" s="21">
        <v>0</v>
      </c>
      <c r="AE8393" s="21">
        <v>0</v>
      </c>
      <c r="AF8393" s="21">
        <v>0</v>
      </c>
      <c r="AG8393" s="21">
        <v>0</v>
      </c>
      <c r="AH8393" s="21">
        <f t="shared" si="170"/>
        <v>96</v>
      </c>
      <c r="AI8393" s="21"/>
      <c r="AJ8393" s="21" t="s">
        <v>54</v>
      </c>
      <c r="AK8393" s="21" t="s">
        <v>52</v>
      </c>
      <c r="AL8393" s="21"/>
      <c r="AM8393" s="21" t="s">
        <v>4882</v>
      </c>
      <c r="AN8393" s="21">
        <v>-122.41986148333299</v>
      </c>
      <c r="AO8393" s="21">
        <v>37.798086016666701</v>
      </c>
      <c r="AP8393" s="21" t="s">
        <v>951</v>
      </c>
    </row>
    <row r="8394" spans="1:42">
      <c r="A8394" s="20">
        <v>43858</v>
      </c>
      <c r="B8394" s="21">
        <v>2</v>
      </c>
      <c r="C8394" s="21">
        <v>217</v>
      </c>
      <c r="D8394" s="21">
        <v>14443</v>
      </c>
      <c r="E8394" s="21"/>
      <c r="F8394" s="21" t="s">
        <v>104</v>
      </c>
      <c r="G8394" s="21">
        <v>2</v>
      </c>
      <c r="H8394" s="21">
        <v>104</v>
      </c>
      <c r="I8394" s="23" t="s">
        <v>4883</v>
      </c>
      <c r="J8394" s="21"/>
      <c r="K8394" s="21" t="s">
        <v>119</v>
      </c>
      <c r="L8394" s="21" t="s">
        <v>114</v>
      </c>
      <c r="M8394" s="21"/>
      <c r="N8394" s="21" t="s">
        <v>40</v>
      </c>
      <c r="O8394" s="21">
        <v>59</v>
      </c>
      <c r="P8394" s="21"/>
      <c r="Q8394" s="21">
        <f t="shared" si="169"/>
        <v>5</v>
      </c>
      <c r="R8394" s="21">
        <v>1</v>
      </c>
      <c r="S8394" s="21">
        <v>1</v>
      </c>
      <c r="T8394" s="21">
        <v>0</v>
      </c>
      <c r="U8394" s="21">
        <v>4</v>
      </c>
      <c r="V8394" s="21">
        <v>0</v>
      </c>
      <c r="W8394" s="21">
        <v>0</v>
      </c>
      <c r="X8394" s="21">
        <v>0</v>
      </c>
      <c r="Y8394" s="21">
        <v>0</v>
      </c>
      <c r="Z8394" s="21">
        <v>0</v>
      </c>
      <c r="AA8394" s="21">
        <v>0</v>
      </c>
      <c r="AB8394" s="21">
        <v>0</v>
      </c>
      <c r="AC8394" s="21">
        <v>0</v>
      </c>
      <c r="AD8394" s="21">
        <v>0</v>
      </c>
      <c r="AE8394" s="21">
        <v>0</v>
      </c>
      <c r="AF8394" s="21">
        <v>0</v>
      </c>
      <c r="AG8394" s="21">
        <v>0</v>
      </c>
      <c r="AH8394" s="21">
        <f t="shared" si="170"/>
        <v>144</v>
      </c>
      <c r="AI8394" s="21"/>
      <c r="AJ8394" s="21" t="s">
        <v>54</v>
      </c>
      <c r="AK8394" s="21" t="s">
        <v>52</v>
      </c>
      <c r="AL8394" s="21"/>
      <c r="AM8394" s="21" t="s">
        <v>4884</v>
      </c>
      <c r="AN8394" s="21">
        <v>-122.420054383333</v>
      </c>
      <c r="AO8394" s="21">
        <v>37.798112733333298</v>
      </c>
      <c r="AP8394" s="21" t="s">
        <v>951</v>
      </c>
    </row>
    <row r="8395" spans="1:42">
      <c r="A8395" s="20">
        <v>43858</v>
      </c>
      <c r="B8395" s="21">
        <v>2</v>
      </c>
      <c r="C8395" s="21">
        <v>217</v>
      </c>
      <c r="D8395" s="21">
        <v>14443</v>
      </c>
      <c r="E8395" s="21"/>
      <c r="F8395" s="21" t="s">
        <v>104</v>
      </c>
      <c r="G8395" s="21">
        <v>2</v>
      </c>
      <c r="H8395" s="21">
        <v>105</v>
      </c>
      <c r="I8395" s="23" t="s">
        <v>4885</v>
      </c>
      <c r="J8395" s="21"/>
      <c r="K8395" s="21" t="s">
        <v>119</v>
      </c>
      <c r="L8395" s="21" t="s">
        <v>114</v>
      </c>
      <c r="M8395" s="21"/>
      <c r="N8395" s="21" t="s">
        <v>40</v>
      </c>
      <c r="O8395" s="21">
        <v>68</v>
      </c>
      <c r="P8395" s="21"/>
      <c r="Q8395" s="21">
        <f t="shared" si="169"/>
        <v>3</v>
      </c>
      <c r="R8395" s="21">
        <v>1</v>
      </c>
      <c r="S8395" s="21">
        <v>0</v>
      </c>
      <c r="T8395" s="21">
        <v>1</v>
      </c>
      <c r="U8395" s="21">
        <v>2</v>
      </c>
      <c r="V8395" s="21">
        <v>0</v>
      </c>
      <c r="W8395" s="21">
        <v>0</v>
      </c>
      <c r="X8395" s="21">
        <v>0</v>
      </c>
      <c r="Y8395" s="21">
        <v>0</v>
      </c>
      <c r="Z8395" s="21">
        <v>0</v>
      </c>
      <c r="AA8395" s="21">
        <v>0</v>
      </c>
      <c r="AB8395" s="21">
        <v>0</v>
      </c>
      <c r="AC8395" s="21">
        <v>0</v>
      </c>
      <c r="AD8395" s="21">
        <v>0</v>
      </c>
      <c r="AE8395" s="21">
        <v>0</v>
      </c>
      <c r="AF8395" s="21">
        <v>0</v>
      </c>
      <c r="AG8395" s="21">
        <v>0</v>
      </c>
      <c r="AH8395" s="21">
        <f t="shared" si="170"/>
        <v>84</v>
      </c>
      <c r="AI8395" s="21"/>
      <c r="AJ8395" s="21" t="s">
        <v>54</v>
      </c>
      <c r="AK8395" s="21" t="s">
        <v>95</v>
      </c>
      <c r="AL8395" s="21"/>
      <c r="AM8395" s="21" t="s">
        <v>4886</v>
      </c>
      <c r="AN8395" s="21">
        <v>-122.42020789999999</v>
      </c>
      <c r="AO8395" s="21">
        <v>37.798071466666698</v>
      </c>
      <c r="AP8395" s="21" t="s">
        <v>951</v>
      </c>
    </row>
    <row r="8396" spans="1:42">
      <c r="A8396" s="20">
        <v>43858</v>
      </c>
      <c r="B8396" s="21">
        <v>2</v>
      </c>
      <c r="C8396" s="21">
        <v>217</v>
      </c>
      <c r="D8396" s="21">
        <v>14443</v>
      </c>
      <c r="E8396" s="21"/>
      <c r="F8396" s="21" t="s">
        <v>104</v>
      </c>
      <c r="G8396" s="21">
        <v>2</v>
      </c>
      <c r="H8396" s="21">
        <v>106</v>
      </c>
      <c r="I8396" s="23" t="s">
        <v>4887</v>
      </c>
      <c r="J8396" s="21"/>
      <c r="K8396" s="21" t="s">
        <v>119</v>
      </c>
      <c r="L8396" s="21" t="s">
        <v>114</v>
      </c>
      <c r="M8396" s="21"/>
      <c r="N8396" s="21" t="s">
        <v>40</v>
      </c>
      <c r="O8396" s="21">
        <v>67</v>
      </c>
      <c r="P8396" s="21"/>
      <c r="Q8396" s="21">
        <f t="shared" si="169"/>
        <v>1</v>
      </c>
      <c r="R8396" s="21">
        <v>1</v>
      </c>
      <c r="S8396" s="21">
        <v>0</v>
      </c>
      <c r="T8396" s="21">
        <v>0</v>
      </c>
      <c r="U8396" s="21">
        <v>0</v>
      </c>
      <c r="V8396" s="21">
        <v>1</v>
      </c>
      <c r="W8396" s="21">
        <v>0</v>
      </c>
      <c r="X8396" s="21">
        <v>0</v>
      </c>
      <c r="Y8396" s="21">
        <v>0</v>
      </c>
      <c r="Z8396" s="21">
        <v>0</v>
      </c>
      <c r="AA8396" s="21">
        <v>0</v>
      </c>
      <c r="AB8396" s="21">
        <v>0</v>
      </c>
      <c r="AC8396" s="21">
        <v>0</v>
      </c>
      <c r="AD8396" s="21">
        <v>0</v>
      </c>
      <c r="AE8396" s="21">
        <v>0</v>
      </c>
      <c r="AF8396" s="21">
        <v>0</v>
      </c>
      <c r="AG8396" s="21">
        <v>0</v>
      </c>
      <c r="AH8396" s="21">
        <f t="shared" si="170"/>
        <v>64</v>
      </c>
      <c r="AI8396" s="21"/>
      <c r="AJ8396" s="21" t="s">
        <v>54</v>
      </c>
      <c r="AK8396" s="21" t="s">
        <v>95</v>
      </c>
      <c r="AL8396" s="21"/>
      <c r="AM8396" s="21" t="s">
        <v>4888</v>
      </c>
      <c r="AN8396" s="21">
        <v>-122.420349316667</v>
      </c>
      <c r="AO8396" s="21">
        <v>37.798039000000003</v>
      </c>
      <c r="AP8396" s="21" t="s">
        <v>951</v>
      </c>
    </row>
    <row r="8397" spans="1:42">
      <c r="A8397" s="20">
        <v>43858</v>
      </c>
      <c r="B8397" s="21">
        <v>2</v>
      </c>
      <c r="C8397" s="21">
        <v>217</v>
      </c>
      <c r="D8397" s="21">
        <v>14443</v>
      </c>
      <c r="E8397" s="21"/>
      <c r="F8397" s="21" t="s">
        <v>104</v>
      </c>
      <c r="G8397" s="21">
        <v>2</v>
      </c>
      <c r="H8397" s="21">
        <v>107</v>
      </c>
      <c r="I8397" s="23" t="s">
        <v>4822</v>
      </c>
      <c r="J8397" s="21"/>
      <c r="K8397" s="21" t="s">
        <v>119</v>
      </c>
      <c r="L8397" s="21" t="s">
        <v>114</v>
      </c>
      <c r="M8397" s="21"/>
      <c r="N8397" s="21" t="s">
        <v>40</v>
      </c>
      <c r="O8397" s="21">
        <v>102</v>
      </c>
      <c r="P8397" s="21"/>
      <c r="Q8397" s="21">
        <f t="shared" si="169"/>
        <v>5</v>
      </c>
      <c r="R8397" s="21">
        <v>1</v>
      </c>
      <c r="S8397" s="21">
        <v>2</v>
      </c>
      <c r="T8397" s="21">
        <v>0</v>
      </c>
      <c r="U8397" s="21">
        <v>3</v>
      </c>
      <c r="V8397" s="21">
        <v>0</v>
      </c>
      <c r="W8397" s="21">
        <v>0</v>
      </c>
      <c r="X8397" s="21">
        <v>0</v>
      </c>
      <c r="Y8397" s="21">
        <v>0</v>
      </c>
      <c r="Z8397" s="21">
        <v>0</v>
      </c>
      <c r="AA8397" s="21">
        <v>0</v>
      </c>
      <c r="AB8397" s="21">
        <v>0</v>
      </c>
      <c r="AC8397" s="21">
        <v>0</v>
      </c>
      <c r="AD8397" s="21">
        <v>0</v>
      </c>
      <c r="AE8397" s="21">
        <v>0</v>
      </c>
      <c r="AF8397" s="21">
        <v>0</v>
      </c>
      <c r="AG8397" s="21">
        <v>0</v>
      </c>
      <c r="AH8397" s="21">
        <f t="shared" si="170"/>
        <v>128</v>
      </c>
      <c r="AI8397" s="21"/>
      <c r="AJ8397" s="21" t="s">
        <v>54</v>
      </c>
      <c r="AK8397" s="21" t="s">
        <v>52</v>
      </c>
      <c r="AL8397" s="21"/>
      <c r="AM8397" s="21" t="s">
        <v>4889</v>
      </c>
      <c r="AN8397" s="21">
        <v>-122.421013566667</v>
      </c>
      <c r="AO8397" s="21">
        <v>37.797851850000001</v>
      </c>
      <c r="AP8397" s="21" t="s">
        <v>951</v>
      </c>
    </row>
    <row r="8398" spans="1:42">
      <c r="A8398" s="20">
        <v>43858</v>
      </c>
      <c r="B8398" s="21">
        <v>2</v>
      </c>
      <c r="C8398" s="21">
        <v>217</v>
      </c>
      <c r="D8398" s="21">
        <v>14443</v>
      </c>
      <c r="E8398" s="21"/>
      <c r="F8398" s="21" t="s">
        <v>104</v>
      </c>
      <c r="G8398" s="21">
        <v>2</v>
      </c>
      <c r="H8398" s="21">
        <v>108</v>
      </c>
      <c r="I8398" s="23" t="s">
        <v>2460</v>
      </c>
      <c r="J8398" s="21"/>
      <c r="K8398" s="21" t="s">
        <v>119</v>
      </c>
      <c r="L8398" s="21"/>
      <c r="M8398" s="21"/>
      <c r="N8398" s="21" t="s">
        <v>42</v>
      </c>
      <c r="O8398" s="21">
        <v>105</v>
      </c>
      <c r="P8398" s="21"/>
      <c r="Q8398" s="21">
        <f t="shared" si="169"/>
        <v>2</v>
      </c>
      <c r="R8398" s="21">
        <v>1</v>
      </c>
      <c r="S8398" s="21">
        <v>0</v>
      </c>
      <c r="T8398" s="21">
        <v>0</v>
      </c>
      <c r="U8398" s="21">
        <v>1</v>
      </c>
      <c r="V8398" s="21">
        <v>1</v>
      </c>
      <c r="W8398" s="21">
        <v>0</v>
      </c>
      <c r="X8398" s="21">
        <v>0</v>
      </c>
      <c r="Y8398" s="21">
        <v>0</v>
      </c>
      <c r="Z8398" s="21">
        <v>0</v>
      </c>
      <c r="AA8398" s="21">
        <v>0</v>
      </c>
      <c r="AB8398" s="21">
        <v>0</v>
      </c>
      <c r="AC8398" s="21">
        <v>0</v>
      </c>
      <c r="AD8398" s="21">
        <v>0</v>
      </c>
      <c r="AE8398" s="21">
        <v>0</v>
      </c>
      <c r="AF8398" s="21">
        <v>0</v>
      </c>
      <c r="AG8398" s="21">
        <v>0</v>
      </c>
      <c r="AH8398" s="21">
        <f t="shared" si="170"/>
        <v>96</v>
      </c>
      <c r="AI8398" s="21"/>
      <c r="AJ8398" s="21" t="s">
        <v>54</v>
      </c>
      <c r="AK8398" s="21" t="s">
        <v>52</v>
      </c>
      <c r="AL8398" s="21" t="s">
        <v>597</v>
      </c>
      <c r="AM8398" s="21" t="s">
        <v>4890</v>
      </c>
      <c r="AN8398" s="21">
        <v>-122.42135948333301</v>
      </c>
      <c r="AO8398" s="21">
        <v>37.797972983333302</v>
      </c>
      <c r="AP8398" s="21" t="s">
        <v>951</v>
      </c>
    </row>
    <row r="8399" spans="1:42">
      <c r="A8399" s="20">
        <v>43858</v>
      </c>
      <c r="B8399" s="21">
        <v>2</v>
      </c>
      <c r="C8399" s="21">
        <v>217</v>
      </c>
      <c r="D8399" s="21">
        <v>14443</v>
      </c>
      <c r="E8399" s="21"/>
      <c r="F8399" s="21" t="s">
        <v>104</v>
      </c>
      <c r="G8399" s="21">
        <v>2</v>
      </c>
      <c r="H8399" s="21">
        <v>109</v>
      </c>
      <c r="I8399" s="23" t="s">
        <v>4891</v>
      </c>
      <c r="J8399" s="21"/>
      <c r="K8399" s="21" t="s">
        <v>119</v>
      </c>
      <c r="L8399" s="21" t="s">
        <v>114</v>
      </c>
      <c r="M8399" s="21" t="s">
        <v>52</v>
      </c>
      <c r="N8399" s="21" t="s">
        <v>40</v>
      </c>
      <c r="O8399" s="21">
        <v>34</v>
      </c>
      <c r="P8399" s="21"/>
      <c r="Q8399" s="21">
        <f t="shared" si="169"/>
        <v>2</v>
      </c>
      <c r="R8399" s="21">
        <v>1</v>
      </c>
      <c r="S8399" s="21">
        <v>1</v>
      </c>
      <c r="T8399" s="21">
        <v>0</v>
      </c>
      <c r="U8399" s="21">
        <v>1</v>
      </c>
      <c r="V8399" s="21">
        <v>0</v>
      </c>
      <c r="W8399" s="21">
        <v>0</v>
      </c>
      <c r="X8399" s="21">
        <v>0</v>
      </c>
      <c r="Y8399" s="21">
        <v>0</v>
      </c>
      <c r="Z8399" s="21">
        <v>0</v>
      </c>
      <c r="AA8399" s="21">
        <v>0</v>
      </c>
      <c r="AB8399" s="21">
        <v>0</v>
      </c>
      <c r="AC8399" s="21">
        <v>0</v>
      </c>
      <c r="AD8399" s="21">
        <v>0</v>
      </c>
      <c r="AE8399" s="21">
        <v>0</v>
      </c>
      <c r="AF8399" s="21">
        <v>0</v>
      </c>
      <c r="AG8399" s="21">
        <v>0</v>
      </c>
      <c r="AH8399" s="21">
        <f t="shared" si="170"/>
        <v>48</v>
      </c>
      <c r="AI8399" s="21"/>
      <c r="AJ8399" s="21" t="s">
        <v>54</v>
      </c>
      <c r="AK8399" s="21" t="s">
        <v>52</v>
      </c>
      <c r="AL8399" s="21"/>
      <c r="AM8399" s="21" t="s">
        <v>4892</v>
      </c>
      <c r="AN8399" s="21">
        <v>-122.421524733333</v>
      </c>
      <c r="AO8399" s="21">
        <v>37.797918616666699</v>
      </c>
      <c r="AP8399" s="21" t="s">
        <v>951</v>
      </c>
    </row>
    <row r="8400" spans="1:42">
      <c r="A8400" s="20">
        <v>43858</v>
      </c>
      <c r="B8400" s="21">
        <v>2</v>
      </c>
      <c r="C8400" s="21">
        <v>217</v>
      </c>
      <c r="D8400" s="21">
        <v>14443</v>
      </c>
      <c r="E8400" s="21"/>
      <c r="F8400" s="21" t="s">
        <v>104</v>
      </c>
      <c r="G8400" s="21">
        <v>2</v>
      </c>
      <c r="H8400" s="21">
        <v>110</v>
      </c>
      <c r="I8400" s="23" t="s">
        <v>4893</v>
      </c>
      <c r="J8400" s="21"/>
      <c r="K8400" s="21" t="s">
        <v>119</v>
      </c>
      <c r="L8400" s="21" t="s">
        <v>114</v>
      </c>
      <c r="M8400" s="21"/>
      <c r="N8400" s="21" t="s">
        <v>40</v>
      </c>
      <c r="O8400" s="21">
        <v>66</v>
      </c>
      <c r="P8400" s="21"/>
      <c r="Q8400" s="21">
        <f t="shared" si="169"/>
        <v>3</v>
      </c>
      <c r="R8400" s="21">
        <v>1</v>
      </c>
      <c r="S8400" s="21">
        <v>0</v>
      </c>
      <c r="T8400" s="21">
        <v>0</v>
      </c>
      <c r="U8400" s="21">
        <v>1</v>
      </c>
      <c r="V8400" s="21">
        <v>2</v>
      </c>
      <c r="W8400" s="21">
        <v>0</v>
      </c>
      <c r="X8400" s="21">
        <v>0</v>
      </c>
      <c r="Y8400" s="21">
        <v>0</v>
      </c>
      <c r="Z8400" s="21">
        <v>0</v>
      </c>
      <c r="AA8400" s="21">
        <v>0</v>
      </c>
      <c r="AB8400" s="21">
        <v>0</v>
      </c>
      <c r="AC8400" s="21">
        <v>0</v>
      </c>
      <c r="AD8400" s="21">
        <v>0</v>
      </c>
      <c r="AE8400" s="21">
        <v>0</v>
      </c>
      <c r="AF8400" s="21">
        <v>0</v>
      </c>
      <c r="AG8400" s="21">
        <v>0</v>
      </c>
      <c r="AH8400" s="21">
        <f t="shared" si="170"/>
        <v>160</v>
      </c>
      <c r="AI8400" s="21"/>
      <c r="AJ8400" s="21" t="s">
        <v>54</v>
      </c>
      <c r="AK8400" s="21" t="s">
        <v>52</v>
      </c>
      <c r="AL8400" s="21"/>
      <c r="AM8400" s="21" t="s">
        <v>4894</v>
      </c>
      <c r="AN8400" s="21">
        <v>-122.421626233333</v>
      </c>
      <c r="AO8400" s="21">
        <v>37.797901833333299</v>
      </c>
      <c r="AP8400" s="21" t="s">
        <v>951</v>
      </c>
    </row>
    <row r="8401" spans="1:42">
      <c r="A8401" s="20">
        <v>43858</v>
      </c>
      <c r="B8401" s="21">
        <v>2</v>
      </c>
      <c r="C8401" s="21">
        <v>217</v>
      </c>
      <c r="D8401" s="21">
        <v>14443</v>
      </c>
      <c r="E8401" s="21"/>
      <c r="F8401" s="21" t="s">
        <v>104</v>
      </c>
      <c r="G8401" s="21">
        <v>2</v>
      </c>
      <c r="H8401" s="21">
        <v>111</v>
      </c>
      <c r="I8401" s="23" t="s">
        <v>4895</v>
      </c>
      <c r="J8401" s="21"/>
      <c r="K8401" s="21"/>
      <c r="L8401" s="21"/>
      <c r="M8401" s="21"/>
      <c r="N8401" s="21"/>
      <c r="O8401" s="21">
        <v>28</v>
      </c>
      <c r="P8401" s="21"/>
      <c r="Q8401" s="21">
        <f t="shared" si="169"/>
        <v>1</v>
      </c>
      <c r="R8401" s="21">
        <v>1</v>
      </c>
      <c r="S8401" s="21">
        <v>0</v>
      </c>
      <c r="T8401" s="21">
        <v>0</v>
      </c>
      <c r="U8401" s="21">
        <v>0</v>
      </c>
      <c r="V8401" s="21">
        <v>0</v>
      </c>
      <c r="W8401" s="21">
        <v>1</v>
      </c>
      <c r="X8401" s="21">
        <v>0</v>
      </c>
      <c r="Y8401" s="21">
        <v>0</v>
      </c>
      <c r="Z8401" s="21">
        <v>0</v>
      </c>
      <c r="AA8401" s="21">
        <v>0</v>
      </c>
      <c r="AB8401" s="21">
        <v>0</v>
      </c>
      <c r="AC8401" s="21">
        <v>0</v>
      </c>
      <c r="AD8401" s="21">
        <v>0</v>
      </c>
      <c r="AE8401" s="21">
        <v>0</v>
      </c>
      <c r="AF8401" s="21">
        <v>0</v>
      </c>
      <c r="AG8401" s="21">
        <v>0</v>
      </c>
      <c r="AH8401" s="21">
        <f t="shared" si="170"/>
        <v>96</v>
      </c>
      <c r="AI8401" s="21"/>
      <c r="AJ8401" s="21" t="s">
        <v>54</v>
      </c>
      <c r="AK8401" s="21" t="s">
        <v>95</v>
      </c>
      <c r="AL8401" s="21"/>
      <c r="AM8401" s="21" t="s">
        <v>4896</v>
      </c>
      <c r="AN8401" s="21">
        <v>-122.421789116667</v>
      </c>
      <c r="AO8401" s="21">
        <v>37.7978514333333</v>
      </c>
      <c r="AP8401" s="21" t="s">
        <v>951</v>
      </c>
    </row>
    <row r="8402" spans="1:42">
      <c r="A8402" s="20">
        <v>43858</v>
      </c>
      <c r="B8402" s="21">
        <v>2</v>
      </c>
      <c r="C8402" s="21">
        <v>217</v>
      </c>
      <c r="D8402" s="21">
        <v>14443</v>
      </c>
      <c r="E8402" s="21"/>
      <c r="F8402" s="21" t="s">
        <v>104</v>
      </c>
      <c r="G8402" s="21">
        <v>2</v>
      </c>
      <c r="H8402" s="21">
        <v>112</v>
      </c>
      <c r="I8402" s="23" t="s">
        <v>4897</v>
      </c>
      <c r="J8402" s="21"/>
      <c r="K8402" s="21" t="s">
        <v>119</v>
      </c>
      <c r="L8402" s="21"/>
      <c r="M8402" s="21"/>
      <c r="N8402" s="21" t="s">
        <v>44</v>
      </c>
      <c r="O8402" s="21">
        <v>135</v>
      </c>
      <c r="P8402" s="21"/>
      <c r="Q8402" s="21">
        <f t="shared" si="169"/>
        <v>2</v>
      </c>
      <c r="R8402" s="21">
        <v>1</v>
      </c>
      <c r="S8402" s="21">
        <v>0</v>
      </c>
      <c r="T8402" s="21">
        <v>0</v>
      </c>
      <c r="U8402" s="21">
        <v>1</v>
      </c>
      <c r="V8402" s="21">
        <v>0</v>
      </c>
      <c r="W8402" s="21">
        <v>1</v>
      </c>
      <c r="X8402" s="21">
        <v>0</v>
      </c>
      <c r="Y8402" s="21">
        <v>0</v>
      </c>
      <c r="Z8402" s="21">
        <v>0</v>
      </c>
      <c r="AA8402" s="21">
        <v>0</v>
      </c>
      <c r="AB8402" s="21">
        <v>0</v>
      </c>
      <c r="AC8402" s="21">
        <v>0</v>
      </c>
      <c r="AD8402" s="21">
        <v>0</v>
      </c>
      <c r="AE8402" s="21">
        <v>0</v>
      </c>
      <c r="AF8402" s="21">
        <v>0</v>
      </c>
      <c r="AG8402" s="21">
        <v>0</v>
      </c>
      <c r="AH8402" s="21">
        <f t="shared" si="170"/>
        <v>128</v>
      </c>
      <c r="AI8402" s="21"/>
      <c r="AJ8402" s="21" t="s">
        <v>54</v>
      </c>
      <c r="AK8402" s="21" t="s">
        <v>95</v>
      </c>
      <c r="AL8402" s="21" t="s">
        <v>4898</v>
      </c>
      <c r="AM8402" s="21" t="s">
        <v>4899</v>
      </c>
      <c r="AN8402" s="21">
        <v>-122.4218508</v>
      </c>
      <c r="AO8402" s="21">
        <v>37.797830883333297</v>
      </c>
      <c r="AP8402" s="21" t="s">
        <v>951</v>
      </c>
    </row>
    <row r="8403" spans="1:42">
      <c r="A8403" s="20">
        <v>43858</v>
      </c>
      <c r="B8403" s="21">
        <v>2</v>
      </c>
      <c r="C8403" s="21">
        <v>217</v>
      </c>
      <c r="D8403" s="21">
        <v>14443</v>
      </c>
      <c r="E8403" s="21"/>
      <c r="F8403" s="21" t="s">
        <v>104</v>
      </c>
      <c r="G8403" s="21">
        <v>2</v>
      </c>
      <c r="H8403" s="21">
        <v>113</v>
      </c>
      <c r="I8403" s="23" t="s">
        <v>4900</v>
      </c>
      <c r="J8403" s="21"/>
      <c r="K8403" s="21" t="s">
        <v>119</v>
      </c>
      <c r="L8403" s="21"/>
      <c r="M8403" s="21" t="s">
        <v>52</v>
      </c>
      <c r="N8403" s="21" t="s">
        <v>44</v>
      </c>
      <c r="O8403" s="21">
        <v>93</v>
      </c>
      <c r="P8403" s="21"/>
      <c r="Q8403" s="21">
        <f t="shared" si="169"/>
        <v>1</v>
      </c>
      <c r="R8403" s="21">
        <v>1</v>
      </c>
      <c r="S8403" s="21">
        <v>0</v>
      </c>
      <c r="T8403" s="21">
        <v>0</v>
      </c>
      <c r="U8403" s="21">
        <v>0</v>
      </c>
      <c r="V8403" s="21">
        <v>1</v>
      </c>
      <c r="W8403" s="21">
        <v>0</v>
      </c>
      <c r="X8403" s="21">
        <v>0</v>
      </c>
      <c r="Y8403" s="21">
        <v>0</v>
      </c>
      <c r="Z8403" s="21">
        <v>0</v>
      </c>
      <c r="AA8403" s="21">
        <v>0</v>
      </c>
      <c r="AB8403" s="21">
        <v>0</v>
      </c>
      <c r="AC8403" s="21">
        <v>0</v>
      </c>
      <c r="AD8403" s="21">
        <v>0</v>
      </c>
      <c r="AE8403" s="21">
        <v>0</v>
      </c>
      <c r="AF8403" s="21">
        <v>0</v>
      </c>
      <c r="AG8403" s="21">
        <v>0</v>
      </c>
      <c r="AH8403" s="21">
        <f t="shared" si="170"/>
        <v>64</v>
      </c>
      <c r="AI8403" s="21"/>
      <c r="AJ8403" s="21" t="s">
        <v>51</v>
      </c>
      <c r="AK8403" s="21" t="s">
        <v>95</v>
      </c>
      <c r="AL8403" s="21"/>
      <c r="AM8403" s="21" t="s">
        <v>4901</v>
      </c>
      <c r="AN8403" s="21">
        <v>-122.42276363333301</v>
      </c>
      <c r="AO8403" s="21">
        <v>37.797685649999998</v>
      </c>
      <c r="AP8403" s="21" t="s">
        <v>951</v>
      </c>
    </row>
    <row r="8404" spans="1:42">
      <c r="A8404" s="20">
        <v>43858</v>
      </c>
      <c r="B8404" s="21">
        <v>2</v>
      </c>
      <c r="C8404" s="21">
        <v>217</v>
      </c>
      <c r="D8404" s="21">
        <v>14443</v>
      </c>
      <c r="E8404" s="21"/>
      <c r="F8404" s="21" t="s">
        <v>104</v>
      </c>
      <c r="G8404" s="21">
        <v>2</v>
      </c>
      <c r="H8404" s="21">
        <v>114</v>
      </c>
      <c r="I8404" s="23" t="s">
        <v>4902</v>
      </c>
      <c r="J8404" s="21"/>
      <c r="K8404" s="21" t="s">
        <v>119</v>
      </c>
      <c r="L8404" s="21" t="s">
        <v>114</v>
      </c>
      <c r="M8404" s="21"/>
      <c r="N8404" s="21" t="s">
        <v>40</v>
      </c>
      <c r="O8404" s="21">
        <v>32</v>
      </c>
      <c r="P8404" s="21"/>
      <c r="Q8404" s="21">
        <f t="shared" si="169"/>
        <v>2</v>
      </c>
      <c r="R8404" s="21">
        <v>1</v>
      </c>
      <c r="S8404" s="21">
        <v>0</v>
      </c>
      <c r="T8404" s="21">
        <v>0</v>
      </c>
      <c r="U8404" s="21">
        <v>2</v>
      </c>
      <c r="V8404" s="21">
        <v>0</v>
      </c>
      <c r="W8404" s="21">
        <v>0</v>
      </c>
      <c r="X8404" s="21">
        <v>0</v>
      </c>
      <c r="Y8404" s="21">
        <v>0</v>
      </c>
      <c r="Z8404" s="21">
        <v>0</v>
      </c>
      <c r="AA8404" s="21">
        <v>0</v>
      </c>
      <c r="AB8404" s="21">
        <v>0</v>
      </c>
      <c r="AC8404" s="21">
        <v>0</v>
      </c>
      <c r="AD8404" s="21">
        <v>0</v>
      </c>
      <c r="AE8404" s="21">
        <v>0</v>
      </c>
      <c r="AF8404" s="21">
        <v>0</v>
      </c>
      <c r="AG8404" s="21">
        <v>0</v>
      </c>
      <c r="AH8404" s="21">
        <f t="shared" si="170"/>
        <v>64</v>
      </c>
      <c r="AI8404" s="21"/>
      <c r="AJ8404" s="21" t="s">
        <v>51</v>
      </c>
      <c r="AK8404" s="21" t="s">
        <v>95</v>
      </c>
      <c r="AL8404" s="21"/>
      <c r="AM8404" s="21" t="s">
        <v>4903</v>
      </c>
      <c r="AN8404" s="21">
        <v>-122.42097522710399</v>
      </c>
      <c r="AO8404" s="21">
        <v>37.7899063936445</v>
      </c>
      <c r="AP8404" s="21" t="s">
        <v>951</v>
      </c>
    </row>
    <row r="8405" spans="1:42">
      <c r="A8405" s="20">
        <v>43858</v>
      </c>
      <c r="B8405" s="21">
        <v>2</v>
      </c>
      <c r="C8405" s="21">
        <v>217</v>
      </c>
      <c r="D8405" s="21">
        <v>14443</v>
      </c>
      <c r="E8405" s="21"/>
      <c r="F8405" s="21" t="s">
        <v>104</v>
      </c>
      <c r="G8405" s="21">
        <v>2</v>
      </c>
      <c r="H8405" s="21">
        <v>115</v>
      </c>
      <c r="I8405" s="23" t="s">
        <v>4849</v>
      </c>
      <c r="J8405" s="21"/>
      <c r="K8405" s="21" t="s">
        <v>4904</v>
      </c>
      <c r="L8405" s="21" t="s">
        <v>141</v>
      </c>
      <c r="M8405" s="21"/>
      <c r="N8405" s="21" t="s">
        <v>40</v>
      </c>
      <c r="O8405" s="21">
        <v>94</v>
      </c>
      <c r="P8405" s="21"/>
      <c r="Q8405" s="21">
        <f t="shared" si="169"/>
        <v>2</v>
      </c>
      <c r="R8405" s="21">
        <v>1</v>
      </c>
      <c r="S8405" s="21">
        <v>0</v>
      </c>
      <c r="T8405" s="21">
        <v>0</v>
      </c>
      <c r="U8405" s="21">
        <v>1</v>
      </c>
      <c r="V8405" s="21">
        <v>0</v>
      </c>
      <c r="W8405" s="21">
        <v>1</v>
      </c>
      <c r="X8405" s="21">
        <v>0</v>
      </c>
      <c r="Y8405" s="21">
        <v>0</v>
      </c>
      <c r="Z8405" s="21">
        <v>0</v>
      </c>
      <c r="AA8405" s="21">
        <v>0</v>
      </c>
      <c r="AB8405" s="21">
        <v>0</v>
      </c>
      <c r="AC8405" s="21">
        <v>0</v>
      </c>
      <c r="AD8405" s="21">
        <v>0</v>
      </c>
      <c r="AE8405" s="21">
        <v>0</v>
      </c>
      <c r="AF8405" s="21">
        <v>0</v>
      </c>
      <c r="AG8405" s="21">
        <v>0</v>
      </c>
      <c r="AH8405" s="21">
        <f t="shared" si="170"/>
        <v>128</v>
      </c>
      <c r="AI8405" s="21"/>
      <c r="AJ8405" s="21" t="s">
        <v>54</v>
      </c>
      <c r="AK8405" s="21" t="s">
        <v>95</v>
      </c>
      <c r="AL8405" s="21"/>
      <c r="AM8405" s="21" t="s">
        <v>4905</v>
      </c>
      <c r="AN8405" s="21">
        <v>-122.423141233333</v>
      </c>
      <c r="AO8405" s="21">
        <v>37.798607383333298</v>
      </c>
      <c r="AP8405" s="21" t="s">
        <v>951</v>
      </c>
    </row>
    <row r="8406" spans="1:42">
      <c r="A8406" s="20">
        <v>43858</v>
      </c>
      <c r="B8406" s="21">
        <v>2</v>
      </c>
      <c r="C8406" s="21">
        <v>217</v>
      </c>
      <c r="D8406" s="21">
        <v>14443</v>
      </c>
      <c r="E8406" s="21"/>
      <c r="F8406" s="21" t="s">
        <v>104</v>
      </c>
      <c r="G8406" s="21">
        <v>2</v>
      </c>
      <c r="H8406" s="21">
        <v>116</v>
      </c>
      <c r="I8406" s="23" t="s">
        <v>4906</v>
      </c>
      <c r="J8406" s="21"/>
      <c r="K8406" s="21" t="s">
        <v>156</v>
      </c>
      <c r="L8406" s="21" t="s">
        <v>141</v>
      </c>
      <c r="M8406" s="21"/>
      <c r="N8406" s="21" t="s">
        <v>40</v>
      </c>
      <c r="O8406" s="21">
        <v>61</v>
      </c>
      <c r="P8406" s="21"/>
      <c r="Q8406" s="21">
        <f t="shared" si="169"/>
        <v>2</v>
      </c>
      <c r="R8406" s="21">
        <v>1</v>
      </c>
      <c r="S8406" s="21">
        <v>1</v>
      </c>
      <c r="T8406" s="21">
        <v>0</v>
      </c>
      <c r="U8406" s="21">
        <v>1</v>
      </c>
      <c r="V8406" s="21">
        <v>0</v>
      </c>
      <c r="W8406" s="21">
        <v>0</v>
      </c>
      <c r="X8406" s="21">
        <v>0</v>
      </c>
      <c r="Y8406" s="21">
        <v>0</v>
      </c>
      <c r="Z8406" s="21">
        <v>0</v>
      </c>
      <c r="AA8406" s="21">
        <v>0</v>
      </c>
      <c r="AB8406" s="21">
        <v>0</v>
      </c>
      <c r="AC8406" s="21">
        <v>0</v>
      </c>
      <c r="AD8406" s="21">
        <v>0</v>
      </c>
      <c r="AE8406" s="21">
        <v>0</v>
      </c>
      <c r="AF8406" s="21">
        <v>0</v>
      </c>
      <c r="AG8406" s="21">
        <v>0</v>
      </c>
      <c r="AH8406" s="21">
        <f t="shared" si="170"/>
        <v>48</v>
      </c>
      <c r="AI8406" s="21"/>
      <c r="AJ8406" s="21" t="s">
        <v>54</v>
      </c>
      <c r="AK8406" s="21" t="s">
        <v>95</v>
      </c>
      <c r="AL8406" s="21"/>
      <c r="AM8406" s="21" t="s">
        <v>4907</v>
      </c>
      <c r="AN8406" s="21">
        <v>-122.421925433333</v>
      </c>
      <c r="AO8406" s="21">
        <v>37.798769616666704</v>
      </c>
      <c r="AP8406" s="21" t="s">
        <v>951</v>
      </c>
    </row>
    <row r="8407" spans="1:42">
      <c r="A8407" s="20">
        <v>43858</v>
      </c>
      <c r="B8407" s="21">
        <v>2</v>
      </c>
      <c r="C8407" s="21">
        <v>217</v>
      </c>
      <c r="D8407" s="21">
        <v>14443</v>
      </c>
      <c r="E8407" s="21"/>
      <c r="F8407" s="21" t="s">
        <v>104</v>
      </c>
      <c r="G8407" s="21">
        <v>2</v>
      </c>
      <c r="H8407" s="21">
        <v>117</v>
      </c>
      <c r="I8407" s="23" t="s">
        <v>4908</v>
      </c>
      <c r="J8407" s="21"/>
      <c r="K8407" s="21" t="s">
        <v>156</v>
      </c>
      <c r="L8407" s="21" t="s">
        <v>141</v>
      </c>
      <c r="M8407" s="21"/>
      <c r="N8407" s="21" t="s">
        <v>40</v>
      </c>
      <c r="O8407" s="21">
        <v>66</v>
      </c>
      <c r="P8407" s="21"/>
      <c r="Q8407" s="21">
        <f t="shared" si="169"/>
        <v>2</v>
      </c>
      <c r="R8407" s="21">
        <v>1</v>
      </c>
      <c r="S8407" s="21">
        <v>0</v>
      </c>
      <c r="T8407" s="21">
        <v>0</v>
      </c>
      <c r="U8407" s="21">
        <v>2</v>
      </c>
      <c r="V8407" s="21">
        <v>0</v>
      </c>
      <c r="W8407" s="21">
        <v>0</v>
      </c>
      <c r="X8407" s="21">
        <v>0</v>
      </c>
      <c r="Y8407" s="21">
        <v>0</v>
      </c>
      <c r="Z8407" s="21">
        <v>0</v>
      </c>
      <c r="AA8407" s="21">
        <v>0</v>
      </c>
      <c r="AB8407" s="21">
        <v>0</v>
      </c>
      <c r="AC8407" s="21">
        <v>0</v>
      </c>
      <c r="AD8407" s="21">
        <v>0</v>
      </c>
      <c r="AE8407" s="21">
        <v>0</v>
      </c>
      <c r="AF8407" s="21">
        <v>0</v>
      </c>
      <c r="AG8407" s="21">
        <v>0</v>
      </c>
      <c r="AH8407" s="21">
        <f t="shared" si="170"/>
        <v>64</v>
      </c>
      <c r="AI8407" s="21"/>
      <c r="AJ8407" s="21" t="s">
        <v>54</v>
      </c>
      <c r="AK8407" s="21" t="s">
        <v>52</v>
      </c>
      <c r="AL8407" s="21"/>
      <c r="AM8407" s="21" t="s">
        <v>4909</v>
      </c>
      <c r="AN8407" s="21">
        <v>-122.421853483333</v>
      </c>
      <c r="AO8407" s="21">
        <v>37.798691616666602</v>
      </c>
      <c r="AP8407" s="21" t="s">
        <v>951</v>
      </c>
    </row>
    <row r="8408" spans="1:42">
      <c r="A8408" s="20">
        <v>43858</v>
      </c>
      <c r="B8408" s="21">
        <v>2</v>
      </c>
      <c r="C8408" s="21">
        <v>217</v>
      </c>
      <c r="D8408" s="21">
        <v>14443</v>
      </c>
      <c r="E8408" s="21"/>
      <c r="F8408" s="21" t="s">
        <v>104</v>
      </c>
      <c r="G8408" s="21">
        <v>2</v>
      </c>
      <c r="H8408" s="21">
        <v>118</v>
      </c>
      <c r="I8408" s="23" t="s">
        <v>4910</v>
      </c>
      <c r="J8408" s="21"/>
      <c r="K8408" s="21" t="s">
        <v>156</v>
      </c>
      <c r="L8408" s="21"/>
      <c r="M8408" s="21"/>
      <c r="N8408" s="21" t="s">
        <v>44</v>
      </c>
      <c r="O8408" s="21">
        <v>67</v>
      </c>
      <c r="P8408" s="21"/>
      <c r="Q8408" s="21">
        <f t="shared" si="169"/>
        <v>1</v>
      </c>
      <c r="R8408" s="21">
        <v>1</v>
      </c>
      <c r="S8408" s="21">
        <v>0</v>
      </c>
      <c r="T8408" s="21">
        <v>0</v>
      </c>
      <c r="U8408" s="21">
        <v>1</v>
      </c>
      <c r="V8408" s="21">
        <v>0</v>
      </c>
      <c r="W8408" s="21">
        <v>0</v>
      </c>
      <c r="X8408" s="21">
        <v>0</v>
      </c>
      <c r="Y8408" s="21">
        <v>0</v>
      </c>
      <c r="Z8408" s="21">
        <v>0</v>
      </c>
      <c r="AA8408" s="21">
        <v>0</v>
      </c>
      <c r="AB8408" s="21">
        <v>0</v>
      </c>
      <c r="AC8408" s="21">
        <v>0</v>
      </c>
      <c r="AD8408" s="21">
        <v>0</v>
      </c>
      <c r="AE8408" s="21">
        <v>0</v>
      </c>
      <c r="AF8408" s="21">
        <v>0</v>
      </c>
      <c r="AG8408" s="21">
        <v>0</v>
      </c>
      <c r="AH8408" s="21">
        <f t="shared" si="170"/>
        <v>32</v>
      </c>
      <c r="AI8408" s="21"/>
      <c r="AJ8408" s="21" t="s">
        <v>54</v>
      </c>
      <c r="AK8408" s="21" t="s">
        <v>95</v>
      </c>
      <c r="AL8408" s="21"/>
      <c r="AM8408" s="21" t="s">
        <v>4911</v>
      </c>
      <c r="AN8408" s="21">
        <v>-122.421747716667</v>
      </c>
      <c r="AO8408" s="21">
        <v>37.798692216666701</v>
      </c>
      <c r="AP8408" s="21" t="s">
        <v>951</v>
      </c>
    </row>
    <row r="8409" spans="1:42">
      <c r="A8409" s="20">
        <v>43858</v>
      </c>
      <c r="B8409" s="21">
        <v>2</v>
      </c>
      <c r="C8409" s="21">
        <v>217</v>
      </c>
      <c r="D8409" s="21">
        <v>14443</v>
      </c>
      <c r="E8409" s="21"/>
      <c r="F8409" s="21" t="s">
        <v>104</v>
      </c>
      <c r="G8409" s="21">
        <v>2</v>
      </c>
      <c r="H8409" s="21">
        <v>119</v>
      </c>
      <c r="I8409" s="23" t="s">
        <v>4912</v>
      </c>
      <c r="J8409" s="21"/>
      <c r="K8409" s="21" t="s">
        <v>156</v>
      </c>
      <c r="L8409" s="21" t="s">
        <v>141</v>
      </c>
      <c r="M8409" s="21"/>
      <c r="N8409" s="21" t="s">
        <v>40</v>
      </c>
      <c r="O8409" s="21">
        <v>31</v>
      </c>
      <c r="P8409" s="21"/>
      <c r="Q8409" s="21">
        <f t="shared" si="169"/>
        <v>2</v>
      </c>
      <c r="R8409" s="21">
        <v>1</v>
      </c>
      <c r="S8409" s="21">
        <v>0</v>
      </c>
      <c r="T8409" s="21">
        <v>0</v>
      </c>
      <c r="U8409" s="21">
        <v>1</v>
      </c>
      <c r="V8409" s="21">
        <v>1</v>
      </c>
      <c r="W8409" s="21">
        <v>0</v>
      </c>
      <c r="X8409" s="21">
        <v>0</v>
      </c>
      <c r="Y8409" s="21">
        <v>0</v>
      </c>
      <c r="Z8409" s="21">
        <v>0</v>
      </c>
      <c r="AA8409" s="21">
        <v>0</v>
      </c>
      <c r="AB8409" s="21">
        <v>0</v>
      </c>
      <c r="AC8409" s="21">
        <v>0</v>
      </c>
      <c r="AD8409" s="21">
        <v>0</v>
      </c>
      <c r="AE8409" s="21">
        <v>0</v>
      </c>
      <c r="AF8409" s="21">
        <v>0</v>
      </c>
      <c r="AG8409" s="21">
        <v>0</v>
      </c>
      <c r="AH8409" s="21">
        <f t="shared" si="170"/>
        <v>96</v>
      </c>
      <c r="AI8409" s="21"/>
      <c r="AJ8409" s="21" t="s">
        <v>54</v>
      </c>
      <c r="AK8409" s="21" t="s">
        <v>95</v>
      </c>
      <c r="AL8409" s="21"/>
      <c r="AM8409" s="21" t="s">
        <v>4913</v>
      </c>
      <c r="AN8409" s="21">
        <v>-122.4217475</v>
      </c>
      <c r="AO8409" s="21">
        <v>37.798696933333296</v>
      </c>
      <c r="AP8409" s="21" t="s">
        <v>951</v>
      </c>
    </row>
    <row r="8410" spans="1:42">
      <c r="A8410" s="20">
        <v>43858</v>
      </c>
      <c r="B8410" s="21">
        <v>2</v>
      </c>
      <c r="C8410" s="21">
        <v>217</v>
      </c>
      <c r="D8410" s="21">
        <v>14443</v>
      </c>
      <c r="E8410" s="21"/>
      <c r="F8410" s="21" t="s">
        <v>104</v>
      </c>
      <c r="G8410" s="21">
        <v>2</v>
      </c>
      <c r="H8410" s="21">
        <v>120</v>
      </c>
      <c r="I8410" s="23" t="s">
        <v>4914</v>
      </c>
      <c r="J8410" s="21"/>
      <c r="K8410" s="21" t="s">
        <v>119</v>
      </c>
      <c r="L8410" s="21" t="s">
        <v>141</v>
      </c>
      <c r="M8410" s="21"/>
      <c r="N8410" s="21" t="s">
        <v>40</v>
      </c>
      <c r="O8410" s="21">
        <v>93</v>
      </c>
      <c r="P8410" s="21"/>
      <c r="Q8410" s="21">
        <f t="shared" si="169"/>
        <v>3</v>
      </c>
      <c r="R8410" s="21">
        <v>1</v>
      </c>
      <c r="S8410" s="21">
        <v>2</v>
      </c>
      <c r="T8410" s="21">
        <v>0</v>
      </c>
      <c r="U8410" s="21">
        <v>1</v>
      </c>
      <c r="V8410" s="21">
        <v>0</v>
      </c>
      <c r="W8410" s="21">
        <v>0</v>
      </c>
      <c r="X8410" s="21">
        <v>0</v>
      </c>
      <c r="Y8410" s="21">
        <v>0</v>
      </c>
      <c r="Z8410" s="21">
        <v>0</v>
      </c>
      <c r="AA8410" s="21">
        <v>0</v>
      </c>
      <c r="AB8410" s="21">
        <v>0</v>
      </c>
      <c r="AC8410" s="21">
        <v>0</v>
      </c>
      <c r="AD8410" s="21">
        <v>0</v>
      </c>
      <c r="AE8410" s="21">
        <v>0</v>
      </c>
      <c r="AF8410" s="21">
        <v>0</v>
      </c>
      <c r="AG8410" s="21">
        <v>0</v>
      </c>
      <c r="AH8410" s="21">
        <f t="shared" si="170"/>
        <v>64</v>
      </c>
      <c r="AI8410" s="21"/>
      <c r="AJ8410" s="21" t="s">
        <v>3135</v>
      </c>
      <c r="AK8410" s="21" t="s">
        <v>52</v>
      </c>
      <c r="AL8410" s="21"/>
      <c r="AM8410" s="21" t="s">
        <v>4915</v>
      </c>
      <c r="AN8410" s="21">
        <v>-122.420518433333</v>
      </c>
      <c r="AO8410" s="21">
        <v>37.798973500000002</v>
      </c>
      <c r="AP8410" s="21" t="s">
        <v>951</v>
      </c>
    </row>
    <row r="8411" spans="1:42">
      <c r="A8411" s="20">
        <v>43858</v>
      </c>
      <c r="B8411" s="21">
        <v>2</v>
      </c>
      <c r="C8411" s="21">
        <v>217</v>
      </c>
      <c r="D8411" s="21">
        <v>14443</v>
      </c>
      <c r="E8411" s="21"/>
      <c r="F8411" s="21" t="s">
        <v>104</v>
      </c>
      <c r="G8411" s="21">
        <v>2</v>
      </c>
      <c r="H8411" s="21">
        <v>121</v>
      </c>
      <c r="I8411" s="23" t="s">
        <v>4916</v>
      </c>
      <c r="J8411" s="21"/>
      <c r="K8411" s="21" t="s">
        <v>119</v>
      </c>
      <c r="L8411" s="21"/>
      <c r="M8411" s="21"/>
      <c r="N8411" s="21"/>
      <c r="O8411" s="21">
        <v>170</v>
      </c>
      <c r="P8411" s="21"/>
      <c r="Q8411" s="21">
        <f t="shared" si="169"/>
        <v>5</v>
      </c>
      <c r="R8411" s="21">
        <v>1</v>
      </c>
      <c r="S8411" s="21">
        <v>1</v>
      </c>
      <c r="T8411" s="21">
        <v>1</v>
      </c>
      <c r="U8411" s="21">
        <v>2</v>
      </c>
      <c r="V8411" s="21">
        <v>1</v>
      </c>
      <c r="W8411" s="21">
        <v>0</v>
      </c>
      <c r="X8411" s="21">
        <v>0</v>
      </c>
      <c r="Y8411" s="21">
        <v>0</v>
      </c>
      <c r="Z8411" s="21">
        <v>0</v>
      </c>
      <c r="AA8411" s="21">
        <v>0</v>
      </c>
      <c r="AB8411" s="21">
        <v>0</v>
      </c>
      <c r="AC8411" s="21">
        <v>0</v>
      </c>
      <c r="AD8411" s="21">
        <v>0</v>
      </c>
      <c r="AE8411" s="21">
        <v>0</v>
      </c>
      <c r="AF8411" s="21">
        <v>0</v>
      </c>
      <c r="AG8411" s="21">
        <v>0</v>
      </c>
      <c r="AH8411" s="21">
        <f t="shared" si="170"/>
        <v>164</v>
      </c>
      <c r="AI8411" s="21"/>
      <c r="AJ8411" s="21" t="s">
        <v>54</v>
      </c>
      <c r="AK8411" s="21" t="s">
        <v>95</v>
      </c>
      <c r="AL8411" s="21" t="s">
        <v>4917</v>
      </c>
      <c r="AM8411" s="21" t="s">
        <v>4918</v>
      </c>
      <c r="AN8411" s="21">
        <v>-122.419921283333</v>
      </c>
      <c r="AO8411" s="21">
        <v>37.798009633333301</v>
      </c>
      <c r="AP8411" s="21" t="s">
        <v>951</v>
      </c>
    </row>
    <row r="8412" spans="1:42">
      <c r="A8412" s="20">
        <v>43858</v>
      </c>
      <c r="B8412" s="21">
        <v>2</v>
      </c>
      <c r="C8412" s="21">
        <v>217</v>
      </c>
      <c r="D8412" s="21">
        <v>14443</v>
      </c>
      <c r="E8412" s="21"/>
      <c r="F8412" s="21" t="s">
        <v>104</v>
      </c>
      <c r="G8412" s="21">
        <v>2</v>
      </c>
      <c r="H8412" s="21">
        <v>122</v>
      </c>
      <c r="I8412" s="23" t="s">
        <v>4919</v>
      </c>
      <c r="J8412" s="21"/>
      <c r="K8412" s="21" t="s">
        <v>119</v>
      </c>
      <c r="L8412" s="21" t="s">
        <v>141</v>
      </c>
      <c r="M8412" s="21"/>
      <c r="N8412" s="21" t="s">
        <v>40</v>
      </c>
      <c r="O8412" s="21">
        <v>65</v>
      </c>
      <c r="P8412" s="21"/>
      <c r="Q8412" s="21">
        <f t="shared" si="169"/>
        <v>3</v>
      </c>
      <c r="R8412" s="21">
        <v>1</v>
      </c>
      <c r="S8412" s="21">
        <v>1</v>
      </c>
      <c r="T8412" s="21">
        <v>0</v>
      </c>
      <c r="U8412" s="21">
        <v>1</v>
      </c>
      <c r="V8412" s="21">
        <v>1</v>
      </c>
      <c r="W8412" s="21">
        <v>0</v>
      </c>
      <c r="X8412" s="21">
        <v>0</v>
      </c>
      <c r="Y8412" s="21">
        <v>0</v>
      </c>
      <c r="Z8412" s="21">
        <v>0</v>
      </c>
      <c r="AA8412" s="21">
        <v>0</v>
      </c>
      <c r="AB8412" s="21">
        <v>0</v>
      </c>
      <c r="AC8412" s="21">
        <v>0</v>
      </c>
      <c r="AD8412" s="21">
        <v>0</v>
      </c>
      <c r="AE8412" s="21">
        <v>0</v>
      </c>
      <c r="AF8412" s="21">
        <v>0</v>
      </c>
      <c r="AG8412" s="21">
        <v>0</v>
      </c>
      <c r="AH8412" s="21">
        <f t="shared" si="170"/>
        <v>112</v>
      </c>
      <c r="AI8412" s="21"/>
      <c r="AJ8412" s="21" t="s">
        <v>51</v>
      </c>
      <c r="AK8412" s="21" t="s">
        <v>52</v>
      </c>
      <c r="AL8412" s="21"/>
      <c r="AM8412" s="21" t="s">
        <v>4920</v>
      </c>
      <c r="AN8412" s="21">
        <v>-122.41985586666701</v>
      </c>
      <c r="AO8412" s="21">
        <v>37.798042516666598</v>
      </c>
      <c r="AP8412" s="21" t="s">
        <v>951</v>
      </c>
    </row>
    <row r="8413" spans="1:42">
      <c r="A8413" s="20">
        <v>43858</v>
      </c>
      <c r="B8413" s="21">
        <v>2</v>
      </c>
      <c r="C8413" s="21">
        <v>217</v>
      </c>
      <c r="D8413" s="21">
        <v>14443</v>
      </c>
      <c r="E8413" s="21"/>
      <c r="F8413" s="21" t="s">
        <v>104</v>
      </c>
      <c r="G8413" s="21">
        <v>2</v>
      </c>
      <c r="H8413" s="21">
        <v>123</v>
      </c>
      <c r="I8413" s="26">
        <v>1231</v>
      </c>
      <c r="J8413" s="21"/>
      <c r="K8413" s="21" t="s">
        <v>119</v>
      </c>
      <c r="L8413" s="21" t="s">
        <v>141</v>
      </c>
      <c r="M8413" s="21"/>
      <c r="N8413" s="21" t="s">
        <v>40</v>
      </c>
      <c r="O8413" s="21">
        <v>70</v>
      </c>
      <c r="P8413" s="21"/>
      <c r="Q8413" s="21">
        <f t="shared" si="169"/>
        <v>3</v>
      </c>
      <c r="R8413" s="21">
        <v>1</v>
      </c>
      <c r="S8413" s="21">
        <v>1</v>
      </c>
      <c r="T8413" s="21">
        <v>0</v>
      </c>
      <c r="U8413" s="21">
        <v>2</v>
      </c>
      <c r="V8413" s="21">
        <v>0</v>
      </c>
      <c r="W8413" s="21">
        <v>0</v>
      </c>
      <c r="X8413" s="21">
        <v>0</v>
      </c>
      <c r="Y8413" s="21">
        <v>0</v>
      </c>
      <c r="Z8413" s="21">
        <v>0</v>
      </c>
      <c r="AA8413" s="21">
        <v>0</v>
      </c>
      <c r="AB8413" s="21">
        <v>0</v>
      </c>
      <c r="AC8413" s="21">
        <v>0</v>
      </c>
      <c r="AD8413" s="21">
        <v>0</v>
      </c>
      <c r="AE8413" s="21">
        <v>0</v>
      </c>
      <c r="AF8413" s="21">
        <v>0</v>
      </c>
      <c r="AG8413" s="21">
        <v>0</v>
      </c>
      <c r="AH8413" s="21">
        <f t="shared" si="170"/>
        <v>80</v>
      </c>
      <c r="AI8413" s="21"/>
      <c r="AJ8413" s="21" t="s">
        <v>54</v>
      </c>
      <c r="AK8413" s="21" t="s">
        <v>95</v>
      </c>
      <c r="AL8413" s="21"/>
      <c r="AM8413" s="21" t="s">
        <v>4921</v>
      </c>
      <c r="AN8413" s="21">
        <v>-122.419450516667</v>
      </c>
      <c r="AO8413" s="21">
        <v>37.798013683333302</v>
      </c>
      <c r="AP8413" s="21" t="s">
        <v>951</v>
      </c>
    </row>
    <row r="8414" spans="1:42">
      <c r="A8414" s="20">
        <v>43858</v>
      </c>
      <c r="B8414" s="21">
        <v>2</v>
      </c>
      <c r="C8414" s="21">
        <v>217</v>
      </c>
      <c r="D8414" s="21">
        <v>14443</v>
      </c>
      <c r="E8414" s="21"/>
      <c r="F8414" s="21" t="s">
        <v>104</v>
      </c>
      <c r="G8414" s="21">
        <v>2</v>
      </c>
      <c r="H8414" s="21">
        <v>124</v>
      </c>
      <c r="I8414" s="23" t="s">
        <v>4922</v>
      </c>
      <c r="J8414" s="21"/>
      <c r="K8414" s="21" t="s">
        <v>119</v>
      </c>
      <c r="L8414" s="21" t="s">
        <v>141</v>
      </c>
      <c r="M8414" s="21"/>
      <c r="N8414" s="21" t="s">
        <v>42</v>
      </c>
      <c r="O8414" s="21">
        <v>61</v>
      </c>
      <c r="P8414" s="21"/>
      <c r="Q8414" s="21">
        <f t="shared" si="169"/>
        <v>2</v>
      </c>
      <c r="R8414" s="21">
        <v>1</v>
      </c>
      <c r="S8414" s="21">
        <v>0</v>
      </c>
      <c r="T8414" s="21">
        <v>0</v>
      </c>
      <c r="U8414" s="21">
        <v>1</v>
      </c>
      <c r="V8414" s="21">
        <v>1</v>
      </c>
      <c r="W8414" s="21">
        <v>0</v>
      </c>
      <c r="X8414" s="21">
        <v>0</v>
      </c>
      <c r="Y8414" s="21">
        <v>0</v>
      </c>
      <c r="Z8414" s="21">
        <v>0</v>
      </c>
      <c r="AA8414" s="21">
        <v>0</v>
      </c>
      <c r="AB8414" s="21">
        <v>0</v>
      </c>
      <c r="AC8414" s="21">
        <v>0</v>
      </c>
      <c r="AD8414" s="21">
        <v>0</v>
      </c>
      <c r="AE8414" s="21">
        <v>0</v>
      </c>
      <c r="AF8414" s="21">
        <v>0</v>
      </c>
      <c r="AG8414" s="21">
        <v>0</v>
      </c>
      <c r="AH8414" s="21">
        <f t="shared" si="170"/>
        <v>96</v>
      </c>
      <c r="AI8414" s="21"/>
      <c r="AJ8414" s="21" t="s">
        <v>54</v>
      </c>
      <c r="AK8414" s="21" t="s">
        <v>95</v>
      </c>
      <c r="AL8414" s="21"/>
      <c r="AM8414" s="21" t="s">
        <v>4923</v>
      </c>
      <c r="AN8414" s="21">
        <v>-122.41935656666701</v>
      </c>
      <c r="AO8414" s="21">
        <v>37.798081066666697</v>
      </c>
      <c r="AP8414" s="21" t="s">
        <v>951</v>
      </c>
    </row>
    <row r="8415" spans="1:42">
      <c r="A8415" s="20">
        <v>43858</v>
      </c>
      <c r="B8415" s="21">
        <v>2</v>
      </c>
      <c r="C8415" s="21">
        <v>217</v>
      </c>
      <c r="D8415" s="21">
        <v>14443</v>
      </c>
      <c r="E8415" s="21"/>
      <c r="F8415" s="21" t="s">
        <v>104</v>
      </c>
      <c r="G8415" s="21">
        <v>2</v>
      </c>
      <c r="H8415" s="21">
        <v>125</v>
      </c>
      <c r="I8415" s="23" t="s">
        <v>4924</v>
      </c>
      <c r="J8415" s="21"/>
      <c r="K8415" t="s">
        <v>585</v>
      </c>
      <c r="L8415" s="21" t="s">
        <v>141</v>
      </c>
      <c r="M8415" s="21"/>
      <c r="N8415" s="21" t="s">
        <v>44</v>
      </c>
      <c r="O8415" s="21">
        <v>196</v>
      </c>
      <c r="P8415" s="21"/>
      <c r="Q8415" s="21">
        <f t="shared" si="169"/>
        <v>3</v>
      </c>
      <c r="R8415" s="21">
        <v>1</v>
      </c>
      <c r="S8415" s="21">
        <v>0</v>
      </c>
      <c r="T8415" s="21">
        <v>0</v>
      </c>
      <c r="U8415" s="21">
        <v>2</v>
      </c>
      <c r="V8415" s="21">
        <v>0</v>
      </c>
      <c r="W8415" s="21">
        <v>1</v>
      </c>
      <c r="X8415" s="21">
        <v>0</v>
      </c>
      <c r="Y8415" s="21">
        <v>0</v>
      </c>
      <c r="Z8415" s="21">
        <v>0</v>
      </c>
      <c r="AA8415" s="21">
        <v>0</v>
      </c>
      <c r="AB8415" s="21">
        <v>0</v>
      </c>
      <c r="AC8415" s="21">
        <v>0</v>
      </c>
      <c r="AD8415" s="21">
        <v>0</v>
      </c>
      <c r="AE8415" s="21">
        <v>0</v>
      </c>
      <c r="AF8415" s="21">
        <v>0</v>
      </c>
      <c r="AG8415" s="21">
        <v>0</v>
      </c>
      <c r="AH8415" s="21">
        <f t="shared" si="170"/>
        <v>160</v>
      </c>
      <c r="AI8415" s="21"/>
      <c r="AJ8415" s="21" t="s">
        <v>54</v>
      </c>
      <c r="AK8415" s="21" t="s">
        <v>95</v>
      </c>
      <c r="AL8415" s="21" t="s">
        <v>4925</v>
      </c>
      <c r="AM8415" s="21" t="s">
        <v>4926</v>
      </c>
      <c r="AN8415" s="21">
        <v>-122.4192571</v>
      </c>
      <c r="AO8415" s="21">
        <v>37.797235666666701</v>
      </c>
      <c r="AP8415" s="21" t="s">
        <v>951</v>
      </c>
    </row>
    <row r="8416" spans="1:42">
      <c r="A8416" s="20">
        <v>43858</v>
      </c>
      <c r="B8416" s="21">
        <v>2</v>
      </c>
      <c r="C8416" s="21">
        <v>217</v>
      </c>
      <c r="D8416" s="21">
        <v>14443</v>
      </c>
      <c r="E8416" s="21"/>
      <c r="F8416" s="21" t="s">
        <v>104</v>
      </c>
      <c r="G8416" s="21">
        <v>2</v>
      </c>
      <c r="H8416" s="21">
        <v>126</v>
      </c>
      <c r="I8416" s="23" t="s">
        <v>4927</v>
      </c>
      <c r="J8416" s="21"/>
      <c r="K8416" t="s">
        <v>585</v>
      </c>
      <c r="L8416" s="21" t="s">
        <v>114</v>
      </c>
      <c r="M8416" s="21"/>
      <c r="N8416" s="21" t="s">
        <v>40</v>
      </c>
      <c r="O8416" s="21">
        <v>41</v>
      </c>
      <c r="P8416" s="21"/>
      <c r="Q8416" s="21">
        <f t="shared" si="169"/>
        <v>2</v>
      </c>
      <c r="R8416" s="21">
        <v>1</v>
      </c>
      <c r="S8416" s="21">
        <v>0</v>
      </c>
      <c r="T8416" s="21">
        <v>0</v>
      </c>
      <c r="U8416" s="21">
        <v>1</v>
      </c>
      <c r="V8416" s="21">
        <v>1</v>
      </c>
      <c r="W8416" s="21">
        <v>0</v>
      </c>
      <c r="X8416" s="21">
        <v>0</v>
      </c>
      <c r="Y8416" s="21">
        <v>0</v>
      </c>
      <c r="Z8416" s="21">
        <v>0</v>
      </c>
      <c r="AA8416" s="21">
        <v>0</v>
      </c>
      <c r="AB8416" s="21">
        <v>0</v>
      </c>
      <c r="AC8416" s="21">
        <v>0</v>
      </c>
      <c r="AD8416" s="21">
        <v>0</v>
      </c>
      <c r="AE8416" s="21">
        <v>0</v>
      </c>
      <c r="AF8416" s="21">
        <v>0</v>
      </c>
      <c r="AG8416" s="21">
        <v>0</v>
      </c>
      <c r="AH8416" s="21">
        <f t="shared" si="170"/>
        <v>96</v>
      </c>
      <c r="AI8416" s="21"/>
      <c r="AJ8416" s="21" t="s">
        <v>54</v>
      </c>
      <c r="AK8416" s="21" t="s">
        <v>95</v>
      </c>
      <c r="AL8416" s="21"/>
      <c r="AM8416" s="21" t="s">
        <v>4928</v>
      </c>
      <c r="AN8416" s="21">
        <v>-122.419466016667</v>
      </c>
      <c r="AO8416" s="21">
        <v>37.797212350000002</v>
      </c>
      <c r="AP8416" s="21" t="s">
        <v>951</v>
      </c>
    </row>
    <row r="8417" spans="1:42">
      <c r="A8417" s="20">
        <v>43858</v>
      </c>
      <c r="B8417" s="21">
        <v>2</v>
      </c>
      <c r="C8417" s="21">
        <v>217</v>
      </c>
      <c r="D8417" s="21">
        <v>14443</v>
      </c>
      <c r="E8417" s="21"/>
      <c r="F8417" s="21" t="s">
        <v>104</v>
      </c>
      <c r="G8417" s="21">
        <v>2</v>
      </c>
      <c r="H8417" s="21">
        <v>127</v>
      </c>
      <c r="I8417" s="23" t="s">
        <v>4929</v>
      </c>
      <c r="J8417" s="21"/>
      <c r="K8417" s="21" t="s">
        <v>4930</v>
      </c>
      <c r="L8417" s="21" t="s">
        <v>114</v>
      </c>
      <c r="M8417" s="21"/>
      <c r="N8417" s="21" t="s">
        <v>40</v>
      </c>
      <c r="O8417" s="21">
        <v>20</v>
      </c>
      <c r="P8417" s="21"/>
      <c r="Q8417" s="21">
        <f t="shared" si="169"/>
        <v>1</v>
      </c>
      <c r="R8417" s="21">
        <v>1</v>
      </c>
      <c r="S8417" s="21">
        <v>0</v>
      </c>
      <c r="T8417" s="21">
        <v>0</v>
      </c>
      <c r="U8417" s="21">
        <v>0</v>
      </c>
      <c r="V8417" s="21">
        <v>1</v>
      </c>
      <c r="W8417" s="21">
        <v>0</v>
      </c>
      <c r="X8417" s="21">
        <v>0</v>
      </c>
      <c r="Y8417" s="21">
        <v>0</v>
      </c>
      <c r="Z8417" s="21">
        <v>0</v>
      </c>
      <c r="AA8417" s="21">
        <v>0</v>
      </c>
      <c r="AB8417" s="21">
        <v>0</v>
      </c>
      <c r="AC8417" s="21">
        <v>0</v>
      </c>
      <c r="AD8417" s="21">
        <v>0</v>
      </c>
      <c r="AE8417" s="21">
        <v>0</v>
      </c>
      <c r="AF8417" s="21">
        <v>0</v>
      </c>
      <c r="AG8417" s="21">
        <v>0</v>
      </c>
      <c r="AH8417" s="21">
        <f t="shared" si="170"/>
        <v>64</v>
      </c>
      <c r="AI8417" s="21"/>
      <c r="AJ8417" s="21" t="s">
        <v>51</v>
      </c>
      <c r="AK8417" s="21" t="s">
        <v>95</v>
      </c>
      <c r="AL8417" s="21"/>
      <c r="AM8417" s="21" t="s">
        <v>4931</v>
      </c>
      <c r="AN8417" s="21">
        <v>-122.4195509</v>
      </c>
      <c r="AO8417" s="21">
        <v>37.7975857333333</v>
      </c>
      <c r="AP8417" s="21" t="s">
        <v>951</v>
      </c>
    </row>
    <row r="8418" spans="1:42">
      <c r="A8418" s="20">
        <v>43858</v>
      </c>
      <c r="B8418" s="21">
        <v>2</v>
      </c>
      <c r="C8418" s="21">
        <v>217</v>
      </c>
      <c r="D8418" s="21">
        <v>14443</v>
      </c>
      <c r="E8418" s="21"/>
      <c r="F8418" s="21" t="s">
        <v>104</v>
      </c>
      <c r="G8418" s="21">
        <v>2</v>
      </c>
      <c r="H8418" s="21">
        <v>128</v>
      </c>
      <c r="I8418" s="23" t="s">
        <v>4588</v>
      </c>
      <c r="J8418" s="21"/>
      <c r="K8418" s="21" t="s">
        <v>4930</v>
      </c>
      <c r="L8418" s="21" t="s">
        <v>114</v>
      </c>
      <c r="M8418" s="21"/>
      <c r="N8418" s="21" t="s">
        <v>40</v>
      </c>
      <c r="O8418" s="21">
        <v>28</v>
      </c>
      <c r="P8418" s="21"/>
      <c r="Q8418" s="21">
        <f t="shared" si="169"/>
        <v>2</v>
      </c>
      <c r="R8418" s="21">
        <v>1</v>
      </c>
      <c r="S8418" s="21">
        <v>0</v>
      </c>
      <c r="T8418" s="21">
        <v>0</v>
      </c>
      <c r="U8418" s="21">
        <v>2</v>
      </c>
      <c r="V8418" s="21">
        <v>0</v>
      </c>
      <c r="W8418" s="21">
        <v>0</v>
      </c>
      <c r="X8418" s="21">
        <v>0</v>
      </c>
      <c r="Y8418" s="21">
        <v>0</v>
      </c>
      <c r="Z8418" s="21">
        <v>0</v>
      </c>
      <c r="AA8418" s="21">
        <v>0</v>
      </c>
      <c r="AB8418" s="21">
        <v>0</v>
      </c>
      <c r="AC8418" s="21">
        <v>0</v>
      </c>
      <c r="AD8418" s="21">
        <v>0</v>
      </c>
      <c r="AE8418" s="21">
        <v>0</v>
      </c>
      <c r="AF8418" s="21">
        <v>0</v>
      </c>
      <c r="AG8418" s="21">
        <v>0</v>
      </c>
      <c r="AH8418" s="21">
        <f t="shared" si="170"/>
        <v>64</v>
      </c>
      <c r="AI8418" s="21"/>
      <c r="AJ8418" s="21" t="s">
        <v>51</v>
      </c>
      <c r="AK8418" s="21" t="s">
        <v>95</v>
      </c>
      <c r="AL8418" s="21"/>
      <c r="AM8418" s="21" t="s">
        <v>4932</v>
      </c>
      <c r="AN8418" s="21">
        <v>-122.41970626666701</v>
      </c>
      <c r="AO8418" s="21">
        <v>37.797733999999998</v>
      </c>
      <c r="AP8418" s="21" t="s">
        <v>951</v>
      </c>
    </row>
    <row r="8419" spans="1:42">
      <c r="A8419" s="20">
        <v>43858</v>
      </c>
      <c r="B8419" s="21">
        <v>2</v>
      </c>
      <c r="C8419" s="21">
        <v>217</v>
      </c>
      <c r="D8419" s="21">
        <v>14443</v>
      </c>
      <c r="E8419" s="21"/>
      <c r="F8419" s="21" t="s">
        <v>104</v>
      </c>
      <c r="G8419" s="21">
        <v>2</v>
      </c>
      <c r="H8419" s="21">
        <v>129</v>
      </c>
      <c r="I8419" s="23" t="s">
        <v>4933</v>
      </c>
      <c r="J8419" s="21"/>
      <c r="K8419" s="21" t="s">
        <v>4930</v>
      </c>
      <c r="L8419" s="21" t="s">
        <v>141</v>
      </c>
      <c r="M8419" s="21" t="s">
        <v>95</v>
      </c>
      <c r="N8419" s="21" t="s">
        <v>40</v>
      </c>
      <c r="O8419" s="21"/>
      <c r="P8419" s="21">
        <v>132</v>
      </c>
      <c r="Q8419" s="21">
        <f t="shared" si="169"/>
        <v>7</v>
      </c>
      <c r="R8419" s="21">
        <v>1</v>
      </c>
      <c r="S8419" s="21">
        <v>2</v>
      </c>
      <c r="T8419" s="21">
        <v>1</v>
      </c>
      <c r="U8419" s="21">
        <v>2</v>
      </c>
      <c r="V8419" s="21">
        <v>1</v>
      </c>
      <c r="W8419" s="21">
        <v>1</v>
      </c>
      <c r="X8419" s="21">
        <v>0</v>
      </c>
      <c r="Y8419" s="21">
        <v>0</v>
      </c>
      <c r="Z8419" s="21">
        <v>0</v>
      </c>
      <c r="AA8419" s="21">
        <v>0</v>
      </c>
      <c r="AB8419" s="21">
        <v>0</v>
      </c>
      <c r="AC8419" s="21">
        <v>0</v>
      </c>
      <c r="AD8419" s="21">
        <v>0</v>
      </c>
      <c r="AE8419" s="21">
        <v>0</v>
      </c>
      <c r="AF8419" s="21">
        <v>0</v>
      </c>
      <c r="AG8419" s="21">
        <v>0</v>
      </c>
      <c r="AH8419" s="21">
        <f t="shared" si="170"/>
        <v>276</v>
      </c>
      <c r="AI8419" s="21"/>
      <c r="AJ8419" s="21" t="s">
        <v>51</v>
      </c>
      <c r="AK8419" s="21" t="s">
        <v>95</v>
      </c>
      <c r="AL8419" s="21"/>
      <c r="AM8419" s="21" t="s">
        <v>4934</v>
      </c>
      <c r="AN8419" s="21">
        <v>-122.419757983333</v>
      </c>
      <c r="AO8419" s="21">
        <v>37.797749083333301</v>
      </c>
      <c r="AP8419" s="21" t="s">
        <v>951</v>
      </c>
    </row>
    <row r="8420" spans="1:42">
      <c r="A8420" s="20">
        <v>43858</v>
      </c>
      <c r="B8420" s="21">
        <v>2</v>
      </c>
      <c r="C8420" s="21">
        <v>217</v>
      </c>
      <c r="D8420" s="21">
        <v>14443</v>
      </c>
      <c r="E8420" s="21"/>
      <c r="F8420" s="21" t="s">
        <v>104</v>
      </c>
      <c r="G8420" s="21">
        <v>2</v>
      </c>
      <c r="H8420" s="21">
        <v>130</v>
      </c>
      <c r="I8420" s="23" t="s">
        <v>4935</v>
      </c>
      <c r="J8420" s="21"/>
      <c r="K8420" s="21" t="s">
        <v>4930</v>
      </c>
      <c r="L8420" s="21"/>
      <c r="M8420" s="21"/>
      <c r="N8420" s="21" t="s">
        <v>44</v>
      </c>
      <c r="O8420" s="21">
        <v>110</v>
      </c>
      <c r="P8420" s="21"/>
      <c r="Q8420" s="21">
        <f t="shared" si="169"/>
        <v>2</v>
      </c>
      <c r="R8420" s="21">
        <v>1</v>
      </c>
      <c r="S8420" s="21">
        <v>0</v>
      </c>
      <c r="T8420" s="21">
        <v>0</v>
      </c>
      <c r="U8420" s="21">
        <v>1</v>
      </c>
      <c r="V8420" s="21">
        <v>1</v>
      </c>
      <c r="W8420" s="21">
        <v>0</v>
      </c>
      <c r="X8420" s="21">
        <v>0</v>
      </c>
      <c r="Y8420" s="21">
        <v>0</v>
      </c>
      <c r="Z8420" s="21">
        <v>0</v>
      </c>
      <c r="AA8420" s="21">
        <v>0</v>
      </c>
      <c r="AB8420" s="21">
        <v>0</v>
      </c>
      <c r="AC8420" s="21">
        <v>0</v>
      </c>
      <c r="AD8420" s="21">
        <v>0</v>
      </c>
      <c r="AE8420" s="21">
        <v>0</v>
      </c>
      <c r="AF8420" s="21">
        <v>0</v>
      </c>
      <c r="AG8420" s="21">
        <v>0</v>
      </c>
      <c r="AH8420" s="21">
        <f t="shared" si="170"/>
        <v>96</v>
      </c>
      <c r="AI8420" s="21"/>
      <c r="AJ8420" s="21" t="s">
        <v>51</v>
      </c>
      <c r="AK8420" s="21" t="s">
        <v>95</v>
      </c>
      <c r="AL8420" s="21" t="s">
        <v>4936</v>
      </c>
      <c r="AM8420" s="21" t="s">
        <v>4937</v>
      </c>
      <c r="AN8420" s="21">
        <v>-122.419609116667</v>
      </c>
      <c r="AO8420" s="21">
        <v>37.797538799999998</v>
      </c>
      <c r="AP8420" s="21" t="s">
        <v>951</v>
      </c>
    </row>
    <row r="8421" spans="1:42">
      <c r="A8421" s="20">
        <v>43858</v>
      </c>
      <c r="B8421" s="21">
        <v>2</v>
      </c>
      <c r="C8421" s="21">
        <v>217</v>
      </c>
      <c r="D8421" s="21">
        <v>14443</v>
      </c>
      <c r="E8421" s="21"/>
      <c r="F8421" s="21" t="s">
        <v>104</v>
      </c>
      <c r="G8421" s="21">
        <v>2</v>
      </c>
      <c r="H8421" s="21">
        <v>131</v>
      </c>
      <c r="I8421" s="23" t="s">
        <v>4938</v>
      </c>
      <c r="J8421" s="21"/>
      <c r="K8421" s="21" t="s">
        <v>4930</v>
      </c>
      <c r="L8421" s="21" t="s">
        <v>141</v>
      </c>
      <c r="M8421" s="21"/>
      <c r="N8421" s="21" t="s">
        <v>40</v>
      </c>
      <c r="O8421" s="21">
        <v>37</v>
      </c>
      <c r="P8421" s="21"/>
      <c r="Q8421" s="21">
        <f t="shared" si="169"/>
        <v>2</v>
      </c>
      <c r="R8421" s="21">
        <v>1</v>
      </c>
      <c r="S8421" s="21">
        <v>0</v>
      </c>
      <c r="T8421" s="21">
        <v>0</v>
      </c>
      <c r="U8421" s="21">
        <v>2</v>
      </c>
      <c r="V8421" s="21">
        <v>0</v>
      </c>
      <c r="W8421" s="21">
        <v>0</v>
      </c>
      <c r="X8421" s="21">
        <v>0</v>
      </c>
      <c r="Y8421" s="21">
        <v>0</v>
      </c>
      <c r="Z8421" s="21">
        <v>0</v>
      </c>
      <c r="AA8421" s="21">
        <v>0</v>
      </c>
      <c r="AB8421" s="21">
        <v>0</v>
      </c>
      <c r="AC8421" s="21">
        <v>0</v>
      </c>
      <c r="AD8421" s="21">
        <v>0</v>
      </c>
      <c r="AE8421" s="21">
        <v>0</v>
      </c>
      <c r="AF8421" s="21">
        <v>0</v>
      </c>
      <c r="AG8421" s="21">
        <v>0</v>
      </c>
      <c r="AH8421" s="21">
        <f t="shared" si="170"/>
        <v>64</v>
      </c>
      <c r="AI8421" s="21"/>
      <c r="AJ8421" s="21" t="s">
        <v>51</v>
      </c>
      <c r="AK8421" s="21" t="s">
        <v>95</v>
      </c>
      <c r="AL8421" s="21"/>
      <c r="AM8421" s="21" t="s">
        <v>4939</v>
      </c>
      <c r="AN8421" s="21">
        <v>-122.41959723333299</v>
      </c>
      <c r="AO8421" s="21">
        <v>37.797546633333297</v>
      </c>
      <c r="AP8421" s="21" t="s">
        <v>951</v>
      </c>
    </row>
    <row r="8422" spans="1:42">
      <c r="A8422" s="20">
        <v>43858</v>
      </c>
      <c r="B8422" s="21">
        <v>2</v>
      </c>
      <c r="C8422" s="21">
        <v>217</v>
      </c>
      <c r="D8422" s="21">
        <v>14443</v>
      </c>
      <c r="E8422" s="21"/>
      <c r="F8422" s="21" t="s">
        <v>104</v>
      </c>
      <c r="G8422" s="21">
        <v>2</v>
      </c>
      <c r="H8422" s="21">
        <v>132</v>
      </c>
      <c r="I8422" s="23" t="s">
        <v>2460</v>
      </c>
      <c r="J8422" s="21"/>
      <c r="K8422" s="21" t="s">
        <v>4930</v>
      </c>
      <c r="L8422" s="21"/>
      <c r="M8422" s="21"/>
      <c r="N8422" s="21" t="s">
        <v>44</v>
      </c>
      <c r="O8422" s="21">
        <v>68</v>
      </c>
      <c r="P8422" s="21"/>
      <c r="Q8422" s="21">
        <f t="shared" si="169"/>
        <v>1</v>
      </c>
      <c r="R8422" s="21">
        <v>1</v>
      </c>
      <c r="S8422" s="21">
        <v>0</v>
      </c>
      <c r="T8422" s="21">
        <v>0</v>
      </c>
      <c r="U8422" s="21">
        <v>1</v>
      </c>
      <c r="V8422" s="21">
        <v>0</v>
      </c>
      <c r="W8422" s="21">
        <v>0</v>
      </c>
      <c r="X8422" s="21">
        <v>0</v>
      </c>
      <c r="Y8422" s="21">
        <v>0</v>
      </c>
      <c r="Z8422" s="21">
        <v>0</v>
      </c>
      <c r="AA8422" s="21">
        <v>0</v>
      </c>
      <c r="AB8422" s="21">
        <v>0</v>
      </c>
      <c r="AC8422" s="21">
        <v>0</v>
      </c>
      <c r="AD8422" s="21">
        <v>0</v>
      </c>
      <c r="AE8422" s="21">
        <v>0</v>
      </c>
      <c r="AF8422" s="21">
        <v>0</v>
      </c>
      <c r="AG8422" s="21">
        <v>0</v>
      </c>
      <c r="AH8422" s="21">
        <f t="shared" si="170"/>
        <v>32</v>
      </c>
      <c r="AI8422" s="21"/>
      <c r="AJ8422" s="21" t="s">
        <v>51</v>
      </c>
      <c r="AK8422" s="21" t="s">
        <v>95</v>
      </c>
      <c r="AL8422" s="21" t="s">
        <v>4940</v>
      </c>
      <c r="AM8422" s="21" t="s">
        <v>4941</v>
      </c>
      <c r="AN8422" s="21">
        <v>-122.41950421666699</v>
      </c>
      <c r="AO8422" s="21">
        <v>37.797408583333301</v>
      </c>
      <c r="AP8422" s="21" t="s">
        <v>951</v>
      </c>
    </row>
    <row r="8423" spans="1:42">
      <c r="A8423" s="20">
        <v>43858</v>
      </c>
      <c r="B8423" s="21">
        <v>2</v>
      </c>
      <c r="C8423" s="21">
        <v>217</v>
      </c>
      <c r="D8423" s="21">
        <v>14443</v>
      </c>
      <c r="E8423" s="21"/>
      <c r="F8423" s="21" t="s">
        <v>104</v>
      </c>
      <c r="G8423" s="21">
        <v>2</v>
      </c>
      <c r="H8423" s="21">
        <v>133</v>
      </c>
      <c r="I8423" s="23" t="s">
        <v>4824</v>
      </c>
      <c r="J8423" s="21"/>
      <c r="K8423" t="s">
        <v>585</v>
      </c>
      <c r="L8423" s="21" t="s">
        <v>114</v>
      </c>
      <c r="M8423" s="21"/>
      <c r="N8423" s="21" t="s">
        <v>42</v>
      </c>
      <c r="O8423" s="21">
        <v>90</v>
      </c>
      <c r="P8423" s="21"/>
      <c r="Q8423" s="21">
        <f t="shared" si="169"/>
        <v>2</v>
      </c>
      <c r="R8423" s="21">
        <v>1</v>
      </c>
      <c r="S8423" s="21">
        <v>0</v>
      </c>
      <c r="T8423" s="21">
        <v>0</v>
      </c>
      <c r="U8423" s="21">
        <v>0</v>
      </c>
      <c r="V8423" s="21">
        <v>1</v>
      </c>
      <c r="W8423" s="21">
        <v>1</v>
      </c>
      <c r="X8423" s="21">
        <v>0</v>
      </c>
      <c r="Y8423" s="21">
        <v>0</v>
      </c>
      <c r="Z8423" s="21">
        <v>0</v>
      </c>
      <c r="AA8423" s="21">
        <v>0</v>
      </c>
      <c r="AB8423" s="21">
        <v>0</v>
      </c>
      <c r="AC8423" s="21">
        <v>0</v>
      </c>
      <c r="AD8423" s="21">
        <v>0</v>
      </c>
      <c r="AE8423" s="21">
        <v>0</v>
      </c>
      <c r="AF8423" s="21">
        <v>0</v>
      </c>
      <c r="AG8423" s="21">
        <v>0</v>
      </c>
      <c r="AH8423" s="21">
        <f t="shared" si="170"/>
        <v>160</v>
      </c>
      <c r="AI8423" s="21"/>
      <c r="AJ8423" s="21" t="s">
        <v>51</v>
      </c>
      <c r="AK8423" s="21" t="s">
        <v>95</v>
      </c>
      <c r="AL8423" s="21" t="s">
        <v>4942</v>
      </c>
      <c r="AM8423" s="21" t="s">
        <v>4943</v>
      </c>
      <c r="AN8423" s="21">
        <v>-122.419520616667</v>
      </c>
      <c r="AO8423" s="21">
        <v>37.797336450000003</v>
      </c>
      <c r="AP8423" s="21" t="s">
        <v>951</v>
      </c>
    </row>
    <row r="8424" spans="1:42">
      <c r="A8424" s="20">
        <v>43858</v>
      </c>
      <c r="B8424" s="21">
        <v>2</v>
      </c>
      <c r="C8424" s="21">
        <v>217</v>
      </c>
      <c r="D8424" s="21">
        <v>14443</v>
      </c>
      <c r="E8424" s="21"/>
      <c r="F8424" s="21" t="s">
        <v>104</v>
      </c>
      <c r="G8424" s="21">
        <v>2</v>
      </c>
      <c r="H8424" s="21">
        <v>134</v>
      </c>
      <c r="I8424" s="23" t="s">
        <v>4944</v>
      </c>
      <c r="J8424" s="21"/>
      <c r="K8424" t="s">
        <v>585</v>
      </c>
      <c r="L8424" s="21" t="s">
        <v>114</v>
      </c>
      <c r="M8424" s="21"/>
      <c r="N8424" s="21" t="s">
        <v>40</v>
      </c>
      <c r="O8424" s="21">
        <v>36</v>
      </c>
      <c r="P8424" s="21"/>
      <c r="Q8424" s="21">
        <f t="shared" si="169"/>
        <v>2</v>
      </c>
      <c r="R8424" s="21">
        <v>1</v>
      </c>
      <c r="S8424" s="21">
        <v>1</v>
      </c>
      <c r="T8424" s="21">
        <v>0</v>
      </c>
      <c r="U8424" s="21">
        <v>1</v>
      </c>
      <c r="V8424" s="21">
        <v>0</v>
      </c>
      <c r="W8424" s="21">
        <v>0</v>
      </c>
      <c r="X8424" s="21">
        <v>0</v>
      </c>
      <c r="Y8424" s="21">
        <v>0</v>
      </c>
      <c r="Z8424" s="21">
        <v>0</v>
      </c>
      <c r="AA8424" s="21">
        <v>0</v>
      </c>
      <c r="AB8424" s="21">
        <v>0</v>
      </c>
      <c r="AC8424" s="21">
        <v>0</v>
      </c>
      <c r="AD8424" s="21">
        <v>0</v>
      </c>
      <c r="AE8424" s="21">
        <v>0</v>
      </c>
      <c r="AF8424" s="21">
        <v>0</v>
      </c>
      <c r="AG8424" s="21">
        <v>0</v>
      </c>
      <c r="AH8424" s="21">
        <f t="shared" si="170"/>
        <v>48</v>
      </c>
      <c r="AI8424" s="21"/>
      <c r="AJ8424" s="21" t="s">
        <v>51</v>
      </c>
      <c r="AK8424" s="21" t="s">
        <v>52</v>
      </c>
      <c r="AL8424" s="21"/>
      <c r="AM8424" s="21" t="s">
        <v>4945</v>
      </c>
      <c r="AN8424" s="21">
        <v>-122.419869533333</v>
      </c>
      <c r="AO8424" s="21">
        <v>37.797163349999998</v>
      </c>
      <c r="AP8424" s="21" t="s">
        <v>951</v>
      </c>
    </row>
    <row r="8425" spans="1:42">
      <c r="A8425" s="20">
        <v>43858</v>
      </c>
      <c r="B8425" s="21">
        <v>2</v>
      </c>
      <c r="C8425" s="21">
        <v>217</v>
      </c>
      <c r="D8425" s="21">
        <v>14443</v>
      </c>
      <c r="E8425" s="21"/>
      <c r="F8425" s="21" t="s">
        <v>104</v>
      </c>
      <c r="G8425" s="21">
        <v>2</v>
      </c>
      <c r="H8425" s="21">
        <v>135</v>
      </c>
      <c r="I8425" s="23" t="s">
        <v>4946</v>
      </c>
      <c r="J8425" s="21"/>
      <c r="K8425" t="s">
        <v>585</v>
      </c>
      <c r="L8425" s="21" t="s">
        <v>114</v>
      </c>
      <c r="M8425" s="21"/>
      <c r="N8425" s="21" t="s">
        <v>40</v>
      </c>
      <c r="O8425" s="21">
        <v>61</v>
      </c>
      <c r="P8425" s="21"/>
      <c r="Q8425" s="21">
        <f t="shared" si="169"/>
        <v>3</v>
      </c>
      <c r="R8425" s="21">
        <v>1</v>
      </c>
      <c r="S8425" s="21">
        <v>0</v>
      </c>
      <c r="T8425" s="21">
        <v>1</v>
      </c>
      <c r="U8425" s="21">
        <v>2</v>
      </c>
      <c r="V8425" s="21">
        <v>0</v>
      </c>
      <c r="W8425" s="21">
        <v>0</v>
      </c>
      <c r="X8425" s="21">
        <v>0</v>
      </c>
      <c r="Y8425" s="21">
        <v>0</v>
      </c>
      <c r="Z8425" s="21">
        <v>0</v>
      </c>
      <c r="AA8425" s="21">
        <v>0</v>
      </c>
      <c r="AB8425" s="21">
        <v>0</v>
      </c>
      <c r="AC8425" s="21">
        <v>0</v>
      </c>
      <c r="AD8425" s="21">
        <v>0</v>
      </c>
      <c r="AE8425" s="21">
        <v>0</v>
      </c>
      <c r="AF8425" s="21">
        <v>0</v>
      </c>
      <c r="AG8425" s="21">
        <v>0</v>
      </c>
      <c r="AH8425" s="21">
        <f t="shared" si="170"/>
        <v>84</v>
      </c>
      <c r="AI8425" s="21"/>
      <c r="AJ8425" s="21" t="s">
        <v>51</v>
      </c>
      <c r="AK8425" s="21" t="s">
        <v>52</v>
      </c>
      <c r="AL8425" s="21"/>
      <c r="AM8425" s="21" t="s">
        <v>4947</v>
      </c>
      <c r="AN8425" s="21">
        <v>-122.42020688333299</v>
      </c>
      <c r="AO8425" s="21">
        <v>37.797112883333298</v>
      </c>
      <c r="AP8425" s="21" t="s">
        <v>951</v>
      </c>
    </row>
    <row r="8426" spans="1:42">
      <c r="A8426" s="20">
        <v>43858</v>
      </c>
      <c r="B8426" s="21">
        <v>2</v>
      </c>
      <c r="C8426" s="21">
        <v>217</v>
      </c>
      <c r="D8426" s="21">
        <v>14443</v>
      </c>
      <c r="E8426" s="21"/>
      <c r="F8426" s="21" t="s">
        <v>104</v>
      </c>
      <c r="G8426" s="21">
        <v>2</v>
      </c>
      <c r="H8426" s="21">
        <v>136</v>
      </c>
      <c r="I8426" s="23" t="s">
        <v>2460</v>
      </c>
      <c r="J8426" s="21"/>
      <c r="K8426" s="21" t="s">
        <v>156</v>
      </c>
      <c r="L8426" s="21" t="s">
        <v>114</v>
      </c>
      <c r="M8426" s="21"/>
      <c r="N8426" s="21" t="s">
        <v>40</v>
      </c>
      <c r="O8426" s="21">
        <v>110</v>
      </c>
      <c r="P8426" s="21"/>
      <c r="Q8426" s="21">
        <f t="shared" si="169"/>
        <v>5</v>
      </c>
      <c r="R8426" s="21">
        <v>1</v>
      </c>
      <c r="S8426" s="21">
        <v>0</v>
      </c>
      <c r="T8426" s="21">
        <v>0</v>
      </c>
      <c r="U8426" s="21">
        <v>5</v>
      </c>
      <c r="V8426" s="21">
        <v>0</v>
      </c>
      <c r="W8426" s="21">
        <v>0</v>
      </c>
      <c r="X8426" s="21">
        <v>0</v>
      </c>
      <c r="Y8426" s="21">
        <v>0</v>
      </c>
      <c r="Z8426" s="21">
        <v>0</v>
      </c>
      <c r="AA8426" s="21">
        <v>0</v>
      </c>
      <c r="AB8426" s="21">
        <v>0</v>
      </c>
      <c r="AC8426" s="21">
        <v>0</v>
      </c>
      <c r="AD8426" s="21">
        <v>0</v>
      </c>
      <c r="AE8426" s="21">
        <v>0</v>
      </c>
      <c r="AF8426" s="21">
        <v>0</v>
      </c>
      <c r="AG8426" s="21">
        <v>0</v>
      </c>
      <c r="AH8426" s="21">
        <f t="shared" si="170"/>
        <v>160</v>
      </c>
      <c r="AI8426" s="21"/>
      <c r="AJ8426" s="21" t="s">
        <v>54</v>
      </c>
      <c r="AK8426" s="21" t="s">
        <v>52</v>
      </c>
      <c r="AL8426" s="21"/>
      <c r="AM8426" s="21" t="s">
        <v>4948</v>
      </c>
      <c r="AN8426" s="21">
        <v>-122.421595866667</v>
      </c>
      <c r="AO8426" s="21">
        <v>37.799076133333301</v>
      </c>
      <c r="AP8426" s="21" t="s">
        <v>951</v>
      </c>
    </row>
    <row r="8427" spans="1:42">
      <c r="A8427" s="20">
        <v>43858</v>
      </c>
      <c r="B8427" s="21">
        <v>2</v>
      </c>
      <c r="C8427" s="21">
        <v>217</v>
      </c>
      <c r="D8427" s="21">
        <v>14443</v>
      </c>
      <c r="E8427" s="21"/>
      <c r="F8427" s="21" t="s">
        <v>104</v>
      </c>
      <c r="G8427" s="21">
        <v>2</v>
      </c>
      <c r="H8427" s="21">
        <v>137</v>
      </c>
      <c r="I8427" s="23" t="s">
        <v>4949</v>
      </c>
      <c r="J8427" s="21"/>
      <c r="K8427" s="21" t="s">
        <v>156</v>
      </c>
      <c r="L8427" s="21" t="s">
        <v>114</v>
      </c>
      <c r="M8427" s="21"/>
      <c r="N8427" s="21" t="s">
        <v>40</v>
      </c>
      <c r="O8427" s="21">
        <v>57</v>
      </c>
      <c r="P8427" s="21"/>
      <c r="Q8427" s="21">
        <f t="shared" si="169"/>
        <v>3</v>
      </c>
      <c r="R8427" s="21">
        <v>1</v>
      </c>
      <c r="S8427" s="21">
        <v>0</v>
      </c>
      <c r="T8427" s="21">
        <v>0</v>
      </c>
      <c r="U8427" s="21">
        <v>3</v>
      </c>
      <c r="V8427" s="21">
        <v>0</v>
      </c>
      <c r="W8427" s="21">
        <v>0</v>
      </c>
      <c r="X8427" s="21">
        <v>0</v>
      </c>
      <c r="Y8427" s="21">
        <v>0</v>
      </c>
      <c r="Z8427" s="21">
        <v>0</v>
      </c>
      <c r="AA8427" s="21">
        <v>0</v>
      </c>
      <c r="AB8427" s="21">
        <v>0</v>
      </c>
      <c r="AC8427" s="21">
        <v>0</v>
      </c>
      <c r="AD8427" s="21">
        <v>0</v>
      </c>
      <c r="AE8427" s="21">
        <v>0</v>
      </c>
      <c r="AF8427" s="21">
        <v>0</v>
      </c>
      <c r="AG8427" s="21">
        <v>0</v>
      </c>
      <c r="AH8427" s="21">
        <f t="shared" si="170"/>
        <v>96</v>
      </c>
      <c r="AI8427" s="21"/>
      <c r="AJ8427" s="21" t="s">
        <v>54</v>
      </c>
      <c r="AK8427" s="21" t="s">
        <v>52</v>
      </c>
      <c r="AL8427" s="21"/>
      <c r="AM8427" s="21" t="s">
        <v>4950</v>
      </c>
      <c r="AN8427" s="21">
        <v>-122.42167373333299</v>
      </c>
      <c r="AO8427" s="21">
        <v>37.798941333333303</v>
      </c>
      <c r="AP8427" s="21" t="s">
        <v>951</v>
      </c>
    </row>
    <row r="8428" spans="1:42">
      <c r="A8428" s="20">
        <v>43858</v>
      </c>
      <c r="B8428" s="21">
        <v>2</v>
      </c>
      <c r="C8428" s="21">
        <v>217</v>
      </c>
      <c r="D8428" s="21">
        <v>14443</v>
      </c>
      <c r="E8428" s="21"/>
      <c r="F8428" s="21" t="s">
        <v>104</v>
      </c>
      <c r="G8428" s="21">
        <v>2</v>
      </c>
      <c r="H8428" s="21">
        <v>138</v>
      </c>
      <c r="I8428" s="23" t="s">
        <v>4832</v>
      </c>
      <c r="J8428" s="21"/>
      <c r="K8428" s="21" t="s">
        <v>156</v>
      </c>
      <c r="L8428" s="21"/>
      <c r="M8428" s="21"/>
      <c r="N8428" s="21" t="s">
        <v>44</v>
      </c>
      <c r="O8428" s="21">
        <v>118</v>
      </c>
      <c r="P8428" s="21"/>
      <c r="Q8428" s="21">
        <f t="shared" si="169"/>
        <v>1</v>
      </c>
      <c r="R8428" s="21">
        <v>1</v>
      </c>
      <c r="S8428" s="21">
        <v>0</v>
      </c>
      <c r="T8428" s="21">
        <v>0</v>
      </c>
      <c r="U8428" s="21">
        <v>0</v>
      </c>
      <c r="V8428" s="21">
        <v>1</v>
      </c>
      <c r="W8428" s="21">
        <v>0</v>
      </c>
      <c r="X8428" s="21">
        <v>0</v>
      </c>
      <c r="Y8428" s="21">
        <v>0</v>
      </c>
      <c r="Z8428" s="21">
        <v>0</v>
      </c>
      <c r="AA8428" s="21">
        <v>0</v>
      </c>
      <c r="AB8428" s="21">
        <v>0</v>
      </c>
      <c r="AC8428" s="21">
        <v>0</v>
      </c>
      <c r="AD8428" s="21">
        <v>0</v>
      </c>
      <c r="AE8428" s="21">
        <v>0</v>
      </c>
      <c r="AF8428" s="21">
        <v>0</v>
      </c>
      <c r="AG8428" s="21">
        <v>0</v>
      </c>
      <c r="AH8428" s="21">
        <f t="shared" si="170"/>
        <v>64</v>
      </c>
      <c r="AI8428" s="21"/>
      <c r="AJ8428" s="21" t="s">
        <v>54</v>
      </c>
      <c r="AK8428" s="21" t="s">
        <v>95</v>
      </c>
      <c r="AL8428" s="21" t="s">
        <v>4951</v>
      </c>
      <c r="AM8428" s="21" t="s">
        <v>4952</v>
      </c>
      <c r="AN8428" s="21">
        <v>-122.421935033333</v>
      </c>
      <c r="AO8428" s="21">
        <v>37.798906016666599</v>
      </c>
      <c r="AP8428" s="21" t="s">
        <v>951</v>
      </c>
    </row>
    <row r="8429" spans="1:42">
      <c r="A8429" s="20">
        <v>43858</v>
      </c>
      <c r="B8429" s="21">
        <v>2</v>
      </c>
      <c r="C8429" s="21">
        <v>217</v>
      </c>
      <c r="D8429" s="21">
        <v>14443</v>
      </c>
      <c r="E8429" s="21"/>
      <c r="F8429" s="21" t="s">
        <v>104</v>
      </c>
      <c r="G8429" s="21">
        <v>2</v>
      </c>
      <c r="H8429" s="21">
        <v>139</v>
      </c>
      <c r="I8429" s="23" t="s">
        <v>4953</v>
      </c>
      <c r="J8429" s="21"/>
      <c r="K8429" s="21" t="s">
        <v>156</v>
      </c>
      <c r="L8429" s="21"/>
      <c r="M8429" s="21"/>
      <c r="N8429" s="21" t="s">
        <v>44</v>
      </c>
      <c r="O8429" s="21">
        <v>223</v>
      </c>
      <c r="P8429" s="21"/>
      <c r="Q8429" s="21">
        <f t="shared" si="169"/>
        <v>2</v>
      </c>
      <c r="R8429" s="21">
        <v>1</v>
      </c>
      <c r="S8429" s="21">
        <v>0</v>
      </c>
      <c r="T8429" s="21">
        <v>0</v>
      </c>
      <c r="U8429" s="21">
        <v>0</v>
      </c>
      <c r="V8429" s="21">
        <v>0</v>
      </c>
      <c r="W8429" s="21">
        <v>2</v>
      </c>
      <c r="X8429" s="21">
        <v>0</v>
      </c>
      <c r="Y8429" s="21">
        <v>0</v>
      </c>
      <c r="Z8429" s="21">
        <v>0</v>
      </c>
      <c r="AA8429" s="21">
        <v>0</v>
      </c>
      <c r="AB8429" s="21">
        <v>0</v>
      </c>
      <c r="AC8429" s="21">
        <v>0</v>
      </c>
      <c r="AD8429" s="21">
        <v>0</v>
      </c>
      <c r="AE8429" s="21">
        <v>0</v>
      </c>
      <c r="AF8429" s="21">
        <v>0</v>
      </c>
      <c r="AG8429" s="21">
        <v>0</v>
      </c>
      <c r="AH8429" s="21">
        <f t="shared" si="170"/>
        <v>192</v>
      </c>
      <c r="AI8429" s="21"/>
      <c r="AJ8429" s="21" t="s">
        <v>54</v>
      </c>
      <c r="AK8429" s="21" t="s">
        <v>52</v>
      </c>
      <c r="AL8429" s="21" t="s">
        <v>4954</v>
      </c>
      <c r="AM8429" s="21" t="s">
        <v>4955</v>
      </c>
      <c r="AN8429" s="21">
        <v>-122.422098666667</v>
      </c>
      <c r="AO8429" s="21">
        <v>37.798916333333302</v>
      </c>
      <c r="AP8429" s="21" t="s">
        <v>951</v>
      </c>
    </row>
    <row r="8430" spans="1:42">
      <c r="A8430" s="20">
        <v>43858</v>
      </c>
      <c r="B8430" s="21">
        <v>2</v>
      </c>
      <c r="C8430" s="21">
        <v>217</v>
      </c>
      <c r="D8430" s="21">
        <v>14443</v>
      </c>
      <c r="E8430" s="21"/>
      <c r="F8430" s="21" t="s">
        <v>104</v>
      </c>
      <c r="G8430" s="21">
        <v>2</v>
      </c>
      <c r="H8430" s="21">
        <v>140</v>
      </c>
      <c r="I8430" s="23" t="s">
        <v>4956</v>
      </c>
      <c r="J8430" s="21"/>
      <c r="K8430" s="21" t="s">
        <v>156</v>
      </c>
      <c r="L8430" s="21" t="s">
        <v>114</v>
      </c>
      <c r="M8430" s="21"/>
      <c r="N8430" s="21" t="s">
        <v>40</v>
      </c>
      <c r="O8430" s="21">
        <v>66</v>
      </c>
      <c r="P8430" s="21"/>
      <c r="Q8430" s="21">
        <f t="shared" si="169"/>
        <v>3</v>
      </c>
      <c r="R8430" s="21">
        <v>1</v>
      </c>
      <c r="S8430" s="21">
        <v>1</v>
      </c>
      <c r="T8430" s="21">
        <v>0</v>
      </c>
      <c r="U8430" s="21">
        <v>1</v>
      </c>
      <c r="V8430" s="21">
        <v>1</v>
      </c>
      <c r="W8430" s="21">
        <v>0</v>
      </c>
      <c r="X8430" s="21">
        <v>0</v>
      </c>
      <c r="Y8430" s="21">
        <v>0</v>
      </c>
      <c r="Z8430" s="21">
        <v>0</v>
      </c>
      <c r="AA8430" s="21">
        <v>0</v>
      </c>
      <c r="AB8430" s="21">
        <v>0</v>
      </c>
      <c r="AC8430" s="21">
        <v>0</v>
      </c>
      <c r="AD8430" s="21">
        <v>0</v>
      </c>
      <c r="AE8430" s="21">
        <v>0</v>
      </c>
      <c r="AF8430" s="21">
        <v>0</v>
      </c>
      <c r="AG8430" s="21">
        <v>0</v>
      </c>
      <c r="AH8430" s="21">
        <f t="shared" si="170"/>
        <v>112</v>
      </c>
      <c r="AI8430" s="21"/>
      <c r="AJ8430" s="21" t="s">
        <v>54</v>
      </c>
      <c r="AK8430" s="21" t="s">
        <v>95</v>
      </c>
      <c r="AL8430" s="21"/>
      <c r="AM8430" s="21" t="s">
        <v>4957</v>
      </c>
      <c r="AN8430" s="21">
        <v>-122.422771716667</v>
      </c>
      <c r="AO8430" s="21">
        <v>37.798690483333303</v>
      </c>
      <c r="AP8430" s="21" t="s">
        <v>951</v>
      </c>
    </row>
    <row r="8431" spans="1:42">
      <c r="A8431" s="20">
        <v>43858</v>
      </c>
      <c r="B8431" s="21">
        <v>2</v>
      </c>
      <c r="C8431" s="21">
        <v>217</v>
      </c>
      <c r="D8431" s="21">
        <v>14443</v>
      </c>
      <c r="E8431" s="21"/>
      <c r="F8431" s="21" t="s">
        <v>104</v>
      </c>
      <c r="G8431" s="21">
        <v>2</v>
      </c>
      <c r="H8431" s="21">
        <v>141</v>
      </c>
      <c r="I8431" s="23" t="s">
        <v>4958</v>
      </c>
      <c r="J8431" s="21"/>
      <c r="K8431" s="21" t="s">
        <v>4904</v>
      </c>
      <c r="L8431" s="21"/>
      <c r="M8431" s="21"/>
      <c r="N8431" s="21" t="s">
        <v>44</v>
      </c>
      <c r="O8431" s="21">
        <v>130</v>
      </c>
      <c r="P8431" s="21"/>
      <c r="Q8431" s="21">
        <f t="shared" si="169"/>
        <v>1</v>
      </c>
      <c r="R8431" s="21">
        <v>1</v>
      </c>
      <c r="S8431" s="21">
        <v>0</v>
      </c>
      <c r="T8431" s="21">
        <v>0</v>
      </c>
      <c r="U8431" s="21">
        <v>0</v>
      </c>
      <c r="V8431" s="21">
        <v>0</v>
      </c>
      <c r="W8431" s="21">
        <v>1</v>
      </c>
      <c r="X8431" s="21">
        <v>0</v>
      </c>
      <c r="Y8431" s="21">
        <v>0</v>
      </c>
      <c r="Z8431" s="21">
        <v>0</v>
      </c>
      <c r="AA8431" s="21">
        <v>0</v>
      </c>
      <c r="AB8431" s="21">
        <v>0</v>
      </c>
      <c r="AC8431" s="21">
        <v>0</v>
      </c>
      <c r="AD8431" s="21">
        <v>0</v>
      </c>
      <c r="AE8431" s="21">
        <v>0</v>
      </c>
      <c r="AF8431" s="21">
        <v>0</v>
      </c>
      <c r="AG8431" s="21">
        <v>0</v>
      </c>
      <c r="AH8431" s="21">
        <f t="shared" si="170"/>
        <v>96</v>
      </c>
      <c r="AI8431" s="21"/>
      <c r="AJ8431" s="21" t="s">
        <v>54</v>
      </c>
      <c r="AK8431" s="21" t="s">
        <v>95</v>
      </c>
      <c r="AL8431" s="21" t="s">
        <v>4959</v>
      </c>
      <c r="AM8431" s="21" t="s">
        <v>4960</v>
      </c>
      <c r="AN8431" s="21">
        <v>-122.422918616667</v>
      </c>
      <c r="AO8431" s="21">
        <v>37.798738583333297</v>
      </c>
      <c r="AP8431" s="21" t="s">
        <v>951</v>
      </c>
    </row>
    <row r="8432" spans="1:42">
      <c r="A8432" s="20">
        <v>43858</v>
      </c>
      <c r="B8432" s="21">
        <v>2</v>
      </c>
      <c r="C8432" s="21">
        <v>217</v>
      </c>
      <c r="D8432" s="21">
        <v>14443</v>
      </c>
      <c r="E8432" s="21"/>
      <c r="F8432" s="21" t="s">
        <v>104</v>
      </c>
      <c r="G8432" s="21">
        <v>2</v>
      </c>
      <c r="H8432" s="21">
        <v>142</v>
      </c>
      <c r="I8432" s="23" t="s">
        <v>3865</v>
      </c>
      <c r="J8432" s="21"/>
      <c r="K8432" s="21" t="s">
        <v>156</v>
      </c>
      <c r="L8432" s="21" t="s">
        <v>114</v>
      </c>
      <c r="M8432" s="21"/>
      <c r="N8432" s="21" t="s">
        <v>40</v>
      </c>
      <c r="O8432" s="21">
        <v>68</v>
      </c>
      <c r="P8432" s="21"/>
      <c r="Q8432" s="21">
        <f t="shared" si="169"/>
        <v>4</v>
      </c>
      <c r="R8432" s="21">
        <v>1</v>
      </c>
      <c r="S8432" s="21">
        <v>0</v>
      </c>
      <c r="T8432" s="21">
        <v>0</v>
      </c>
      <c r="U8432" s="21">
        <v>4</v>
      </c>
      <c r="V8432" s="21">
        <v>0</v>
      </c>
      <c r="W8432" s="21">
        <v>0</v>
      </c>
      <c r="X8432" s="21">
        <v>0</v>
      </c>
      <c r="Y8432" s="21">
        <v>0</v>
      </c>
      <c r="Z8432" s="21">
        <v>0</v>
      </c>
      <c r="AA8432" s="21">
        <v>0</v>
      </c>
      <c r="AB8432" s="21">
        <v>0</v>
      </c>
      <c r="AC8432" s="21">
        <v>0</v>
      </c>
      <c r="AD8432" s="21">
        <v>0</v>
      </c>
      <c r="AE8432" s="21">
        <v>0</v>
      </c>
      <c r="AF8432" s="21">
        <v>0</v>
      </c>
      <c r="AG8432" s="21">
        <v>0</v>
      </c>
      <c r="AH8432" s="21">
        <f t="shared" si="170"/>
        <v>128</v>
      </c>
      <c r="AI8432" s="21"/>
      <c r="AJ8432" s="21" t="s">
        <v>54</v>
      </c>
      <c r="AK8432" s="21" t="s">
        <v>95</v>
      </c>
      <c r="AL8432" s="21"/>
      <c r="AM8432" s="21" t="s">
        <v>4961</v>
      </c>
      <c r="AN8432" s="21">
        <v>-122.42294</v>
      </c>
      <c r="AO8432" s="21">
        <v>37.7987817666667</v>
      </c>
      <c r="AP8432" s="21" t="s">
        <v>951</v>
      </c>
    </row>
    <row r="8433" spans="1:42">
      <c r="A8433" s="20">
        <v>43858</v>
      </c>
      <c r="B8433" s="21">
        <v>2</v>
      </c>
      <c r="C8433" s="21">
        <v>217</v>
      </c>
      <c r="D8433" s="21">
        <v>14443</v>
      </c>
      <c r="E8433" s="21"/>
      <c r="F8433" s="21" t="s">
        <v>104</v>
      </c>
      <c r="G8433" s="21">
        <v>2</v>
      </c>
      <c r="H8433" s="21">
        <v>143</v>
      </c>
      <c r="I8433" s="23" t="s">
        <v>4962</v>
      </c>
      <c r="J8433" s="21"/>
      <c r="K8433" s="21" t="s">
        <v>156</v>
      </c>
      <c r="L8433" s="21" t="s">
        <v>114</v>
      </c>
      <c r="M8433" s="21"/>
      <c r="N8433" s="21" t="s">
        <v>40</v>
      </c>
      <c r="O8433" s="21">
        <v>41</v>
      </c>
      <c r="P8433" s="21"/>
      <c r="Q8433" s="21">
        <f t="shared" si="169"/>
        <v>2</v>
      </c>
      <c r="R8433" s="21">
        <v>1</v>
      </c>
      <c r="S8433" s="21">
        <v>0</v>
      </c>
      <c r="T8433" s="21">
        <v>0</v>
      </c>
      <c r="U8433" s="21">
        <v>2</v>
      </c>
      <c r="V8433" s="21">
        <v>0</v>
      </c>
      <c r="W8433" s="21">
        <v>0</v>
      </c>
      <c r="X8433" s="21">
        <v>0</v>
      </c>
      <c r="Y8433" s="21">
        <v>0</v>
      </c>
      <c r="Z8433" s="21">
        <v>0</v>
      </c>
      <c r="AA8433" s="21">
        <v>0</v>
      </c>
      <c r="AB8433" s="21">
        <v>0</v>
      </c>
      <c r="AC8433" s="21">
        <v>0</v>
      </c>
      <c r="AD8433" s="21">
        <v>0</v>
      </c>
      <c r="AE8433" s="21">
        <v>0</v>
      </c>
      <c r="AF8433" s="21">
        <v>0</v>
      </c>
      <c r="AG8433" s="21">
        <v>0</v>
      </c>
      <c r="AH8433" s="21">
        <f t="shared" si="170"/>
        <v>64</v>
      </c>
      <c r="AI8433" s="21"/>
      <c r="AJ8433" s="21" t="s">
        <v>54</v>
      </c>
      <c r="AK8433" s="21" t="s">
        <v>95</v>
      </c>
      <c r="AL8433" s="21"/>
      <c r="AM8433" s="21" t="s">
        <v>4963</v>
      </c>
      <c r="AN8433" s="21">
        <v>-122.423118383333</v>
      </c>
      <c r="AO8433" s="21">
        <v>37.798757783333301</v>
      </c>
      <c r="AP8433" s="21" t="s">
        <v>951</v>
      </c>
    </row>
    <row r="8434" spans="1:42">
      <c r="A8434" s="20">
        <v>43858</v>
      </c>
      <c r="B8434" s="21">
        <v>2</v>
      </c>
      <c r="C8434" s="21">
        <v>217</v>
      </c>
      <c r="D8434" s="21">
        <v>14443</v>
      </c>
      <c r="E8434" s="21"/>
      <c r="F8434" s="21" t="s">
        <v>104</v>
      </c>
      <c r="G8434" s="21">
        <v>2</v>
      </c>
      <c r="H8434" s="21">
        <v>144</v>
      </c>
      <c r="I8434" s="23" t="s">
        <v>3865</v>
      </c>
      <c r="J8434" s="21"/>
      <c r="K8434" s="21" t="s">
        <v>148</v>
      </c>
      <c r="L8434" s="21"/>
      <c r="M8434" s="21"/>
      <c r="N8434" s="21" t="s">
        <v>44</v>
      </c>
      <c r="O8434" s="21">
        <v>326</v>
      </c>
      <c r="P8434" s="21"/>
      <c r="Q8434" s="21">
        <f t="shared" si="169"/>
        <v>3</v>
      </c>
      <c r="R8434" s="21">
        <v>1</v>
      </c>
      <c r="S8434" s="21">
        <v>0</v>
      </c>
      <c r="T8434" s="21">
        <v>0</v>
      </c>
      <c r="U8434" s="21">
        <v>2</v>
      </c>
      <c r="V8434" s="21">
        <v>0</v>
      </c>
      <c r="W8434" s="21">
        <v>1</v>
      </c>
      <c r="X8434" s="21">
        <v>0</v>
      </c>
      <c r="Y8434" s="21">
        <v>0</v>
      </c>
      <c r="Z8434" s="21">
        <v>0</v>
      </c>
      <c r="AA8434" s="21">
        <v>0</v>
      </c>
      <c r="AB8434" s="21">
        <v>0</v>
      </c>
      <c r="AC8434" s="21">
        <v>0</v>
      </c>
      <c r="AD8434" s="21">
        <v>0</v>
      </c>
      <c r="AE8434" s="21">
        <v>0</v>
      </c>
      <c r="AF8434" s="21">
        <v>0</v>
      </c>
      <c r="AG8434" s="21">
        <v>0</v>
      </c>
      <c r="AH8434" s="21">
        <f t="shared" si="170"/>
        <v>160</v>
      </c>
      <c r="AI8434" s="21"/>
      <c r="AJ8434" s="21" t="s">
        <v>54</v>
      </c>
      <c r="AK8434" s="21" t="s">
        <v>95</v>
      </c>
      <c r="AL8434" s="21" t="s">
        <v>4964</v>
      </c>
      <c r="AM8434" s="21" t="s">
        <v>4965</v>
      </c>
      <c r="AN8434" s="21">
        <v>-122.423050433333</v>
      </c>
      <c r="AO8434" s="21">
        <v>37.799617499999997</v>
      </c>
      <c r="AP8434" s="21" t="s">
        <v>951</v>
      </c>
    </row>
    <row r="8435" spans="1:42">
      <c r="A8435" s="20">
        <v>43858</v>
      </c>
      <c r="B8435" s="21">
        <v>2</v>
      </c>
      <c r="C8435" s="21">
        <v>217</v>
      </c>
      <c r="D8435" s="21">
        <v>14443</v>
      </c>
      <c r="E8435" s="21"/>
      <c r="F8435" s="21" t="s">
        <v>104</v>
      </c>
      <c r="G8435" s="21">
        <v>2</v>
      </c>
      <c r="H8435" s="21">
        <v>145</v>
      </c>
      <c r="I8435" s="23" t="s">
        <v>4966</v>
      </c>
      <c r="J8435" s="21"/>
      <c r="K8435" s="21" t="s">
        <v>148</v>
      </c>
      <c r="L8435" s="21"/>
      <c r="M8435" s="21"/>
      <c r="N8435" s="21" t="s">
        <v>44</v>
      </c>
      <c r="O8435" s="21">
        <v>198</v>
      </c>
      <c r="P8435" s="21"/>
      <c r="Q8435" s="21">
        <f t="shared" si="169"/>
        <v>2</v>
      </c>
      <c r="R8435" s="21">
        <v>1</v>
      </c>
      <c r="S8435" s="21">
        <v>0</v>
      </c>
      <c r="T8435" s="21">
        <v>0</v>
      </c>
      <c r="U8435" s="21">
        <v>0</v>
      </c>
      <c r="V8435" s="21">
        <v>0</v>
      </c>
      <c r="W8435" s="21">
        <v>2</v>
      </c>
      <c r="X8435" s="21">
        <v>0</v>
      </c>
      <c r="Y8435" s="21">
        <v>0</v>
      </c>
      <c r="Z8435" s="21">
        <v>0</v>
      </c>
      <c r="AA8435" s="21">
        <v>0</v>
      </c>
      <c r="AB8435" s="21">
        <v>0</v>
      </c>
      <c r="AC8435" s="21">
        <v>0</v>
      </c>
      <c r="AD8435" s="21">
        <v>0</v>
      </c>
      <c r="AE8435" s="21">
        <v>0</v>
      </c>
      <c r="AF8435" s="21">
        <v>0</v>
      </c>
      <c r="AG8435" s="21">
        <v>0</v>
      </c>
      <c r="AH8435" s="21">
        <f t="shared" si="170"/>
        <v>192</v>
      </c>
      <c r="AI8435" s="21"/>
      <c r="AJ8435" s="21" t="s">
        <v>54</v>
      </c>
      <c r="AK8435" s="21" t="s">
        <v>95</v>
      </c>
      <c r="AL8435" s="21" t="s">
        <v>4967</v>
      </c>
      <c r="AM8435" s="21" t="s">
        <v>4968</v>
      </c>
      <c r="AN8435" s="21">
        <v>-122.423389433333</v>
      </c>
      <c r="AO8435" s="21">
        <v>37.799601916666603</v>
      </c>
      <c r="AP8435" s="21" t="s">
        <v>951</v>
      </c>
    </row>
    <row r="8436" spans="1:42">
      <c r="A8436" s="20">
        <v>43858</v>
      </c>
      <c r="B8436" s="21">
        <v>2</v>
      </c>
      <c r="C8436" s="21">
        <v>217</v>
      </c>
      <c r="D8436" s="21">
        <v>14443</v>
      </c>
      <c r="E8436" s="21"/>
      <c r="F8436" s="21" t="s">
        <v>104</v>
      </c>
      <c r="G8436" s="21">
        <v>2</v>
      </c>
      <c r="H8436" s="21">
        <v>146</v>
      </c>
      <c r="I8436" s="23" t="s">
        <v>3761</v>
      </c>
      <c r="J8436" s="21"/>
      <c r="K8436" s="21" t="s">
        <v>185</v>
      </c>
      <c r="L8436" s="21"/>
      <c r="M8436" s="21"/>
      <c r="N8436" s="21" t="s">
        <v>44</v>
      </c>
      <c r="O8436" s="21">
        <v>258</v>
      </c>
      <c r="P8436" s="21"/>
      <c r="Q8436" s="21">
        <f t="shared" si="169"/>
        <v>3</v>
      </c>
      <c r="R8436" s="21">
        <v>1</v>
      </c>
      <c r="S8436" s="21">
        <v>0</v>
      </c>
      <c r="T8436" s="21">
        <v>0</v>
      </c>
      <c r="U8436" s="21">
        <v>0</v>
      </c>
      <c r="V8436" s="21">
        <v>1</v>
      </c>
      <c r="W8436" s="21">
        <v>2</v>
      </c>
      <c r="X8436" s="21">
        <v>0</v>
      </c>
      <c r="Y8436" s="21">
        <v>0</v>
      </c>
      <c r="Z8436" s="21">
        <v>0</v>
      </c>
      <c r="AA8436" s="21">
        <v>0</v>
      </c>
      <c r="AB8436" s="21">
        <v>0</v>
      </c>
      <c r="AC8436" s="21">
        <v>0</v>
      </c>
      <c r="AD8436" s="21">
        <v>0</v>
      </c>
      <c r="AE8436" s="21">
        <v>0</v>
      </c>
      <c r="AF8436" s="21">
        <v>0</v>
      </c>
      <c r="AG8436" s="21">
        <v>0</v>
      </c>
      <c r="AH8436" s="21">
        <f t="shared" si="170"/>
        <v>256</v>
      </c>
      <c r="AI8436" s="21"/>
      <c r="AJ8436" s="21" t="s">
        <v>51</v>
      </c>
      <c r="AK8436" s="21" t="s">
        <v>95</v>
      </c>
      <c r="AL8436" s="21" t="s">
        <v>2190</v>
      </c>
      <c r="AM8436" s="21" t="s">
        <v>4969</v>
      </c>
      <c r="AN8436" s="21">
        <v>-122.423816283333</v>
      </c>
      <c r="AO8436" s="21">
        <v>37.797290283333297</v>
      </c>
      <c r="AP8436" s="21" t="s">
        <v>951</v>
      </c>
    </row>
    <row r="8437" spans="1:42">
      <c r="A8437" s="20">
        <v>43854</v>
      </c>
      <c r="B8437" s="21">
        <v>5</v>
      </c>
      <c r="C8437" s="21">
        <v>223</v>
      </c>
      <c r="D8437" s="21">
        <v>14448</v>
      </c>
      <c r="E8437" t="s">
        <v>112</v>
      </c>
      <c r="F8437" s="21" t="s">
        <v>104</v>
      </c>
      <c r="G8437" s="21">
        <v>2</v>
      </c>
      <c r="H8437" s="21">
        <v>1</v>
      </c>
      <c r="I8437" s="23" t="s">
        <v>4970</v>
      </c>
      <c r="J8437" s="21"/>
      <c r="K8437" s="21" t="s">
        <v>909</v>
      </c>
      <c r="L8437" s="21"/>
      <c r="M8437" s="21"/>
      <c r="N8437" s="21" t="s">
        <v>40</v>
      </c>
      <c r="O8437" s="21">
        <v>145</v>
      </c>
      <c r="P8437" s="21"/>
      <c r="Q8437" s="21">
        <f t="shared" si="169"/>
        <v>7</v>
      </c>
      <c r="R8437" s="21">
        <v>1</v>
      </c>
      <c r="S8437" s="21">
        <v>0</v>
      </c>
      <c r="T8437" s="21">
        <v>0</v>
      </c>
      <c r="U8437" s="21">
        <v>3</v>
      </c>
      <c r="V8437" s="21">
        <v>2</v>
      </c>
      <c r="W8437" s="21">
        <v>2</v>
      </c>
      <c r="X8437" s="21">
        <v>0</v>
      </c>
      <c r="Y8437" s="21">
        <v>0</v>
      </c>
      <c r="Z8437" s="21">
        <v>0</v>
      </c>
      <c r="AA8437" s="21">
        <v>0</v>
      </c>
      <c r="AB8437" s="21">
        <v>0</v>
      </c>
      <c r="AC8437" s="21">
        <v>0</v>
      </c>
      <c r="AD8437" s="21">
        <v>0</v>
      </c>
      <c r="AE8437" s="21">
        <v>0</v>
      </c>
      <c r="AF8437" s="21">
        <v>0</v>
      </c>
      <c r="AG8437" s="21">
        <v>0</v>
      </c>
      <c r="AH8437" s="21">
        <f t="shared" si="170"/>
        <v>416</v>
      </c>
      <c r="AI8437" s="21"/>
      <c r="AJ8437" s="21" t="s">
        <v>51</v>
      </c>
      <c r="AK8437" s="21" t="s">
        <v>95</v>
      </c>
      <c r="AL8437" s="21"/>
      <c r="AM8437" s="21" t="s">
        <v>4971</v>
      </c>
      <c r="AN8437" s="21">
        <v>-122.433562266667</v>
      </c>
      <c r="AO8437" s="21">
        <v>37.787713549999999</v>
      </c>
      <c r="AP8437" s="21" t="s">
        <v>951</v>
      </c>
    </row>
    <row r="8438" spans="1:42">
      <c r="A8438" s="20">
        <v>43854</v>
      </c>
      <c r="B8438" s="21">
        <v>5</v>
      </c>
      <c r="C8438" s="21">
        <v>223</v>
      </c>
      <c r="D8438" s="21">
        <v>14448</v>
      </c>
      <c r="E8438" t="s">
        <v>112</v>
      </c>
      <c r="F8438" s="21" t="s">
        <v>104</v>
      </c>
      <c r="G8438" s="21">
        <v>2</v>
      </c>
      <c r="H8438" s="21">
        <v>2</v>
      </c>
      <c r="I8438" s="23" t="s">
        <v>4972</v>
      </c>
      <c r="J8438" s="21"/>
      <c r="K8438" s="21" t="s">
        <v>909</v>
      </c>
      <c r="L8438" s="21"/>
      <c r="M8438" s="21"/>
      <c r="N8438" s="21" t="s">
        <v>40</v>
      </c>
      <c r="O8438" s="21">
        <v>87</v>
      </c>
      <c r="P8438" s="21"/>
      <c r="Q8438" s="21">
        <f t="shared" si="169"/>
        <v>3</v>
      </c>
      <c r="R8438" s="21">
        <v>1</v>
      </c>
      <c r="S8438" s="21">
        <v>0</v>
      </c>
      <c r="T8438" s="21">
        <v>0</v>
      </c>
      <c r="U8438" s="21">
        <v>2</v>
      </c>
      <c r="V8438" s="21">
        <v>1</v>
      </c>
      <c r="W8438" s="21">
        <v>0</v>
      </c>
      <c r="X8438" s="21">
        <v>0</v>
      </c>
      <c r="Y8438" s="21">
        <v>0</v>
      </c>
      <c r="Z8438" s="21">
        <v>0</v>
      </c>
      <c r="AA8438" s="21">
        <v>0</v>
      </c>
      <c r="AB8438" s="21">
        <v>0</v>
      </c>
      <c r="AC8438" s="21">
        <v>0</v>
      </c>
      <c r="AD8438" s="21">
        <v>0</v>
      </c>
      <c r="AE8438" s="21">
        <v>0</v>
      </c>
      <c r="AF8438" s="21">
        <v>0</v>
      </c>
      <c r="AG8438" s="21">
        <v>0</v>
      </c>
      <c r="AH8438" s="21">
        <f t="shared" si="170"/>
        <v>128</v>
      </c>
      <c r="AI8438" s="21"/>
      <c r="AJ8438" s="21" t="s">
        <v>51</v>
      </c>
      <c r="AK8438" s="21" t="s">
        <v>95</v>
      </c>
      <c r="AL8438" s="21"/>
      <c r="AM8438" s="21" t="s">
        <v>4973</v>
      </c>
      <c r="AN8438" s="21">
        <v>-122.433843616667</v>
      </c>
      <c r="AO8438" s="21">
        <v>37.78866635</v>
      </c>
      <c r="AP8438" s="21" t="s">
        <v>951</v>
      </c>
    </row>
    <row r="8439" spans="1:42">
      <c r="A8439" s="20">
        <v>43854</v>
      </c>
      <c r="B8439" s="21">
        <v>5</v>
      </c>
      <c r="C8439" s="21">
        <v>223</v>
      </c>
      <c r="D8439" s="21">
        <v>14448</v>
      </c>
      <c r="E8439" t="s">
        <v>112</v>
      </c>
      <c r="F8439" s="21" t="s">
        <v>104</v>
      </c>
      <c r="G8439" s="21">
        <v>2</v>
      </c>
      <c r="H8439" s="21">
        <v>3</v>
      </c>
      <c r="I8439" s="23" t="s">
        <v>2603</v>
      </c>
      <c r="J8439" s="21"/>
      <c r="K8439" s="21" t="s">
        <v>909</v>
      </c>
      <c r="L8439" s="21"/>
      <c r="M8439" s="21"/>
      <c r="N8439" s="21" t="s">
        <v>40</v>
      </c>
      <c r="O8439" s="21">
        <v>27</v>
      </c>
      <c r="P8439" s="21"/>
      <c r="Q8439" s="21">
        <f t="shared" si="169"/>
        <v>1</v>
      </c>
      <c r="R8439" s="21">
        <v>1</v>
      </c>
      <c r="S8439" s="21">
        <v>0</v>
      </c>
      <c r="T8439" s="21">
        <v>0</v>
      </c>
      <c r="U8439" s="21">
        <v>0</v>
      </c>
      <c r="V8439" s="21">
        <v>0</v>
      </c>
      <c r="W8439" s="21">
        <v>0</v>
      </c>
      <c r="X8439" s="21">
        <v>1</v>
      </c>
      <c r="Y8439" s="21">
        <v>0</v>
      </c>
      <c r="Z8439" s="21">
        <v>0</v>
      </c>
      <c r="AA8439" s="21">
        <v>0</v>
      </c>
      <c r="AB8439" s="21">
        <v>0</v>
      </c>
      <c r="AC8439" s="21">
        <v>0</v>
      </c>
      <c r="AD8439" s="21">
        <v>0</v>
      </c>
      <c r="AE8439" s="21">
        <v>0</v>
      </c>
      <c r="AF8439" s="21">
        <v>0</v>
      </c>
      <c r="AG8439" s="21">
        <v>0</v>
      </c>
      <c r="AH8439" s="21">
        <f t="shared" si="170"/>
        <v>0</v>
      </c>
      <c r="AI8439" s="21"/>
      <c r="AJ8439" s="21" t="s">
        <v>51</v>
      </c>
      <c r="AK8439" s="21" t="s">
        <v>95</v>
      </c>
      <c r="AL8439" s="21" t="s">
        <v>470</v>
      </c>
      <c r="AM8439" s="21" t="s">
        <v>4974</v>
      </c>
      <c r="AN8439" s="21">
        <v>-122.433910266667</v>
      </c>
      <c r="AO8439" s="21">
        <v>37.789131333333302</v>
      </c>
      <c r="AP8439" s="21" t="s">
        <v>951</v>
      </c>
    </row>
    <row r="8440" spans="1:42">
      <c r="A8440" s="20">
        <v>43854</v>
      </c>
      <c r="B8440" s="21">
        <v>5</v>
      </c>
      <c r="C8440" s="21">
        <v>223</v>
      </c>
      <c r="D8440" s="21">
        <v>14448</v>
      </c>
      <c r="E8440" t="s">
        <v>112</v>
      </c>
      <c r="F8440" s="21" t="s">
        <v>104</v>
      </c>
      <c r="G8440" s="21">
        <v>2</v>
      </c>
      <c r="H8440" s="21">
        <v>4</v>
      </c>
      <c r="I8440" s="23" t="s">
        <v>4975</v>
      </c>
      <c r="J8440" s="21"/>
      <c r="K8440" s="21" t="s">
        <v>909</v>
      </c>
      <c r="L8440" s="21"/>
      <c r="M8440" s="21"/>
      <c r="N8440" s="21" t="s">
        <v>40</v>
      </c>
      <c r="O8440" s="21">
        <v>39</v>
      </c>
      <c r="P8440" s="21"/>
      <c r="Q8440" s="21">
        <f t="shared" si="169"/>
        <v>1</v>
      </c>
      <c r="R8440" s="21">
        <v>1</v>
      </c>
      <c r="S8440" s="21">
        <v>0</v>
      </c>
      <c r="T8440" s="21">
        <v>0</v>
      </c>
      <c r="U8440" s="21">
        <v>0</v>
      </c>
      <c r="V8440" s="21">
        <v>0</v>
      </c>
      <c r="W8440" s="21">
        <v>1</v>
      </c>
      <c r="X8440" s="21">
        <v>0</v>
      </c>
      <c r="Y8440" s="21">
        <v>0</v>
      </c>
      <c r="Z8440" s="21">
        <v>0</v>
      </c>
      <c r="AA8440" s="21">
        <v>0</v>
      </c>
      <c r="AB8440" s="21">
        <v>0</v>
      </c>
      <c r="AC8440" s="21">
        <v>0</v>
      </c>
      <c r="AD8440" s="21">
        <v>0</v>
      </c>
      <c r="AE8440" s="21">
        <v>0</v>
      </c>
      <c r="AF8440" s="21">
        <v>0</v>
      </c>
      <c r="AG8440" s="21">
        <v>0</v>
      </c>
      <c r="AH8440" s="21">
        <f t="shared" si="170"/>
        <v>96</v>
      </c>
      <c r="AI8440" s="21"/>
      <c r="AJ8440" s="21" t="s">
        <v>51</v>
      </c>
      <c r="AK8440" s="21" t="s">
        <v>95</v>
      </c>
      <c r="AL8440" s="21"/>
      <c r="AM8440" s="21" t="s">
        <v>4976</v>
      </c>
      <c r="AN8440" s="21">
        <v>-122.43394486666701</v>
      </c>
      <c r="AO8440" s="21">
        <v>37.789425950000002</v>
      </c>
      <c r="AP8440" s="21" t="s">
        <v>951</v>
      </c>
    </row>
    <row r="8441" spans="1:42">
      <c r="A8441" s="20">
        <v>43854</v>
      </c>
      <c r="B8441" s="21">
        <v>5</v>
      </c>
      <c r="C8441" s="21">
        <v>223</v>
      </c>
      <c r="D8441" s="21">
        <v>14448</v>
      </c>
      <c r="E8441" t="s">
        <v>112</v>
      </c>
      <c r="F8441" s="21" t="s">
        <v>104</v>
      </c>
      <c r="G8441" s="21">
        <v>2</v>
      </c>
      <c r="H8441" s="21">
        <v>5</v>
      </c>
      <c r="I8441" s="23" t="s">
        <v>3959</v>
      </c>
      <c r="J8441" s="21"/>
      <c r="K8441" s="21" t="s">
        <v>909</v>
      </c>
      <c r="L8441" s="21"/>
      <c r="M8441" s="21"/>
      <c r="N8441" s="21" t="s">
        <v>40</v>
      </c>
      <c r="O8441" s="21">
        <v>126</v>
      </c>
      <c r="P8441" s="21"/>
      <c r="Q8441" s="21">
        <f t="shared" si="169"/>
        <v>3</v>
      </c>
      <c r="R8441" s="21">
        <v>1</v>
      </c>
      <c r="S8441" s="21">
        <v>0</v>
      </c>
      <c r="T8441" s="21">
        <v>0</v>
      </c>
      <c r="U8441" s="21">
        <v>3</v>
      </c>
      <c r="V8441" s="21">
        <v>0</v>
      </c>
      <c r="W8441" s="21">
        <v>0</v>
      </c>
      <c r="X8441" s="21">
        <v>0</v>
      </c>
      <c r="Y8441" s="21">
        <v>0</v>
      </c>
      <c r="Z8441" s="21">
        <v>0</v>
      </c>
      <c r="AA8441" s="21">
        <v>0</v>
      </c>
      <c r="AB8441" s="21">
        <v>0</v>
      </c>
      <c r="AC8441" s="21">
        <v>0</v>
      </c>
      <c r="AD8441" s="21">
        <v>0</v>
      </c>
      <c r="AE8441" s="21">
        <v>0</v>
      </c>
      <c r="AF8441" s="21">
        <v>0</v>
      </c>
      <c r="AG8441" s="21">
        <v>2</v>
      </c>
      <c r="AH8441" s="21">
        <f t="shared" si="170"/>
        <v>96</v>
      </c>
      <c r="AI8441" s="21"/>
      <c r="AJ8441" s="21" t="s">
        <v>51</v>
      </c>
      <c r="AK8441" s="21" t="s">
        <v>95</v>
      </c>
      <c r="AL8441" s="21"/>
      <c r="AM8441" s="21" t="s">
        <v>4977</v>
      </c>
      <c r="AN8441" s="21">
        <v>-122.43399321666701</v>
      </c>
      <c r="AO8441" s="21">
        <v>37.789639466666699</v>
      </c>
      <c r="AP8441" s="21" t="s">
        <v>951</v>
      </c>
    </row>
    <row r="8442" spans="1:42">
      <c r="A8442" s="20">
        <v>43854</v>
      </c>
      <c r="B8442" s="21">
        <v>5</v>
      </c>
      <c r="C8442" s="21">
        <v>223</v>
      </c>
      <c r="D8442" s="21">
        <v>14448</v>
      </c>
      <c r="E8442" t="s">
        <v>112</v>
      </c>
      <c r="F8442" s="21" t="s">
        <v>104</v>
      </c>
      <c r="G8442" s="21">
        <v>2</v>
      </c>
      <c r="H8442" s="21">
        <v>6</v>
      </c>
      <c r="I8442" s="23" t="s">
        <v>2148</v>
      </c>
      <c r="J8442" s="21"/>
      <c r="K8442" s="21" t="s">
        <v>909</v>
      </c>
      <c r="L8442" s="21"/>
      <c r="M8442" s="21"/>
      <c r="N8442" s="21" t="s">
        <v>40</v>
      </c>
      <c r="O8442" s="21">
        <v>129</v>
      </c>
      <c r="P8442" s="21"/>
      <c r="Q8442" s="21">
        <f t="shared" si="169"/>
        <v>4</v>
      </c>
      <c r="R8442" s="21">
        <v>1</v>
      </c>
      <c r="S8442" s="21">
        <v>0</v>
      </c>
      <c r="T8442" s="21">
        <v>0</v>
      </c>
      <c r="U8442" s="21">
        <v>3</v>
      </c>
      <c r="V8442" s="21">
        <v>1</v>
      </c>
      <c r="W8442" s="21">
        <v>0</v>
      </c>
      <c r="X8442" s="21">
        <v>0</v>
      </c>
      <c r="Y8442" s="21">
        <v>0</v>
      </c>
      <c r="Z8442" s="21">
        <v>0</v>
      </c>
      <c r="AA8442" s="21">
        <v>0</v>
      </c>
      <c r="AB8442" s="21">
        <v>0</v>
      </c>
      <c r="AC8442" s="21">
        <v>0</v>
      </c>
      <c r="AD8442" s="21">
        <v>0</v>
      </c>
      <c r="AE8442" s="21">
        <v>0</v>
      </c>
      <c r="AF8442" s="21">
        <v>0</v>
      </c>
      <c r="AG8442" s="21">
        <v>0</v>
      </c>
      <c r="AH8442" s="21">
        <f t="shared" si="170"/>
        <v>160</v>
      </c>
      <c r="AI8442" s="21"/>
      <c r="AJ8442" s="21" t="s">
        <v>51</v>
      </c>
      <c r="AK8442" s="21" t="s">
        <v>52</v>
      </c>
      <c r="AL8442" s="21"/>
      <c r="AM8442" s="21" t="s">
        <v>4978</v>
      </c>
      <c r="AN8442" s="21">
        <v>-122.434068666667</v>
      </c>
      <c r="AO8442" s="21">
        <v>37.790039566666699</v>
      </c>
      <c r="AP8442" s="21" t="s">
        <v>951</v>
      </c>
    </row>
    <row r="8443" spans="1:42">
      <c r="A8443" s="20">
        <v>43854</v>
      </c>
      <c r="B8443" s="21">
        <v>5</v>
      </c>
      <c r="C8443" s="21">
        <v>223</v>
      </c>
      <c r="D8443" s="21">
        <v>14448</v>
      </c>
      <c r="E8443" t="s">
        <v>112</v>
      </c>
      <c r="F8443" s="21" t="s">
        <v>104</v>
      </c>
      <c r="G8443" s="21">
        <v>2</v>
      </c>
      <c r="H8443" s="21">
        <v>7</v>
      </c>
      <c r="I8443" s="23" t="s">
        <v>2152</v>
      </c>
      <c r="J8443" s="21"/>
      <c r="K8443" s="21" t="s">
        <v>2554</v>
      </c>
      <c r="L8443" s="21"/>
      <c r="M8443" s="21"/>
      <c r="N8443" s="21" t="s">
        <v>40</v>
      </c>
      <c r="O8443" s="21">
        <v>55</v>
      </c>
      <c r="P8443" s="21"/>
      <c r="Q8443" s="21">
        <f t="shared" si="169"/>
        <v>2</v>
      </c>
      <c r="R8443" s="21">
        <v>1</v>
      </c>
      <c r="S8443" s="21">
        <v>0</v>
      </c>
      <c r="T8443" s="21">
        <v>0</v>
      </c>
      <c r="U8443" s="21">
        <v>0</v>
      </c>
      <c r="V8443" s="21">
        <v>1</v>
      </c>
      <c r="W8443" s="21">
        <v>1</v>
      </c>
      <c r="X8443" s="21">
        <v>0</v>
      </c>
      <c r="Y8443" s="21">
        <v>0</v>
      </c>
      <c r="Z8443" s="21">
        <v>0</v>
      </c>
      <c r="AA8443" s="21">
        <v>0</v>
      </c>
      <c r="AB8443" s="21">
        <v>0</v>
      </c>
      <c r="AC8443" s="21">
        <v>0</v>
      </c>
      <c r="AD8443" s="21">
        <v>0</v>
      </c>
      <c r="AE8443" s="21">
        <v>0</v>
      </c>
      <c r="AF8443" s="21">
        <v>0</v>
      </c>
      <c r="AG8443" s="21">
        <v>0</v>
      </c>
      <c r="AH8443" s="21">
        <f t="shared" si="170"/>
        <v>160</v>
      </c>
      <c r="AI8443" s="21"/>
      <c r="AJ8443" s="21" t="s">
        <v>51</v>
      </c>
      <c r="AK8443" s="21" t="s">
        <v>52</v>
      </c>
      <c r="AL8443" s="21"/>
      <c r="AM8443" s="21" t="s">
        <v>4979</v>
      </c>
      <c r="AN8443" s="21">
        <v>-122.434112816667</v>
      </c>
      <c r="AO8443" s="21">
        <v>37.790191383333301</v>
      </c>
      <c r="AP8443" s="21" t="s">
        <v>951</v>
      </c>
    </row>
    <row r="8444" spans="1:42">
      <c r="A8444" s="20">
        <v>43854</v>
      </c>
      <c r="B8444" s="21">
        <v>5</v>
      </c>
      <c r="C8444" s="21">
        <v>223</v>
      </c>
      <c r="D8444" s="21">
        <v>14448</v>
      </c>
      <c r="E8444" t="s">
        <v>112</v>
      </c>
      <c r="F8444" s="21" t="s">
        <v>104</v>
      </c>
      <c r="G8444" s="21">
        <v>2</v>
      </c>
      <c r="H8444" s="21">
        <v>8</v>
      </c>
      <c r="I8444" s="23" t="s">
        <v>4980</v>
      </c>
      <c r="J8444" s="21"/>
      <c r="K8444" s="21" t="s">
        <v>909</v>
      </c>
      <c r="L8444" s="21"/>
      <c r="M8444" s="21"/>
      <c r="N8444" s="21"/>
      <c r="O8444" s="21">
        <v>124</v>
      </c>
      <c r="P8444" s="21"/>
      <c r="Q8444" s="21">
        <f t="shared" si="169"/>
        <v>3</v>
      </c>
      <c r="R8444" s="21">
        <v>1</v>
      </c>
      <c r="S8444" s="21">
        <v>0</v>
      </c>
      <c r="T8444" s="21">
        <v>0</v>
      </c>
      <c r="U8444" s="21">
        <v>2</v>
      </c>
      <c r="V8444" s="21">
        <v>0</v>
      </c>
      <c r="W8444" s="21">
        <v>1</v>
      </c>
      <c r="X8444" s="21">
        <v>0</v>
      </c>
      <c r="Y8444" s="21">
        <v>0</v>
      </c>
      <c r="Z8444" s="21">
        <v>0</v>
      </c>
      <c r="AA8444" s="21">
        <v>0</v>
      </c>
      <c r="AB8444" s="21">
        <v>0</v>
      </c>
      <c r="AC8444" s="21">
        <v>0</v>
      </c>
      <c r="AD8444" s="21">
        <v>0</v>
      </c>
      <c r="AE8444" s="21">
        <v>0</v>
      </c>
      <c r="AF8444" s="21">
        <v>0</v>
      </c>
      <c r="AG8444" s="21">
        <v>0</v>
      </c>
      <c r="AH8444" s="21">
        <f t="shared" si="170"/>
        <v>160</v>
      </c>
      <c r="AI8444" s="21"/>
      <c r="AJ8444" s="21" t="s">
        <v>51</v>
      </c>
      <c r="AK8444" s="21" t="s">
        <v>95</v>
      </c>
      <c r="AL8444" s="21"/>
      <c r="AM8444" s="21" t="s">
        <v>4981</v>
      </c>
      <c r="AN8444" s="21">
        <v>-122.43417143333301</v>
      </c>
      <c r="AO8444" s="21">
        <v>37.790504333333303</v>
      </c>
      <c r="AP8444" s="21" t="s">
        <v>951</v>
      </c>
    </row>
    <row r="8445" spans="1:42">
      <c r="A8445" s="20">
        <v>43854</v>
      </c>
      <c r="B8445" s="21">
        <v>5</v>
      </c>
      <c r="C8445" s="21">
        <v>223</v>
      </c>
      <c r="D8445" s="21">
        <v>14448</v>
      </c>
      <c r="E8445" t="s">
        <v>112</v>
      </c>
      <c r="F8445" s="21" t="s">
        <v>104</v>
      </c>
      <c r="G8445" s="21">
        <v>2</v>
      </c>
      <c r="H8445" s="21">
        <v>9</v>
      </c>
      <c r="I8445" s="23" t="s">
        <v>2536</v>
      </c>
      <c r="J8445" s="21"/>
      <c r="K8445" s="21" t="s">
        <v>909</v>
      </c>
      <c r="L8445" s="21" t="s">
        <v>114</v>
      </c>
      <c r="M8445" s="21"/>
      <c r="N8445" s="21" t="s">
        <v>40</v>
      </c>
      <c r="O8445" s="21">
        <v>25</v>
      </c>
      <c r="P8445" s="21"/>
      <c r="Q8445" s="21">
        <f t="shared" si="169"/>
        <v>1</v>
      </c>
      <c r="R8445" s="21">
        <v>1</v>
      </c>
      <c r="S8445" s="21">
        <v>0</v>
      </c>
      <c r="T8445" s="21">
        <v>0</v>
      </c>
      <c r="U8445" s="21">
        <v>0</v>
      </c>
      <c r="V8445" s="21">
        <v>0</v>
      </c>
      <c r="W8445" s="21">
        <v>0</v>
      </c>
      <c r="X8445" s="21">
        <v>1</v>
      </c>
      <c r="Y8445" s="21">
        <v>0</v>
      </c>
      <c r="Z8445" s="21">
        <v>0</v>
      </c>
      <c r="AA8445" s="21">
        <v>0</v>
      </c>
      <c r="AB8445" s="21">
        <v>0</v>
      </c>
      <c r="AC8445" s="21">
        <v>0</v>
      </c>
      <c r="AD8445" s="21">
        <v>0</v>
      </c>
      <c r="AE8445" s="21">
        <v>0</v>
      </c>
      <c r="AF8445" s="21">
        <v>0</v>
      </c>
      <c r="AG8445" s="21">
        <v>0</v>
      </c>
      <c r="AH8445" s="21">
        <f t="shared" si="170"/>
        <v>0</v>
      </c>
      <c r="AI8445" s="21"/>
      <c r="AJ8445" s="21" t="s">
        <v>51</v>
      </c>
      <c r="AK8445" s="21" t="s">
        <v>95</v>
      </c>
      <c r="AL8445" s="21" t="s">
        <v>470</v>
      </c>
      <c r="AM8445" s="21" t="s">
        <v>4982</v>
      </c>
      <c r="AN8445" s="21">
        <v>-122.434231333333</v>
      </c>
      <c r="AO8445" s="21">
        <v>37.790893316666697</v>
      </c>
      <c r="AP8445" s="21" t="s">
        <v>951</v>
      </c>
    </row>
    <row r="8446" spans="1:42">
      <c r="A8446" s="20">
        <v>43854</v>
      </c>
      <c r="B8446" s="21">
        <v>5</v>
      </c>
      <c r="C8446" s="21">
        <v>223</v>
      </c>
      <c r="D8446" s="21">
        <v>14448</v>
      </c>
      <c r="E8446" t="s">
        <v>112</v>
      </c>
      <c r="F8446" s="21" t="s">
        <v>104</v>
      </c>
      <c r="G8446" s="21">
        <v>2</v>
      </c>
      <c r="H8446" s="21">
        <v>10</v>
      </c>
      <c r="I8446" s="23" t="s">
        <v>2164</v>
      </c>
      <c r="J8446" s="21"/>
      <c r="K8446" s="21" t="s">
        <v>909</v>
      </c>
      <c r="L8446" s="21" t="s">
        <v>114</v>
      </c>
      <c r="M8446" s="21"/>
      <c r="N8446" s="21" t="s">
        <v>40</v>
      </c>
      <c r="O8446" s="21">
        <v>21</v>
      </c>
      <c r="P8446" s="21"/>
      <c r="Q8446" s="21">
        <f t="shared" si="169"/>
        <v>1</v>
      </c>
      <c r="R8446" s="21">
        <v>1</v>
      </c>
      <c r="S8446" s="21">
        <v>0</v>
      </c>
      <c r="T8446" s="21">
        <v>0</v>
      </c>
      <c r="U8446" s="21">
        <v>0</v>
      </c>
      <c r="V8446" s="21">
        <v>0</v>
      </c>
      <c r="W8446" s="21">
        <v>0</v>
      </c>
      <c r="X8446" s="21">
        <v>1</v>
      </c>
      <c r="Y8446" s="21">
        <v>0</v>
      </c>
      <c r="Z8446" s="21">
        <v>0</v>
      </c>
      <c r="AA8446" s="21">
        <v>0</v>
      </c>
      <c r="AB8446" s="21">
        <v>0</v>
      </c>
      <c r="AC8446" s="21">
        <v>0</v>
      </c>
      <c r="AD8446" s="21">
        <v>0</v>
      </c>
      <c r="AE8446" s="21">
        <v>0</v>
      </c>
      <c r="AF8446" s="21">
        <v>0</v>
      </c>
      <c r="AG8446" s="21">
        <v>0</v>
      </c>
      <c r="AH8446" s="21">
        <f t="shared" si="170"/>
        <v>0</v>
      </c>
      <c r="AI8446" s="21"/>
      <c r="AJ8446" s="21" t="s">
        <v>51</v>
      </c>
      <c r="AK8446" s="21" t="s">
        <v>95</v>
      </c>
      <c r="AL8446" s="21" t="s">
        <v>4983</v>
      </c>
      <c r="AM8446" s="21" t="s">
        <v>4984</v>
      </c>
      <c r="AN8446" s="21">
        <v>-122.433758342613</v>
      </c>
      <c r="AO8446" s="21">
        <v>37.788059542197601</v>
      </c>
      <c r="AP8446" s="21" t="s">
        <v>951</v>
      </c>
    </row>
    <row r="8447" spans="1:42">
      <c r="A8447" s="20">
        <v>43854</v>
      </c>
      <c r="B8447" s="21">
        <v>5</v>
      </c>
      <c r="C8447" s="21">
        <v>223</v>
      </c>
      <c r="D8447" s="21">
        <v>14448</v>
      </c>
      <c r="E8447" t="s">
        <v>112</v>
      </c>
      <c r="F8447" s="21" t="s">
        <v>104</v>
      </c>
      <c r="G8447" s="21">
        <v>2</v>
      </c>
      <c r="H8447" s="21">
        <v>11</v>
      </c>
      <c r="I8447" s="23" t="s">
        <v>2345</v>
      </c>
      <c r="J8447" s="21"/>
      <c r="K8447" s="21" t="s">
        <v>909</v>
      </c>
      <c r="L8447" s="21" t="s">
        <v>114</v>
      </c>
      <c r="M8447" s="21"/>
      <c r="N8447" s="21" t="s">
        <v>44</v>
      </c>
      <c r="O8447" s="21">
        <v>184</v>
      </c>
      <c r="P8447" s="21"/>
      <c r="Q8447" s="21">
        <f t="shared" si="169"/>
        <v>3</v>
      </c>
      <c r="R8447" s="21">
        <v>1</v>
      </c>
      <c r="S8447" s="21">
        <v>0</v>
      </c>
      <c r="T8447" s="21">
        <v>0</v>
      </c>
      <c r="U8447" s="21">
        <v>0</v>
      </c>
      <c r="V8447" s="21">
        <v>0</v>
      </c>
      <c r="W8447" s="21">
        <v>3</v>
      </c>
      <c r="X8447" s="21">
        <v>0</v>
      </c>
      <c r="Y8447" s="21">
        <v>0</v>
      </c>
      <c r="Z8447" s="21">
        <v>0</v>
      </c>
      <c r="AA8447" s="21">
        <v>0</v>
      </c>
      <c r="AB8447" s="21">
        <v>0</v>
      </c>
      <c r="AC8447" s="21">
        <v>0</v>
      </c>
      <c r="AD8447" s="21">
        <v>0</v>
      </c>
      <c r="AE8447" s="21">
        <v>0</v>
      </c>
      <c r="AF8447" s="21">
        <v>0</v>
      </c>
      <c r="AG8447" s="21">
        <v>0</v>
      </c>
      <c r="AH8447" s="21">
        <f t="shared" si="170"/>
        <v>288</v>
      </c>
      <c r="AI8447" s="21"/>
      <c r="AJ8447" s="21" t="s">
        <v>51</v>
      </c>
      <c r="AK8447" s="21" t="s">
        <v>95</v>
      </c>
      <c r="AL8447" s="21"/>
      <c r="AM8447" s="21" t="s">
        <v>4985</v>
      </c>
      <c r="AN8447" s="21">
        <v>-122.434369733333</v>
      </c>
      <c r="AO8447" s="21">
        <v>37.791965366666602</v>
      </c>
      <c r="AP8447" s="21" t="s">
        <v>951</v>
      </c>
    </row>
    <row r="8448" spans="1:42">
      <c r="A8448" s="20">
        <v>43854</v>
      </c>
      <c r="B8448" s="21">
        <v>5</v>
      </c>
      <c r="C8448" s="21">
        <v>223</v>
      </c>
      <c r="D8448" s="21">
        <v>14448</v>
      </c>
      <c r="E8448" t="s">
        <v>112</v>
      </c>
      <c r="F8448" s="21" t="s">
        <v>104</v>
      </c>
      <c r="G8448" s="21">
        <v>2</v>
      </c>
      <c r="H8448" s="21">
        <v>12</v>
      </c>
      <c r="I8448" s="23" t="s">
        <v>4724</v>
      </c>
      <c r="J8448" s="21"/>
      <c r="K8448" s="21"/>
      <c r="L8448" s="21" t="s">
        <v>114</v>
      </c>
      <c r="M8448" s="21"/>
      <c r="N8448" s="21" t="s">
        <v>42</v>
      </c>
      <c r="O8448" s="21">
        <v>97</v>
      </c>
      <c r="P8448" s="21"/>
      <c r="Q8448" s="21">
        <f t="shared" ref="Q8448:Q8511" si="171">SUM(S8448:AE8448)</f>
        <v>3</v>
      </c>
      <c r="R8448" s="21">
        <v>1</v>
      </c>
      <c r="S8448" s="21">
        <v>0</v>
      </c>
      <c r="T8448" s="21">
        <v>0</v>
      </c>
      <c r="U8448" s="21">
        <v>2</v>
      </c>
      <c r="V8448" s="21">
        <v>0</v>
      </c>
      <c r="W8448" s="21">
        <v>1</v>
      </c>
      <c r="X8448" s="21">
        <v>0</v>
      </c>
      <c r="Y8448" s="21">
        <v>0</v>
      </c>
      <c r="Z8448" s="21">
        <v>0</v>
      </c>
      <c r="AA8448" s="21">
        <v>0</v>
      </c>
      <c r="AB8448" s="21">
        <v>0</v>
      </c>
      <c r="AC8448" s="21">
        <v>0</v>
      </c>
      <c r="AD8448" s="21">
        <v>0</v>
      </c>
      <c r="AE8448" s="21">
        <v>0</v>
      </c>
      <c r="AF8448" s="21">
        <v>0</v>
      </c>
      <c r="AG8448" s="21">
        <v>0</v>
      </c>
      <c r="AH8448" s="21">
        <f t="shared" ref="AH8448:AH8511" si="172">(S8448*16)+(T8448*20)+(U8448*32)+(V8448*64)+(W8448*96)</f>
        <v>160</v>
      </c>
      <c r="AI8448" s="21"/>
      <c r="AJ8448" s="21" t="s">
        <v>51</v>
      </c>
      <c r="AK8448" s="21" t="s">
        <v>95</v>
      </c>
      <c r="AL8448" s="21"/>
      <c r="AM8448" s="21" t="s">
        <v>4986</v>
      </c>
      <c r="AN8448" s="21">
        <v>-122.434504433333</v>
      </c>
      <c r="AO8448" s="21">
        <v>37.7922242333333</v>
      </c>
      <c r="AP8448" s="21" t="s">
        <v>951</v>
      </c>
    </row>
    <row r="8449" spans="1:42">
      <c r="A8449" s="20">
        <v>43854</v>
      </c>
      <c r="B8449" s="21">
        <v>5</v>
      </c>
      <c r="C8449" s="21">
        <v>223</v>
      </c>
      <c r="D8449" s="21">
        <v>14448</v>
      </c>
      <c r="E8449" t="s">
        <v>112</v>
      </c>
      <c r="F8449" s="21" t="s">
        <v>104</v>
      </c>
      <c r="G8449" s="21">
        <v>2</v>
      </c>
      <c r="H8449" s="21">
        <v>13</v>
      </c>
      <c r="I8449" s="23" t="s">
        <v>2160</v>
      </c>
      <c r="J8449" s="21"/>
      <c r="K8449" s="21" t="s">
        <v>909</v>
      </c>
      <c r="L8449" s="21" t="s">
        <v>114</v>
      </c>
      <c r="M8449" s="21"/>
      <c r="N8449" s="21" t="s">
        <v>40</v>
      </c>
      <c r="O8449" s="21">
        <v>170</v>
      </c>
      <c r="P8449" s="21"/>
      <c r="Q8449" s="21">
        <f t="shared" si="171"/>
        <v>5</v>
      </c>
      <c r="R8449" s="21">
        <v>1</v>
      </c>
      <c r="S8449" s="21">
        <v>0</v>
      </c>
      <c r="T8449" s="21">
        <v>0</v>
      </c>
      <c r="U8449" s="21">
        <v>0</v>
      </c>
      <c r="V8449" s="21">
        <v>1</v>
      </c>
      <c r="W8449" s="21">
        <v>1</v>
      </c>
      <c r="X8449" s="21">
        <v>3</v>
      </c>
      <c r="Y8449" s="21">
        <v>0</v>
      </c>
      <c r="Z8449" s="21">
        <v>0</v>
      </c>
      <c r="AA8449" s="21">
        <v>0</v>
      </c>
      <c r="AB8449" s="21">
        <v>0</v>
      </c>
      <c r="AC8449" s="21">
        <v>0</v>
      </c>
      <c r="AD8449" s="21">
        <v>0</v>
      </c>
      <c r="AE8449" s="21">
        <v>0</v>
      </c>
      <c r="AF8449" s="21">
        <v>0</v>
      </c>
      <c r="AG8449" s="21">
        <v>0</v>
      </c>
      <c r="AH8449" s="21">
        <f t="shared" si="172"/>
        <v>160</v>
      </c>
      <c r="AI8449" s="21"/>
      <c r="AJ8449" s="21" t="s">
        <v>51</v>
      </c>
      <c r="AK8449" s="21" t="s">
        <v>95</v>
      </c>
      <c r="AL8449" s="21" t="s">
        <v>4987</v>
      </c>
      <c r="AM8449" s="21" t="s">
        <v>4988</v>
      </c>
      <c r="AN8449" s="21">
        <v>-122.43457213333301</v>
      </c>
      <c r="AO8449" s="21">
        <v>37.7927364833333</v>
      </c>
      <c r="AP8449" s="21" t="s">
        <v>951</v>
      </c>
    </row>
    <row r="8450" spans="1:42">
      <c r="A8450" s="20">
        <v>43854</v>
      </c>
      <c r="B8450" s="21">
        <v>5</v>
      </c>
      <c r="C8450" s="21">
        <v>223</v>
      </c>
      <c r="D8450" s="21">
        <v>14448</v>
      </c>
      <c r="E8450" t="s">
        <v>112</v>
      </c>
      <c r="F8450" s="21" t="s">
        <v>104</v>
      </c>
      <c r="G8450" s="21">
        <v>2</v>
      </c>
      <c r="H8450" s="21">
        <v>14</v>
      </c>
      <c r="I8450" s="23" t="s">
        <v>2849</v>
      </c>
      <c r="J8450" s="21"/>
      <c r="K8450" t="s">
        <v>605</v>
      </c>
      <c r="L8450" s="21"/>
      <c r="M8450" s="21"/>
      <c r="N8450" s="21" t="s">
        <v>44</v>
      </c>
      <c r="O8450" s="21">
        <v>119</v>
      </c>
      <c r="P8450" s="21"/>
      <c r="Q8450" s="21">
        <f t="shared" si="171"/>
        <v>2</v>
      </c>
      <c r="R8450" s="21">
        <v>1</v>
      </c>
      <c r="S8450" s="21">
        <v>0</v>
      </c>
      <c r="T8450" s="21">
        <v>0</v>
      </c>
      <c r="U8450" s="21">
        <v>0</v>
      </c>
      <c r="V8450" s="21">
        <v>0</v>
      </c>
      <c r="W8450" s="21">
        <v>2</v>
      </c>
      <c r="X8450" s="21">
        <v>0</v>
      </c>
      <c r="Y8450" s="21">
        <v>0</v>
      </c>
      <c r="Z8450" s="21">
        <v>0</v>
      </c>
      <c r="AA8450" s="21">
        <v>0</v>
      </c>
      <c r="AB8450" s="21">
        <v>0</v>
      </c>
      <c r="AC8450" s="21">
        <v>0</v>
      </c>
      <c r="AD8450" s="21">
        <v>0</v>
      </c>
      <c r="AE8450" s="21">
        <v>0</v>
      </c>
      <c r="AF8450" s="21">
        <v>0</v>
      </c>
      <c r="AG8450" s="21">
        <v>0</v>
      </c>
      <c r="AH8450" s="21">
        <f t="shared" si="172"/>
        <v>192</v>
      </c>
      <c r="AI8450" s="21"/>
      <c r="AJ8450" s="21" t="s">
        <v>51</v>
      </c>
      <c r="AK8450" s="21" t="s">
        <v>95</v>
      </c>
      <c r="AL8450" s="21" t="s">
        <v>4989</v>
      </c>
      <c r="AM8450" s="21" t="s">
        <v>4990</v>
      </c>
      <c r="AN8450" s="21">
        <v>-122.434725816667</v>
      </c>
      <c r="AO8450" s="21">
        <v>37.793204850000002</v>
      </c>
      <c r="AP8450" s="21" t="s">
        <v>951</v>
      </c>
    </row>
    <row r="8451" spans="1:42">
      <c r="A8451" s="20">
        <v>43854</v>
      </c>
      <c r="B8451" s="21">
        <v>5</v>
      </c>
      <c r="C8451" s="21">
        <v>223</v>
      </c>
      <c r="D8451" s="21">
        <v>14448</v>
      </c>
      <c r="E8451" t="s">
        <v>112</v>
      </c>
      <c r="F8451" s="21" t="s">
        <v>104</v>
      </c>
      <c r="G8451" s="21">
        <v>2</v>
      </c>
      <c r="H8451" s="21">
        <v>15</v>
      </c>
      <c r="I8451" s="23" t="s">
        <v>2365</v>
      </c>
      <c r="J8451" s="21"/>
      <c r="K8451" s="21" t="s">
        <v>647</v>
      </c>
      <c r="L8451" s="21"/>
      <c r="M8451" s="21"/>
      <c r="N8451" s="21" t="s">
        <v>44</v>
      </c>
      <c r="O8451" s="21">
        <v>164</v>
      </c>
      <c r="P8451" s="21"/>
      <c r="Q8451" s="21">
        <f t="shared" si="171"/>
        <v>5</v>
      </c>
      <c r="R8451" s="21">
        <v>1</v>
      </c>
      <c r="S8451" s="21">
        <v>0</v>
      </c>
      <c r="T8451" s="21">
        <v>0</v>
      </c>
      <c r="U8451" s="21">
        <v>0</v>
      </c>
      <c r="V8451" s="21">
        <v>4</v>
      </c>
      <c r="W8451" s="21">
        <v>1</v>
      </c>
      <c r="X8451" s="21">
        <v>0</v>
      </c>
      <c r="Y8451" s="21">
        <v>0</v>
      </c>
      <c r="Z8451" s="21">
        <v>0</v>
      </c>
      <c r="AA8451" s="21">
        <v>0</v>
      </c>
      <c r="AB8451" s="21">
        <v>0</v>
      </c>
      <c r="AC8451" s="21">
        <v>0</v>
      </c>
      <c r="AD8451" s="21">
        <v>0</v>
      </c>
      <c r="AE8451" s="21">
        <v>0</v>
      </c>
      <c r="AF8451" s="21">
        <v>0</v>
      </c>
      <c r="AG8451" s="21">
        <v>0</v>
      </c>
      <c r="AH8451" s="21">
        <f t="shared" si="172"/>
        <v>352</v>
      </c>
      <c r="AI8451" s="21"/>
      <c r="AJ8451" s="21" t="s">
        <v>54</v>
      </c>
      <c r="AK8451" s="21" t="s">
        <v>95</v>
      </c>
      <c r="AL8451" s="21" t="s">
        <v>4991</v>
      </c>
      <c r="AM8451" s="21" t="s">
        <v>4992</v>
      </c>
      <c r="AN8451" s="21">
        <v>-122.436122933333</v>
      </c>
      <c r="AO8451" s="21">
        <v>37.793188083333298</v>
      </c>
      <c r="AP8451" s="21" t="s">
        <v>951</v>
      </c>
    </row>
    <row r="8452" spans="1:42">
      <c r="A8452" s="20">
        <v>43854</v>
      </c>
      <c r="B8452" s="21">
        <v>5</v>
      </c>
      <c r="C8452" s="21">
        <v>223</v>
      </c>
      <c r="D8452" s="21">
        <v>14448</v>
      </c>
      <c r="E8452" t="s">
        <v>112</v>
      </c>
      <c r="F8452" s="21" t="s">
        <v>104</v>
      </c>
      <c r="G8452" s="21">
        <v>2</v>
      </c>
      <c r="H8452" s="21">
        <v>16</v>
      </c>
      <c r="I8452" s="23" t="s">
        <v>2160</v>
      </c>
      <c r="J8452" s="21"/>
      <c r="K8452" s="21" t="s">
        <v>2240</v>
      </c>
      <c r="L8452" s="21" t="s">
        <v>141</v>
      </c>
      <c r="M8452" s="21"/>
      <c r="N8452" s="21" t="s">
        <v>40</v>
      </c>
      <c r="O8452" s="21">
        <v>34</v>
      </c>
      <c r="P8452" s="21"/>
      <c r="Q8452" s="21">
        <f t="shared" si="171"/>
        <v>1</v>
      </c>
      <c r="R8452" s="21">
        <v>1</v>
      </c>
      <c r="S8452" s="21">
        <v>0</v>
      </c>
      <c r="T8452" s="21">
        <v>0</v>
      </c>
      <c r="U8452" s="21">
        <v>0</v>
      </c>
      <c r="V8452" s="21">
        <v>0</v>
      </c>
      <c r="W8452" s="21">
        <v>0</v>
      </c>
      <c r="X8452" s="21">
        <v>1</v>
      </c>
      <c r="Y8452" s="21">
        <v>0</v>
      </c>
      <c r="Z8452" s="21">
        <v>0</v>
      </c>
      <c r="AA8452" s="21">
        <v>0</v>
      </c>
      <c r="AB8452" s="21">
        <v>0</v>
      </c>
      <c r="AC8452" s="21">
        <v>0</v>
      </c>
      <c r="AD8452" s="21">
        <v>0</v>
      </c>
      <c r="AE8452" s="21">
        <v>0</v>
      </c>
      <c r="AF8452" s="21">
        <v>0</v>
      </c>
      <c r="AG8452" s="21">
        <v>0</v>
      </c>
      <c r="AH8452" s="21">
        <f t="shared" si="172"/>
        <v>0</v>
      </c>
      <c r="AI8452" s="21"/>
      <c r="AJ8452" s="21" t="s">
        <v>51</v>
      </c>
      <c r="AK8452" s="21" t="s">
        <v>95</v>
      </c>
      <c r="AL8452" s="21" t="s">
        <v>470</v>
      </c>
      <c r="AM8452" s="21" t="s">
        <v>4993</v>
      </c>
      <c r="AN8452" s="21">
        <v>-122.436353583333</v>
      </c>
      <c r="AO8452" s="21">
        <v>37.792205299999999</v>
      </c>
      <c r="AP8452" s="21" t="s">
        <v>951</v>
      </c>
    </row>
    <row r="8453" spans="1:42">
      <c r="A8453" s="20">
        <v>43854</v>
      </c>
      <c r="B8453" s="21">
        <v>5</v>
      </c>
      <c r="C8453" s="21">
        <v>223</v>
      </c>
      <c r="D8453" s="21">
        <v>14448</v>
      </c>
      <c r="E8453" t="s">
        <v>112</v>
      </c>
      <c r="F8453" s="21" t="s">
        <v>104</v>
      </c>
      <c r="G8453" s="21">
        <v>2</v>
      </c>
      <c r="H8453" s="21">
        <v>17</v>
      </c>
      <c r="I8453" s="23" t="s">
        <v>2536</v>
      </c>
      <c r="J8453" s="21"/>
      <c r="K8453" s="21" t="s">
        <v>113</v>
      </c>
      <c r="L8453" s="21"/>
      <c r="M8453" s="21"/>
      <c r="N8453" s="21" t="s">
        <v>40</v>
      </c>
      <c r="O8453" s="21">
        <v>30</v>
      </c>
      <c r="P8453" s="21"/>
      <c r="Q8453" s="21">
        <f t="shared" si="171"/>
        <v>1</v>
      </c>
      <c r="R8453" s="21">
        <v>1</v>
      </c>
      <c r="S8453" s="21">
        <v>0</v>
      </c>
      <c r="T8453" s="21">
        <v>0</v>
      </c>
      <c r="U8453" s="21">
        <v>0</v>
      </c>
      <c r="V8453" s="21">
        <v>0</v>
      </c>
      <c r="W8453" s="21">
        <v>0</v>
      </c>
      <c r="X8453" s="21">
        <v>1</v>
      </c>
      <c r="Y8453" s="21">
        <v>0</v>
      </c>
      <c r="Z8453" s="21">
        <v>0</v>
      </c>
      <c r="AA8453" s="21">
        <v>0</v>
      </c>
      <c r="AB8453" s="21">
        <v>0</v>
      </c>
      <c r="AC8453" s="21">
        <v>0</v>
      </c>
      <c r="AD8453" s="21">
        <v>0</v>
      </c>
      <c r="AE8453" s="21">
        <v>0</v>
      </c>
      <c r="AF8453" s="21">
        <v>0</v>
      </c>
      <c r="AG8453" s="21">
        <v>0</v>
      </c>
      <c r="AH8453" s="21">
        <f t="shared" si="172"/>
        <v>0</v>
      </c>
      <c r="AI8453" s="21"/>
      <c r="AJ8453" s="21" t="s">
        <v>51</v>
      </c>
      <c r="AK8453" s="21" t="s">
        <v>95</v>
      </c>
      <c r="AL8453" s="21" t="s">
        <v>470</v>
      </c>
      <c r="AM8453" s="21" t="s">
        <v>4994</v>
      </c>
      <c r="AN8453" s="21">
        <v>-122.43605366666699</v>
      </c>
      <c r="AO8453" s="21">
        <v>37.791399749999997</v>
      </c>
      <c r="AP8453" s="21" t="s">
        <v>951</v>
      </c>
    </row>
    <row r="8454" spans="1:42">
      <c r="A8454" s="20">
        <v>43854</v>
      </c>
      <c r="B8454" s="21">
        <v>5</v>
      </c>
      <c r="C8454" s="21">
        <v>223</v>
      </c>
      <c r="D8454" s="21">
        <v>14448</v>
      </c>
      <c r="E8454" t="s">
        <v>112</v>
      </c>
      <c r="F8454" s="21" t="s">
        <v>104</v>
      </c>
      <c r="G8454" s="21">
        <v>2</v>
      </c>
      <c r="H8454" s="21">
        <v>18</v>
      </c>
      <c r="I8454" s="23" t="s">
        <v>2711</v>
      </c>
      <c r="J8454" s="21"/>
      <c r="K8454" s="21" t="s">
        <v>68</v>
      </c>
      <c r="L8454" s="21"/>
      <c r="M8454" s="21"/>
      <c r="N8454" s="21" t="s">
        <v>40</v>
      </c>
      <c r="O8454" s="21">
        <v>41</v>
      </c>
      <c r="P8454" s="21"/>
      <c r="Q8454" s="21">
        <f t="shared" si="171"/>
        <v>1</v>
      </c>
      <c r="R8454" s="21">
        <v>1</v>
      </c>
      <c r="S8454" s="21">
        <v>0</v>
      </c>
      <c r="T8454" s="21">
        <v>0</v>
      </c>
      <c r="U8454" s="21">
        <v>0</v>
      </c>
      <c r="V8454" s="21">
        <v>0</v>
      </c>
      <c r="W8454" s="21">
        <v>0</v>
      </c>
      <c r="X8454" s="21">
        <v>1</v>
      </c>
      <c r="Y8454" s="21">
        <v>0</v>
      </c>
      <c r="Z8454" s="21">
        <v>0</v>
      </c>
      <c r="AA8454" s="21">
        <v>0</v>
      </c>
      <c r="AB8454" s="21">
        <v>0</v>
      </c>
      <c r="AC8454" s="21">
        <v>0</v>
      </c>
      <c r="AD8454" s="21">
        <v>0</v>
      </c>
      <c r="AE8454" s="21">
        <v>0</v>
      </c>
      <c r="AF8454" s="21">
        <v>0</v>
      </c>
      <c r="AG8454" s="21">
        <v>0</v>
      </c>
      <c r="AH8454" s="21">
        <f t="shared" si="172"/>
        <v>0</v>
      </c>
      <c r="AI8454" s="21"/>
      <c r="AJ8454" s="21" t="s">
        <v>51</v>
      </c>
      <c r="AK8454" s="21" t="s">
        <v>52</v>
      </c>
      <c r="AL8454" s="21" t="s">
        <v>470</v>
      </c>
      <c r="AM8454" s="21" t="s">
        <v>4995</v>
      </c>
      <c r="AN8454" s="21">
        <v>-122.437514233333</v>
      </c>
      <c r="AO8454" s="21">
        <v>37.790301616666703</v>
      </c>
      <c r="AP8454" s="21" t="s">
        <v>951</v>
      </c>
    </row>
    <row r="8455" spans="1:42">
      <c r="A8455" s="20">
        <v>43854</v>
      </c>
      <c r="B8455" s="21">
        <v>5</v>
      </c>
      <c r="C8455" s="21">
        <v>223</v>
      </c>
      <c r="D8455" s="21">
        <v>14448</v>
      </c>
      <c r="E8455" t="s">
        <v>112</v>
      </c>
      <c r="F8455" s="21" t="s">
        <v>104</v>
      </c>
      <c r="G8455" s="21">
        <v>2</v>
      </c>
      <c r="H8455" s="21">
        <v>19</v>
      </c>
      <c r="I8455" s="23" t="s">
        <v>2666</v>
      </c>
      <c r="J8455" s="21"/>
      <c r="K8455" s="21" t="s">
        <v>516</v>
      </c>
      <c r="L8455" s="21"/>
      <c r="M8455" s="21"/>
      <c r="N8455" s="21"/>
      <c r="O8455" s="21">
        <v>94</v>
      </c>
      <c r="P8455" s="21"/>
      <c r="Q8455" s="21">
        <f t="shared" si="171"/>
        <v>2</v>
      </c>
      <c r="R8455" s="21">
        <v>1</v>
      </c>
      <c r="S8455" s="21">
        <v>0</v>
      </c>
      <c r="T8455" s="21">
        <v>0</v>
      </c>
      <c r="U8455" s="21">
        <v>0</v>
      </c>
      <c r="V8455" s="21">
        <v>0</v>
      </c>
      <c r="W8455" s="21">
        <v>2</v>
      </c>
      <c r="X8455" s="21">
        <v>0</v>
      </c>
      <c r="Y8455" s="21">
        <v>0</v>
      </c>
      <c r="Z8455" s="21">
        <v>0</v>
      </c>
      <c r="AA8455" s="21">
        <v>0</v>
      </c>
      <c r="AB8455" s="21">
        <v>0</v>
      </c>
      <c r="AC8455" s="21">
        <v>0</v>
      </c>
      <c r="AD8455" s="21">
        <v>0</v>
      </c>
      <c r="AE8455" s="21">
        <v>0</v>
      </c>
      <c r="AF8455" s="21">
        <v>0</v>
      </c>
      <c r="AG8455" s="21">
        <v>0</v>
      </c>
      <c r="AH8455" s="21">
        <f t="shared" si="172"/>
        <v>192</v>
      </c>
      <c r="AI8455" s="21"/>
      <c r="AJ8455" s="21" t="s">
        <v>54</v>
      </c>
      <c r="AK8455" s="21" t="s">
        <v>95</v>
      </c>
      <c r="AL8455" s="21" t="s">
        <v>4996</v>
      </c>
      <c r="AM8455" s="21" t="s">
        <v>4997</v>
      </c>
      <c r="AN8455" s="21">
        <v>-122.440860716667</v>
      </c>
      <c r="AO8455" s="21">
        <v>37.790713783333302</v>
      </c>
      <c r="AP8455" s="21" t="s">
        <v>951</v>
      </c>
    </row>
    <row r="8456" spans="1:42">
      <c r="A8456" s="20">
        <v>43854</v>
      </c>
      <c r="B8456" s="21">
        <v>5</v>
      </c>
      <c r="C8456" s="21">
        <v>223</v>
      </c>
      <c r="D8456" s="21">
        <v>14448</v>
      </c>
      <c r="E8456" t="s">
        <v>112</v>
      </c>
      <c r="F8456" s="21" t="s">
        <v>104</v>
      </c>
      <c r="G8456" s="21">
        <v>2</v>
      </c>
      <c r="H8456" s="21">
        <v>20</v>
      </c>
      <c r="I8456" s="23" t="s">
        <v>2576</v>
      </c>
      <c r="J8456" s="21"/>
      <c r="K8456" s="21" t="s">
        <v>516</v>
      </c>
      <c r="L8456" s="21" t="s">
        <v>114</v>
      </c>
      <c r="M8456" s="21"/>
      <c r="N8456" s="21" t="s">
        <v>40</v>
      </c>
      <c r="O8456" s="21">
        <v>34</v>
      </c>
      <c r="P8456" s="21"/>
      <c r="Q8456" s="21">
        <f t="shared" si="171"/>
        <v>1</v>
      </c>
      <c r="R8456" s="21">
        <v>1</v>
      </c>
      <c r="S8456" s="21">
        <v>0</v>
      </c>
      <c r="T8456" s="21">
        <v>0</v>
      </c>
      <c r="U8456" s="21">
        <v>0</v>
      </c>
      <c r="V8456" s="21">
        <v>0</v>
      </c>
      <c r="W8456" s="21">
        <v>0</v>
      </c>
      <c r="X8456" s="21">
        <v>1</v>
      </c>
      <c r="Y8456" s="21">
        <v>0</v>
      </c>
      <c r="Z8456" s="21">
        <v>0</v>
      </c>
      <c r="AA8456" s="21">
        <v>0</v>
      </c>
      <c r="AB8456" s="21">
        <v>0</v>
      </c>
      <c r="AC8456" s="21">
        <v>0</v>
      </c>
      <c r="AD8456" s="21">
        <v>0</v>
      </c>
      <c r="AE8456" s="21">
        <v>0</v>
      </c>
      <c r="AF8456" s="21">
        <v>0</v>
      </c>
      <c r="AG8456" s="21">
        <v>0</v>
      </c>
      <c r="AH8456" s="21">
        <f t="shared" si="172"/>
        <v>0</v>
      </c>
      <c r="AI8456" s="21"/>
      <c r="AJ8456" s="21" t="s">
        <v>51</v>
      </c>
      <c r="AK8456" s="21" t="s">
        <v>95</v>
      </c>
      <c r="AL8456" s="21" t="s">
        <v>470</v>
      </c>
      <c r="AM8456" s="21" t="s">
        <v>4998</v>
      </c>
      <c r="AN8456" s="21">
        <v>-122.439382383333</v>
      </c>
      <c r="AO8456" s="21">
        <v>37.791169799999999</v>
      </c>
      <c r="AP8456" s="21" t="s">
        <v>951</v>
      </c>
    </row>
    <row r="8457" spans="1:42">
      <c r="A8457" s="20">
        <v>43854</v>
      </c>
      <c r="B8457" s="21">
        <v>5</v>
      </c>
      <c r="C8457" s="21">
        <v>223</v>
      </c>
      <c r="D8457" s="21">
        <v>14448</v>
      </c>
      <c r="E8457" t="s">
        <v>112</v>
      </c>
      <c r="F8457" s="21" t="s">
        <v>104</v>
      </c>
      <c r="G8457" s="21">
        <v>2</v>
      </c>
      <c r="H8457" s="21">
        <v>21</v>
      </c>
      <c r="I8457" s="23"/>
      <c r="J8457" s="21"/>
      <c r="K8457" s="21" t="s">
        <v>175</v>
      </c>
      <c r="L8457" s="21"/>
      <c r="M8457" s="21"/>
      <c r="N8457" s="21" t="s">
        <v>40</v>
      </c>
      <c r="O8457" s="21">
        <v>54</v>
      </c>
      <c r="P8457" s="21"/>
      <c r="Q8457" s="21">
        <f t="shared" si="171"/>
        <v>2</v>
      </c>
      <c r="R8457" s="21">
        <v>1</v>
      </c>
      <c r="S8457" s="21">
        <v>0</v>
      </c>
      <c r="T8457" s="21">
        <v>0</v>
      </c>
      <c r="U8457" s="21">
        <v>1</v>
      </c>
      <c r="V8457" s="21">
        <v>1</v>
      </c>
      <c r="W8457" s="21">
        <v>0</v>
      </c>
      <c r="X8457" s="21">
        <v>0</v>
      </c>
      <c r="Y8457" s="21">
        <v>0</v>
      </c>
      <c r="Z8457" s="21">
        <v>0</v>
      </c>
      <c r="AA8457" s="21">
        <v>0</v>
      </c>
      <c r="AB8457" s="21">
        <v>0</v>
      </c>
      <c r="AC8457" s="21">
        <v>0</v>
      </c>
      <c r="AD8457" s="21">
        <v>0</v>
      </c>
      <c r="AE8457" s="21">
        <v>0</v>
      </c>
      <c r="AF8457" s="21">
        <v>0</v>
      </c>
      <c r="AG8457" s="21">
        <v>0</v>
      </c>
      <c r="AH8457" s="21">
        <f t="shared" si="172"/>
        <v>96</v>
      </c>
      <c r="AI8457" s="21"/>
      <c r="AJ8457" s="21" t="s">
        <v>51</v>
      </c>
      <c r="AK8457" s="21" t="s">
        <v>95</v>
      </c>
      <c r="AL8457" s="21"/>
      <c r="AM8457" s="21" t="s">
        <v>4999</v>
      </c>
      <c r="AN8457" s="21">
        <v>-122.439548966667</v>
      </c>
      <c r="AO8457" s="21">
        <v>37.792118733333297</v>
      </c>
      <c r="AP8457" s="21" t="s">
        <v>951</v>
      </c>
    </row>
    <row r="8458" spans="1:42">
      <c r="A8458" s="20">
        <v>43854</v>
      </c>
      <c r="B8458" s="21">
        <v>5</v>
      </c>
      <c r="C8458" s="21">
        <v>223</v>
      </c>
      <c r="D8458" s="21">
        <v>14448</v>
      </c>
      <c r="E8458" t="s">
        <v>112</v>
      </c>
      <c r="F8458" s="21" t="s">
        <v>104</v>
      </c>
      <c r="G8458" s="21">
        <v>2</v>
      </c>
      <c r="H8458" s="21">
        <v>22</v>
      </c>
      <c r="I8458" s="23" t="s">
        <v>5000</v>
      </c>
      <c r="J8458" s="21"/>
      <c r="K8458" t="s">
        <v>605</v>
      </c>
      <c r="L8458" s="21"/>
      <c r="M8458" s="21"/>
      <c r="N8458" s="21" t="s">
        <v>44</v>
      </c>
      <c r="O8458" s="21">
        <v>131</v>
      </c>
      <c r="P8458" s="21"/>
      <c r="Q8458" s="21">
        <f t="shared" si="171"/>
        <v>1</v>
      </c>
      <c r="R8458" s="21">
        <v>1</v>
      </c>
      <c r="S8458" s="21">
        <v>0</v>
      </c>
      <c r="T8458" s="21">
        <v>0</v>
      </c>
      <c r="U8458" s="21">
        <v>0</v>
      </c>
      <c r="V8458" s="21">
        <v>1</v>
      </c>
      <c r="W8458" s="21">
        <v>0</v>
      </c>
      <c r="X8458" s="21">
        <v>0</v>
      </c>
      <c r="Y8458" s="21">
        <v>0</v>
      </c>
      <c r="Z8458" s="21">
        <v>0</v>
      </c>
      <c r="AA8458" s="21">
        <v>0</v>
      </c>
      <c r="AB8458" s="21">
        <v>0</v>
      </c>
      <c r="AC8458" s="21">
        <v>0</v>
      </c>
      <c r="AD8458" s="21">
        <v>0</v>
      </c>
      <c r="AE8458" s="21">
        <v>0</v>
      </c>
      <c r="AF8458" s="21">
        <v>0</v>
      </c>
      <c r="AG8458" s="21">
        <v>0</v>
      </c>
      <c r="AH8458" s="21">
        <f t="shared" si="172"/>
        <v>64</v>
      </c>
      <c r="AI8458" s="21"/>
      <c r="AJ8458" s="21" t="s">
        <v>51</v>
      </c>
      <c r="AK8458" s="21" t="s">
        <v>95</v>
      </c>
      <c r="AL8458" s="21" t="s">
        <v>5001</v>
      </c>
      <c r="AM8458" s="21" t="s">
        <v>5002</v>
      </c>
      <c r="AN8458" s="21">
        <v>-122.437576866667</v>
      </c>
      <c r="AO8458" s="21">
        <v>37.7930341333333</v>
      </c>
      <c r="AP8458" s="21" t="s">
        <v>951</v>
      </c>
    </row>
    <row r="8459" spans="1:42">
      <c r="A8459" s="20">
        <v>43854</v>
      </c>
      <c r="B8459" s="21">
        <v>5</v>
      </c>
      <c r="C8459" s="21">
        <v>223</v>
      </c>
      <c r="D8459" s="21">
        <v>14448</v>
      </c>
      <c r="E8459" t="s">
        <v>112</v>
      </c>
      <c r="F8459" s="21" t="s">
        <v>104</v>
      </c>
      <c r="G8459" s="21">
        <v>2</v>
      </c>
      <c r="H8459" s="21">
        <v>23</v>
      </c>
      <c r="I8459" s="23" t="s">
        <v>5003</v>
      </c>
      <c r="J8459" s="21"/>
      <c r="K8459" t="s">
        <v>605</v>
      </c>
      <c r="L8459" s="21"/>
      <c r="M8459" s="21"/>
      <c r="N8459" s="21" t="s">
        <v>44</v>
      </c>
      <c r="O8459" s="21">
        <v>75</v>
      </c>
      <c r="P8459" s="21"/>
      <c r="Q8459" s="21">
        <f t="shared" si="171"/>
        <v>1</v>
      </c>
      <c r="R8459" s="21">
        <v>1</v>
      </c>
      <c r="S8459" s="21">
        <v>0</v>
      </c>
      <c r="T8459" s="21">
        <v>0</v>
      </c>
      <c r="U8459" s="21">
        <v>1</v>
      </c>
      <c r="V8459" s="21">
        <v>0</v>
      </c>
      <c r="W8459" s="21">
        <v>0</v>
      </c>
      <c r="X8459" s="21">
        <v>0</v>
      </c>
      <c r="Y8459" s="21">
        <v>0</v>
      </c>
      <c r="Z8459" s="21">
        <v>0</v>
      </c>
      <c r="AA8459" s="21">
        <v>0</v>
      </c>
      <c r="AB8459" s="21">
        <v>0</v>
      </c>
      <c r="AC8459" s="21">
        <v>0</v>
      </c>
      <c r="AD8459" s="21">
        <v>0</v>
      </c>
      <c r="AE8459" s="21">
        <v>0</v>
      </c>
      <c r="AF8459" s="21">
        <v>0</v>
      </c>
      <c r="AG8459" s="21">
        <v>0</v>
      </c>
      <c r="AH8459" s="21">
        <f t="shared" si="172"/>
        <v>32</v>
      </c>
      <c r="AI8459" s="21"/>
      <c r="AJ8459" s="21" t="s">
        <v>51</v>
      </c>
      <c r="AK8459" s="21" t="s">
        <v>95</v>
      </c>
      <c r="AL8459" s="21"/>
      <c r="AM8459" s="21" t="s">
        <v>5004</v>
      </c>
      <c r="AN8459" s="21">
        <v>-122.436800366667</v>
      </c>
      <c r="AO8459" s="21">
        <v>37.793092066666702</v>
      </c>
      <c r="AP8459" s="21" t="s">
        <v>951</v>
      </c>
    </row>
    <row r="8460" spans="1:42">
      <c r="A8460" s="20">
        <v>43854</v>
      </c>
      <c r="B8460" s="21">
        <v>5</v>
      </c>
      <c r="C8460" s="21">
        <v>223</v>
      </c>
      <c r="D8460" s="21">
        <v>14448</v>
      </c>
      <c r="E8460" t="s">
        <v>112</v>
      </c>
      <c r="F8460" s="21" t="s">
        <v>104</v>
      </c>
      <c r="G8460" s="21">
        <v>2</v>
      </c>
      <c r="H8460" s="21">
        <v>24</v>
      </c>
      <c r="I8460" s="23" t="s">
        <v>5005</v>
      </c>
      <c r="J8460" s="21"/>
      <c r="K8460" t="s">
        <v>605</v>
      </c>
      <c r="L8460" s="21"/>
      <c r="M8460" s="21"/>
      <c r="N8460" s="21" t="s">
        <v>44</v>
      </c>
      <c r="O8460" s="21">
        <v>74</v>
      </c>
      <c r="P8460" s="21"/>
      <c r="Q8460" s="21">
        <f t="shared" si="171"/>
        <v>1</v>
      </c>
      <c r="R8460" s="21">
        <v>1</v>
      </c>
      <c r="S8460" s="21">
        <v>0</v>
      </c>
      <c r="T8460" s="21">
        <v>0</v>
      </c>
      <c r="U8460" s="21">
        <v>0</v>
      </c>
      <c r="V8460" s="21">
        <v>0</v>
      </c>
      <c r="W8460" s="21">
        <v>1</v>
      </c>
      <c r="X8460" s="21">
        <v>0</v>
      </c>
      <c r="Y8460" s="21">
        <v>0</v>
      </c>
      <c r="Z8460" s="21">
        <v>0</v>
      </c>
      <c r="AA8460" s="21">
        <v>0</v>
      </c>
      <c r="AB8460" s="21">
        <v>0</v>
      </c>
      <c r="AC8460" s="21">
        <v>0</v>
      </c>
      <c r="AD8460" s="21">
        <v>0</v>
      </c>
      <c r="AE8460" s="21">
        <v>0</v>
      </c>
      <c r="AF8460" s="21">
        <v>0</v>
      </c>
      <c r="AG8460" s="21">
        <v>0</v>
      </c>
      <c r="AH8460" s="21">
        <f t="shared" si="172"/>
        <v>96</v>
      </c>
      <c r="AI8460" s="21"/>
      <c r="AJ8460" s="21" t="s">
        <v>51</v>
      </c>
      <c r="AK8460" s="21" t="s">
        <v>95</v>
      </c>
      <c r="AL8460" s="21"/>
      <c r="AM8460" s="21" t="s">
        <v>5006</v>
      </c>
      <c r="AN8460" s="21">
        <v>-122.436623416667</v>
      </c>
      <c r="AO8460" s="21">
        <v>37.793141533333298</v>
      </c>
      <c r="AP8460" s="21" t="s">
        <v>951</v>
      </c>
    </row>
    <row r="8461" spans="1:42">
      <c r="A8461" s="20">
        <v>43854</v>
      </c>
      <c r="B8461" s="21">
        <v>5</v>
      </c>
      <c r="C8461" s="21">
        <v>223</v>
      </c>
      <c r="D8461" s="21">
        <v>14448</v>
      </c>
      <c r="E8461" t="s">
        <v>112</v>
      </c>
      <c r="F8461" s="21" t="s">
        <v>104</v>
      </c>
      <c r="G8461" s="21">
        <v>2</v>
      </c>
      <c r="H8461" s="21">
        <v>25</v>
      </c>
      <c r="I8461" s="23" t="s">
        <v>5007</v>
      </c>
      <c r="J8461" s="21"/>
      <c r="K8461" s="21" t="s">
        <v>113</v>
      </c>
      <c r="L8461" s="21" t="s">
        <v>114</v>
      </c>
      <c r="M8461" s="21"/>
      <c r="N8461" s="21" t="s">
        <v>40</v>
      </c>
      <c r="O8461" s="21">
        <v>39</v>
      </c>
      <c r="P8461" s="21"/>
      <c r="Q8461" s="21">
        <f t="shared" si="171"/>
        <v>1</v>
      </c>
      <c r="R8461" s="21">
        <v>1</v>
      </c>
      <c r="S8461" s="21">
        <v>0</v>
      </c>
      <c r="T8461" s="21">
        <v>0</v>
      </c>
      <c r="U8461" s="21">
        <v>0</v>
      </c>
      <c r="V8461" s="21">
        <v>0</v>
      </c>
      <c r="W8461" s="21">
        <v>1</v>
      </c>
      <c r="X8461" s="21">
        <v>0</v>
      </c>
      <c r="Y8461" s="21">
        <v>0</v>
      </c>
      <c r="Z8461" s="21">
        <v>0</v>
      </c>
      <c r="AA8461" s="21">
        <v>0</v>
      </c>
      <c r="AB8461" s="21">
        <v>0</v>
      </c>
      <c r="AC8461" s="21">
        <v>0</v>
      </c>
      <c r="AD8461" s="21">
        <v>0</v>
      </c>
      <c r="AE8461" s="21">
        <v>0</v>
      </c>
      <c r="AF8461" s="21">
        <v>0</v>
      </c>
      <c r="AG8461" s="21">
        <v>0</v>
      </c>
      <c r="AH8461" s="21">
        <f t="shared" si="172"/>
        <v>96</v>
      </c>
      <c r="AI8461" s="21"/>
      <c r="AJ8461" s="21" t="s">
        <v>51</v>
      </c>
      <c r="AK8461" s="21" t="s">
        <v>95</v>
      </c>
      <c r="AL8461" s="21"/>
      <c r="AM8461" s="21" t="s">
        <v>5008</v>
      </c>
      <c r="AN8461" s="21">
        <v>-122.43637433333301</v>
      </c>
      <c r="AO8461" s="21">
        <v>37.793061483333297</v>
      </c>
      <c r="AP8461" s="21" t="s">
        <v>951</v>
      </c>
    </row>
    <row r="8462" spans="1:42">
      <c r="A8462" s="20">
        <v>43854</v>
      </c>
      <c r="B8462" s="21">
        <v>5</v>
      </c>
      <c r="C8462" s="21">
        <v>223</v>
      </c>
      <c r="D8462" s="21">
        <v>14448</v>
      </c>
      <c r="E8462" t="s">
        <v>112</v>
      </c>
      <c r="F8462" s="21" t="s">
        <v>104</v>
      </c>
      <c r="G8462" s="21">
        <v>2</v>
      </c>
      <c r="H8462" s="21">
        <v>26</v>
      </c>
      <c r="I8462" s="23" t="s">
        <v>2711</v>
      </c>
      <c r="J8462" s="21"/>
      <c r="K8462" s="21" t="s">
        <v>909</v>
      </c>
      <c r="L8462" s="21" t="s">
        <v>114</v>
      </c>
      <c r="M8462" s="21"/>
      <c r="N8462" s="21" t="s">
        <v>40</v>
      </c>
      <c r="O8462" s="21">
        <v>48</v>
      </c>
      <c r="P8462" s="21"/>
      <c r="Q8462" s="21">
        <f t="shared" si="171"/>
        <v>1</v>
      </c>
      <c r="R8462" s="21">
        <v>1</v>
      </c>
      <c r="S8462" s="21">
        <v>0</v>
      </c>
      <c r="T8462" s="21">
        <v>0</v>
      </c>
      <c r="U8462" s="21">
        <v>1</v>
      </c>
      <c r="V8462" s="21">
        <v>0</v>
      </c>
      <c r="W8462" s="21">
        <v>0</v>
      </c>
      <c r="X8462" s="21">
        <v>0</v>
      </c>
      <c r="Y8462" s="21">
        <v>0</v>
      </c>
      <c r="Z8462" s="21">
        <v>0</v>
      </c>
      <c r="AA8462" s="21">
        <v>0</v>
      </c>
      <c r="AB8462" s="21">
        <v>0</v>
      </c>
      <c r="AC8462" s="21">
        <v>0</v>
      </c>
      <c r="AD8462" s="21">
        <v>0</v>
      </c>
      <c r="AE8462" s="21">
        <v>0</v>
      </c>
      <c r="AF8462" s="21">
        <v>0</v>
      </c>
      <c r="AG8462" s="21">
        <v>0</v>
      </c>
      <c r="AH8462" s="21">
        <f t="shared" si="172"/>
        <v>32</v>
      </c>
      <c r="AI8462" s="21"/>
      <c r="AJ8462" s="21" t="s">
        <v>51</v>
      </c>
      <c r="AK8462" s="21" t="s">
        <v>95</v>
      </c>
      <c r="AL8462" s="21"/>
      <c r="AM8462" s="21" t="s">
        <v>5009</v>
      </c>
      <c r="AN8462" s="21">
        <v>-122.434727266667</v>
      </c>
      <c r="AO8462" s="21">
        <v>37.793062083333297</v>
      </c>
      <c r="AP8462" s="21" t="s">
        <v>951</v>
      </c>
    </row>
    <row r="8463" spans="1:42">
      <c r="A8463" s="20">
        <v>43854</v>
      </c>
      <c r="B8463" s="21">
        <v>5</v>
      </c>
      <c r="C8463" s="21">
        <v>223</v>
      </c>
      <c r="D8463" s="21">
        <v>14448</v>
      </c>
      <c r="E8463" t="s">
        <v>112</v>
      </c>
      <c r="F8463" s="21" t="s">
        <v>104</v>
      </c>
      <c r="G8463" s="21">
        <v>2</v>
      </c>
      <c r="H8463" s="21">
        <v>27</v>
      </c>
      <c r="I8463" s="23" t="s">
        <v>5010</v>
      </c>
      <c r="J8463" s="21"/>
      <c r="K8463" s="21" t="s">
        <v>909</v>
      </c>
      <c r="L8463" s="21" t="s">
        <v>141</v>
      </c>
      <c r="M8463" s="21"/>
      <c r="N8463" s="21" t="s">
        <v>40</v>
      </c>
      <c r="O8463" s="21">
        <v>120</v>
      </c>
      <c r="P8463" s="21"/>
      <c r="Q8463" s="21">
        <f t="shared" si="171"/>
        <v>3</v>
      </c>
      <c r="R8463" s="21">
        <v>1</v>
      </c>
      <c r="S8463" s="21">
        <v>0</v>
      </c>
      <c r="T8463" s="21">
        <v>0</v>
      </c>
      <c r="U8463" s="21">
        <v>0</v>
      </c>
      <c r="V8463" s="21">
        <v>2</v>
      </c>
      <c r="W8463" s="21">
        <v>1</v>
      </c>
      <c r="X8463" s="21">
        <v>0</v>
      </c>
      <c r="Y8463" s="21">
        <v>0</v>
      </c>
      <c r="Z8463" s="21">
        <v>0</v>
      </c>
      <c r="AA8463" s="21">
        <v>0</v>
      </c>
      <c r="AB8463" s="21">
        <v>0</v>
      </c>
      <c r="AC8463" s="21">
        <v>0</v>
      </c>
      <c r="AD8463" s="21">
        <v>0</v>
      </c>
      <c r="AE8463" s="21">
        <v>0</v>
      </c>
      <c r="AF8463" s="21">
        <v>0</v>
      </c>
      <c r="AG8463" s="21">
        <v>0</v>
      </c>
      <c r="AH8463" s="21">
        <f t="shared" si="172"/>
        <v>224</v>
      </c>
      <c r="AI8463" s="21"/>
      <c r="AJ8463" s="21" t="s">
        <v>51</v>
      </c>
      <c r="AK8463" s="21" t="s">
        <v>52</v>
      </c>
      <c r="AL8463" s="21"/>
      <c r="AM8463" s="21" t="s">
        <v>5011</v>
      </c>
      <c r="AN8463" s="21">
        <v>-122.43468636666699</v>
      </c>
      <c r="AO8463" s="21">
        <v>37.792854966666702</v>
      </c>
      <c r="AP8463" s="21" t="s">
        <v>951</v>
      </c>
    </row>
    <row r="8464" spans="1:42">
      <c r="A8464" s="20">
        <v>43854</v>
      </c>
      <c r="B8464" s="21">
        <v>5</v>
      </c>
      <c r="C8464" s="21">
        <v>223</v>
      </c>
      <c r="D8464" s="21">
        <v>14448</v>
      </c>
      <c r="E8464" t="s">
        <v>112</v>
      </c>
      <c r="F8464" s="21" t="s">
        <v>104</v>
      </c>
      <c r="G8464" s="21">
        <v>2</v>
      </c>
      <c r="H8464" s="21">
        <v>28</v>
      </c>
      <c r="I8464" s="23" t="s">
        <v>5012</v>
      </c>
      <c r="J8464" s="21"/>
      <c r="K8464" s="21" t="s">
        <v>909</v>
      </c>
      <c r="L8464" s="21" t="s">
        <v>141</v>
      </c>
      <c r="M8464" s="21"/>
      <c r="N8464" s="21" t="s">
        <v>40</v>
      </c>
      <c r="O8464" s="21">
        <v>86</v>
      </c>
      <c r="P8464" s="21"/>
      <c r="Q8464" s="21">
        <f t="shared" si="171"/>
        <v>2</v>
      </c>
      <c r="R8464" s="21">
        <v>1</v>
      </c>
      <c r="S8464" s="21">
        <v>0</v>
      </c>
      <c r="T8464" s="21">
        <v>0</v>
      </c>
      <c r="U8464" s="21">
        <v>0</v>
      </c>
      <c r="V8464" s="21">
        <v>1</v>
      </c>
      <c r="W8464" s="21">
        <v>1</v>
      </c>
      <c r="X8464" s="21">
        <v>0</v>
      </c>
      <c r="Y8464" s="21">
        <v>0</v>
      </c>
      <c r="Z8464" s="21">
        <v>0</v>
      </c>
      <c r="AA8464" s="21">
        <v>0</v>
      </c>
      <c r="AB8464" s="21">
        <v>0</v>
      </c>
      <c r="AC8464" s="21">
        <v>0</v>
      </c>
      <c r="AD8464" s="21">
        <v>0</v>
      </c>
      <c r="AE8464" s="21">
        <v>0</v>
      </c>
      <c r="AF8464" s="21">
        <v>0</v>
      </c>
      <c r="AG8464" s="21">
        <v>0</v>
      </c>
      <c r="AH8464" s="21">
        <f t="shared" si="172"/>
        <v>160</v>
      </c>
      <c r="AI8464" s="21"/>
      <c r="AJ8464" s="21" t="s">
        <v>51</v>
      </c>
      <c r="AK8464" s="21" t="s">
        <v>95</v>
      </c>
      <c r="AL8464" s="21"/>
      <c r="AM8464" s="21" t="s">
        <v>5013</v>
      </c>
      <c r="AN8464" s="21">
        <v>-122.43455355</v>
      </c>
      <c r="AO8464" s="21">
        <v>37.792253033333303</v>
      </c>
      <c r="AP8464" s="21" t="s">
        <v>951</v>
      </c>
    </row>
    <row r="8465" spans="1:42">
      <c r="A8465" s="20">
        <v>43854</v>
      </c>
      <c r="B8465" s="21">
        <v>5</v>
      </c>
      <c r="C8465" s="21">
        <v>223</v>
      </c>
      <c r="D8465" s="21">
        <v>14448</v>
      </c>
      <c r="E8465" t="s">
        <v>112</v>
      </c>
      <c r="F8465" s="21" t="s">
        <v>104</v>
      </c>
      <c r="G8465" s="21">
        <v>2</v>
      </c>
      <c r="H8465" s="21">
        <v>29</v>
      </c>
      <c r="I8465" s="23" t="s">
        <v>2946</v>
      </c>
      <c r="J8465" s="21"/>
      <c r="K8465" s="21" t="s">
        <v>909</v>
      </c>
      <c r="L8465" s="21"/>
      <c r="M8465" s="21"/>
      <c r="N8465" s="21" t="s">
        <v>44</v>
      </c>
      <c r="O8465" s="21">
        <v>75</v>
      </c>
      <c r="P8465" s="21"/>
      <c r="Q8465" s="21">
        <f t="shared" si="171"/>
        <v>1</v>
      </c>
      <c r="R8465" s="21">
        <v>1</v>
      </c>
      <c r="S8465" s="21">
        <v>0</v>
      </c>
      <c r="T8465" s="21">
        <v>0</v>
      </c>
      <c r="U8465" s="21">
        <v>0</v>
      </c>
      <c r="V8465" s="21">
        <v>0</v>
      </c>
      <c r="W8465" s="21">
        <v>1</v>
      </c>
      <c r="X8465" s="21">
        <v>0</v>
      </c>
      <c r="Y8465" s="21">
        <v>0</v>
      </c>
      <c r="Z8465" s="21">
        <v>0</v>
      </c>
      <c r="AA8465" s="21">
        <v>0</v>
      </c>
      <c r="AB8465" s="21">
        <v>0</v>
      </c>
      <c r="AC8465" s="21">
        <v>0</v>
      </c>
      <c r="AD8465" s="21">
        <v>0</v>
      </c>
      <c r="AE8465" s="21">
        <v>0</v>
      </c>
      <c r="AF8465" s="21">
        <v>0</v>
      </c>
      <c r="AG8465" s="21">
        <v>0</v>
      </c>
      <c r="AH8465" s="21">
        <f t="shared" si="172"/>
        <v>96</v>
      </c>
      <c r="AI8465" s="21"/>
      <c r="AJ8465" s="21" t="s">
        <v>3023</v>
      </c>
      <c r="AK8465" s="21" t="s">
        <v>95</v>
      </c>
      <c r="AL8465" s="21" t="s">
        <v>5014</v>
      </c>
      <c r="AM8465" s="21" t="s">
        <v>5015</v>
      </c>
      <c r="AN8465" s="21">
        <v>-122.43439585</v>
      </c>
      <c r="AO8465" s="21">
        <v>37.7920308333333</v>
      </c>
      <c r="AP8465" s="21" t="s">
        <v>951</v>
      </c>
    </row>
    <row r="8466" spans="1:42">
      <c r="A8466" s="20">
        <v>43854</v>
      </c>
      <c r="B8466" s="21">
        <v>5</v>
      </c>
      <c r="C8466" s="21">
        <v>223</v>
      </c>
      <c r="D8466" s="21">
        <v>14448</v>
      </c>
      <c r="E8466" t="s">
        <v>112</v>
      </c>
      <c r="F8466" s="21" t="s">
        <v>104</v>
      </c>
      <c r="G8466" s="21">
        <v>2</v>
      </c>
      <c r="H8466" s="21">
        <v>30</v>
      </c>
      <c r="I8466" s="23" t="s">
        <v>3978</v>
      </c>
      <c r="J8466" s="21"/>
      <c r="K8466" s="21" t="s">
        <v>2554</v>
      </c>
      <c r="L8466" s="21"/>
      <c r="M8466" s="21"/>
      <c r="N8466" s="21" t="s">
        <v>44</v>
      </c>
      <c r="O8466" s="21">
        <v>103</v>
      </c>
      <c r="P8466" s="21"/>
      <c r="Q8466" s="21">
        <f t="shared" si="171"/>
        <v>1</v>
      </c>
      <c r="R8466" s="21">
        <v>1</v>
      </c>
      <c r="S8466" s="21">
        <v>0</v>
      </c>
      <c r="T8466" s="21">
        <v>0</v>
      </c>
      <c r="U8466" s="21">
        <v>0</v>
      </c>
      <c r="V8466" s="21">
        <v>0</v>
      </c>
      <c r="W8466" s="21">
        <v>1</v>
      </c>
      <c r="X8466" s="21">
        <v>0</v>
      </c>
      <c r="Y8466" s="21">
        <v>0</v>
      </c>
      <c r="Z8466" s="21">
        <v>0</v>
      </c>
      <c r="AA8466" s="21">
        <v>0</v>
      </c>
      <c r="AB8466" s="21">
        <v>0</v>
      </c>
      <c r="AC8466" s="21">
        <v>0</v>
      </c>
      <c r="AD8466" s="21">
        <v>0</v>
      </c>
      <c r="AE8466" s="21">
        <v>0</v>
      </c>
      <c r="AF8466" s="21">
        <v>0</v>
      </c>
      <c r="AG8466" s="21">
        <v>0</v>
      </c>
      <c r="AH8466" s="21">
        <f t="shared" si="172"/>
        <v>96</v>
      </c>
      <c r="AI8466" s="21"/>
      <c r="AJ8466" s="21" t="s">
        <v>51</v>
      </c>
      <c r="AK8466" s="21" t="s">
        <v>95</v>
      </c>
      <c r="AL8466" s="21"/>
      <c r="AM8466" s="21" t="s">
        <v>5016</v>
      </c>
      <c r="AN8466" s="21">
        <v>-122.434312233333</v>
      </c>
      <c r="AO8466" s="21">
        <v>37.791883916666599</v>
      </c>
      <c r="AP8466" s="21" t="s">
        <v>951</v>
      </c>
    </row>
    <row r="8467" spans="1:42">
      <c r="A8467" s="20">
        <v>43854</v>
      </c>
      <c r="B8467" s="21">
        <v>5</v>
      </c>
      <c r="C8467" s="21">
        <v>223</v>
      </c>
      <c r="D8467" s="21">
        <v>14448</v>
      </c>
      <c r="E8467" t="s">
        <v>112</v>
      </c>
      <c r="F8467" s="21" t="s">
        <v>104</v>
      </c>
      <c r="G8467" s="21">
        <v>2</v>
      </c>
      <c r="H8467" s="21">
        <v>32</v>
      </c>
      <c r="I8467" s="23" t="s">
        <v>5017</v>
      </c>
      <c r="J8467" s="21"/>
      <c r="K8467" s="21" t="s">
        <v>909</v>
      </c>
      <c r="L8467" s="21"/>
      <c r="M8467" s="21"/>
      <c r="N8467" s="21"/>
      <c r="O8467" s="21">
        <v>66</v>
      </c>
      <c r="P8467" s="21"/>
      <c r="Q8467" s="21">
        <f t="shared" si="171"/>
        <v>2</v>
      </c>
      <c r="R8467" s="21">
        <v>1</v>
      </c>
      <c r="S8467" s="21">
        <v>0</v>
      </c>
      <c r="T8467" s="21">
        <v>0</v>
      </c>
      <c r="U8467" s="21">
        <v>0</v>
      </c>
      <c r="V8467" s="21">
        <v>2</v>
      </c>
      <c r="W8467" s="21">
        <v>0</v>
      </c>
      <c r="X8467" s="21">
        <v>0</v>
      </c>
      <c r="Y8467" s="21">
        <v>0</v>
      </c>
      <c r="Z8467" s="21">
        <v>0</v>
      </c>
      <c r="AA8467" s="21">
        <v>0</v>
      </c>
      <c r="AB8467" s="21">
        <v>0</v>
      </c>
      <c r="AC8467" s="21">
        <v>0</v>
      </c>
      <c r="AD8467" s="21">
        <v>0</v>
      </c>
      <c r="AE8467" s="21">
        <v>0</v>
      </c>
      <c r="AF8467" s="21">
        <v>0</v>
      </c>
      <c r="AG8467" s="21">
        <v>0</v>
      </c>
      <c r="AH8467" s="21">
        <f t="shared" si="172"/>
        <v>128</v>
      </c>
      <c r="AI8467" s="21"/>
      <c r="AJ8467" s="21" t="s">
        <v>51</v>
      </c>
      <c r="AK8467" s="21" t="s">
        <v>95</v>
      </c>
      <c r="AL8467" s="21"/>
      <c r="AM8467" s="21" t="s">
        <v>5018</v>
      </c>
      <c r="AN8467" s="21">
        <v>-122.434266733333</v>
      </c>
      <c r="AO8467" s="21">
        <v>37.790977433333303</v>
      </c>
      <c r="AP8467" s="21" t="s">
        <v>951</v>
      </c>
    </row>
    <row r="8468" spans="1:42">
      <c r="A8468" s="20">
        <v>43854</v>
      </c>
      <c r="B8468" s="21">
        <v>5</v>
      </c>
      <c r="C8468" s="21">
        <v>223</v>
      </c>
      <c r="D8468" s="21">
        <v>14448</v>
      </c>
      <c r="E8468" t="s">
        <v>112</v>
      </c>
      <c r="F8468" s="21" t="s">
        <v>104</v>
      </c>
      <c r="G8468" s="21">
        <v>2</v>
      </c>
      <c r="H8468" s="21">
        <v>33</v>
      </c>
      <c r="I8468" s="23" t="s">
        <v>4002</v>
      </c>
      <c r="J8468" s="21"/>
      <c r="K8468" s="21" t="s">
        <v>2554</v>
      </c>
      <c r="L8468" s="21" t="s">
        <v>141</v>
      </c>
      <c r="M8468" s="21"/>
      <c r="N8468" s="21" t="s">
        <v>40</v>
      </c>
      <c r="O8468" s="21">
        <v>217</v>
      </c>
      <c r="P8468" s="21"/>
      <c r="Q8468" s="21">
        <f t="shared" si="171"/>
        <v>6</v>
      </c>
      <c r="R8468" s="21">
        <v>1</v>
      </c>
      <c r="S8468" s="21">
        <v>0</v>
      </c>
      <c r="T8468" s="21">
        <v>0</v>
      </c>
      <c r="U8468" s="21">
        <v>2</v>
      </c>
      <c r="V8468" s="21">
        <v>3</v>
      </c>
      <c r="W8468" s="21">
        <v>1</v>
      </c>
      <c r="X8468" s="21">
        <v>0</v>
      </c>
      <c r="Y8468" s="21">
        <v>0</v>
      </c>
      <c r="Z8468" s="21">
        <v>0</v>
      </c>
      <c r="AA8468" s="21">
        <v>0</v>
      </c>
      <c r="AB8468" s="21">
        <v>0</v>
      </c>
      <c r="AC8468" s="21">
        <v>0</v>
      </c>
      <c r="AD8468" s="21">
        <v>0</v>
      </c>
      <c r="AE8468" s="21">
        <v>0</v>
      </c>
      <c r="AF8468" s="21">
        <v>0</v>
      </c>
      <c r="AG8468" s="21">
        <v>0</v>
      </c>
      <c r="AH8468" s="21">
        <f t="shared" si="172"/>
        <v>352</v>
      </c>
      <c r="AI8468" s="21"/>
      <c r="AJ8468" s="21" t="s">
        <v>51</v>
      </c>
      <c r="AK8468" s="21" t="s">
        <v>95</v>
      </c>
      <c r="AL8468" s="21"/>
      <c r="AM8468" s="21" t="s">
        <v>5019</v>
      </c>
      <c r="AN8468" s="21">
        <v>-122.43395414526699</v>
      </c>
      <c r="AO8468" s="21">
        <v>37.7896179444541</v>
      </c>
      <c r="AP8468" s="21" t="s">
        <v>951</v>
      </c>
    </row>
    <row r="8469" spans="1:42">
      <c r="A8469" s="20">
        <v>43854</v>
      </c>
      <c r="B8469" s="21">
        <v>5</v>
      </c>
      <c r="C8469" s="21">
        <v>223</v>
      </c>
      <c r="D8469" s="21">
        <v>14448</v>
      </c>
      <c r="E8469" t="s">
        <v>112</v>
      </c>
      <c r="F8469" s="21" t="s">
        <v>104</v>
      </c>
      <c r="G8469" s="21">
        <v>2</v>
      </c>
      <c r="H8469" s="21">
        <v>34</v>
      </c>
      <c r="I8469" s="23" t="s">
        <v>4748</v>
      </c>
      <c r="J8469" s="21"/>
      <c r="K8469" s="21" t="s">
        <v>909</v>
      </c>
      <c r="L8469" s="21" t="s">
        <v>141</v>
      </c>
      <c r="M8469" s="21"/>
      <c r="N8469" s="21" t="s">
        <v>40</v>
      </c>
      <c r="O8469" s="21">
        <v>69</v>
      </c>
      <c r="P8469" s="21"/>
      <c r="Q8469" s="21">
        <f t="shared" si="171"/>
        <v>1</v>
      </c>
      <c r="R8469" s="21">
        <v>1</v>
      </c>
      <c r="S8469" s="21">
        <v>0</v>
      </c>
      <c r="T8469" s="21">
        <v>0</v>
      </c>
      <c r="U8469" s="21">
        <v>0</v>
      </c>
      <c r="V8469" s="21">
        <v>0</v>
      </c>
      <c r="W8469" s="21">
        <v>1</v>
      </c>
      <c r="X8469" s="21">
        <v>0</v>
      </c>
      <c r="Y8469" s="21">
        <v>0</v>
      </c>
      <c r="Z8469" s="21">
        <v>0</v>
      </c>
      <c r="AA8469" s="21">
        <v>0</v>
      </c>
      <c r="AB8469" s="21">
        <v>0</v>
      </c>
      <c r="AC8469" s="21">
        <v>0</v>
      </c>
      <c r="AD8469" s="21">
        <v>0</v>
      </c>
      <c r="AE8469" s="21">
        <v>0</v>
      </c>
      <c r="AF8469" s="21">
        <v>0</v>
      </c>
      <c r="AG8469" s="21">
        <v>0</v>
      </c>
      <c r="AH8469" s="21">
        <f t="shared" si="172"/>
        <v>96</v>
      </c>
      <c r="AI8469" s="21"/>
      <c r="AJ8469" s="21" t="s">
        <v>51</v>
      </c>
      <c r="AK8469" s="21" t="s">
        <v>95</v>
      </c>
      <c r="AL8469" s="21"/>
      <c r="AM8469" s="21" t="s">
        <v>5020</v>
      </c>
      <c r="AN8469" s="21">
        <v>-122.434116316667</v>
      </c>
      <c r="AO8469" s="21">
        <v>37.790104383333301</v>
      </c>
      <c r="AP8469" s="21" t="s">
        <v>951</v>
      </c>
    </row>
    <row r="8470" spans="1:42">
      <c r="A8470" s="20">
        <v>43854</v>
      </c>
      <c r="B8470" s="21">
        <v>5</v>
      </c>
      <c r="C8470" s="21">
        <v>223</v>
      </c>
      <c r="D8470" s="21">
        <v>14448</v>
      </c>
      <c r="E8470" t="s">
        <v>112</v>
      </c>
      <c r="F8470" s="21" t="s">
        <v>104</v>
      </c>
      <c r="G8470" s="21">
        <v>2</v>
      </c>
      <c r="H8470" s="21">
        <v>35</v>
      </c>
      <c r="I8470" s="23" t="s">
        <v>2851</v>
      </c>
      <c r="J8470" s="21"/>
      <c r="K8470" s="21" t="s">
        <v>909</v>
      </c>
      <c r="L8470" s="21" t="s">
        <v>141</v>
      </c>
      <c r="M8470" s="21"/>
      <c r="N8470" s="21" t="s">
        <v>42</v>
      </c>
      <c r="O8470" s="21">
        <v>75</v>
      </c>
      <c r="P8470" s="21"/>
      <c r="Q8470" s="21">
        <f t="shared" si="171"/>
        <v>2</v>
      </c>
      <c r="R8470" s="21">
        <v>1</v>
      </c>
      <c r="S8470" s="21">
        <v>0</v>
      </c>
      <c r="T8470" s="21">
        <v>0</v>
      </c>
      <c r="U8470" s="21">
        <v>0</v>
      </c>
      <c r="V8470" s="21">
        <v>1</v>
      </c>
      <c r="W8470" s="21">
        <v>1</v>
      </c>
      <c r="X8470" s="21">
        <v>0</v>
      </c>
      <c r="Y8470" s="21">
        <v>0</v>
      </c>
      <c r="Z8470" s="21">
        <v>0</v>
      </c>
      <c r="AA8470" s="21">
        <v>0</v>
      </c>
      <c r="AB8470" s="21">
        <v>0</v>
      </c>
      <c r="AC8470" s="21">
        <v>0</v>
      </c>
      <c r="AD8470" s="21">
        <v>0</v>
      </c>
      <c r="AE8470" s="21">
        <v>0</v>
      </c>
      <c r="AF8470" s="21">
        <v>0</v>
      </c>
      <c r="AG8470" s="21">
        <v>0</v>
      </c>
      <c r="AH8470" s="21">
        <f t="shared" si="172"/>
        <v>160</v>
      </c>
      <c r="AI8470" s="21"/>
      <c r="AJ8470" s="21" t="s">
        <v>51</v>
      </c>
      <c r="AK8470" s="21" t="s">
        <v>95</v>
      </c>
      <c r="AL8470" s="21"/>
      <c r="AM8470" s="21" t="s">
        <v>5021</v>
      </c>
      <c r="AN8470" s="21">
        <v>-122.43412429999999</v>
      </c>
      <c r="AO8470" s="21">
        <v>37.789902949999998</v>
      </c>
      <c r="AP8470" s="21" t="s">
        <v>951</v>
      </c>
    </row>
    <row r="8471" spans="1:42">
      <c r="A8471" s="20">
        <v>43854</v>
      </c>
      <c r="B8471" s="21">
        <v>5</v>
      </c>
      <c r="C8471" s="21">
        <v>223</v>
      </c>
      <c r="D8471" s="21">
        <v>14448</v>
      </c>
      <c r="E8471" t="s">
        <v>112</v>
      </c>
      <c r="F8471" s="21" t="s">
        <v>104</v>
      </c>
      <c r="G8471" s="21">
        <v>2</v>
      </c>
      <c r="H8471" s="21">
        <v>36</v>
      </c>
      <c r="I8471" s="23" t="s">
        <v>4062</v>
      </c>
      <c r="J8471" s="21"/>
      <c r="K8471" s="21" t="s">
        <v>192</v>
      </c>
      <c r="L8471" s="21" t="s">
        <v>141</v>
      </c>
      <c r="M8471" s="21"/>
      <c r="N8471" s="21" t="s">
        <v>40</v>
      </c>
      <c r="O8471" s="21">
        <v>57</v>
      </c>
      <c r="P8471" s="21"/>
      <c r="Q8471" s="21">
        <f t="shared" si="171"/>
        <v>1</v>
      </c>
      <c r="R8471" s="21">
        <v>1</v>
      </c>
      <c r="S8471" s="21">
        <v>0</v>
      </c>
      <c r="T8471" s="21">
        <v>0</v>
      </c>
      <c r="U8471" s="21">
        <v>0</v>
      </c>
      <c r="V8471" s="21">
        <v>0</v>
      </c>
      <c r="W8471" s="21">
        <v>1</v>
      </c>
      <c r="X8471" s="21">
        <v>0</v>
      </c>
      <c r="Y8471" s="21">
        <v>0</v>
      </c>
      <c r="Z8471" s="21">
        <v>0</v>
      </c>
      <c r="AA8471" s="21">
        <v>0</v>
      </c>
      <c r="AB8471" s="21">
        <v>0</v>
      </c>
      <c r="AC8471" s="21">
        <v>0</v>
      </c>
      <c r="AD8471" s="21">
        <v>0</v>
      </c>
      <c r="AE8471" s="21">
        <v>0</v>
      </c>
      <c r="AF8471" s="21">
        <v>0</v>
      </c>
      <c r="AG8471" s="21">
        <v>0</v>
      </c>
      <c r="AH8471" s="21">
        <f t="shared" si="172"/>
        <v>96</v>
      </c>
      <c r="AI8471" s="21"/>
      <c r="AJ8471" s="21" t="s">
        <v>51</v>
      </c>
      <c r="AK8471" s="21" t="s">
        <v>95</v>
      </c>
      <c r="AL8471" s="21"/>
      <c r="AM8471" s="21" t="s">
        <v>5022</v>
      </c>
      <c r="AN8471" s="21">
        <v>-122.43722225</v>
      </c>
      <c r="AO8471" s="21">
        <v>37.789426016666702</v>
      </c>
      <c r="AP8471" s="21" t="s">
        <v>951</v>
      </c>
    </row>
    <row r="8472" spans="1:42">
      <c r="A8472" s="20">
        <v>43854</v>
      </c>
      <c r="B8472" s="21">
        <v>5</v>
      </c>
      <c r="C8472" s="21">
        <v>223</v>
      </c>
      <c r="D8472" s="21">
        <v>14448</v>
      </c>
      <c r="E8472" t="s">
        <v>112</v>
      </c>
      <c r="F8472" s="21" t="s">
        <v>104</v>
      </c>
      <c r="G8472" s="21">
        <v>2</v>
      </c>
      <c r="H8472" s="21">
        <v>37</v>
      </c>
      <c r="I8472" s="23" t="s">
        <v>5023</v>
      </c>
      <c r="J8472" s="21"/>
      <c r="K8472" s="21" t="s">
        <v>68</v>
      </c>
      <c r="L8472" s="21"/>
      <c r="M8472" s="21"/>
      <c r="N8472" s="21" t="s">
        <v>44</v>
      </c>
      <c r="O8472" s="21">
        <v>189</v>
      </c>
      <c r="P8472" s="21"/>
      <c r="Q8472" s="21">
        <f t="shared" si="171"/>
        <v>2</v>
      </c>
      <c r="R8472" s="21">
        <v>1</v>
      </c>
      <c r="S8472" s="21">
        <v>0</v>
      </c>
      <c r="T8472" s="21">
        <v>0</v>
      </c>
      <c r="U8472" s="21">
        <v>0</v>
      </c>
      <c r="V8472" s="21">
        <v>1</v>
      </c>
      <c r="W8472" s="21">
        <v>1</v>
      </c>
      <c r="X8472" s="21">
        <v>0</v>
      </c>
      <c r="Y8472" s="21">
        <v>0</v>
      </c>
      <c r="Z8472" s="21">
        <v>0</v>
      </c>
      <c r="AA8472" s="21">
        <v>0</v>
      </c>
      <c r="AB8472" s="21">
        <v>0</v>
      </c>
      <c r="AC8472" s="21">
        <v>0</v>
      </c>
      <c r="AD8472" s="21">
        <v>0</v>
      </c>
      <c r="AE8472" s="21">
        <v>0</v>
      </c>
      <c r="AF8472" s="21">
        <v>0</v>
      </c>
      <c r="AG8472" s="21">
        <v>0</v>
      </c>
      <c r="AH8472" s="21">
        <f t="shared" si="172"/>
        <v>160</v>
      </c>
      <c r="AI8472" s="21"/>
      <c r="AJ8472" s="21" t="s">
        <v>51</v>
      </c>
      <c r="AK8472" s="21" t="s">
        <v>95</v>
      </c>
      <c r="AL8472" s="21"/>
      <c r="AM8472" s="21" t="s">
        <v>5024</v>
      </c>
      <c r="AN8472" s="21">
        <v>-122.43550886666701</v>
      </c>
      <c r="AO8472" s="21">
        <v>37.790487766666701</v>
      </c>
      <c r="AP8472" s="21" t="s">
        <v>951</v>
      </c>
    </row>
    <row r="8473" spans="1:42">
      <c r="A8473" s="20">
        <v>43854</v>
      </c>
      <c r="B8473" s="21">
        <v>5</v>
      </c>
      <c r="C8473" s="21">
        <v>223</v>
      </c>
      <c r="D8473" s="21">
        <v>14448</v>
      </c>
      <c r="E8473" t="s">
        <v>112</v>
      </c>
      <c r="F8473" s="21" t="s">
        <v>104</v>
      </c>
      <c r="G8473" s="21">
        <v>2</v>
      </c>
      <c r="H8473" s="21">
        <v>38</v>
      </c>
      <c r="I8473" s="23" t="s">
        <v>2160</v>
      </c>
      <c r="J8473" s="21"/>
      <c r="K8473" s="21" t="s">
        <v>68</v>
      </c>
      <c r="L8473" s="21" t="s">
        <v>141</v>
      </c>
      <c r="M8473" s="21"/>
      <c r="N8473" s="21" t="s">
        <v>40</v>
      </c>
      <c r="O8473" s="21">
        <v>34</v>
      </c>
      <c r="P8473" s="21"/>
      <c r="Q8473" s="21">
        <f t="shared" si="171"/>
        <v>1</v>
      </c>
      <c r="R8473" s="21">
        <v>1</v>
      </c>
      <c r="S8473" s="21">
        <v>0</v>
      </c>
      <c r="T8473" s="21">
        <v>0</v>
      </c>
      <c r="U8473" s="21">
        <v>1</v>
      </c>
      <c r="V8473" s="21">
        <v>0</v>
      </c>
      <c r="W8473" s="21">
        <v>0</v>
      </c>
      <c r="X8473" s="21">
        <v>0</v>
      </c>
      <c r="Y8473" s="21">
        <v>0</v>
      </c>
      <c r="Z8473" s="21">
        <v>0</v>
      </c>
      <c r="AA8473" s="21">
        <v>0</v>
      </c>
      <c r="AB8473" s="21">
        <v>0</v>
      </c>
      <c r="AC8473" s="21">
        <v>0</v>
      </c>
      <c r="AD8473" s="21">
        <v>0</v>
      </c>
      <c r="AE8473" s="21">
        <v>0</v>
      </c>
      <c r="AF8473" s="21">
        <v>0</v>
      </c>
      <c r="AG8473" s="21">
        <v>0</v>
      </c>
      <c r="AH8473" s="21">
        <f t="shared" si="172"/>
        <v>32</v>
      </c>
      <c r="AI8473" s="21"/>
      <c r="AJ8473" s="21" t="s">
        <v>51</v>
      </c>
      <c r="AK8473" s="21" t="s">
        <v>95</v>
      </c>
      <c r="AL8473" s="21"/>
      <c r="AM8473" s="21" t="s">
        <v>5025</v>
      </c>
      <c r="AN8473" s="21">
        <v>-122.434692383333</v>
      </c>
      <c r="AO8473" s="21">
        <v>37.790635299999998</v>
      </c>
      <c r="AP8473" s="21" t="s">
        <v>951</v>
      </c>
    </row>
    <row r="8474" spans="1:42">
      <c r="A8474" s="20">
        <v>43854</v>
      </c>
      <c r="B8474" s="21">
        <v>5</v>
      </c>
      <c r="C8474" s="21">
        <v>223</v>
      </c>
      <c r="D8474" s="21">
        <v>14448</v>
      </c>
      <c r="E8474" t="s">
        <v>112</v>
      </c>
      <c r="F8474" s="21" t="s">
        <v>104</v>
      </c>
      <c r="G8474" s="21">
        <v>2</v>
      </c>
      <c r="H8474" s="21">
        <v>39</v>
      </c>
      <c r="I8474" s="23" t="s">
        <v>2560</v>
      </c>
      <c r="J8474" s="21"/>
      <c r="K8474" s="21" t="s">
        <v>909</v>
      </c>
      <c r="L8474" s="21" t="s">
        <v>141</v>
      </c>
      <c r="M8474" s="21"/>
      <c r="N8474" s="21" t="s">
        <v>40</v>
      </c>
      <c r="O8474" s="21">
        <v>97</v>
      </c>
      <c r="P8474" s="21"/>
      <c r="Q8474" s="21">
        <f t="shared" si="171"/>
        <v>3</v>
      </c>
      <c r="R8474" s="21">
        <v>1</v>
      </c>
      <c r="S8474" s="21">
        <v>0</v>
      </c>
      <c r="T8474" s="21">
        <v>0</v>
      </c>
      <c r="U8474" s="21">
        <v>0</v>
      </c>
      <c r="V8474" s="21">
        <v>0</v>
      </c>
      <c r="W8474" s="21">
        <v>0</v>
      </c>
      <c r="X8474" s="21">
        <v>3</v>
      </c>
      <c r="Y8474" s="21">
        <v>0</v>
      </c>
      <c r="Z8474" s="21">
        <v>0</v>
      </c>
      <c r="AA8474" s="21">
        <v>0</v>
      </c>
      <c r="AB8474" s="21">
        <v>0</v>
      </c>
      <c r="AC8474" s="21">
        <v>0</v>
      </c>
      <c r="AD8474" s="21">
        <v>0</v>
      </c>
      <c r="AE8474" s="21">
        <v>0</v>
      </c>
      <c r="AF8474" s="21">
        <v>0</v>
      </c>
      <c r="AG8474" s="21">
        <v>0</v>
      </c>
      <c r="AH8474" s="21">
        <f t="shared" si="172"/>
        <v>0</v>
      </c>
      <c r="AI8474" s="21"/>
      <c r="AJ8474" s="21" t="s">
        <v>51</v>
      </c>
      <c r="AK8474" s="21" t="s">
        <v>95</v>
      </c>
      <c r="AL8474" s="21" t="s">
        <v>5026</v>
      </c>
      <c r="AM8474" s="21" t="s">
        <v>5027</v>
      </c>
      <c r="AN8474" s="21">
        <v>-122.43462858333299</v>
      </c>
      <c r="AO8474" s="21">
        <v>37.791592733333303</v>
      </c>
      <c r="AP8474" s="21" t="s">
        <v>951</v>
      </c>
    </row>
    <row r="8475" spans="1:42">
      <c r="A8475" s="20">
        <v>43854</v>
      </c>
      <c r="B8475" s="21">
        <v>5</v>
      </c>
      <c r="C8475" s="21">
        <v>223</v>
      </c>
      <c r="D8475" s="21">
        <v>14448</v>
      </c>
      <c r="E8475" t="s">
        <v>112</v>
      </c>
      <c r="F8475" s="21" t="s">
        <v>104</v>
      </c>
      <c r="G8475" s="21">
        <v>2</v>
      </c>
      <c r="H8475" s="21">
        <v>40</v>
      </c>
      <c r="I8475" s="23" t="s">
        <v>5028</v>
      </c>
      <c r="J8475" s="21"/>
      <c r="K8475" s="21" t="s">
        <v>1000</v>
      </c>
      <c r="L8475" s="21"/>
      <c r="M8475" s="21"/>
      <c r="N8475" s="21" t="s">
        <v>44</v>
      </c>
      <c r="O8475" s="21">
        <v>99</v>
      </c>
      <c r="P8475" s="21"/>
      <c r="Q8475" s="21">
        <f t="shared" si="171"/>
        <v>1</v>
      </c>
      <c r="R8475" s="21">
        <v>1</v>
      </c>
      <c r="S8475" s="21">
        <v>0</v>
      </c>
      <c r="T8475" s="21">
        <v>0</v>
      </c>
      <c r="U8475" s="21">
        <v>0</v>
      </c>
      <c r="V8475" s="21">
        <v>0</v>
      </c>
      <c r="W8475" s="21">
        <v>1</v>
      </c>
      <c r="X8475" s="21">
        <v>0</v>
      </c>
      <c r="Y8475" s="21">
        <v>0</v>
      </c>
      <c r="Z8475" s="21">
        <v>0</v>
      </c>
      <c r="AA8475" s="21">
        <v>0</v>
      </c>
      <c r="AB8475" s="21">
        <v>0</v>
      </c>
      <c r="AC8475" s="21">
        <v>0</v>
      </c>
      <c r="AD8475" s="21">
        <v>0</v>
      </c>
      <c r="AE8475" s="21">
        <v>0</v>
      </c>
      <c r="AF8475" s="21">
        <v>0</v>
      </c>
      <c r="AG8475" s="21">
        <v>0</v>
      </c>
      <c r="AH8475" s="21">
        <f t="shared" si="172"/>
        <v>96</v>
      </c>
      <c r="AI8475" s="21"/>
      <c r="AJ8475" s="21" t="s">
        <v>51</v>
      </c>
      <c r="AK8475" s="21" t="s">
        <v>95</v>
      </c>
      <c r="AL8475" s="21"/>
      <c r="AM8475" s="21" t="s">
        <v>5029</v>
      </c>
      <c r="AN8475" s="21">
        <v>-122.434775883333</v>
      </c>
      <c r="AO8475" s="21">
        <v>37.791604733333301</v>
      </c>
      <c r="AP8475" s="21" t="s">
        <v>951</v>
      </c>
    </row>
    <row r="8476" spans="1:42">
      <c r="A8476" s="20">
        <v>43854</v>
      </c>
      <c r="B8476" s="21">
        <v>5</v>
      </c>
      <c r="C8476" s="21">
        <v>223</v>
      </c>
      <c r="D8476" s="21">
        <v>14448</v>
      </c>
      <c r="E8476" t="s">
        <v>112</v>
      </c>
      <c r="F8476" s="21" t="s">
        <v>104</v>
      </c>
      <c r="G8476" s="21">
        <v>2</v>
      </c>
      <c r="H8476" s="21">
        <v>41</v>
      </c>
      <c r="I8476" s="23" t="s">
        <v>5030</v>
      </c>
      <c r="J8476" s="21"/>
      <c r="K8476" s="21" t="s">
        <v>1000</v>
      </c>
      <c r="L8476" s="21" t="s">
        <v>114</v>
      </c>
      <c r="M8476" s="21"/>
      <c r="N8476" s="21" t="s">
        <v>42</v>
      </c>
      <c r="O8476" s="21">
        <v>330</v>
      </c>
      <c r="P8476" s="21"/>
      <c r="Q8476" s="21">
        <f t="shared" si="171"/>
        <v>3</v>
      </c>
      <c r="R8476" s="21">
        <v>1</v>
      </c>
      <c r="S8476" s="21">
        <v>0</v>
      </c>
      <c r="T8476" s="21">
        <v>0</v>
      </c>
      <c r="U8476" s="21">
        <v>1</v>
      </c>
      <c r="V8476" s="21">
        <v>0</v>
      </c>
      <c r="W8476" s="21">
        <v>2</v>
      </c>
      <c r="X8476" s="21">
        <v>0</v>
      </c>
      <c r="Y8476" s="21">
        <v>0</v>
      </c>
      <c r="Z8476" s="21">
        <v>0</v>
      </c>
      <c r="AA8476" s="21">
        <v>0</v>
      </c>
      <c r="AB8476" s="21">
        <v>0</v>
      </c>
      <c r="AC8476" s="21">
        <v>0</v>
      </c>
      <c r="AD8476" s="21">
        <v>0</v>
      </c>
      <c r="AE8476" s="21">
        <v>0</v>
      </c>
      <c r="AF8476" s="21">
        <v>0</v>
      </c>
      <c r="AG8476" s="21">
        <v>0</v>
      </c>
      <c r="AH8476" s="21">
        <f t="shared" si="172"/>
        <v>224</v>
      </c>
      <c r="AI8476" s="21"/>
      <c r="AJ8476" s="21" t="s">
        <v>3023</v>
      </c>
      <c r="AK8476" s="21" t="s">
        <v>95</v>
      </c>
      <c r="AL8476" s="21" t="s">
        <v>5031</v>
      </c>
      <c r="AM8476" s="21" t="s">
        <v>5032</v>
      </c>
      <c r="AN8476" s="21">
        <v>-122.434951566667</v>
      </c>
      <c r="AO8476" s="21">
        <v>37.791608716666701</v>
      </c>
      <c r="AP8476" s="21" t="s">
        <v>951</v>
      </c>
    </row>
    <row r="8477" spans="1:42">
      <c r="A8477" s="20">
        <v>43854</v>
      </c>
      <c r="B8477" s="21">
        <v>5</v>
      </c>
      <c r="C8477" s="21">
        <v>223</v>
      </c>
      <c r="D8477" s="21">
        <v>14448</v>
      </c>
      <c r="E8477" t="s">
        <v>112</v>
      </c>
      <c r="F8477" s="21" t="s">
        <v>104</v>
      </c>
      <c r="G8477" s="21">
        <v>2</v>
      </c>
      <c r="H8477" s="21">
        <v>42</v>
      </c>
      <c r="I8477" s="23" t="s">
        <v>5033</v>
      </c>
      <c r="J8477" s="21"/>
      <c r="K8477" s="21" t="s">
        <v>516</v>
      </c>
      <c r="L8477" s="21" t="s">
        <v>114</v>
      </c>
      <c r="M8477" s="21"/>
      <c r="N8477" s="21" t="s">
        <v>42</v>
      </c>
      <c r="O8477" s="21">
        <v>216</v>
      </c>
      <c r="P8477" s="21"/>
      <c r="Q8477" s="21">
        <f t="shared" si="171"/>
        <v>4</v>
      </c>
      <c r="R8477" s="21">
        <v>1</v>
      </c>
      <c r="S8477" s="21">
        <v>0</v>
      </c>
      <c r="T8477" s="21">
        <v>0</v>
      </c>
      <c r="U8477" s="21">
        <v>1</v>
      </c>
      <c r="V8477" s="21">
        <v>3</v>
      </c>
      <c r="W8477" s="21">
        <v>0</v>
      </c>
      <c r="X8477" s="21">
        <v>0</v>
      </c>
      <c r="Y8477" s="21">
        <v>0</v>
      </c>
      <c r="Z8477" s="21">
        <v>0</v>
      </c>
      <c r="AA8477" s="21">
        <v>0</v>
      </c>
      <c r="AB8477" s="21">
        <v>0</v>
      </c>
      <c r="AC8477" s="21">
        <v>0</v>
      </c>
      <c r="AD8477" s="21">
        <v>0</v>
      </c>
      <c r="AE8477" s="21">
        <v>0</v>
      </c>
      <c r="AF8477" s="21">
        <v>0</v>
      </c>
      <c r="AG8477" s="21">
        <v>0</v>
      </c>
      <c r="AH8477" s="21">
        <f t="shared" si="172"/>
        <v>224</v>
      </c>
      <c r="AI8477" s="21"/>
      <c r="AJ8477" s="21" t="s">
        <v>51</v>
      </c>
      <c r="AK8477" s="21" t="s">
        <v>95</v>
      </c>
      <c r="AL8477" s="21"/>
      <c r="AM8477" s="21" t="s">
        <v>5034</v>
      </c>
      <c r="AN8477" s="21">
        <v>-122.435807783333</v>
      </c>
      <c r="AO8477" s="21">
        <v>37.7914070666667</v>
      </c>
      <c r="AP8477" s="21" t="s">
        <v>951</v>
      </c>
    </row>
    <row r="8478" spans="1:42">
      <c r="A8478" s="20">
        <v>43854</v>
      </c>
      <c r="B8478" s="21">
        <v>5</v>
      </c>
      <c r="C8478" s="21">
        <v>223</v>
      </c>
      <c r="D8478" s="21">
        <v>14448</v>
      </c>
      <c r="E8478" t="s">
        <v>112</v>
      </c>
      <c r="F8478" s="21" t="s">
        <v>104</v>
      </c>
      <c r="G8478" s="21">
        <v>2</v>
      </c>
      <c r="H8478" s="21">
        <v>43</v>
      </c>
      <c r="I8478" s="23" t="s">
        <v>2348</v>
      </c>
      <c r="J8478" s="21"/>
      <c r="K8478" s="21" t="s">
        <v>113</v>
      </c>
      <c r="L8478" s="21"/>
      <c r="M8478" s="21"/>
      <c r="N8478" s="21" t="s">
        <v>44</v>
      </c>
      <c r="O8478" s="21">
        <v>296</v>
      </c>
      <c r="P8478" s="21"/>
      <c r="Q8478" s="21">
        <f t="shared" si="171"/>
        <v>2</v>
      </c>
      <c r="R8478" s="21">
        <v>1</v>
      </c>
      <c r="S8478" s="21">
        <v>0</v>
      </c>
      <c r="T8478" s="21">
        <v>0</v>
      </c>
      <c r="U8478" s="21">
        <v>0</v>
      </c>
      <c r="V8478" s="21">
        <v>0</v>
      </c>
      <c r="W8478" s="21">
        <v>2</v>
      </c>
      <c r="X8478" s="21">
        <v>0</v>
      </c>
      <c r="Y8478" s="21">
        <v>0</v>
      </c>
      <c r="Z8478" s="21">
        <v>0</v>
      </c>
      <c r="AA8478" s="21">
        <v>0</v>
      </c>
      <c r="AB8478" s="21">
        <v>0</v>
      </c>
      <c r="AC8478" s="21">
        <v>0</v>
      </c>
      <c r="AD8478" s="21">
        <v>0</v>
      </c>
      <c r="AE8478" s="21">
        <v>0</v>
      </c>
      <c r="AF8478" s="21">
        <v>0</v>
      </c>
      <c r="AG8478" s="21">
        <v>0</v>
      </c>
      <c r="AH8478" s="21">
        <f t="shared" si="172"/>
        <v>192</v>
      </c>
      <c r="AI8478" s="21"/>
      <c r="AJ8478" s="21" t="s">
        <v>51</v>
      </c>
      <c r="AK8478" s="21" t="s">
        <v>95</v>
      </c>
      <c r="AL8478" s="21" t="s">
        <v>5035</v>
      </c>
      <c r="AM8478" s="21" t="s">
        <v>5036</v>
      </c>
      <c r="AN8478" s="21">
        <v>-122.436151133333</v>
      </c>
      <c r="AO8478" s="21">
        <v>37.791937283333297</v>
      </c>
      <c r="AP8478" s="21" t="s">
        <v>951</v>
      </c>
    </row>
    <row r="8479" spans="1:42">
      <c r="A8479" s="20">
        <v>43854</v>
      </c>
      <c r="B8479" s="21">
        <v>5</v>
      </c>
      <c r="C8479" s="21">
        <v>223</v>
      </c>
      <c r="D8479" s="21">
        <v>14448</v>
      </c>
      <c r="E8479" t="s">
        <v>112</v>
      </c>
      <c r="F8479" s="21" t="s">
        <v>104</v>
      </c>
      <c r="G8479" s="21">
        <v>2</v>
      </c>
      <c r="H8479" s="21">
        <v>44</v>
      </c>
      <c r="I8479" s="23" t="s">
        <v>2560</v>
      </c>
      <c r="J8479" s="21"/>
      <c r="K8479" s="21" t="s">
        <v>647</v>
      </c>
      <c r="L8479" s="21"/>
      <c r="M8479" s="21"/>
      <c r="N8479" s="21" t="s">
        <v>44</v>
      </c>
      <c r="O8479" s="21">
        <v>60</v>
      </c>
      <c r="P8479" s="21"/>
      <c r="Q8479" s="21">
        <f t="shared" si="171"/>
        <v>1</v>
      </c>
      <c r="R8479" s="21">
        <v>1</v>
      </c>
      <c r="S8479" s="21">
        <v>0</v>
      </c>
      <c r="T8479" s="21">
        <v>0</v>
      </c>
      <c r="U8479" s="21">
        <v>0</v>
      </c>
      <c r="V8479" s="21">
        <v>0</v>
      </c>
      <c r="W8479" s="21">
        <v>1</v>
      </c>
      <c r="X8479" s="21">
        <v>0</v>
      </c>
      <c r="Y8479" s="21">
        <v>0</v>
      </c>
      <c r="Z8479" s="21">
        <v>0</v>
      </c>
      <c r="AA8479" s="21">
        <v>0</v>
      </c>
      <c r="AB8479" s="21">
        <v>0</v>
      </c>
      <c r="AC8479" s="21">
        <v>0</v>
      </c>
      <c r="AD8479" s="21">
        <v>0</v>
      </c>
      <c r="AE8479" s="21">
        <v>0</v>
      </c>
      <c r="AF8479" s="21">
        <v>0</v>
      </c>
      <c r="AG8479" s="21">
        <v>0</v>
      </c>
      <c r="AH8479" s="21">
        <f t="shared" si="172"/>
        <v>96</v>
      </c>
      <c r="AI8479" s="21"/>
      <c r="AJ8479" s="21" t="s">
        <v>51</v>
      </c>
      <c r="AK8479" s="21" t="s">
        <v>95</v>
      </c>
      <c r="AL8479" s="21"/>
      <c r="AM8479" s="21" t="s">
        <v>5037</v>
      </c>
      <c r="AN8479" s="21">
        <v>-122.434899933333</v>
      </c>
      <c r="AO8479" s="21">
        <v>37.792447166666697</v>
      </c>
      <c r="AP8479" s="21" t="s">
        <v>951</v>
      </c>
    </row>
    <row r="8480" spans="1:42">
      <c r="A8480" s="20">
        <v>43854</v>
      </c>
      <c r="B8480" s="21">
        <v>5</v>
      </c>
      <c r="C8480" s="21">
        <v>223</v>
      </c>
      <c r="D8480" s="21">
        <v>14448</v>
      </c>
      <c r="E8480" t="s">
        <v>112</v>
      </c>
      <c r="F8480" s="21" t="s">
        <v>104</v>
      </c>
      <c r="G8480" s="21">
        <v>2</v>
      </c>
      <c r="H8480" s="21">
        <v>45</v>
      </c>
      <c r="I8480" s="23" t="s">
        <v>5038</v>
      </c>
      <c r="J8480" s="21"/>
      <c r="K8480" s="21" t="s">
        <v>516</v>
      </c>
      <c r="L8480" s="21"/>
      <c r="M8480" s="21"/>
      <c r="N8480" s="21" t="s">
        <v>44</v>
      </c>
      <c r="O8480" s="21">
        <v>73</v>
      </c>
      <c r="P8480" s="21"/>
      <c r="Q8480" s="21">
        <f t="shared" si="171"/>
        <v>1</v>
      </c>
      <c r="R8480" s="21">
        <v>1</v>
      </c>
      <c r="S8480" s="21">
        <v>0</v>
      </c>
      <c r="T8480" s="21">
        <v>0</v>
      </c>
      <c r="U8480" s="21">
        <v>0</v>
      </c>
      <c r="V8480" s="21">
        <v>0</v>
      </c>
      <c r="W8480" s="21">
        <v>1</v>
      </c>
      <c r="X8480" s="21">
        <v>0</v>
      </c>
      <c r="Y8480" s="21">
        <v>0</v>
      </c>
      <c r="Z8480" s="21">
        <v>0</v>
      </c>
      <c r="AA8480" s="21">
        <v>0</v>
      </c>
      <c r="AB8480" s="21">
        <v>0</v>
      </c>
      <c r="AC8480" s="21">
        <v>0</v>
      </c>
      <c r="AD8480" s="21">
        <v>0</v>
      </c>
      <c r="AE8480" s="21">
        <v>0</v>
      </c>
      <c r="AF8480" s="21">
        <v>0</v>
      </c>
      <c r="AG8480" s="21">
        <v>0</v>
      </c>
      <c r="AH8480" s="21">
        <f t="shared" si="172"/>
        <v>96</v>
      </c>
      <c r="AI8480" s="21"/>
      <c r="AJ8480" s="21" t="s">
        <v>51</v>
      </c>
      <c r="AK8480" s="21" t="s">
        <v>95</v>
      </c>
      <c r="AL8480" s="21" t="s">
        <v>2111</v>
      </c>
      <c r="AM8480" s="21" t="s">
        <v>5039</v>
      </c>
      <c r="AN8480" s="21">
        <v>-122.43549705</v>
      </c>
      <c r="AO8480" s="21">
        <v>37.790552916666698</v>
      </c>
      <c r="AP8480" s="21" t="s">
        <v>951</v>
      </c>
    </row>
    <row r="8481" spans="1:42">
      <c r="A8481" s="20">
        <v>43854</v>
      </c>
      <c r="B8481" s="21">
        <v>5</v>
      </c>
      <c r="C8481" s="21">
        <v>223</v>
      </c>
      <c r="D8481" s="21">
        <v>14448</v>
      </c>
      <c r="E8481" t="s">
        <v>112</v>
      </c>
      <c r="F8481" s="21" t="s">
        <v>104</v>
      </c>
      <c r="G8481" s="21">
        <v>2</v>
      </c>
      <c r="H8481" s="21">
        <v>46</v>
      </c>
      <c r="I8481" s="23" t="s">
        <v>5040</v>
      </c>
      <c r="J8481" s="21"/>
      <c r="K8481" s="21" t="s">
        <v>516</v>
      </c>
      <c r="L8481" s="21"/>
      <c r="M8481" s="21"/>
      <c r="N8481" s="21" t="s">
        <v>44</v>
      </c>
      <c r="O8481" s="21">
        <v>240</v>
      </c>
      <c r="P8481" s="21"/>
      <c r="Q8481" s="21">
        <f t="shared" si="171"/>
        <v>2</v>
      </c>
      <c r="R8481" s="21">
        <v>1</v>
      </c>
      <c r="S8481" s="21">
        <v>0</v>
      </c>
      <c r="T8481" s="21">
        <v>0</v>
      </c>
      <c r="U8481" s="21">
        <v>0</v>
      </c>
      <c r="V8481" s="21">
        <v>2</v>
      </c>
      <c r="W8481" s="21">
        <v>0</v>
      </c>
      <c r="X8481" s="21">
        <v>0</v>
      </c>
      <c r="Y8481" s="21">
        <v>0</v>
      </c>
      <c r="Z8481" s="21">
        <v>0</v>
      </c>
      <c r="AA8481" s="21">
        <v>0</v>
      </c>
      <c r="AB8481" s="21">
        <v>0</v>
      </c>
      <c r="AC8481" s="21">
        <v>0</v>
      </c>
      <c r="AD8481" s="21">
        <v>0</v>
      </c>
      <c r="AE8481" s="21">
        <v>0</v>
      </c>
      <c r="AF8481" s="21">
        <v>0</v>
      </c>
      <c r="AG8481" s="21">
        <v>0</v>
      </c>
      <c r="AH8481" s="21">
        <f t="shared" si="172"/>
        <v>128</v>
      </c>
      <c r="AI8481" s="21"/>
      <c r="AJ8481" s="21" t="s">
        <v>3023</v>
      </c>
      <c r="AK8481" s="21" t="s">
        <v>95</v>
      </c>
      <c r="AL8481" s="21"/>
      <c r="AM8481" s="21" t="s">
        <v>5041</v>
      </c>
      <c r="AN8481" s="21">
        <v>-122.435452666667</v>
      </c>
      <c r="AO8481" s="21">
        <v>37.791453783333303</v>
      </c>
      <c r="AP8481" s="21" t="s">
        <v>951</v>
      </c>
    </row>
    <row r="8482" spans="1:42">
      <c r="A8482" s="20">
        <v>43854</v>
      </c>
      <c r="B8482" s="21">
        <v>5</v>
      </c>
      <c r="C8482" s="21">
        <v>223</v>
      </c>
      <c r="D8482" s="21">
        <v>14448</v>
      </c>
      <c r="E8482" t="s">
        <v>112</v>
      </c>
      <c r="F8482" s="21" t="s">
        <v>104</v>
      </c>
      <c r="G8482" s="21">
        <v>2</v>
      </c>
      <c r="H8482" s="21">
        <v>47</v>
      </c>
      <c r="I8482" s="23" t="s">
        <v>5042</v>
      </c>
      <c r="J8482" s="21"/>
      <c r="K8482" s="21"/>
      <c r="L8482" s="21" t="s">
        <v>114</v>
      </c>
      <c r="M8482" s="21"/>
      <c r="N8482" s="21" t="s">
        <v>40</v>
      </c>
      <c r="O8482" s="21">
        <v>146</v>
      </c>
      <c r="P8482" s="21"/>
      <c r="Q8482" s="21">
        <f t="shared" si="171"/>
        <v>4</v>
      </c>
      <c r="R8482" s="21">
        <v>1</v>
      </c>
      <c r="S8482" s="21">
        <v>1</v>
      </c>
      <c r="T8482" s="21">
        <v>0</v>
      </c>
      <c r="U8482" s="21">
        <v>3</v>
      </c>
      <c r="V8482" s="21">
        <v>0</v>
      </c>
      <c r="W8482" s="21">
        <v>0</v>
      </c>
      <c r="X8482" s="21">
        <v>0</v>
      </c>
      <c r="Y8482" s="21">
        <v>0</v>
      </c>
      <c r="Z8482" s="21">
        <v>0</v>
      </c>
      <c r="AA8482" s="21">
        <v>0</v>
      </c>
      <c r="AB8482" s="21">
        <v>0</v>
      </c>
      <c r="AC8482" s="21">
        <v>0</v>
      </c>
      <c r="AD8482" s="21">
        <v>0</v>
      </c>
      <c r="AE8482" s="21">
        <v>0</v>
      </c>
      <c r="AF8482" s="21">
        <v>0</v>
      </c>
      <c r="AG8482" s="21">
        <v>0</v>
      </c>
      <c r="AH8482" s="21">
        <f t="shared" si="172"/>
        <v>112</v>
      </c>
      <c r="AI8482" s="21"/>
      <c r="AJ8482" s="21" t="s">
        <v>54</v>
      </c>
      <c r="AK8482" s="21" t="s">
        <v>95</v>
      </c>
      <c r="AL8482" s="21"/>
      <c r="AM8482" s="21" t="s">
        <v>5043</v>
      </c>
      <c r="AN8482" s="21">
        <v>-122.436678466667</v>
      </c>
      <c r="AO8482" s="21">
        <v>37.792230916666703</v>
      </c>
      <c r="AP8482" s="21" t="s">
        <v>951</v>
      </c>
    </row>
    <row r="8483" spans="1:42">
      <c r="A8483" s="20">
        <v>43854</v>
      </c>
      <c r="B8483" s="21">
        <v>5</v>
      </c>
      <c r="C8483" s="21">
        <v>223</v>
      </c>
      <c r="D8483" s="21">
        <v>14448</v>
      </c>
      <c r="E8483" t="s">
        <v>112</v>
      </c>
      <c r="F8483" s="21" t="s">
        <v>104</v>
      </c>
      <c r="G8483" s="21">
        <v>2</v>
      </c>
      <c r="H8483" s="21">
        <v>48</v>
      </c>
      <c r="I8483" s="23" t="s">
        <v>5044</v>
      </c>
      <c r="J8483" s="21"/>
      <c r="K8483" s="21" t="s">
        <v>647</v>
      </c>
      <c r="L8483" s="21" t="s">
        <v>114</v>
      </c>
      <c r="M8483" s="21"/>
      <c r="N8483" s="21" t="s">
        <v>40</v>
      </c>
      <c r="O8483" s="21">
        <v>101</v>
      </c>
      <c r="P8483" s="21"/>
      <c r="Q8483" s="21">
        <f t="shared" si="171"/>
        <v>4</v>
      </c>
      <c r="R8483" s="21">
        <v>1</v>
      </c>
      <c r="S8483" s="21">
        <v>0</v>
      </c>
      <c r="T8483" s="21">
        <v>0</v>
      </c>
      <c r="U8483" s="21">
        <v>2</v>
      </c>
      <c r="V8483" s="21">
        <v>2</v>
      </c>
      <c r="W8483" s="21">
        <v>0</v>
      </c>
      <c r="X8483" s="21">
        <v>0</v>
      </c>
      <c r="Y8483" s="21">
        <v>0</v>
      </c>
      <c r="Z8483" s="21">
        <v>0</v>
      </c>
      <c r="AA8483" s="21">
        <v>0</v>
      </c>
      <c r="AB8483" s="21">
        <v>0</v>
      </c>
      <c r="AC8483" s="21">
        <v>0</v>
      </c>
      <c r="AD8483" s="21">
        <v>0</v>
      </c>
      <c r="AE8483" s="21">
        <v>0</v>
      </c>
      <c r="AF8483" s="21">
        <v>0</v>
      </c>
      <c r="AG8483" s="21">
        <v>0</v>
      </c>
      <c r="AH8483" s="21">
        <f t="shared" si="172"/>
        <v>192</v>
      </c>
      <c r="AI8483" s="21"/>
      <c r="AJ8483" s="21" t="s">
        <v>54</v>
      </c>
      <c r="AK8483" s="21" t="s">
        <v>95</v>
      </c>
      <c r="AL8483" s="21"/>
      <c r="AM8483" s="21" t="s">
        <v>5045</v>
      </c>
      <c r="AN8483" s="21">
        <v>-122.437363733333</v>
      </c>
      <c r="AO8483" s="21">
        <v>37.792140683333301</v>
      </c>
      <c r="AP8483" s="21" t="s">
        <v>951</v>
      </c>
    </row>
    <row r="8484" spans="1:42">
      <c r="A8484" s="20">
        <v>43854</v>
      </c>
      <c r="B8484" s="21">
        <v>5</v>
      </c>
      <c r="C8484" s="21">
        <v>223</v>
      </c>
      <c r="D8484" s="21">
        <v>14448</v>
      </c>
      <c r="E8484" t="s">
        <v>112</v>
      </c>
      <c r="F8484" s="21" t="s">
        <v>104</v>
      </c>
      <c r="G8484" s="21">
        <v>2</v>
      </c>
      <c r="H8484" s="21">
        <v>49</v>
      </c>
      <c r="I8484" s="23" t="s">
        <v>5046</v>
      </c>
      <c r="J8484" s="21"/>
      <c r="K8484" s="21" t="s">
        <v>647</v>
      </c>
      <c r="L8484" s="21"/>
      <c r="M8484" s="21"/>
      <c r="N8484" s="21" t="s">
        <v>44</v>
      </c>
      <c r="O8484" s="21">
        <v>160</v>
      </c>
      <c r="P8484" s="21"/>
      <c r="Q8484" s="21">
        <f t="shared" si="171"/>
        <v>2</v>
      </c>
      <c r="R8484" s="21">
        <v>1</v>
      </c>
      <c r="S8484" s="21">
        <v>0</v>
      </c>
      <c r="T8484" s="21">
        <v>0</v>
      </c>
      <c r="U8484" s="21">
        <v>0</v>
      </c>
      <c r="V8484" s="21">
        <v>2</v>
      </c>
      <c r="W8484" s="21">
        <v>0</v>
      </c>
      <c r="X8484" s="21">
        <v>0</v>
      </c>
      <c r="Y8484" s="21">
        <v>0</v>
      </c>
      <c r="Z8484" s="21">
        <v>0</v>
      </c>
      <c r="AA8484" s="21">
        <v>0</v>
      </c>
      <c r="AB8484" s="21">
        <v>0</v>
      </c>
      <c r="AC8484" s="21">
        <v>0</v>
      </c>
      <c r="AD8484" s="21">
        <v>0</v>
      </c>
      <c r="AE8484" s="21">
        <v>0</v>
      </c>
      <c r="AF8484" s="21">
        <v>0</v>
      </c>
      <c r="AG8484" s="21">
        <v>0</v>
      </c>
      <c r="AH8484" s="21">
        <f t="shared" si="172"/>
        <v>128</v>
      </c>
      <c r="AI8484" s="21"/>
      <c r="AJ8484" s="21" t="s">
        <v>54</v>
      </c>
      <c r="AK8484" s="21" t="s">
        <v>95</v>
      </c>
      <c r="AL8484" s="21"/>
      <c r="AM8484" s="21" t="s">
        <v>5047</v>
      </c>
      <c r="AN8484" s="21">
        <v>-122.43771333333299</v>
      </c>
      <c r="AO8484" s="21">
        <v>37.792084233333298</v>
      </c>
      <c r="AP8484" s="21" t="s">
        <v>951</v>
      </c>
    </row>
    <row r="8485" spans="1:42">
      <c r="A8485" s="20">
        <v>43854</v>
      </c>
      <c r="B8485" s="21">
        <v>5</v>
      </c>
      <c r="C8485" s="21">
        <v>223</v>
      </c>
      <c r="D8485" s="21">
        <v>14448</v>
      </c>
      <c r="E8485" t="s">
        <v>112</v>
      </c>
      <c r="F8485" s="21" t="s">
        <v>104</v>
      </c>
      <c r="G8485" s="21">
        <v>2</v>
      </c>
      <c r="H8485" s="21">
        <v>50</v>
      </c>
      <c r="I8485" s="23" t="s">
        <v>5048</v>
      </c>
      <c r="J8485" s="21"/>
      <c r="K8485" s="21" t="s">
        <v>647</v>
      </c>
      <c r="L8485" s="21" t="s">
        <v>114</v>
      </c>
      <c r="M8485" s="21"/>
      <c r="N8485" s="21" t="s">
        <v>40</v>
      </c>
      <c r="O8485" s="21">
        <v>88</v>
      </c>
      <c r="P8485" s="21"/>
      <c r="Q8485" s="21">
        <f t="shared" si="171"/>
        <v>4</v>
      </c>
      <c r="R8485" s="21">
        <v>1</v>
      </c>
      <c r="S8485" s="21">
        <v>1</v>
      </c>
      <c r="T8485" s="21">
        <v>0</v>
      </c>
      <c r="U8485" s="21">
        <v>1</v>
      </c>
      <c r="V8485" s="21">
        <v>2</v>
      </c>
      <c r="W8485" s="21">
        <v>0</v>
      </c>
      <c r="X8485" s="21">
        <v>0</v>
      </c>
      <c r="Y8485" s="21">
        <v>0</v>
      </c>
      <c r="Z8485" s="21">
        <v>0</v>
      </c>
      <c r="AA8485" s="21">
        <v>0</v>
      </c>
      <c r="AB8485" s="21">
        <v>0</v>
      </c>
      <c r="AC8485" s="21">
        <v>0</v>
      </c>
      <c r="AD8485" s="21">
        <v>0</v>
      </c>
      <c r="AE8485" s="21">
        <v>0</v>
      </c>
      <c r="AF8485" s="21">
        <v>0</v>
      </c>
      <c r="AG8485" s="21">
        <v>0</v>
      </c>
      <c r="AH8485" s="21">
        <f t="shared" si="172"/>
        <v>176</v>
      </c>
      <c r="AI8485" s="21"/>
      <c r="AJ8485" s="21" t="s">
        <v>51</v>
      </c>
      <c r="AK8485" s="21" t="s">
        <v>95</v>
      </c>
      <c r="AL8485" s="21"/>
      <c r="AM8485" s="21" t="s">
        <v>5049</v>
      </c>
      <c r="AN8485" s="21">
        <v>-122.43841278333301</v>
      </c>
      <c r="AO8485" s="21">
        <v>37.792014716666699</v>
      </c>
      <c r="AP8485" s="21" t="s">
        <v>951</v>
      </c>
    </row>
    <row r="8486" spans="1:42">
      <c r="A8486" s="20">
        <v>43854</v>
      </c>
      <c r="B8486" s="21">
        <v>5</v>
      </c>
      <c r="C8486" s="21">
        <v>223</v>
      </c>
      <c r="D8486" s="21">
        <v>14448</v>
      </c>
      <c r="E8486" t="s">
        <v>112</v>
      </c>
      <c r="F8486" s="21" t="s">
        <v>104</v>
      </c>
      <c r="G8486" s="21">
        <v>2</v>
      </c>
      <c r="H8486" s="21">
        <v>51</v>
      </c>
      <c r="I8486" s="23" t="s">
        <v>5050</v>
      </c>
      <c r="J8486" s="21"/>
      <c r="K8486" s="21" t="s">
        <v>647</v>
      </c>
      <c r="L8486" s="21"/>
      <c r="M8486" s="21"/>
      <c r="N8486" s="21" t="s">
        <v>44</v>
      </c>
      <c r="O8486" s="21">
        <v>139</v>
      </c>
      <c r="P8486" s="21"/>
      <c r="Q8486" s="21">
        <f t="shared" si="171"/>
        <v>2</v>
      </c>
      <c r="R8486" s="21">
        <v>1</v>
      </c>
      <c r="S8486" s="21">
        <v>0</v>
      </c>
      <c r="T8486" s="21">
        <v>0</v>
      </c>
      <c r="U8486" s="21">
        <v>0</v>
      </c>
      <c r="V8486" s="21">
        <v>1</v>
      </c>
      <c r="W8486" s="21">
        <v>1</v>
      </c>
      <c r="X8486" s="21">
        <v>0</v>
      </c>
      <c r="Y8486" s="21">
        <v>0</v>
      </c>
      <c r="Z8486" s="21">
        <v>0</v>
      </c>
      <c r="AA8486" s="21">
        <v>0</v>
      </c>
      <c r="AB8486" s="21">
        <v>0</v>
      </c>
      <c r="AC8486" s="21">
        <v>0</v>
      </c>
      <c r="AD8486" s="21">
        <v>0</v>
      </c>
      <c r="AE8486" s="21">
        <v>0</v>
      </c>
      <c r="AF8486" s="21">
        <v>0</v>
      </c>
      <c r="AG8486" s="21">
        <v>0</v>
      </c>
      <c r="AH8486" s="21">
        <f t="shared" si="172"/>
        <v>160</v>
      </c>
      <c r="AI8486" s="21"/>
      <c r="AJ8486" s="21" t="s">
        <v>51</v>
      </c>
      <c r="AK8486" s="21" t="s">
        <v>95</v>
      </c>
      <c r="AL8486" s="21"/>
      <c r="AM8486" s="21" t="s">
        <v>5051</v>
      </c>
      <c r="AN8486" s="21">
        <v>-122.43840343333299</v>
      </c>
      <c r="AO8486" s="21">
        <v>37.792008199999998</v>
      </c>
      <c r="AP8486" s="21" t="s">
        <v>951</v>
      </c>
    </row>
    <row r="8487" spans="1:42">
      <c r="A8487" s="20">
        <v>43854</v>
      </c>
      <c r="B8487" s="21">
        <v>5</v>
      </c>
      <c r="C8487" s="21">
        <v>223</v>
      </c>
      <c r="D8487" s="21">
        <v>14448</v>
      </c>
      <c r="E8487" t="s">
        <v>112</v>
      </c>
      <c r="F8487" s="21" t="s">
        <v>104</v>
      </c>
      <c r="G8487" s="21">
        <v>2</v>
      </c>
      <c r="H8487" s="21">
        <v>52</v>
      </c>
      <c r="I8487" s="23" t="s">
        <v>5052</v>
      </c>
      <c r="J8487" s="21"/>
      <c r="K8487" s="21" t="s">
        <v>647</v>
      </c>
      <c r="L8487" s="21"/>
      <c r="M8487" s="21"/>
      <c r="N8487" s="21" t="s">
        <v>44</v>
      </c>
      <c r="O8487" s="21">
        <v>370</v>
      </c>
      <c r="P8487" s="21"/>
      <c r="Q8487" s="21">
        <f t="shared" si="171"/>
        <v>4</v>
      </c>
      <c r="R8487" s="21">
        <v>1</v>
      </c>
      <c r="S8487" s="21">
        <v>0</v>
      </c>
      <c r="T8487" s="21">
        <v>0</v>
      </c>
      <c r="U8487" s="21">
        <v>0</v>
      </c>
      <c r="V8487" s="21">
        <v>4</v>
      </c>
      <c r="W8487" s="21">
        <v>0</v>
      </c>
      <c r="X8487" s="21">
        <v>0</v>
      </c>
      <c r="Y8487" s="21">
        <v>0</v>
      </c>
      <c r="Z8487" s="21">
        <v>0</v>
      </c>
      <c r="AA8487" s="21">
        <v>0</v>
      </c>
      <c r="AB8487" s="21">
        <v>0</v>
      </c>
      <c r="AC8487" s="21">
        <v>0</v>
      </c>
      <c r="AD8487" s="21">
        <v>0</v>
      </c>
      <c r="AE8487" s="21">
        <v>0</v>
      </c>
      <c r="AF8487" s="21">
        <v>0</v>
      </c>
      <c r="AG8487" s="21">
        <v>0</v>
      </c>
      <c r="AH8487" s="21">
        <f t="shared" si="172"/>
        <v>256</v>
      </c>
      <c r="AI8487" s="21"/>
      <c r="AJ8487" s="21" t="s">
        <v>51</v>
      </c>
      <c r="AK8487" s="21" t="s">
        <v>95</v>
      </c>
      <c r="AL8487" s="21" t="s">
        <v>5053</v>
      </c>
      <c r="AM8487" s="21" t="s">
        <v>5054</v>
      </c>
      <c r="AN8487" s="21">
        <v>-122.43811116911201</v>
      </c>
      <c r="AO8487" s="21">
        <v>37.790464031341003</v>
      </c>
      <c r="AP8487" s="21" t="s">
        <v>951</v>
      </c>
    </row>
    <row r="8488" spans="1:42">
      <c r="A8488" s="20">
        <v>43854</v>
      </c>
      <c r="B8488" s="21">
        <v>5</v>
      </c>
      <c r="C8488" s="21">
        <v>223</v>
      </c>
      <c r="D8488" s="21">
        <v>14448</v>
      </c>
      <c r="E8488" t="s">
        <v>112</v>
      </c>
      <c r="F8488" s="21" t="s">
        <v>104</v>
      </c>
      <c r="G8488" s="21">
        <v>2</v>
      </c>
      <c r="H8488" s="21">
        <v>53</v>
      </c>
      <c r="I8488" s="23" t="s">
        <v>2756</v>
      </c>
      <c r="J8488" s="21"/>
      <c r="K8488" s="21" t="s">
        <v>2240</v>
      </c>
      <c r="L8488" s="21" t="s">
        <v>114</v>
      </c>
      <c r="M8488" s="21"/>
      <c r="N8488" s="21" t="s">
        <v>42</v>
      </c>
      <c r="O8488" s="21">
        <v>133</v>
      </c>
      <c r="P8488" s="21"/>
      <c r="Q8488" s="21">
        <f t="shared" si="171"/>
        <v>3</v>
      </c>
      <c r="R8488" s="21">
        <v>1</v>
      </c>
      <c r="S8488" s="21">
        <v>0</v>
      </c>
      <c r="T8488" s="21">
        <v>0</v>
      </c>
      <c r="U8488" s="21">
        <v>1</v>
      </c>
      <c r="V8488" s="21">
        <v>0</v>
      </c>
      <c r="W8488" s="21">
        <v>2</v>
      </c>
      <c r="X8488" s="21">
        <v>0</v>
      </c>
      <c r="Y8488" s="21">
        <v>0</v>
      </c>
      <c r="Z8488" s="21">
        <v>0</v>
      </c>
      <c r="AA8488" s="21">
        <v>0</v>
      </c>
      <c r="AB8488" s="21">
        <v>0</v>
      </c>
      <c r="AC8488" s="21">
        <v>0</v>
      </c>
      <c r="AD8488" s="21">
        <v>0</v>
      </c>
      <c r="AE8488" s="21">
        <v>0</v>
      </c>
      <c r="AF8488" s="21">
        <v>0</v>
      </c>
      <c r="AG8488" s="21">
        <v>0</v>
      </c>
      <c r="AH8488" s="21">
        <f t="shared" si="172"/>
        <v>224</v>
      </c>
      <c r="AI8488" s="21"/>
      <c r="AJ8488" s="21" t="s">
        <v>51</v>
      </c>
      <c r="AK8488" s="21" t="s">
        <v>95</v>
      </c>
      <c r="AL8488" s="21"/>
      <c r="AM8488" s="21" t="s">
        <v>5055</v>
      </c>
      <c r="AN8488" s="21">
        <v>-122.439234233333</v>
      </c>
      <c r="AO8488" s="21">
        <v>37.791890633333303</v>
      </c>
      <c r="AP8488" s="21" t="s">
        <v>951</v>
      </c>
    </row>
    <row r="8489" spans="1:42">
      <c r="A8489" s="20">
        <v>43854</v>
      </c>
      <c r="B8489" s="21">
        <v>5</v>
      </c>
      <c r="C8489" s="21">
        <v>223</v>
      </c>
      <c r="D8489" s="21">
        <v>14448</v>
      </c>
      <c r="E8489" t="s">
        <v>112</v>
      </c>
      <c r="F8489" s="21" t="s">
        <v>104</v>
      </c>
      <c r="G8489" s="21">
        <v>2</v>
      </c>
      <c r="H8489" s="21">
        <v>54</v>
      </c>
      <c r="I8489" s="23" t="s">
        <v>5056</v>
      </c>
      <c r="J8489" s="21"/>
      <c r="K8489" s="21" t="s">
        <v>256</v>
      </c>
      <c r="L8489" s="21"/>
      <c r="M8489" s="21"/>
      <c r="N8489" s="21" t="s">
        <v>44</v>
      </c>
      <c r="O8489" s="21">
        <v>86</v>
      </c>
      <c r="P8489" s="21"/>
      <c r="Q8489" s="21">
        <f t="shared" si="171"/>
        <v>1</v>
      </c>
      <c r="R8489" s="21">
        <v>1</v>
      </c>
      <c r="S8489" s="21">
        <v>0</v>
      </c>
      <c r="T8489" s="21">
        <v>0</v>
      </c>
      <c r="U8489" s="21">
        <v>0</v>
      </c>
      <c r="V8489" s="21">
        <v>0</v>
      </c>
      <c r="W8489" s="21">
        <v>1</v>
      </c>
      <c r="X8489" s="21">
        <v>0</v>
      </c>
      <c r="Y8489" s="21">
        <v>0</v>
      </c>
      <c r="Z8489" s="21">
        <v>0</v>
      </c>
      <c r="AA8489" s="21">
        <v>0</v>
      </c>
      <c r="AB8489" s="21">
        <v>0</v>
      </c>
      <c r="AC8489" s="21">
        <v>0</v>
      </c>
      <c r="AD8489" s="21">
        <v>0</v>
      </c>
      <c r="AE8489" s="21">
        <v>0</v>
      </c>
      <c r="AF8489" s="21">
        <v>0</v>
      </c>
      <c r="AG8489" s="21">
        <v>0</v>
      </c>
      <c r="AH8489" s="21">
        <f t="shared" si="172"/>
        <v>96</v>
      </c>
      <c r="AI8489" s="21"/>
      <c r="AJ8489" s="21" t="s">
        <v>54</v>
      </c>
      <c r="AK8489" s="21" t="s">
        <v>95</v>
      </c>
      <c r="AL8489" s="21" t="s">
        <v>4898</v>
      </c>
      <c r="AM8489" s="21" t="s">
        <v>5057</v>
      </c>
      <c r="AN8489" s="21">
        <v>-122.440988983333</v>
      </c>
      <c r="AO8489" s="21">
        <v>37.790921133333299</v>
      </c>
      <c r="AP8489" s="21" t="s">
        <v>951</v>
      </c>
    </row>
    <row r="8490" spans="1:42">
      <c r="A8490" s="20">
        <v>43854</v>
      </c>
      <c r="B8490" s="21">
        <v>5</v>
      </c>
      <c r="C8490" s="21">
        <v>223</v>
      </c>
      <c r="D8490" s="21">
        <v>14448</v>
      </c>
      <c r="E8490" t="s">
        <v>112</v>
      </c>
      <c r="F8490" s="21" t="s">
        <v>104</v>
      </c>
      <c r="G8490" s="21">
        <v>2</v>
      </c>
      <c r="H8490" s="21">
        <v>55</v>
      </c>
      <c r="I8490" s="23" t="s">
        <v>5058</v>
      </c>
      <c r="J8490" s="21"/>
      <c r="K8490" s="21" t="s">
        <v>516</v>
      </c>
      <c r="L8490" s="21"/>
      <c r="M8490" s="21"/>
      <c r="N8490" s="21" t="s">
        <v>44</v>
      </c>
      <c r="O8490" s="21">
        <v>125</v>
      </c>
      <c r="P8490" s="21"/>
      <c r="Q8490" s="21">
        <f t="shared" si="171"/>
        <v>1</v>
      </c>
      <c r="R8490" s="21">
        <v>1</v>
      </c>
      <c r="S8490" s="21">
        <v>0</v>
      </c>
      <c r="T8490" s="21">
        <v>0</v>
      </c>
      <c r="U8490" s="21">
        <v>0</v>
      </c>
      <c r="V8490" s="21">
        <v>0</v>
      </c>
      <c r="W8490" s="21">
        <v>1</v>
      </c>
      <c r="X8490" s="21">
        <v>0</v>
      </c>
      <c r="Y8490" s="21">
        <v>0</v>
      </c>
      <c r="Z8490" s="21">
        <v>0</v>
      </c>
      <c r="AA8490" s="21">
        <v>0</v>
      </c>
      <c r="AB8490" s="21">
        <v>0</v>
      </c>
      <c r="AC8490" s="21">
        <v>0</v>
      </c>
      <c r="AD8490" s="21">
        <v>0</v>
      </c>
      <c r="AE8490" s="21">
        <v>0</v>
      </c>
      <c r="AF8490" s="21">
        <v>0</v>
      </c>
      <c r="AG8490" s="21">
        <v>0</v>
      </c>
      <c r="AH8490" s="21">
        <f t="shared" si="172"/>
        <v>96</v>
      </c>
      <c r="AI8490" s="21"/>
      <c r="AJ8490" s="21" t="s">
        <v>3023</v>
      </c>
      <c r="AK8490" s="21" t="s">
        <v>95</v>
      </c>
      <c r="AL8490" s="21"/>
      <c r="AM8490" s="21" t="s">
        <v>5059</v>
      </c>
      <c r="AN8490" s="21">
        <v>-122.44233011666699</v>
      </c>
      <c r="AO8490" s="21">
        <v>37.790590616666599</v>
      </c>
      <c r="AP8490" s="21" t="s">
        <v>951</v>
      </c>
    </row>
    <row r="8491" spans="1:42">
      <c r="A8491" s="20">
        <v>43854</v>
      </c>
      <c r="B8491" s="21">
        <v>5</v>
      </c>
      <c r="C8491" s="21">
        <v>223</v>
      </c>
      <c r="D8491" s="21">
        <v>14448</v>
      </c>
      <c r="E8491" t="s">
        <v>112</v>
      </c>
      <c r="F8491" s="21" t="s">
        <v>104</v>
      </c>
      <c r="G8491" s="21">
        <v>2</v>
      </c>
      <c r="H8491" s="21">
        <v>56</v>
      </c>
      <c r="I8491" s="23" t="s">
        <v>2666</v>
      </c>
      <c r="J8491" s="21"/>
      <c r="K8491" s="21" t="s">
        <v>2240</v>
      </c>
      <c r="L8491" s="21"/>
      <c r="M8491" s="21"/>
      <c r="N8491" s="21" t="s">
        <v>44</v>
      </c>
      <c r="O8491" s="21">
        <v>66</v>
      </c>
      <c r="P8491" s="21"/>
      <c r="Q8491" s="21">
        <f t="shared" si="171"/>
        <v>1</v>
      </c>
      <c r="R8491" s="21">
        <v>1</v>
      </c>
      <c r="S8491" s="21">
        <v>0</v>
      </c>
      <c r="T8491" s="21">
        <v>0</v>
      </c>
      <c r="U8491" s="21">
        <v>0</v>
      </c>
      <c r="V8491" s="21">
        <v>0</v>
      </c>
      <c r="W8491" s="21">
        <v>1</v>
      </c>
      <c r="X8491" s="21">
        <v>0</v>
      </c>
      <c r="Y8491" s="21">
        <v>0</v>
      </c>
      <c r="Z8491" s="21">
        <v>0</v>
      </c>
      <c r="AA8491" s="21">
        <v>0</v>
      </c>
      <c r="AB8491" s="21">
        <v>0</v>
      </c>
      <c r="AC8491" s="21">
        <v>0</v>
      </c>
      <c r="AD8491" s="21">
        <v>0</v>
      </c>
      <c r="AE8491" s="21">
        <v>0</v>
      </c>
      <c r="AF8491" s="21">
        <v>0</v>
      </c>
      <c r="AG8491" s="21">
        <v>0</v>
      </c>
      <c r="AH8491" s="21">
        <f t="shared" si="172"/>
        <v>96</v>
      </c>
      <c r="AI8491" s="21"/>
      <c r="AJ8491" s="21" t="s">
        <v>54</v>
      </c>
      <c r="AK8491" s="21" t="s">
        <v>95</v>
      </c>
      <c r="AL8491" s="21" t="s">
        <v>5060</v>
      </c>
      <c r="AM8491" s="21" t="s">
        <v>5061</v>
      </c>
      <c r="AN8491" s="21">
        <v>-122.44280985</v>
      </c>
      <c r="AO8491" s="21">
        <v>37.791292616666702</v>
      </c>
      <c r="AP8491" s="21" t="s">
        <v>951</v>
      </c>
    </row>
    <row r="8492" spans="1:42">
      <c r="A8492" s="20">
        <v>43854</v>
      </c>
      <c r="B8492" s="21">
        <v>5</v>
      </c>
      <c r="C8492" s="21">
        <v>223</v>
      </c>
      <c r="D8492" s="21">
        <v>14448</v>
      </c>
      <c r="E8492" t="s">
        <v>112</v>
      </c>
      <c r="F8492" s="21" t="s">
        <v>104</v>
      </c>
      <c r="G8492" s="21">
        <v>2</v>
      </c>
      <c r="H8492" s="21">
        <v>57</v>
      </c>
      <c r="I8492" s="23" t="s">
        <v>2359</v>
      </c>
      <c r="J8492" s="21"/>
      <c r="K8492" s="21" t="s">
        <v>647</v>
      </c>
      <c r="L8492" s="21"/>
      <c r="M8492" s="21"/>
      <c r="N8492" s="21" t="s">
        <v>44</v>
      </c>
      <c r="O8492" s="21">
        <v>118</v>
      </c>
      <c r="P8492" s="21"/>
      <c r="Q8492" s="21">
        <f t="shared" si="171"/>
        <v>1</v>
      </c>
      <c r="R8492" s="21">
        <v>1</v>
      </c>
      <c r="S8492" s="21">
        <v>0</v>
      </c>
      <c r="T8492" s="21">
        <v>0</v>
      </c>
      <c r="U8492" s="21">
        <v>0</v>
      </c>
      <c r="V8492" s="21">
        <v>0</v>
      </c>
      <c r="W8492" s="21">
        <v>1</v>
      </c>
      <c r="X8492" s="21">
        <v>0</v>
      </c>
      <c r="Y8492" s="21">
        <v>0</v>
      </c>
      <c r="Z8492" s="21">
        <v>0</v>
      </c>
      <c r="AA8492" s="21">
        <v>0</v>
      </c>
      <c r="AB8492" s="21">
        <v>0</v>
      </c>
      <c r="AC8492" s="21">
        <v>0</v>
      </c>
      <c r="AD8492" s="21">
        <v>0</v>
      </c>
      <c r="AE8492" s="21">
        <v>0</v>
      </c>
      <c r="AF8492" s="21">
        <v>0</v>
      </c>
      <c r="AG8492" s="21">
        <v>0</v>
      </c>
      <c r="AH8492" s="21">
        <f t="shared" si="172"/>
        <v>96</v>
      </c>
      <c r="AI8492" s="21"/>
      <c r="AJ8492" s="21" t="s">
        <v>51</v>
      </c>
      <c r="AK8492" s="21" t="s">
        <v>95</v>
      </c>
      <c r="AL8492" s="21"/>
      <c r="AM8492" s="21" t="s">
        <v>5062</v>
      </c>
      <c r="AN8492" s="21">
        <v>-122.442018933333</v>
      </c>
      <c r="AO8492" s="21">
        <v>37.7915450333333</v>
      </c>
      <c r="AP8492" s="21" t="s">
        <v>951</v>
      </c>
    </row>
    <row r="8493" spans="1:42">
      <c r="A8493" s="20">
        <v>43854</v>
      </c>
      <c r="B8493" s="21">
        <v>5</v>
      </c>
      <c r="C8493" s="21">
        <v>223</v>
      </c>
      <c r="D8493" s="21">
        <v>14448</v>
      </c>
      <c r="E8493" t="s">
        <v>112</v>
      </c>
      <c r="F8493" s="21" t="s">
        <v>104</v>
      </c>
      <c r="G8493" s="21">
        <v>2</v>
      </c>
      <c r="H8493" s="21">
        <v>58</v>
      </c>
      <c r="I8493" s="23" t="s">
        <v>2494</v>
      </c>
      <c r="J8493" s="21"/>
      <c r="K8493" s="21" t="s">
        <v>647</v>
      </c>
      <c r="L8493" s="21"/>
      <c r="M8493" s="21"/>
      <c r="N8493" s="21" t="s">
        <v>44</v>
      </c>
      <c r="O8493" s="21">
        <v>73</v>
      </c>
      <c r="P8493" s="21"/>
      <c r="Q8493" s="21">
        <f t="shared" si="171"/>
        <v>1</v>
      </c>
      <c r="R8493" s="21">
        <v>1</v>
      </c>
      <c r="S8493" s="21">
        <v>0</v>
      </c>
      <c r="T8493" s="21">
        <v>0</v>
      </c>
      <c r="U8493" s="21">
        <v>0</v>
      </c>
      <c r="V8493" s="21">
        <v>0</v>
      </c>
      <c r="W8493" s="21">
        <v>1</v>
      </c>
      <c r="X8493" s="21">
        <v>0</v>
      </c>
      <c r="Y8493" s="21">
        <v>0</v>
      </c>
      <c r="Z8493" s="21">
        <v>0</v>
      </c>
      <c r="AA8493" s="21">
        <v>0</v>
      </c>
      <c r="AB8493" s="21">
        <v>0</v>
      </c>
      <c r="AC8493" s="21">
        <v>0</v>
      </c>
      <c r="AD8493" s="21">
        <v>0</v>
      </c>
      <c r="AE8493" s="21">
        <v>0</v>
      </c>
      <c r="AF8493" s="21">
        <v>0</v>
      </c>
      <c r="AG8493" s="21">
        <v>0</v>
      </c>
      <c r="AH8493" s="21">
        <f t="shared" si="172"/>
        <v>96</v>
      </c>
      <c r="AI8493" s="21"/>
      <c r="AJ8493" s="21" t="s">
        <v>51</v>
      </c>
      <c r="AK8493" s="21" t="s">
        <v>95</v>
      </c>
      <c r="AL8493" s="21"/>
      <c r="AM8493" s="21" t="s">
        <v>5063</v>
      </c>
      <c r="AN8493" s="21">
        <v>-122.441830083333</v>
      </c>
      <c r="AO8493" s="21">
        <v>37.791488633333302</v>
      </c>
      <c r="AP8493" s="21" t="s">
        <v>951</v>
      </c>
    </row>
    <row r="8494" spans="1:42">
      <c r="A8494" s="20">
        <v>43854</v>
      </c>
      <c r="B8494" s="21">
        <v>5</v>
      </c>
      <c r="C8494" s="21">
        <v>223</v>
      </c>
      <c r="D8494" s="21">
        <v>14448</v>
      </c>
      <c r="E8494" t="s">
        <v>112</v>
      </c>
      <c r="F8494" s="21" t="s">
        <v>104</v>
      </c>
      <c r="G8494" s="21">
        <v>2</v>
      </c>
      <c r="H8494" s="21">
        <v>59</v>
      </c>
      <c r="I8494" s="23" t="s">
        <v>2500</v>
      </c>
      <c r="J8494" s="21"/>
      <c r="K8494" s="21" t="s">
        <v>647</v>
      </c>
      <c r="L8494" s="21"/>
      <c r="M8494" s="21"/>
      <c r="N8494" s="21" t="s">
        <v>44</v>
      </c>
      <c r="O8494" s="21">
        <v>123</v>
      </c>
      <c r="P8494" s="21"/>
      <c r="Q8494" s="21">
        <f t="shared" si="171"/>
        <v>1</v>
      </c>
      <c r="R8494" s="21">
        <v>1</v>
      </c>
      <c r="S8494" s="21">
        <v>0</v>
      </c>
      <c r="T8494" s="21">
        <v>0</v>
      </c>
      <c r="U8494" s="21">
        <v>0</v>
      </c>
      <c r="V8494" s="21">
        <v>0</v>
      </c>
      <c r="W8494" s="21">
        <v>1</v>
      </c>
      <c r="X8494" s="21">
        <v>0</v>
      </c>
      <c r="Y8494" s="21">
        <v>0</v>
      </c>
      <c r="Z8494" s="21">
        <v>0</v>
      </c>
      <c r="AA8494" s="21">
        <v>0</v>
      </c>
      <c r="AB8494" s="21">
        <v>0</v>
      </c>
      <c r="AC8494" s="21">
        <v>0</v>
      </c>
      <c r="AD8494" s="21">
        <v>0</v>
      </c>
      <c r="AE8494" s="21">
        <v>0</v>
      </c>
      <c r="AF8494" s="21">
        <v>0</v>
      </c>
      <c r="AG8494" s="21">
        <v>0</v>
      </c>
      <c r="AH8494" s="21">
        <f t="shared" si="172"/>
        <v>96</v>
      </c>
      <c r="AI8494" s="21"/>
      <c r="AJ8494" s="21" t="s">
        <v>51</v>
      </c>
      <c r="AK8494" s="21" t="s">
        <v>95</v>
      </c>
      <c r="AL8494" s="21" t="s">
        <v>4804</v>
      </c>
      <c r="AM8494" s="21" t="s">
        <v>5064</v>
      </c>
      <c r="AN8494" s="21">
        <v>-122.440547783333</v>
      </c>
      <c r="AO8494" s="21">
        <v>37.791697766666701</v>
      </c>
      <c r="AP8494" s="21" t="s">
        <v>951</v>
      </c>
    </row>
    <row r="8495" spans="1:42">
      <c r="A8495" s="20">
        <v>43854</v>
      </c>
      <c r="B8495" s="21">
        <v>5</v>
      </c>
      <c r="C8495" s="21">
        <v>223</v>
      </c>
      <c r="D8495" s="21">
        <v>14448</v>
      </c>
      <c r="E8495" t="s">
        <v>112</v>
      </c>
      <c r="F8495" s="21" t="s">
        <v>104</v>
      </c>
      <c r="G8495" s="21">
        <v>2</v>
      </c>
      <c r="H8495" s="21">
        <v>60</v>
      </c>
      <c r="I8495" s="23" t="s">
        <v>2573</v>
      </c>
      <c r="J8495" s="21"/>
      <c r="K8495" s="21" t="s">
        <v>175</v>
      </c>
      <c r="L8495" s="21"/>
      <c r="M8495" s="21"/>
      <c r="N8495" s="21" t="s">
        <v>44</v>
      </c>
      <c r="O8495" s="21">
        <v>95</v>
      </c>
      <c r="P8495" s="21"/>
      <c r="Q8495" s="21">
        <f t="shared" si="171"/>
        <v>1</v>
      </c>
      <c r="R8495" s="21">
        <v>1</v>
      </c>
      <c r="S8495" s="21">
        <v>0</v>
      </c>
      <c r="T8495" s="21">
        <v>0</v>
      </c>
      <c r="U8495" s="21">
        <v>0</v>
      </c>
      <c r="V8495" s="21">
        <v>0</v>
      </c>
      <c r="W8495" s="21">
        <v>1</v>
      </c>
      <c r="X8495" s="21">
        <v>0</v>
      </c>
      <c r="Y8495" s="21">
        <v>0</v>
      </c>
      <c r="Z8495" s="21">
        <v>0</v>
      </c>
      <c r="AA8495" s="21">
        <v>0</v>
      </c>
      <c r="AB8495" s="21">
        <v>0</v>
      </c>
      <c r="AC8495" s="21">
        <v>0</v>
      </c>
      <c r="AD8495" s="21">
        <v>0</v>
      </c>
      <c r="AE8495" s="21">
        <v>0</v>
      </c>
      <c r="AF8495" s="21">
        <v>0</v>
      </c>
      <c r="AG8495" s="21">
        <v>0</v>
      </c>
      <c r="AH8495" s="21">
        <f t="shared" si="172"/>
        <v>96</v>
      </c>
      <c r="AI8495" s="21"/>
      <c r="AJ8495" s="21" t="s">
        <v>54</v>
      </c>
      <c r="AK8495" s="21" t="s">
        <v>95</v>
      </c>
      <c r="AL8495" s="21" t="s">
        <v>515</v>
      </c>
      <c r="AM8495" s="21" t="s">
        <v>5065</v>
      </c>
      <c r="AN8495" s="21">
        <v>-122.439511883333</v>
      </c>
      <c r="AO8495" s="21">
        <v>37.791565749999997</v>
      </c>
      <c r="AP8495" s="21" t="s">
        <v>951</v>
      </c>
    </row>
    <row r="8496" spans="1:42">
      <c r="A8496" s="20">
        <v>43854</v>
      </c>
      <c r="B8496" s="21">
        <v>5</v>
      </c>
      <c r="C8496" s="21">
        <v>223</v>
      </c>
      <c r="D8496" s="21">
        <v>14448</v>
      </c>
      <c r="E8496" t="s">
        <v>112</v>
      </c>
      <c r="F8496" s="21" t="s">
        <v>104</v>
      </c>
      <c r="G8496" s="21">
        <v>2</v>
      </c>
      <c r="H8496" s="21">
        <v>61</v>
      </c>
      <c r="I8496" s="23" t="s">
        <v>5066</v>
      </c>
      <c r="J8496" s="21"/>
      <c r="K8496" s="21" t="s">
        <v>256</v>
      </c>
      <c r="L8496" s="21"/>
      <c r="M8496" s="21"/>
      <c r="N8496" s="21"/>
      <c r="O8496" s="21">
        <v>102</v>
      </c>
      <c r="P8496" s="21"/>
      <c r="Q8496" s="21">
        <f t="shared" si="171"/>
        <v>1</v>
      </c>
      <c r="R8496" s="21">
        <v>1</v>
      </c>
      <c r="S8496" s="21">
        <v>0</v>
      </c>
      <c r="T8496" s="21">
        <v>0</v>
      </c>
      <c r="U8496" s="21">
        <v>0</v>
      </c>
      <c r="V8496" s="21">
        <v>0</v>
      </c>
      <c r="W8496" s="21">
        <v>1</v>
      </c>
      <c r="X8496" s="21">
        <v>0</v>
      </c>
      <c r="Y8496" s="21">
        <v>0</v>
      </c>
      <c r="Z8496" s="21">
        <v>0</v>
      </c>
      <c r="AA8496" s="21">
        <v>0</v>
      </c>
      <c r="AB8496" s="21">
        <v>0</v>
      </c>
      <c r="AC8496" s="21">
        <v>0</v>
      </c>
      <c r="AD8496" s="21">
        <v>0</v>
      </c>
      <c r="AE8496" s="21">
        <v>0</v>
      </c>
      <c r="AF8496" s="21">
        <v>0</v>
      </c>
      <c r="AG8496" s="21">
        <v>0</v>
      </c>
      <c r="AH8496" s="21">
        <f t="shared" si="172"/>
        <v>96</v>
      </c>
      <c r="AI8496" s="21"/>
      <c r="AJ8496" s="21" t="s">
        <v>54</v>
      </c>
      <c r="AK8496" s="21" t="s">
        <v>95</v>
      </c>
      <c r="AL8496" s="21"/>
      <c r="AM8496" s="21" t="s">
        <v>5067</v>
      </c>
      <c r="AN8496" s="21">
        <v>-122.441013333333</v>
      </c>
      <c r="AO8496" s="21">
        <v>37.791061866666702</v>
      </c>
      <c r="AP8496" s="21" t="s">
        <v>951</v>
      </c>
    </row>
    <row r="8497" spans="1:42">
      <c r="A8497" s="20">
        <v>43854</v>
      </c>
      <c r="B8497" s="21">
        <v>5</v>
      </c>
      <c r="C8497" s="21">
        <v>223</v>
      </c>
      <c r="D8497" s="21">
        <v>14448</v>
      </c>
      <c r="E8497" t="s">
        <v>112</v>
      </c>
      <c r="F8497" s="21" t="s">
        <v>104</v>
      </c>
      <c r="G8497" s="21">
        <v>2</v>
      </c>
      <c r="H8497" s="21">
        <v>62</v>
      </c>
      <c r="I8497" s="23" t="s">
        <v>2182</v>
      </c>
      <c r="J8497" s="21"/>
      <c r="K8497" s="21" t="s">
        <v>2598</v>
      </c>
      <c r="L8497" s="21"/>
      <c r="M8497" s="21"/>
      <c r="N8497" s="21" t="s">
        <v>44</v>
      </c>
      <c r="O8497" s="21">
        <v>80</v>
      </c>
      <c r="P8497" s="21"/>
      <c r="Q8497" s="21">
        <f t="shared" si="171"/>
        <v>1</v>
      </c>
      <c r="R8497" s="21">
        <v>1</v>
      </c>
      <c r="S8497" s="21">
        <v>0</v>
      </c>
      <c r="T8497" s="21">
        <v>0</v>
      </c>
      <c r="U8497" s="21">
        <v>0</v>
      </c>
      <c r="V8497" s="21">
        <v>0</v>
      </c>
      <c r="W8497" s="21">
        <v>1</v>
      </c>
      <c r="X8497" s="21">
        <v>0</v>
      </c>
      <c r="Y8497" s="21">
        <v>0</v>
      </c>
      <c r="Z8497" s="21">
        <v>0</v>
      </c>
      <c r="AA8497" s="21">
        <v>0</v>
      </c>
      <c r="AB8497" s="21">
        <v>0</v>
      </c>
      <c r="AC8497" s="21">
        <v>0</v>
      </c>
      <c r="AD8497" s="21">
        <v>0</v>
      </c>
      <c r="AE8497" s="21">
        <v>0</v>
      </c>
      <c r="AF8497" s="21">
        <v>0</v>
      </c>
      <c r="AG8497" s="21">
        <v>0</v>
      </c>
      <c r="AH8497" s="21">
        <f t="shared" si="172"/>
        <v>96</v>
      </c>
      <c r="AI8497" s="21"/>
      <c r="AJ8497" s="21" t="s">
        <v>54</v>
      </c>
      <c r="AK8497" s="21" t="s">
        <v>95</v>
      </c>
      <c r="AL8497" s="21"/>
      <c r="AM8497" s="21" t="s">
        <v>5068</v>
      </c>
      <c r="AN8497" s="21">
        <v>-122.442771866667</v>
      </c>
      <c r="AO8497" s="21">
        <v>37.790947000000003</v>
      </c>
      <c r="AP8497" s="21" t="s">
        <v>951</v>
      </c>
    </row>
    <row r="8498" spans="1:42">
      <c r="A8498" s="20">
        <v>43854</v>
      </c>
      <c r="B8498" s="21">
        <v>5</v>
      </c>
      <c r="C8498" s="21">
        <v>223</v>
      </c>
      <c r="D8498" s="21">
        <v>14448</v>
      </c>
      <c r="E8498" t="s">
        <v>112</v>
      </c>
      <c r="F8498" s="21" t="s">
        <v>104</v>
      </c>
      <c r="G8498" s="21">
        <v>2</v>
      </c>
      <c r="H8498" s="21">
        <v>63</v>
      </c>
      <c r="I8498" s="23" t="s">
        <v>5069</v>
      </c>
      <c r="J8498" s="21"/>
      <c r="K8498" s="21" t="s">
        <v>329</v>
      </c>
      <c r="L8498" s="21"/>
      <c r="M8498" s="21"/>
      <c r="N8498" s="21" t="s">
        <v>44</v>
      </c>
      <c r="O8498" s="21">
        <v>155</v>
      </c>
      <c r="P8498" s="21"/>
      <c r="Q8498" s="21">
        <f t="shared" si="171"/>
        <v>2</v>
      </c>
      <c r="R8498" s="21">
        <v>1</v>
      </c>
      <c r="S8498" s="21">
        <v>0</v>
      </c>
      <c r="T8498" s="21">
        <v>0</v>
      </c>
      <c r="U8498" s="21">
        <v>1</v>
      </c>
      <c r="V8498" s="21">
        <v>0</v>
      </c>
      <c r="W8498" s="21">
        <v>1</v>
      </c>
      <c r="X8498" s="21">
        <v>0</v>
      </c>
      <c r="Y8498" s="21">
        <v>0</v>
      </c>
      <c r="Z8498" s="21">
        <v>0</v>
      </c>
      <c r="AA8498" s="21">
        <v>0</v>
      </c>
      <c r="AB8498" s="21">
        <v>0</v>
      </c>
      <c r="AC8498" s="21">
        <v>0</v>
      </c>
      <c r="AD8498" s="21">
        <v>0</v>
      </c>
      <c r="AE8498" s="21">
        <v>0</v>
      </c>
      <c r="AF8498" s="21">
        <v>0</v>
      </c>
      <c r="AG8498" s="21">
        <v>0</v>
      </c>
      <c r="AH8498" s="21">
        <f t="shared" si="172"/>
        <v>128</v>
      </c>
      <c r="AI8498" s="21"/>
      <c r="AJ8498" s="21" t="s">
        <v>51</v>
      </c>
      <c r="AK8498" s="21" t="s">
        <v>95</v>
      </c>
      <c r="AL8498" s="21" t="s">
        <v>5070</v>
      </c>
      <c r="AM8498" s="21" t="s">
        <v>5071</v>
      </c>
      <c r="AN8498" s="21">
        <v>-122.444533733333</v>
      </c>
      <c r="AO8498" s="21">
        <v>37.790430899999997</v>
      </c>
      <c r="AP8498" s="21" t="s">
        <v>951</v>
      </c>
    </row>
    <row r="8499" spans="1:42">
      <c r="A8499" s="20">
        <v>43854</v>
      </c>
      <c r="B8499" s="21">
        <v>5</v>
      </c>
      <c r="C8499" s="21">
        <v>223</v>
      </c>
      <c r="D8499" s="21">
        <v>14448</v>
      </c>
      <c r="E8499" t="s">
        <v>112</v>
      </c>
      <c r="F8499" s="21" t="s">
        <v>104</v>
      </c>
      <c r="G8499" s="21">
        <v>2</v>
      </c>
      <c r="H8499" s="21">
        <v>64</v>
      </c>
      <c r="I8499" s="23" t="s">
        <v>2620</v>
      </c>
      <c r="J8499" s="21"/>
      <c r="K8499" s="21" t="s">
        <v>319</v>
      </c>
      <c r="L8499" s="21"/>
      <c r="M8499" s="21"/>
      <c r="N8499" s="21" t="s">
        <v>44</v>
      </c>
      <c r="O8499" s="21">
        <v>260</v>
      </c>
      <c r="P8499" s="21"/>
      <c r="Q8499" s="21">
        <f t="shared" si="171"/>
        <v>2</v>
      </c>
      <c r="R8499" s="21">
        <v>1</v>
      </c>
      <c r="S8499" s="21">
        <v>0</v>
      </c>
      <c r="T8499" s="21">
        <v>0</v>
      </c>
      <c r="U8499" s="21">
        <v>1</v>
      </c>
      <c r="V8499" s="21">
        <v>0</v>
      </c>
      <c r="W8499" s="21">
        <v>1</v>
      </c>
      <c r="X8499" s="21">
        <v>0</v>
      </c>
      <c r="Y8499" s="21">
        <v>0</v>
      </c>
      <c r="Z8499" s="21">
        <v>0</v>
      </c>
      <c r="AA8499" s="21">
        <v>0</v>
      </c>
      <c r="AB8499" s="21">
        <v>0</v>
      </c>
      <c r="AC8499" s="21">
        <v>0</v>
      </c>
      <c r="AD8499" s="21">
        <v>0</v>
      </c>
      <c r="AE8499" s="21">
        <v>0</v>
      </c>
      <c r="AF8499" s="21">
        <v>0</v>
      </c>
      <c r="AG8499" s="21">
        <v>0</v>
      </c>
      <c r="AH8499" s="21">
        <f t="shared" si="172"/>
        <v>128</v>
      </c>
      <c r="AI8499" s="21"/>
      <c r="AJ8499" s="21" t="s">
        <v>54</v>
      </c>
      <c r="AK8499" s="21" t="s">
        <v>52</v>
      </c>
      <c r="AL8499" s="21"/>
      <c r="AM8499" s="21" t="s">
        <v>5072</v>
      </c>
      <c r="AN8499" s="21">
        <v>-122.444647070401</v>
      </c>
      <c r="AO8499" s="21">
        <v>37.788415320645697</v>
      </c>
      <c r="AP8499" s="21" t="s">
        <v>951</v>
      </c>
    </row>
    <row r="8500" spans="1:42">
      <c r="A8500" s="20">
        <v>43854</v>
      </c>
      <c r="B8500" s="21">
        <v>5</v>
      </c>
      <c r="C8500" s="21">
        <v>223</v>
      </c>
      <c r="D8500" s="21">
        <v>14448</v>
      </c>
      <c r="E8500" t="s">
        <v>112</v>
      </c>
      <c r="F8500" s="21" t="s">
        <v>104</v>
      </c>
      <c r="G8500" s="21">
        <v>2</v>
      </c>
      <c r="H8500" s="21">
        <v>65</v>
      </c>
      <c r="I8500" s="23" t="s">
        <v>5073</v>
      </c>
      <c r="J8500" s="21"/>
      <c r="K8500" s="21" t="s">
        <v>516</v>
      </c>
      <c r="L8500" s="21"/>
      <c r="M8500" s="21"/>
      <c r="N8500" s="21" t="s">
        <v>44</v>
      </c>
      <c r="O8500" s="21">
        <v>143</v>
      </c>
      <c r="P8500" s="21"/>
      <c r="Q8500" s="21">
        <f t="shared" si="171"/>
        <v>1</v>
      </c>
      <c r="R8500" s="21">
        <v>1</v>
      </c>
      <c r="S8500" s="21">
        <v>0</v>
      </c>
      <c r="T8500" s="21">
        <v>0</v>
      </c>
      <c r="U8500" s="21">
        <v>0</v>
      </c>
      <c r="V8500" s="21">
        <v>0</v>
      </c>
      <c r="W8500" s="21">
        <v>1</v>
      </c>
      <c r="X8500" s="21">
        <v>0</v>
      </c>
      <c r="Y8500" s="21">
        <v>0</v>
      </c>
      <c r="Z8500" s="21">
        <v>0</v>
      </c>
      <c r="AA8500" s="21">
        <v>0</v>
      </c>
      <c r="AB8500" s="21">
        <v>0</v>
      </c>
      <c r="AC8500" s="21">
        <v>0</v>
      </c>
      <c r="AD8500" s="21">
        <v>0</v>
      </c>
      <c r="AE8500" s="21">
        <v>0</v>
      </c>
      <c r="AF8500" s="21">
        <v>0</v>
      </c>
      <c r="AG8500" s="21">
        <v>0</v>
      </c>
      <c r="AH8500" s="21">
        <f t="shared" si="172"/>
        <v>96</v>
      </c>
      <c r="AI8500" s="21"/>
      <c r="AJ8500" s="21" t="s">
        <v>51</v>
      </c>
      <c r="AK8500" s="21" t="s">
        <v>95</v>
      </c>
      <c r="AL8500" s="21" t="s">
        <v>4804</v>
      </c>
      <c r="AM8500" s="21" t="s">
        <v>5074</v>
      </c>
      <c r="AN8500" s="21">
        <v>-122.4458508</v>
      </c>
      <c r="AO8500" s="21">
        <v>37.789258466666602</v>
      </c>
      <c r="AP8500" s="21" t="s">
        <v>951</v>
      </c>
    </row>
    <row r="8501" spans="1:42">
      <c r="A8501" s="20">
        <v>43854</v>
      </c>
      <c r="B8501" s="21">
        <v>5</v>
      </c>
      <c r="C8501" s="21">
        <v>223</v>
      </c>
      <c r="D8501" s="21">
        <v>14448</v>
      </c>
      <c r="E8501" t="s">
        <v>112</v>
      </c>
      <c r="F8501" s="21" t="s">
        <v>104</v>
      </c>
      <c r="G8501" s="21">
        <v>2</v>
      </c>
      <c r="H8501" s="21">
        <v>66</v>
      </c>
      <c r="I8501" s="23" t="s">
        <v>5075</v>
      </c>
      <c r="J8501" s="21"/>
      <c r="K8501" s="21" t="s">
        <v>1530</v>
      </c>
      <c r="L8501" s="21"/>
      <c r="M8501" s="21"/>
      <c r="N8501" s="21" t="s">
        <v>44</v>
      </c>
      <c r="O8501" s="21">
        <v>132</v>
      </c>
      <c r="P8501" s="21"/>
      <c r="Q8501" s="21">
        <f t="shared" si="171"/>
        <v>1</v>
      </c>
      <c r="R8501" s="21">
        <v>1</v>
      </c>
      <c r="S8501" s="21">
        <v>0</v>
      </c>
      <c r="T8501" s="21">
        <v>0</v>
      </c>
      <c r="U8501" s="21">
        <v>0</v>
      </c>
      <c r="V8501" s="21">
        <v>0</v>
      </c>
      <c r="W8501" s="21">
        <v>1</v>
      </c>
      <c r="X8501" s="21">
        <v>0</v>
      </c>
      <c r="Y8501" s="21">
        <v>0</v>
      </c>
      <c r="Z8501" s="21">
        <v>0</v>
      </c>
      <c r="AA8501" s="21">
        <v>0</v>
      </c>
      <c r="AB8501" s="21">
        <v>0</v>
      </c>
      <c r="AC8501" s="21">
        <v>0</v>
      </c>
      <c r="AD8501" s="21">
        <v>0</v>
      </c>
      <c r="AE8501" s="21">
        <v>0</v>
      </c>
      <c r="AF8501" s="21">
        <v>0</v>
      </c>
      <c r="AG8501" s="21">
        <v>0</v>
      </c>
      <c r="AH8501" s="21">
        <f t="shared" si="172"/>
        <v>96</v>
      </c>
      <c r="AI8501" s="21"/>
      <c r="AJ8501" s="21" t="s">
        <v>51</v>
      </c>
      <c r="AK8501" s="21" t="s">
        <v>4803</v>
      </c>
      <c r="AL8501" s="21" t="s">
        <v>5076</v>
      </c>
      <c r="AM8501" s="21" t="s">
        <v>5077</v>
      </c>
      <c r="AN8501" s="21">
        <v>-122.44727825</v>
      </c>
      <c r="AO8501" s="21">
        <v>37.790109883333301</v>
      </c>
      <c r="AP8501" s="21" t="s">
        <v>951</v>
      </c>
    </row>
    <row r="8502" spans="1:42">
      <c r="A8502" s="20">
        <v>43854</v>
      </c>
      <c r="B8502" s="21">
        <v>5</v>
      </c>
      <c r="C8502" s="21">
        <v>223</v>
      </c>
      <c r="D8502" s="21">
        <v>14448</v>
      </c>
      <c r="E8502" t="s">
        <v>112</v>
      </c>
      <c r="F8502" s="21" t="s">
        <v>104</v>
      </c>
      <c r="G8502" s="21">
        <v>2</v>
      </c>
      <c r="H8502" s="21">
        <v>67</v>
      </c>
      <c r="I8502" s="23" t="s">
        <v>5078</v>
      </c>
      <c r="J8502" s="21"/>
      <c r="K8502" s="21" t="s">
        <v>647</v>
      </c>
      <c r="L8502" s="21"/>
      <c r="M8502" s="21"/>
      <c r="N8502" s="21" t="s">
        <v>44</v>
      </c>
      <c r="O8502" s="21">
        <v>157</v>
      </c>
      <c r="P8502" s="21"/>
      <c r="Q8502" s="21">
        <f t="shared" si="171"/>
        <v>4</v>
      </c>
      <c r="R8502" s="21">
        <v>1</v>
      </c>
      <c r="S8502" s="21">
        <v>0</v>
      </c>
      <c r="T8502" s="21">
        <v>0</v>
      </c>
      <c r="U8502" s="21">
        <v>0</v>
      </c>
      <c r="V8502" s="21">
        <v>1</v>
      </c>
      <c r="W8502" s="21">
        <v>3</v>
      </c>
      <c r="X8502" s="21">
        <v>0</v>
      </c>
      <c r="Y8502" s="21">
        <v>0</v>
      </c>
      <c r="Z8502" s="21">
        <v>0</v>
      </c>
      <c r="AA8502" s="21">
        <v>0</v>
      </c>
      <c r="AB8502" s="21">
        <v>0</v>
      </c>
      <c r="AC8502" s="21">
        <v>0</v>
      </c>
      <c r="AD8502" s="21">
        <v>0</v>
      </c>
      <c r="AE8502" s="21">
        <v>0</v>
      </c>
      <c r="AF8502" s="21">
        <v>0</v>
      </c>
      <c r="AG8502" s="21">
        <v>0</v>
      </c>
      <c r="AH8502" s="21">
        <f t="shared" si="172"/>
        <v>352</v>
      </c>
      <c r="AI8502" s="21"/>
      <c r="AJ8502" s="21" t="s">
        <v>54</v>
      </c>
      <c r="AK8502" s="21" t="s">
        <v>95</v>
      </c>
      <c r="AL8502" s="21"/>
      <c r="AM8502" s="21" t="s">
        <v>5079</v>
      </c>
      <c r="AN8502" s="21">
        <v>-122.44547578333299</v>
      </c>
      <c r="AO8502" s="21">
        <v>37.791004633333301</v>
      </c>
      <c r="AP8502" s="21" t="s">
        <v>951</v>
      </c>
    </row>
    <row r="8503" spans="1:42">
      <c r="A8503" s="20">
        <v>43854</v>
      </c>
      <c r="B8503" s="21">
        <v>5</v>
      </c>
      <c r="C8503" s="21">
        <v>223</v>
      </c>
      <c r="D8503" s="21">
        <v>14448</v>
      </c>
      <c r="E8503" t="s">
        <v>112</v>
      </c>
      <c r="F8503" s="21" t="s">
        <v>104</v>
      </c>
      <c r="G8503" s="21">
        <v>2</v>
      </c>
      <c r="H8503" s="21">
        <v>68</v>
      </c>
      <c r="I8503" s="23" t="s">
        <v>2291</v>
      </c>
      <c r="J8503" s="21"/>
      <c r="K8503" s="21" t="s">
        <v>516</v>
      </c>
      <c r="L8503" s="21"/>
      <c r="M8503" s="21"/>
      <c r="N8503" s="21" t="s">
        <v>44</v>
      </c>
      <c r="O8503" s="21">
        <v>100</v>
      </c>
      <c r="P8503" s="21"/>
      <c r="Q8503" s="21">
        <f t="shared" si="171"/>
        <v>2</v>
      </c>
      <c r="R8503" s="21">
        <v>1</v>
      </c>
      <c r="S8503" s="21">
        <v>0</v>
      </c>
      <c r="T8503" s="21">
        <v>0</v>
      </c>
      <c r="U8503" s="21">
        <v>0</v>
      </c>
      <c r="V8503" s="21">
        <v>0</v>
      </c>
      <c r="W8503" s="21">
        <v>2</v>
      </c>
      <c r="X8503" s="21">
        <v>0</v>
      </c>
      <c r="Y8503" s="21">
        <v>0</v>
      </c>
      <c r="Z8503" s="21">
        <v>0</v>
      </c>
      <c r="AA8503" s="21">
        <v>0</v>
      </c>
      <c r="AB8503" s="21">
        <v>0</v>
      </c>
      <c r="AC8503" s="21">
        <v>0</v>
      </c>
      <c r="AD8503" s="21">
        <v>0</v>
      </c>
      <c r="AE8503" s="21">
        <v>0</v>
      </c>
      <c r="AF8503" s="21">
        <v>0</v>
      </c>
      <c r="AG8503" s="21">
        <v>0</v>
      </c>
      <c r="AH8503" s="21">
        <f t="shared" si="172"/>
        <v>192</v>
      </c>
      <c r="AI8503" s="21"/>
      <c r="AJ8503" s="21" t="s">
        <v>51</v>
      </c>
      <c r="AK8503" s="21" t="s">
        <v>95</v>
      </c>
      <c r="AL8503" s="21"/>
      <c r="AM8503" s="21" t="s">
        <v>5080</v>
      </c>
      <c r="AN8503" s="21">
        <v>-122.444561333333</v>
      </c>
      <c r="AO8503" s="21">
        <v>37.791193533333299</v>
      </c>
      <c r="AP8503" s="21" t="s">
        <v>951</v>
      </c>
    </row>
    <row r="8504" spans="1:42">
      <c r="A8504" s="20">
        <v>43854</v>
      </c>
      <c r="B8504" s="21">
        <v>5</v>
      </c>
      <c r="C8504" s="21">
        <v>223</v>
      </c>
      <c r="D8504" s="21">
        <v>14448</v>
      </c>
      <c r="E8504" t="s">
        <v>112</v>
      </c>
      <c r="F8504" s="21" t="s">
        <v>104</v>
      </c>
      <c r="G8504" s="21">
        <v>2</v>
      </c>
      <c r="H8504" s="21">
        <v>69</v>
      </c>
      <c r="I8504" s="23" t="s">
        <v>5081</v>
      </c>
      <c r="J8504" s="21"/>
      <c r="K8504" s="21" t="s">
        <v>516</v>
      </c>
      <c r="L8504" s="21" t="s">
        <v>141</v>
      </c>
      <c r="M8504" s="21"/>
      <c r="N8504" s="21" t="s">
        <v>40</v>
      </c>
      <c r="O8504" s="21">
        <v>102</v>
      </c>
      <c r="P8504" s="21"/>
      <c r="Q8504" s="21">
        <f t="shared" si="171"/>
        <v>3</v>
      </c>
      <c r="R8504" s="21">
        <v>1</v>
      </c>
      <c r="S8504" s="21">
        <v>0</v>
      </c>
      <c r="T8504" s="21">
        <v>0</v>
      </c>
      <c r="U8504" s="21">
        <v>3</v>
      </c>
      <c r="V8504" s="21">
        <v>0</v>
      </c>
      <c r="W8504" s="21">
        <v>0</v>
      </c>
      <c r="X8504" s="21">
        <v>0</v>
      </c>
      <c r="Y8504" s="21">
        <v>0</v>
      </c>
      <c r="Z8504" s="21">
        <v>0</v>
      </c>
      <c r="AA8504" s="21">
        <v>0</v>
      </c>
      <c r="AB8504" s="21">
        <v>0</v>
      </c>
      <c r="AC8504" s="21">
        <v>0</v>
      </c>
      <c r="AD8504" s="21">
        <v>0</v>
      </c>
      <c r="AE8504" s="21">
        <v>0</v>
      </c>
      <c r="AF8504" s="21">
        <v>0</v>
      </c>
      <c r="AG8504" s="21">
        <v>0</v>
      </c>
      <c r="AH8504" s="21">
        <f t="shared" si="172"/>
        <v>96</v>
      </c>
      <c r="AI8504" s="21"/>
      <c r="AJ8504" s="21" t="s">
        <v>51</v>
      </c>
      <c r="AK8504" s="21" t="s">
        <v>95</v>
      </c>
      <c r="AL8504" s="21"/>
      <c r="AM8504" s="21" t="s">
        <v>5082</v>
      </c>
      <c r="AN8504" s="21">
        <v>-122.442103883333</v>
      </c>
      <c r="AO8504" s="21">
        <v>37.790608133333301</v>
      </c>
      <c r="AP8504" s="21" t="s">
        <v>951</v>
      </c>
    </row>
    <row r="8505" spans="1:42">
      <c r="A8505" s="20">
        <v>43854</v>
      </c>
      <c r="B8505" s="21">
        <v>5</v>
      </c>
      <c r="C8505" s="21">
        <v>223</v>
      </c>
      <c r="D8505" s="21">
        <v>14448</v>
      </c>
      <c r="E8505" t="s">
        <v>112</v>
      </c>
      <c r="F8505" s="21" t="s">
        <v>104</v>
      </c>
      <c r="G8505" s="21">
        <v>2</v>
      </c>
      <c r="H8505" s="21">
        <v>70</v>
      </c>
      <c r="I8505" s="23" t="s">
        <v>5083</v>
      </c>
      <c r="J8505" s="21"/>
      <c r="K8505" s="21" t="s">
        <v>647</v>
      </c>
      <c r="L8505" s="21"/>
      <c r="M8505" s="21"/>
      <c r="N8505" s="21"/>
      <c r="O8505" s="21">
        <v>128</v>
      </c>
      <c r="P8505" s="21"/>
      <c r="Q8505" s="21">
        <f t="shared" si="171"/>
        <v>1</v>
      </c>
      <c r="R8505" s="21">
        <v>1</v>
      </c>
      <c r="S8505" s="21">
        <v>0</v>
      </c>
      <c r="T8505" s="21">
        <v>0</v>
      </c>
      <c r="U8505" s="21">
        <v>0</v>
      </c>
      <c r="V8505" s="21">
        <v>0</v>
      </c>
      <c r="W8505" s="21">
        <v>1</v>
      </c>
      <c r="X8505" s="21">
        <v>0</v>
      </c>
      <c r="Y8505" s="21">
        <v>0</v>
      </c>
      <c r="Z8505" s="21">
        <v>0</v>
      </c>
      <c r="AA8505" s="21">
        <v>0</v>
      </c>
      <c r="AB8505" s="21">
        <v>0</v>
      </c>
      <c r="AC8505" s="21">
        <v>0</v>
      </c>
      <c r="AD8505" s="21">
        <v>0</v>
      </c>
      <c r="AE8505" s="21">
        <v>0</v>
      </c>
      <c r="AF8505" s="21">
        <v>0</v>
      </c>
      <c r="AG8505" s="21">
        <v>0</v>
      </c>
      <c r="AH8505" s="21">
        <f t="shared" si="172"/>
        <v>96</v>
      </c>
      <c r="AI8505" s="21"/>
      <c r="AJ8505" s="21" t="s">
        <v>54</v>
      </c>
      <c r="AK8505" s="21" t="s">
        <v>95</v>
      </c>
      <c r="AL8505" s="21" t="s">
        <v>5084</v>
      </c>
      <c r="AM8505" s="21" t="s">
        <v>5085</v>
      </c>
      <c r="AN8505" s="21">
        <v>-122.44282586666699</v>
      </c>
      <c r="AO8505" s="21">
        <v>37.791681316666697</v>
      </c>
      <c r="AP8505" s="21" t="s">
        <v>951</v>
      </c>
    </row>
    <row r="8506" spans="1:42">
      <c r="A8506" s="20">
        <v>43854</v>
      </c>
      <c r="B8506" s="21">
        <v>5</v>
      </c>
      <c r="C8506" s="21">
        <v>223</v>
      </c>
      <c r="D8506" s="21">
        <v>14448</v>
      </c>
      <c r="E8506" t="s">
        <v>112</v>
      </c>
      <c r="F8506" s="21" t="s">
        <v>104</v>
      </c>
      <c r="G8506" s="21">
        <v>2</v>
      </c>
      <c r="H8506" s="21">
        <v>71</v>
      </c>
      <c r="I8506" s="23" t="s">
        <v>2239</v>
      </c>
      <c r="J8506" s="21"/>
      <c r="K8506" t="s">
        <v>605</v>
      </c>
      <c r="L8506" s="21"/>
      <c r="M8506" s="21"/>
      <c r="N8506" s="21" t="s">
        <v>44</v>
      </c>
      <c r="O8506" s="21">
        <v>153</v>
      </c>
      <c r="P8506" s="21"/>
      <c r="Q8506" s="21">
        <f t="shared" si="171"/>
        <v>1</v>
      </c>
      <c r="R8506" s="21">
        <v>1</v>
      </c>
      <c r="S8506" s="21">
        <v>0</v>
      </c>
      <c r="T8506" s="21">
        <v>0</v>
      </c>
      <c r="U8506" s="21">
        <v>0</v>
      </c>
      <c r="V8506" s="21">
        <v>0</v>
      </c>
      <c r="W8506" s="21">
        <v>1</v>
      </c>
      <c r="X8506" s="21">
        <v>0</v>
      </c>
      <c r="Y8506" s="21">
        <v>0</v>
      </c>
      <c r="Z8506" s="21">
        <v>0</v>
      </c>
      <c r="AA8506" s="21">
        <v>0</v>
      </c>
      <c r="AB8506" s="21">
        <v>0</v>
      </c>
      <c r="AC8506" s="21">
        <v>0</v>
      </c>
      <c r="AD8506" s="21">
        <v>0</v>
      </c>
      <c r="AE8506" s="21">
        <v>0</v>
      </c>
      <c r="AF8506" s="21">
        <v>0</v>
      </c>
      <c r="AG8506" s="21">
        <v>0</v>
      </c>
      <c r="AH8506" s="21">
        <f t="shared" si="172"/>
        <v>96</v>
      </c>
      <c r="AI8506" s="21"/>
      <c r="AJ8506" s="21" t="s">
        <v>51</v>
      </c>
      <c r="AK8506" s="21" t="s">
        <v>95</v>
      </c>
      <c r="AL8506" s="21" t="s">
        <v>4898</v>
      </c>
      <c r="AM8506" s="21" t="s">
        <v>5086</v>
      </c>
      <c r="AN8506" s="21">
        <v>-122.443208466667</v>
      </c>
      <c r="AO8506" s="21">
        <v>37.7922773833333</v>
      </c>
      <c r="AP8506" s="21" t="s">
        <v>951</v>
      </c>
    </row>
    <row r="8507" spans="1:42">
      <c r="A8507" s="20">
        <v>43854</v>
      </c>
      <c r="B8507" s="21">
        <v>5</v>
      </c>
      <c r="C8507" s="21">
        <v>223</v>
      </c>
      <c r="D8507" s="21">
        <v>14448</v>
      </c>
      <c r="E8507" t="s">
        <v>112</v>
      </c>
      <c r="F8507" s="21" t="s">
        <v>104</v>
      </c>
      <c r="G8507" s="21">
        <v>2</v>
      </c>
      <c r="H8507" s="21">
        <v>72</v>
      </c>
      <c r="I8507" s="23" t="s">
        <v>5087</v>
      </c>
      <c r="J8507" s="21"/>
      <c r="K8507" t="s">
        <v>605</v>
      </c>
      <c r="L8507" s="21" t="s">
        <v>114</v>
      </c>
      <c r="M8507" s="21"/>
      <c r="N8507" s="21" t="s">
        <v>40</v>
      </c>
      <c r="O8507" s="21">
        <v>190</v>
      </c>
      <c r="P8507" s="21"/>
      <c r="Q8507" s="21">
        <f t="shared" si="171"/>
        <v>6</v>
      </c>
      <c r="R8507" s="21">
        <v>1</v>
      </c>
      <c r="S8507" s="21">
        <v>0</v>
      </c>
      <c r="T8507" s="21">
        <v>0</v>
      </c>
      <c r="U8507" s="21">
        <v>0</v>
      </c>
      <c r="V8507" s="21">
        <v>3</v>
      </c>
      <c r="W8507" s="21">
        <v>3</v>
      </c>
      <c r="X8507" s="21">
        <v>0</v>
      </c>
      <c r="Y8507" s="21">
        <v>0</v>
      </c>
      <c r="Z8507" s="21">
        <v>0</v>
      </c>
      <c r="AA8507" s="21">
        <v>0</v>
      </c>
      <c r="AB8507" s="21">
        <v>0</v>
      </c>
      <c r="AC8507" s="21">
        <v>0</v>
      </c>
      <c r="AD8507" s="21">
        <v>0</v>
      </c>
      <c r="AE8507" s="21">
        <v>0</v>
      </c>
      <c r="AF8507" s="21">
        <v>0</v>
      </c>
      <c r="AG8507" s="21">
        <v>0</v>
      </c>
      <c r="AH8507" s="21">
        <f t="shared" si="172"/>
        <v>480</v>
      </c>
      <c r="AI8507" s="21"/>
      <c r="AJ8507" s="21" t="s">
        <v>51</v>
      </c>
      <c r="AK8507" s="21" t="s">
        <v>95</v>
      </c>
      <c r="AL8507" s="21"/>
      <c r="AM8507" s="21" t="s">
        <v>5088</v>
      </c>
      <c r="AN8507" s="21">
        <v>-122.44384260419299</v>
      </c>
      <c r="AO8507" s="21">
        <v>37.790648103202301</v>
      </c>
      <c r="AP8507" s="21" t="s">
        <v>951</v>
      </c>
    </row>
    <row r="8508" spans="1:42">
      <c r="A8508" s="20">
        <v>43854</v>
      </c>
      <c r="B8508" s="21">
        <v>5</v>
      </c>
      <c r="C8508" s="21">
        <v>223</v>
      </c>
      <c r="D8508" s="21">
        <v>14448</v>
      </c>
      <c r="E8508" t="s">
        <v>112</v>
      </c>
      <c r="F8508" s="21" t="s">
        <v>104</v>
      </c>
      <c r="G8508" s="21">
        <v>2</v>
      </c>
      <c r="H8508" s="21">
        <v>73</v>
      </c>
      <c r="I8508" s="23" t="s">
        <v>2252</v>
      </c>
      <c r="J8508" s="21"/>
      <c r="K8508" t="s">
        <v>605</v>
      </c>
      <c r="L8508" s="21" t="s">
        <v>114</v>
      </c>
      <c r="M8508" s="21"/>
      <c r="N8508" s="21" t="s">
        <v>40</v>
      </c>
      <c r="O8508" s="21">
        <v>114</v>
      </c>
      <c r="P8508" s="21"/>
      <c r="Q8508" s="21">
        <f t="shared" si="171"/>
        <v>2</v>
      </c>
      <c r="R8508" s="21">
        <v>1</v>
      </c>
      <c r="S8508" s="21">
        <v>0</v>
      </c>
      <c r="T8508" s="21">
        <v>0</v>
      </c>
      <c r="U8508" s="21">
        <v>1</v>
      </c>
      <c r="V8508" s="21">
        <v>1</v>
      </c>
      <c r="W8508" s="21">
        <v>0</v>
      </c>
      <c r="X8508" s="21">
        <v>0</v>
      </c>
      <c r="Y8508" s="21">
        <v>0</v>
      </c>
      <c r="Z8508" s="21">
        <v>0</v>
      </c>
      <c r="AA8508" s="21">
        <v>0</v>
      </c>
      <c r="AB8508" s="21">
        <v>0</v>
      </c>
      <c r="AC8508" s="21">
        <v>0</v>
      </c>
      <c r="AD8508" s="21">
        <v>0</v>
      </c>
      <c r="AE8508" s="21">
        <v>0</v>
      </c>
      <c r="AF8508" s="21">
        <v>0</v>
      </c>
      <c r="AG8508" s="21">
        <v>0</v>
      </c>
      <c r="AH8508" s="21">
        <f t="shared" si="172"/>
        <v>96</v>
      </c>
      <c r="AI8508" s="21"/>
      <c r="AJ8508" s="21"/>
      <c r="AK8508" s="21"/>
      <c r="AL8508" s="21"/>
      <c r="AM8508" s="21" t="s">
        <v>5089</v>
      </c>
      <c r="AN8508" s="21">
        <v>-122.444417683333</v>
      </c>
      <c r="AO8508" s="21">
        <v>37.792146233333298</v>
      </c>
      <c r="AP8508" s="21" t="s">
        <v>951</v>
      </c>
    </row>
    <row r="8509" spans="1:42">
      <c r="A8509" s="20">
        <v>43854</v>
      </c>
      <c r="B8509" s="21">
        <v>5</v>
      </c>
      <c r="C8509" s="21">
        <v>223</v>
      </c>
      <c r="D8509" s="21">
        <v>14448</v>
      </c>
      <c r="E8509" t="s">
        <v>112</v>
      </c>
      <c r="F8509" s="21" t="s">
        <v>104</v>
      </c>
      <c r="G8509" s="21">
        <v>2</v>
      </c>
      <c r="H8509" s="21">
        <v>74</v>
      </c>
      <c r="I8509" s="23" t="s">
        <v>5090</v>
      </c>
      <c r="J8509" s="21"/>
      <c r="K8509" t="s">
        <v>605</v>
      </c>
      <c r="L8509" s="21"/>
      <c r="M8509" s="21"/>
      <c r="N8509" s="21" t="s">
        <v>44</v>
      </c>
      <c r="O8509" s="21">
        <v>113</v>
      </c>
      <c r="P8509" s="21"/>
      <c r="Q8509" s="21">
        <f t="shared" si="171"/>
        <v>1</v>
      </c>
      <c r="R8509" s="21">
        <v>1</v>
      </c>
      <c r="S8509" s="21">
        <v>0</v>
      </c>
      <c r="T8509" s="21">
        <v>0</v>
      </c>
      <c r="U8509" s="21">
        <v>0</v>
      </c>
      <c r="V8509" s="21">
        <v>0</v>
      </c>
      <c r="W8509" s="21">
        <v>1</v>
      </c>
      <c r="X8509" s="21">
        <v>0</v>
      </c>
      <c r="Y8509" s="21">
        <v>0</v>
      </c>
      <c r="Z8509" s="21">
        <v>0</v>
      </c>
      <c r="AA8509" s="21">
        <v>0</v>
      </c>
      <c r="AB8509" s="21">
        <v>0</v>
      </c>
      <c r="AC8509" s="21">
        <v>0</v>
      </c>
      <c r="AD8509" s="21">
        <v>0</v>
      </c>
      <c r="AE8509" s="21">
        <v>0</v>
      </c>
      <c r="AF8509" s="21">
        <v>0</v>
      </c>
      <c r="AG8509" s="21">
        <v>0</v>
      </c>
      <c r="AH8509" s="21">
        <f t="shared" si="172"/>
        <v>96</v>
      </c>
      <c r="AI8509" s="21"/>
      <c r="AJ8509" s="21" t="s">
        <v>51</v>
      </c>
      <c r="AK8509" s="21" t="s">
        <v>95</v>
      </c>
      <c r="AL8509" s="21" t="s">
        <v>2190</v>
      </c>
      <c r="AM8509" s="21" t="s">
        <v>5091</v>
      </c>
      <c r="AN8509" s="21">
        <v>-122.444413833333</v>
      </c>
      <c r="AO8509" s="21">
        <v>37.7921713666667</v>
      </c>
      <c r="AP8509" s="21" t="s">
        <v>951</v>
      </c>
    </row>
    <row r="8510" spans="1:42">
      <c r="A8510" s="20">
        <v>43854</v>
      </c>
      <c r="B8510" s="21">
        <v>5</v>
      </c>
      <c r="C8510" s="21">
        <v>223</v>
      </c>
      <c r="D8510" s="21">
        <v>14448</v>
      </c>
      <c r="E8510" t="s">
        <v>112</v>
      </c>
      <c r="F8510" s="21" t="s">
        <v>104</v>
      </c>
      <c r="G8510" s="21">
        <v>2</v>
      </c>
      <c r="H8510" s="21">
        <v>75</v>
      </c>
      <c r="I8510" s="23" t="s">
        <v>5092</v>
      </c>
      <c r="J8510" s="21"/>
      <c r="K8510" t="s">
        <v>605</v>
      </c>
      <c r="L8510" s="21" t="s">
        <v>114</v>
      </c>
      <c r="M8510" s="21"/>
      <c r="N8510" s="21" t="s">
        <v>40</v>
      </c>
      <c r="O8510" s="21">
        <v>41</v>
      </c>
      <c r="P8510" s="21"/>
      <c r="Q8510" s="21">
        <f t="shared" si="171"/>
        <v>1</v>
      </c>
      <c r="R8510" s="21">
        <v>1</v>
      </c>
      <c r="S8510" s="21">
        <v>0</v>
      </c>
      <c r="T8510" s="21">
        <v>0</v>
      </c>
      <c r="U8510" s="21">
        <v>0</v>
      </c>
      <c r="V8510" s="21">
        <v>1</v>
      </c>
      <c r="W8510" s="21">
        <v>0</v>
      </c>
      <c r="X8510" s="21">
        <v>0</v>
      </c>
      <c r="Y8510" s="21">
        <v>0</v>
      </c>
      <c r="Z8510" s="21">
        <v>0</v>
      </c>
      <c r="AA8510" s="21">
        <v>0</v>
      </c>
      <c r="AB8510" s="21">
        <v>0</v>
      </c>
      <c r="AC8510" s="21">
        <v>0</v>
      </c>
      <c r="AD8510" s="21">
        <v>0</v>
      </c>
      <c r="AE8510" s="21">
        <v>0</v>
      </c>
      <c r="AF8510" s="21">
        <v>0</v>
      </c>
      <c r="AG8510" s="21">
        <v>0</v>
      </c>
      <c r="AH8510" s="21">
        <f t="shared" si="172"/>
        <v>64</v>
      </c>
      <c r="AI8510" s="21"/>
      <c r="AJ8510" s="21"/>
      <c r="AK8510" s="21"/>
      <c r="AL8510" s="21"/>
      <c r="AM8510" s="21" t="s">
        <v>5093</v>
      </c>
      <c r="AN8510" s="21">
        <v>-122.445544333333</v>
      </c>
      <c r="AO8510" s="21">
        <v>37.791996116666702</v>
      </c>
      <c r="AP8510" s="21" t="s">
        <v>951</v>
      </c>
    </row>
    <row r="8511" spans="1:42">
      <c r="A8511" s="20">
        <v>43854</v>
      </c>
      <c r="B8511" s="21">
        <v>5</v>
      </c>
      <c r="C8511" s="21">
        <v>223</v>
      </c>
      <c r="D8511" s="21">
        <v>14448</v>
      </c>
      <c r="E8511" t="s">
        <v>112</v>
      </c>
      <c r="F8511" s="21" t="s">
        <v>104</v>
      </c>
      <c r="G8511" s="21">
        <v>2</v>
      </c>
      <c r="H8511" s="21">
        <v>76</v>
      </c>
      <c r="I8511" s="23" t="s">
        <v>5094</v>
      </c>
      <c r="J8511" s="21"/>
      <c r="K8511" t="s">
        <v>605</v>
      </c>
      <c r="L8511" s="21" t="s">
        <v>114</v>
      </c>
      <c r="M8511" s="21"/>
      <c r="N8511" s="21" t="s">
        <v>40</v>
      </c>
      <c r="O8511" s="21">
        <v>43</v>
      </c>
      <c r="P8511" s="21"/>
      <c r="Q8511" s="21">
        <f t="shared" si="171"/>
        <v>1</v>
      </c>
      <c r="R8511" s="21">
        <v>1</v>
      </c>
      <c r="S8511" s="21">
        <v>0</v>
      </c>
      <c r="T8511" s="21">
        <v>0</v>
      </c>
      <c r="U8511" s="21">
        <v>0</v>
      </c>
      <c r="V8511" s="21">
        <v>1</v>
      </c>
      <c r="W8511" s="21">
        <v>0</v>
      </c>
      <c r="X8511" s="21">
        <v>0</v>
      </c>
      <c r="Y8511" s="21">
        <v>0</v>
      </c>
      <c r="Z8511" s="21">
        <v>0</v>
      </c>
      <c r="AA8511" s="21">
        <v>0</v>
      </c>
      <c r="AB8511" s="21">
        <v>0</v>
      </c>
      <c r="AC8511" s="21">
        <v>0</v>
      </c>
      <c r="AD8511" s="21">
        <v>0</v>
      </c>
      <c r="AE8511" s="21">
        <v>0</v>
      </c>
      <c r="AF8511" s="21">
        <v>0</v>
      </c>
      <c r="AG8511" s="21">
        <v>0</v>
      </c>
      <c r="AH8511" s="21">
        <f t="shared" si="172"/>
        <v>64</v>
      </c>
      <c r="AI8511" s="21"/>
      <c r="AJ8511" s="21" t="s">
        <v>51</v>
      </c>
      <c r="AK8511" s="21" t="s">
        <v>95</v>
      </c>
      <c r="AL8511" s="21"/>
      <c r="AM8511" s="21" t="s">
        <v>5095</v>
      </c>
      <c r="AN8511" s="21">
        <v>-122.445903933333</v>
      </c>
      <c r="AO8511" s="21">
        <v>37.791966199999997</v>
      </c>
      <c r="AP8511" s="21" t="s">
        <v>951</v>
      </c>
    </row>
    <row r="8512" spans="1:42">
      <c r="A8512" s="20">
        <v>43854</v>
      </c>
      <c r="B8512" s="21">
        <v>5</v>
      </c>
      <c r="C8512" s="21">
        <v>223</v>
      </c>
      <c r="D8512" s="21">
        <v>14448</v>
      </c>
      <c r="E8512" t="s">
        <v>112</v>
      </c>
      <c r="F8512" s="21" t="s">
        <v>104</v>
      </c>
      <c r="G8512" s="21">
        <v>2</v>
      </c>
      <c r="H8512" s="21">
        <v>77</v>
      </c>
      <c r="I8512" s="23" t="s">
        <v>5096</v>
      </c>
      <c r="J8512" s="21"/>
      <c r="K8512" t="s">
        <v>605</v>
      </c>
      <c r="L8512" s="21"/>
      <c r="M8512" s="21"/>
      <c r="N8512" s="21" t="s">
        <v>44</v>
      </c>
      <c r="O8512" s="21">
        <v>129</v>
      </c>
      <c r="P8512" s="21"/>
      <c r="Q8512" s="21">
        <f t="shared" ref="Q8512:Q8575" si="173">SUM(S8512:AE8512)</f>
        <v>2</v>
      </c>
      <c r="R8512" s="21">
        <v>1</v>
      </c>
      <c r="S8512" s="21">
        <v>0</v>
      </c>
      <c r="T8512" s="21">
        <v>0</v>
      </c>
      <c r="U8512" s="21">
        <v>0</v>
      </c>
      <c r="V8512" s="21">
        <v>0</v>
      </c>
      <c r="W8512" s="21">
        <v>2</v>
      </c>
      <c r="X8512" s="21">
        <v>0</v>
      </c>
      <c r="Y8512" s="21">
        <v>0</v>
      </c>
      <c r="Z8512" s="21">
        <v>0</v>
      </c>
      <c r="AA8512" s="21">
        <v>0</v>
      </c>
      <c r="AB8512" s="21">
        <v>0</v>
      </c>
      <c r="AC8512" s="21">
        <v>0</v>
      </c>
      <c r="AD8512" s="21">
        <v>0</v>
      </c>
      <c r="AE8512" s="21">
        <v>0</v>
      </c>
      <c r="AF8512" s="21">
        <v>0</v>
      </c>
      <c r="AG8512" s="21">
        <v>0</v>
      </c>
      <c r="AH8512" s="21">
        <f t="shared" ref="AH8512:AH8575" si="174">(S8512*16)+(T8512*20)+(U8512*32)+(V8512*64)+(W8512*96)</f>
        <v>192</v>
      </c>
      <c r="AI8512" s="21"/>
      <c r="AJ8512" s="21" t="s">
        <v>51</v>
      </c>
      <c r="AK8512" s="21" t="s">
        <v>95</v>
      </c>
      <c r="AL8512" s="21" t="s">
        <v>5097</v>
      </c>
      <c r="AM8512" s="21" t="s">
        <v>5098</v>
      </c>
      <c r="AN8512" s="21">
        <v>-122.444108733333</v>
      </c>
      <c r="AO8512" s="21">
        <v>37.7921646</v>
      </c>
      <c r="AP8512" s="21" t="s">
        <v>951</v>
      </c>
    </row>
    <row r="8513" spans="1:42">
      <c r="A8513" s="20">
        <v>43854</v>
      </c>
      <c r="B8513" s="21">
        <v>5</v>
      </c>
      <c r="C8513" s="21">
        <v>223</v>
      </c>
      <c r="D8513" s="21">
        <v>14448</v>
      </c>
      <c r="E8513" t="s">
        <v>112</v>
      </c>
      <c r="F8513" s="21" t="s">
        <v>104</v>
      </c>
      <c r="G8513" s="21">
        <v>2</v>
      </c>
      <c r="H8513" s="21">
        <v>78</v>
      </c>
      <c r="I8513" s="23" t="s">
        <v>5099</v>
      </c>
      <c r="J8513" s="21"/>
      <c r="K8513" t="s">
        <v>605</v>
      </c>
      <c r="L8513" s="21"/>
      <c r="M8513" s="21"/>
      <c r="N8513" s="21" t="s">
        <v>44</v>
      </c>
      <c r="O8513" s="21">
        <v>246</v>
      </c>
      <c r="P8513" s="21"/>
      <c r="Q8513" s="21">
        <f t="shared" si="173"/>
        <v>2</v>
      </c>
      <c r="R8513" s="21">
        <v>1</v>
      </c>
      <c r="S8513" s="21">
        <v>0</v>
      </c>
      <c r="T8513" s="21">
        <v>0</v>
      </c>
      <c r="U8513" s="21">
        <v>0</v>
      </c>
      <c r="V8513" s="21">
        <v>0</v>
      </c>
      <c r="W8513" s="21">
        <v>2</v>
      </c>
      <c r="X8513" s="21">
        <v>0</v>
      </c>
      <c r="Y8513" s="21">
        <v>0</v>
      </c>
      <c r="Z8513" s="21">
        <v>0</v>
      </c>
      <c r="AA8513" s="21">
        <v>0</v>
      </c>
      <c r="AB8513" s="21">
        <v>0</v>
      </c>
      <c r="AC8513" s="21">
        <v>0</v>
      </c>
      <c r="AD8513" s="21">
        <v>0</v>
      </c>
      <c r="AE8513" s="21">
        <v>0</v>
      </c>
      <c r="AF8513" s="21">
        <v>0</v>
      </c>
      <c r="AG8513" s="21">
        <v>0</v>
      </c>
      <c r="AH8513" s="21">
        <f t="shared" si="174"/>
        <v>192</v>
      </c>
      <c r="AI8513" s="21"/>
      <c r="AJ8513" s="21" t="s">
        <v>51</v>
      </c>
      <c r="AK8513" s="21" t="s">
        <v>95</v>
      </c>
      <c r="AL8513" s="21" t="s">
        <v>5100</v>
      </c>
      <c r="AM8513" s="21" t="s">
        <v>5101</v>
      </c>
      <c r="AN8513" s="21">
        <v>-122.443712283333</v>
      </c>
      <c r="AO8513" s="21">
        <v>37.792224633333298</v>
      </c>
      <c r="AP8513" s="21" t="s">
        <v>951</v>
      </c>
    </row>
    <row r="8514" spans="1:42">
      <c r="A8514" s="20">
        <v>43854</v>
      </c>
      <c r="B8514" s="21">
        <v>5</v>
      </c>
      <c r="C8514" s="21">
        <v>223</v>
      </c>
      <c r="D8514" s="21">
        <v>14448</v>
      </c>
      <c r="E8514" t="s">
        <v>112</v>
      </c>
      <c r="F8514" s="21" t="s">
        <v>104</v>
      </c>
      <c r="G8514" s="21">
        <v>2</v>
      </c>
      <c r="H8514" s="21">
        <v>79</v>
      </c>
      <c r="I8514" s="23" t="s">
        <v>2262</v>
      </c>
      <c r="J8514" s="21"/>
      <c r="K8514" t="s">
        <v>605</v>
      </c>
      <c r="L8514" s="21"/>
      <c r="M8514" s="21"/>
      <c r="N8514" s="21" t="s">
        <v>44</v>
      </c>
      <c r="O8514" s="21">
        <v>162</v>
      </c>
      <c r="P8514" s="21"/>
      <c r="Q8514" s="21">
        <f t="shared" si="173"/>
        <v>3</v>
      </c>
      <c r="R8514" s="21">
        <v>1</v>
      </c>
      <c r="S8514" s="21">
        <v>0</v>
      </c>
      <c r="T8514" s="21">
        <v>0</v>
      </c>
      <c r="U8514" s="21">
        <v>0</v>
      </c>
      <c r="V8514" s="21">
        <v>0</v>
      </c>
      <c r="W8514" s="21">
        <v>3</v>
      </c>
      <c r="X8514" s="21">
        <v>0</v>
      </c>
      <c r="Y8514" s="21">
        <v>0</v>
      </c>
      <c r="Z8514" s="21">
        <v>0</v>
      </c>
      <c r="AA8514" s="21">
        <v>0</v>
      </c>
      <c r="AB8514" s="21">
        <v>0</v>
      </c>
      <c r="AC8514" s="21">
        <v>0</v>
      </c>
      <c r="AD8514" s="21">
        <v>0</v>
      </c>
      <c r="AE8514" s="21">
        <v>0</v>
      </c>
      <c r="AF8514" s="21">
        <v>0</v>
      </c>
      <c r="AG8514" s="21">
        <v>0</v>
      </c>
      <c r="AH8514" s="21">
        <f t="shared" si="174"/>
        <v>288</v>
      </c>
      <c r="AI8514" s="21"/>
      <c r="AJ8514" s="21" t="s">
        <v>51</v>
      </c>
      <c r="AK8514" s="21" t="s">
        <v>52</v>
      </c>
      <c r="AL8514" s="21"/>
      <c r="AM8514" s="21" t="s">
        <v>5102</v>
      </c>
      <c r="AN8514" s="21">
        <v>-122.443400833333</v>
      </c>
      <c r="AO8514" s="21">
        <v>37.792260433333297</v>
      </c>
      <c r="AP8514" s="21" t="s">
        <v>951</v>
      </c>
    </row>
    <row r="8515" spans="1:42">
      <c r="A8515" s="20">
        <v>43854</v>
      </c>
      <c r="B8515" s="21">
        <v>5</v>
      </c>
      <c r="C8515" s="21">
        <v>223</v>
      </c>
      <c r="D8515" s="21">
        <v>14448</v>
      </c>
      <c r="E8515" t="s">
        <v>112</v>
      </c>
      <c r="F8515" s="21" t="s">
        <v>104</v>
      </c>
      <c r="G8515" s="21">
        <v>2</v>
      </c>
      <c r="H8515" s="21">
        <v>80</v>
      </c>
      <c r="I8515" s="23" t="s">
        <v>5103</v>
      </c>
      <c r="J8515" s="21"/>
      <c r="K8515" t="s">
        <v>605</v>
      </c>
      <c r="L8515" s="21" t="s">
        <v>114</v>
      </c>
      <c r="M8515" s="21"/>
      <c r="N8515" s="21" t="s">
        <v>40</v>
      </c>
      <c r="O8515" s="21">
        <v>243</v>
      </c>
      <c r="P8515" s="21"/>
      <c r="Q8515" s="21">
        <f t="shared" si="173"/>
        <v>1</v>
      </c>
      <c r="R8515" s="21">
        <v>1</v>
      </c>
      <c r="S8515" s="21">
        <v>0</v>
      </c>
      <c r="T8515" s="21">
        <v>0</v>
      </c>
      <c r="U8515" s="21">
        <v>0</v>
      </c>
      <c r="V8515" s="21">
        <v>0</v>
      </c>
      <c r="W8515" s="21">
        <v>1</v>
      </c>
      <c r="X8515" s="21">
        <v>0</v>
      </c>
      <c r="Y8515" s="21">
        <v>0</v>
      </c>
      <c r="Z8515" s="21">
        <v>0</v>
      </c>
      <c r="AA8515" s="21">
        <v>0</v>
      </c>
      <c r="AB8515" s="21">
        <v>0</v>
      </c>
      <c r="AC8515" s="21">
        <v>0</v>
      </c>
      <c r="AD8515" s="21">
        <v>0</v>
      </c>
      <c r="AE8515" s="21">
        <v>0</v>
      </c>
      <c r="AF8515" s="21">
        <v>0</v>
      </c>
      <c r="AG8515" s="21">
        <v>0</v>
      </c>
      <c r="AH8515" s="21">
        <f t="shared" si="174"/>
        <v>96</v>
      </c>
      <c r="AI8515" s="21"/>
      <c r="AJ8515" s="21" t="s">
        <v>51</v>
      </c>
      <c r="AK8515" s="21" t="s">
        <v>95</v>
      </c>
      <c r="AL8515" s="21" t="s">
        <v>5104</v>
      </c>
      <c r="AM8515" s="21" t="s">
        <v>5105</v>
      </c>
      <c r="AN8515" s="21">
        <v>-122.44268375</v>
      </c>
      <c r="AO8515" s="21">
        <v>37.7923884</v>
      </c>
      <c r="AP8515" s="21" t="s">
        <v>951</v>
      </c>
    </row>
    <row r="8516" spans="1:42">
      <c r="A8516" s="20">
        <v>43854</v>
      </c>
      <c r="B8516" s="21">
        <v>5</v>
      </c>
      <c r="C8516" s="21">
        <v>223</v>
      </c>
      <c r="D8516" s="21">
        <v>14448</v>
      </c>
      <c r="E8516" t="s">
        <v>112</v>
      </c>
      <c r="F8516" s="21" t="s">
        <v>104</v>
      </c>
      <c r="G8516" s="21">
        <v>2</v>
      </c>
      <c r="H8516" s="21">
        <v>81</v>
      </c>
      <c r="I8516" s="23" t="s">
        <v>2395</v>
      </c>
      <c r="J8516" s="21"/>
      <c r="K8516" t="s">
        <v>605</v>
      </c>
      <c r="L8516" s="21"/>
      <c r="M8516" s="21"/>
      <c r="N8516" s="21" t="s">
        <v>44</v>
      </c>
      <c r="O8516" s="21">
        <v>91</v>
      </c>
      <c r="P8516" s="21"/>
      <c r="Q8516" s="21">
        <f t="shared" si="173"/>
        <v>1</v>
      </c>
      <c r="R8516" s="21">
        <v>1</v>
      </c>
      <c r="S8516" s="21">
        <v>0</v>
      </c>
      <c r="T8516" s="21">
        <v>0</v>
      </c>
      <c r="U8516" s="21">
        <v>0</v>
      </c>
      <c r="V8516" s="21">
        <v>0</v>
      </c>
      <c r="W8516" s="21">
        <v>1</v>
      </c>
      <c r="X8516" s="21">
        <v>0</v>
      </c>
      <c r="Y8516" s="21">
        <v>0</v>
      </c>
      <c r="Z8516" s="21">
        <v>0</v>
      </c>
      <c r="AA8516" s="21">
        <v>0</v>
      </c>
      <c r="AB8516" s="21">
        <v>0</v>
      </c>
      <c r="AC8516" s="21">
        <v>0</v>
      </c>
      <c r="AD8516" s="21">
        <v>0</v>
      </c>
      <c r="AE8516" s="21">
        <v>0</v>
      </c>
      <c r="AF8516" s="21">
        <v>0</v>
      </c>
      <c r="AG8516" s="21">
        <v>0</v>
      </c>
      <c r="AH8516" s="21">
        <f t="shared" si="174"/>
        <v>96</v>
      </c>
      <c r="AI8516" s="21"/>
      <c r="AJ8516" s="21" t="s">
        <v>51</v>
      </c>
      <c r="AK8516" s="21" t="s">
        <v>95</v>
      </c>
      <c r="AL8516" s="21" t="s">
        <v>5106</v>
      </c>
      <c r="AM8516" s="21" t="s">
        <v>5107</v>
      </c>
      <c r="AN8516" s="21">
        <v>-122.44176455</v>
      </c>
      <c r="AO8516" s="21">
        <v>37.792482216666698</v>
      </c>
      <c r="AP8516" s="21" t="s">
        <v>951</v>
      </c>
    </row>
    <row r="8517" spans="1:42">
      <c r="A8517" s="20">
        <v>43854</v>
      </c>
      <c r="B8517" s="21">
        <v>5</v>
      </c>
      <c r="C8517" s="21">
        <v>223</v>
      </c>
      <c r="D8517" s="21">
        <v>14448</v>
      </c>
      <c r="E8517" t="s">
        <v>112</v>
      </c>
      <c r="F8517" s="21" t="s">
        <v>104</v>
      </c>
      <c r="G8517" s="21">
        <v>2</v>
      </c>
      <c r="H8517" s="21">
        <v>82</v>
      </c>
      <c r="I8517" s="23" t="s">
        <v>5108</v>
      </c>
      <c r="J8517" s="21"/>
      <c r="K8517" s="21" t="s">
        <v>256</v>
      </c>
      <c r="L8517" s="21" t="s">
        <v>114</v>
      </c>
      <c r="M8517" s="21"/>
      <c r="N8517" s="21" t="s">
        <v>40</v>
      </c>
      <c r="O8517" s="21">
        <v>41</v>
      </c>
      <c r="P8517" s="21"/>
      <c r="Q8517" s="21">
        <f t="shared" si="173"/>
        <v>2</v>
      </c>
      <c r="R8517" s="21">
        <v>1</v>
      </c>
      <c r="S8517" s="21">
        <v>0</v>
      </c>
      <c r="T8517" s="21">
        <v>0</v>
      </c>
      <c r="U8517" s="21">
        <v>2</v>
      </c>
      <c r="V8517" s="21">
        <v>0</v>
      </c>
      <c r="W8517" s="21">
        <v>0</v>
      </c>
      <c r="X8517" s="21">
        <v>0</v>
      </c>
      <c r="Y8517" s="21">
        <v>0</v>
      </c>
      <c r="Z8517" s="21">
        <v>0</v>
      </c>
      <c r="AA8517" s="21">
        <v>0</v>
      </c>
      <c r="AB8517" s="21">
        <v>0</v>
      </c>
      <c r="AC8517" s="21">
        <v>0</v>
      </c>
      <c r="AD8517" s="21">
        <v>0</v>
      </c>
      <c r="AE8517" s="21">
        <v>0</v>
      </c>
      <c r="AF8517" s="21">
        <v>0</v>
      </c>
      <c r="AG8517" s="21">
        <v>0</v>
      </c>
      <c r="AH8517" s="21">
        <f t="shared" si="174"/>
        <v>64</v>
      </c>
      <c r="AI8517" s="21"/>
      <c r="AJ8517" s="21" t="s">
        <v>51</v>
      </c>
      <c r="AK8517" s="21" t="s">
        <v>52</v>
      </c>
      <c r="AL8517" s="21"/>
      <c r="AM8517" s="21" t="s">
        <v>5109</v>
      </c>
      <c r="AN8517" s="21">
        <v>-122.44146275</v>
      </c>
      <c r="AO8517" s="21">
        <v>37.7931830666666</v>
      </c>
      <c r="AP8517" s="21" t="s">
        <v>951</v>
      </c>
    </row>
    <row r="8518" spans="1:42">
      <c r="A8518" s="20">
        <v>43854</v>
      </c>
      <c r="B8518" s="21">
        <v>5</v>
      </c>
      <c r="C8518" s="21">
        <v>223</v>
      </c>
      <c r="D8518" s="21">
        <v>14448</v>
      </c>
      <c r="E8518" t="s">
        <v>112</v>
      </c>
      <c r="F8518" s="21" t="s">
        <v>104</v>
      </c>
      <c r="G8518" s="21">
        <v>2</v>
      </c>
      <c r="H8518" s="21">
        <v>83</v>
      </c>
      <c r="I8518" s="23" t="s">
        <v>5110</v>
      </c>
      <c r="J8518" s="21"/>
      <c r="K8518" s="21" t="s">
        <v>1328</v>
      </c>
      <c r="L8518" s="21" t="s">
        <v>114</v>
      </c>
      <c r="M8518" s="21"/>
      <c r="N8518" s="21" t="s">
        <v>40</v>
      </c>
      <c r="O8518" s="21">
        <v>58</v>
      </c>
      <c r="P8518" s="21"/>
      <c r="Q8518" s="21">
        <f t="shared" si="173"/>
        <v>2</v>
      </c>
      <c r="R8518" s="21">
        <v>1</v>
      </c>
      <c r="S8518" s="21">
        <v>0</v>
      </c>
      <c r="T8518" s="21">
        <v>0</v>
      </c>
      <c r="U8518" s="21">
        <v>2</v>
      </c>
      <c r="V8518" s="21">
        <v>0</v>
      </c>
      <c r="W8518" s="21">
        <v>0</v>
      </c>
      <c r="X8518" s="21">
        <v>0</v>
      </c>
      <c r="Y8518" s="21">
        <v>0</v>
      </c>
      <c r="Z8518" s="21">
        <v>0</v>
      </c>
      <c r="AA8518" s="21">
        <v>0</v>
      </c>
      <c r="AB8518" s="21">
        <v>0</v>
      </c>
      <c r="AC8518" s="21">
        <v>0</v>
      </c>
      <c r="AD8518" s="21">
        <v>0</v>
      </c>
      <c r="AE8518" s="21">
        <v>0</v>
      </c>
      <c r="AF8518" s="21">
        <v>0</v>
      </c>
      <c r="AG8518" s="21">
        <v>0</v>
      </c>
      <c r="AH8518" s="21">
        <f t="shared" si="174"/>
        <v>64</v>
      </c>
      <c r="AI8518" s="21"/>
      <c r="AJ8518" s="21" t="s">
        <v>51</v>
      </c>
      <c r="AK8518" s="21" t="s">
        <v>95</v>
      </c>
      <c r="AL8518" s="21"/>
      <c r="AM8518" s="21" t="s">
        <v>5111</v>
      </c>
      <c r="AN8518" s="21">
        <v>-122.440819416667</v>
      </c>
      <c r="AO8518" s="21">
        <v>37.794113633333303</v>
      </c>
      <c r="AP8518" s="21" t="s">
        <v>951</v>
      </c>
    </row>
    <row r="8519" spans="1:42">
      <c r="A8519" s="20">
        <v>43854</v>
      </c>
      <c r="B8519" s="21">
        <v>5</v>
      </c>
      <c r="C8519" s="21">
        <v>223</v>
      </c>
      <c r="D8519" s="21">
        <v>14448</v>
      </c>
      <c r="E8519" t="s">
        <v>112</v>
      </c>
      <c r="F8519" s="21" t="s">
        <v>104</v>
      </c>
      <c r="G8519" s="21">
        <v>2</v>
      </c>
      <c r="H8519" s="21">
        <v>84</v>
      </c>
      <c r="I8519" s="23" t="s">
        <v>2700</v>
      </c>
      <c r="J8519" s="21"/>
      <c r="K8519" s="21" t="s">
        <v>185</v>
      </c>
      <c r="L8519" s="21"/>
      <c r="M8519" s="21"/>
      <c r="N8519" s="21" t="s">
        <v>44</v>
      </c>
      <c r="O8519" s="21">
        <v>78</v>
      </c>
      <c r="P8519" s="21"/>
      <c r="Q8519" s="21">
        <f t="shared" si="173"/>
        <v>2</v>
      </c>
      <c r="R8519" s="21">
        <v>1</v>
      </c>
      <c r="S8519" s="21">
        <v>0</v>
      </c>
      <c r="T8519" s="21">
        <v>0</v>
      </c>
      <c r="U8519" s="21">
        <v>1</v>
      </c>
      <c r="V8519" s="21">
        <v>0</v>
      </c>
      <c r="W8519" s="21">
        <v>1</v>
      </c>
      <c r="X8519" s="21">
        <v>0</v>
      </c>
      <c r="Y8519" s="21">
        <v>0</v>
      </c>
      <c r="Z8519" s="21">
        <v>0</v>
      </c>
      <c r="AA8519" s="21">
        <v>0</v>
      </c>
      <c r="AB8519" s="21">
        <v>0</v>
      </c>
      <c r="AC8519" s="21">
        <v>0</v>
      </c>
      <c r="AD8519" s="21">
        <v>0</v>
      </c>
      <c r="AE8519" s="21">
        <v>0</v>
      </c>
      <c r="AF8519" s="21">
        <v>0</v>
      </c>
      <c r="AG8519" s="21">
        <v>0</v>
      </c>
      <c r="AH8519" s="21">
        <f t="shared" si="174"/>
        <v>128</v>
      </c>
      <c r="AI8519" s="21"/>
      <c r="AJ8519" s="21" t="s">
        <v>51</v>
      </c>
      <c r="AK8519" s="21" t="s">
        <v>95</v>
      </c>
      <c r="AL8519" s="21"/>
      <c r="AM8519" s="21" t="s">
        <v>5112</v>
      </c>
      <c r="AN8519" s="21">
        <v>-122.441765783333</v>
      </c>
      <c r="AO8519" s="21">
        <v>37.793553416666697</v>
      </c>
      <c r="AP8519" s="21" t="s">
        <v>951</v>
      </c>
    </row>
    <row r="8520" spans="1:42">
      <c r="A8520" s="20">
        <v>43854</v>
      </c>
      <c r="B8520" s="21">
        <v>5</v>
      </c>
      <c r="C8520" s="21">
        <v>223</v>
      </c>
      <c r="D8520" s="21">
        <v>14448</v>
      </c>
      <c r="E8520" t="s">
        <v>112</v>
      </c>
      <c r="F8520" s="21" t="s">
        <v>104</v>
      </c>
      <c r="G8520" s="21">
        <v>2</v>
      </c>
      <c r="H8520" s="21">
        <v>85</v>
      </c>
      <c r="I8520" s="23" t="s">
        <v>5113</v>
      </c>
      <c r="J8520" s="21"/>
      <c r="K8520" s="21" t="s">
        <v>185</v>
      </c>
      <c r="L8520" s="21" t="s">
        <v>114</v>
      </c>
      <c r="M8520" s="21"/>
      <c r="N8520" s="21" t="s">
        <v>40</v>
      </c>
      <c r="O8520" s="21">
        <v>79</v>
      </c>
      <c r="P8520" s="21"/>
      <c r="Q8520" s="21">
        <f t="shared" si="173"/>
        <v>2</v>
      </c>
      <c r="R8520" s="21">
        <v>1</v>
      </c>
      <c r="S8520" s="21">
        <v>0</v>
      </c>
      <c r="T8520" s="21">
        <v>0</v>
      </c>
      <c r="U8520" s="21">
        <v>0</v>
      </c>
      <c r="V8520" s="21">
        <v>2</v>
      </c>
      <c r="W8520" s="21">
        <v>0</v>
      </c>
      <c r="X8520" s="21">
        <v>0</v>
      </c>
      <c r="Y8520" s="21">
        <v>0</v>
      </c>
      <c r="Z8520" s="21">
        <v>0</v>
      </c>
      <c r="AA8520" s="21">
        <v>0</v>
      </c>
      <c r="AB8520" s="21">
        <v>0</v>
      </c>
      <c r="AC8520" s="21">
        <v>0</v>
      </c>
      <c r="AD8520" s="21">
        <v>0</v>
      </c>
      <c r="AE8520" s="21">
        <v>0</v>
      </c>
      <c r="AF8520" s="21">
        <v>0</v>
      </c>
      <c r="AG8520" s="21">
        <v>0</v>
      </c>
      <c r="AH8520" s="21">
        <f t="shared" si="174"/>
        <v>128</v>
      </c>
      <c r="AI8520" s="21"/>
      <c r="AJ8520" s="21" t="s">
        <v>51</v>
      </c>
      <c r="AK8520" s="21" t="s">
        <v>95</v>
      </c>
      <c r="AL8520" s="21"/>
      <c r="AM8520" s="21" t="s">
        <v>5114</v>
      </c>
      <c r="AN8520" s="21">
        <v>-122.442098116667</v>
      </c>
      <c r="AO8520" s="21">
        <v>37.793483233333298</v>
      </c>
      <c r="AP8520" s="21" t="s">
        <v>951</v>
      </c>
    </row>
    <row r="8521" spans="1:42">
      <c r="A8521" s="20">
        <v>43854</v>
      </c>
      <c r="B8521" s="21">
        <v>5</v>
      </c>
      <c r="C8521" s="21">
        <v>223</v>
      </c>
      <c r="D8521" s="21">
        <v>14448</v>
      </c>
      <c r="E8521" t="s">
        <v>112</v>
      </c>
      <c r="F8521" s="21" t="s">
        <v>104</v>
      </c>
      <c r="G8521" s="21">
        <v>2</v>
      </c>
      <c r="H8521" s="21">
        <v>86</v>
      </c>
      <c r="I8521" s="23" t="s">
        <v>2518</v>
      </c>
      <c r="J8521" s="21"/>
      <c r="K8521" s="21"/>
      <c r="L8521" s="21"/>
      <c r="M8521" s="21"/>
      <c r="N8521" s="21"/>
      <c r="O8521" s="21">
        <v>59</v>
      </c>
      <c r="P8521" s="21"/>
      <c r="Q8521" s="21">
        <f t="shared" si="173"/>
        <v>2</v>
      </c>
      <c r="R8521" s="21">
        <v>1</v>
      </c>
      <c r="S8521" s="21">
        <v>0</v>
      </c>
      <c r="T8521" s="21">
        <v>0</v>
      </c>
      <c r="U8521" s="21">
        <v>2</v>
      </c>
      <c r="V8521" s="21">
        <v>0</v>
      </c>
      <c r="W8521" s="21">
        <v>0</v>
      </c>
      <c r="X8521" s="21">
        <v>0</v>
      </c>
      <c r="Y8521" s="21">
        <v>0</v>
      </c>
      <c r="Z8521" s="21">
        <v>0</v>
      </c>
      <c r="AA8521" s="21">
        <v>0</v>
      </c>
      <c r="AB8521" s="21">
        <v>0</v>
      </c>
      <c r="AC8521" s="21">
        <v>0</v>
      </c>
      <c r="AD8521" s="21">
        <v>0</v>
      </c>
      <c r="AE8521" s="21">
        <v>0</v>
      </c>
      <c r="AF8521" s="21">
        <v>0</v>
      </c>
      <c r="AG8521" s="21">
        <v>0</v>
      </c>
      <c r="AH8521" s="21">
        <f t="shared" si="174"/>
        <v>64</v>
      </c>
      <c r="AI8521" s="21"/>
      <c r="AJ8521" s="21" t="s">
        <v>51</v>
      </c>
      <c r="AK8521" s="21" t="s">
        <v>95</v>
      </c>
      <c r="AL8521" s="21"/>
      <c r="AM8521" s="21" t="s">
        <v>5115</v>
      </c>
      <c r="AN8521" s="21">
        <v>-122.442272233333</v>
      </c>
      <c r="AO8521" s="21">
        <v>37.793462966666603</v>
      </c>
      <c r="AP8521" s="21" t="s">
        <v>951</v>
      </c>
    </row>
    <row r="8522" spans="1:42">
      <c r="A8522" s="20">
        <v>43854</v>
      </c>
      <c r="B8522" s="21">
        <v>5</v>
      </c>
      <c r="C8522" s="21">
        <v>223</v>
      </c>
      <c r="D8522" s="21">
        <v>14448</v>
      </c>
      <c r="E8522" t="s">
        <v>112</v>
      </c>
      <c r="F8522" s="21" t="s">
        <v>104</v>
      </c>
      <c r="G8522" s="21">
        <v>2</v>
      </c>
      <c r="H8522" s="21">
        <v>87</v>
      </c>
      <c r="I8522" s="23" t="s">
        <v>360</v>
      </c>
      <c r="J8522" s="21"/>
      <c r="K8522" s="21" t="s">
        <v>185</v>
      </c>
      <c r="L8522" s="21" t="s">
        <v>114</v>
      </c>
      <c r="M8522" s="21"/>
      <c r="N8522" s="21" t="s">
        <v>40</v>
      </c>
      <c r="O8522" s="21"/>
      <c r="P8522" s="21">
        <v>192</v>
      </c>
      <c r="Q8522" s="21">
        <f t="shared" si="173"/>
        <v>6</v>
      </c>
      <c r="R8522" s="21">
        <v>1</v>
      </c>
      <c r="S8522" s="21">
        <v>0</v>
      </c>
      <c r="T8522" s="21">
        <v>0</v>
      </c>
      <c r="U8522" s="21">
        <v>4</v>
      </c>
      <c r="V8522" s="21">
        <v>2</v>
      </c>
      <c r="W8522" s="21">
        <v>0</v>
      </c>
      <c r="X8522" s="21">
        <v>0</v>
      </c>
      <c r="Y8522" s="21">
        <v>0</v>
      </c>
      <c r="Z8522" s="21">
        <v>0</v>
      </c>
      <c r="AA8522" s="21">
        <v>0</v>
      </c>
      <c r="AB8522" s="21">
        <v>0</v>
      </c>
      <c r="AC8522" s="21">
        <v>0</v>
      </c>
      <c r="AD8522" s="21">
        <v>0</v>
      </c>
      <c r="AE8522" s="21">
        <v>0</v>
      </c>
      <c r="AF8522" s="21">
        <v>0</v>
      </c>
      <c r="AG8522" s="21">
        <v>0</v>
      </c>
      <c r="AH8522" s="21">
        <f t="shared" si="174"/>
        <v>256</v>
      </c>
      <c r="AI8522" s="21"/>
      <c r="AJ8522" s="21" t="s">
        <v>51</v>
      </c>
      <c r="AK8522" s="21" t="s">
        <v>95</v>
      </c>
      <c r="AL8522" s="21"/>
      <c r="AM8522" s="21" t="s">
        <v>5116</v>
      </c>
      <c r="AN8522" s="21">
        <v>-122.442500466667</v>
      </c>
      <c r="AO8522" s="21">
        <v>37.793429000000003</v>
      </c>
      <c r="AP8522" s="21" t="s">
        <v>951</v>
      </c>
    </row>
    <row r="8523" spans="1:42">
      <c r="A8523" s="20">
        <v>43854</v>
      </c>
      <c r="B8523" s="21">
        <v>5</v>
      </c>
      <c r="C8523" s="21">
        <v>223</v>
      </c>
      <c r="D8523" s="21">
        <v>14448</v>
      </c>
      <c r="E8523" t="s">
        <v>112</v>
      </c>
      <c r="F8523" s="21" t="s">
        <v>104</v>
      </c>
      <c r="G8523" s="21">
        <v>2</v>
      </c>
      <c r="H8523" s="21">
        <v>88</v>
      </c>
      <c r="I8523" s="23" t="s">
        <v>2316</v>
      </c>
      <c r="J8523" s="21"/>
      <c r="K8523" s="21" t="s">
        <v>2598</v>
      </c>
      <c r="L8523" s="21" t="s">
        <v>141</v>
      </c>
      <c r="M8523" s="21"/>
      <c r="N8523" s="21" t="s">
        <v>40</v>
      </c>
      <c r="O8523" s="21">
        <v>35</v>
      </c>
      <c r="P8523" s="21"/>
      <c r="Q8523" s="21">
        <f t="shared" si="173"/>
        <v>1</v>
      </c>
      <c r="R8523" s="21">
        <v>1</v>
      </c>
      <c r="S8523" s="21">
        <v>0</v>
      </c>
      <c r="T8523" s="21">
        <v>0</v>
      </c>
      <c r="U8523" s="21">
        <v>1</v>
      </c>
      <c r="V8523" s="21">
        <v>0</v>
      </c>
      <c r="W8523" s="21">
        <v>0</v>
      </c>
      <c r="X8523" s="21">
        <v>0</v>
      </c>
      <c r="Y8523" s="21">
        <v>0</v>
      </c>
      <c r="Z8523" s="21">
        <v>0</v>
      </c>
      <c r="AA8523" s="21">
        <v>0</v>
      </c>
      <c r="AB8523" s="21">
        <v>0</v>
      </c>
      <c r="AC8523" s="21">
        <v>0</v>
      </c>
      <c r="AD8523" s="21">
        <v>0</v>
      </c>
      <c r="AE8523" s="21">
        <v>0</v>
      </c>
      <c r="AF8523" s="21">
        <v>0</v>
      </c>
      <c r="AG8523" s="21">
        <v>0</v>
      </c>
      <c r="AH8523" s="21">
        <f t="shared" si="174"/>
        <v>32</v>
      </c>
      <c r="AI8523" s="21"/>
      <c r="AJ8523" s="21" t="s">
        <v>54</v>
      </c>
      <c r="AK8523" s="21" t="s">
        <v>95</v>
      </c>
      <c r="AL8523" s="21"/>
      <c r="AM8523" s="21" t="s">
        <v>5117</v>
      </c>
      <c r="AN8523" s="21">
        <v>-122.44307051666701</v>
      </c>
      <c r="AO8523" s="21">
        <v>37.792739783333303</v>
      </c>
      <c r="AP8523" s="21" t="s">
        <v>951</v>
      </c>
    </row>
    <row r="8524" spans="1:42">
      <c r="A8524" s="20">
        <v>43854</v>
      </c>
      <c r="B8524" s="21">
        <v>5</v>
      </c>
      <c r="C8524" s="21">
        <v>223</v>
      </c>
      <c r="D8524" s="21">
        <v>14448</v>
      </c>
      <c r="E8524" t="s">
        <v>112</v>
      </c>
      <c r="F8524" s="21" t="s">
        <v>104</v>
      </c>
      <c r="G8524" s="21">
        <v>2</v>
      </c>
      <c r="H8524" s="21">
        <v>89</v>
      </c>
      <c r="I8524" s="23" t="s">
        <v>2342</v>
      </c>
      <c r="J8524" s="21"/>
      <c r="K8524" t="s">
        <v>605</v>
      </c>
      <c r="L8524" s="21" t="s">
        <v>141</v>
      </c>
      <c r="M8524" s="21"/>
      <c r="N8524" s="21" t="s">
        <v>40</v>
      </c>
      <c r="O8524" s="21">
        <v>177</v>
      </c>
      <c r="P8524" s="21"/>
      <c r="Q8524" s="21">
        <f t="shared" si="173"/>
        <v>3</v>
      </c>
      <c r="R8524" s="21">
        <v>1</v>
      </c>
      <c r="S8524" s="21">
        <v>0</v>
      </c>
      <c r="T8524" s="21">
        <v>0</v>
      </c>
      <c r="U8524" s="21">
        <v>0</v>
      </c>
      <c r="V8524" s="21">
        <v>2</v>
      </c>
      <c r="W8524" s="21">
        <v>1</v>
      </c>
      <c r="X8524" s="21">
        <v>0</v>
      </c>
      <c r="Y8524" s="21">
        <v>0</v>
      </c>
      <c r="Z8524" s="21">
        <v>0</v>
      </c>
      <c r="AA8524" s="21">
        <v>0</v>
      </c>
      <c r="AB8524" s="21">
        <v>0</v>
      </c>
      <c r="AC8524" s="21">
        <v>0</v>
      </c>
      <c r="AD8524" s="21">
        <v>0</v>
      </c>
      <c r="AE8524" s="21">
        <v>0</v>
      </c>
      <c r="AF8524" s="21">
        <v>0</v>
      </c>
      <c r="AG8524" s="21">
        <v>0</v>
      </c>
      <c r="AH8524" s="21">
        <f t="shared" si="174"/>
        <v>224</v>
      </c>
      <c r="AI8524" s="21"/>
      <c r="AJ8524" s="21" t="s">
        <v>54</v>
      </c>
      <c r="AK8524" s="21" t="s">
        <v>52</v>
      </c>
      <c r="AL8524" s="21" t="s">
        <v>5118</v>
      </c>
      <c r="AM8524" s="21" t="s">
        <v>5119</v>
      </c>
      <c r="AN8524" s="21">
        <v>-122.441785180935</v>
      </c>
      <c r="AO8524" s="21">
        <v>37.791650955242297</v>
      </c>
      <c r="AP8524" s="21" t="s">
        <v>951</v>
      </c>
    </row>
    <row r="8525" spans="1:42">
      <c r="A8525" s="20">
        <v>43854</v>
      </c>
      <c r="B8525" s="21">
        <v>5</v>
      </c>
      <c r="C8525" s="21">
        <v>223</v>
      </c>
      <c r="D8525" s="21">
        <v>14448</v>
      </c>
      <c r="E8525" t="s">
        <v>112</v>
      </c>
      <c r="F8525" s="21" t="s">
        <v>104</v>
      </c>
      <c r="G8525" s="21">
        <v>2</v>
      </c>
      <c r="H8525" s="21">
        <v>90</v>
      </c>
      <c r="I8525" s="23" t="s">
        <v>5120</v>
      </c>
      <c r="J8525" s="21"/>
      <c r="K8525" t="s">
        <v>605</v>
      </c>
      <c r="L8525" s="21"/>
      <c r="M8525" s="21"/>
      <c r="N8525" s="21" t="s">
        <v>44</v>
      </c>
      <c r="O8525" s="21">
        <v>90</v>
      </c>
      <c r="P8525" s="21"/>
      <c r="Q8525" s="21">
        <f t="shared" si="173"/>
        <v>1</v>
      </c>
      <c r="R8525" s="21">
        <v>1</v>
      </c>
      <c r="S8525" s="21">
        <v>0</v>
      </c>
      <c r="T8525" s="21">
        <v>0</v>
      </c>
      <c r="U8525" s="21">
        <v>0</v>
      </c>
      <c r="V8525" s="21">
        <v>0</v>
      </c>
      <c r="W8525" s="21">
        <v>1</v>
      </c>
      <c r="X8525" s="21">
        <v>0</v>
      </c>
      <c r="Y8525" s="21">
        <v>0</v>
      </c>
      <c r="Z8525" s="21">
        <v>0</v>
      </c>
      <c r="AA8525" s="21">
        <v>0</v>
      </c>
      <c r="AB8525" s="21">
        <v>0</v>
      </c>
      <c r="AC8525" s="21">
        <v>0</v>
      </c>
      <c r="AD8525" s="21">
        <v>0</v>
      </c>
      <c r="AE8525" s="21">
        <v>0</v>
      </c>
      <c r="AF8525" s="21">
        <v>0</v>
      </c>
      <c r="AG8525" s="21">
        <v>0</v>
      </c>
      <c r="AH8525" s="21">
        <f t="shared" si="174"/>
        <v>96</v>
      </c>
      <c r="AI8525" s="21"/>
      <c r="AJ8525" s="21" t="s">
        <v>54</v>
      </c>
      <c r="AK8525" s="21" t="s">
        <v>52</v>
      </c>
      <c r="AL8525" s="21" t="s">
        <v>5121</v>
      </c>
      <c r="AM8525" s="21" t="s">
        <v>5122</v>
      </c>
      <c r="AN8525" s="21">
        <v>-122.441259383333</v>
      </c>
      <c r="AO8525" s="21">
        <v>37.792183416666603</v>
      </c>
      <c r="AP8525" s="21" t="s">
        <v>951</v>
      </c>
    </row>
    <row r="8526" spans="1:42">
      <c r="A8526" s="20">
        <v>43854</v>
      </c>
      <c r="B8526" s="21">
        <v>5</v>
      </c>
      <c r="C8526" s="21">
        <v>223</v>
      </c>
      <c r="D8526" s="21">
        <v>14448</v>
      </c>
      <c r="E8526" t="s">
        <v>112</v>
      </c>
      <c r="F8526" s="21" t="s">
        <v>104</v>
      </c>
      <c r="G8526" s="21">
        <v>2</v>
      </c>
      <c r="H8526" s="21">
        <v>91</v>
      </c>
      <c r="I8526" s="23" t="s">
        <v>2397</v>
      </c>
      <c r="J8526" s="21"/>
      <c r="K8526" s="21" t="s">
        <v>4704</v>
      </c>
      <c r="L8526" s="21" t="s">
        <v>114</v>
      </c>
      <c r="M8526" s="21"/>
      <c r="N8526" s="21" t="s">
        <v>42</v>
      </c>
      <c r="O8526" s="21">
        <v>148</v>
      </c>
      <c r="P8526" s="21"/>
      <c r="Q8526" s="21">
        <f t="shared" si="173"/>
        <v>3</v>
      </c>
      <c r="R8526" s="21">
        <v>1</v>
      </c>
      <c r="S8526" s="21">
        <v>0</v>
      </c>
      <c r="T8526" s="21">
        <v>0</v>
      </c>
      <c r="U8526" s="21">
        <v>3</v>
      </c>
      <c r="V8526" s="21">
        <v>0</v>
      </c>
      <c r="W8526" s="21">
        <v>0</v>
      </c>
      <c r="X8526" s="21">
        <v>0</v>
      </c>
      <c r="Y8526" s="21">
        <v>0</v>
      </c>
      <c r="Z8526" s="21">
        <v>0</v>
      </c>
      <c r="AA8526" s="21">
        <v>0</v>
      </c>
      <c r="AB8526" s="21">
        <v>0</v>
      </c>
      <c r="AC8526" s="21">
        <v>0</v>
      </c>
      <c r="AD8526" s="21">
        <v>0</v>
      </c>
      <c r="AE8526" s="21">
        <v>0</v>
      </c>
      <c r="AF8526" s="21">
        <v>0</v>
      </c>
      <c r="AG8526" s="21">
        <v>0</v>
      </c>
      <c r="AH8526" s="21">
        <f t="shared" si="174"/>
        <v>96</v>
      </c>
      <c r="AI8526" s="21"/>
      <c r="AJ8526" s="21" t="s">
        <v>51</v>
      </c>
      <c r="AK8526" s="21" t="s">
        <v>52</v>
      </c>
      <c r="AL8526" s="21"/>
      <c r="AM8526" s="21" t="s">
        <v>5123</v>
      </c>
      <c r="AN8526" s="21">
        <v>-122.44338171666701</v>
      </c>
      <c r="AO8526" s="21">
        <v>37.793231916666699</v>
      </c>
      <c r="AP8526" s="21" t="s">
        <v>951</v>
      </c>
    </row>
    <row r="8527" spans="1:42">
      <c r="A8527" s="20">
        <v>43854</v>
      </c>
      <c r="B8527" s="21">
        <v>5</v>
      </c>
      <c r="C8527" s="21">
        <v>223</v>
      </c>
      <c r="D8527" s="21">
        <v>14448</v>
      </c>
      <c r="E8527" t="s">
        <v>112</v>
      </c>
      <c r="F8527" s="21" t="s">
        <v>104</v>
      </c>
      <c r="G8527" s="21">
        <v>2</v>
      </c>
      <c r="H8527" s="21">
        <v>92</v>
      </c>
      <c r="I8527" s="23" t="s">
        <v>2371</v>
      </c>
      <c r="J8527" s="21"/>
      <c r="K8527" s="21" t="s">
        <v>4704</v>
      </c>
      <c r="L8527" s="21"/>
      <c r="M8527" s="21"/>
      <c r="N8527" s="21" t="s">
        <v>44</v>
      </c>
      <c r="O8527" s="21">
        <v>198</v>
      </c>
      <c r="P8527" s="21"/>
      <c r="Q8527" s="21">
        <f t="shared" si="173"/>
        <v>2</v>
      </c>
      <c r="R8527" s="21">
        <v>1</v>
      </c>
      <c r="S8527" s="21">
        <v>0</v>
      </c>
      <c r="T8527" s="21">
        <v>0</v>
      </c>
      <c r="U8527" s="21">
        <v>0</v>
      </c>
      <c r="V8527" s="21">
        <v>2</v>
      </c>
      <c r="W8527" s="21">
        <v>0</v>
      </c>
      <c r="X8527" s="21">
        <v>0</v>
      </c>
      <c r="Y8527" s="21">
        <v>0</v>
      </c>
      <c r="Z8527" s="21">
        <v>0</v>
      </c>
      <c r="AA8527" s="21">
        <v>0</v>
      </c>
      <c r="AB8527" s="21">
        <v>0</v>
      </c>
      <c r="AC8527" s="21">
        <v>0</v>
      </c>
      <c r="AD8527" s="21">
        <v>0</v>
      </c>
      <c r="AE8527" s="21">
        <v>0</v>
      </c>
      <c r="AF8527" s="21">
        <v>0</v>
      </c>
      <c r="AG8527" s="21">
        <v>0</v>
      </c>
      <c r="AH8527" s="21">
        <f t="shared" si="174"/>
        <v>128</v>
      </c>
      <c r="AI8527" s="21"/>
      <c r="AJ8527" s="21" t="s">
        <v>51</v>
      </c>
      <c r="AK8527" s="21" t="s">
        <v>4803</v>
      </c>
      <c r="AL8527" s="21" t="s">
        <v>5124</v>
      </c>
      <c r="AM8527" s="21" t="s">
        <v>5125</v>
      </c>
      <c r="AN8527" s="21">
        <v>-122.443581583333</v>
      </c>
      <c r="AO8527" s="21">
        <v>37.793226400000002</v>
      </c>
      <c r="AP8527" s="21" t="s">
        <v>951</v>
      </c>
    </row>
    <row r="8528" spans="1:42">
      <c r="A8528" s="20">
        <v>43854</v>
      </c>
      <c r="B8528" s="21">
        <v>5</v>
      </c>
      <c r="C8528" s="21">
        <v>223</v>
      </c>
      <c r="D8528" s="21">
        <v>14448</v>
      </c>
      <c r="E8528" t="s">
        <v>112</v>
      </c>
      <c r="F8528" s="21" t="s">
        <v>104</v>
      </c>
      <c r="G8528" s="21">
        <v>2</v>
      </c>
      <c r="H8528" s="21">
        <v>93</v>
      </c>
      <c r="I8528" s="23" t="s">
        <v>5126</v>
      </c>
      <c r="J8528" s="21"/>
      <c r="K8528" s="21" t="s">
        <v>4704</v>
      </c>
      <c r="L8528" s="21" t="s">
        <v>114</v>
      </c>
      <c r="M8528" s="21"/>
      <c r="N8528" s="21" t="s">
        <v>40</v>
      </c>
      <c r="O8528" s="21">
        <v>153</v>
      </c>
      <c r="P8528" s="21"/>
      <c r="Q8528" s="21">
        <f t="shared" si="173"/>
        <v>4</v>
      </c>
      <c r="R8528" s="21">
        <v>1</v>
      </c>
      <c r="S8528" s="21">
        <v>0</v>
      </c>
      <c r="T8528" s="21">
        <v>0</v>
      </c>
      <c r="U8528" s="21">
        <v>0</v>
      </c>
      <c r="V8528" s="21">
        <v>4</v>
      </c>
      <c r="W8528" s="21">
        <v>0</v>
      </c>
      <c r="X8528" s="21">
        <v>0</v>
      </c>
      <c r="Y8528" s="21">
        <v>0</v>
      </c>
      <c r="Z8528" s="21">
        <v>0</v>
      </c>
      <c r="AA8528" s="21">
        <v>0</v>
      </c>
      <c r="AB8528" s="21">
        <v>0</v>
      </c>
      <c r="AC8528" s="21">
        <v>0</v>
      </c>
      <c r="AD8528" s="21">
        <v>0</v>
      </c>
      <c r="AE8528" s="21">
        <v>0</v>
      </c>
      <c r="AF8528" s="21">
        <v>0</v>
      </c>
      <c r="AG8528" s="21">
        <v>0</v>
      </c>
      <c r="AH8528" s="21">
        <f t="shared" si="174"/>
        <v>256</v>
      </c>
      <c r="AI8528" s="21"/>
      <c r="AJ8528" s="21" t="s">
        <v>51</v>
      </c>
      <c r="AK8528" s="21" t="s">
        <v>52</v>
      </c>
      <c r="AL8528" s="21"/>
      <c r="AM8528" s="21" t="s">
        <v>5127</v>
      </c>
      <c r="AN8528" s="21">
        <v>-122.444160083333</v>
      </c>
      <c r="AO8528" s="21">
        <v>37.793157666666701</v>
      </c>
      <c r="AP8528" s="21" t="s">
        <v>951</v>
      </c>
    </row>
    <row r="8529" spans="1:42">
      <c r="A8529" s="20">
        <v>43854</v>
      </c>
      <c r="B8529" s="21">
        <v>5</v>
      </c>
      <c r="C8529" s="21">
        <v>223</v>
      </c>
      <c r="D8529" s="21">
        <v>14448</v>
      </c>
      <c r="E8529" t="s">
        <v>112</v>
      </c>
      <c r="F8529" s="21" t="s">
        <v>104</v>
      </c>
      <c r="G8529" s="21">
        <v>2</v>
      </c>
      <c r="H8529" s="21">
        <v>94</v>
      </c>
      <c r="I8529" s="23" t="s">
        <v>5083</v>
      </c>
      <c r="J8529" s="21"/>
      <c r="K8529" s="21" t="s">
        <v>4704</v>
      </c>
      <c r="L8529" s="21" t="s">
        <v>114</v>
      </c>
      <c r="M8529" s="21"/>
      <c r="N8529" s="21" t="s">
        <v>40</v>
      </c>
      <c r="O8529" s="21">
        <v>61</v>
      </c>
      <c r="P8529" s="21"/>
      <c r="Q8529" s="21">
        <f t="shared" si="173"/>
        <v>2</v>
      </c>
      <c r="R8529" s="21">
        <v>1</v>
      </c>
      <c r="S8529" s="21">
        <v>0</v>
      </c>
      <c r="T8529" s="21">
        <v>0</v>
      </c>
      <c r="U8529" s="21">
        <v>2</v>
      </c>
      <c r="V8529" s="21">
        <v>0</v>
      </c>
      <c r="W8529" s="21">
        <v>0</v>
      </c>
      <c r="X8529" s="21">
        <v>0</v>
      </c>
      <c r="Y8529" s="21">
        <v>0</v>
      </c>
      <c r="Z8529" s="21">
        <v>0</v>
      </c>
      <c r="AA8529" s="21">
        <v>0</v>
      </c>
      <c r="AB8529" s="21">
        <v>0</v>
      </c>
      <c r="AC8529" s="21">
        <v>0</v>
      </c>
      <c r="AD8529" s="21">
        <v>0</v>
      </c>
      <c r="AE8529" s="21">
        <v>0</v>
      </c>
      <c r="AF8529" s="21">
        <v>0</v>
      </c>
      <c r="AG8529" s="21">
        <v>0</v>
      </c>
      <c r="AH8529" s="21">
        <f t="shared" si="174"/>
        <v>64</v>
      </c>
      <c r="AI8529" s="21"/>
      <c r="AJ8529" s="21" t="s">
        <v>51</v>
      </c>
      <c r="AK8529" s="21" t="s">
        <v>52</v>
      </c>
      <c r="AL8529" s="21"/>
      <c r="AM8529" s="21" t="s">
        <v>5128</v>
      </c>
      <c r="AN8529" s="21">
        <v>-122.444776983333</v>
      </c>
      <c r="AO8529" s="21">
        <v>37.793049083333301</v>
      </c>
      <c r="AP8529" s="21" t="s">
        <v>951</v>
      </c>
    </row>
    <row r="8530" spans="1:42">
      <c r="A8530" s="20">
        <v>43854</v>
      </c>
      <c r="B8530" s="21">
        <v>5</v>
      </c>
      <c r="C8530" s="21">
        <v>223</v>
      </c>
      <c r="D8530" s="21">
        <v>14448</v>
      </c>
      <c r="E8530" t="s">
        <v>112</v>
      </c>
      <c r="F8530" s="21" t="s">
        <v>104</v>
      </c>
      <c r="G8530" s="21">
        <v>2</v>
      </c>
      <c r="H8530" s="21">
        <v>95</v>
      </c>
      <c r="I8530" s="23" t="s">
        <v>2239</v>
      </c>
      <c r="J8530" s="21"/>
      <c r="K8530" s="21" t="s">
        <v>4704</v>
      </c>
      <c r="L8530" s="21" t="s">
        <v>114</v>
      </c>
      <c r="M8530" s="21"/>
      <c r="N8530" s="21" t="s">
        <v>44</v>
      </c>
      <c r="O8530" s="21">
        <v>54</v>
      </c>
      <c r="P8530" s="21"/>
      <c r="Q8530" s="21">
        <f t="shared" si="173"/>
        <v>1</v>
      </c>
      <c r="R8530" s="21">
        <v>1</v>
      </c>
      <c r="S8530" s="21">
        <v>0</v>
      </c>
      <c r="T8530" s="21">
        <v>0</v>
      </c>
      <c r="U8530" s="21">
        <v>0</v>
      </c>
      <c r="V8530" s="21">
        <v>0</v>
      </c>
      <c r="W8530" s="21">
        <v>1</v>
      </c>
      <c r="X8530" s="21">
        <v>0</v>
      </c>
      <c r="Y8530" s="21">
        <v>0</v>
      </c>
      <c r="Z8530" s="21">
        <v>0</v>
      </c>
      <c r="AA8530" s="21">
        <v>0</v>
      </c>
      <c r="AB8530" s="21">
        <v>0</v>
      </c>
      <c r="AC8530" s="21">
        <v>0</v>
      </c>
      <c r="AD8530" s="21">
        <v>0</v>
      </c>
      <c r="AE8530" s="21">
        <v>0</v>
      </c>
      <c r="AF8530" s="21">
        <v>0</v>
      </c>
      <c r="AG8530" s="21">
        <v>0</v>
      </c>
      <c r="AH8530" s="21">
        <f t="shared" si="174"/>
        <v>96</v>
      </c>
      <c r="AI8530" s="21"/>
      <c r="AJ8530" s="21" t="s">
        <v>51</v>
      </c>
      <c r="AK8530" s="21" t="s">
        <v>52</v>
      </c>
      <c r="AL8530" s="21"/>
      <c r="AM8530" s="21" t="s">
        <v>5129</v>
      </c>
      <c r="AN8530" s="21">
        <v>-122.44512945</v>
      </c>
      <c r="AO8530" s="21">
        <v>37.7930317333334</v>
      </c>
      <c r="AP8530" s="21" t="s">
        <v>951</v>
      </c>
    </row>
    <row r="8531" spans="1:42">
      <c r="A8531" s="20">
        <v>43854</v>
      </c>
      <c r="B8531" s="21">
        <v>5</v>
      </c>
      <c r="C8531" s="21">
        <v>223</v>
      </c>
      <c r="D8531" s="21">
        <v>14448</v>
      </c>
      <c r="E8531" t="s">
        <v>112</v>
      </c>
      <c r="F8531" s="21" t="s">
        <v>104</v>
      </c>
      <c r="G8531" s="21">
        <v>2</v>
      </c>
      <c r="H8531" s="21">
        <v>96</v>
      </c>
      <c r="I8531" s="23" t="s">
        <v>5130</v>
      </c>
      <c r="J8531" s="21"/>
      <c r="K8531" s="21" t="s">
        <v>4704</v>
      </c>
      <c r="L8531" s="21" t="s">
        <v>114</v>
      </c>
      <c r="M8531" s="21"/>
      <c r="N8531" s="21" t="s">
        <v>40</v>
      </c>
      <c r="O8531" s="21">
        <v>57</v>
      </c>
      <c r="P8531" s="21"/>
      <c r="Q8531" s="21">
        <f t="shared" si="173"/>
        <v>2</v>
      </c>
      <c r="R8531" s="21">
        <v>1</v>
      </c>
      <c r="S8531" s="21">
        <v>0</v>
      </c>
      <c r="T8531" s="21">
        <v>0</v>
      </c>
      <c r="U8531" s="21">
        <v>1</v>
      </c>
      <c r="V8531" s="21">
        <v>1</v>
      </c>
      <c r="W8531" s="21">
        <v>0</v>
      </c>
      <c r="X8531" s="21">
        <v>0</v>
      </c>
      <c r="Y8531" s="21">
        <v>0</v>
      </c>
      <c r="Z8531" s="21">
        <v>0</v>
      </c>
      <c r="AA8531" s="21">
        <v>0</v>
      </c>
      <c r="AB8531" s="21">
        <v>0</v>
      </c>
      <c r="AC8531" s="21">
        <v>0</v>
      </c>
      <c r="AD8531" s="21">
        <v>0</v>
      </c>
      <c r="AE8531" s="21">
        <v>0</v>
      </c>
      <c r="AF8531" s="21">
        <v>0</v>
      </c>
      <c r="AG8531" s="21">
        <v>0</v>
      </c>
      <c r="AH8531" s="21">
        <f t="shared" si="174"/>
        <v>96</v>
      </c>
      <c r="AI8531" s="21"/>
      <c r="AJ8531" s="21" t="s">
        <v>51</v>
      </c>
      <c r="AK8531" s="21" t="s">
        <v>52</v>
      </c>
      <c r="AL8531" s="21"/>
      <c r="AM8531" s="21" t="s">
        <v>5131</v>
      </c>
      <c r="AN8531" s="21">
        <v>-122.445414566667</v>
      </c>
      <c r="AO8531" s="21">
        <v>37.7929598666666</v>
      </c>
      <c r="AP8531" s="21" t="s">
        <v>951</v>
      </c>
    </row>
    <row r="8532" spans="1:42">
      <c r="A8532" s="20">
        <v>43854</v>
      </c>
      <c r="B8532" s="21">
        <v>5</v>
      </c>
      <c r="C8532" s="21">
        <v>223</v>
      </c>
      <c r="D8532" s="21">
        <v>14448</v>
      </c>
      <c r="E8532" t="s">
        <v>112</v>
      </c>
      <c r="F8532" s="21" t="s">
        <v>104</v>
      </c>
      <c r="G8532" s="21">
        <v>2</v>
      </c>
      <c r="H8532" s="21">
        <v>97</v>
      </c>
      <c r="I8532" s="23" t="s">
        <v>2382</v>
      </c>
      <c r="J8532" s="21"/>
      <c r="K8532" s="21" t="s">
        <v>4704</v>
      </c>
      <c r="L8532" s="21" t="s">
        <v>114</v>
      </c>
      <c r="M8532" s="21"/>
      <c r="N8532" s="21" t="s">
        <v>40</v>
      </c>
      <c r="O8532" s="21">
        <v>112</v>
      </c>
      <c r="P8532" s="21"/>
      <c r="Q8532" s="21">
        <f t="shared" si="173"/>
        <v>4</v>
      </c>
      <c r="R8532" s="21">
        <v>1</v>
      </c>
      <c r="S8532" s="21">
        <v>0</v>
      </c>
      <c r="T8532" s="21">
        <v>0</v>
      </c>
      <c r="U8532" s="21">
        <v>1</v>
      </c>
      <c r="V8532" s="21">
        <v>1</v>
      </c>
      <c r="W8532" s="21">
        <v>2</v>
      </c>
      <c r="X8532" s="21">
        <v>0</v>
      </c>
      <c r="Y8532" s="21">
        <v>0</v>
      </c>
      <c r="Z8532" s="21">
        <v>0</v>
      </c>
      <c r="AA8532" s="21">
        <v>0</v>
      </c>
      <c r="AB8532" s="21">
        <v>0</v>
      </c>
      <c r="AC8532" s="21">
        <v>0</v>
      </c>
      <c r="AD8532" s="21">
        <v>0</v>
      </c>
      <c r="AE8532" s="21">
        <v>0</v>
      </c>
      <c r="AF8532" s="21">
        <v>0</v>
      </c>
      <c r="AG8532" s="21">
        <v>0</v>
      </c>
      <c r="AH8532" s="21">
        <f t="shared" si="174"/>
        <v>288</v>
      </c>
      <c r="AI8532" s="21"/>
      <c r="AJ8532" s="21" t="s">
        <v>51</v>
      </c>
      <c r="AK8532" s="21" t="s">
        <v>52</v>
      </c>
      <c r="AL8532" s="21"/>
      <c r="AM8532" s="21" t="s">
        <v>5132</v>
      </c>
      <c r="AN8532" s="21">
        <v>-122.445765416667</v>
      </c>
      <c r="AO8532" s="21">
        <v>37.7929699833333</v>
      </c>
      <c r="AP8532" s="21" t="s">
        <v>951</v>
      </c>
    </row>
    <row r="8533" spans="1:42">
      <c r="A8533" s="20">
        <v>43854</v>
      </c>
      <c r="B8533" s="21">
        <v>5</v>
      </c>
      <c r="C8533" s="21">
        <v>223</v>
      </c>
      <c r="D8533" s="21">
        <v>14448</v>
      </c>
      <c r="E8533" t="s">
        <v>112</v>
      </c>
      <c r="F8533" s="21" t="s">
        <v>104</v>
      </c>
      <c r="G8533" s="21">
        <v>2</v>
      </c>
      <c r="H8533" s="21">
        <v>98</v>
      </c>
      <c r="I8533" s="23" t="s">
        <v>5133</v>
      </c>
      <c r="J8533" s="21"/>
      <c r="K8533" s="21" t="s">
        <v>4704</v>
      </c>
      <c r="L8533" s="21" t="s">
        <v>114</v>
      </c>
      <c r="M8533" s="21"/>
      <c r="N8533" s="21" t="s">
        <v>40</v>
      </c>
      <c r="O8533" s="21">
        <v>52</v>
      </c>
      <c r="P8533" s="21"/>
      <c r="Q8533" s="21">
        <f t="shared" si="173"/>
        <v>1</v>
      </c>
      <c r="R8533" s="21">
        <v>1</v>
      </c>
      <c r="S8533" s="21">
        <v>0</v>
      </c>
      <c r="T8533" s="21">
        <v>0</v>
      </c>
      <c r="U8533" s="21">
        <v>0</v>
      </c>
      <c r="V8533" s="21">
        <v>1</v>
      </c>
      <c r="W8533" s="21">
        <v>0</v>
      </c>
      <c r="X8533" s="21">
        <v>0</v>
      </c>
      <c r="Y8533" s="21">
        <v>0</v>
      </c>
      <c r="Z8533" s="21">
        <v>0</v>
      </c>
      <c r="AA8533" s="21">
        <v>0</v>
      </c>
      <c r="AB8533" s="21">
        <v>0</v>
      </c>
      <c r="AC8533" s="21">
        <v>0</v>
      </c>
      <c r="AD8533" s="21">
        <v>0</v>
      </c>
      <c r="AE8533" s="21">
        <v>0</v>
      </c>
      <c r="AF8533" s="21">
        <v>0</v>
      </c>
      <c r="AG8533" s="21">
        <v>0</v>
      </c>
      <c r="AH8533" s="21">
        <f t="shared" si="174"/>
        <v>64</v>
      </c>
      <c r="AI8533" s="21"/>
      <c r="AJ8533" s="21" t="s">
        <v>51</v>
      </c>
      <c r="AK8533" s="21" t="s">
        <v>52</v>
      </c>
      <c r="AL8533" s="21"/>
      <c r="AM8533" s="21" t="s">
        <v>5134</v>
      </c>
      <c r="AN8533" s="21">
        <v>-122.44615825</v>
      </c>
      <c r="AO8533" s="21">
        <v>37.792931183333302</v>
      </c>
      <c r="AP8533" s="21" t="s">
        <v>951</v>
      </c>
    </row>
    <row r="8534" spans="1:42">
      <c r="A8534" s="20">
        <v>43854</v>
      </c>
      <c r="B8534" s="21">
        <v>5</v>
      </c>
      <c r="C8534" s="21">
        <v>223</v>
      </c>
      <c r="D8534" s="21">
        <v>14448</v>
      </c>
      <c r="E8534" t="s">
        <v>112</v>
      </c>
      <c r="F8534" s="21" t="s">
        <v>104</v>
      </c>
      <c r="G8534" s="21">
        <v>2</v>
      </c>
      <c r="H8534" s="21">
        <v>99</v>
      </c>
      <c r="I8534" s="23" t="s">
        <v>2250</v>
      </c>
      <c r="J8534" s="21"/>
      <c r="K8534" s="21" t="s">
        <v>4704</v>
      </c>
      <c r="L8534" s="21" t="s">
        <v>114</v>
      </c>
      <c r="M8534" s="21"/>
      <c r="N8534" s="21" t="s">
        <v>40</v>
      </c>
      <c r="O8534" s="21">
        <v>110</v>
      </c>
      <c r="P8534" s="21"/>
      <c r="Q8534" s="21">
        <f t="shared" si="173"/>
        <v>2</v>
      </c>
      <c r="R8534" s="21">
        <v>1</v>
      </c>
      <c r="S8534" s="21">
        <v>0</v>
      </c>
      <c r="T8534" s="21">
        <v>0</v>
      </c>
      <c r="U8534" s="21">
        <v>1</v>
      </c>
      <c r="V8534" s="21">
        <v>1</v>
      </c>
      <c r="W8534" s="21">
        <v>0</v>
      </c>
      <c r="X8534" s="21">
        <v>0</v>
      </c>
      <c r="Y8534" s="21">
        <v>0</v>
      </c>
      <c r="Z8534" s="21">
        <v>0</v>
      </c>
      <c r="AA8534" s="21">
        <v>0</v>
      </c>
      <c r="AB8534" s="21">
        <v>0</v>
      </c>
      <c r="AC8534" s="21">
        <v>0</v>
      </c>
      <c r="AD8534" s="21">
        <v>0</v>
      </c>
      <c r="AE8534" s="21">
        <v>0</v>
      </c>
      <c r="AF8534" s="21">
        <v>0</v>
      </c>
      <c r="AG8534" s="21">
        <v>0</v>
      </c>
      <c r="AH8534" s="21">
        <f t="shared" si="174"/>
        <v>96</v>
      </c>
      <c r="AI8534" s="21"/>
      <c r="AJ8534" s="21" t="s">
        <v>51</v>
      </c>
      <c r="AK8534" s="21" t="s">
        <v>52</v>
      </c>
      <c r="AL8534" s="21" t="s">
        <v>5135</v>
      </c>
      <c r="AM8534" s="21" t="s">
        <v>5136</v>
      </c>
      <c r="AN8534" s="21">
        <v>-122.446299516667</v>
      </c>
      <c r="AO8534" s="21">
        <v>37.792871033333299</v>
      </c>
      <c r="AP8534" s="21" t="s">
        <v>951</v>
      </c>
    </row>
    <row r="8535" spans="1:42">
      <c r="A8535" s="20">
        <v>43854</v>
      </c>
      <c r="B8535" s="21">
        <v>5</v>
      </c>
      <c r="C8535" s="21">
        <v>223</v>
      </c>
      <c r="D8535" s="21">
        <v>14448</v>
      </c>
      <c r="E8535" t="s">
        <v>112</v>
      </c>
      <c r="F8535" s="21" t="s">
        <v>104</v>
      </c>
      <c r="G8535" s="21">
        <v>2</v>
      </c>
      <c r="H8535" s="21">
        <v>100</v>
      </c>
      <c r="I8535" s="23" t="s">
        <v>5137</v>
      </c>
      <c r="J8535" s="21"/>
      <c r="K8535" s="21" t="s">
        <v>185</v>
      </c>
      <c r="L8535" s="21" t="s">
        <v>141</v>
      </c>
      <c r="M8535" s="21"/>
      <c r="N8535" s="21" t="s">
        <v>42</v>
      </c>
      <c r="O8535" s="21">
        <v>230</v>
      </c>
      <c r="P8535" s="21"/>
      <c r="Q8535" s="21">
        <f t="shared" si="173"/>
        <v>2</v>
      </c>
      <c r="R8535" s="21">
        <v>1</v>
      </c>
      <c r="S8535" s="21">
        <v>0</v>
      </c>
      <c r="T8535" s="21">
        <v>0</v>
      </c>
      <c r="U8535" s="21">
        <v>0</v>
      </c>
      <c r="V8535" s="21">
        <v>2</v>
      </c>
      <c r="W8535" s="21">
        <v>0</v>
      </c>
      <c r="X8535" s="21">
        <v>0</v>
      </c>
      <c r="Y8535" s="21">
        <v>0</v>
      </c>
      <c r="Z8535" s="21">
        <v>0</v>
      </c>
      <c r="AA8535" s="21">
        <v>0</v>
      </c>
      <c r="AB8535" s="21">
        <v>0</v>
      </c>
      <c r="AC8535" s="21">
        <v>0</v>
      </c>
      <c r="AD8535" s="21">
        <v>0</v>
      </c>
      <c r="AE8535" s="21">
        <v>0</v>
      </c>
      <c r="AF8535" s="21">
        <v>0</v>
      </c>
      <c r="AG8535" s="21">
        <v>0</v>
      </c>
      <c r="AH8535" s="21">
        <f t="shared" si="174"/>
        <v>128</v>
      </c>
      <c r="AI8535" s="21"/>
      <c r="AJ8535" s="21" t="s">
        <v>51</v>
      </c>
      <c r="AK8535" s="21" t="s">
        <v>52</v>
      </c>
      <c r="AL8535" s="21" t="s">
        <v>5138</v>
      </c>
      <c r="AM8535" s="21" t="s">
        <v>5139</v>
      </c>
      <c r="AN8535" s="21">
        <v>-122.446368583333</v>
      </c>
      <c r="AO8535" s="21">
        <v>37.792027416666599</v>
      </c>
      <c r="AP8535" s="21" t="s">
        <v>951</v>
      </c>
    </row>
    <row r="8536" spans="1:42">
      <c r="A8536" s="20">
        <v>43854</v>
      </c>
      <c r="B8536" s="21">
        <v>5</v>
      </c>
      <c r="C8536" s="21">
        <v>223</v>
      </c>
      <c r="D8536" s="21">
        <v>14448</v>
      </c>
      <c r="E8536" t="s">
        <v>112</v>
      </c>
      <c r="F8536" s="21" t="s">
        <v>104</v>
      </c>
      <c r="G8536" s="21">
        <v>2</v>
      </c>
      <c r="H8536" s="21">
        <v>101</v>
      </c>
      <c r="I8536" s="23" t="s">
        <v>2673</v>
      </c>
      <c r="J8536" s="21"/>
      <c r="K8536" s="21" t="s">
        <v>4704</v>
      </c>
      <c r="L8536" s="21" t="s">
        <v>141</v>
      </c>
      <c r="M8536" s="21"/>
      <c r="N8536" s="21" t="s">
        <v>40</v>
      </c>
      <c r="O8536" s="21">
        <v>59</v>
      </c>
      <c r="P8536" s="21"/>
      <c r="Q8536" s="21">
        <f t="shared" si="173"/>
        <v>1</v>
      </c>
      <c r="R8536" s="21">
        <v>1</v>
      </c>
      <c r="S8536" s="21">
        <v>0</v>
      </c>
      <c r="T8536" s="21">
        <v>0</v>
      </c>
      <c r="U8536" s="21">
        <v>0</v>
      </c>
      <c r="V8536" s="21">
        <v>0</v>
      </c>
      <c r="W8536" s="21">
        <v>1</v>
      </c>
      <c r="X8536" s="21">
        <v>0</v>
      </c>
      <c r="Y8536" s="21">
        <v>0</v>
      </c>
      <c r="Z8536" s="21">
        <v>0</v>
      </c>
      <c r="AA8536" s="21">
        <v>0</v>
      </c>
      <c r="AB8536" s="21">
        <v>0</v>
      </c>
      <c r="AC8536" s="21">
        <v>0</v>
      </c>
      <c r="AD8536" s="21">
        <v>0</v>
      </c>
      <c r="AE8536" s="21">
        <v>0</v>
      </c>
      <c r="AF8536" s="21">
        <v>0</v>
      </c>
      <c r="AG8536" s="21">
        <v>0</v>
      </c>
      <c r="AH8536" s="21">
        <f t="shared" si="174"/>
        <v>96</v>
      </c>
      <c r="AI8536" s="21"/>
      <c r="AJ8536" s="21" t="s">
        <v>51</v>
      </c>
      <c r="AK8536" s="21" t="s">
        <v>52</v>
      </c>
      <c r="AL8536" s="21"/>
      <c r="AM8536" s="21" t="s">
        <v>5140</v>
      </c>
      <c r="AN8536" s="21">
        <v>-122.442034783333</v>
      </c>
      <c r="AO8536" s="21">
        <v>37.793349233333302</v>
      </c>
      <c r="AP8536" s="21" t="s">
        <v>951</v>
      </c>
    </row>
    <row r="8537" spans="1:42">
      <c r="A8537" s="20">
        <v>43852</v>
      </c>
      <c r="B8537" s="21">
        <v>3</v>
      </c>
      <c r="C8537" s="21">
        <v>210</v>
      </c>
      <c r="D8537" s="21">
        <v>14638</v>
      </c>
      <c r="E8537" s="21"/>
      <c r="F8537" s="21" t="s">
        <v>38</v>
      </c>
      <c r="G8537" s="21">
        <v>2</v>
      </c>
      <c r="H8537" s="21">
        <v>1</v>
      </c>
      <c r="I8537" s="23" t="s">
        <v>3317</v>
      </c>
      <c r="J8537" s="21"/>
      <c r="K8537" s="21" t="s">
        <v>210</v>
      </c>
      <c r="L8537" s="21" t="s">
        <v>114</v>
      </c>
      <c r="M8537" s="21"/>
      <c r="N8537" s="21" t="s">
        <v>40</v>
      </c>
      <c r="O8537" s="21">
        <v>73</v>
      </c>
      <c r="P8537" s="21"/>
      <c r="Q8537" s="21">
        <f t="shared" si="173"/>
        <v>2</v>
      </c>
      <c r="R8537" s="21">
        <v>1</v>
      </c>
      <c r="S8537" s="21">
        <v>0</v>
      </c>
      <c r="T8537" s="21">
        <v>0</v>
      </c>
      <c r="U8537" s="21">
        <v>0</v>
      </c>
      <c r="V8537" s="21">
        <v>1</v>
      </c>
      <c r="W8537" s="21">
        <v>1</v>
      </c>
      <c r="X8537" s="21">
        <v>0</v>
      </c>
      <c r="Y8537" s="21">
        <v>0</v>
      </c>
      <c r="Z8537" s="21">
        <v>0</v>
      </c>
      <c r="AA8537" s="21">
        <v>0</v>
      </c>
      <c r="AB8537" s="21">
        <v>0</v>
      </c>
      <c r="AC8537" s="21">
        <v>0</v>
      </c>
      <c r="AD8537" s="21">
        <v>0</v>
      </c>
      <c r="AE8537" s="21">
        <v>0</v>
      </c>
      <c r="AF8537" s="21">
        <v>0</v>
      </c>
      <c r="AG8537" s="21">
        <v>0</v>
      </c>
      <c r="AH8537" s="21">
        <f t="shared" si="174"/>
        <v>160</v>
      </c>
      <c r="AI8537" s="21"/>
      <c r="AJ8537" s="21" t="s">
        <v>51</v>
      </c>
      <c r="AK8537" s="21" t="s">
        <v>95</v>
      </c>
      <c r="AL8537" s="21"/>
      <c r="AM8537" s="21" t="s">
        <v>5141</v>
      </c>
      <c r="AN8537" s="21">
        <v>-122.42681835</v>
      </c>
      <c r="AO8537" s="21">
        <v>37.8010803833333</v>
      </c>
      <c r="AP8537" s="21" t="s">
        <v>951</v>
      </c>
    </row>
    <row r="8538" spans="1:42">
      <c r="A8538" s="20">
        <v>43852</v>
      </c>
      <c r="B8538" s="21">
        <v>3</v>
      </c>
      <c r="C8538" s="21">
        <v>210</v>
      </c>
      <c r="D8538" s="21">
        <v>14638</v>
      </c>
      <c r="E8538" s="21"/>
      <c r="F8538" s="21" t="s">
        <v>38</v>
      </c>
      <c r="G8538" s="21">
        <v>2</v>
      </c>
      <c r="H8538" s="21">
        <v>2</v>
      </c>
      <c r="I8538" s="23" t="s">
        <v>5142</v>
      </c>
      <c r="J8538" s="21"/>
      <c r="K8538" s="21" t="s">
        <v>210</v>
      </c>
      <c r="L8538" s="21"/>
      <c r="M8538" s="21"/>
      <c r="N8538" s="21" t="s">
        <v>44</v>
      </c>
      <c r="O8538" s="21">
        <v>119</v>
      </c>
      <c r="P8538" s="21"/>
      <c r="Q8538" s="21">
        <f t="shared" si="173"/>
        <v>3</v>
      </c>
      <c r="R8538" s="21">
        <v>1</v>
      </c>
      <c r="S8538" s="21">
        <v>0</v>
      </c>
      <c r="T8538" s="21">
        <v>0</v>
      </c>
      <c r="U8538" s="21">
        <v>0</v>
      </c>
      <c r="V8538" s="21">
        <v>1</v>
      </c>
      <c r="W8538" s="21">
        <v>2</v>
      </c>
      <c r="X8538" s="21">
        <v>0</v>
      </c>
      <c r="Y8538" s="21">
        <v>0</v>
      </c>
      <c r="Z8538" s="21">
        <v>0</v>
      </c>
      <c r="AA8538" s="21">
        <v>0</v>
      </c>
      <c r="AB8538" s="21">
        <v>0</v>
      </c>
      <c r="AC8538" s="21">
        <v>0</v>
      </c>
      <c r="AD8538" s="21">
        <v>0</v>
      </c>
      <c r="AE8538" s="21">
        <v>0</v>
      </c>
      <c r="AF8538" s="21">
        <v>0</v>
      </c>
      <c r="AG8538" s="21">
        <v>0</v>
      </c>
      <c r="AH8538" s="21">
        <f t="shared" si="174"/>
        <v>256</v>
      </c>
      <c r="AI8538" s="21"/>
      <c r="AJ8538" s="21" t="s">
        <v>51</v>
      </c>
      <c r="AK8538" s="21" t="s">
        <v>95</v>
      </c>
      <c r="AL8538" s="21"/>
      <c r="AM8538" s="21" t="s">
        <v>5143</v>
      </c>
      <c r="AN8538" s="21">
        <v>-122.42699943333299</v>
      </c>
      <c r="AO8538" s="21">
        <v>37.801094283333299</v>
      </c>
      <c r="AP8538" s="21" t="s">
        <v>951</v>
      </c>
    </row>
    <row r="8539" spans="1:42">
      <c r="A8539" s="20">
        <v>43852</v>
      </c>
      <c r="B8539" s="21">
        <v>3</v>
      </c>
      <c r="C8539" s="21">
        <v>210</v>
      </c>
      <c r="D8539" s="21">
        <v>14638</v>
      </c>
      <c r="E8539" s="21"/>
      <c r="F8539" s="21" t="s">
        <v>38</v>
      </c>
      <c r="G8539" s="21">
        <v>2</v>
      </c>
      <c r="H8539" s="21">
        <v>3</v>
      </c>
      <c r="I8539" s="23">
        <v>3000</v>
      </c>
      <c r="J8539" s="21"/>
      <c r="K8539" s="21" t="s">
        <v>638</v>
      </c>
      <c r="L8539" s="21" t="s">
        <v>114</v>
      </c>
      <c r="M8539" s="21"/>
      <c r="N8539" s="21" t="s">
        <v>40</v>
      </c>
      <c r="O8539" s="21"/>
      <c r="P8539" s="21">
        <v>339</v>
      </c>
      <c r="Q8539" s="21">
        <f t="shared" si="173"/>
        <v>15</v>
      </c>
      <c r="R8539" s="21">
        <v>1</v>
      </c>
      <c r="S8539" s="21">
        <v>0</v>
      </c>
      <c r="T8539" s="21">
        <v>0</v>
      </c>
      <c r="U8539" s="21">
        <v>14</v>
      </c>
      <c r="V8539" s="21">
        <v>1</v>
      </c>
      <c r="W8539" s="21">
        <v>0</v>
      </c>
      <c r="X8539" s="21">
        <v>0</v>
      </c>
      <c r="Y8539" s="21">
        <v>0</v>
      </c>
      <c r="Z8539" s="21">
        <v>0</v>
      </c>
      <c r="AA8539" s="21">
        <v>0</v>
      </c>
      <c r="AB8539" s="21">
        <v>0</v>
      </c>
      <c r="AC8539" s="21">
        <v>0</v>
      </c>
      <c r="AD8539" s="21">
        <v>0</v>
      </c>
      <c r="AE8539" s="21">
        <v>0</v>
      </c>
      <c r="AF8539" s="21">
        <v>0</v>
      </c>
      <c r="AG8539" s="21">
        <v>0</v>
      </c>
      <c r="AH8539" s="21">
        <f t="shared" si="174"/>
        <v>512</v>
      </c>
      <c r="AI8539" s="21"/>
      <c r="AJ8539" s="21" t="s">
        <v>51</v>
      </c>
      <c r="AK8539" s="21" t="s">
        <v>52</v>
      </c>
      <c r="AL8539" s="21"/>
      <c r="AM8539" s="21" t="s">
        <v>5144</v>
      </c>
      <c r="AN8539" s="21">
        <v>-122.427907166667</v>
      </c>
      <c r="AO8539" s="21">
        <v>37.801146216666602</v>
      </c>
      <c r="AP8539" s="21" t="s">
        <v>951</v>
      </c>
    </row>
    <row r="8540" spans="1:42">
      <c r="A8540" s="20">
        <v>43852</v>
      </c>
      <c r="B8540" s="21">
        <v>3</v>
      </c>
      <c r="C8540" s="21">
        <v>210</v>
      </c>
      <c r="D8540" s="21">
        <v>14638</v>
      </c>
      <c r="E8540" s="21"/>
      <c r="F8540" s="21" t="s">
        <v>38</v>
      </c>
      <c r="G8540" s="21">
        <v>2</v>
      </c>
      <c r="H8540" s="21">
        <v>4</v>
      </c>
      <c r="I8540" s="23" t="s">
        <v>5145</v>
      </c>
      <c r="J8540" s="21"/>
      <c r="K8540" s="21" t="s">
        <v>638</v>
      </c>
      <c r="L8540" s="21"/>
      <c r="M8540" s="21"/>
      <c r="N8540" s="21" t="s">
        <v>44</v>
      </c>
      <c r="O8540" s="21">
        <v>80</v>
      </c>
      <c r="P8540" s="21"/>
      <c r="Q8540" s="21">
        <f t="shared" si="173"/>
        <v>3</v>
      </c>
      <c r="R8540" s="21">
        <v>1</v>
      </c>
      <c r="S8540" s="21">
        <v>0</v>
      </c>
      <c r="T8540" s="21">
        <v>0</v>
      </c>
      <c r="U8540" s="21">
        <v>0</v>
      </c>
      <c r="V8540" s="21">
        <v>2</v>
      </c>
      <c r="W8540" s="21">
        <v>1</v>
      </c>
      <c r="X8540" s="21">
        <v>0</v>
      </c>
      <c r="Y8540" s="21">
        <v>0</v>
      </c>
      <c r="Z8540" s="21">
        <v>0</v>
      </c>
      <c r="AA8540" s="21">
        <v>0</v>
      </c>
      <c r="AB8540" s="21">
        <v>0</v>
      </c>
      <c r="AC8540" s="21">
        <v>0</v>
      </c>
      <c r="AD8540" s="21">
        <v>0</v>
      </c>
      <c r="AE8540" s="21">
        <v>0</v>
      </c>
      <c r="AF8540" s="21">
        <v>0</v>
      </c>
      <c r="AG8540" s="21">
        <v>0</v>
      </c>
      <c r="AH8540" s="21">
        <f t="shared" si="174"/>
        <v>224</v>
      </c>
      <c r="AI8540" s="21"/>
      <c r="AJ8540" s="21" t="s">
        <v>51</v>
      </c>
      <c r="AK8540" s="21" t="s">
        <v>52</v>
      </c>
      <c r="AL8540" s="21" t="s">
        <v>5146</v>
      </c>
      <c r="AM8540" s="21" t="s">
        <v>5147</v>
      </c>
      <c r="AN8540" s="21">
        <v>-122.42793803333301</v>
      </c>
      <c r="AO8540" s="21">
        <v>37.801378516666702</v>
      </c>
      <c r="AP8540" s="21" t="s">
        <v>951</v>
      </c>
    </row>
    <row r="8541" spans="1:42">
      <c r="A8541" s="20">
        <v>43852</v>
      </c>
      <c r="B8541" s="21">
        <v>3</v>
      </c>
      <c r="C8541" s="21">
        <v>210</v>
      </c>
      <c r="D8541" s="21">
        <v>14638</v>
      </c>
      <c r="E8541" s="21"/>
      <c r="F8541" s="21" t="s">
        <v>38</v>
      </c>
      <c r="G8541" s="21">
        <v>2</v>
      </c>
      <c r="H8541" s="21">
        <v>5</v>
      </c>
      <c r="I8541" s="23" t="s">
        <v>5148</v>
      </c>
      <c r="J8541" s="21"/>
      <c r="K8541" s="21" t="s">
        <v>638</v>
      </c>
      <c r="L8541" s="21"/>
      <c r="M8541" s="21"/>
      <c r="N8541" s="21" t="s">
        <v>44</v>
      </c>
      <c r="O8541" s="21">
        <v>64</v>
      </c>
      <c r="P8541" s="21"/>
      <c r="Q8541" s="21">
        <f t="shared" si="173"/>
        <v>2</v>
      </c>
      <c r="R8541" s="21">
        <v>1</v>
      </c>
      <c r="S8541" s="21">
        <v>0</v>
      </c>
      <c r="T8541" s="21">
        <v>0</v>
      </c>
      <c r="U8541" s="21">
        <v>0</v>
      </c>
      <c r="V8541" s="21">
        <v>1</v>
      </c>
      <c r="W8541" s="21">
        <v>1</v>
      </c>
      <c r="X8541" s="21">
        <v>0</v>
      </c>
      <c r="Y8541" s="21">
        <v>0</v>
      </c>
      <c r="Z8541" s="21">
        <v>0</v>
      </c>
      <c r="AA8541" s="21">
        <v>0</v>
      </c>
      <c r="AB8541" s="21">
        <v>0</v>
      </c>
      <c r="AC8541" s="21">
        <v>0</v>
      </c>
      <c r="AD8541" s="21">
        <v>0</v>
      </c>
      <c r="AE8541" s="21">
        <v>0</v>
      </c>
      <c r="AF8541" s="21">
        <v>0</v>
      </c>
      <c r="AG8541" s="21">
        <v>0</v>
      </c>
      <c r="AH8541" s="21">
        <f t="shared" si="174"/>
        <v>160</v>
      </c>
      <c r="AI8541" s="21"/>
      <c r="AJ8541" s="21" t="s">
        <v>51</v>
      </c>
      <c r="AK8541" s="21" t="s">
        <v>95</v>
      </c>
      <c r="AL8541" s="21" t="s">
        <v>5149</v>
      </c>
      <c r="AM8541" s="21" t="s">
        <v>5150</v>
      </c>
      <c r="AN8541" s="21">
        <v>-122.42796913333299</v>
      </c>
      <c r="AO8541" s="21">
        <v>37.801215833333302</v>
      </c>
      <c r="AP8541" s="21" t="s">
        <v>951</v>
      </c>
    </row>
    <row r="8542" spans="1:42">
      <c r="A8542" s="20">
        <v>43852</v>
      </c>
      <c r="B8542" s="21">
        <v>3</v>
      </c>
      <c r="C8542" s="21">
        <v>210</v>
      </c>
      <c r="D8542" s="21">
        <v>14638</v>
      </c>
      <c r="E8542" s="21"/>
      <c r="F8542" s="21" t="s">
        <v>38</v>
      </c>
      <c r="G8542" s="21">
        <v>2</v>
      </c>
      <c r="H8542" s="21">
        <v>6</v>
      </c>
      <c r="I8542" s="23" t="s">
        <v>3346</v>
      </c>
      <c r="J8542" s="21"/>
      <c r="K8542" s="21" t="s">
        <v>210</v>
      </c>
      <c r="L8542" s="21"/>
      <c r="M8542" s="21"/>
      <c r="N8542" s="21" t="s">
        <v>44</v>
      </c>
      <c r="O8542" s="21">
        <v>95</v>
      </c>
      <c r="P8542" s="21"/>
      <c r="Q8542" s="21">
        <f t="shared" si="173"/>
        <v>2</v>
      </c>
      <c r="R8542" s="21">
        <v>1</v>
      </c>
      <c r="S8542" s="21">
        <v>0</v>
      </c>
      <c r="T8542" s="21">
        <v>0</v>
      </c>
      <c r="U8542" s="21">
        <v>1</v>
      </c>
      <c r="V8542" s="21">
        <v>0</v>
      </c>
      <c r="W8542" s="21">
        <v>1</v>
      </c>
      <c r="X8542" s="21">
        <v>0</v>
      </c>
      <c r="Y8542" s="21">
        <v>0</v>
      </c>
      <c r="Z8542" s="21">
        <v>0</v>
      </c>
      <c r="AA8542" s="21">
        <v>0</v>
      </c>
      <c r="AB8542" s="21">
        <v>0</v>
      </c>
      <c r="AC8542" s="21">
        <v>0</v>
      </c>
      <c r="AD8542" s="21">
        <v>0</v>
      </c>
      <c r="AE8542" s="21">
        <v>0</v>
      </c>
      <c r="AF8542" s="21">
        <v>0</v>
      </c>
      <c r="AG8542" s="21">
        <v>0</v>
      </c>
      <c r="AH8542" s="21">
        <f t="shared" si="174"/>
        <v>128</v>
      </c>
      <c r="AI8542" s="21"/>
      <c r="AJ8542" s="21" t="s">
        <v>51</v>
      </c>
      <c r="AK8542" s="21" t="s">
        <v>95</v>
      </c>
      <c r="AL8542" s="21"/>
      <c r="AM8542" s="21" t="s">
        <v>5151</v>
      </c>
      <c r="AN8542" s="21">
        <v>-122.42819595</v>
      </c>
      <c r="AO8542" s="21">
        <v>37.800911333333303</v>
      </c>
      <c r="AP8542" s="21" t="s">
        <v>951</v>
      </c>
    </row>
    <row r="8543" spans="1:42">
      <c r="A8543" s="20">
        <v>43852</v>
      </c>
      <c r="B8543" s="21">
        <v>3</v>
      </c>
      <c r="C8543" s="21">
        <v>210</v>
      </c>
      <c r="D8543" s="21">
        <v>14638</v>
      </c>
      <c r="E8543" s="21"/>
      <c r="F8543" s="21" t="s">
        <v>38</v>
      </c>
      <c r="G8543" s="21">
        <v>2</v>
      </c>
      <c r="H8543" s="21">
        <v>7</v>
      </c>
      <c r="I8543" s="23" t="s">
        <v>5152</v>
      </c>
      <c r="J8543" s="21"/>
      <c r="K8543" s="21" t="s">
        <v>210</v>
      </c>
      <c r="L8543" s="21"/>
      <c r="M8543" s="21"/>
      <c r="N8543" s="21" t="s">
        <v>44</v>
      </c>
      <c r="O8543" s="21">
        <v>126</v>
      </c>
      <c r="P8543" s="21"/>
      <c r="Q8543" s="21">
        <f t="shared" si="173"/>
        <v>1</v>
      </c>
      <c r="R8543" s="21">
        <v>1</v>
      </c>
      <c r="S8543" s="21">
        <v>0</v>
      </c>
      <c r="T8543" s="21">
        <v>0</v>
      </c>
      <c r="U8543" s="21">
        <v>0</v>
      </c>
      <c r="V8543" s="21">
        <v>1</v>
      </c>
      <c r="W8543" s="21">
        <v>0</v>
      </c>
      <c r="X8543" s="21">
        <v>0</v>
      </c>
      <c r="Y8543" s="21">
        <v>0</v>
      </c>
      <c r="Z8543" s="21">
        <v>0</v>
      </c>
      <c r="AA8543" s="21">
        <v>0</v>
      </c>
      <c r="AB8543" s="21">
        <v>0</v>
      </c>
      <c r="AC8543" s="21">
        <v>0</v>
      </c>
      <c r="AD8543" s="21">
        <v>0</v>
      </c>
      <c r="AE8543" s="21">
        <v>0</v>
      </c>
      <c r="AF8543" s="21">
        <v>0</v>
      </c>
      <c r="AG8543" s="21">
        <v>0</v>
      </c>
      <c r="AH8543" s="21">
        <f t="shared" si="174"/>
        <v>64</v>
      </c>
      <c r="AI8543" s="21"/>
      <c r="AJ8543" s="21" t="s">
        <v>51</v>
      </c>
      <c r="AK8543" s="21" t="s">
        <v>52</v>
      </c>
      <c r="AL8543" s="21" t="s">
        <v>4795</v>
      </c>
      <c r="AM8543" s="21" t="s">
        <v>5153</v>
      </c>
      <c r="AN8543" s="21">
        <v>-122.428438633333</v>
      </c>
      <c r="AO8543" s="21">
        <v>37.800903283333298</v>
      </c>
      <c r="AP8543" s="21" t="s">
        <v>951</v>
      </c>
    </row>
    <row r="8544" spans="1:42">
      <c r="A8544" s="20">
        <v>43852</v>
      </c>
      <c r="B8544" s="21">
        <v>3</v>
      </c>
      <c r="C8544" s="21">
        <v>210</v>
      </c>
      <c r="D8544" s="21">
        <v>14638</v>
      </c>
      <c r="E8544" s="21"/>
      <c r="F8544" s="21" t="s">
        <v>38</v>
      </c>
      <c r="G8544" s="21">
        <v>2</v>
      </c>
      <c r="H8544" s="21">
        <v>8</v>
      </c>
      <c r="I8544" s="23" t="s">
        <v>3311</v>
      </c>
      <c r="J8544" s="21"/>
      <c r="K8544" s="21" t="s">
        <v>210</v>
      </c>
      <c r="L8544" s="21"/>
      <c r="M8544" s="21"/>
      <c r="N8544" s="21" t="s">
        <v>44</v>
      </c>
      <c r="O8544" s="21">
        <v>47</v>
      </c>
      <c r="P8544" s="21"/>
      <c r="Q8544" s="21">
        <f t="shared" si="173"/>
        <v>1</v>
      </c>
      <c r="R8544" s="21">
        <v>1</v>
      </c>
      <c r="S8544" s="21">
        <v>0</v>
      </c>
      <c r="T8544" s="21">
        <v>0</v>
      </c>
      <c r="U8544" s="21">
        <v>1</v>
      </c>
      <c r="V8544" s="21">
        <v>0</v>
      </c>
      <c r="W8544" s="21">
        <v>0</v>
      </c>
      <c r="X8544" s="21">
        <v>0</v>
      </c>
      <c r="Y8544" s="21">
        <v>0</v>
      </c>
      <c r="Z8544" s="21">
        <v>0</v>
      </c>
      <c r="AA8544" s="21">
        <v>0</v>
      </c>
      <c r="AB8544" s="21">
        <v>0</v>
      </c>
      <c r="AC8544" s="21">
        <v>0</v>
      </c>
      <c r="AD8544" s="21">
        <v>0</v>
      </c>
      <c r="AE8544" s="21">
        <v>0</v>
      </c>
      <c r="AF8544" s="21">
        <v>0</v>
      </c>
      <c r="AG8544" s="21">
        <v>0</v>
      </c>
      <c r="AH8544" s="21">
        <f t="shared" si="174"/>
        <v>32</v>
      </c>
      <c r="AI8544" s="21"/>
      <c r="AJ8544" s="21" t="s">
        <v>51</v>
      </c>
      <c r="AK8544" s="21" t="s">
        <v>95</v>
      </c>
      <c r="AL8544" s="21"/>
      <c r="AM8544" s="21" t="s">
        <v>5154</v>
      </c>
      <c r="AN8544" s="21">
        <v>-122.42865519999999</v>
      </c>
      <c r="AO8544" s="21">
        <v>37.800864766666599</v>
      </c>
      <c r="AP8544" s="21" t="s">
        <v>951</v>
      </c>
    </row>
    <row r="8545" spans="1:42">
      <c r="A8545" s="20">
        <v>43852</v>
      </c>
      <c r="B8545" s="21">
        <v>3</v>
      </c>
      <c r="C8545" s="21">
        <v>210</v>
      </c>
      <c r="D8545" s="21">
        <v>14638</v>
      </c>
      <c r="E8545" s="21"/>
      <c r="F8545" s="21" t="s">
        <v>38</v>
      </c>
      <c r="G8545" s="21">
        <v>2</v>
      </c>
      <c r="H8545" s="21">
        <v>9</v>
      </c>
      <c r="I8545" s="23">
        <v>1600</v>
      </c>
      <c r="J8545" s="21"/>
      <c r="K8545" s="21" t="s">
        <v>210</v>
      </c>
      <c r="L8545" s="21" t="s">
        <v>114</v>
      </c>
      <c r="M8545" s="21"/>
      <c r="N8545" s="21" t="s">
        <v>40</v>
      </c>
      <c r="O8545" s="21"/>
      <c r="P8545" s="21">
        <v>228</v>
      </c>
      <c r="Q8545" s="21">
        <f t="shared" si="173"/>
        <v>9</v>
      </c>
      <c r="R8545" s="21">
        <v>1</v>
      </c>
      <c r="S8545" s="21">
        <v>0</v>
      </c>
      <c r="T8545" s="21">
        <v>0</v>
      </c>
      <c r="U8545" s="21">
        <v>8</v>
      </c>
      <c r="V8545" s="21">
        <v>1</v>
      </c>
      <c r="W8545" s="21">
        <v>0</v>
      </c>
      <c r="X8545" s="21">
        <v>0</v>
      </c>
      <c r="Y8545" s="21">
        <v>0</v>
      </c>
      <c r="Z8545" s="21">
        <v>0</v>
      </c>
      <c r="AA8545" s="21">
        <v>0</v>
      </c>
      <c r="AB8545" s="21">
        <v>0</v>
      </c>
      <c r="AC8545" s="21">
        <v>0</v>
      </c>
      <c r="AD8545" s="21">
        <v>0</v>
      </c>
      <c r="AE8545" s="21">
        <v>0</v>
      </c>
      <c r="AF8545" s="21">
        <v>0</v>
      </c>
      <c r="AG8545" s="21">
        <v>0</v>
      </c>
      <c r="AH8545" s="21">
        <f t="shared" si="174"/>
        <v>320</v>
      </c>
      <c r="AI8545" s="21"/>
      <c r="AJ8545" s="21"/>
      <c r="AK8545" s="21"/>
      <c r="AL8545" s="21"/>
      <c r="AM8545" s="21" t="s">
        <v>5155</v>
      </c>
      <c r="AN8545" s="21">
        <v>-122.42882324999999</v>
      </c>
      <c r="AO8545" s="21">
        <v>37.800864166666599</v>
      </c>
      <c r="AP8545" s="21" t="s">
        <v>951</v>
      </c>
    </row>
    <row r="8546" spans="1:42">
      <c r="A8546" s="20">
        <v>43852</v>
      </c>
      <c r="B8546" s="21">
        <v>3</v>
      </c>
      <c r="C8546" s="21">
        <v>210</v>
      </c>
      <c r="D8546" s="21">
        <v>14638</v>
      </c>
      <c r="E8546" s="21"/>
      <c r="F8546" s="21" t="s">
        <v>38</v>
      </c>
      <c r="G8546" s="21">
        <v>2</v>
      </c>
      <c r="H8546" s="21">
        <v>10</v>
      </c>
      <c r="I8546" s="23" t="s">
        <v>5156</v>
      </c>
      <c r="J8546" s="21"/>
      <c r="K8546" s="21" t="s">
        <v>210</v>
      </c>
      <c r="L8546" s="21"/>
      <c r="M8546" s="21"/>
      <c r="N8546" s="21" t="s">
        <v>44</v>
      </c>
      <c r="O8546" s="21">
        <v>87</v>
      </c>
      <c r="P8546" s="21"/>
      <c r="Q8546" s="21">
        <f t="shared" si="173"/>
        <v>2</v>
      </c>
      <c r="R8546" s="21">
        <v>1</v>
      </c>
      <c r="S8546" s="21">
        <v>0</v>
      </c>
      <c r="T8546" s="21">
        <v>0</v>
      </c>
      <c r="U8546" s="21">
        <v>0</v>
      </c>
      <c r="V8546" s="21">
        <v>0</v>
      </c>
      <c r="W8546" s="21">
        <v>2</v>
      </c>
      <c r="X8546" s="21">
        <v>0</v>
      </c>
      <c r="Y8546" s="21">
        <v>0</v>
      </c>
      <c r="Z8546" s="21">
        <v>0</v>
      </c>
      <c r="AA8546" s="21">
        <v>0</v>
      </c>
      <c r="AB8546" s="21">
        <v>0</v>
      </c>
      <c r="AC8546" s="21">
        <v>0</v>
      </c>
      <c r="AD8546" s="21">
        <v>0</v>
      </c>
      <c r="AE8546" s="21">
        <v>0</v>
      </c>
      <c r="AF8546" s="21">
        <v>0</v>
      </c>
      <c r="AG8546" s="21">
        <v>0</v>
      </c>
      <c r="AH8546" s="21">
        <f t="shared" si="174"/>
        <v>192</v>
      </c>
      <c r="AI8546" s="21"/>
      <c r="AJ8546" s="21" t="s">
        <v>51</v>
      </c>
      <c r="AK8546" s="21" t="s">
        <v>95</v>
      </c>
      <c r="AL8546" s="21"/>
      <c r="AM8546" s="21" t="s">
        <v>5157</v>
      </c>
      <c r="AN8546" s="21">
        <v>-122.429271433333</v>
      </c>
      <c r="AO8546" s="21">
        <v>37.800787933333297</v>
      </c>
      <c r="AP8546" s="21" t="s">
        <v>951</v>
      </c>
    </row>
    <row r="8547" spans="1:42">
      <c r="A8547" s="20">
        <v>43852</v>
      </c>
      <c r="B8547" s="21">
        <v>3</v>
      </c>
      <c r="C8547" s="21">
        <v>210</v>
      </c>
      <c r="D8547" s="21">
        <v>14638</v>
      </c>
      <c r="E8547" s="21"/>
      <c r="F8547" s="21" t="s">
        <v>38</v>
      </c>
      <c r="G8547" s="21">
        <v>2</v>
      </c>
      <c r="H8547" s="21">
        <v>11</v>
      </c>
      <c r="I8547" s="23" t="s">
        <v>5158</v>
      </c>
      <c r="J8547" s="21"/>
      <c r="K8547" s="21" t="s">
        <v>595</v>
      </c>
      <c r="L8547" s="21" t="s">
        <v>114</v>
      </c>
      <c r="M8547" s="21"/>
      <c r="N8547" s="21" t="s">
        <v>40</v>
      </c>
      <c r="O8547" s="21">
        <v>75</v>
      </c>
      <c r="P8547" s="21"/>
      <c r="Q8547" s="21">
        <f t="shared" si="173"/>
        <v>3</v>
      </c>
      <c r="R8547" s="21">
        <v>1</v>
      </c>
      <c r="S8547" s="21">
        <v>0</v>
      </c>
      <c r="T8547" s="21">
        <v>0</v>
      </c>
      <c r="U8547" s="21">
        <v>0</v>
      </c>
      <c r="V8547" s="21">
        <v>1</v>
      </c>
      <c r="W8547" s="21">
        <v>2</v>
      </c>
      <c r="X8547" s="21">
        <v>0</v>
      </c>
      <c r="Y8547" s="21">
        <v>0</v>
      </c>
      <c r="Z8547" s="21">
        <v>0</v>
      </c>
      <c r="AA8547" s="21">
        <v>0</v>
      </c>
      <c r="AB8547" s="21">
        <v>0</v>
      </c>
      <c r="AC8547" s="21">
        <v>0</v>
      </c>
      <c r="AD8547" s="21">
        <v>0</v>
      </c>
      <c r="AE8547" s="21">
        <v>0</v>
      </c>
      <c r="AF8547" s="21">
        <v>0</v>
      </c>
      <c r="AG8547" s="21">
        <v>0</v>
      </c>
      <c r="AH8547" s="21">
        <f t="shared" si="174"/>
        <v>256</v>
      </c>
      <c r="AI8547" s="21"/>
      <c r="AJ8547" s="21" t="s">
        <v>51</v>
      </c>
      <c r="AK8547" s="21" t="s">
        <v>95</v>
      </c>
      <c r="AL8547" s="21"/>
      <c r="AM8547" s="21" t="s">
        <v>5159</v>
      </c>
      <c r="AN8547" s="21">
        <v>-122.42955259999999</v>
      </c>
      <c r="AO8547" s="21">
        <v>37.80112235</v>
      </c>
      <c r="AP8547" s="21" t="s">
        <v>951</v>
      </c>
    </row>
    <row r="8548" spans="1:42">
      <c r="A8548" s="20">
        <v>43852</v>
      </c>
      <c r="B8548" s="21">
        <v>3</v>
      </c>
      <c r="C8548" s="21">
        <v>210</v>
      </c>
      <c r="D8548" s="21">
        <v>14638</v>
      </c>
      <c r="E8548" s="21"/>
      <c r="F8548" s="21" t="s">
        <v>38</v>
      </c>
      <c r="G8548" s="21">
        <v>2</v>
      </c>
      <c r="H8548" s="21">
        <v>12</v>
      </c>
      <c r="I8548" s="23" t="s">
        <v>5160</v>
      </c>
      <c r="J8548" s="21"/>
      <c r="K8548" s="21" t="s">
        <v>595</v>
      </c>
      <c r="L8548" s="21"/>
      <c r="M8548" s="21"/>
      <c r="N8548" s="21" t="s">
        <v>44</v>
      </c>
      <c r="O8548" s="21">
        <v>92</v>
      </c>
      <c r="P8548" s="21"/>
      <c r="Q8548" s="21">
        <f t="shared" si="173"/>
        <v>2</v>
      </c>
      <c r="R8548" s="21">
        <v>1</v>
      </c>
      <c r="S8548" s="21">
        <v>0</v>
      </c>
      <c r="T8548" s="21">
        <v>0</v>
      </c>
      <c r="U8548" s="21">
        <v>1</v>
      </c>
      <c r="V8548" s="21">
        <v>0</v>
      </c>
      <c r="W8548" s="21">
        <v>1</v>
      </c>
      <c r="X8548" s="21">
        <v>0</v>
      </c>
      <c r="Y8548" s="21">
        <v>0</v>
      </c>
      <c r="Z8548" s="21">
        <v>0</v>
      </c>
      <c r="AA8548" s="21">
        <v>0</v>
      </c>
      <c r="AB8548" s="21">
        <v>0</v>
      </c>
      <c r="AC8548" s="21">
        <v>0</v>
      </c>
      <c r="AD8548" s="21">
        <v>0</v>
      </c>
      <c r="AE8548" s="21">
        <v>0</v>
      </c>
      <c r="AF8548" s="21">
        <v>0</v>
      </c>
      <c r="AG8548" s="21">
        <v>0</v>
      </c>
      <c r="AH8548" s="21">
        <f t="shared" si="174"/>
        <v>128</v>
      </c>
      <c r="AI8548" s="21"/>
      <c r="AJ8548" s="21" t="s">
        <v>51</v>
      </c>
      <c r="AK8548" s="21" t="s">
        <v>95</v>
      </c>
      <c r="AL8548" s="21"/>
      <c r="AM8548" s="21" t="s">
        <v>5161</v>
      </c>
      <c r="AN8548" s="21">
        <v>-122.429560266667</v>
      </c>
      <c r="AO8548" s="21">
        <v>37.8012077666666</v>
      </c>
      <c r="AP8548" s="21" t="s">
        <v>951</v>
      </c>
    </row>
    <row r="8549" spans="1:42">
      <c r="A8549" s="20">
        <v>43852</v>
      </c>
      <c r="B8549" s="21">
        <v>3</v>
      </c>
      <c r="C8549" s="21">
        <v>210</v>
      </c>
      <c r="D8549" s="21">
        <v>14638</v>
      </c>
      <c r="E8549" s="21"/>
      <c r="F8549" s="21" t="s">
        <v>38</v>
      </c>
      <c r="G8549" s="21">
        <v>2</v>
      </c>
      <c r="H8549" s="21">
        <v>13</v>
      </c>
      <c r="I8549" s="23" t="s">
        <v>5162</v>
      </c>
      <c r="J8549" s="21"/>
      <c r="K8549" s="21" t="s">
        <v>595</v>
      </c>
      <c r="L8549" s="21"/>
      <c r="M8549" s="21"/>
      <c r="N8549" s="21" t="s">
        <v>44</v>
      </c>
      <c r="O8549" s="21">
        <v>62</v>
      </c>
      <c r="P8549" s="21"/>
      <c r="Q8549" s="21">
        <f t="shared" si="173"/>
        <v>1</v>
      </c>
      <c r="R8549" s="21">
        <v>1</v>
      </c>
      <c r="S8549" s="21">
        <v>0</v>
      </c>
      <c r="T8549" s="21">
        <v>0</v>
      </c>
      <c r="U8549" s="21">
        <v>0</v>
      </c>
      <c r="V8549" s="21">
        <v>0</v>
      </c>
      <c r="W8549" s="21">
        <v>1</v>
      </c>
      <c r="X8549" s="21">
        <v>0</v>
      </c>
      <c r="Y8549" s="21">
        <v>0</v>
      </c>
      <c r="Z8549" s="21">
        <v>0</v>
      </c>
      <c r="AA8549" s="21">
        <v>0</v>
      </c>
      <c r="AB8549" s="21">
        <v>0</v>
      </c>
      <c r="AC8549" s="21">
        <v>0</v>
      </c>
      <c r="AD8549" s="21">
        <v>0</v>
      </c>
      <c r="AE8549" s="21">
        <v>0</v>
      </c>
      <c r="AF8549" s="21">
        <v>0</v>
      </c>
      <c r="AG8549" s="21">
        <v>0</v>
      </c>
      <c r="AH8549" s="21">
        <f t="shared" si="174"/>
        <v>96</v>
      </c>
      <c r="AI8549" s="21"/>
      <c r="AJ8549" s="21" t="s">
        <v>51</v>
      </c>
      <c r="AK8549" s="21" t="s">
        <v>95</v>
      </c>
      <c r="AL8549" s="21"/>
      <c r="AM8549" s="21" t="s">
        <v>5163</v>
      </c>
      <c r="AN8549" s="21">
        <v>-122.429606233333</v>
      </c>
      <c r="AO8549" s="21">
        <v>37.801248716666699</v>
      </c>
      <c r="AP8549" s="21" t="s">
        <v>951</v>
      </c>
    </row>
    <row r="8550" spans="1:42">
      <c r="A8550" s="20">
        <v>43852</v>
      </c>
      <c r="B8550" s="21">
        <v>3</v>
      </c>
      <c r="C8550" s="21">
        <v>210</v>
      </c>
      <c r="D8550" s="21">
        <v>14638</v>
      </c>
      <c r="E8550" s="21"/>
      <c r="F8550" s="21" t="s">
        <v>38</v>
      </c>
      <c r="G8550" s="21">
        <v>2</v>
      </c>
      <c r="H8550" s="21">
        <v>14</v>
      </c>
      <c r="I8550" s="23">
        <v>3100</v>
      </c>
      <c r="J8550" s="21"/>
      <c r="K8550" s="21" t="s">
        <v>210</v>
      </c>
      <c r="L8550" s="21" t="s">
        <v>114</v>
      </c>
      <c r="M8550" s="21"/>
      <c r="N8550" s="21" t="s">
        <v>40</v>
      </c>
      <c r="O8550" s="21">
        <v>121</v>
      </c>
      <c r="P8550" s="21"/>
      <c r="Q8550" s="21">
        <f t="shared" si="173"/>
        <v>7</v>
      </c>
      <c r="R8550" s="21">
        <v>1</v>
      </c>
      <c r="S8550" s="21">
        <v>0</v>
      </c>
      <c r="T8550" s="21">
        <v>0</v>
      </c>
      <c r="U8550" s="21">
        <v>7</v>
      </c>
      <c r="V8550" s="21">
        <v>0</v>
      </c>
      <c r="W8550" s="21">
        <v>0</v>
      </c>
      <c r="X8550" s="21">
        <v>0</v>
      </c>
      <c r="Y8550" s="21">
        <v>0</v>
      </c>
      <c r="Z8550" s="21">
        <v>0</v>
      </c>
      <c r="AA8550" s="21">
        <v>0</v>
      </c>
      <c r="AB8550" s="21">
        <v>0</v>
      </c>
      <c r="AC8550" s="21">
        <v>0</v>
      </c>
      <c r="AD8550" s="21">
        <v>0</v>
      </c>
      <c r="AE8550" s="21">
        <v>0</v>
      </c>
      <c r="AF8550" s="21">
        <v>0</v>
      </c>
      <c r="AG8550" s="21">
        <v>0</v>
      </c>
      <c r="AH8550" s="21">
        <f t="shared" si="174"/>
        <v>224</v>
      </c>
      <c r="AI8550" s="21"/>
      <c r="AJ8550" s="21"/>
      <c r="AK8550" s="21"/>
      <c r="AL8550" s="21"/>
      <c r="AM8550" s="21" t="s">
        <v>5164</v>
      </c>
      <c r="AN8550" s="21">
        <v>-122.429638333333</v>
      </c>
      <c r="AO8550" s="21">
        <v>37.8014248666667</v>
      </c>
      <c r="AP8550" s="21" t="s">
        <v>951</v>
      </c>
    </row>
    <row r="8551" spans="1:42">
      <c r="A8551" s="20">
        <v>43852</v>
      </c>
      <c r="B8551" s="21">
        <v>3</v>
      </c>
      <c r="C8551" s="21">
        <v>210</v>
      </c>
      <c r="D8551" s="21">
        <v>14638</v>
      </c>
      <c r="E8551" s="21"/>
      <c r="F8551" s="21" t="s">
        <v>38</v>
      </c>
      <c r="G8551" s="21">
        <v>2</v>
      </c>
      <c r="H8551" s="21">
        <v>15</v>
      </c>
      <c r="I8551" s="23">
        <v>1500</v>
      </c>
      <c r="J8551" s="21"/>
      <c r="K8551" s="21" t="s">
        <v>324</v>
      </c>
      <c r="L8551" s="21"/>
      <c r="M8551" s="21"/>
      <c r="N8551" s="21" t="s">
        <v>40</v>
      </c>
      <c r="O8551" s="21">
        <v>44</v>
      </c>
      <c r="P8551" s="21"/>
      <c r="Q8551" s="21">
        <f t="shared" si="173"/>
        <v>3</v>
      </c>
      <c r="R8551" s="21">
        <v>1</v>
      </c>
      <c r="S8551" s="21">
        <v>0</v>
      </c>
      <c r="T8551" s="21">
        <v>0</v>
      </c>
      <c r="U8551" s="21">
        <v>2</v>
      </c>
      <c r="V8551" s="21">
        <v>1</v>
      </c>
      <c r="W8551" s="21">
        <v>0</v>
      </c>
      <c r="X8551" s="21">
        <v>0</v>
      </c>
      <c r="Y8551" s="21">
        <v>0</v>
      </c>
      <c r="Z8551" s="21">
        <v>0</v>
      </c>
      <c r="AA8551" s="21">
        <v>0</v>
      </c>
      <c r="AB8551" s="21">
        <v>0</v>
      </c>
      <c r="AC8551" s="21">
        <v>0</v>
      </c>
      <c r="AD8551" s="21">
        <v>0</v>
      </c>
      <c r="AE8551" s="21">
        <v>0</v>
      </c>
      <c r="AF8551" s="21">
        <v>0</v>
      </c>
      <c r="AG8551" s="21">
        <v>0</v>
      </c>
      <c r="AH8551" s="21">
        <f t="shared" si="174"/>
        <v>128</v>
      </c>
      <c r="AI8551" s="21"/>
      <c r="AJ8551" s="21" t="s">
        <v>51</v>
      </c>
      <c r="AK8551" s="21" t="s">
        <v>95</v>
      </c>
      <c r="AL8551" s="21"/>
      <c r="AM8551" s="21" t="s">
        <v>5165</v>
      </c>
      <c r="AN8551" s="21">
        <v>-122.428509116667</v>
      </c>
      <c r="AO8551" s="21">
        <v>37.802042950000001</v>
      </c>
      <c r="AP8551" s="21" t="s">
        <v>951</v>
      </c>
    </row>
    <row r="8552" spans="1:42">
      <c r="A8552" s="20">
        <v>43852</v>
      </c>
      <c r="B8552" s="21">
        <v>3</v>
      </c>
      <c r="C8552" s="21">
        <v>210</v>
      </c>
      <c r="D8552" s="21">
        <v>14638</v>
      </c>
      <c r="E8552" s="21"/>
      <c r="F8552" s="21" t="s">
        <v>38</v>
      </c>
      <c r="G8552" s="21">
        <v>2</v>
      </c>
      <c r="H8552" s="21">
        <v>16</v>
      </c>
      <c r="I8552" s="23" t="s">
        <v>5166</v>
      </c>
      <c r="J8552" s="21"/>
      <c r="K8552" s="21" t="s">
        <v>638</v>
      </c>
      <c r="L8552" s="21"/>
      <c r="M8552" s="21"/>
      <c r="N8552" s="21" t="s">
        <v>44</v>
      </c>
      <c r="O8552" s="21">
        <v>97</v>
      </c>
      <c r="P8552" s="21"/>
      <c r="Q8552" s="21">
        <f t="shared" si="173"/>
        <v>2</v>
      </c>
      <c r="R8552" s="21">
        <v>1</v>
      </c>
      <c r="S8552" s="21">
        <v>0</v>
      </c>
      <c r="T8552" s="21">
        <v>0</v>
      </c>
      <c r="U8552" s="21">
        <v>1</v>
      </c>
      <c r="V8552" s="21">
        <v>0</v>
      </c>
      <c r="W8552" s="21">
        <v>1</v>
      </c>
      <c r="X8552" s="21">
        <v>0</v>
      </c>
      <c r="Y8552" s="21">
        <v>0</v>
      </c>
      <c r="Z8552" s="21">
        <v>0</v>
      </c>
      <c r="AA8552" s="21">
        <v>0</v>
      </c>
      <c r="AB8552" s="21">
        <v>0</v>
      </c>
      <c r="AC8552" s="21">
        <v>0</v>
      </c>
      <c r="AD8552" s="21">
        <v>0</v>
      </c>
      <c r="AE8552" s="21">
        <v>0</v>
      </c>
      <c r="AF8552" s="21">
        <v>0</v>
      </c>
      <c r="AG8552" s="21">
        <v>0</v>
      </c>
      <c r="AH8552" s="21">
        <f t="shared" si="174"/>
        <v>128</v>
      </c>
      <c r="AI8552" s="21"/>
      <c r="AJ8552" s="21" t="s">
        <v>51</v>
      </c>
      <c r="AK8552" s="21" t="s">
        <v>95</v>
      </c>
      <c r="AL8552" s="21"/>
      <c r="AM8552" s="21" t="s">
        <v>5167</v>
      </c>
      <c r="AN8552" s="21">
        <v>-122.42829655</v>
      </c>
      <c r="AO8552" s="21">
        <v>37.803158216666702</v>
      </c>
      <c r="AP8552" s="21" t="s">
        <v>951</v>
      </c>
    </row>
    <row r="8553" spans="1:42">
      <c r="A8553" s="20">
        <v>43852</v>
      </c>
      <c r="B8553" s="21">
        <v>3</v>
      </c>
      <c r="C8553" s="21">
        <v>210</v>
      </c>
      <c r="D8553" s="21">
        <v>14638</v>
      </c>
      <c r="E8553" s="21"/>
      <c r="F8553" s="21" t="s">
        <v>38</v>
      </c>
      <c r="G8553" s="21">
        <v>2</v>
      </c>
      <c r="H8553" s="21">
        <v>17</v>
      </c>
      <c r="I8553" s="23" t="s">
        <v>5168</v>
      </c>
      <c r="J8553" s="21"/>
      <c r="K8553" s="21" t="s">
        <v>595</v>
      </c>
      <c r="L8553" s="21"/>
      <c r="M8553" s="21"/>
      <c r="N8553" s="21" t="s">
        <v>44</v>
      </c>
      <c r="O8553" s="21">
        <v>148</v>
      </c>
      <c r="P8553" s="21"/>
      <c r="Q8553" s="21">
        <f t="shared" si="173"/>
        <v>1</v>
      </c>
      <c r="R8553" s="21">
        <v>1</v>
      </c>
      <c r="S8553" s="21">
        <v>0</v>
      </c>
      <c r="T8553" s="21">
        <v>0</v>
      </c>
      <c r="U8553" s="21">
        <v>0</v>
      </c>
      <c r="V8553" s="21">
        <v>0</v>
      </c>
      <c r="W8553" s="21">
        <v>1</v>
      </c>
      <c r="X8553" s="21">
        <v>0</v>
      </c>
      <c r="Y8553" s="21">
        <v>0</v>
      </c>
      <c r="Z8553" s="21">
        <v>0</v>
      </c>
      <c r="AA8553" s="21">
        <v>0</v>
      </c>
      <c r="AB8553" s="21">
        <v>0</v>
      </c>
      <c r="AC8553" s="21">
        <v>0</v>
      </c>
      <c r="AD8553" s="21">
        <v>0</v>
      </c>
      <c r="AE8553" s="21">
        <v>0</v>
      </c>
      <c r="AF8553" s="21">
        <v>0</v>
      </c>
      <c r="AG8553" s="21">
        <v>0</v>
      </c>
      <c r="AH8553" s="21">
        <f t="shared" si="174"/>
        <v>96</v>
      </c>
      <c r="AI8553" s="21"/>
      <c r="AJ8553" s="21" t="s">
        <v>51</v>
      </c>
      <c r="AK8553" s="21" t="s">
        <v>52</v>
      </c>
      <c r="AL8553" s="21"/>
      <c r="AM8553" s="21" t="s">
        <v>5169</v>
      </c>
      <c r="AN8553" s="21">
        <v>-122.43025590000001</v>
      </c>
      <c r="AO8553" s="21">
        <v>37.801317916666697</v>
      </c>
      <c r="AP8553" s="21" t="s">
        <v>951</v>
      </c>
    </row>
    <row r="8554" spans="1:42">
      <c r="A8554" s="20">
        <v>43852</v>
      </c>
      <c r="B8554" s="21">
        <v>3</v>
      </c>
      <c r="C8554" s="21">
        <v>210</v>
      </c>
      <c r="D8554" s="21">
        <v>14638</v>
      </c>
      <c r="E8554" s="21"/>
      <c r="F8554" s="21" t="s">
        <v>38</v>
      </c>
      <c r="G8554" s="21">
        <v>2</v>
      </c>
      <c r="H8554" s="21">
        <v>18</v>
      </c>
      <c r="I8554" s="23" t="s">
        <v>5170</v>
      </c>
      <c r="J8554" s="21"/>
      <c r="K8554" s="21" t="s">
        <v>638</v>
      </c>
      <c r="L8554" s="21"/>
      <c r="M8554" s="21"/>
      <c r="N8554" s="21" t="s">
        <v>44</v>
      </c>
      <c r="O8554" s="21">
        <v>60</v>
      </c>
      <c r="P8554" s="21"/>
      <c r="Q8554" s="21">
        <f t="shared" si="173"/>
        <v>1</v>
      </c>
      <c r="R8554" s="21">
        <v>1</v>
      </c>
      <c r="S8554" s="21">
        <v>0</v>
      </c>
      <c r="T8554" s="21">
        <v>0</v>
      </c>
      <c r="U8554" s="21">
        <v>0</v>
      </c>
      <c r="V8554" s="21">
        <v>0</v>
      </c>
      <c r="W8554" s="21">
        <v>1</v>
      </c>
      <c r="X8554" s="21">
        <v>0</v>
      </c>
      <c r="Y8554" s="21">
        <v>0</v>
      </c>
      <c r="Z8554" s="21">
        <v>0</v>
      </c>
      <c r="AA8554" s="21">
        <v>0</v>
      </c>
      <c r="AB8554" s="21">
        <v>0</v>
      </c>
      <c r="AC8554" s="21">
        <v>0</v>
      </c>
      <c r="AD8554" s="21">
        <v>0</v>
      </c>
      <c r="AE8554" s="21">
        <v>0</v>
      </c>
      <c r="AF8554" s="21">
        <v>0</v>
      </c>
      <c r="AG8554" s="21">
        <v>0</v>
      </c>
      <c r="AH8554" s="21">
        <f t="shared" si="174"/>
        <v>96</v>
      </c>
      <c r="AI8554" s="21"/>
      <c r="AJ8554" s="21" t="s">
        <v>51</v>
      </c>
      <c r="AK8554" s="21" t="s">
        <v>95</v>
      </c>
      <c r="AL8554" s="21"/>
      <c r="AM8554" s="21" t="s">
        <v>5171</v>
      </c>
      <c r="AN8554" s="21">
        <v>-122.429530383333</v>
      </c>
      <c r="AO8554" s="21">
        <v>37.801239783333301</v>
      </c>
      <c r="AP8554" s="21" t="s">
        <v>951</v>
      </c>
    </row>
    <row r="8555" spans="1:42">
      <c r="A8555" s="20">
        <v>43852</v>
      </c>
      <c r="B8555" s="21">
        <v>3</v>
      </c>
      <c r="C8555" s="21">
        <v>210</v>
      </c>
      <c r="D8555" s="21">
        <v>14638</v>
      </c>
      <c r="E8555" s="21"/>
      <c r="F8555" s="21" t="s">
        <v>38</v>
      </c>
      <c r="G8555" s="21">
        <v>2</v>
      </c>
      <c r="H8555" s="21">
        <v>19</v>
      </c>
      <c r="I8555" s="23">
        <v>3100</v>
      </c>
      <c r="J8555" s="21"/>
      <c r="K8555" s="21" t="s">
        <v>595</v>
      </c>
      <c r="L8555" s="21" t="s">
        <v>141</v>
      </c>
      <c r="M8555" s="21" t="s">
        <v>52</v>
      </c>
      <c r="N8555" s="21" t="s">
        <v>40</v>
      </c>
      <c r="O8555" s="21">
        <v>29</v>
      </c>
      <c r="P8555" s="21"/>
      <c r="Q8555" s="21">
        <f t="shared" si="173"/>
        <v>1</v>
      </c>
      <c r="R8555" s="21">
        <v>1</v>
      </c>
      <c r="S8555" s="21">
        <v>0</v>
      </c>
      <c r="T8555" s="21">
        <v>0</v>
      </c>
      <c r="U8555" s="21">
        <v>1</v>
      </c>
      <c r="V8555" s="21">
        <v>0</v>
      </c>
      <c r="W8555" s="21">
        <v>0</v>
      </c>
      <c r="X8555" s="21">
        <v>0</v>
      </c>
      <c r="Y8555" s="21">
        <v>0</v>
      </c>
      <c r="Z8555" s="21">
        <v>0</v>
      </c>
      <c r="AA8555" s="21">
        <v>0</v>
      </c>
      <c r="AB8555" s="21">
        <v>0</v>
      </c>
      <c r="AC8555" s="21">
        <v>0</v>
      </c>
      <c r="AD8555" s="21">
        <v>0</v>
      </c>
      <c r="AE8555" s="21">
        <v>0</v>
      </c>
      <c r="AF8555" s="21">
        <v>0</v>
      </c>
      <c r="AG8555" s="21">
        <v>0</v>
      </c>
      <c r="AH8555" s="21">
        <f t="shared" si="174"/>
        <v>32</v>
      </c>
      <c r="AI8555" s="21"/>
      <c r="AJ8555" s="21" t="s">
        <v>3023</v>
      </c>
      <c r="AK8555" s="21" t="s">
        <v>95</v>
      </c>
      <c r="AL8555" s="21"/>
      <c r="AM8555" s="21" t="s">
        <v>5172</v>
      </c>
      <c r="AN8555" s="21">
        <v>-122.42949728333301</v>
      </c>
      <c r="AO8555" s="21">
        <v>37.801077866666702</v>
      </c>
      <c r="AP8555" s="21" t="s">
        <v>951</v>
      </c>
    </row>
    <row r="8556" spans="1:42">
      <c r="A8556" s="20">
        <v>43852</v>
      </c>
      <c r="B8556" s="21">
        <v>3</v>
      </c>
      <c r="C8556" s="21">
        <v>210</v>
      </c>
      <c r="D8556" s="21">
        <v>14638</v>
      </c>
      <c r="E8556" s="21"/>
      <c r="F8556" s="21" t="s">
        <v>38</v>
      </c>
      <c r="G8556" s="21">
        <v>2</v>
      </c>
      <c r="H8556" s="21">
        <v>20</v>
      </c>
      <c r="I8556" s="23" t="s">
        <v>2283</v>
      </c>
      <c r="J8556" s="21"/>
      <c r="K8556" s="21" t="s">
        <v>595</v>
      </c>
      <c r="L8556" s="21"/>
      <c r="M8556" s="21"/>
      <c r="N8556" s="21" t="s">
        <v>44</v>
      </c>
      <c r="O8556" s="21">
        <v>88</v>
      </c>
      <c r="P8556" s="21"/>
      <c r="Q8556" s="21">
        <f t="shared" si="173"/>
        <v>2</v>
      </c>
      <c r="R8556" s="21">
        <v>1</v>
      </c>
      <c r="S8556" s="21">
        <v>0</v>
      </c>
      <c r="T8556" s="21">
        <v>0</v>
      </c>
      <c r="U8556" s="21">
        <v>1</v>
      </c>
      <c r="V8556" s="21">
        <v>1</v>
      </c>
      <c r="W8556" s="21">
        <v>0</v>
      </c>
      <c r="X8556" s="21">
        <v>0</v>
      </c>
      <c r="Y8556" s="21">
        <v>0</v>
      </c>
      <c r="Z8556" s="21">
        <v>0</v>
      </c>
      <c r="AA8556" s="21">
        <v>0</v>
      </c>
      <c r="AB8556" s="21">
        <v>0</v>
      </c>
      <c r="AC8556" s="21">
        <v>0</v>
      </c>
      <c r="AD8556" s="21">
        <v>0</v>
      </c>
      <c r="AE8556" s="21">
        <v>0</v>
      </c>
      <c r="AF8556" s="21">
        <v>0</v>
      </c>
      <c r="AG8556" s="21">
        <v>0</v>
      </c>
      <c r="AH8556" s="21">
        <f t="shared" si="174"/>
        <v>96</v>
      </c>
      <c r="AI8556" s="21"/>
      <c r="AJ8556" s="21" t="s">
        <v>3023</v>
      </c>
      <c r="AK8556" s="21" t="s">
        <v>95</v>
      </c>
      <c r="AL8556" s="21"/>
      <c r="AM8556" s="21" t="s">
        <v>5173</v>
      </c>
      <c r="AN8556" s="21">
        <v>-122.429553016667</v>
      </c>
      <c r="AO8556" s="21">
        <v>37.800977199999998</v>
      </c>
      <c r="AP8556" s="21" t="s">
        <v>951</v>
      </c>
    </row>
    <row r="8557" spans="1:42">
      <c r="A8557" s="20">
        <v>43852</v>
      </c>
      <c r="B8557" s="21">
        <v>3</v>
      </c>
      <c r="C8557" s="21">
        <v>210</v>
      </c>
      <c r="D8557" s="21">
        <v>14638</v>
      </c>
      <c r="E8557" s="21"/>
      <c r="F8557" s="21" t="s">
        <v>38</v>
      </c>
      <c r="G8557" s="21">
        <v>2</v>
      </c>
      <c r="H8557" s="21">
        <v>21</v>
      </c>
      <c r="I8557" s="23">
        <v>3100</v>
      </c>
      <c r="J8557" s="21"/>
      <c r="K8557" s="21" t="s">
        <v>595</v>
      </c>
      <c r="L8557" s="21" t="s">
        <v>141</v>
      </c>
      <c r="M8557" s="21"/>
      <c r="N8557" s="21" t="s">
        <v>40</v>
      </c>
      <c r="O8557" s="21">
        <v>47</v>
      </c>
      <c r="P8557" s="21"/>
      <c r="Q8557" s="21">
        <f t="shared" si="173"/>
        <v>3</v>
      </c>
      <c r="R8557" s="21">
        <v>1</v>
      </c>
      <c r="S8557" s="21">
        <v>1</v>
      </c>
      <c r="T8557" s="21">
        <v>2</v>
      </c>
      <c r="U8557" s="21">
        <v>0</v>
      </c>
      <c r="V8557" s="21">
        <v>0</v>
      </c>
      <c r="W8557" s="21">
        <v>0</v>
      </c>
      <c r="X8557" s="21">
        <v>0</v>
      </c>
      <c r="Y8557" s="21">
        <v>0</v>
      </c>
      <c r="Z8557" s="21">
        <v>0</v>
      </c>
      <c r="AA8557" s="21">
        <v>0</v>
      </c>
      <c r="AB8557" s="21">
        <v>0</v>
      </c>
      <c r="AC8557" s="21">
        <v>0</v>
      </c>
      <c r="AD8557" s="21">
        <v>0</v>
      </c>
      <c r="AE8557" s="21">
        <v>0</v>
      </c>
      <c r="AF8557" s="21">
        <v>0</v>
      </c>
      <c r="AG8557" s="21">
        <v>0</v>
      </c>
      <c r="AH8557" s="21">
        <f t="shared" si="174"/>
        <v>56</v>
      </c>
      <c r="AI8557" s="21"/>
      <c r="AJ8557" s="21" t="s">
        <v>51</v>
      </c>
      <c r="AK8557" s="21" t="s">
        <v>95</v>
      </c>
      <c r="AL8557" s="21"/>
      <c r="AM8557" s="21" t="s">
        <v>5174</v>
      </c>
      <c r="AN8557" s="21">
        <v>-122.42955531666701</v>
      </c>
      <c r="AO8557" s="21">
        <v>37.800972116666699</v>
      </c>
      <c r="AP8557" s="21" t="s">
        <v>951</v>
      </c>
    </row>
    <row r="8558" spans="1:42">
      <c r="A8558" s="20">
        <v>43852</v>
      </c>
      <c r="B8558" s="21">
        <v>3</v>
      </c>
      <c r="C8558" s="21">
        <v>210</v>
      </c>
      <c r="D8558" s="21">
        <v>14638</v>
      </c>
      <c r="E8558" s="21"/>
      <c r="F8558" s="21" t="s">
        <v>38</v>
      </c>
      <c r="G8558" s="21">
        <v>2</v>
      </c>
      <c r="H8558" s="21">
        <v>22</v>
      </c>
      <c r="I8558" s="23" t="s">
        <v>5175</v>
      </c>
      <c r="J8558" s="21"/>
      <c r="K8558" s="21" t="s">
        <v>210</v>
      </c>
      <c r="L8558" s="21"/>
      <c r="M8558" s="21"/>
      <c r="N8558" s="21" t="s">
        <v>44</v>
      </c>
      <c r="O8558" s="21">
        <v>76</v>
      </c>
      <c r="P8558" s="21"/>
      <c r="Q8558" s="21">
        <f t="shared" si="173"/>
        <v>3</v>
      </c>
      <c r="R8558" s="21">
        <v>1</v>
      </c>
      <c r="S8558" s="21">
        <v>0</v>
      </c>
      <c r="T8558" s="21">
        <v>0</v>
      </c>
      <c r="U8558" s="21">
        <v>1</v>
      </c>
      <c r="V8558" s="21">
        <v>0</v>
      </c>
      <c r="W8558" s="21">
        <v>2</v>
      </c>
      <c r="X8558" s="21">
        <v>0</v>
      </c>
      <c r="Y8558" s="21">
        <v>0</v>
      </c>
      <c r="Z8558" s="21">
        <v>0</v>
      </c>
      <c r="AA8558" s="21">
        <v>0</v>
      </c>
      <c r="AB8558" s="21">
        <v>0</v>
      </c>
      <c r="AC8558" s="21">
        <v>0</v>
      </c>
      <c r="AD8558" s="21">
        <v>0</v>
      </c>
      <c r="AE8558" s="21">
        <v>0</v>
      </c>
      <c r="AF8558" s="21">
        <v>0</v>
      </c>
      <c r="AG8558" s="21">
        <v>0</v>
      </c>
      <c r="AH8558" s="21">
        <f t="shared" si="174"/>
        <v>224</v>
      </c>
      <c r="AI8558" s="21"/>
      <c r="AJ8558" s="21" t="s">
        <v>51</v>
      </c>
      <c r="AK8558" s="21" t="s">
        <v>95</v>
      </c>
      <c r="AL8558" s="21" t="s">
        <v>5176</v>
      </c>
      <c r="AM8558" s="21" t="s">
        <v>5177</v>
      </c>
      <c r="AN8558" s="21">
        <v>-122.430156066667</v>
      </c>
      <c r="AO8558" s="21">
        <v>37.800655016666703</v>
      </c>
      <c r="AP8558" s="21" t="s">
        <v>951</v>
      </c>
    </row>
    <row r="8559" spans="1:42">
      <c r="A8559" s="20">
        <v>43852</v>
      </c>
      <c r="B8559" s="21">
        <v>3</v>
      </c>
      <c r="C8559" s="21">
        <v>210</v>
      </c>
      <c r="D8559" s="21">
        <v>14638</v>
      </c>
      <c r="E8559" s="21"/>
      <c r="F8559" s="21" t="s">
        <v>38</v>
      </c>
      <c r="G8559" s="21">
        <v>2</v>
      </c>
      <c r="H8559" s="21">
        <v>23</v>
      </c>
      <c r="I8559" s="23" t="s">
        <v>4696</v>
      </c>
      <c r="J8559" s="21"/>
      <c r="K8559" s="21" t="s">
        <v>210</v>
      </c>
      <c r="L8559" s="21"/>
      <c r="M8559" s="21"/>
      <c r="N8559" s="21" t="s">
        <v>44</v>
      </c>
      <c r="O8559" s="21">
        <v>151</v>
      </c>
      <c r="P8559" s="21"/>
      <c r="Q8559" s="21">
        <f t="shared" si="173"/>
        <v>2</v>
      </c>
      <c r="R8559" s="21">
        <v>1</v>
      </c>
      <c r="S8559" s="21">
        <v>0</v>
      </c>
      <c r="T8559" s="21">
        <v>0</v>
      </c>
      <c r="U8559" s="21">
        <v>0</v>
      </c>
      <c r="V8559" s="21">
        <v>1</v>
      </c>
      <c r="W8559" s="21">
        <v>1</v>
      </c>
      <c r="X8559" s="21">
        <v>0</v>
      </c>
      <c r="Y8559" s="21">
        <v>0</v>
      </c>
      <c r="Z8559" s="21">
        <v>0</v>
      </c>
      <c r="AA8559" s="21">
        <v>0</v>
      </c>
      <c r="AB8559" s="21">
        <v>0</v>
      </c>
      <c r="AC8559" s="21">
        <v>0</v>
      </c>
      <c r="AD8559" s="21">
        <v>0</v>
      </c>
      <c r="AE8559" s="21">
        <v>0</v>
      </c>
      <c r="AF8559" s="21">
        <v>0</v>
      </c>
      <c r="AG8559" s="21">
        <v>0</v>
      </c>
      <c r="AH8559" s="21">
        <f t="shared" si="174"/>
        <v>160</v>
      </c>
      <c r="AI8559" s="21"/>
      <c r="AJ8559" s="21" t="s">
        <v>51</v>
      </c>
      <c r="AK8559" s="21" t="s">
        <v>95</v>
      </c>
      <c r="AL8559" s="21" t="s">
        <v>5178</v>
      </c>
      <c r="AM8559" s="21" t="s">
        <v>5179</v>
      </c>
      <c r="AN8559" s="21">
        <v>-122.43047344999999</v>
      </c>
      <c r="AO8559" s="21">
        <v>37.800604583333303</v>
      </c>
      <c r="AP8559" s="21" t="s">
        <v>951</v>
      </c>
    </row>
    <row r="8560" spans="1:42">
      <c r="A8560" s="20">
        <v>43852</v>
      </c>
      <c r="B8560" s="21">
        <v>3</v>
      </c>
      <c r="C8560" s="21">
        <v>210</v>
      </c>
      <c r="D8560" s="21">
        <v>14638</v>
      </c>
      <c r="E8560" s="21"/>
      <c r="F8560" s="21" t="s">
        <v>38</v>
      </c>
      <c r="G8560" s="21">
        <v>2</v>
      </c>
      <c r="H8560" s="21">
        <v>24</v>
      </c>
      <c r="I8560" s="23" t="s">
        <v>3736</v>
      </c>
      <c r="J8560" s="21"/>
      <c r="K8560" s="21" t="s">
        <v>1489</v>
      </c>
      <c r="L8560" s="21"/>
      <c r="M8560" s="21"/>
      <c r="N8560" s="21" t="s">
        <v>44</v>
      </c>
      <c r="O8560" s="21">
        <v>80</v>
      </c>
      <c r="P8560" s="21"/>
      <c r="Q8560" s="21">
        <f t="shared" si="173"/>
        <v>2</v>
      </c>
      <c r="R8560" s="21">
        <v>1</v>
      </c>
      <c r="S8560" s="21">
        <v>0</v>
      </c>
      <c r="T8560" s="21">
        <v>0</v>
      </c>
      <c r="U8560" s="21">
        <v>1</v>
      </c>
      <c r="V8560" s="21">
        <v>1</v>
      </c>
      <c r="W8560" s="21">
        <v>0</v>
      </c>
      <c r="X8560" s="21">
        <v>0</v>
      </c>
      <c r="Y8560" s="21">
        <v>0</v>
      </c>
      <c r="Z8560" s="21">
        <v>0</v>
      </c>
      <c r="AA8560" s="21">
        <v>0</v>
      </c>
      <c r="AB8560" s="21">
        <v>0</v>
      </c>
      <c r="AC8560" s="21">
        <v>0</v>
      </c>
      <c r="AD8560" s="21">
        <v>0</v>
      </c>
      <c r="AE8560" s="21">
        <v>0</v>
      </c>
      <c r="AF8560" s="21">
        <v>0</v>
      </c>
      <c r="AG8560" s="21">
        <v>0</v>
      </c>
      <c r="AH8560" s="21">
        <f t="shared" si="174"/>
        <v>96</v>
      </c>
      <c r="AI8560" s="21"/>
      <c r="AJ8560" s="21" t="s">
        <v>51</v>
      </c>
      <c r="AK8560" s="21" t="s">
        <v>52</v>
      </c>
      <c r="AL8560" s="21" t="s">
        <v>5180</v>
      </c>
      <c r="AM8560" s="21" t="s">
        <v>5181</v>
      </c>
      <c r="AN8560" s="21">
        <v>-122.431785483333</v>
      </c>
      <c r="AO8560" s="21">
        <v>37.800553999999998</v>
      </c>
      <c r="AP8560" s="21" t="s">
        <v>951</v>
      </c>
    </row>
    <row r="8561" spans="1:42">
      <c r="A8561" s="20">
        <v>43852</v>
      </c>
      <c r="B8561" s="21">
        <v>3</v>
      </c>
      <c r="C8561" s="21">
        <v>210</v>
      </c>
      <c r="D8561" s="21">
        <v>14638</v>
      </c>
      <c r="E8561" s="21"/>
      <c r="F8561" s="21" t="s">
        <v>38</v>
      </c>
      <c r="G8561" s="21">
        <v>2</v>
      </c>
      <c r="H8561" s="21">
        <v>25</v>
      </c>
      <c r="I8561" s="23" t="s">
        <v>5182</v>
      </c>
      <c r="J8561" s="21"/>
      <c r="K8561" s="21" t="s">
        <v>210</v>
      </c>
      <c r="L8561" s="21"/>
      <c r="M8561" s="21"/>
      <c r="N8561" s="21" t="s">
        <v>44</v>
      </c>
      <c r="O8561" s="21">
        <v>46</v>
      </c>
      <c r="P8561" s="21"/>
      <c r="Q8561" s="21">
        <f t="shared" si="173"/>
        <v>2</v>
      </c>
      <c r="R8561" s="21">
        <v>1</v>
      </c>
      <c r="S8561" s="21">
        <v>0</v>
      </c>
      <c r="T8561" s="21">
        <v>0</v>
      </c>
      <c r="U8561" s="21">
        <v>2</v>
      </c>
      <c r="V8561" s="21">
        <v>0</v>
      </c>
      <c r="W8561" s="21">
        <v>0</v>
      </c>
      <c r="X8561" s="21">
        <v>0</v>
      </c>
      <c r="Y8561" s="21">
        <v>0</v>
      </c>
      <c r="Z8561" s="21">
        <v>0</v>
      </c>
      <c r="AA8561" s="21">
        <v>0</v>
      </c>
      <c r="AB8561" s="21">
        <v>0</v>
      </c>
      <c r="AC8561" s="21">
        <v>0</v>
      </c>
      <c r="AD8561" s="21">
        <v>0</v>
      </c>
      <c r="AE8561" s="21">
        <v>0</v>
      </c>
      <c r="AF8561" s="21">
        <v>0</v>
      </c>
      <c r="AG8561" s="21">
        <v>0</v>
      </c>
      <c r="AH8561" s="21">
        <f t="shared" si="174"/>
        <v>64</v>
      </c>
      <c r="AI8561" s="21"/>
      <c r="AJ8561" s="21" t="s">
        <v>51</v>
      </c>
      <c r="AK8561" s="21" t="s">
        <v>52</v>
      </c>
      <c r="AL8561" s="21"/>
      <c r="AM8561" s="21" t="s">
        <v>5183</v>
      </c>
      <c r="AN8561" s="21">
        <v>-122.43391876666701</v>
      </c>
      <c r="AO8561" s="21">
        <v>37.800166949999998</v>
      </c>
      <c r="AP8561" s="21" t="s">
        <v>951</v>
      </c>
    </row>
    <row r="8562" spans="1:42">
      <c r="A8562" s="20">
        <v>43852</v>
      </c>
      <c r="B8562" s="21">
        <v>3</v>
      </c>
      <c r="C8562" s="21">
        <v>210</v>
      </c>
      <c r="D8562" s="21">
        <v>14638</v>
      </c>
      <c r="E8562" s="21"/>
      <c r="F8562" s="21" t="s">
        <v>38</v>
      </c>
      <c r="G8562" s="21">
        <v>2</v>
      </c>
      <c r="H8562" s="21">
        <v>26</v>
      </c>
      <c r="I8562" s="23">
        <v>2000</v>
      </c>
      <c r="J8562" s="21"/>
      <c r="K8562" s="21" t="s">
        <v>210</v>
      </c>
      <c r="L8562" s="21" t="s">
        <v>114</v>
      </c>
      <c r="M8562" s="21"/>
      <c r="N8562" s="21" t="s">
        <v>40</v>
      </c>
      <c r="O8562" s="21">
        <v>53</v>
      </c>
      <c r="P8562" s="21"/>
      <c r="Q8562" s="21">
        <f t="shared" si="173"/>
        <v>3</v>
      </c>
      <c r="R8562" s="21">
        <v>1</v>
      </c>
      <c r="S8562" s="21">
        <v>0</v>
      </c>
      <c r="T8562" s="21">
        <v>0</v>
      </c>
      <c r="U8562" s="21">
        <v>3</v>
      </c>
      <c r="V8562" s="21">
        <v>0</v>
      </c>
      <c r="W8562" s="21">
        <v>0</v>
      </c>
      <c r="X8562" s="21">
        <v>0</v>
      </c>
      <c r="Y8562" s="21">
        <v>0</v>
      </c>
      <c r="Z8562" s="21">
        <v>0</v>
      </c>
      <c r="AA8562" s="21">
        <v>0</v>
      </c>
      <c r="AB8562" s="21">
        <v>0</v>
      </c>
      <c r="AC8562" s="21">
        <v>0</v>
      </c>
      <c r="AD8562" s="21">
        <v>0</v>
      </c>
      <c r="AE8562" s="21">
        <v>0</v>
      </c>
      <c r="AF8562" s="21">
        <v>0</v>
      </c>
      <c r="AG8562" s="21">
        <v>0</v>
      </c>
      <c r="AH8562" s="21">
        <f t="shared" si="174"/>
        <v>96</v>
      </c>
      <c r="AI8562" s="21"/>
      <c r="AJ8562" s="21" t="s">
        <v>51</v>
      </c>
      <c r="AK8562" s="21" t="s">
        <v>52</v>
      </c>
      <c r="AL8562" s="21"/>
      <c r="AM8562" s="21" t="s">
        <v>5184</v>
      </c>
      <c r="AN8562" s="21">
        <v>-122.43493595</v>
      </c>
      <c r="AO8562" s="21">
        <v>37.800071666666703</v>
      </c>
      <c r="AP8562" s="21" t="s">
        <v>951</v>
      </c>
    </row>
    <row r="8563" spans="1:42">
      <c r="A8563" s="20">
        <v>43852</v>
      </c>
      <c r="B8563" s="21">
        <v>3</v>
      </c>
      <c r="C8563" s="21">
        <v>210</v>
      </c>
      <c r="D8563" s="21">
        <v>14638</v>
      </c>
      <c r="E8563" s="21"/>
      <c r="F8563" s="21" t="s">
        <v>38</v>
      </c>
      <c r="G8563" s="21">
        <v>2</v>
      </c>
      <c r="H8563" s="21">
        <v>27</v>
      </c>
      <c r="I8563" s="23">
        <v>2000</v>
      </c>
      <c r="J8563" s="21"/>
      <c r="K8563" s="21" t="s">
        <v>210</v>
      </c>
      <c r="L8563" s="21" t="s">
        <v>114</v>
      </c>
      <c r="M8563" s="21"/>
      <c r="N8563" s="21" t="s">
        <v>40</v>
      </c>
      <c r="O8563" s="21">
        <v>53</v>
      </c>
      <c r="P8563" s="21"/>
      <c r="Q8563" s="21">
        <f t="shared" si="173"/>
        <v>2</v>
      </c>
      <c r="R8563" s="21">
        <v>1</v>
      </c>
      <c r="S8563" s="21">
        <v>0</v>
      </c>
      <c r="T8563" s="21">
        <v>0</v>
      </c>
      <c r="U8563" s="21">
        <v>0</v>
      </c>
      <c r="V8563" s="21">
        <v>1</v>
      </c>
      <c r="W8563" s="21">
        <v>1</v>
      </c>
      <c r="X8563" s="21">
        <v>0</v>
      </c>
      <c r="Y8563" s="21">
        <v>0</v>
      </c>
      <c r="Z8563" s="21">
        <v>0</v>
      </c>
      <c r="AA8563" s="21">
        <v>0</v>
      </c>
      <c r="AB8563" s="21">
        <v>0</v>
      </c>
      <c r="AC8563" s="21">
        <v>0</v>
      </c>
      <c r="AD8563" s="21">
        <v>0</v>
      </c>
      <c r="AE8563" s="21">
        <v>0</v>
      </c>
      <c r="AF8563" s="21">
        <v>0</v>
      </c>
      <c r="AG8563" s="21">
        <v>0</v>
      </c>
      <c r="AH8563" s="21">
        <f t="shared" si="174"/>
        <v>160</v>
      </c>
      <c r="AI8563" s="21"/>
      <c r="AJ8563" s="21" t="s">
        <v>51</v>
      </c>
      <c r="AK8563" s="21" t="s">
        <v>95</v>
      </c>
      <c r="AL8563" s="21" t="s">
        <v>5185</v>
      </c>
      <c r="AM8563" s="21" t="s">
        <v>5186</v>
      </c>
      <c r="AN8563" s="21">
        <v>-122.435122283333</v>
      </c>
      <c r="AO8563" s="21">
        <v>37.800041233333303</v>
      </c>
      <c r="AP8563" s="21" t="s">
        <v>951</v>
      </c>
    </row>
    <row r="8564" spans="1:42">
      <c r="A8564" s="20">
        <v>43852</v>
      </c>
      <c r="B8564" s="21">
        <v>3</v>
      </c>
      <c r="C8564" s="21">
        <v>210</v>
      </c>
      <c r="D8564" s="21">
        <v>14638</v>
      </c>
      <c r="E8564" s="21"/>
      <c r="F8564" s="21" t="s">
        <v>38</v>
      </c>
      <c r="G8564" s="21">
        <v>2</v>
      </c>
      <c r="H8564" s="21">
        <v>28</v>
      </c>
      <c r="I8564" s="23" t="s">
        <v>5187</v>
      </c>
      <c r="J8564" s="21"/>
      <c r="K8564" s="21" t="s">
        <v>324</v>
      </c>
      <c r="L8564" s="21"/>
      <c r="M8564" s="21"/>
      <c r="N8564" s="21" t="s">
        <v>44</v>
      </c>
      <c r="O8564" s="21">
        <v>100</v>
      </c>
      <c r="P8564" s="21"/>
      <c r="Q8564" s="21">
        <f t="shared" si="173"/>
        <v>2</v>
      </c>
      <c r="R8564" s="21">
        <v>1</v>
      </c>
      <c r="S8564" s="21">
        <v>0</v>
      </c>
      <c r="T8564" s="21">
        <v>0</v>
      </c>
      <c r="U8564" s="21">
        <v>1</v>
      </c>
      <c r="V8564" s="21">
        <v>0</v>
      </c>
      <c r="W8564" s="21">
        <v>1</v>
      </c>
      <c r="X8564" s="21">
        <v>0</v>
      </c>
      <c r="Y8564" s="21">
        <v>0</v>
      </c>
      <c r="Z8564" s="21">
        <v>0</v>
      </c>
      <c r="AA8564" s="21">
        <v>0</v>
      </c>
      <c r="AB8564" s="21">
        <v>0</v>
      </c>
      <c r="AC8564" s="21">
        <v>0</v>
      </c>
      <c r="AD8564" s="21">
        <v>0</v>
      </c>
      <c r="AE8564" s="21">
        <v>0</v>
      </c>
      <c r="AF8564" s="21">
        <v>0</v>
      </c>
      <c r="AG8564" s="21">
        <v>0</v>
      </c>
      <c r="AH8564" s="21">
        <f t="shared" si="174"/>
        <v>128</v>
      </c>
      <c r="AI8564" s="21"/>
      <c r="AJ8564" s="21" t="s">
        <v>51</v>
      </c>
      <c r="AK8564" s="21" t="s">
        <v>95</v>
      </c>
      <c r="AL8564" s="21" t="s">
        <v>5188</v>
      </c>
      <c r="AM8564" s="21" t="s">
        <v>5189</v>
      </c>
      <c r="AN8564" s="21">
        <v>-122.434963066667</v>
      </c>
      <c r="AO8564" s="21">
        <v>37.800992266666597</v>
      </c>
      <c r="AP8564" s="21" t="s">
        <v>951</v>
      </c>
    </row>
    <row r="8565" spans="1:42">
      <c r="A8565" s="20">
        <v>43852</v>
      </c>
      <c r="B8565" s="21">
        <v>3</v>
      </c>
      <c r="C8565" s="21">
        <v>210</v>
      </c>
      <c r="D8565" s="21">
        <v>14638</v>
      </c>
      <c r="E8565" s="21"/>
      <c r="F8565" s="21" t="s">
        <v>38</v>
      </c>
      <c r="G8565" s="21">
        <v>2</v>
      </c>
      <c r="H8565" s="21">
        <v>29</v>
      </c>
      <c r="I8565" s="23" t="s">
        <v>4789</v>
      </c>
      <c r="J8565" s="21"/>
      <c r="K8565" s="21" t="s">
        <v>324</v>
      </c>
      <c r="L8565" s="21"/>
      <c r="M8565" s="21"/>
      <c r="N8565" s="21" t="s">
        <v>44</v>
      </c>
      <c r="O8565" s="21">
        <v>74</v>
      </c>
      <c r="P8565" s="21"/>
      <c r="Q8565" s="21">
        <f t="shared" si="173"/>
        <v>1</v>
      </c>
      <c r="R8565" s="21">
        <v>1</v>
      </c>
      <c r="S8565" s="21">
        <v>0</v>
      </c>
      <c r="T8565" s="21">
        <v>0</v>
      </c>
      <c r="U8565" s="21">
        <v>0</v>
      </c>
      <c r="V8565" s="21">
        <v>0</v>
      </c>
      <c r="W8565" s="21">
        <v>1</v>
      </c>
      <c r="X8565" s="21">
        <v>0</v>
      </c>
      <c r="Y8565" s="21">
        <v>0</v>
      </c>
      <c r="Z8565" s="21">
        <v>0</v>
      </c>
      <c r="AA8565" s="21">
        <v>0</v>
      </c>
      <c r="AB8565" s="21">
        <v>0</v>
      </c>
      <c r="AC8565" s="21">
        <v>0</v>
      </c>
      <c r="AD8565" s="21">
        <v>0</v>
      </c>
      <c r="AE8565" s="21">
        <v>0</v>
      </c>
      <c r="AF8565" s="21">
        <v>0</v>
      </c>
      <c r="AG8565" s="21">
        <v>0</v>
      </c>
      <c r="AH8565" s="21">
        <f t="shared" si="174"/>
        <v>96</v>
      </c>
      <c r="AI8565" s="21"/>
      <c r="AJ8565" s="21" t="s">
        <v>51</v>
      </c>
      <c r="AK8565" s="21" t="s">
        <v>95</v>
      </c>
      <c r="AL8565" s="21" t="s">
        <v>5190</v>
      </c>
      <c r="AM8565" s="21" t="s">
        <v>5191</v>
      </c>
      <c r="AN8565" s="21">
        <v>-122.434964216667</v>
      </c>
      <c r="AO8565" s="21">
        <v>37.800976616666702</v>
      </c>
      <c r="AP8565" s="21" t="s">
        <v>951</v>
      </c>
    </row>
    <row r="8566" spans="1:42">
      <c r="A8566" s="20">
        <v>43852</v>
      </c>
      <c r="B8566" s="21">
        <v>3</v>
      </c>
      <c r="C8566" s="21">
        <v>210</v>
      </c>
      <c r="D8566" s="21">
        <v>14638</v>
      </c>
      <c r="E8566" s="21"/>
      <c r="F8566" s="21" t="s">
        <v>38</v>
      </c>
      <c r="G8566" s="21">
        <v>2</v>
      </c>
      <c r="H8566" s="21">
        <v>30</v>
      </c>
      <c r="I8566" s="23" t="s">
        <v>5192</v>
      </c>
      <c r="J8566" s="21"/>
      <c r="K8566" s="21" t="s">
        <v>599</v>
      </c>
      <c r="L8566" s="21"/>
      <c r="M8566" s="21"/>
      <c r="N8566" s="21" t="s">
        <v>44</v>
      </c>
      <c r="O8566" s="21">
        <v>82</v>
      </c>
      <c r="P8566" s="21"/>
      <c r="Q8566" s="21">
        <f t="shared" si="173"/>
        <v>1</v>
      </c>
      <c r="R8566" s="21">
        <v>1</v>
      </c>
      <c r="S8566" s="21">
        <v>0</v>
      </c>
      <c r="T8566" s="21">
        <v>0</v>
      </c>
      <c r="U8566" s="21">
        <v>0</v>
      </c>
      <c r="V8566" s="21">
        <v>1</v>
      </c>
      <c r="W8566" s="21">
        <v>0</v>
      </c>
      <c r="X8566" s="21">
        <v>0</v>
      </c>
      <c r="Y8566" s="21">
        <v>0</v>
      </c>
      <c r="Z8566" s="21">
        <v>0</v>
      </c>
      <c r="AA8566" s="21">
        <v>0</v>
      </c>
      <c r="AB8566" s="21">
        <v>0</v>
      </c>
      <c r="AC8566" s="21">
        <v>0</v>
      </c>
      <c r="AD8566" s="21">
        <v>0</v>
      </c>
      <c r="AE8566" s="21">
        <v>0</v>
      </c>
      <c r="AF8566" s="21">
        <v>0</v>
      </c>
      <c r="AG8566" s="21">
        <v>0</v>
      </c>
      <c r="AH8566" s="21">
        <f t="shared" si="174"/>
        <v>64</v>
      </c>
      <c r="AI8566" s="21"/>
      <c r="AJ8566" s="21" t="s">
        <v>51</v>
      </c>
      <c r="AK8566" s="21" t="s">
        <v>95</v>
      </c>
      <c r="AL8566" s="21" t="s">
        <v>5193</v>
      </c>
      <c r="AM8566" s="21" t="s">
        <v>5194</v>
      </c>
      <c r="AN8566" s="21">
        <v>-122.434942716667</v>
      </c>
      <c r="AO8566" s="21">
        <v>37.801000366666699</v>
      </c>
      <c r="AP8566" s="21" t="s">
        <v>951</v>
      </c>
    </row>
    <row r="8567" spans="1:42">
      <c r="A8567" s="20">
        <v>43852</v>
      </c>
      <c r="B8567" s="21">
        <v>3</v>
      </c>
      <c r="C8567" s="21">
        <v>210</v>
      </c>
      <c r="D8567" s="21">
        <v>14638</v>
      </c>
      <c r="E8567" s="21"/>
      <c r="F8567" s="21" t="s">
        <v>38</v>
      </c>
      <c r="G8567" s="21">
        <v>2</v>
      </c>
      <c r="H8567" s="21">
        <v>31</v>
      </c>
      <c r="I8567" s="23" t="s">
        <v>5195</v>
      </c>
      <c r="J8567" s="21"/>
      <c r="K8567" s="21" t="s">
        <v>210</v>
      </c>
      <c r="L8567" s="21"/>
      <c r="M8567" s="21"/>
      <c r="N8567" s="21" t="s">
        <v>44</v>
      </c>
      <c r="O8567" s="21">
        <v>59</v>
      </c>
      <c r="P8567" s="21"/>
      <c r="Q8567" s="21">
        <f t="shared" si="173"/>
        <v>2</v>
      </c>
      <c r="R8567" s="21">
        <v>1</v>
      </c>
      <c r="S8567" s="21">
        <v>0</v>
      </c>
      <c r="T8567" s="21">
        <v>0</v>
      </c>
      <c r="U8567" s="21">
        <v>0</v>
      </c>
      <c r="V8567" s="21">
        <v>0</v>
      </c>
      <c r="W8567" s="21">
        <v>2</v>
      </c>
      <c r="X8567" s="21">
        <v>0</v>
      </c>
      <c r="Y8567" s="21">
        <v>0</v>
      </c>
      <c r="Z8567" s="21">
        <v>0</v>
      </c>
      <c r="AA8567" s="21">
        <v>0</v>
      </c>
      <c r="AB8567" s="21">
        <v>0</v>
      </c>
      <c r="AC8567" s="21">
        <v>0</v>
      </c>
      <c r="AD8567" s="21">
        <v>0</v>
      </c>
      <c r="AE8567" s="21">
        <v>0</v>
      </c>
      <c r="AF8567" s="21">
        <v>0</v>
      </c>
      <c r="AG8567" s="21">
        <v>0</v>
      </c>
      <c r="AH8567" s="21">
        <f t="shared" si="174"/>
        <v>192</v>
      </c>
      <c r="AI8567" s="21"/>
      <c r="AJ8567" s="21" t="s">
        <v>51</v>
      </c>
      <c r="AK8567" s="21" t="s">
        <v>95</v>
      </c>
      <c r="AL8567" s="21" t="s">
        <v>5196</v>
      </c>
      <c r="AM8567" s="21" t="s">
        <v>5197</v>
      </c>
      <c r="AN8567" s="21">
        <v>-122.433495816667</v>
      </c>
      <c r="AO8567" s="21">
        <v>37.800750733333302</v>
      </c>
      <c r="AP8567" s="21" t="s">
        <v>951</v>
      </c>
    </row>
    <row r="8568" spans="1:42">
      <c r="A8568" s="20">
        <v>43852</v>
      </c>
      <c r="B8568" s="21">
        <v>3</v>
      </c>
      <c r="C8568" s="21">
        <v>210</v>
      </c>
      <c r="D8568" s="21">
        <v>14638</v>
      </c>
      <c r="E8568" s="21"/>
      <c r="F8568" s="21" t="s">
        <v>38</v>
      </c>
      <c r="G8568" s="21">
        <v>2</v>
      </c>
      <c r="H8568" s="21">
        <v>32</v>
      </c>
      <c r="I8568" s="23" t="s">
        <v>5198</v>
      </c>
      <c r="J8568" s="21"/>
      <c r="K8568" s="21" t="s">
        <v>210</v>
      </c>
      <c r="L8568" s="21"/>
      <c r="M8568" s="21"/>
      <c r="N8568" s="21"/>
      <c r="O8568" s="21">
        <v>70</v>
      </c>
      <c r="P8568" s="21"/>
      <c r="Q8568" s="21">
        <f t="shared" si="173"/>
        <v>4</v>
      </c>
      <c r="R8568" s="21">
        <v>1</v>
      </c>
      <c r="S8568" s="21">
        <v>0</v>
      </c>
      <c r="T8568" s="21">
        <v>0</v>
      </c>
      <c r="U8568" s="21">
        <v>2</v>
      </c>
      <c r="V8568" s="21">
        <v>2</v>
      </c>
      <c r="W8568" s="21">
        <v>0</v>
      </c>
      <c r="X8568" s="21">
        <v>0</v>
      </c>
      <c r="Y8568" s="21">
        <v>0</v>
      </c>
      <c r="Z8568" s="21">
        <v>0</v>
      </c>
      <c r="AA8568" s="21">
        <v>0</v>
      </c>
      <c r="AB8568" s="21">
        <v>0</v>
      </c>
      <c r="AC8568" s="21">
        <v>0</v>
      </c>
      <c r="AD8568" s="21">
        <v>0</v>
      </c>
      <c r="AE8568" s="21">
        <v>0</v>
      </c>
      <c r="AF8568" s="21">
        <v>0</v>
      </c>
      <c r="AG8568" s="21">
        <v>0</v>
      </c>
      <c r="AH8568" s="21">
        <f t="shared" si="174"/>
        <v>192</v>
      </c>
      <c r="AI8568" s="21"/>
      <c r="AJ8568" s="21" t="s">
        <v>51</v>
      </c>
      <c r="AK8568" s="21" t="s">
        <v>95</v>
      </c>
      <c r="AL8568" s="21"/>
      <c r="AM8568" s="21" t="s">
        <v>5199</v>
      </c>
      <c r="AN8568" s="21">
        <v>-122.4330281</v>
      </c>
      <c r="AO8568" s="21">
        <v>37.800813216666597</v>
      </c>
      <c r="AP8568" s="21" t="s">
        <v>951</v>
      </c>
    </row>
    <row r="8569" spans="1:42">
      <c r="A8569" s="20">
        <v>43852</v>
      </c>
      <c r="B8569" s="21">
        <v>3</v>
      </c>
      <c r="C8569" s="21">
        <v>210</v>
      </c>
      <c r="D8569" s="21">
        <v>14638</v>
      </c>
      <c r="E8569" s="21"/>
      <c r="F8569" s="21" t="s">
        <v>38</v>
      </c>
      <c r="G8569" s="21">
        <v>2</v>
      </c>
      <c r="H8569" s="21">
        <v>33</v>
      </c>
      <c r="I8569" s="23" t="s">
        <v>5200</v>
      </c>
      <c r="J8569" s="21"/>
      <c r="K8569" s="21" t="s">
        <v>324</v>
      </c>
      <c r="L8569" s="21"/>
      <c r="M8569" s="21"/>
      <c r="N8569" s="21" t="s">
        <v>44</v>
      </c>
      <c r="O8569" s="21">
        <v>77</v>
      </c>
      <c r="P8569" s="21"/>
      <c r="Q8569" s="21">
        <f t="shared" si="173"/>
        <v>1</v>
      </c>
      <c r="R8569" s="21">
        <v>1</v>
      </c>
      <c r="S8569" s="21">
        <v>0</v>
      </c>
      <c r="T8569" s="21">
        <v>0</v>
      </c>
      <c r="U8569" s="21">
        <v>0</v>
      </c>
      <c r="V8569" s="21">
        <v>0</v>
      </c>
      <c r="W8569" s="21">
        <v>1</v>
      </c>
      <c r="X8569" s="21">
        <v>0</v>
      </c>
      <c r="Y8569" s="21">
        <v>0</v>
      </c>
      <c r="Z8569" s="21">
        <v>0</v>
      </c>
      <c r="AA8569" s="21">
        <v>0</v>
      </c>
      <c r="AB8569" s="21">
        <v>0</v>
      </c>
      <c r="AC8569" s="21">
        <v>0</v>
      </c>
      <c r="AD8569" s="21">
        <v>0</v>
      </c>
      <c r="AE8569" s="21">
        <v>0</v>
      </c>
      <c r="AF8569" s="21">
        <v>0</v>
      </c>
      <c r="AG8569" s="21">
        <v>0</v>
      </c>
      <c r="AH8569" s="21">
        <f t="shared" si="174"/>
        <v>96</v>
      </c>
      <c r="AI8569" s="21"/>
      <c r="AJ8569" s="21" t="s">
        <v>51</v>
      </c>
      <c r="AK8569" s="21" t="s">
        <v>95</v>
      </c>
      <c r="AL8569" s="21" t="s">
        <v>5201</v>
      </c>
      <c r="AM8569" s="21" t="s">
        <v>5202</v>
      </c>
      <c r="AN8569" s="21">
        <v>-122.43294595</v>
      </c>
      <c r="AO8569" s="21">
        <v>37.801202750000002</v>
      </c>
      <c r="AP8569" s="21" t="s">
        <v>951</v>
      </c>
    </row>
    <row r="8570" spans="1:42">
      <c r="A8570" s="20">
        <v>43852</v>
      </c>
      <c r="B8570" s="21">
        <v>3</v>
      </c>
      <c r="C8570" s="21">
        <v>210</v>
      </c>
      <c r="D8570" s="21">
        <v>14638</v>
      </c>
      <c r="E8570" s="21"/>
      <c r="F8570" s="21" t="s">
        <v>38</v>
      </c>
      <c r="G8570" s="21">
        <v>2</v>
      </c>
      <c r="H8570" s="21">
        <v>34</v>
      </c>
      <c r="I8570" s="23" t="s">
        <v>5203</v>
      </c>
      <c r="J8570" s="21"/>
      <c r="K8570" s="21" t="s">
        <v>324</v>
      </c>
      <c r="L8570" s="21"/>
      <c r="M8570" s="21"/>
      <c r="N8570" s="21" t="s">
        <v>44</v>
      </c>
      <c r="O8570" s="21">
        <v>192</v>
      </c>
      <c r="P8570" s="21"/>
      <c r="Q8570" s="21">
        <f t="shared" si="173"/>
        <v>5</v>
      </c>
      <c r="R8570" s="21">
        <v>1</v>
      </c>
      <c r="S8570" s="21">
        <v>0</v>
      </c>
      <c r="T8570" s="21">
        <v>0</v>
      </c>
      <c r="U8570" s="21">
        <v>0</v>
      </c>
      <c r="V8570" s="21">
        <v>3</v>
      </c>
      <c r="W8570" s="21">
        <v>2</v>
      </c>
      <c r="X8570" s="21">
        <v>0</v>
      </c>
      <c r="Y8570" s="21">
        <v>0</v>
      </c>
      <c r="Z8570" s="21">
        <v>0</v>
      </c>
      <c r="AA8570" s="21">
        <v>0</v>
      </c>
      <c r="AB8570" s="21">
        <v>0</v>
      </c>
      <c r="AC8570" s="21">
        <v>0</v>
      </c>
      <c r="AD8570" s="21">
        <v>0</v>
      </c>
      <c r="AE8570" s="21">
        <v>0</v>
      </c>
      <c r="AF8570" s="21">
        <v>0</v>
      </c>
      <c r="AG8570" s="21">
        <v>0</v>
      </c>
      <c r="AH8570" s="21">
        <f t="shared" si="174"/>
        <v>384</v>
      </c>
      <c r="AI8570" s="21"/>
      <c r="AJ8570" s="21" t="s">
        <v>51</v>
      </c>
      <c r="AK8570" s="21" t="s">
        <v>95</v>
      </c>
      <c r="AL8570" s="21"/>
      <c r="AM8570" s="21" t="s">
        <v>5204</v>
      </c>
      <c r="AN8570" s="21">
        <v>-122.435084733333</v>
      </c>
      <c r="AO8570" s="21">
        <v>37.801061383333298</v>
      </c>
      <c r="AP8570" s="21" t="s">
        <v>951</v>
      </c>
    </row>
    <row r="8571" spans="1:42">
      <c r="A8571" s="20">
        <v>43852</v>
      </c>
      <c r="B8571" s="21">
        <v>3</v>
      </c>
      <c r="C8571" s="21">
        <v>210</v>
      </c>
      <c r="D8571" s="21">
        <v>14638</v>
      </c>
      <c r="E8571" s="21"/>
      <c r="F8571" s="21" t="s">
        <v>38</v>
      </c>
      <c r="G8571" s="21">
        <v>2</v>
      </c>
      <c r="H8571" s="21">
        <v>35</v>
      </c>
      <c r="I8571" s="23" t="s">
        <v>5205</v>
      </c>
      <c r="J8571" s="21"/>
      <c r="K8571" s="21" t="s">
        <v>909</v>
      </c>
      <c r="L8571" s="21"/>
      <c r="M8571" s="21"/>
      <c r="N8571" s="21" t="s">
        <v>44</v>
      </c>
      <c r="O8571" s="21">
        <v>135</v>
      </c>
      <c r="P8571" s="21"/>
      <c r="Q8571" s="21">
        <f t="shared" si="173"/>
        <v>7</v>
      </c>
      <c r="R8571" s="21">
        <v>1</v>
      </c>
      <c r="S8571" s="21">
        <v>0</v>
      </c>
      <c r="T8571" s="21">
        <v>0</v>
      </c>
      <c r="U8571" s="21">
        <v>1</v>
      </c>
      <c r="V8571" s="21">
        <v>6</v>
      </c>
      <c r="W8571" s="21">
        <v>0</v>
      </c>
      <c r="X8571" s="21">
        <v>0</v>
      </c>
      <c r="Y8571" s="21">
        <v>0</v>
      </c>
      <c r="Z8571" s="21">
        <v>0</v>
      </c>
      <c r="AA8571" s="21">
        <v>0</v>
      </c>
      <c r="AB8571" s="21">
        <v>0</v>
      </c>
      <c r="AC8571" s="21">
        <v>0</v>
      </c>
      <c r="AD8571" s="21">
        <v>0</v>
      </c>
      <c r="AE8571" s="21">
        <v>0</v>
      </c>
      <c r="AF8571" s="21">
        <v>0</v>
      </c>
      <c r="AG8571" s="21">
        <v>0</v>
      </c>
      <c r="AH8571" s="21">
        <f t="shared" si="174"/>
        <v>416</v>
      </c>
      <c r="AI8571" s="21"/>
      <c r="AJ8571" s="21" t="s">
        <v>51</v>
      </c>
      <c r="AK8571" s="21" t="s">
        <v>95</v>
      </c>
      <c r="AL8571" s="21" t="s">
        <v>5206</v>
      </c>
      <c r="AM8571" s="21" t="s">
        <v>5207</v>
      </c>
      <c r="AN8571" s="21">
        <v>-122.4350929</v>
      </c>
      <c r="AO8571" s="21">
        <v>37.802245433333297</v>
      </c>
      <c r="AP8571" s="21" t="s">
        <v>951</v>
      </c>
    </row>
    <row r="8572" spans="1:42">
      <c r="A8572" s="20">
        <v>43852</v>
      </c>
      <c r="B8572" s="21">
        <v>3</v>
      </c>
      <c r="C8572" s="21">
        <v>210</v>
      </c>
      <c r="D8572" s="21">
        <v>14638</v>
      </c>
      <c r="E8572" s="21"/>
      <c r="F8572" s="21" t="s">
        <v>38</v>
      </c>
      <c r="G8572" s="21">
        <v>2</v>
      </c>
      <c r="H8572" s="21">
        <v>37</v>
      </c>
      <c r="I8572" s="23" t="s">
        <v>4681</v>
      </c>
      <c r="J8572" s="21"/>
      <c r="K8572" s="21" t="s">
        <v>5208</v>
      </c>
      <c r="L8572" s="21"/>
      <c r="M8572" s="21"/>
      <c r="N8572" s="21" t="s">
        <v>44</v>
      </c>
      <c r="O8572" s="21">
        <v>262</v>
      </c>
      <c r="P8572" s="21"/>
      <c r="Q8572" s="21">
        <f t="shared" si="173"/>
        <v>4</v>
      </c>
      <c r="R8572" s="21">
        <v>1</v>
      </c>
      <c r="S8572" s="21">
        <v>0</v>
      </c>
      <c r="T8572" s="21">
        <v>0</v>
      </c>
      <c r="U8572" s="21">
        <v>0</v>
      </c>
      <c r="V8572" s="21">
        <v>1</v>
      </c>
      <c r="W8572" s="21">
        <v>3</v>
      </c>
      <c r="X8572" s="21">
        <v>0</v>
      </c>
      <c r="Y8572" s="21">
        <v>0</v>
      </c>
      <c r="Z8572" s="21">
        <v>0</v>
      </c>
      <c r="AA8572" s="21">
        <v>0</v>
      </c>
      <c r="AB8572" s="21">
        <v>0</v>
      </c>
      <c r="AC8572" s="21">
        <v>0</v>
      </c>
      <c r="AD8572" s="21">
        <v>0</v>
      </c>
      <c r="AE8572" s="21">
        <v>0</v>
      </c>
      <c r="AF8572" s="21">
        <v>0</v>
      </c>
      <c r="AG8572" s="21">
        <v>0</v>
      </c>
      <c r="AH8572" s="21">
        <f t="shared" si="174"/>
        <v>352</v>
      </c>
      <c r="AI8572" s="21"/>
      <c r="AJ8572" s="21" t="s">
        <v>51</v>
      </c>
      <c r="AK8572" s="21" t="s">
        <v>95</v>
      </c>
      <c r="AL8572" s="21"/>
      <c r="AM8572" s="21" t="s">
        <v>5209</v>
      </c>
      <c r="AN8572" s="21">
        <v>-122.433562183333</v>
      </c>
      <c r="AO8572" s="21">
        <v>37.804336616666703</v>
      </c>
      <c r="AP8572" s="21" t="s">
        <v>951</v>
      </c>
    </row>
    <row r="8573" spans="1:42">
      <c r="A8573" s="20">
        <v>43852</v>
      </c>
      <c r="B8573" s="21">
        <v>3</v>
      </c>
      <c r="C8573" s="21">
        <v>210</v>
      </c>
      <c r="D8573" s="21">
        <v>14638</v>
      </c>
      <c r="E8573" s="21"/>
      <c r="F8573" s="21" t="s">
        <v>38</v>
      </c>
      <c r="G8573" s="21">
        <v>2</v>
      </c>
      <c r="H8573" s="21">
        <v>38</v>
      </c>
      <c r="I8573" s="23" t="s">
        <v>5210</v>
      </c>
      <c r="J8573" s="21"/>
      <c r="K8573" s="21" t="s">
        <v>5211</v>
      </c>
      <c r="L8573" s="21"/>
      <c r="M8573" s="21"/>
      <c r="N8573" s="21" t="s">
        <v>44</v>
      </c>
      <c r="O8573" s="21">
        <v>40</v>
      </c>
      <c r="P8573" s="21"/>
      <c r="Q8573" s="21">
        <f t="shared" si="173"/>
        <v>1</v>
      </c>
      <c r="R8573" s="21">
        <v>1</v>
      </c>
      <c r="S8573" s="21">
        <v>0</v>
      </c>
      <c r="T8573" s="21">
        <v>0</v>
      </c>
      <c r="U8573" s="21">
        <v>0</v>
      </c>
      <c r="V8573" s="21">
        <v>0</v>
      </c>
      <c r="W8573" s="21">
        <v>1</v>
      </c>
      <c r="X8573" s="21">
        <v>0</v>
      </c>
      <c r="Y8573" s="21">
        <v>0</v>
      </c>
      <c r="Z8573" s="21">
        <v>0</v>
      </c>
      <c r="AA8573" s="21">
        <v>0</v>
      </c>
      <c r="AB8573" s="21">
        <v>0</v>
      </c>
      <c r="AC8573" s="21">
        <v>0</v>
      </c>
      <c r="AD8573" s="21">
        <v>0</v>
      </c>
      <c r="AE8573" s="21">
        <v>0</v>
      </c>
      <c r="AF8573" s="21">
        <v>0</v>
      </c>
      <c r="AG8573" s="21">
        <v>0</v>
      </c>
      <c r="AH8573" s="21">
        <f t="shared" si="174"/>
        <v>96</v>
      </c>
      <c r="AI8573" s="21"/>
      <c r="AJ8573" s="21" t="s">
        <v>51</v>
      </c>
      <c r="AK8573" s="21" t="s">
        <v>95</v>
      </c>
      <c r="AL8573" s="21"/>
      <c r="AM8573" s="21" t="s">
        <v>5212</v>
      </c>
      <c r="AN8573" s="21">
        <v>-122.43352918333299</v>
      </c>
      <c r="AO8573" s="21">
        <v>37.804136733333301</v>
      </c>
      <c r="AP8573" s="21" t="s">
        <v>951</v>
      </c>
    </row>
    <row r="8574" spans="1:42">
      <c r="A8574" s="20">
        <v>43852</v>
      </c>
      <c r="B8574" s="21">
        <v>3</v>
      </c>
      <c r="C8574" s="21">
        <v>210</v>
      </c>
      <c r="D8574" s="21">
        <v>14638</v>
      </c>
      <c r="E8574" s="21"/>
      <c r="F8574" s="21" t="s">
        <v>38</v>
      </c>
      <c r="G8574" s="21">
        <v>2</v>
      </c>
      <c r="H8574" s="21">
        <v>39</v>
      </c>
      <c r="I8574" s="23" t="s">
        <v>5213</v>
      </c>
      <c r="J8574" s="21"/>
      <c r="K8574" s="21" t="s">
        <v>5214</v>
      </c>
      <c r="L8574" s="21"/>
      <c r="M8574" s="21"/>
      <c r="N8574" s="21" t="s">
        <v>44</v>
      </c>
      <c r="O8574" s="21">
        <v>66</v>
      </c>
      <c r="P8574" s="21"/>
      <c r="Q8574" s="21">
        <f t="shared" si="173"/>
        <v>2</v>
      </c>
      <c r="R8574" s="21">
        <v>1</v>
      </c>
      <c r="S8574" s="21">
        <v>0</v>
      </c>
      <c r="T8574" s="21">
        <v>0</v>
      </c>
      <c r="U8574" s="21">
        <v>0</v>
      </c>
      <c r="V8574" s="21">
        <v>0</v>
      </c>
      <c r="W8574" s="21">
        <v>2</v>
      </c>
      <c r="X8574" s="21">
        <v>0</v>
      </c>
      <c r="Y8574" s="21">
        <v>0</v>
      </c>
      <c r="Z8574" s="21">
        <v>0</v>
      </c>
      <c r="AA8574" s="21">
        <v>0</v>
      </c>
      <c r="AB8574" s="21">
        <v>0</v>
      </c>
      <c r="AC8574" s="21">
        <v>0</v>
      </c>
      <c r="AD8574" s="21">
        <v>0</v>
      </c>
      <c r="AE8574" s="21">
        <v>0</v>
      </c>
      <c r="AF8574" s="21">
        <v>0</v>
      </c>
      <c r="AG8574" s="21">
        <v>0</v>
      </c>
      <c r="AH8574" s="21">
        <f t="shared" si="174"/>
        <v>192</v>
      </c>
      <c r="AI8574" s="21"/>
      <c r="AJ8574" s="21" t="s">
        <v>51</v>
      </c>
      <c r="AK8574" s="21" t="s">
        <v>95</v>
      </c>
      <c r="AL8574" s="21"/>
      <c r="AM8574" s="21" t="s">
        <v>5215</v>
      </c>
      <c r="AN8574" s="21">
        <v>-122.433937438328</v>
      </c>
      <c r="AO8574" s="21">
        <v>37.803402142649297</v>
      </c>
      <c r="AP8574" s="21" t="s">
        <v>951</v>
      </c>
    </row>
    <row r="8575" spans="1:42">
      <c r="A8575" s="20">
        <v>43852</v>
      </c>
      <c r="B8575" s="21">
        <v>3</v>
      </c>
      <c r="C8575" s="21">
        <v>210</v>
      </c>
      <c r="D8575" s="21">
        <v>14638</v>
      </c>
      <c r="E8575" s="21"/>
      <c r="F8575" s="21" t="s">
        <v>38</v>
      </c>
      <c r="G8575" s="21">
        <v>2</v>
      </c>
      <c r="H8575" s="21">
        <v>40</v>
      </c>
      <c r="I8575" s="23" t="s">
        <v>4566</v>
      </c>
      <c r="J8575" s="21"/>
      <c r="K8575" s="21" t="s">
        <v>588</v>
      </c>
      <c r="L8575" s="21"/>
      <c r="M8575" s="21"/>
      <c r="N8575" s="21" t="s">
        <v>44</v>
      </c>
      <c r="O8575" s="21">
        <v>115</v>
      </c>
      <c r="P8575" s="21"/>
      <c r="Q8575" s="21">
        <f t="shared" si="173"/>
        <v>2</v>
      </c>
      <c r="R8575" s="21">
        <v>1</v>
      </c>
      <c r="S8575" s="21">
        <v>0</v>
      </c>
      <c r="T8575" s="21">
        <v>0</v>
      </c>
      <c r="U8575" s="21">
        <v>0</v>
      </c>
      <c r="V8575" s="21">
        <v>1</v>
      </c>
      <c r="W8575" s="21">
        <v>1</v>
      </c>
      <c r="X8575" s="21">
        <v>0</v>
      </c>
      <c r="Y8575" s="21">
        <v>0</v>
      </c>
      <c r="Z8575" s="21">
        <v>0</v>
      </c>
      <c r="AA8575" s="21">
        <v>0</v>
      </c>
      <c r="AB8575" s="21">
        <v>0</v>
      </c>
      <c r="AC8575" s="21">
        <v>0</v>
      </c>
      <c r="AD8575" s="21">
        <v>0</v>
      </c>
      <c r="AE8575" s="21">
        <v>0</v>
      </c>
      <c r="AF8575" s="21">
        <v>0</v>
      </c>
      <c r="AG8575" s="21">
        <v>0</v>
      </c>
      <c r="AH8575" s="21">
        <f t="shared" si="174"/>
        <v>160</v>
      </c>
      <c r="AI8575" s="21"/>
      <c r="AJ8575" s="21" t="s">
        <v>51</v>
      </c>
      <c r="AK8575" s="21" t="s">
        <v>95</v>
      </c>
      <c r="AL8575" s="21"/>
      <c r="AM8575" s="21" t="s">
        <v>5216</v>
      </c>
      <c r="AN8575" s="21">
        <v>-122.431921783333</v>
      </c>
      <c r="AO8575" s="21">
        <v>37.804064216666603</v>
      </c>
      <c r="AP8575" s="21" t="s">
        <v>951</v>
      </c>
    </row>
    <row r="8576" spans="1:42">
      <c r="A8576" s="20">
        <v>43852</v>
      </c>
      <c r="B8576" s="21">
        <v>3</v>
      </c>
      <c r="C8576" s="21">
        <v>210</v>
      </c>
      <c r="D8576" s="21">
        <v>14638</v>
      </c>
      <c r="E8576" s="21"/>
      <c r="F8576" s="21" t="s">
        <v>38</v>
      </c>
      <c r="G8576" s="21">
        <v>2</v>
      </c>
      <c r="H8576" s="21">
        <v>41</v>
      </c>
      <c r="I8576" s="23" t="s">
        <v>5217</v>
      </c>
      <c r="J8576" s="21"/>
      <c r="K8576" s="21" t="s">
        <v>588</v>
      </c>
      <c r="L8576" s="21"/>
      <c r="M8576" s="21"/>
      <c r="N8576" s="21" t="s">
        <v>44</v>
      </c>
      <c r="O8576" s="21">
        <v>193</v>
      </c>
      <c r="P8576" s="21"/>
      <c r="Q8576" s="21">
        <f t="shared" ref="Q8576:Q8639" si="175">SUM(S8576:AE8576)</f>
        <v>7</v>
      </c>
      <c r="R8576" s="21">
        <v>1</v>
      </c>
      <c r="S8576" s="21">
        <v>0</v>
      </c>
      <c r="T8576" s="21">
        <v>0</v>
      </c>
      <c r="U8576" s="21">
        <v>0</v>
      </c>
      <c r="V8576" s="21">
        <v>0</v>
      </c>
      <c r="W8576" s="21">
        <v>7</v>
      </c>
      <c r="X8576" s="21">
        <v>0</v>
      </c>
      <c r="Y8576" s="21">
        <v>0</v>
      </c>
      <c r="Z8576" s="21">
        <v>0</v>
      </c>
      <c r="AA8576" s="21">
        <v>0</v>
      </c>
      <c r="AB8576" s="21">
        <v>0</v>
      </c>
      <c r="AC8576" s="21">
        <v>0</v>
      </c>
      <c r="AD8576" s="21">
        <v>0</v>
      </c>
      <c r="AE8576" s="21">
        <v>0</v>
      </c>
      <c r="AF8576" s="21">
        <v>0</v>
      </c>
      <c r="AG8576" s="21">
        <v>0</v>
      </c>
      <c r="AH8576" s="21">
        <f t="shared" ref="AH8576:AH8639" si="176">(S8576*16)+(T8576*20)+(U8576*32)+(V8576*64)+(W8576*96)</f>
        <v>672</v>
      </c>
      <c r="AI8576" s="21"/>
      <c r="AJ8576" s="21" t="s">
        <v>51</v>
      </c>
      <c r="AK8576" s="21" t="s">
        <v>95</v>
      </c>
      <c r="AL8576" s="21" t="s">
        <v>5206</v>
      </c>
      <c r="AM8576" s="21" t="s">
        <v>5218</v>
      </c>
      <c r="AN8576" s="21">
        <v>-122.431279933333</v>
      </c>
      <c r="AO8576" s="21">
        <v>37.803307033333297</v>
      </c>
      <c r="AP8576" s="21" t="s">
        <v>951</v>
      </c>
    </row>
    <row r="8577" spans="1:42">
      <c r="A8577" s="20">
        <v>43852</v>
      </c>
      <c r="B8577" s="21">
        <v>3</v>
      </c>
      <c r="C8577" s="21">
        <v>210</v>
      </c>
      <c r="D8577" s="21">
        <v>14638</v>
      </c>
      <c r="E8577" s="21"/>
      <c r="F8577" s="21" t="s">
        <v>38</v>
      </c>
      <c r="G8577" s="21">
        <v>2</v>
      </c>
      <c r="H8577" s="21">
        <v>42</v>
      </c>
      <c r="I8577" s="23" t="s">
        <v>5219</v>
      </c>
      <c r="J8577" s="21"/>
      <c r="K8577" s="21" t="s">
        <v>638</v>
      </c>
      <c r="L8577" s="21"/>
      <c r="M8577" s="21"/>
      <c r="N8577" s="21" t="s">
        <v>44</v>
      </c>
      <c r="O8577" s="21">
        <v>61</v>
      </c>
      <c r="P8577" s="21"/>
      <c r="Q8577" s="21">
        <f t="shared" si="175"/>
        <v>2</v>
      </c>
      <c r="R8577" s="21">
        <v>1</v>
      </c>
      <c r="S8577" s="21">
        <v>0</v>
      </c>
      <c r="T8577" s="21">
        <v>0</v>
      </c>
      <c r="U8577" s="21">
        <v>1</v>
      </c>
      <c r="V8577" s="21">
        <v>0</v>
      </c>
      <c r="W8577" s="21">
        <v>1</v>
      </c>
      <c r="X8577" s="21">
        <v>0</v>
      </c>
      <c r="Y8577" s="21">
        <v>0</v>
      </c>
      <c r="Z8577" s="21">
        <v>0</v>
      </c>
      <c r="AA8577" s="21">
        <v>0</v>
      </c>
      <c r="AB8577" s="21">
        <v>0</v>
      </c>
      <c r="AC8577" s="21">
        <v>0</v>
      </c>
      <c r="AD8577" s="21">
        <v>0</v>
      </c>
      <c r="AE8577" s="21">
        <v>0</v>
      </c>
      <c r="AF8577" s="21">
        <v>0</v>
      </c>
      <c r="AG8577" s="21">
        <v>0</v>
      </c>
      <c r="AH8577" s="21">
        <f t="shared" si="176"/>
        <v>128</v>
      </c>
      <c r="AI8577" s="21"/>
      <c r="AJ8577" s="21" t="s">
        <v>51</v>
      </c>
      <c r="AK8577" s="21" t="s">
        <v>95</v>
      </c>
      <c r="AL8577" s="21" t="s">
        <v>5014</v>
      </c>
      <c r="AM8577" s="21" t="s">
        <v>5220</v>
      </c>
      <c r="AN8577" s="21">
        <v>-122.428313116667</v>
      </c>
      <c r="AO8577" s="21">
        <v>37.8032710833333</v>
      </c>
      <c r="AP8577" s="21" t="s">
        <v>951</v>
      </c>
    </row>
    <row r="8578" spans="1:42">
      <c r="A8578" s="20">
        <v>43852</v>
      </c>
      <c r="B8578" s="21">
        <v>3</v>
      </c>
      <c r="C8578" s="21">
        <v>210</v>
      </c>
      <c r="D8578" s="21">
        <v>14638</v>
      </c>
      <c r="E8578" s="21"/>
      <c r="F8578" s="21" t="s">
        <v>38</v>
      </c>
      <c r="G8578" s="21">
        <v>2</v>
      </c>
      <c r="H8578" s="21">
        <v>43</v>
      </c>
      <c r="I8578" s="23" t="s">
        <v>5221</v>
      </c>
      <c r="J8578" s="21"/>
      <c r="K8578" s="21" t="s">
        <v>638</v>
      </c>
      <c r="L8578" s="21"/>
      <c r="M8578" s="21"/>
      <c r="N8578" s="21" t="s">
        <v>44</v>
      </c>
      <c r="O8578" s="21">
        <v>129</v>
      </c>
      <c r="P8578" s="21"/>
      <c r="Q8578" s="21">
        <f t="shared" si="175"/>
        <v>3</v>
      </c>
      <c r="R8578" s="21">
        <v>1</v>
      </c>
      <c r="S8578" s="21">
        <v>0</v>
      </c>
      <c r="T8578" s="21">
        <v>0</v>
      </c>
      <c r="U8578" s="21">
        <v>1</v>
      </c>
      <c r="V8578" s="21">
        <v>1</v>
      </c>
      <c r="W8578" s="21">
        <v>1</v>
      </c>
      <c r="X8578" s="21">
        <v>0</v>
      </c>
      <c r="Y8578" s="21">
        <v>0</v>
      </c>
      <c r="Z8578" s="21">
        <v>0</v>
      </c>
      <c r="AA8578" s="21">
        <v>0</v>
      </c>
      <c r="AB8578" s="21">
        <v>0</v>
      </c>
      <c r="AC8578" s="21">
        <v>0</v>
      </c>
      <c r="AD8578" s="21">
        <v>0</v>
      </c>
      <c r="AE8578" s="21">
        <v>0</v>
      </c>
      <c r="AF8578" s="21">
        <v>0</v>
      </c>
      <c r="AG8578" s="21">
        <v>0</v>
      </c>
      <c r="AH8578" s="21">
        <f t="shared" si="176"/>
        <v>192</v>
      </c>
      <c r="AI8578" s="21"/>
      <c r="AJ8578" s="21" t="s">
        <v>51</v>
      </c>
      <c r="AK8578" s="21" t="s">
        <v>95</v>
      </c>
      <c r="AL8578" s="21" t="s">
        <v>5222</v>
      </c>
      <c r="AM8578" s="21" t="s">
        <v>5223</v>
      </c>
      <c r="AN8578" s="21">
        <v>-122.42857841666699</v>
      </c>
      <c r="AO8578" s="21">
        <v>37.802749499999997</v>
      </c>
      <c r="AP8578" s="21" t="s">
        <v>951</v>
      </c>
    </row>
    <row r="8579" spans="1:42">
      <c r="A8579" s="20">
        <v>43852</v>
      </c>
      <c r="B8579" s="21">
        <v>3</v>
      </c>
      <c r="C8579" s="21">
        <v>210</v>
      </c>
      <c r="D8579" s="21">
        <v>14638</v>
      </c>
      <c r="E8579" s="21"/>
      <c r="F8579" s="21" t="s">
        <v>38</v>
      </c>
      <c r="G8579" s="21">
        <v>2</v>
      </c>
      <c r="H8579" s="21">
        <v>44</v>
      </c>
      <c r="I8579" s="23" t="s">
        <v>3935</v>
      </c>
      <c r="J8579" s="21"/>
      <c r="K8579" s="21" t="s">
        <v>324</v>
      </c>
      <c r="L8579" s="21"/>
      <c r="M8579" s="21"/>
      <c r="N8579" s="21" t="s">
        <v>44</v>
      </c>
      <c r="O8579" s="21">
        <v>105</v>
      </c>
      <c r="P8579" s="21"/>
      <c r="Q8579" s="21">
        <f t="shared" si="175"/>
        <v>2</v>
      </c>
      <c r="R8579" s="21">
        <v>1</v>
      </c>
      <c r="S8579" s="21">
        <v>0</v>
      </c>
      <c r="T8579" s="21">
        <v>0</v>
      </c>
      <c r="U8579" s="21">
        <v>1</v>
      </c>
      <c r="V8579" s="21">
        <v>0</v>
      </c>
      <c r="W8579" s="21">
        <v>1</v>
      </c>
      <c r="X8579" s="21">
        <v>0</v>
      </c>
      <c r="Y8579" s="21">
        <v>0</v>
      </c>
      <c r="Z8579" s="21">
        <v>0</v>
      </c>
      <c r="AA8579" s="21">
        <v>0</v>
      </c>
      <c r="AB8579" s="21">
        <v>0</v>
      </c>
      <c r="AC8579" s="21">
        <v>0</v>
      </c>
      <c r="AD8579" s="21">
        <v>0</v>
      </c>
      <c r="AE8579" s="21">
        <v>0</v>
      </c>
      <c r="AF8579" s="21">
        <v>0</v>
      </c>
      <c r="AG8579" s="21">
        <v>0</v>
      </c>
      <c r="AH8579" s="21">
        <f t="shared" si="176"/>
        <v>128</v>
      </c>
      <c r="AI8579" s="21"/>
      <c r="AJ8579" s="21" t="s">
        <v>51</v>
      </c>
      <c r="AK8579" s="21" t="s">
        <v>95</v>
      </c>
      <c r="AL8579" s="21"/>
      <c r="AM8579" s="21" t="s">
        <v>5224</v>
      </c>
      <c r="AN8579" s="21">
        <v>-122.431894366667</v>
      </c>
      <c r="AO8579" s="21">
        <v>37.801387666666599</v>
      </c>
      <c r="AP8579" s="21" t="s">
        <v>951</v>
      </c>
    </row>
    <row r="8580" spans="1:42">
      <c r="A8580" s="20">
        <v>43852</v>
      </c>
      <c r="B8580" s="21">
        <v>3</v>
      </c>
      <c r="C8580" s="21">
        <v>210</v>
      </c>
      <c r="D8580" s="21">
        <v>14638</v>
      </c>
      <c r="E8580" s="21"/>
      <c r="F8580" s="21" t="s">
        <v>38</v>
      </c>
      <c r="G8580" s="21">
        <v>2</v>
      </c>
      <c r="H8580" s="21">
        <v>45</v>
      </c>
      <c r="I8580" s="23" t="s">
        <v>5225</v>
      </c>
      <c r="J8580" s="21"/>
      <c r="K8580" s="21" t="s">
        <v>324</v>
      </c>
      <c r="L8580" s="21"/>
      <c r="M8580" s="21"/>
      <c r="N8580" s="21" t="s">
        <v>44</v>
      </c>
      <c r="O8580" s="21">
        <v>80</v>
      </c>
      <c r="P8580" s="21"/>
      <c r="Q8580" s="21">
        <f t="shared" si="175"/>
        <v>2</v>
      </c>
      <c r="R8580" s="21">
        <v>1</v>
      </c>
      <c r="S8580" s="21">
        <v>0</v>
      </c>
      <c r="T8580" s="21">
        <v>0</v>
      </c>
      <c r="U8580" s="21">
        <v>1</v>
      </c>
      <c r="V8580" s="21">
        <v>0</v>
      </c>
      <c r="W8580" s="21">
        <v>1</v>
      </c>
      <c r="X8580" s="21">
        <v>0</v>
      </c>
      <c r="Y8580" s="21">
        <v>0</v>
      </c>
      <c r="Z8580" s="21">
        <v>0</v>
      </c>
      <c r="AA8580" s="21">
        <v>0</v>
      </c>
      <c r="AB8580" s="21">
        <v>0</v>
      </c>
      <c r="AC8580" s="21">
        <v>0</v>
      </c>
      <c r="AD8580" s="21">
        <v>0</v>
      </c>
      <c r="AE8580" s="21">
        <v>0</v>
      </c>
      <c r="AF8580" s="21">
        <v>0</v>
      </c>
      <c r="AG8580" s="21">
        <v>0</v>
      </c>
      <c r="AH8580" s="21">
        <f t="shared" si="176"/>
        <v>128</v>
      </c>
      <c r="AI8580" s="21"/>
      <c r="AJ8580" s="21"/>
      <c r="AK8580" s="21"/>
      <c r="AL8580" s="21"/>
      <c r="AM8580" s="21" t="s">
        <v>5226</v>
      </c>
      <c r="AN8580" s="21">
        <v>-122.431834216667</v>
      </c>
      <c r="AO8580" s="21">
        <v>37.801421716666603</v>
      </c>
      <c r="AP8580" s="21" t="s">
        <v>951</v>
      </c>
    </row>
    <row r="8581" spans="1:42">
      <c r="A8581" s="20">
        <v>43852</v>
      </c>
      <c r="B8581" s="21">
        <v>3</v>
      </c>
      <c r="C8581" s="21">
        <v>210</v>
      </c>
      <c r="D8581" s="21">
        <v>14638</v>
      </c>
      <c r="E8581" s="21"/>
      <c r="F8581" s="21" t="s">
        <v>38</v>
      </c>
      <c r="G8581" s="21">
        <v>2</v>
      </c>
      <c r="H8581" s="21">
        <v>46</v>
      </c>
      <c r="I8581" s="23" t="s">
        <v>5227</v>
      </c>
      <c r="J8581" s="21"/>
      <c r="K8581" s="21" t="s">
        <v>324</v>
      </c>
      <c r="L8581" s="21"/>
      <c r="M8581" s="21"/>
      <c r="N8581" s="21" t="s">
        <v>44</v>
      </c>
      <c r="O8581" s="21">
        <v>80</v>
      </c>
      <c r="P8581" s="21"/>
      <c r="Q8581" s="21">
        <f t="shared" si="175"/>
        <v>2</v>
      </c>
      <c r="R8581" s="21">
        <v>1</v>
      </c>
      <c r="S8581" s="21">
        <v>0</v>
      </c>
      <c r="T8581" s="21">
        <v>0</v>
      </c>
      <c r="U8581" s="21">
        <v>1</v>
      </c>
      <c r="V8581" s="21">
        <v>0</v>
      </c>
      <c r="W8581" s="21">
        <v>1</v>
      </c>
      <c r="X8581" s="21">
        <v>0</v>
      </c>
      <c r="Y8581" s="21">
        <v>0</v>
      </c>
      <c r="Z8581" s="21">
        <v>0</v>
      </c>
      <c r="AA8581" s="21">
        <v>0</v>
      </c>
      <c r="AB8581" s="21">
        <v>0</v>
      </c>
      <c r="AC8581" s="21">
        <v>0</v>
      </c>
      <c r="AD8581" s="21">
        <v>0</v>
      </c>
      <c r="AE8581" s="21">
        <v>0</v>
      </c>
      <c r="AF8581" s="21">
        <v>0</v>
      </c>
      <c r="AG8581" s="21">
        <v>0</v>
      </c>
      <c r="AH8581" s="21">
        <f t="shared" si="176"/>
        <v>128</v>
      </c>
      <c r="AI8581" s="21"/>
      <c r="AJ8581" s="21" t="s">
        <v>51</v>
      </c>
      <c r="AK8581" s="21" t="s">
        <v>95</v>
      </c>
      <c r="AL8581" s="21"/>
      <c r="AM8581" s="21" t="s">
        <v>5228</v>
      </c>
      <c r="AN8581" s="21">
        <v>-122.431650316667</v>
      </c>
      <c r="AO8581" s="21">
        <v>37.801443133333301</v>
      </c>
      <c r="AP8581" s="21" t="s">
        <v>951</v>
      </c>
    </row>
    <row r="8582" spans="1:42">
      <c r="A8582" s="20">
        <v>43852</v>
      </c>
      <c r="B8582" s="21">
        <v>3</v>
      </c>
      <c r="C8582" s="21">
        <v>210</v>
      </c>
      <c r="D8582" s="21">
        <v>14638</v>
      </c>
      <c r="E8582" s="21"/>
      <c r="F8582" s="21" t="s">
        <v>38</v>
      </c>
      <c r="G8582" s="21">
        <v>2</v>
      </c>
      <c r="H8582" s="21">
        <v>47</v>
      </c>
      <c r="I8582" s="23" t="s">
        <v>5229</v>
      </c>
      <c r="J8582" s="21"/>
      <c r="K8582" s="21" t="s">
        <v>324</v>
      </c>
      <c r="L8582" s="21"/>
      <c r="M8582" s="21"/>
      <c r="N8582" s="21" t="s">
        <v>44</v>
      </c>
      <c r="O8582" s="21">
        <v>92</v>
      </c>
      <c r="P8582" s="21"/>
      <c r="Q8582" s="21">
        <f t="shared" si="175"/>
        <v>2</v>
      </c>
      <c r="R8582" s="21">
        <v>1</v>
      </c>
      <c r="S8582" s="21">
        <v>0</v>
      </c>
      <c r="T8582" s="21">
        <v>0</v>
      </c>
      <c r="U8582" s="21">
        <v>1</v>
      </c>
      <c r="V8582" s="21">
        <v>0</v>
      </c>
      <c r="W8582" s="21">
        <v>1</v>
      </c>
      <c r="X8582" s="21">
        <v>0</v>
      </c>
      <c r="Y8582" s="21">
        <v>0</v>
      </c>
      <c r="Z8582" s="21">
        <v>0</v>
      </c>
      <c r="AA8582" s="21">
        <v>0</v>
      </c>
      <c r="AB8582" s="21">
        <v>0</v>
      </c>
      <c r="AC8582" s="21">
        <v>0</v>
      </c>
      <c r="AD8582" s="21">
        <v>0</v>
      </c>
      <c r="AE8582" s="21">
        <v>0</v>
      </c>
      <c r="AF8582" s="21">
        <v>0</v>
      </c>
      <c r="AG8582" s="21">
        <v>0</v>
      </c>
      <c r="AH8582" s="21">
        <f t="shared" si="176"/>
        <v>128</v>
      </c>
      <c r="AI8582" s="21"/>
      <c r="AJ8582" s="21" t="s">
        <v>51</v>
      </c>
      <c r="AK8582" s="21" t="s">
        <v>95</v>
      </c>
      <c r="AL8582" s="21" t="s">
        <v>5230</v>
      </c>
      <c r="AM8582" s="21" t="s">
        <v>5231</v>
      </c>
      <c r="AN8582" s="21">
        <v>-122.431652716667</v>
      </c>
      <c r="AO8582" s="21">
        <v>37.801426766666701</v>
      </c>
      <c r="AP8582" s="21" t="s">
        <v>951</v>
      </c>
    </row>
    <row r="8583" spans="1:42">
      <c r="A8583" s="20">
        <v>43852</v>
      </c>
      <c r="B8583" s="21">
        <v>3</v>
      </c>
      <c r="C8583" s="21">
        <v>210</v>
      </c>
      <c r="D8583" s="21">
        <v>14638</v>
      </c>
      <c r="E8583" s="21"/>
      <c r="F8583" s="21" t="s">
        <v>38</v>
      </c>
      <c r="G8583" s="21">
        <v>2</v>
      </c>
      <c r="H8583" s="21">
        <v>48</v>
      </c>
      <c r="I8583" s="23" t="s">
        <v>5232</v>
      </c>
      <c r="J8583" s="21"/>
      <c r="K8583" s="21" t="s">
        <v>588</v>
      </c>
      <c r="L8583" s="21"/>
      <c r="M8583" s="21"/>
      <c r="N8583" s="21" t="s">
        <v>44</v>
      </c>
      <c r="O8583" s="21">
        <v>110</v>
      </c>
      <c r="P8583" s="21"/>
      <c r="Q8583" s="21">
        <f t="shared" si="175"/>
        <v>3</v>
      </c>
      <c r="R8583" s="21">
        <v>1</v>
      </c>
      <c r="S8583" s="21">
        <v>0</v>
      </c>
      <c r="T8583" s="21">
        <v>0</v>
      </c>
      <c r="U8583" s="21">
        <v>1</v>
      </c>
      <c r="V8583" s="21">
        <v>0</v>
      </c>
      <c r="W8583" s="21">
        <v>2</v>
      </c>
      <c r="X8583" s="21">
        <v>0</v>
      </c>
      <c r="Y8583" s="21">
        <v>0</v>
      </c>
      <c r="Z8583" s="21">
        <v>0</v>
      </c>
      <c r="AA8583" s="21">
        <v>0</v>
      </c>
      <c r="AB8583" s="21">
        <v>0</v>
      </c>
      <c r="AC8583" s="21">
        <v>0</v>
      </c>
      <c r="AD8583" s="21">
        <v>0</v>
      </c>
      <c r="AE8583" s="21">
        <v>0</v>
      </c>
      <c r="AF8583" s="21">
        <v>0</v>
      </c>
      <c r="AG8583" s="21">
        <v>0</v>
      </c>
      <c r="AH8583" s="21">
        <f t="shared" si="176"/>
        <v>224</v>
      </c>
      <c r="AI8583" s="21"/>
      <c r="AJ8583" s="21" t="s">
        <v>51</v>
      </c>
      <c r="AK8583" s="21" t="s">
        <v>95</v>
      </c>
      <c r="AL8583" s="21" t="s">
        <v>5233</v>
      </c>
      <c r="AM8583" s="21" t="s">
        <v>5234</v>
      </c>
      <c r="AN8583" s="21">
        <v>-122.430931466667</v>
      </c>
      <c r="AO8583" s="21">
        <v>37.801508483333301</v>
      </c>
      <c r="AP8583" s="21" t="s">
        <v>951</v>
      </c>
    </row>
    <row r="8584" spans="1:42">
      <c r="A8584" s="20">
        <v>43852</v>
      </c>
      <c r="B8584" s="21">
        <v>3</v>
      </c>
      <c r="C8584" s="21">
        <v>210</v>
      </c>
      <c r="D8584" s="21">
        <v>14638</v>
      </c>
      <c r="E8584" s="21"/>
      <c r="F8584" s="21" t="s">
        <v>38</v>
      </c>
      <c r="G8584" s="21">
        <v>2</v>
      </c>
      <c r="H8584" s="21">
        <v>49</v>
      </c>
      <c r="I8584" s="23" t="s">
        <v>5235</v>
      </c>
      <c r="J8584" s="21"/>
      <c r="K8584" s="21" t="s">
        <v>2759</v>
      </c>
      <c r="L8584" s="21"/>
      <c r="M8584" s="21" t="s">
        <v>52</v>
      </c>
      <c r="N8584" s="21" t="s">
        <v>44</v>
      </c>
      <c r="O8584" s="21">
        <v>110</v>
      </c>
      <c r="P8584" s="21"/>
      <c r="Q8584" s="21">
        <f t="shared" si="175"/>
        <v>2</v>
      </c>
      <c r="R8584" s="21">
        <v>1</v>
      </c>
      <c r="S8584" s="21">
        <v>0</v>
      </c>
      <c r="T8584" s="21">
        <v>0</v>
      </c>
      <c r="U8584" s="21">
        <v>0</v>
      </c>
      <c r="V8584" s="21">
        <v>0</v>
      </c>
      <c r="W8584" s="21">
        <v>2</v>
      </c>
      <c r="X8584" s="21">
        <v>0</v>
      </c>
      <c r="Y8584" s="21">
        <v>0</v>
      </c>
      <c r="Z8584" s="21">
        <v>0</v>
      </c>
      <c r="AA8584" s="21">
        <v>0</v>
      </c>
      <c r="AB8584" s="21">
        <v>0</v>
      </c>
      <c r="AC8584" s="21">
        <v>0</v>
      </c>
      <c r="AD8584" s="21">
        <v>0</v>
      </c>
      <c r="AE8584" s="21">
        <v>0</v>
      </c>
      <c r="AF8584" s="21">
        <v>0</v>
      </c>
      <c r="AG8584" s="21">
        <v>0</v>
      </c>
      <c r="AH8584" s="21">
        <f t="shared" si="176"/>
        <v>192</v>
      </c>
      <c r="AI8584" s="21"/>
      <c r="AJ8584" s="21" t="s">
        <v>51</v>
      </c>
      <c r="AK8584" s="21" t="s">
        <v>95</v>
      </c>
      <c r="AL8584" s="21"/>
      <c r="AM8584" s="21" t="s">
        <v>5236</v>
      </c>
      <c r="AN8584" s="21">
        <v>-122.4309001</v>
      </c>
      <c r="AO8584" s="21">
        <v>37.801503449999998</v>
      </c>
      <c r="AP8584" s="21" t="s">
        <v>951</v>
      </c>
    </row>
    <row r="8585" spans="1:42">
      <c r="A8585" s="20">
        <v>43852</v>
      </c>
      <c r="B8585" s="21">
        <v>3</v>
      </c>
      <c r="C8585" s="21">
        <v>210</v>
      </c>
      <c r="D8585" s="21">
        <v>14638</v>
      </c>
      <c r="E8585" s="21"/>
      <c r="F8585" s="21" t="s">
        <v>38</v>
      </c>
      <c r="G8585" s="21">
        <v>2</v>
      </c>
      <c r="H8585" s="21">
        <v>50</v>
      </c>
      <c r="I8585" s="23" t="s">
        <v>5237</v>
      </c>
      <c r="J8585" s="21"/>
      <c r="K8585" s="21" t="s">
        <v>324</v>
      </c>
      <c r="L8585" s="21"/>
      <c r="M8585" s="21"/>
      <c r="N8585" s="21" t="s">
        <v>44</v>
      </c>
      <c r="O8585" s="21">
        <v>76</v>
      </c>
      <c r="P8585" s="21"/>
      <c r="Q8585" s="21">
        <f t="shared" si="175"/>
        <v>1</v>
      </c>
      <c r="R8585" s="21">
        <v>1</v>
      </c>
      <c r="S8585" s="21">
        <v>0</v>
      </c>
      <c r="T8585" s="21">
        <v>0</v>
      </c>
      <c r="U8585" s="21">
        <v>0</v>
      </c>
      <c r="V8585" s="21">
        <v>0</v>
      </c>
      <c r="W8585" s="21">
        <v>1</v>
      </c>
      <c r="X8585" s="21">
        <v>0</v>
      </c>
      <c r="Y8585" s="21">
        <v>0</v>
      </c>
      <c r="Z8585" s="21">
        <v>0</v>
      </c>
      <c r="AA8585" s="21">
        <v>0</v>
      </c>
      <c r="AB8585" s="21">
        <v>0</v>
      </c>
      <c r="AC8585" s="21">
        <v>0</v>
      </c>
      <c r="AD8585" s="21">
        <v>0</v>
      </c>
      <c r="AE8585" s="21">
        <v>0</v>
      </c>
      <c r="AF8585" s="21">
        <v>0</v>
      </c>
      <c r="AG8585" s="21">
        <v>0</v>
      </c>
      <c r="AH8585" s="21">
        <f t="shared" si="176"/>
        <v>96</v>
      </c>
      <c r="AI8585" s="21"/>
      <c r="AJ8585" s="21" t="s">
        <v>51</v>
      </c>
      <c r="AK8585" s="21" t="s">
        <v>95</v>
      </c>
      <c r="AL8585" s="21"/>
      <c r="AM8585" s="21" t="s">
        <v>5238</v>
      </c>
      <c r="AN8585" s="21">
        <v>-122.43074679999999</v>
      </c>
      <c r="AO8585" s="21">
        <v>37.801491016666702</v>
      </c>
      <c r="AP8585" s="21" t="s">
        <v>951</v>
      </c>
    </row>
    <row r="8586" spans="1:42">
      <c r="A8586" s="20">
        <v>43852</v>
      </c>
      <c r="B8586" s="21">
        <v>3</v>
      </c>
      <c r="C8586" s="21">
        <v>210</v>
      </c>
      <c r="D8586" s="21">
        <v>14638</v>
      </c>
      <c r="E8586" s="21"/>
      <c r="F8586" s="21" t="s">
        <v>38</v>
      </c>
      <c r="G8586" s="21">
        <v>2</v>
      </c>
      <c r="H8586" s="21">
        <v>51</v>
      </c>
      <c r="I8586" s="23" t="s">
        <v>5239</v>
      </c>
      <c r="J8586" s="21"/>
      <c r="K8586" s="21" t="s">
        <v>324</v>
      </c>
      <c r="L8586" s="21"/>
      <c r="M8586" s="21"/>
      <c r="N8586" s="21" t="s">
        <v>44</v>
      </c>
      <c r="O8586" s="21">
        <v>152</v>
      </c>
      <c r="P8586" s="21"/>
      <c r="Q8586" s="21">
        <f t="shared" si="175"/>
        <v>4</v>
      </c>
      <c r="R8586" s="21">
        <v>1</v>
      </c>
      <c r="S8586" s="21">
        <v>0</v>
      </c>
      <c r="T8586" s="21">
        <v>0</v>
      </c>
      <c r="U8586" s="21">
        <v>2</v>
      </c>
      <c r="V8586" s="21">
        <v>0</v>
      </c>
      <c r="W8586" s="21">
        <v>2</v>
      </c>
      <c r="X8586" s="21">
        <v>0</v>
      </c>
      <c r="Y8586" s="21">
        <v>0</v>
      </c>
      <c r="Z8586" s="21">
        <v>0</v>
      </c>
      <c r="AA8586" s="21">
        <v>0</v>
      </c>
      <c r="AB8586" s="21">
        <v>0</v>
      </c>
      <c r="AC8586" s="21">
        <v>0</v>
      </c>
      <c r="AD8586" s="21">
        <v>0</v>
      </c>
      <c r="AE8586" s="21">
        <v>0</v>
      </c>
      <c r="AF8586" s="21">
        <v>0</v>
      </c>
      <c r="AG8586" s="21">
        <v>0</v>
      </c>
      <c r="AH8586" s="21">
        <f t="shared" si="176"/>
        <v>256</v>
      </c>
      <c r="AI8586" s="21"/>
      <c r="AJ8586" s="21" t="s">
        <v>51</v>
      </c>
      <c r="AK8586" s="21" t="s">
        <v>95</v>
      </c>
      <c r="AL8586" s="21"/>
      <c r="AM8586" s="21" t="s">
        <v>5240</v>
      </c>
      <c r="AN8586" s="21">
        <v>-122.43052711666699</v>
      </c>
      <c r="AO8586" s="21">
        <v>37.801540216666602</v>
      </c>
      <c r="AP8586" s="21" t="s">
        <v>951</v>
      </c>
    </row>
    <row r="8587" spans="1:42">
      <c r="A8587" s="20">
        <v>43852</v>
      </c>
      <c r="B8587" s="21">
        <v>3</v>
      </c>
      <c r="C8587" s="21">
        <v>210</v>
      </c>
      <c r="D8587" s="21">
        <v>14638</v>
      </c>
      <c r="E8587" s="21"/>
      <c r="F8587" s="21" t="s">
        <v>38</v>
      </c>
      <c r="G8587" s="21">
        <v>2</v>
      </c>
      <c r="H8587" s="21">
        <v>52</v>
      </c>
      <c r="I8587" s="23" t="s">
        <v>5241</v>
      </c>
      <c r="J8587" s="21"/>
      <c r="K8587" s="21" t="s">
        <v>324</v>
      </c>
      <c r="L8587" s="21"/>
      <c r="M8587" s="21"/>
      <c r="N8587" s="21" t="s">
        <v>44</v>
      </c>
      <c r="O8587" s="21">
        <v>92</v>
      </c>
      <c r="P8587" s="21"/>
      <c r="Q8587" s="21">
        <f t="shared" si="175"/>
        <v>2</v>
      </c>
      <c r="R8587" s="21">
        <v>1</v>
      </c>
      <c r="S8587" s="21">
        <v>0</v>
      </c>
      <c r="T8587" s="21">
        <v>0</v>
      </c>
      <c r="U8587" s="21">
        <v>0</v>
      </c>
      <c r="V8587" s="21">
        <v>1</v>
      </c>
      <c r="W8587" s="21">
        <v>1</v>
      </c>
      <c r="X8587" s="21">
        <v>0</v>
      </c>
      <c r="Y8587" s="21">
        <v>0</v>
      </c>
      <c r="Z8587" s="21">
        <v>0</v>
      </c>
      <c r="AA8587" s="21">
        <v>0</v>
      </c>
      <c r="AB8587" s="21">
        <v>0</v>
      </c>
      <c r="AC8587" s="21">
        <v>0</v>
      </c>
      <c r="AD8587" s="21">
        <v>0</v>
      </c>
      <c r="AE8587" s="21">
        <v>0</v>
      </c>
      <c r="AF8587" s="21">
        <v>0</v>
      </c>
      <c r="AG8587" s="21">
        <v>0</v>
      </c>
      <c r="AH8587" s="21">
        <f t="shared" si="176"/>
        <v>160</v>
      </c>
      <c r="AI8587" s="21"/>
      <c r="AJ8587" s="21" t="s">
        <v>51</v>
      </c>
      <c r="AK8587" s="21" t="s">
        <v>95</v>
      </c>
      <c r="AL8587" s="21"/>
      <c r="AM8587" s="21" t="s">
        <v>5242</v>
      </c>
      <c r="AN8587" s="21">
        <v>-122.43044721666701</v>
      </c>
      <c r="AO8587" s="21">
        <v>37.801553583333302</v>
      </c>
      <c r="AP8587" s="21" t="s">
        <v>951</v>
      </c>
    </row>
    <row r="8588" spans="1:42">
      <c r="A8588" s="20">
        <v>43852</v>
      </c>
      <c r="B8588" s="21">
        <v>3</v>
      </c>
      <c r="C8588" s="21">
        <v>210</v>
      </c>
      <c r="D8588" s="21">
        <v>14638</v>
      </c>
      <c r="E8588" s="21"/>
      <c r="F8588" s="21" t="s">
        <v>38</v>
      </c>
      <c r="G8588" s="21">
        <v>2</v>
      </c>
      <c r="H8588" s="21">
        <v>53</v>
      </c>
      <c r="I8588" s="23" t="s">
        <v>3527</v>
      </c>
      <c r="J8588" s="21"/>
      <c r="K8588" s="21" t="s">
        <v>324</v>
      </c>
      <c r="L8588" s="21"/>
      <c r="M8588" s="21"/>
      <c r="N8588" s="21" t="s">
        <v>44</v>
      </c>
      <c r="O8588" s="21">
        <v>58</v>
      </c>
      <c r="P8588" s="21"/>
      <c r="Q8588" s="21">
        <f t="shared" si="175"/>
        <v>2</v>
      </c>
      <c r="R8588" s="21">
        <v>1</v>
      </c>
      <c r="S8588" s="21">
        <v>0</v>
      </c>
      <c r="T8588" s="21">
        <v>0</v>
      </c>
      <c r="U8588" s="21">
        <v>1</v>
      </c>
      <c r="V8588" s="21">
        <v>1</v>
      </c>
      <c r="W8588" s="21">
        <v>0</v>
      </c>
      <c r="X8588" s="21">
        <v>0</v>
      </c>
      <c r="Y8588" s="21">
        <v>0</v>
      </c>
      <c r="Z8588" s="21">
        <v>0</v>
      </c>
      <c r="AA8588" s="21">
        <v>0</v>
      </c>
      <c r="AB8588" s="21">
        <v>0</v>
      </c>
      <c r="AC8588" s="21">
        <v>0</v>
      </c>
      <c r="AD8588" s="21">
        <v>0</v>
      </c>
      <c r="AE8588" s="21">
        <v>0</v>
      </c>
      <c r="AF8588" s="21">
        <v>0</v>
      </c>
      <c r="AG8588" s="21">
        <v>0</v>
      </c>
      <c r="AH8588" s="21">
        <f t="shared" si="176"/>
        <v>96</v>
      </c>
      <c r="AI8588" s="21"/>
      <c r="AJ8588" s="21" t="s">
        <v>51</v>
      </c>
      <c r="AK8588" s="21" t="s">
        <v>95</v>
      </c>
      <c r="AL8588" s="21"/>
      <c r="AM8588" s="21" t="s">
        <v>5243</v>
      </c>
      <c r="AN8588" s="21">
        <v>-122.429865583333</v>
      </c>
      <c r="AO8588" s="21">
        <v>37.801636266666598</v>
      </c>
      <c r="AP8588" s="21" t="s">
        <v>951</v>
      </c>
    </row>
    <row r="8589" spans="1:42">
      <c r="A8589" s="20">
        <v>43852</v>
      </c>
      <c r="B8589" s="21">
        <v>3</v>
      </c>
      <c r="C8589" s="21">
        <v>210</v>
      </c>
      <c r="D8589" s="21">
        <v>14638</v>
      </c>
      <c r="E8589" s="21"/>
      <c r="F8589" s="21" t="s">
        <v>38</v>
      </c>
      <c r="G8589" s="21">
        <v>2</v>
      </c>
      <c r="H8589" s="21">
        <v>54</v>
      </c>
      <c r="I8589" s="23" t="s">
        <v>4778</v>
      </c>
      <c r="J8589" s="21"/>
      <c r="K8589" s="21" t="s">
        <v>324</v>
      </c>
      <c r="L8589" s="21"/>
      <c r="M8589" s="21"/>
      <c r="N8589" s="21" t="s">
        <v>44</v>
      </c>
      <c r="O8589" s="21">
        <v>101</v>
      </c>
      <c r="P8589" s="21"/>
      <c r="Q8589" s="21">
        <f t="shared" si="175"/>
        <v>2</v>
      </c>
      <c r="R8589" s="21">
        <v>1</v>
      </c>
      <c r="S8589" s="21">
        <v>0</v>
      </c>
      <c r="T8589" s="21">
        <v>0</v>
      </c>
      <c r="U8589" s="21">
        <v>0</v>
      </c>
      <c r="V8589" s="21">
        <v>1</v>
      </c>
      <c r="W8589" s="21">
        <v>1</v>
      </c>
      <c r="X8589" s="21">
        <v>0</v>
      </c>
      <c r="Y8589" s="21">
        <v>0</v>
      </c>
      <c r="Z8589" s="21">
        <v>0</v>
      </c>
      <c r="AA8589" s="21">
        <v>0</v>
      </c>
      <c r="AB8589" s="21">
        <v>0</v>
      </c>
      <c r="AC8589" s="21">
        <v>0</v>
      </c>
      <c r="AD8589" s="21">
        <v>0</v>
      </c>
      <c r="AE8589" s="21">
        <v>0</v>
      </c>
      <c r="AF8589" s="21">
        <v>0</v>
      </c>
      <c r="AG8589" s="21">
        <v>0</v>
      </c>
      <c r="AH8589" s="21">
        <f t="shared" si="176"/>
        <v>160</v>
      </c>
      <c r="AI8589" s="21"/>
      <c r="AJ8589" s="21" t="s">
        <v>51</v>
      </c>
      <c r="AK8589" s="21" t="s">
        <v>95</v>
      </c>
      <c r="AL8589" s="21"/>
      <c r="AM8589" s="21" t="s">
        <v>5244</v>
      </c>
      <c r="AN8589" s="21">
        <v>-122.42891659999999</v>
      </c>
      <c r="AO8589" s="21">
        <v>37.801762283333296</v>
      </c>
      <c r="AP8589" s="21" t="s">
        <v>951</v>
      </c>
    </row>
    <row r="8590" spans="1:42">
      <c r="A8590" s="20">
        <v>43852</v>
      </c>
      <c r="B8590" s="21">
        <v>3</v>
      </c>
      <c r="C8590" s="21">
        <v>210</v>
      </c>
      <c r="D8590" s="21">
        <v>14638</v>
      </c>
      <c r="E8590" s="21"/>
      <c r="F8590" s="21" t="s">
        <v>38</v>
      </c>
      <c r="G8590" s="21">
        <v>2</v>
      </c>
      <c r="H8590" s="21">
        <v>55</v>
      </c>
      <c r="I8590" s="23" t="s">
        <v>5245</v>
      </c>
      <c r="J8590" s="21"/>
      <c r="K8590" s="21" t="s">
        <v>324</v>
      </c>
      <c r="L8590" s="21"/>
      <c r="M8590" s="21"/>
      <c r="N8590" s="21" t="s">
        <v>44</v>
      </c>
      <c r="O8590" s="21"/>
      <c r="P8590" s="21">
        <v>124</v>
      </c>
      <c r="Q8590" s="21">
        <f t="shared" si="175"/>
        <v>2</v>
      </c>
      <c r="R8590" s="21">
        <v>1</v>
      </c>
      <c r="S8590" s="21">
        <v>0</v>
      </c>
      <c r="T8590" s="21">
        <v>0</v>
      </c>
      <c r="U8590" s="21">
        <v>0</v>
      </c>
      <c r="V8590" s="21">
        <v>1</v>
      </c>
      <c r="W8590" s="21">
        <v>1</v>
      </c>
      <c r="X8590" s="21">
        <v>0</v>
      </c>
      <c r="Y8590" s="21">
        <v>0</v>
      </c>
      <c r="Z8590" s="21">
        <v>0</v>
      </c>
      <c r="AA8590" s="21">
        <v>0</v>
      </c>
      <c r="AB8590" s="21">
        <v>0</v>
      </c>
      <c r="AC8590" s="21">
        <v>0</v>
      </c>
      <c r="AD8590" s="21">
        <v>0</v>
      </c>
      <c r="AE8590" s="21">
        <v>0</v>
      </c>
      <c r="AF8590" s="21">
        <v>0</v>
      </c>
      <c r="AG8590" s="21">
        <v>0</v>
      </c>
      <c r="AH8590" s="21">
        <f t="shared" si="176"/>
        <v>160</v>
      </c>
      <c r="AI8590" s="21"/>
      <c r="AJ8590" s="21" t="s">
        <v>51</v>
      </c>
      <c r="AK8590" s="21" t="s">
        <v>95</v>
      </c>
      <c r="AL8590" s="21"/>
      <c r="AM8590" s="21" t="s">
        <v>5246</v>
      </c>
      <c r="AN8590" s="21">
        <v>-122.42870423333299</v>
      </c>
      <c r="AO8590" s="21">
        <v>37.801759416666599</v>
      </c>
      <c r="AP8590" s="21" t="s">
        <v>951</v>
      </c>
    </row>
    <row r="8591" spans="1:42">
      <c r="A8591" s="20">
        <v>43852</v>
      </c>
      <c r="B8591" s="21">
        <v>3</v>
      </c>
      <c r="C8591" s="21">
        <v>210</v>
      </c>
      <c r="D8591" s="21">
        <v>14638</v>
      </c>
      <c r="E8591" s="21"/>
      <c r="F8591" s="21" t="s">
        <v>38</v>
      </c>
      <c r="G8591" s="21">
        <v>2</v>
      </c>
      <c r="H8591" s="21">
        <v>56</v>
      </c>
      <c r="I8591" s="23" t="s">
        <v>3605</v>
      </c>
      <c r="J8591" s="21"/>
      <c r="K8591" s="21" t="s">
        <v>324</v>
      </c>
      <c r="L8591" s="21"/>
      <c r="M8591" s="21"/>
      <c r="N8591" s="21" t="s">
        <v>44</v>
      </c>
      <c r="O8591" s="21">
        <v>151</v>
      </c>
      <c r="P8591" s="21"/>
      <c r="Q8591" s="21">
        <f t="shared" si="175"/>
        <v>4</v>
      </c>
      <c r="R8591" s="21">
        <v>1</v>
      </c>
      <c r="S8591" s="21">
        <v>0</v>
      </c>
      <c r="T8591" s="21">
        <v>0</v>
      </c>
      <c r="U8591" s="21">
        <v>2</v>
      </c>
      <c r="V8591" s="21">
        <v>0</v>
      </c>
      <c r="W8591" s="21">
        <v>2</v>
      </c>
      <c r="X8591" s="21">
        <v>0</v>
      </c>
      <c r="Y8591" s="21">
        <v>0</v>
      </c>
      <c r="Z8591" s="21">
        <v>0</v>
      </c>
      <c r="AA8591" s="21">
        <v>0</v>
      </c>
      <c r="AB8591" s="21">
        <v>0</v>
      </c>
      <c r="AC8591" s="21">
        <v>0</v>
      </c>
      <c r="AD8591" s="21">
        <v>0</v>
      </c>
      <c r="AE8591" s="21">
        <v>0</v>
      </c>
      <c r="AF8591" s="21">
        <v>0</v>
      </c>
      <c r="AG8591" s="21">
        <v>0</v>
      </c>
      <c r="AH8591" s="21">
        <f t="shared" si="176"/>
        <v>256</v>
      </c>
      <c r="AI8591" s="21"/>
      <c r="AJ8591" s="21" t="s">
        <v>51</v>
      </c>
      <c r="AK8591" s="21" t="s">
        <v>95</v>
      </c>
      <c r="AL8591" s="21"/>
      <c r="AM8591" s="21" t="s">
        <v>5247</v>
      </c>
      <c r="AN8591" s="21">
        <v>-122.428682866667</v>
      </c>
      <c r="AO8591" s="21">
        <v>37.801809783333297</v>
      </c>
      <c r="AP8591" s="21" t="s">
        <v>951</v>
      </c>
    </row>
    <row r="8592" spans="1:42">
      <c r="A8592" s="20">
        <v>43852</v>
      </c>
      <c r="B8592" s="21">
        <v>3</v>
      </c>
      <c r="C8592" s="21">
        <v>210</v>
      </c>
      <c r="D8592" s="21">
        <v>14638</v>
      </c>
      <c r="E8592" s="21"/>
      <c r="F8592" s="21" t="s">
        <v>38</v>
      </c>
      <c r="G8592" s="21">
        <v>2</v>
      </c>
      <c r="H8592" s="21">
        <v>57</v>
      </c>
      <c r="I8592" s="23" t="s">
        <v>3623</v>
      </c>
      <c r="J8592" s="21"/>
      <c r="K8592" s="21" t="s">
        <v>324</v>
      </c>
      <c r="L8592" s="21"/>
      <c r="M8592" s="21"/>
      <c r="N8592" s="21" t="s">
        <v>44</v>
      </c>
      <c r="O8592" s="21">
        <v>100</v>
      </c>
      <c r="P8592" s="21"/>
      <c r="Q8592" s="21">
        <f t="shared" si="175"/>
        <v>2</v>
      </c>
      <c r="R8592" s="21">
        <v>1</v>
      </c>
      <c r="S8592" s="21">
        <v>0</v>
      </c>
      <c r="T8592" s="21">
        <v>0</v>
      </c>
      <c r="U8592" s="21">
        <v>1</v>
      </c>
      <c r="V8592" s="21">
        <v>1</v>
      </c>
      <c r="W8592" s="21">
        <v>0</v>
      </c>
      <c r="X8592" s="21">
        <v>0</v>
      </c>
      <c r="Y8592" s="21">
        <v>0</v>
      </c>
      <c r="Z8592" s="21">
        <v>0</v>
      </c>
      <c r="AA8592" s="21">
        <v>0</v>
      </c>
      <c r="AB8592" s="21">
        <v>0</v>
      </c>
      <c r="AC8592" s="21">
        <v>0</v>
      </c>
      <c r="AD8592" s="21">
        <v>0</v>
      </c>
      <c r="AE8592" s="21">
        <v>0</v>
      </c>
      <c r="AF8592" s="21">
        <v>0</v>
      </c>
      <c r="AG8592" s="21">
        <v>0</v>
      </c>
      <c r="AH8592" s="21">
        <f t="shared" si="176"/>
        <v>96</v>
      </c>
      <c r="AI8592" s="21"/>
      <c r="AJ8592" s="21" t="s">
        <v>51</v>
      </c>
      <c r="AK8592" s="21" t="s">
        <v>95</v>
      </c>
      <c r="AL8592" s="21"/>
      <c r="AM8592" s="21" t="s">
        <v>5248</v>
      </c>
      <c r="AN8592" s="21">
        <v>-122.428420433333</v>
      </c>
      <c r="AO8592" s="21">
        <v>37.801832016666701</v>
      </c>
      <c r="AP8592" s="21" t="s">
        <v>951</v>
      </c>
    </row>
    <row r="8593" spans="1:42">
      <c r="A8593" s="20">
        <v>43852</v>
      </c>
      <c r="B8593" s="21">
        <v>3</v>
      </c>
      <c r="C8593" s="21">
        <v>210</v>
      </c>
      <c r="D8593" s="21">
        <v>14638</v>
      </c>
      <c r="E8593" s="21"/>
      <c r="F8593" s="21" t="s">
        <v>38</v>
      </c>
      <c r="G8593" s="21">
        <v>2</v>
      </c>
      <c r="H8593" s="21">
        <v>58</v>
      </c>
      <c r="I8593" s="23" t="s">
        <v>3892</v>
      </c>
      <c r="J8593" s="21"/>
      <c r="K8593" s="21" t="s">
        <v>324</v>
      </c>
      <c r="L8593" s="21"/>
      <c r="M8593" s="21"/>
      <c r="N8593" s="21" t="s">
        <v>44</v>
      </c>
      <c r="O8593" s="21">
        <v>80</v>
      </c>
      <c r="P8593" s="21"/>
      <c r="Q8593" s="21">
        <f t="shared" si="175"/>
        <v>1</v>
      </c>
      <c r="R8593" s="21">
        <v>1</v>
      </c>
      <c r="S8593" s="21">
        <v>0</v>
      </c>
      <c r="T8593" s="21">
        <v>0</v>
      </c>
      <c r="U8593" s="21">
        <v>0</v>
      </c>
      <c r="V8593" s="21">
        <v>0</v>
      </c>
      <c r="W8593" s="21">
        <v>1</v>
      </c>
      <c r="X8593" s="21">
        <v>0</v>
      </c>
      <c r="Y8593" s="21">
        <v>0</v>
      </c>
      <c r="Z8593" s="21">
        <v>0</v>
      </c>
      <c r="AA8593" s="21">
        <v>0</v>
      </c>
      <c r="AB8593" s="21">
        <v>0</v>
      </c>
      <c r="AC8593" s="21">
        <v>0</v>
      </c>
      <c r="AD8593" s="21">
        <v>0</v>
      </c>
      <c r="AE8593" s="21">
        <v>0</v>
      </c>
      <c r="AF8593" s="21">
        <v>0</v>
      </c>
      <c r="AG8593" s="21">
        <v>0</v>
      </c>
      <c r="AH8593" s="21">
        <f t="shared" si="176"/>
        <v>96</v>
      </c>
      <c r="AI8593" s="21"/>
      <c r="AJ8593" s="21" t="s">
        <v>51</v>
      </c>
      <c r="AK8593" s="21" t="s">
        <v>95</v>
      </c>
      <c r="AL8593" s="21"/>
      <c r="AM8593" s="21" t="s">
        <v>5249</v>
      </c>
      <c r="AN8593" s="21">
        <v>-122.42823181666699</v>
      </c>
      <c r="AO8593" s="21">
        <v>37.801827566666603</v>
      </c>
      <c r="AP8593" s="21" t="s">
        <v>951</v>
      </c>
    </row>
    <row r="8594" spans="1:42">
      <c r="A8594" s="20">
        <v>43852</v>
      </c>
      <c r="B8594" s="21">
        <v>3</v>
      </c>
      <c r="C8594" s="21">
        <v>210</v>
      </c>
      <c r="D8594" s="21">
        <v>14638</v>
      </c>
      <c r="E8594" s="21"/>
      <c r="F8594" s="21" t="s">
        <v>38</v>
      </c>
      <c r="G8594" s="21">
        <v>2</v>
      </c>
      <c r="H8594" s="21">
        <v>59</v>
      </c>
      <c r="I8594" s="23" t="s">
        <v>3171</v>
      </c>
      <c r="J8594" s="21"/>
      <c r="K8594" s="21" t="s">
        <v>324</v>
      </c>
      <c r="L8594" s="21"/>
      <c r="M8594" s="21"/>
      <c r="N8594" s="21" t="s">
        <v>44</v>
      </c>
      <c r="O8594" s="21">
        <v>62</v>
      </c>
      <c r="P8594" s="21"/>
      <c r="Q8594" s="21">
        <f t="shared" si="175"/>
        <v>1</v>
      </c>
      <c r="R8594" s="21">
        <v>1</v>
      </c>
      <c r="S8594" s="21">
        <v>0</v>
      </c>
      <c r="T8594" s="21">
        <v>0</v>
      </c>
      <c r="U8594" s="21">
        <v>0</v>
      </c>
      <c r="V8594" s="21">
        <v>0</v>
      </c>
      <c r="W8594" s="21">
        <v>1</v>
      </c>
      <c r="X8594" s="21">
        <v>0</v>
      </c>
      <c r="Y8594" s="21">
        <v>0</v>
      </c>
      <c r="Z8594" s="21">
        <v>0</v>
      </c>
      <c r="AA8594" s="21">
        <v>0</v>
      </c>
      <c r="AB8594" s="21">
        <v>0</v>
      </c>
      <c r="AC8594" s="21">
        <v>0</v>
      </c>
      <c r="AD8594" s="21">
        <v>0</v>
      </c>
      <c r="AE8594" s="21">
        <v>0</v>
      </c>
      <c r="AF8594" s="21">
        <v>0</v>
      </c>
      <c r="AG8594" s="21">
        <v>0</v>
      </c>
      <c r="AH8594" s="21">
        <f t="shared" si="176"/>
        <v>96</v>
      </c>
      <c r="AI8594" s="21"/>
      <c r="AJ8594" s="21" t="s">
        <v>51</v>
      </c>
      <c r="AK8594" s="21" t="s">
        <v>95</v>
      </c>
      <c r="AL8594" s="21"/>
      <c r="AM8594" s="21" t="s">
        <v>5250</v>
      </c>
      <c r="AN8594" s="21">
        <v>-122.428236183333</v>
      </c>
      <c r="AO8594" s="21">
        <v>37.801822899999998</v>
      </c>
      <c r="AP8594" s="21" t="s">
        <v>951</v>
      </c>
    </row>
    <row r="8595" spans="1:42">
      <c r="A8595" s="20">
        <v>43852</v>
      </c>
      <c r="B8595" s="21">
        <v>3</v>
      </c>
      <c r="C8595" s="21">
        <v>210</v>
      </c>
      <c r="D8595" s="21">
        <v>14638</v>
      </c>
      <c r="E8595" s="21"/>
      <c r="F8595" s="21" t="s">
        <v>38</v>
      </c>
      <c r="G8595" s="21">
        <v>2</v>
      </c>
      <c r="H8595" s="21">
        <v>60</v>
      </c>
      <c r="I8595" s="23" t="s">
        <v>5251</v>
      </c>
      <c r="J8595" s="21"/>
      <c r="K8595" s="21" t="s">
        <v>2759</v>
      </c>
      <c r="L8595" s="21"/>
      <c r="M8595" s="21"/>
      <c r="N8595" s="21" t="s">
        <v>44</v>
      </c>
      <c r="O8595" s="21">
        <v>73</v>
      </c>
      <c r="P8595" s="21"/>
      <c r="Q8595" s="21">
        <f t="shared" si="175"/>
        <v>1</v>
      </c>
      <c r="R8595" s="21">
        <v>1</v>
      </c>
      <c r="S8595" s="21">
        <v>0</v>
      </c>
      <c r="T8595" s="21">
        <v>0</v>
      </c>
      <c r="U8595" s="21">
        <v>0</v>
      </c>
      <c r="V8595" s="21">
        <v>0</v>
      </c>
      <c r="W8595" s="21">
        <v>1</v>
      </c>
      <c r="X8595" s="21">
        <v>0</v>
      </c>
      <c r="Y8595" s="21">
        <v>0</v>
      </c>
      <c r="Z8595" s="21">
        <v>0</v>
      </c>
      <c r="AA8595" s="21">
        <v>0</v>
      </c>
      <c r="AB8595" s="21">
        <v>0</v>
      </c>
      <c r="AC8595" s="21">
        <v>0</v>
      </c>
      <c r="AD8595" s="21">
        <v>0</v>
      </c>
      <c r="AE8595" s="21">
        <v>0</v>
      </c>
      <c r="AF8595" s="21">
        <v>0</v>
      </c>
      <c r="AG8595" s="21">
        <v>0</v>
      </c>
      <c r="AH8595" s="21">
        <f t="shared" si="176"/>
        <v>96</v>
      </c>
      <c r="AI8595" s="21"/>
      <c r="AJ8595" s="21" t="s">
        <v>51</v>
      </c>
      <c r="AK8595" s="21" t="s">
        <v>95</v>
      </c>
      <c r="AL8595" s="21"/>
      <c r="AM8595" s="21" t="s">
        <v>5252</v>
      </c>
      <c r="AN8595" s="21">
        <v>-122.4275403</v>
      </c>
      <c r="AO8595" s="21">
        <v>37.801938450000002</v>
      </c>
      <c r="AP8595" s="21" t="s">
        <v>951</v>
      </c>
    </row>
    <row r="8596" spans="1:42">
      <c r="A8596" s="20">
        <v>43852</v>
      </c>
      <c r="B8596" s="21">
        <v>3</v>
      </c>
      <c r="C8596" s="21">
        <v>210</v>
      </c>
      <c r="D8596" s="21">
        <v>14638</v>
      </c>
      <c r="E8596" s="21"/>
      <c r="F8596" s="21" t="s">
        <v>38</v>
      </c>
      <c r="G8596" s="21">
        <v>2</v>
      </c>
      <c r="H8596" s="21">
        <v>61</v>
      </c>
      <c r="I8596" s="23" t="s">
        <v>5253</v>
      </c>
      <c r="J8596" s="21"/>
      <c r="K8596" s="21" t="s">
        <v>324</v>
      </c>
      <c r="L8596" s="21"/>
      <c r="M8596" s="21"/>
      <c r="N8596" s="21"/>
      <c r="O8596" s="21">
        <v>91</v>
      </c>
      <c r="P8596" s="21"/>
      <c r="Q8596" s="21">
        <f t="shared" si="175"/>
        <v>2</v>
      </c>
      <c r="R8596" s="21">
        <v>1</v>
      </c>
      <c r="S8596" s="21">
        <v>0</v>
      </c>
      <c r="T8596" s="21">
        <v>0</v>
      </c>
      <c r="U8596" s="21">
        <v>1</v>
      </c>
      <c r="V8596" s="21">
        <v>0</v>
      </c>
      <c r="W8596" s="21">
        <v>1</v>
      </c>
      <c r="X8596" s="21">
        <v>0</v>
      </c>
      <c r="Y8596" s="21">
        <v>0</v>
      </c>
      <c r="Z8596" s="21">
        <v>0</v>
      </c>
      <c r="AA8596" s="21">
        <v>0</v>
      </c>
      <c r="AB8596" s="21">
        <v>0</v>
      </c>
      <c r="AC8596" s="21">
        <v>0</v>
      </c>
      <c r="AD8596" s="21">
        <v>0</v>
      </c>
      <c r="AE8596" s="21">
        <v>0</v>
      </c>
      <c r="AF8596" s="21">
        <v>0</v>
      </c>
      <c r="AG8596" s="21">
        <v>0</v>
      </c>
      <c r="AH8596" s="21">
        <f t="shared" si="176"/>
        <v>128</v>
      </c>
      <c r="AI8596" s="21"/>
      <c r="AJ8596" s="21" t="s">
        <v>51</v>
      </c>
      <c r="AK8596" s="21" t="s">
        <v>95</v>
      </c>
      <c r="AL8596" s="21"/>
      <c r="AM8596" s="21" t="s">
        <v>5254</v>
      </c>
      <c r="AN8596" s="21">
        <v>-122.426898333333</v>
      </c>
      <c r="AO8596" s="21">
        <v>37.802005433333299</v>
      </c>
      <c r="AP8596" s="21" t="s">
        <v>951</v>
      </c>
    </row>
    <row r="8597" spans="1:42">
      <c r="A8597" s="20">
        <v>43852</v>
      </c>
      <c r="B8597" s="21">
        <v>3</v>
      </c>
      <c r="C8597" s="21">
        <v>210</v>
      </c>
      <c r="D8597" s="21">
        <v>14638</v>
      </c>
      <c r="E8597" s="21"/>
      <c r="F8597" s="21" t="s">
        <v>38</v>
      </c>
      <c r="G8597" s="21">
        <v>2</v>
      </c>
      <c r="H8597" s="21">
        <v>62</v>
      </c>
      <c r="I8597" s="23" t="s">
        <v>5255</v>
      </c>
      <c r="J8597" s="21"/>
      <c r="K8597" s="21" t="s">
        <v>324</v>
      </c>
      <c r="L8597" s="21"/>
      <c r="M8597" s="21"/>
      <c r="N8597" s="21" t="s">
        <v>44</v>
      </c>
      <c r="O8597" s="21">
        <v>113</v>
      </c>
      <c r="P8597" s="21"/>
      <c r="Q8597" s="21">
        <f t="shared" si="175"/>
        <v>2</v>
      </c>
      <c r="R8597" s="21">
        <v>1</v>
      </c>
      <c r="S8597" s="21">
        <v>0</v>
      </c>
      <c r="T8597" s="21">
        <v>0</v>
      </c>
      <c r="U8597" s="21">
        <v>1</v>
      </c>
      <c r="V8597" s="21">
        <v>0</v>
      </c>
      <c r="W8597" s="21">
        <v>1</v>
      </c>
      <c r="X8597" s="21">
        <v>0</v>
      </c>
      <c r="Y8597" s="21">
        <v>0</v>
      </c>
      <c r="Z8597" s="21">
        <v>0</v>
      </c>
      <c r="AA8597" s="21">
        <v>0</v>
      </c>
      <c r="AB8597" s="21">
        <v>0</v>
      </c>
      <c r="AC8597" s="21">
        <v>0</v>
      </c>
      <c r="AD8597" s="21">
        <v>0</v>
      </c>
      <c r="AE8597" s="21">
        <v>0</v>
      </c>
      <c r="AF8597" s="21">
        <v>0</v>
      </c>
      <c r="AG8597" s="21">
        <v>0</v>
      </c>
      <c r="AH8597" s="21">
        <f t="shared" si="176"/>
        <v>128</v>
      </c>
      <c r="AI8597" s="21"/>
      <c r="AJ8597" s="21" t="s">
        <v>51</v>
      </c>
      <c r="AK8597" s="21" t="s">
        <v>95</v>
      </c>
      <c r="AL8597" s="21"/>
      <c r="AM8597" s="21" t="s">
        <v>5256</v>
      </c>
      <c r="AN8597" s="21">
        <v>-122.426852833333</v>
      </c>
      <c r="AO8597" s="21">
        <v>37.802009966666702</v>
      </c>
      <c r="AP8597" s="21" t="s">
        <v>951</v>
      </c>
    </row>
    <row r="8598" spans="1:42">
      <c r="A8598" s="20">
        <v>43852</v>
      </c>
      <c r="B8598" s="21">
        <v>3</v>
      </c>
      <c r="C8598" s="21">
        <v>210</v>
      </c>
      <c r="D8598" s="21">
        <v>14638</v>
      </c>
      <c r="E8598" s="21"/>
      <c r="F8598" s="21" t="s">
        <v>38</v>
      </c>
      <c r="G8598" s="21">
        <v>2</v>
      </c>
      <c r="H8598" s="21">
        <v>63</v>
      </c>
      <c r="I8598" s="23" t="s">
        <v>5257</v>
      </c>
      <c r="J8598" s="21"/>
      <c r="K8598" s="21" t="s">
        <v>324</v>
      </c>
      <c r="L8598" s="21"/>
      <c r="M8598" s="21"/>
      <c r="N8598" s="21" t="s">
        <v>40</v>
      </c>
      <c r="O8598" s="21">
        <v>39</v>
      </c>
      <c r="P8598" s="21"/>
      <c r="Q8598" s="21">
        <f t="shared" si="175"/>
        <v>1</v>
      </c>
      <c r="R8598" s="21">
        <v>1</v>
      </c>
      <c r="S8598" s="21">
        <v>0</v>
      </c>
      <c r="T8598" s="21">
        <v>0</v>
      </c>
      <c r="U8598" s="21">
        <v>0</v>
      </c>
      <c r="V8598" s="21">
        <v>0</v>
      </c>
      <c r="W8598" s="21">
        <v>1</v>
      </c>
      <c r="X8598" s="21">
        <v>0</v>
      </c>
      <c r="Y8598" s="21">
        <v>0</v>
      </c>
      <c r="Z8598" s="21">
        <v>0</v>
      </c>
      <c r="AA8598" s="21">
        <v>0</v>
      </c>
      <c r="AB8598" s="21">
        <v>0</v>
      </c>
      <c r="AC8598" s="21">
        <v>0</v>
      </c>
      <c r="AD8598" s="21">
        <v>0</v>
      </c>
      <c r="AE8598" s="21">
        <v>0</v>
      </c>
      <c r="AF8598" s="21">
        <v>0</v>
      </c>
      <c r="AG8598" s="21">
        <v>0</v>
      </c>
      <c r="AH8598" s="21">
        <f t="shared" si="176"/>
        <v>96</v>
      </c>
      <c r="AI8598" s="21"/>
      <c r="AJ8598" s="21" t="s">
        <v>51</v>
      </c>
      <c r="AK8598" s="21" t="s">
        <v>95</v>
      </c>
      <c r="AL8598" s="21"/>
      <c r="AM8598" s="21" t="s">
        <v>5258</v>
      </c>
      <c r="AN8598" s="21">
        <v>-122.426280816667</v>
      </c>
      <c r="AO8598" s="21">
        <v>37.803080983333302</v>
      </c>
      <c r="AP8598" s="21" t="s">
        <v>951</v>
      </c>
    </row>
    <row r="8599" spans="1:42">
      <c r="A8599" s="20">
        <v>43852</v>
      </c>
      <c r="B8599" s="21">
        <v>3</v>
      </c>
      <c r="C8599" s="21">
        <v>210</v>
      </c>
      <c r="D8599" s="21">
        <v>14638</v>
      </c>
      <c r="E8599" s="21"/>
      <c r="F8599" s="21" t="s">
        <v>38</v>
      </c>
      <c r="G8599" s="21">
        <v>2</v>
      </c>
      <c r="H8599" s="21">
        <v>65</v>
      </c>
      <c r="I8599" s="23" t="s">
        <v>5259</v>
      </c>
      <c r="J8599" s="21"/>
      <c r="K8599" s="21" t="s">
        <v>588</v>
      </c>
      <c r="L8599" s="21"/>
      <c r="M8599" s="21"/>
      <c r="N8599" s="21" t="s">
        <v>44</v>
      </c>
      <c r="O8599" s="21">
        <v>88</v>
      </c>
      <c r="P8599" s="21"/>
      <c r="Q8599" s="21">
        <f t="shared" si="175"/>
        <v>2</v>
      </c>
      <c r="R8599" s="21">
        <v>1</v>
      </c>
      <c r="S8599" s="21">
        <v>0</v>
      </c>
      <c r="T8599" s="21">
        <v>0</v>
      </c>
      <c r="U8599" s="21">
        <v>1</v>
      </c>
      <c r="V8599" s="21">
        <v>0</v>
      </c>
      <c r="W8599" s="21">
        <v>1</v>
      </c>
      <c r="X8599" s="21">
        <v>0</v>
      </c>
      <c r="Y8599" s="21">
        <v>0</v>
      </c>
      <c r="Z8599" s="21">
        <v>0</v>
      </c>
      <c r="AA8599" s="21">
        <v>0</v>
      </c>
      <c r="AB8599" s="21">
        <v>0</v>
      </c>
      <c r="AC8599" s="21">
        <v>0</v>
      </c>
      <c r="AD8599" s="21">
        <v>0</v>
      </c>
      <c r="AE8599" s="21">
        <v>0</v>
      </c>
      <c r="AF8599" s="21">
        <v>0</v>
      </c>
      <c r="AG8599" s="21">
        <v>0</v>
      </c>
      <c r="AH8599" s="21">
        <f t="shared" si="176"/>
        <v>128</v>
      </c>
      <c r="AI8599" s="21"/>
      <c r="AJ8599" s="21" t="s">
        <v>51</v>
      </c>
      <c r="AK8599" s="21" t="s">
        <v>95</v>
      </c>
      <c r="AL8599" s="21"/>
      <c r="AM8599" s="21" t="s">
        <v>5260</v>
      </c>
      <c r="AN8599" s="21">
        <v>-122.431384783333</v>
      </c>
      <c r="AO8599" s="21">
        <v>37.8018340333333</v>
      </c>
      <c r="AP8599" s="21" t="s">
        <v>951</v>
      </c>
    </row>
    <row r="8600" spans="1:42">
      <c r="A8600" s="20">
        <v>43852</v>
      </c>
      <c r="B8600" s="21">
        <v>3</v>
      </c>
      <c r="C8600" s="21">
        <v>210</v>
      </c>
      <c r="D8600" s="21">
        <v>14638</v>
      </c>
      <c r="E8600" s="21"/>
      <c r="F8600" s="21" t="s">
        <v>38</v>
      </c>
      <c r="G8600" s="21">
        <v>2</v>
      </c>
      <c r="H8600" s="21">
        <v>66</v>
      </c>
      <c r="I8600" s="23" t="s">
        <v>5261</v>
      </c>
      <c r="J8600" s="21"/>
      <c r="K8600" s="21" t="s">
        <v>588</v>
      </c>
      <c r="L8600" s="21"/>
      <c r="M8600" s="21"/>
      <c r="N8600" s="21"/>
      <c r="O8600" s="21">
        <v>115</v>
      </c>
      <c r="P8600" s="21"/>
      <c r="Q8600" s="21">
        <f t="shared" si="175"/>
        <v>2</v>
      </c>
      <c r="R8600" s="21">
        <v>1</v>
      </c>
      <c r="S8600" s="21">
        <v>0</v>
      </c>
      <c r="T8600" s="21">
        <v>0</v>
      </c>
      <c r="U8600" s="21">
        <v>1</v>
      </c>
      <c r="V8600" s="21">
        <v>0</v>
      </c>
      <c r="W8600" s="21">
        <v>1</v>
      </c>
      <c r="X8600" s="21">
        <v>0</v>
      </c>
      <c r="Y8600" s="21">
        <v>0</v>
      </c>
      <c r="Z8600" s="21">
        <v>0</v>
      </c>
      <c r="AA8600" s="21">
        <v>0</v>
      </c>
      <c r="AB8600" s="21">
        <v>0</v>
      </c>
      <c r="AC8600" s="21">
        <v>0</v>
      </c>
      <c r="AD8600" s="21">
        <v>0</v>
      </c>
      <c r="AE8600" s="21">
        <v>0</v>
      </c>
      <c r="AF8600" s="21">
        <v>0</v>
      </c>
      <c r="AG8600" s="21">
        <v>0</v>
      </c>
      <c r="AH8600" s="21">
        <f t="shared" si="176"/>
        <v>128</v>
      </c>
      <c r="AI8600" s="21"/>
      <c r="AJ8600" s="21" t="s">
        <v>51</v>
      </c>
      <c r="AK8600" s="21" t="s">
        <v>95</v>
      </c>
      <c r="AL8600" s="21"/>
      <c r="AM8600" s="21" t="s">
        <v>5262</v>
      </c>
      <c r="AN8600" s="21">
        <v>-122.431380766667</v>
      </c>
      <c r="AO8600" s="21">
        <v>37.80187505</v>
      </c>
      <c r="AP8600" s="21" t="s">
        <v>951</v>
      </c>
    </row>
    <row r="8601" spans="1:42">
      <c r="A8601" s="20">
        <v>43852</v>
      </c>
      <c r="B8601" s="21">
        <v>3</v>
      </c>
      <c r="C8601" s="21">
        <v>210</v>
      </c>
      <c r="D8601" s="21">
        <v>14638</v>
      </c>
      <c r="E8601" s="21"/>
      <c r="F8601" s="21" t="s">
        <v>38</v>
      </c>
      <c r="G8601" s="21">
        <v>2</v>
      </c>
      <c r="H8601" s="21">
        <v>67</v>
      </c>
      <c r="I8601" s="23" t="s">
        <v>5263</v>
      </c>
      <c r="J8601" s="21"/>
      <c r="K8601" s="21" t="s">
        <v>588</v>
      </c>
      <c r="L8601" s="21"/>
      <c r="M8601" s="21"/>
      <c r="N8601" s="21" t="s">
        <v>44</v>
      </c>
      <c r="O8601" s="21">
        <v>66</v>
      </c>
      <c r="P8601" s="21"/>
      <c r="Q8601" s="21">
        <f t="shared" si="175"/>
        <v>1</v>
      </c>
      <c r="R8601" s="21">
        <v>1</v>
      </c>
      <c r="S8601" s="21">
        <v>0</v>
      </c>
      <c r="T8601" s="21">
        <v>0</v>
      </c>
      <c r="U8601" s="21">
        <v>0</v>
      </c>
      <c r="V8601" s="21">
        <v>0</v>
      </c>
      <c r="W8601" s="21">
        <v>1</v>
      </c>
      <c r="X8601" s="21">
        <v>0</v>
      </c>
      <c r="Y8601" s="21">
        <v>0</v>
      </c>
      <c r="Z8601" s="21">
        <v>0</v>
      </c>
      <c r="AA8601" s="21">
        <v>0</v>
      </c>
      <c r="AB8601" s="21">
        <v>0</v>
      </c>
      <c r="AC8601" s="21">
        <v>0</v>
      </c>
      <c r="AD8601" s="21">
        <v>0</v>
      </c>
      <c r="AE8601" s="21">
        <v>0</v>
      </c>
      <c r="AF8601" s="21">
        <v>0</v>
      </c>
      <c r="AG8601" s="21">
        <v>0</v>
      </c>
      <c r="AH8601" s="21">
        <f t="shared" si="176"/>
        <v>96</v>
      </c>
      <c r="AI8601" s="21"/>
      <c r="AJ8601" s="21" t="s">
        <v>51</v>
      </c>
      <c r="AK8601" s="21" t="s">
        <v>95</v>
      </c>
      <c r="AL8601" s="21"/>
      <c r="AM8601" s="21" t="s">
        <v>5264</v>
      </c>
      <c r="AN8601" s="21">
        <v>-122.431383883333</v>
      </c>
      <c r="AO8601" s="21">
        <v>37.8019909333333</v>
      </c>
      <c r="AP8601" s="21" t="s">
        <v>951</v>
      </c>
    </row>
    <row r="8602" spans="1:42">
      <c r="A8602" s="20">
        <v>43852</v>
      </c>
      <c r="B8602" s="21">
        <v>3</v>
      </c>
      <c r="C8602" s="21">
        <v>210</v>
      </c>
      <c r="D8602" s="21">
        <v>14638</v>
      </c>
      <c r="E8602" s="21"/>
      <c r="F8602" s="21" t="s">
        <v>38</v>
      </c>
      <c r="G8602" s="21">
        <v>2</v>
      </c>
      <c r="H8602" s="21">
        <v>68</v>
      </c>
      <c r="I8602" s="23" t="s">
        <v>5265</v>
      </c>
      <c r="J8602" s="21"/>
      <c r="K8602" s="21" t="s">
        <v>588</v>
      </c>
      <c r="L8602" s="21"/>
      <c r="M8602" s="21"/>
      <c r="N8602" s="21" t="s">
        <v>44</v>
      </c>
      <c r="O8602" s="21">
        <v>61</v>
      </c>
      <c r="P8602" s="21"/>
      <c r="Q8602" s="21">
        <f t="shared" si="175"/>
        <v>1</v>
      </c>
      <c r="R8602" s="21">
        <v>1</v>
      </c>
      <c r="S8602" s="21">
        <v>0</v>
      </c>
      <c r="T8602" s="21">
        <v>0</v>
      </c>
      <c r="U8602" s="21">
        <v>0</v>
      </c>
      <c r="V8602" s="21">
        <v>1</v>
      </c>
      <c r="W8602" s="21">
        <v>0</v>
      </c>
      <c r="X8602" s="21">
        <v>0</v>
      </c>
      <c r="Y8602" s="21">
        <v>0</v>
      </c>
      <c r="Z8602" s="21">
        <v>0</v>
      </c>
      <c r="AA8602" s="21">
        <v>0</v>
      </c>
      <c r="AB8602" s="21">
        <v>0</v>
      </c>
      <c r="AC8602" s="21">
        <v>0</v>
      </c>
      <c r="AD8602" s="21">
        <v>0</v>
      </c>
      <c r="AE8602" s="21">
        <v>0</v>
      </c>
      <c r="AF8602" s="21">
        <v>0</v>
      </c>
      <c r="AG8602" s="21">
        <v>0</v>
      </c>
      <c r="AH8602" s="21">
        <f t="shared" si="176"/>
        <v>64</v>
      </c>
      <c r="AI8602" s="21"/>
      <c r="AJ8602" s="21" t="s">
        <v>51</v>
      </c>
      <c r="AK8602" s="21" t="s">
        <v>95</v>
      </c>
      <c r="AL8602" s="21"/>
      <c r="AM8602" s="21" t="s">
        <v>5266</v>
      </c>
      <c r="AN8602" s="21">
        <v>-122.431410716667</v>
      </c>
      <c r="AO8602" s="21">
        <v>37.802164433333303</v>
      </c>
      <c r="AP8602" s="21" t="s">
        <v>951</v>
      </c>
    </row>
    <row r="8603" spans="1:42">
      <c r="A8603" s="20">
        <v>43852</v>
      </c>
      <c r="B8603" s="21">
        <v>3</v>
      </c>
      <c r="C8603" s="21">
        <v>210</v>
      </c>
      <c r="D8603" s="21">
        <v>14638</v>
      </c>
      <c r="E8603" s="21"/>
      <c r="F8603" s="21" t="s">
        <v>38</v>
      </c>
      <c r="G8603" s="21">
        <v>2</v>
      </c>
      <c r="H8603" s="21">
        <v>69</v>
      </c>
      <c r="I8603" s="23" t="s">
        <v>5267</v>
      </c>
      <c r="J8603" s="21"/>
      <c r="K8603" s="21" t="s">
        <v>588</v>
      </c>
      <c r="L8603" s="21"/>
      <c r="M8603" s="21"/>
      <c r="N8603" s="21" t="s">
        <v>44</v>
      </c>
      <c r="O8603" s="21">
        <v>107</v>
      </c>
      <c r="P8603" s="21"/>
      <c r="Q8603" s="21">
        <f t="shared" si="175"/>
        <v>2</v>
      </c>
      <c r="R8603" s="21">
        <v>1</v>
      </c>
      <c r="S8603" s="21">
        <v>0</v>
      </c>
      <c r="T8603" s="21">
        <v>0</v>
      </c>
      <c r="U8603" s="21">
        <v>1</v>
      </c>
      <c r="V8603" s="21">
        <v>1</v>
      </c>
      <c r="W8603" s="21">
        <v>0</v>
      </c>
      <c r="X8603" s="21">
        <v>0</v>
      </c>
      <c r="Y8603" s="21">
        <v>0</v>
      </c>
      <c r="Z8603" s="21">
        <v>0</v>
      </c>
      <c r="AA8603" s="21">
        <v>0</v>
      </c>
      <c r="AB8603" s="21">
        <v>0</v>
      </c>
      <c r="AC8603" s="21">
        <v>0</v>
      </c>
      <c r="AD8603" s="21">
        <v>0</v>
      </c>
      <c r="AE8603" s="21">
        <v>0</v>
      </c>
      <c r="AF8603" s="21">
        <v>0</v>
      </c>
      <c r="AG8603" s="21">
        <v>0</v>
      </c>
      <c r="AH8603" s="21">
        <f t="shared" si="176"/>
        <v>96</v>
      </c>
      <c r="AI8603" s="21"/>
      <c r="AJ8603" s="21" t="s">
        <v>51</v>
      </c>
      <c r="AK8603" s="21" t="s">
        <v>95</v>
      </c>
      <c r="AL8603" s="21"/>
      <c r="AM8603" s="21" t="s">
        <v>5268</v>
      </c>
      <c r="AN8603" s="21">
        <v>-122.4314397</v>
      </c>
      <c r="AO8603" s="21">
        <v>37.802183733333301</v>
      </c>
      <c r="AP8603" s="21" t="s">
        <v>951</v>
      </c>
    </row>
    <row r="8604" spans="1:42">
      <c r="A8604" s="20">
        <v>43852</v>
      </c>
      <c r="B8604" s="21">
        <v>3</v>
      </c>
      <c r="C8604" s="21">
        <v>210</v>
      </c>
      <c r="D8604" s="21">
        <v>14638</v>
      </c>
      <c r="E8604" s="21"/>
      <c r="F8604" s="21" t="s">
        <v>38</v>
      </c>
      <c r="G8604" s="21">
        <v>2</v>
      </c>
      <c r="H8604" s="21">
        <v>70</v>
      </c>
      <c r="I8604" s="23" t="s">
        <v>3605</v>
      </c>
      <c r="J8604" s="21"/>
      <c r="K8604" s="21" t="s">
        <v>862</v>
      </c>
      <c r="L8604" s="21"/>
      <c r="M8604" s="21"/>
      <c r="N8604" s="21" t="s">
        <v>44</v>
      </c>
      <c r="O8604" s="21">
        <v>75</v>
      </c>
      <c r="P8604" s="21"/>
      <c r="Q8604" s="21">
        <f t="shared" si="175"/>
        <v>2</v>
      </c>
      <c r="R8604" s="21">
        <v>1</v>
      </c>
      <c r="S8604" s="21">
        <v>0</v>
      </c>
      <c r="T8604" s="21">
        <v>0</v>
      </c>
      <c r="U8604" s="21">
        <v>0</v>
      </c>
      <c r="V8604" s="21">
        <v>1</v>
      </c>
      <c r="W8604" s="21">
        <v>1</v>
      </c>
      <c r="X8604" s="21">
        <v>0</v>
      </c>
      <c r="Y8604" s="21">
        <v>0</v>
      </c>
      <c r="Z8604" s="21">
        <v>0</v>
      </c>
      <c r="AA8604" s="21">
        <v>0</v>
      </c>
      <c r="AB8604" s="21">
        <v>0</v>
      </c>
      <c r="AC8604" s="21">
        <v>0</v>
      </c>
      <c r="AD8604" s="21">
        <v>0</v>
      </c>
      <c r="AE8604" s="21">
        <v>0</v>
      </c>
      <c r="AF8604" s="21">
        <v>0</v>
      </c>
      <c r="AG8604" s="21">
        <v>0</v>
      </c>
      <c r="AH8604" s="21">
        <f t="shared" si="176"/>
        <v>160</v>
      </c>
      <c r="AI8604" s="21"/>
      <c r="AJ8604" s="21" t="s">
        <v>51</v>
      </c>
      <c r="AK8604" s="21" t="s">
        <v>95</v>
      </c>
      <c r="AL8604" s="21"/>
      <c r="AM8604" s="21" t="s">
        <v>5269</v>
      </c>
      <c r="AN8604" s="21">
        <v>-122.430442816667</v>
      </c>
      <c r="AO8604" s="21">
        <v>37.802474466666702</v>
      </c>
      <c r="AP8604" s="21" t="s">
        <v>951</v>
      </c>
    </row>
    <row r="8605" spans="1:42">
      <c r="A8605" s="20">
        <v>43852</v>
      </c>
      <c r="B8605" s="21">
        <v>3</v>
      </c>
      <c r="C8605" s="21">
        <v>210</v>
      </c>
      <c r="D8605" s="21">
        <v>14638</v>
      </c>
      <c r="E8605" s="21"/>
      <c r="F8605" s="21" t="s">
        <v>38</v>
      </c>
      <c r="G8605" s="21">
        <v>2</v>
      </c>
      <c r="H8605" s="21">
        <v>71</v>
      </c>
      <c r="I8605" s="23" t="s">
        <v>3871</v>
      </c>
      <c r="J8605" s="21"/>
      <c r="K8605" s="21" t="s">
        <v>862</v>
      </c>
      <c r="L8605" s="21" t="s">
        <v>141</v>
      </c>
      <c r="M8605" s="21"/>
      <c r="N8605" s="21" t="s">
        <v>44</v>
      </c>
      <c r="O8605" s="21">
        <v>35</v>
      </c>
      <c r="P8605" s="21"/>
      <c r="Q8605" s="21">
        <f t="shared" si="175"/>
        <v>1</v>
      </c>
      <c r="R8605" s="21">
        <v>1</v>
      </c>
      <c r="S8605" s="21">
        <v>0</v>
      </c>
      <c r="T8605" s="21">
        <v>0</v>
      </c>
      <c r="U8605" s="21">
        <v>0</v>
      </c>
      <c r="V8605" s="21">
        <v>1</v>
      </c>
      <c r="W8605" s="21">
        <v>0</v>
      </c>
      <c r="X8605" s="21">
        <v>0</v>
      </c>
      <c r="Y8605" s="21">
        <v>0</v>
      </c>
      <c r="Z8605" s="21">
        <v>0</v>
      </c>
      <c r="AA8605" s="21">
        <v>0</v>
      </c>
      <c r="AB8605" s="21">
        <v>0</v>
      </c>
      <c r="AC8605" s="21">
        <v>0</v>
      </c>
      <c r="AD8605" s="21">
        <v>0</v>
      </c>
      <c r="AE8605" s="21">
        <v>0</v>
      </c>
      <c r="AF8605" s="21">
        <v>0</v>
      </c>
      <c r="AG8605" s="21">
        <v>0</v>
      </c>
      <c r="AH8605" s="21">
        <f t="shared" si="176"/>
        <v>64</v>
      </c>
      <c r="AI8605" s="21"/>
      <c r="AJ8605" s="21" t="s">
        <v>51</v>
      </c>
      <c r="AK8605" s="21" t="s">
        <v>95</v>
      </c>
      <c r="AL8605" s="21"/>
      <c r="AM8605" s="21" t="s">
        <v>5270</v>
      </c>
      <c r="AN8605" s="21">
        <v>-122.430418433333</v>
      </c>
      <c r="AO8605" s="21">
        <v>37.802503733333303</v>
      </c>
      <c r="AP8605" s="21" t="s">
        <v>951</v>
      </c>
    </row>
    <row r="8606" spans="1:42">
      <c r="A8606" s="20">
        <v>43852</v>
      </c>
      <c r="B8606" s="21">
        <v>3</v>
      </c>
      <c r="C8606" s="21">
        <v>210</v>
      </c>
      <c r="D8606" s="21">
        <v>14638</v>
      </c>
      <c r="E8606" s="21"/>
      <c r="F8606" s="21" t="s">
        <v>38</v>
      </c>
      <c r="G8606" s="21">
        <v>2</v>
      </c>
      <c r="H8606" s="21">
        <v>72</v>
      </c>
      <c r="I8606" s="23" t="s">
        <v>5271</v>
      </c>
      <c r="J8606" s="21"/>
      <c r="K8606" s="21" t="s">
        <v>595</v>
      </c>
      <c r="L8606" s="21"/>
      <c r="M8606" s="21"/>
      <c r="N8606" s="21" t="s">
        <v>44</v>
      </c>
      <c r="O8606" s="21">
        <v>165</v>
      </c>
      <c r="P8606" s="21"/>
      <c r="Q8606" s="21">
        <f t="shared" si="175"/>
        <v>3</v>
      </c>
      <c r="R8606" s="21">
        <v>1</v>
      </c>
      <c r="S8606" s="21">
        <v>0</v>
      </c>
      <c r="T8606" s="21">
        <v>1</v>
      </c>
      <c r="U8606" s="21">
        <v>1</v>
      </c>
      <c r="V8606" s="21">
        <v>1</v>
      </c>
      <c r="W8606" s="21">
        <v>0</v>
      </c>
      <c r="X8606" s="21">
        <v>0</v>
      </c>
      <c r="Y8606" s="21">
        <v>0</v>
      </c>
      <c r="Z8606" s="21">
        <v>0</v>
      </c>
      <c r="AA8606" s="21">
        <v>0</v>
      </c>
      <c r="AB8606" s="21">
        <v>0</v>
      </c>
      <c r="AC8606" s="21">
        <v>0</v>
      </c>
      <c r="AD8606" s="21">
        <v>0</v>
      </c>
      <c r="AE8606" s="21">
        <v>0</v>
      </c>
      <c r="AF8606" s="21">
        <v>0</v>
      </c>
      <c r="AG8606" s="21">
        <v>0</v>
      </c>
      <c r="AH8606" s="21">
        <f t="shared" si="176"/>
        <v>116</v>
      </c>
      <c r="AI8606" s="21"/>
      <c r="AJ8606" s="21" t="s">
        <v>51</v>
      </c>
      <c r="AK8606" s="21" t="s">
        <v>52</v>
      </c>
      <c r="AL8606" s="21" t="s">
        <v>5272</v>
      </c>
      <c r="AM8606" s="21" t="s">
        <v>5273</v>
      </c>
      <c r="AN8606" s="21">
        <v>-122.43002466666699</v>
      </c>
      <c r="AO8606" s="21">
        <v>37.803319933333299</v>
      </c>
      <c r="AP8606" s="21" t="s">
        <v>951</v>
      </c>
    </row>
    <row r="8607" spans="1:42">
      <c r="A8607" s="20">
        <v>43852</v>
      </c>
      <c r="B8607" s="21">
        <v>3</v>
      </c>
      <c r="C8607" s="21">
        <v>210</v>
      </c>
      <c r="D8607" s="21">
        <v>14638</v>
      </c>
      <c r="E8607" s="21"/>
      <c r="F8607" s="21" t="s">
        <v>38</v>
      </c>
      <c r="G8607" s="21">
        <v>2</v>
      </c>
      <c r="H8607" s="21">
        <v>73</v>
      </c>
      <c r="I8607" s="23" t="s">
        <v>5274</v>
      </c>
      <c r="J8607" s="21"/>
      <c r="K8607" s="21" t="s">
        <v>595</v>
      </c>
      <c r="L8607" s="21"/>
      <c r="M8607" s="21"/>
      <c r="N8607" s="21" t="s">
        <v>44</v>
      </c>
      <c r="O8607" s="21"/>
      <c r="P8607" s="21">
        <v>56</v>
      </c>
      <c r="Q8607" s="21">
        <f t="shared" si="175"/>
        <v>2</v>
      </c>
      <c r="R8607" s="21">
        <v>1</v>
      </c>
      <c r="S8607" s="21">
        <v>0</v>
      </c>
      <c r="T8607" s="21">
        <v>0</v>
      </c>
      <c r="U8607" s="21">
        <v>1</v>
      </c>
      <c r="V8607" s="21">
        <v>0</v>
      </c>
      <c r="W8607" s="21">
        <v>1</v>
      </c>
      <c r="X8607" s="21">
        <v>0</v>
      </c>
      <c r="Y8607" s="21">
        <v>0</v>
      </c>
      <c r="Z8607" s="21">
        <v>0</v>
      </c>
      <c r="AA8607" s="21">
        <v>0</v>
      </c>
      <c r="AB8607" s="21">
        <v>0</v>
      </c>
      <c r="AC8607" s="21">
        <v>0</v>
      </c>
      <c r="AD8607" s="21">
        <v>0</v>
      </c>
      <c r="AE8607" s="21">
        <v>0</v>
      </c>
      <c r="AF8607" s="21">
        <v>0</v>
      </c>
      <c r="AG8607" s="21">
        <v>0</v>
      </c>
      <c r="AH8607" s="21">
        <f t="shared" si="176"/>
        <v>128</v>
      </c>
      <c r="AI8607" s="21"/>
      <c r="AJ8607" s="21" t="s">
        <v>51</v>
      </c>
      <c r="AK8607" s="21" t="s">
        <v>52</v>
      </c>
      <c r="AL8607" s="21"/>
      <c r="AM8607" s="21" t="s">
        <v>5275</v>
      </c>
      <c r="AN8607" s="21">
        <v>-122.433261860454</v>
      </c>
      <c r="AO8607" s="21">
        <v>37.800087013185703</v>
      </c>
      <c r="AP8607" s="21" t="s">
        <v>951</v>
      </c>
    </row>
    <row r="8608" spans="1:42">
      <c r="A8608" s="20">
        <v>43852</v>
      </c>
      <c r="B8608" s="21">
        <v>3</v>
      </c>
      <c r="C8608" s="21">
        <v>210</v>
      </c>
      <c r="D8608" s="21">
        <v>14638</v>
      </c>
      <c r="E8608" s="21"/>
      <c r="F8608" s="21" t="s">
        <v>38</v>
      </c>
      <c r="G8608" s="21">
        <v>2</v>
      </c>
      <c r="H8608" s="21">
        <v>74</v>
      </c>
      <c r="I8608" s="23" t="s">
        <v>5276</v>
      </c>
      <c r="J8608" s="21"/>
      <c r="K8608" s="21" t="s">
        <v>596</v>
      </c>
      <c r="L8608" s="21"/>
      <c r="M8608" s="21"/>
      <c r="N8608" s="21" t="s">
        <v>44</v>
      </c>
      <c r="O8608" s="21">
        <v>121</v>
      </c>
      <c r="P8608" s="21"/>
      <c r="Q8608" s="21">
        <f t="shared" si="175"/>
        <v>3</v>
      </c>
      <c r="R8608" s="21">
        <v>1</v>
      </c>
      <c r="S8608" s="21">
        <v>0</v>
      </c>
      <c r="T8608" s="21">
        <v>0</v>
      </c>
      <c r="U8608" s="21">
        <v>0</v>
      </c>
      <c r="V8608" s="21">
        <v>1</v>
      </c>
      <c r="W8608" s="21">
        <v>2</v>
      </c>
      <c r="X8608" s="21">
        <v>0</v>
      </c>
      <c r="Y8608" s="21">
        <v>0</v>
      </c>
      <c r="Z8608" s="21">
        <v>0</v>
      </c>
      <c r="AA8608" s="21">
        <v>0</v>
      </c>
      <c r="AB8608" s="21">
        <v>0</v>
      </c>
      <c r="AC8608" s="21">
        <v>0</v>
      </c>
      <c r="AD8608" s="21">
        <v>0</v>
      </c>
      <c r="AE8608" s="21">
        <v>0</v>
      </c>
      <c r="AF8608" s="21">
        <v>0</v>
      </c>
      <c r="AG8608" s="21">
        <v>0</v>
      </c>
      <c r="AH8608" s="21">
        <f t="shared" si="176"/>
        <v>256</v>
      </c>
      <c r="AI8608" s="21"/>
      <c r="AJ8608" s="21" t="s">
        <v>51</v>
      </c>
      <c r="AK8608" s="21" t="s">
        <v>95</v>
      </c>
      <c r="AL8608" s="21" t="s">
        <v>5277</v>
      </c>
      <c r="AM8608" s="21" t="s">
        <v>5278</v>
      </c>
      <c r="AN8608" s="21">
        <v>-122.42980893519901</v>
      </c>
      <c r="AO8608" s="21">
        <v>37.800074571120199</v>
      </c>
      <c r="AP8608" s="21" t="s">
        <v>951</v>
      </c>
    </row>
    <row r="8609" spans="1:42">
      <c r="A8609" s="20">
        <v>43852</v>
      </c>
      <c r="B8609" s="21">
        <v>3</v>
      </c>
      <c r="C8609" s="21">
        <v>210</v>
      </c>
      <c r="D8609" s="21">
        <v>14638</v>
      </c>
      <c r="E8609" s="21"/>
      <c r="F8609" s="21" t="s">
        <v>38</v>
      </c>
      <c r="G8609" s="21">
        <v>2</v>
      </c>
      <c r="H8609" s="21">
        <v>75</v>
      </c>
      <c r="I8609" s="23" t="s">
        <v>5279</v>
      </c>
      <c r="J8609" s="21"/>
      <c r="K8609" s="21" t="s">
        <v>1122</v>
      </c>
      <c r="L8609" s="21" t="s">
        <v>114</v>
      </c>
      <c r="M8609" s="21"/>
      <c r="N8609" s="21" t="s">
        <v>40</v>
      </c>
      <c r="O8609" s="21">
        <v>43</v>
      </c>
      <c r="P8609" s="21"/>
      <c r="Q8609" s="21">
        <f t="shared" si="175"/>
        <v>1</v>
      </c>
      <c r="R8609" s="21">
        <v>1</v>
      </c>
      <c r="S8609" s="21">
        <v>0</v>
      </c>
      <c r="T8609" s="21">
        <v>0</v>
      </c>
      <c r="U8609" s="21">
        <v>0</v>
      </c>
      <c r="V8609" s="21">
        <v>0</v>
      </c>
      <c r="W8609" s="21">
        <v>1</v>
      </c>
      <c r="X8609" s="21">
        <v>0</v>
      </c>
      <c r="Y8609" s="21">
        <v>0</v>
      </c>
      <c r="Z8609" s="21">
        <v>0</v>
      </c>
      <c r="AA8609" s="21">
        <v>0</v>
      </c>
      <c r="AB8609" s="21">
        <v>0</v>
      </c>
      <c r="AC8609" s="21">
        <v>0</v>
      </c>
      <c r="AD8609" s="21">
        <v>0</v>
      </c>
      <c r="AE8609" s="21">
        <v>0</v>
      </c>
      <c r="AF8609" s="21">
        <v>0</v>
      </c>
      <c r="AG8609" s="21">
        <v>0</v>
      </c>
      <c r="AH8609" s="21">
        <f t="shared" si="176"/>
        <v>96</v>
      </c>
      <c r="AI8609" s="21"/>
      <c r="AJ8609" s="21" t="s">
        <v>51</v>
      </c>
      <c r="AK8609" s="21" t="s">
        <v>95</v>
      </c>
      <c r="AL8609" s="21"/>
      <c r="AM8609" s="21" t="s">
        <v>5280</v>
      </c>
      <c r="AN8609" s="21">
        <v>-122.434188466667</v>
      </c>
      <c r="AO8609" s="21">
        <v>37.803074483333297</v>
      </c>
      <c r="AP8609" s="21" t="s">
        <v>951</v>
      </c>
    </row>
    <row r="8610" spans="1:42">
      <c r="A8610" s="20">
        <v>43852</v>
      </c>
      <c r="B8610" s="21">
        <v>3</v>
      </c>
      <c r="C8610" s="21">
        <v>210</v>
      </c>
      <c r="D8610" s="21">
        <v>14638</v>
      </c>
      <c r="E8610" s="21"/>
      <c r="F8610" s="21" t="s">
        <v>38</v>
      </c>
      <c r="G8610" s="21">
        <v>2</v>
      </c>
      <c r="H8610" s="21">
        <v>76</v>
      </c>
      <c r="I8610" s="23" t="s">
        <v>5281</v>
      </c>
      <c r="J8610" s="21"/>
      <c r="K8610" s="21" t="s">
        <v>1122</v>
      </c>
      <c r="L8610" s="21"/>
      <c r="M8610" s="21"/>
      <c r="N8610" s="21" t="s">
        <v>44</v>
      </c>
      <c r="O8610" s="21">
        <v>107</v>
      </c>
      <c r="P8610" s="21"/>
      <c r="Q8610" s="21">
        <f t="shared" si="175"/>
        <v>3</v>
      </c>
      <c r="R8610" s="21">
        <v>1</v>
      </c>
      <c r="S8610" s="21">
        <v>0</v>
      </c>
      <c r="T8610" s="21">
        <v>0</v>
      </c>
      <c r="U8610" s="21">
        <v>0</v>
      </c>
      <c r="V8610" s="21">
        <v>1</v>
      </c>
      <c r="W8610" s="21">
        <v>2</v>
      </c>
      <c r="X8610" s="21">
        <v>0</v>
      </c>
      <c r="Y8610" s="21">
        <v>0</v>
      </c>
      <c r="Z8610" s="21">
        <v>0</v>
      </c>
      <c r="AA8610" s="21">
        <v>0</v>
      </c>
      <c r="AB8610" s="21">
        <v>0</v>
      </c>
      <c r="AC8610" s="21">
        <v>0</v>
      </c>
      <c r="AD8610" s="21">
        <v>0</v>
      </c>
      <c r="AE8610" s="21">
        <v>0</v>
      </c>
      <c r="AF8610" s="21">
        <v>0</v>
      </c>
      <c r="AG8610" s="21">
        <v>0</v>
      </c>
      <c r="AH8610" s="21">
        <f t="shared" si="176"/>
        <v>256</v>
      </c>
      <c r="AI8610" s="21"/>
      <c r="AJ8610" s="21" t="s">
        <v>51</v>
      </c>
      <c r="AK8610" s="21" t="s">
        <v>95</v>
      </c>
      <c r="AL8610" s="21"/>
      <c r="AM8610" s="21" t="s">
        <v>5282</v>
      </c>
      <c r="AN8610" s="21">
        <v>-122.434338916667</v>
      </c>
      <c r="AO8610" s="21">
        <v>37.803060133333297</v>
      </c>
      <c r="AP8610" s="21" t="s">
        <v>951</v>
      </c>
    </row>
    <row r="8611" spans="1:42">
      <c r="A8611" s="20">
        <v>43852</v>
      </c>
      <c r="B8611" s="21">
        <v>3</v>
      </c>
      <c r="C8611" s="21">
        <v>210</v>
      </c>
      <c r="D8611" s="21">
        <v>14638</v>
      </c>
      <c r="E8611" s="21"/>
      <c r="F8611" s="21" t="s">
        <v>38</v>
      </c>
      <c r="G8611" s="21">
        <v>2</v>
      </c>
      <c r="H8611" s="21">
        <v>77</v>
      </c>
      <c r="I8611" s="23" t="s">
        <v>5283</v>
      </c>
      <c r="J8611" s="21"/>
      <c r="K8611" s="21" t="s">
        <v>1122</v>
      </c>
      <c r="L8611" s="21"/>
      <c r="M8611" s="21"/>
      <c r="N8611" s="21" t="s">
        <v>44</v>
      </c>
      <c r="O8611" s="21">
        <v>109</v>
      </c>
      <c r="P8611" s="21"/>
      <c r="Q8611" s="21">
        <f t="shared" si="175"/>
        <v>2</v>
      </c>
      <c r="R8611" s="21">
        <v>1</v>
      </c>
      <c r="S8611" s="21">
        <v>0</v>
      </c>
      <c r="T8611" s="21">
        <v>0</v>
      </c>
      <c r="U8611" s="21">
        <v>0</v>
      </c>
      <c r="V8611" s="21">
        <v>0</v>
      </c>
      <c r="W8611" s="21">
        <v>2</v>
      </c>
      <c r="X8611" s="21">
        <v>0</v>
      </c>
      <c r="Y8611" s="21">
        <v>0</v>
      </c>
      <c r="Z8611" s="21">
        <v>0</v>
      </c>
      <c r="AA8611" s="21">
        <v>0</v>
      </c>
      <c r="AB8611" s="21">
        <v>0</v>
      </c>
      <c r="AC8611" s="21">
        <v>0</v>
      </c>
      <c r="AD8611" s="21">
        <v>0</v>
      </c>
      <c r="AE8611" s="21">
        <v>0</v>
      </c>
      <c r="AF8611" s="21">
        <v>0</v>
      </c>
      <c r="AG8611" s="21">
        <v>0</v>
      </c>
      <c r="AH8611" s="21">
        <f t="shared" si="176"/>
        <v>192</v>
      </c>
      <c r="AI8611" s="21"/>
      <c r="AJ8611" s="21" t="s">
        <v>51</v>
      </c>
      <c r="AK8611" s="21" t="s">
        <v>95</v>
      </c>
      <c r="AL8611" s="21" t="s">
        <v>5284</v>
      </c>
      <c r="AM8611" s="21" t="s">
        <v>5285</v>
      </c>
      <c r="AN8611" s="21">
        <v>-122.43506428333301</v>
      </c>
      <c r="AO8611" s="21">
        <v>37.803190266666697</v>
      </c>
      <c r="AP8611" s="21" t="s">
        <v>951</v>
      </c>
    </row>
    <row r="8612" spans="1:42">
      <c r="A8612" s="20">
        <v>43852</v>
      </c>
      <c r="B8612" s="21">
        <v>3</v>
      </c>
      <c r="C8612" s="21">
        <v>210</v>
      </c>
      <c r="D8612" s="21">
        <v>14638</v>
      </c>
      <c r="E8612" s="21"/>
      <c r="F8612" s="21" t="s">
        <v>38</v>
      </c>
      <c r="G8612" s="21">
        <v>2</v>
      </c>
      <c r="H8612" s="21">
        <v>78</v>
      </c>
      <c r="I8612" s="23" t="s">
        <v>4669</v>
      </c>
      <c r="J8612" s="21"/>
      <c r="K8612" s="21" t="s">
        <v>570</v>
      </c>
      <c r="L8612" s="21"/>
      <c r="M8612" s="21"/>
      <c r="N8612" s="21" t="s">
        <v>44</v>
      </c>
      <c r="O8612" s="21">
        <v>80</v>
      </c>
      <c r="P8612" s="21"/>
      <c r="Q8612" s="21">
        <f t="shared" si="175"/>
        <v>1</v>
      </c>
      <c r="R8612" s="21">
        <v>1</v>
      </c>
      <c r="S8612" s="21">
        <v>0</v>
      </c>
      <c r="T8612" s="21">
        <v>0</v>
      </c>
      <c r="U8612" s="21">
        <v>0</v>
      </c>
      <c r="V8612" s="21">
        <v>0</v>
      </c>
      <c r="W8612" s="21">
        <v>1</v>
      </c>
      <c r="X8612" s="21">
        <v>0</v>
      </c>
      <c r="Y8612" s="21">
        <v>0</v>
      </c>
      <c r="Z8612" s="21">
        <v>0</v>
      </c>
      <c r="AA8612" s="21">
        <v>0</v>
      </c>
      <c r="AB8612" s="21">
        <v>0</v>
      </c>
      <c r="AC8612" s="21">
        <v>0</v>
      </c>
      <c r="AD8612" s="21">
        <v>0</v>
      </c>
      <c r="AE8612" s="21">
        <v>0</v>
      </c>
      <c r="AF8612" s="21">
        <v>0</v>
      </c>
      <c r="AG8612" s="21">
        <v>0</v>
      </c>
      <c r="AH8612" s="21">
        <f t="shared" si="176"/>
        <v>96</v>
      </c>
      <c r="AI8612" s="21"/>
      <c r="AJ8612" s="21" t="s">
        <v>51</v>
      </c>
      <c r="AK8612" s="21" t="s">
        <v>95</v>
      </c>
      <c r="AL8612" s="21" t="s">
        <v>5284</v>
      </c>
      <c r="AM8612" s="21" t="s">
        <v>5286</v>
      </c>
      <c r="AN8612" s="21">
        <v>-122.433895266025</v>
      </c>
      <c r="AO8612" s="21">
        <v>37.800746815312699</v>
      </c>
      <c r="AP8612" s="21" t="s">
        <v>951</v>
      </c>
    </row>
    <row r="8613" spans="1:42">
      <c r="A8613" s="20">
        <v>43852</v>
      </c>
      <c r="B8613" s="21">
        <v>3</v>
      </c>
      <c r="C8613" s="21">
        <v>210</v>
      </c>
      <c r="D8613" s="21">
        <v>14638</v>
      </c>
      <c r="E8613" s="21"/>
      <c r="F8613" s="21" t="s">
        <v>38</v>
      </c>
      <c r="G8613" s="21">
        <v>2</v>
      </c>
      <c r="H8613" s="21">
        <v>79</v>
      </c>
      <c r="I8613" s="23" t="s">
        <v>5276</v>
      </c>
      <c r="J8613" s="21"/>
      <c r="K8613" s="21" t="s">
        <v>909</v>
      </c>
      <c r="L8613" s="21"/>
      <c r="M8613" s="21"/>
      <c r="N8613" s="21" t="s">
        <v>44</v>
      </c>
      <c r="O8613" s="21">
        <v>193</v>
      </c>
      <c r="P8613" s="21"/>
      <c r="Q8613" s="21">
        <f t="shared" si="175"/>
        <v>2</v>
      </c>
      <c r="R8613" s="21">
        <v>1</v>
      </c>
      <c r="S8613" s="21">
        <v>0</v>
      </c>
      <c r="T8613" s="21">
        <v>0</v>
      </c>
      <c r="U8613" s="21">
        <v>1</v>
      </c>
      <c r="V8613" s="21">
        <v>0</v>
      </c>
      <c r="W8613" s="21">
        <v>1</v>
      </c>
      <c r="X8613" s="21">
        <v>0</v>
      </c>
      <c r="Y8613" s="21">
        <v>0</v>
      </c>
      <c r="Z8613" s="21">
        <v>0</v>
      </c>
      <c r="AA8613" s="21">
        <v>0</v>
      </c>
      <c r="AB8613" s="21">
        <v>0</v>
      </c>
      <c r="AC8613" s="21">
        <v>0</v>
      </c>
      <c r="AD8613" s="21">
        <v>0</v>
      </c>
      <c r="AE8613" s="21">
        <v>0</v>
      </c>
      <c r="AF8613" s="21">
        <v>0</v>
      </c>
      <c r="AG8613" s="21">
        <v>0</v>
      </c>
      <c r="AH8613" s="21">
        <f t="shared" si="176"/>
        <v>128</v>
      </c>
      <c r="AI8613" s="21"/>
      <c r="AJ8613" s="21" t="s">
        <v>51</v>
      </c>
      <c r="AK8613" s="21" t="s">
        <v>95</v>
      </c>
      <c r="AL8613" s="21" t="s">
        <v>5287</v>
      </c>
      <c r="AM8613" s="21" t="s">
        <v>5288</v>
      </c>
      <c r="AN8613" s="21">
        <v>-122.43649758333299</v>
      </c>
      <c r="AO8613" s="21">
        <v>37.8037061333333</v>
      </c>
      <c r="AP8613" s="21" t="s">
        <v>951</v>
      </c>
    </row>
    <row r="8614" spans="1:42">
      <c r="A8614" s="20">
        <v>43852</v>
      </c>
      <c r="B8614" s="21">
        <v>3</v>
      </c>
      <c r="C8614" s="21">
        <v>210</v>
      </c>
      <c r="D8614" s="21">
        <v>14638</v>
      </c>
      <c r="E8614" s="21"/>
      <c r="F8614" s="21" t="s">
        <v>38</v>
      </c>
      <c r="G8614" s="21">
        <v>2</v>
      </c>
      <c r="H8614" s="21">
        <v>80</v>
      </c>
      <c r="I8614" s="23">
        <v>200</v>
      </c>
      <c r="J8614" s="21"/>
      <c r="K8614" s="21" t="s">
        <v>3451</v>
      </c>
      <c r="L8614" s="21" t="s">
        <v>141</v>
      </c>
      <c r="M8614" s="21"/>
      <c r="N8614" s="21" t="s">
        <v>40</v>
      </c>
      <c r="O8614" s="21"/>
      <c r="P8614" s="21"/>
      <c r="Q8614" s="21">
        <f t="shared" si="175"/>
        <v>19</v>
      </c>
      <c r="R8614" s="21">
        <v>1</v>
      </c>
      <c r="S8614" s="21">
        <v>0</v>
      </c>
      <c r="T8614" s="21">
        <v>0</v>
      </c>
      <c r="U8614" s="21">
        <v>11</v>
      </c>
      <c r="V8614" s="21">
        <v>8</v>
      </c>
      <c r="W8614" s="21">
        <v>0</v>
      </c>
      <c r="X8614" s="21">
        <v>0</v>
      </c>
      <c r="Y8614" s="21">
        <v>0</v>
      </c>
      <c r="Z8614" s="21">
        <v>0</v>
      </c>
      <c r="AA8614" s="21">
        <v>0</v>
      </c>
      <c r="AB8614" s="21">
        <v>0</v>
      </c>
      <c r="AC8614" s="21">
        <v>0</v>
      </c>
      <c r="AD8614" s="21">
        <v>0</v>
      </c>
      <c r="AE8614" s="21">
        <v>0</v>
      </c>
      <c r="AF8614" s="21">
        <v>0</v>
      </c>
      <c r="AG8614" s="21">
        <v>0</v>
      </c>
      <c r="AH8614" s="21">
        <f t="shared" si="176"/>
        <v>864</v>
      </c>
      <c r="AI8614" s="21"/>
      <c r="AJ8614" s="21" t="s">
        <v>51</v>
      </c>
      <c r="AK8614" s="21" t="s">
        <v>52</v>
      </c>
      <c r="AL8614" s="21"/>
      <c r="AM8614" s="21" t="s">
        <v>5289</v>
      </c>
      <c r="AN8614" s="21">
        <v>-122.437065483333</v>
      </c>
      <c r="AO8614" s="21">
        <v>37.806357833333301</v>
      </c>
      <c r="AP8614" s="21" t="s">
        <v>951</v>
      </c>
    </row>
    <row r="8615" spans="1:42">
      <c r="A8615" s="20">
        <v>43852</v>
      </c>
      <c r="B8615" s="21">
        <v>3</v>
      </c>
      <c r="C8615" s="21">
        <v>210</v>
      </c>
      <c r="D8615" s="21">
        <v>14638</v>
      </c>
      <c r="E8615" s="21"/>
      <c r="F8615" s="21" t="s">
        <v>38</v>
      </c>
      <c r="G8615" s="21">
        <v>2</v>
      </c>
      <c r="H8615" s="21">
        <v>81</v>
      </c>
      <c r="I8615" s="23" t="s">
        <v>5290</v>
      </c>
      <c r="J8615" s="21"/>
      <c r="K8615" s="21" t="s">
        <v>3451</v>
      </c>
      <c r="L8615" s="21"/>
      <c r="M8615" s="21"/>
      <c r="N8615" s="21" t="s">
        <v>44</v>
      </c>
      <c r="O8615" s="21">
        <v>61</v>
      </c>
      <c r="P8615" s="21"/>
      <c r="Q8615" s="21">
        <f t="shared" si="175"/>
        <v>2</v>
      </c>
      <c r="R8615" s="21">
        <v>1</v>
      </c>
      <c r="S8615" s="21">
        <v>0</v>
      </c>
      <c r="T8615" s="21">
        <v>0</v>
      </c>
      <c r="U8615" s="21">
        <v>2</v>
      </c>
      <c r="V8615" s="21">
        <v>0</v>
      </c>
      <c r="W8615" s="21">
        <v>0</v>
      </c>
      <c r="X8615" s="21">
        <v>0</v>
      </c>
      <c r="Y8615" s="21">
        <v>0</v>
      </c>
      <c r="Z8615" s="21">
        <v>0</v>
      </c>
      <c r="AA8615" s="21">
        <v>0</v>
      </c>
      <c r="AB8615" s="21">
        <v>0</v>
      </c>
      <c r="AC8615" s="21">
        <v>0</v>
      </c>
      <c r="AD8615" s="21">
        <v>0</v>
      </c>
      <c r="AE8615" s="21">
        <v>0</v>
      </c>
      <c r="AF8615" s="21">
        <v>0</v>
      </c>
      <c r="AG8615" s="21">
        <v>0</v>
      </c>
      <c r="AH8615" s="21">
        <f t="shared" si="176"/>
        <v>64</v>
      </c>
      <c r="AI8615" s="21"/>
      <c r="AJ8615" s="21" t="s">
        <v>51</v>
      </c>
      <c r="AK8615" s="21" t="s">
        <v>52</v>
      </c>
      <c r="AL8615" s="21"/>
      <c r="AM8615" s="21" t="s">
        <v>5291</v>
      </c>
      <c r="AN8615" s="21">
        <v>-122.436210066667</v>
      </c>
      <c r="AO8615" s="21">
        <v>37.806427583333303</v>
      </c>
      <c r="AP8615" s="21" t="s">
        <v>951</v>
      </c>
    </row>
    <row r="8616" spans="1:42">
      <c r="A8616" s="20">
        <v>43852</v>
      </c>
      <c r="B8616" s="21">
        <v>3</v>
      </c>
      <c r="C8616" s="21">
        <v>210</v>
      </c>
      <c r="D8616" s="21">
        <v>14638</v>
      </c>
      <c r="E8616" s="21"/>
      <c r="F8616" s="21" t="s">
        <v>38</v>
      </c>
      <c r="G8616" s="21">
        <v>2</v>
      </c>
      <c r="H8616" s="21">
        <v>82</v>
      </c>
      <c r="I8616" s="23" t="s">
        <v>4658</v>
      </c>
      <c r="J8616" s="21"/>
      <c r="K8616" s="21" t="s">
        <v>3451</v>
      </c>
      <c r="L8616" s="21"/>
      <c r="M8616" s="21"/>
      <c r="N8616" s="21" t="s">
        <v>44</v>
      </c>
      <c r="O8616" s="21">
        <v>62</v>
      </c>
      <c r="P8616" s="21"/>
      <c r="Q8616" s="21">
        <f t="shared" si="175"/>
        <v>2</v>
      </c>
      <c r="R8616" s="21">
        <v>1</v>
      </c>
      <c r="S8616" s="21">
        <v>0</v>
      </c>
      <c r="T8616" s="21">
        <v>0</v>
      </c>
      <c r="U8616" s="21">
        <v>2</v>
      </c>
      <c r="V8616" s="21">
        <v>0</v>
      </c>
      <c r="W8616" s="21">
        <v>0</v>
      </c>
      <c r="X8616" s="21">
        <v>0</v>
      </c>
      <c r="Y8616" s="21">
        <v>0</v>
      </c>
      <c r="Z8616" s="21">
        <v>0</v>
      </c>
      <c r="AA8616" s="21">
        <v>0</v>
      </c>
      <c r="AB8616" s="21">
        <v>0</v>
      </c>
      <c r="AC8616" s="21">
        <v>0</v>
      </c>
      <c r="AD8616" s="21">
        <v>0</v>
      </c>
      <c r="AE8616" s="21">
        <v>0</v>
      </c>
      <c r="AF8616" s="21">
        <v>0</v>
      </c>
      <c r="AG8616" s="21">
        <v>0</v>
      </c>
      <c r="AH8616" s="21">
        <f t="shared" si="176"/>
        <v>64</v>
      </c>
      <c r="AI8616" s="21"/>
      <c r="AJ8616" s="21" t="s">
        <v>51</v>
      </c>
      <c r="AK8616" s="21" t="s">
        <v>52</v>
      </c>
      <c r="AL8616" s="21"/>
      <c r="AM8616" s="21" t="s">
        <v>5292</v>
      </c>
      <c r="AN8616" s="21">
        <v>-122.436647991539</v>
      </c>
      <c r="AO8616" s="21">
        <v>37.804038221370298</v>
      </c>
      <c r="AP8616" s="21" t="s">
        <v>951</v>
      </c>
    </row>
    <row r="8617" spans="1:42">
      <c r="A8617" s="20">
        <v>43852</v>
      </c>
      <c r="B8617" s="21">
        <v>3</v>
      </c>
      <c r="C8617" s="21">
        <v>210</v>
      </c>
      <c r="D8617" s="21">
        <v>14638</v>
      </c>
      <c r="E8617" s="21"/>
      <c r="F8617" s="21" t="s">
        <v>38</v>
      </c>
      <c r="G8617" s="21">
        <v>2</v>
      </c>
      <c r="H8617" s="21">
        <v>83</v>
      </c>
      <c r="I8617" s="23" t="s">
        <v>5293</v>
      </c>
      <c r="J8617" s="21"/>
      <c r="K8617" s="21" t="s">
        <v>909</v>
      </c>
      <c r="L8617" s="21"/>
      <c r="M8617" s="21"/>
      <c r="N8617" s="21" t="s">
        <v>44</v>
      </c>
      <c r="O8617" s="21">
        <v>171</v>
      </c>
      <c r="P8617" s="21"/>
      <c r="Q8617" s="21">
        <f t="shared" si="175"/>
        <v>3</v>
      </c>
      <c r="R8617" s="21">
        <v>1</v>
      </c>
      <c r="S8617" s="21">
        <v>0</v>
      </c>
      <c r="T8617" s="21">
        <v>0</v>
      </c>
      <c r="U8617" s="21">
        <v>0</v>
      </c>
      <c r="V8617" s="21">
        <v>1</v>
      </c>
      <c r="W8617" s="21">
        <v>2</v>
      </c>
      <c r="X8617" s="21">
        <v>0</v>
      </c>
      <c r="Y8617" s="21">
        <v>0</v>
      </c>
      <c r="Z8617" s="21">
        <v>0</v>
      </c>
      <c r="AA8617" s="21">
        <v>0</v>
      </c>
      <c r="AB8617" s="21">
        <v>0</v>
      </c>
      <c r="AC8617" s="21">
        <v>0</v>
      </c>
      <c r="AD8617" s="21">
        <v>0</v>
      </c>
      <c r="AE8617" s="21">
        <v>0</v>
      </c>
      <c r="AF8617" s="21">
        <v>0</v>
      </c>
      <c r="AG8617" s="21">
        <v>0</v>
      </c>
      <c r="AH8617" s="21">
        <f t="shared" si="176"/>
        <v>256</v>
      </c>
      <c r="AI8617" s="21"/>
      <c r="AJ8617" s="21" t="s">
        <v>51</v>
      </c>
      <c r="AK8617" s="21" t="s">
        <v>95</v>
      </c>
      <c r="AL8617" s="21" t="s">
        <v>5294</v>
      </c>
      <c r="AM8617" s="21" t="s">
        <v>5295</v>
      </c>
      <c r="AN8617" s="21">
        <v>-122.436697866667</v>
      </c>
      <c r="AO8617" s="21">
        <v>37.805548283333302</v>
      </c>
      <c r="AP8617" s="21" t="s">
        <v>951</v>
      </c>
    </row>
    <row r="8618" spans="1:42">
      <c r="A8618" s="20">
        <v>43852</v>
      </c>
      <c r="B8618" s="21">
        <v>3</v>
      </c>
      <c r="C8618" s="21">
        <v>210</v>
      </c>
      <c r="D8618" s="21">
        <v>14638</v>
      </c>
      <c r="E8618" s="21"/>
      <c r="F8618" s="21" t="s">
        <v>38</v>
      </c>
      <c r="G8618" s="21">
        <v>2</v>
      </c>
      <c r="H8618" s="21">
        <v>84</v>
      </c>
      <c r="I8618" s="23" t="s">
        <v>5296</v>
      </c>
      <c r="J8618" s="21"/>
      <c r="K8618" s="21" t="s">
        <v>599</v>
      </c>
      <c r="L8618" s="21"/>
      <c r="M8618" s="21"/>
      <c r="N8618" s="21" t="s">
        <v>44</v>
      </c>
      <c r="O8618" s="21">
        <v>128</v>
      </c>
      <c r="P8618" s="21"/>
      <c r="Q8618" s="21">
        <f t="shared" si="175"/>
        <v>2</v>
      </c>
      <c r="R8618" s="21">
        <v>1</v>
      </c>
      <c r="S8618" s="21">
        <v>0</v>
      </c>
      <c r="T8618" s="21">
        <v>0</v>
      </c>
      <c r="U8618" s="21">
        <v>0</v>
      </c>
      <c r="V8618" s="21">
        <v>1</v>
      </c>
      <c r="W8618" s="21">
        <v>1</v>
      </c>
      <c r="X8618" s="21">
        <v>0</v>
      </c>
      <c r="Y8618" s="21">
        <v>0</v>
      </c>
      <c r="Z8618" s="21">
        <v>0</v>
      </c>
      <c r="AA8618" s="21">
        <v>0</v>
      </c>
      <c r="AB8618" s="21">
        <v>0</v>
      </c>
      <c r="AC8618" s="21">
        <v>0</v>
      </c>
      <c r="AD8618" s="21">
        <v>0</v>
      </c>
      <c r="AE8618" s="21">
        <v>0</v>
      </c>
      <c r="AF8618" s="21">
        <v>0</v>
      </c>
      <c r="AG8618" s="21">
        <v>0</v>
      </c>
      <c r="AH8618" s="21">
        <f t="shared" si="176"/>
        <v>160</v>
      </c>
      <c r="AI8618" s="21"/>
      <c r="AJ8618" s="21" t="s">
        <v>51</v>
      </c>
      <c r="AK8618" s="21" t="s">
        <v>95</v>
      </c>
      <c r="AL8618" s="21" t="s">
        <v>5294</v>
      </c>
      <c r="AM8618" s="21" t="s">
        <v>5297</v>
      </c>
      <c r="AN8618" s="21">
        <v>-122.435938533333</v>
      </c>
      <c r="AO8618" s="21">
        <v>37.805623216666703</v>
      </c>
      <c r="AP8618" s="21" t="s">
        <v>951</v>
      </c>
    </row>
    <row r="8619" spans="1:42">
      <c r="A8619" s="20">
        <v>43852</v>
      </c>
      <c r="B8619" s="21">
        <v>3</v>
      </c>
      <c r="C8619" s="21">
        <v>210</v>
      </c>
      <c r="D8619" s="21">
        <v>14638</v>
      </c>
      <c r="E8619" s="21"/>
      <c r="F8619" s="21" t="s">
        <v>38</v>
      </c>
      <c r="G8619" s="21">
        <v>2</v>
      </c>
      <c r="H8619" s="21">
        <v>85</v>
      </c>
      <c r="I8619" s="23" t="s">
        <v>5298</v>
      </c>
      <c r="J8619" s="21"/>
      <c r="K8619" s="21" t="s">
        <v>5299</v>
      </c>
      <c r="L8619" s="21"/>
      <c r="M8619" s="21"/>
      <c r="N8619" s="21"/>
      <c r="O8619" s="21">
        <v>67</v>
      </c>
      <c r="P8619" s="21"/>
      <c r="Q8619" s="21">
        <f t="shared" si="175"/>
        <v>2</v>
      </c>
      <c r="R8619" s="21">
        <v>1</v>
      </c>
      <c r="S8619" s="21">
        <v>0</v>
      </c>
      <c r="T8619" s="21">
        <v>0</v>
      </c>
      <c r="U8619" s="21">
        <v>0</v>
      </c>
      <c r="V8619" s="21">
        <v>1</v>
      </c>
      <c r="W8619" s="21">
        <v>1</v>
      </c>
      <c r="X8619" s="21">
        <v>0</v>
      </c>
      <c r="Y8619" s="21">
        <v>0</v>
      </c>
      <c r="Z8619" s="21">
        <v>0</v>
      </c>
      <c r="AA8619" s="21">
        <v>0</v>
      </c>
      <c r="AB8619" s="21">
        <v>0</v>
      </c>
      <c r="AC8619" s="21">
        <v>0</v>
      </c>
      <c r="AD8619" s="21">
        <v>0</v>
      </c>
      <c r="AE8619" s="21">
        <v>0</v>
      </c>
      <c r="AF8619" s="21">
        <v>0</v>
      </c>
      <c r="AG8619" s="21">
        <v>0</v>
      </c>
      <c r="AH8619" s="21">
        <f t="shared" si="176"/>
        <v>160</v>
      </c>
      <c r="AI8619" s="21"/>
      <c r="AJ8619" s="21" t="s">
        <v>51</v>
      </c>
      <c r="AK8619" s="21" t="s">
        <v>52</v>
      </c>
      <c r="AL8619" s="21" t="s">
        <v>5300</v>
      </c>
      <c r="AM8619" s="21" t="s">
        <v>5301</v>
      </c>
      <c r="AN8619" s="21">
        <v>-122.43538890000001</v>
      </c>
      <c r="AO8619" s="21">
        <v>37.804949633333301</v>
      </c>
      <c r="AP8619" s="21" t="s">
        <v>951</v>
      </c>
    </row>
    <row r="8620" spans="1:42">
      <c r="A8620" s="20">
        <v>43852</v>
      </c>
      <c r="B8620" s="21">
        <v>3</v>
      </c>
      <c r="C8620" s="21">
        <v>210</v>
      </c>
      <c r="D8620" s="21">
        <v>14638</v>
      </c>
      <c r="E8620" s="21"/>
      <c r="F8620" s="21" t="s">
        <v>38</v>
      </c>
      <c r="G8620" s="21">
        <v>2</v>
      </c>
      <c r="H8620" s="21">
        <v>86</v>
      </c>
      <c r="I8620" s="23" t="s">
        <v>3427</v>
      </c>
      <c r="J8620" s="21"/>
      <c r="K8620" s="21" t="s">
        <v>5302</v>
      </c>
      <c r="L8620" s="21"/>
      <c r="M8620" s="21" t="s">
        <v>95</v>
      </c>
      <c r="N8620" s="21" t="s">
        <v>44</v>
      </c>
      <c r="O8620" s="21">
        <v>67</v>
      </c>
      <c r="P8620" s="21"/>
      <c r="Q8620" s="21">
        <f t="shared" si="175"/>
        <v>1</v>
      </c>
      <c r="R8620" s="21">
        <v>1</v>
      </c>
      <c r="S8620" s="21">
        <v>0</v>
      </c>
      <c r="T8620" s="21">
        <v>0</v>
      </c>
      <c r="U8620" s="21">
        <v>0</v>
      </c>
      <c r="V8620" s="21">
        <v>0</v>
      </c>
      <c r="W8620" s="21">
        <v>1</v>
      </c>
      <c r="X8620" s="21">
        <v>0</v>
      </c>
      <c r="Y8620" s="21">
        <v>0</v>
      </c>
      <c r="Z8620" s="21">
        <v>0</v>
      </c>
      <c r="AA8620" s="21">
        <v>0</v>
      </c>
      <c r="AB8620" s="21">
        <v>0</v>
      </c>
      <c r="AC8620" s="21">
        <v>0</v>
      </c>
      <c r="AD8620" s="21">
        <v>0</v>
      </c>
      <c r="AE8620" s="21">
        <v>0</v>
      </c>
      <c r="AF8620" s="21">
        <v>0</v>
      </c>
      <c r="AG8620" s="21">
        <v>0</v>
      </c>
      <c r="AH8620" s="21">
        <f t="shared" si="176"/>
        <v>96</v>
      </c>
      <c r="AI8620" s="21"/>
      <c r="AJ8620" s="21" t="s">
        <v>51</v>
      </c>
      <c r="AK8620" s="21" t="s">
        <v>52</v>
      </c>
      <c r="AL8620" s="21" t="s">
        <v>5300</v>
      </c>
      <c r="AM8620" s="21" t="s">
        <v>5303</v>
      </c>
      <c r="AN8620" s="21">
        <v>-122.435389133333</v>
      </c>
      <c r="AO8620" s="21">
        <v>37.804801400000002</v>
      </c>
      <c r="AP8620" s="21" t="s">
        <v>951</v>
      </c>
    </row>
    <row r="8621" spans="1:42">
      <c r="A8621" s="20">
        <v>43852</v>
      </c>
      <c r="B8621" s="21">
        <v>3</v>
      </c>
      <c r="C8621" s="21">
        <v>210</v>
      </c>
      <c r="D8621" s="21">
        <v>14638</v>
      </c>
      <c r="E8621" s="21"/>
      <c r="F8621" s="21" t="s">
        <v>38</v>
      </c>
      <c r="G8621" s="21">
        <v>2</v>
      </c>
      <c r="H8621" s="21">
        <v>87</v>
      </c>
      <c r="I8621" s="23" t="s">
        <v>3576</v>
      </c>
      <c r="J8621" s="21"/>
      <c r="K8621" s="21" t="s">
        <v>5299</v>
      </c>
      <c r="L8621" s="21"/>
      <c r="M8621" s="21"/>
      <c r="N8621" s="21" t="s">
        <v>44</v>
      </c>
      <c r="O8621" s="21">
        <v>155</v>
      </c>
      <c r="P8621" s="21"/>
      <c r="Q8621" s="21">
        <f t="shared" si="175"/>
        <v>2</v>
      </c>
      <c r="R8621" s="21">
        <v>1</v>
      </c>
      <c r="S8621" s="21">
        <v>0</v>
      </c>
      <c r="T8621" s="21">
        <v>0</v>
      </c>
      <c r="U8621" s="21">
        <v>1</v>
      </c>
      <c r="V8621" s="21">
        <v>0</v>
      </c>
      <c r="W8621" s="21">
        <v>1</v>
      </c>
      <c r="X8621" s="21">
        <v>0</v>
      </c>
      <c r="Y8621" s="21">
        <v>0</v>
      </c>
      <c r="Z8621" s="21">
        <v>0</v>
      </c>
      <c r="AA8621" s="21">
        <v>0</v>
      </c>
      <c r="AB8621" s="21">
        <v>0</v>
      </c>
      <c r="AC8621" s="21">
        <v>0</v>
      </c>
      <c r="AD8621" s="21">
        <v>0</v>
      </c>
      <c r="AE8621" s="21">
        <v>0</v>
      </c>
      <c r="AF8621" s="21">
        <v>0</v>
      </c>
      <c r="AG8621" s="21">
        <v>0</v>
      </c>
      <c r="AH8621" s="21">
        <f t="shared" si="176"/>
        <v>128</v>
      </c>
      <c r="AI8621" s="21"/>
      <c r="AJ8621" s="21" t="s">
        <v>51</v>
      </c>
      <c r="AK8621" s="21" t="s">
        <v>95</v>
      </c>
      <c r="AL8621" s="21" t="s">
        <v>5304</v>
      </c>
      <c r="AM8621" s="21" t="s">
        <v>5305</v>
      </c>
      <c r="AN8621" s="21">
        <v>-122.43425261208399</v>
      </c>
      <c r="AO8621" s="21">
        <v>37.802511308408697</v>
      </c>
      <c r="AP8621" s="21" t="s">
        <v>951</v>
      </c>
    </row>
    <row r="8622" spans="1:42">
      <c r="A8622" s="20">
        <v>43852</v>
      </c>
      <c r="B8622" s="21">
        <v>3</v>
      </c>
      <c r="C8622" s="21">
        <v>210</v>
      </c>
      <c r="D8622" s="21">
        <v>14638</v>
      </c>
      <c r="E8622" s="21"/>
      <c r="F8622" s="21" t="s">
        <v>38</v>
      </c>
      <c r="G8622" s="21">
        <v>2</v>
      </c>
      <c r="H8622" s="21">
        <v>88</v>
      </c>
      <c r="I8622" s="23" t="s">
        <v>2787</v>
      </c>
      <c r="J8622" s="21"/>
      <c r="K8622" s="21" t="s">
        <v>570</v>
      </c>
      <c r="L8622" s="21"/>
      <c r="M8622" s="21"/>
      <c r="N8622" s="21" t="s">
        <v>44</v>
      </c>
      <c r="O8622" s="21">
        <v>160</v>
      </c>
      <c r="P8622" s="21"/>
      <c r="Q8622" s="21">
        <f t="shared" si="175"/>
        <v>3</v>
      </c>
      <c r="R8622" s="21">
        <v>1</v>
      </c>
      <c r="S8622" s="21">
        <v>0</v>
      </c>
      <c r="T8622" s="21">
        <v>0</v>
      </c>
      <c r="U8622" s="21">
        <v>0</v>
      </c>
      <c r="V8622" s="21">
        <v>1</v>
      </c>
      <c r="W8622" s="21">
        <v>2</v>
      </c>
      <c r="X8622" s="21">
        <v>0</v>
      </c>
      <c r="Y8622" s="21">
        <v>0</v>
      </c>
      <c r="Z8622" s="21">
        <v>0</v>
      </c>
      <c r="AA8622" s="21">
        <v>0</v>
      </c>
      <c r="AB8622" s="21">
        <v>0</v>
      </c>
      <c r="AC8622" s="21">
        <v>0</v>
      </c>
      <c r="AD8622" s="21">
        <v>0</v>
      </c>
      <c r="AE8622" s="21">
        <v>0</v>
      </c>
      <c r="AF8622" s="21">
        <v>0</v>
      </c>
      <c r="AG8622" s="21">
        <v>0</v>
      </c>
      <c r="AH8622" s="21">
        <f t="shared" si="176"/>
        <v>256</v>
      </c>
      <c r="AI8622" s="21"/>
      <c r="AJ8622" s="21" t="s">
        <v>51</v>
      </c>
      <c r="AK8622" s="21" t="s">
        <v>52</v>
      </c>
      <c r="AL8622" s="21" t="s">
        <v>5284</v>
      </c>
      <c r="AM8622" s="21" t="s">
        <v>5306</v>
      </c>
      <c r="AN8622" s="21">
        <v>-122.435317966667</v>
      </c>
      <c r="AO8622" s="21">
        <v>37.804066333333303</v>
      </c>
      <c r="AP8622" s="21" t="s">
        <v>951</v>
      </c>
    </row>
    <row r="8623" spans="1:42">
      <c r="A8623" s="20">
        <v>43852</v>
      </c>
      <c r="B8623" s="21">
        <v>3</v>
      </c>
      <c r="C8623" s="21">
        <v>210</v>
      </c>
      <c r="D8623" s="21">
        <v>14638</v>
      </c>
      <c r="E8623" s="21"/>
      <c r="F8623" s="21" t="s">
        <v>38</v>
      </c>
      <c r="G8623" s="21">
        <v>2</v>
      </c>
      <c r="H8623" s="21">
        <v>89</v>
      </c>
      <c r="I8623" s="23" t="s">
        <v>3314</v>
      </c>
      <c r="J8623" s="21"/>
      <c r="K8623" s="21" t="s">
        <v>570</v>
      </c>
      <c r="L8623" s="21"/>
      <c r="M8623" s="21"/>
      <c r="N8623" s="21" t="s">
        <v>44</v>
      </c>
      <c r="O8623" s="21">
        <v>184</v>
      </c>
      <c r="P8623" s="21"/>
      <c r="Q8623" s="21">
        <f t="shared" si="175"/>
        <v>3</v>
      </c>
      <c r="R8623" s="21">
        <v>1</v>
      </c>
      <c r="S8623" s="21">
        <v>0</v>
      </c>
      <c r="T8623" s="21">
        <v>0</v>
      </c>
      <c r="U8623" s="21">
        <v>1</v>
      </c>
      <c r="V8623" s="21">
        <v>0</v>
      </c>
      <c r="W8623" s="21">
        <v>2</v>
      </c>
      <c r="X8623" s="21">
        <v>0</v>
      </c>
      <c r="Y8623" s="21">
        <v>0</v>
      </c>
      <c r="Z8623" s="21">
        <v>0</v>
      </c>
      <c r="AA8623" s="21">
        <v>0</v>
      </c>
      <c r="AB8623" s="21">
        <v>0</v>
      </c>
      <c r="AC8623" s="21">
        <v>0</v>
      </c>
      <c r="AD8623" s="21">
        <v>0</v>
      </c>
      <c r="AE8623" s="21">
        <v>0</v>
      </c>
      <c r="AF8623" s="21">
        <v>0</v>
      </c>
      <c r="AG8623" s="21">
        <v>0</v>
      </c>
      <c r="AH8623" s="21">
        <f t="shared" si="176"/>
        <v>224</v>
      </c>
      <c r="AI8623" s="21"/>
      <c r="AJ8623" s="21" t="s">
        <v>51</v>
      </c>
      <c r="AK8623" s="21" t="s">
        <v>52</v>
      </c>
      <c r="AL8623" s="21" t="s">
        <v>5284</v>
      </c>
      <c r="AM8623" s="21" t="s">
        <v>5307</v>
      </c>
      <c r="AN8623" s="21">
        <v>-122.435282633333</v>
      </c>
      <c r="AO8623" s="21">
        <v>37.804041983333299</v>
      </c>
      <c r="AP8623" s="21" t="s">
        <v>951</v>
      </c>
    </row>
    <row r="8624" spans="1:42">
      <c r="A8624" s="20">
        <v>43852</v>
      </c>
      <c r="B8624" s="21">
        <v>3</v>
      </c>
      <c r="C8624" s="21">
        <v>210</v>
      </c>
      <c r="D8624" s="21">
        <v>14638</v>
      </c>
      <c r="E8624" s="21"/>
      <c r="F8624" s="21" t="s">
        <v>38</v>
      </c>
      <c r="G8624" s="21">
        <v>2</v>
      </c>
      <c r="H8624" s="21">
        <v>90</v>
      </c>
      <c r="I8624" s="23" t="s">
        <v>3314</v>
      </c>
      <c r="J8624" s="21"/>
      <c r="K8624" s="21" t="s">
        <v>1122</v>
      </c>
      <c r="L8624" s="21"/>
      <c r="M8624" s="21"/>
      <c r="N8624" s="21" t="s">
        <v>44</v>
      </c>
      <c r="O8624" s="21">
        <v>115</v>
      </c>
      <c r="P8624" s="21"/>
      <c r="Q8624" s="21">
        <f t="shared" si="175"/>
        <v>3</v>
      </c>
      <c r="R8624" s="21">
        <v>1</v>
      </c>
      <c r="S8624" s="21">
        <v>0</v>
      </c>
      <c r="T8624" s="21">
        <v>0</v>
      </c>
      <c r="U8624" s="21">
        <v>0</v>
      </c>
      <c r="V8624" s="21">
        <v>1</v>
      </c>
      <c r="W8624" s="21">
        <v>2</v>
      </c>
      <c r="X8624" s="21">
        <v>0</v>
      </c>
      <c r="Y8624" s="21">
        <v>0</v>
      </c>
      <c r="Z8624" s="21">
        <v>0</v>
      </c>
      <c r="AA8624" s="21">
        <v>0</v>
      </c>
      <c r="AB8624" s="21">
        <v>0</v>
      </c>
      <c r="AC8624" s="21">
        <v>0</v>
      </c>
      <c r="AD8624" s="21">
        <v>0</v>
      </c>
      <c r="AE8624" s="21">
        <v>0</v>
      </c>
      <c r="AF8624" s="21">
        <v>0</v>
      </c>
      <c r="AG8624" s="21">
        <v>0</v>
      </c>
      <c r="AH8624" s="21">
        <f t="shared" si="176"/>
        <v>256</v>
      </c>
      <c r="AI8624" s="21"/>
      <c r="AJ8624" s="21" t="s">
        <v>51</v>
      </c>
      <c r="AK8624" s="21" t="s">
        <v>95</v>
      </c>
      <c r="AL8624" s="21" t="s">
        <v>5304</v>
      </c>
      <c r="AM8624" s="21" t="s">
        <v>5308</v>
      </c>
      <c r="AN8624" s="21">
        <v>-122.43504413333299</v>
      </c>
      <c r="AO8624" s="21">
        <v>37.802991683333303</v>
      </c>
      <c r="AP8624" s="21" t="s">
        <v>951</v>
      </c>
    </row>
    <row r="8625" spans="1:42">
      <c r="A8625" s="20">
        <v>43852</v>
      </c>
      <c r="B8625" s="21">
        <v>3</v>
      </c>
      <c r="C8625" s="21">
        <v>210</v>
      </c>
      <c r="D8625" s="21">
        <v>14638</v>
      </c>
      <c r="E8625" s="21"/>
      <c r="F8625" s="21" t="s">
        <v>38</v>
      </c>
      <c r="G8625" s="21">
        <v>2</v>
      </c>
      <c r="H8625" s="21">
        <v>91</v>
      </c>
      <c r="I8625" s="23" t="s">
        <v>5175</v>
      </c>
      <c r="J8625" s="21"/>
      <c r="K8625" s="21" t="s">
        <v>1122</v>
      </c>
      <c r="L8625" s="21"/>
      <c r="M8625" s="21"/>
      <c r="N8625" s="21" t="s">
        <v>44</v>
      </c>
      <c r="O8625" s="21">
        <v>166</v>
      </c>
      <c r="P8625" s="21"/>
      <c r="Q8625" s="21">
        <f t="shared" si="175"/>
        <v>2</v>
      </c>
      <c r="R8625" s="21">
        <v>1</v>
      </c>
      <c r="S8625" s="21">
        <v>0</v>
      </c>
      <c r="T8625" s="21">
        <v>0</v>
      </c>
      <c r="U8625" s="21">
        <v>1</v>
      </c>
      <c r="V8625" s="21">
        <v>0</v>
      </c>
      <c r="W8625" s="21">
        <v>1</v>
      </c>
      <c r="X8625" s="21">
        <v>0</v>
      </c>
      <c r="Y8625" s="21">
        <v>0</v>
      </c>
      <c r="Z8625" s="21">
        <v>0</v>
      </c>
      <c r="AA8625" s="21">
        <v>0</v>
      </c>
      <c r="AB8625" s="21">
        <v>0</v>
      </c>
      <c r="AC8625" s="21">
        <v>0</v>
      </c>
      <c r="AD8625" s="21">
        <v>0</v>
      </c>
      <c r="AE8625" s="21">
        <v>0</v>
      </c>
      <c r="AF8625" s="21">
        <v>0</v>
      </c>
      <c r="AG8625" s="21">
        <v>0</v>
      </c>
      <c r="AH8625" s="21">
        <f t="shared" si="176"/>
        <v>128</v>
      </c>
      <c r="AI8625" s="21"/>
      <c r="AJ8625" s="21" t="s">
        <v>51</v>
      </c>
      <c r="AK8625" s="21" t="s">
        <v>52</v>
      </c>
      <c r="AL8625" s="21"/>
      <c r="AM8625" s="21" t="s">
        <v>5309</v>
      </c>
      <c r="AN8625" s="21">
        <v>-122.4355262</v>
      </c>
      <c r="AO8625" s="21">
        <v>37.802838666666702</v>
      </c>
      <c r="AP8625" s="21" t="s">
        <v>951</v>
      </c>
    </row>
    <row r="8626" spans="1:42">
      <c r="A8626" s="20">
        <v>43852</v>
      </c>
      <c r="B8626" s="21">
        <v>3</v>
      </c>
      <c r="C8626" s="21">
        <v>210</v>
      </c>
      <c r="D8626" s="21">
        <v>14638</v>
      </c>
      <c r="E8626" s="21"/>
      <c r="F8626" s="21" t="s">
        <v>38</v>
      </c>
      <c r="G8626" s="21">
        <v>2</v>
      </c>
      <c r="H8626" s="21">
        <v>92</v>
      </c>
      <c r="I8626" s="23" t="s">
        <v>2787</v>
      </c>
      <c r="J8626" s="21"/>
      <c r="K8626" s="21" t="s">
        <v>1122</v>
      </c>
      <c r="L8626" s="21" t="s">
        <v>114</v>
      </c>
      <c r="M8626" s="21"/>
      <c r="N8626" s="21" t="s">
        <v>40</v>
      </c>
      <c r="O8626" s="21">
        <v>74</v>
      </c>
      <c r="P8626" s="21"/>
      <c r="Q8626" s="21">
        <f t="shared" si="175"/>
        <v>3</v>
      </c>
      <c r="R8626" s="21">
        <v>1</v>
      </c>
      <c r="S8626" s="21">
        <v>0</v>
      </c>
      <c r="T8626" s="21">
        <v>0</v>
      </c>
      <c r="U8626" s="21">
        <v>0</v>
      </c>
      <c r="V8626" s="21">
        <v>3</v>
      </c>
      <c r="W8626" s="21">
        <v>0</v>
      </c>
      <c r="X8626" s="21">
        <v>0</v>
      </c>
      <c r="Y8626" s="21">
        <v>0</v>
      </c>
      <c r="Z8626" s="21">
        <v>0</v>
      </c>
      <c r="AA8626" s="21">
        <v>0</v>
      </c>
      <c r="AB8626" s="21">
        <v>0</v>
      </c>
      <c r="AC8626" s="21">
        <v>0</v>
      </c>
      <c r="AD8626" s="21">
        <v>0</v>
      </c>
      <c r="AE8626" s="21">
        <v>0</v>
      </c>
      <c r="AF8626" s="21">
        <v>0</v>
      </c>
      <c r="AG8626" s="21">
        <v>0</v>
      </c>
      <c r="AH8626" s="21">
        <f t="shared" si="176"/>
        <v>192</v>
      </c>
      <c r="AI8626" s="21"/>
      <c r="AJ8626" s="21" t="s">
        <v>51</v>
      </c>
      <c r="AK8626" s="21" t="s">
        <v>52</v>
      </c>
      <c r="AL8626" s="21"/>
      <c r="AM8626" s="21" t="s">
        <v>5310</v>
      </c>
      <c r="AN8626" s="21">
        <v>-122.435826933333</v>
      </c>
      <c r="AO8626" s="21">
        <v>37.8028598</v>
      </c>
      <c r="AP8626" s="21" t="s">
        <v>951</v>
      </c>
    </row>
    <row r="8627" spans="1:42">
      <c r="A8627" s="20">
        <v>43852</v>
      </c>
      <c r="B8627" s="21">
        <v>3</v>
      </c>
      <c r="C8627" s="21">
        <v>210</v>
      </c>
      <c r="D8627" s="21">
        <v>14638</v>
      </c>
      <c r="E8627" s="21"/>
      <c r="F8627" s="21" t="s">
        <v>38</v>
      </c>
      <c r="G8627" s="21">
        <v>2</v>
      </c>
      <c r="H8627" s="21">
        <v>93</v>
      </c>
      <c r="I8627" s="23" t="s">
        <v>5311</v>
      </c>
      <c r="J8627" s="21"/>
      <c r="K8627" s="21" t="s">
        <v>1122</v>
      </c>
      <c r="L8627" s="21"/>
      <c r="M8627" s="21"/>
      <c r="N8627" s="21" t="s">
        <v>42</v>
      </c>
      <c r="O8627" s="21">
        <v>189</v>
      </c>
      <c r="P8627" s="21"/>
      <c r="Q8627" s="21">
        <f t="shared" si="175"/>
        <v>5</v>
      </c>
      <c r="R8627" s="21">
        <v>1</v>
      </c>
      <c r="S8627" s="21">
        <v>0</v>
      </c>
      <c r="T8627" s="21">
        <v>0</v>
      </c>
      <c r="U8627" s="21">
        <v>4</v>
      </c>
      <c r="V8627" s="21">
        <v>1</v>
      </c>
      <c r="W8627" s="21">
        <v>0</v>
      </c>
      <c r="X8627" s="21">
        <v>0</v>
      </c>
      <c r="Y8627" s="21">
        <v>0</v>
      </c>
      <c r="Z8627" s="21">
        <v>0</v>
      </c>
      <c r="AA8627" s="21">
        <v>0</v>
      </c>
      <c r="AB8627" s="21">
        <v>0</v>
      </c>
      <c r="AC8627" s="21">
        <v>0</v>
      </c>
      <c r="AD8627" s="21">
        <v>0</v>
      </c>
      <c r="AE8627" s="21">
        <v>0</v>
      </c>
      <c r="AF8627" s="21">
        <v>0</v>
      </c>
      <c r="AG8627" s="21">
        <v>0</v>
      </c>
      <c r="AH8627" s="21">
        <f t="shared" si="176"/>
        <v>192</v>
      </c>
      <c r="AI8627" s="21"/>
      <c r="AJ8627" s="21" t="s">
        <v>51</v>
      </c>
      <c r="AK8627" s="21" t="s">
        <v>52</v>
      </c>
      <c r="AL8627" s="21"/>
      <c r="AM8627" s="21" t="s">
        <v>5312</v>
      </c>
      <c r="AN8627" s="21">
        <v>-122.436012533333</v>
      </c>
      <c r="AO8627" s="21">
        <v>37.802817966666602</v>
      </c>
      <c r="AP8627" s="21" t="s">
        <v>951</v>
      </c>
    </row>
    <row r="8628" spans="1:42">
      <c r="A8628" s="20">
        <v>43852</v>
      </c>
      <c r="B8628" s="21">
        <v>3</v>
      </c>
      <c r="C8628" s="21">
        <v>210</v>
      </c>
      <c r="D8628" s="21">
        <v>14638</v>
      </c>
      <c r="E8628" s="21"/>
      <c r="F8628" s="21" t="s">
        <v>38</v>
      </c>
      <c r="G8628" s="21">
        <v>2</v>
      </c>
      <c r="H8628" s="21">
        <v>94</v>
      </c>
      <c r="I8628" s="23" t="s">
        <v>4352</v>
      </c>
      <c r="J8628" s="21"/>
      <c r="K8628" s="21" t="s">
        <v>3451</v>
      </c>
      <c r="L8628" s="21"/>
      <c r="M8628" s="21"/>
      <c r="N8628" s="21" t="s">
        <v>40</v>
      </c>
      <c r="O8628" s="21"/>
      <c r="P8628" s="21">
        <v>315</v>
      </c>
      <c r="Q8628" s="21">
        <f t="shared" si="175"/>
        <v>5</v>
      </c>
      <c r="R8628" s="21">
        <v>1</v>
      </c>
      <c r="S8628" s="21">
        <v>0</v>
      </c>
      <c r="T8628" s="21">
        <v>0</v>
      </c>
      <c r="U8628" s="21">
        <v>0</v>
      </c>
      <c r="V8628" s="21">
        <v>0</v>
      </c>
      <c r="W8628" s="21">
        <v>0</v>
      </c>
      <c r="X8628" s="21">
        <v>5</v>
      </c>
      <c r="Y8628" s="21">
        <v>0</v>
      </c>
      <c r="Z8628" s="21">
        <v>0</v>
      </c>
      <c r="AA8628" s="21">
        <v>0</v>
      </c>
      <c r="AB8628" s="21">
        <v>0</v>
      </c>
      <c r="AC8628" s="21">
        <v>0</v>
      </c>
      <c r="AD8628" s="21">
        <v>0</v>
      </c>
      <c r="AE8628" s="21">
        <v>0</v>
      </c>
      <c r="AF8628" s="21">
        <v>0</v>
      </c>
      <c r="AG8628" s="21">
        <v>0</v>
      </c>
      <c r="AH8628" s="21">
        <f t="shared" si="176"/>
        <v>0</v>
      </c>
      <c r="AI8628" s="21"/>
      <c r="AJ8628" s="21" t="s">
        <v>51</v>
      </c>
      <c r="AK8628" s="21" t="s">
        <v>52</v>
      </c>
      <c r="AL8628" s="21" t="s">
        <v>437</v>
      </c>
      <c r="AM8628" s="21" t="s">
        <v>5313</v>
      </c>
      <c r="AN8628" s="21">
        <v>-122.434136866667</v>
      </c>
      <c r="AO8628" s="21">
        <v>37.8059865166667</v>
      </c>
      <c r="AP8628" s="21" t="s">
        <v>951</v>
      </c>
    </row>
    <row r="8629" spans="1:42">
      <c r="A8629" s="20">
        <v>43852</v>
      </c>
      <c r="B8629" s="21">
        <v>3</v>
      </c>
      <c r="C8629" s="21">
        <v>210</v>
      </c>
      <c r="D8629" s="21">
        <v>14638</v>
      </c>
      <c r="E8629" s="21"/>
      <c r="F8629" s="21" t="s">
        <v>38</v>
      </c>
      <c r="G8629" s="21">
        <v>2</v>
      </c>
      <c r="H8629" s="21">
        <v>95</v>
      </c>
      <c r="I8629" s="23" t="s">
        <v>3098</v>
      </c>
      <c r="J8629" s="21"/>
      <c r="K8629" s="21" t="s">
        <v>1122</v>
      </c>
      <c r="L8629" s="21"/>
      <c r="M8629" s="21"/>
      <c r="N8629" s="21" t="s">
        <v>44</v>
      </c>
      <c r="O8629" s="21">
        <v>276</v>
      </c>
      <c r="P8629" s="21"/>
      <c r="Q8629" s="21">
        <f t="shared" si="175"/>
        <v>4</v>
      </c>
      <c r="R8629" s="21">
        <v>1</v>
      </c>
      <c r="S8629" s="21">
        <v>0</v>
      </c>
      <c r="T8629" s="21">
        <v>0</v>
      </c>
      <c r="U8629" s="21">
        <v>0</v>
      </c>
      <c r="V8629" s="21">
        <v>0</v>
      </c>
      <c r="W8629" s="21">
        <v>4</v>
      </c>
      <c r="X8629" s="21">
        <v>0</v>
      </c>
      <c r="Y8629" s="21">
        <v>0</v>
      </c>
      <c r="Z8629" s="21">
        <v>0</v>
      </c>
      <c r="AA8629" s="21">
        <v>0</v>
      </c>
      <c r="AB8629" s="21">
        <v>0</v>
      </c>
      <c r="AC8629" s="21">
        <v>0</v>
      </c>
      <c r="AD8629" s="21">
        <v>0</v>
      </c>
      <c r="AE8629" s="21">
        <v>0</v>
      </c>
      <c r="AF8629" s="21">
        <v>0</v>
      </c>
      <c r="AG8629" s="21">
        <v>0</v>
      </c>
      <c r="AH8629" s="21">
        <f t="shared" si="176"/>
        <v>384</v>
      </c>
      <c r="AI8629" s="21"/>
      <c r="AJ8629" s="21" t="s">
        <v>51</v>
      </c>
      <c r="AK8629" s="21" t="s">
        <v>95</v>
      </c>
      <c r="AL8629" s="21" t="s">
        <v>5314</v>
      </c>
      <c r="AM8629" s="21" t="s">
        <v>5315</v>
      </c>
      <c r="AN8629" s="21">
        <v>-122.4359291</v>
      </c>
      <c r="AO8629" s="21">
        <v>37.806865416666597</v>
      </c>
      <c r="AP8629" s="21" t="s">
        <v>951</v>
      </c>
    </row>
    <row r="8630" spans="1:42">
      <c r="A8630" s="20">
        <v>43852</v>
      </c>
      <c r="B8630" s="21">
        <v>3</v>
      </c>
      <c r="C8630" s="21">
        <v>210</v>
      </c>
      <c r="D8630" s="21">
        <v>14638</v>
      </c>
      <c r="E8630" s="21"/>
      <c r="F8630" s="21" t="s">
        <v>38</v>
      </c>
      <c r="G8630" s="21">
        <v>2</v>
      </c>
      <c r="H8630" s="21">
        <v>96</v>
      </c>
      <c r="I8630" s="23" t="s">
        <v>5316</v>
      </c>
      <c r="J8630" s="21"/>
      <c r="K8630" s="21" t="s">
        <v>638</v>
      </c>
      <c r="L8630" s="21"/>
      <c r="M8630" s="21"/>
      <c r="N8630" s="21" t="s">
        <v>44</v>
      </c>
      <c r="O8630" s="21">
        <v>163</v>
      </c>
      <c r="P8630" s="21"/>
      <c r="Q8630" s="21">
        <f t="shared" si="175"/>
        <v>2</v>
      </c>
      <c r="R8630" s="21">
        <v>1</v>
      </c>
      <c r="S8630" s="21">
        <v>0</v>
      </c>
      <c r="T8630" s="21">
        <v>0</v>
      </c>
      <c r="U8630" s="21">
        <v>1</v>
      </c>
      <c r="V8630" s="21">
        <v>0</v>
      </c>
      <c r="W8630" s="21">
        <v>1</v>
      </c>
      <c r="X8630" s="21">
        <v>0</v>
      </c>
      <c r="Y8630" s="21">
        <v>0</v>
      </c>
      <c r="Z8630" s="21">
        <v>0</v>
      </c>
      <c r="AA8630" s="21">
        <v>0</v>
      </c>
      <c r="AB8630" s="21">
        <v>0</v>
      </c>
      <c r="AC8630" s="21">
        <v>0</v>
      </c>
      <c r="AD8630" s="21">
        <v>0</v>
      </c>
      <c r="AE8630" s="21">
        <v>0</v>
      </c>
      <c r="AF8630" s="21">
        <v>0</v>
      </c>
      <c r="AG8630" s="21">
        <v>0</v>
      </c>
      <c r="AH8630" s="21">
        <f t="shared" si="176"/>
        <v>128</v>
      </c>
      <c r="AI8630" s="21"/>
      <c r="AJ8630" s="21" t="s">
        <v>51</v>
      </c>
      <c r="AK8630" s="21" t="s">
        <v>95</v>
      </c>
      <c r="AL8630" s="21" t="s">
        <v>5317</v>
      </c>
      <c r="AM8630" s="21" t="s">
        <v>5318</v>
      </c>
      <c r="AN8630" s="21">
        <v>-122.430678733333</v>
      </c>
      <c r="AO8630" s="21">
        <v>37.8034185333333</v>
      </c>
      <c r="AP8630" s="21" t="s">
        <v>951</v>
      </c>
    </row>
    <row r="8631" spans="1:42">
      <c r="A8631" s="20">
        <v>43852</v>
      </c>
      <c r="B8631" s="21">
        <v>3</v>
      </c>
      <c r="C8631" s="21">
        <v>210</v>
      </c>
      <c r="D8631" s="21">
        <v>14638</v>
      </c>
      <c r="E8631" s="21"/>
      <c r="F8631" s="21" t="s">
        <v>38</v>
      </c>
      <c r="G8631" s="21">
        <v>2</v>
      </c>
      <c r="H8631" s="21">
        <v>97</v>
      </c>
      <c r="I8631" s="23" t="s">
        <v>5319</v>
      </c>
      <c r="J8631" s="21"/>
      <c r="K8631" s="21" t="s">
        <v>1122</v>
      </c>
      <c r="L8631" s="21"/>
      <c r="M8631" s="21"/>
      <c r="N8631" s="21" t="s">
        <v>44</v>
      </c>
      <c r="O8631" s="21">
        <v>47</v>
      </c>
      <c r="P8631" s="21"/>
      <c r="Q8631" s="21">
        <f t="shared" si="175"/>
        <v>1</v>
      </c>
      <c r="R8631" s="21">
        <v>1</v>
      </c>
      <c r="S8631" s="21">
        <v>0</v>
      </c>
      <c r="T8631" s="21">
        <v>0</v>
      </c>
      <c r="U8631" s="21">
        <v>0</v>
      </c>
      <c r="V8631" s="21">
        <v>0</v>
      </c>
      <c r="W8631" s="21">
        <v>1</v>
      </c>
      <c r="X8631" s="21">
        <v>0</v>
      </c>
      <c r="Y8631" s="21">
        <v>0</v>
      </c>
      <c r="Z8631" s="21">
        <v>0</v>
      </c>
      <c r="AA8631" s="21">
        <v>0</v>
      </c>
      <c r="AB8631" s="21">
        <v>0</v>
      </c>
      <c r="AC8631" s="21">
        <v>0</v>
      </c>
      <c r="AD8631" s="21">
        <v>0</v>
      </c>
      <c r="AE8631" s="21">
        <v>0</v>
      </c>
      <c r="AF8631" s="21">
        <v>0</v>
      </c>
      <c r="AG8631" s="21">
        <v>0</v>
      </c>
      <c r="AH8631" s="21">
        <f t="shared" si="176"/>
        <v>96</v>
      </c>
      <c r="AI8631" s="21"/>
      <c r="AJ8631" s="21" t="s">
        <v>51</v>
      </c>
      <c r="AK8631" s="21" t="s">
        <v>95</v>
      </c>
      <c r="AL8631" s="21"/>
      <c r="AM8631" s="21" t="s">
        <v>5320</v>
      </c>
      <c r="AN8631" s="21">
        <v>-122.42772404999999</v>
      </c>
      <c r="AO8631" s="21">
        <v>37.803757666666698</v>
      </c>
      <c r="AP8631" s="21" t="s">
        <v>951</v>
      </c>
    </row>
    <row r="8632" spans="1:42">
      <c r="A8632" s="20">
        <v>43852</v>
      </c>
      <c r="B8632" s="21">
        <v>3</v>
      </c>
      <c r="C8632" s="21">
        <v>210</v>
      </c>
      <c r="D8632" s="21">
        <v>14638</v>
      </c>
      <c r="E8632" s="21"/>
      <c r="F8632" s="21" t="s">
        <v>38</v>
      </c>
      <c r="G8632" s="21">
        <v>2</v>
      </c>
      <c r="H8632" s="21">
        <v>98</v>
      </c>
      <c r="I8632" s="23" t="s">
        <v>5321</v>
      </c>
      <c r="J8632" s="21"/>
      <c r="K8632" s="21" t="s">
        <v>1122</v>
      </c>
      <c r="L8632" s="21"/>
      <c r="M8632" s="21"/>
      <c r="N8632" s="21" t="s">
        <v>44</v>
      </c>
      <c r="O8632" s="21">
        <v>92</v>
      </c>
      <c r="P8632" s="21"/>
      <c r="Q8632" s="21">
        <f t="shared" si="175"/>
        <v>2</v>
      </c>
      <c r="R8632" s="21">
        <v>1</v>
      </c>
      <c r="S8632" s="21">
        <v>0</v>
      </c>
      <c r="T8632" s="21">
        <v>0</v>
      </c>
      <c r="U8632" s="21">
        <v>1</v>
      </c>
      <c r="V8632" s="21">
        <v>0</v>
      </c>
      <c r="W8632" s="21">
        <v>1</v>
      </c>
      <c r="X8632" s="21">
        <v>0</v>
      </c>
      <c r="Y8632" s="21">
        <v>0</v>
      </c>
      <c r="Z8632" s="21">
        <v>0</v>
      </c>
      <c r="AA8632" s="21">
        <v>0</v>
      </c>
      <c r="AB8632" s="21">
        <v>0</v>
      </c>
      <c r="AC8632" s="21">
        <v>0</v>
      </c>
      <c r="AD8632" s="21">
        <v>0</v>
      </c>
      <c r="AE8632" s="21">
        <v>0</v>
      </c>
      <c r="AF8632" s="21">
        <v>0</v>
      </c>
      <c r="AG8632" s="21">
        <v>0</v>
      </c>
      <c r="AH8632" s="21">
        <f t="shared" si="176"/>
        <v>128</v>
      </c>
      <c r="AI8632" s="21"/>
      <c r="AJ8632" s="21" t="s">
        <v>51</v>
      </c>
      <c r="AK8632" s="21" t="s">
        <v>95</v>
      </c>
      <c r="AL8632" s="21"/>
      <c r="AM8632" s="21" t="s">
        <v>5322</v>
      </c>
      <c r="AN8632" s="21">
        <v>-122.427361733333</v>
      </c>
      <c r="AO8632" s="21">
        <v>37.803852116666697</v>
      </c>
      <c r="AP8632" s="21" t="s">
        <v>951</v>
      </c>
    </row>
    <row r="8633" spans="1:42">
      <c r="A8633" s="20">
        <v>43852</v>
      </c>
      <c r="B8633" s="21">
        <v>3</v>
      </c>
      <c r="C8633" s="21">
        <v>210</v>
      </c>
      <c r="D8633" s="21">
        <v>14638</v>
      </c>
      <c r="E8633" s="21"/>
      <c r="F8633" s="21" t="s">
        <v>38</v>
      </c>
      <c r="G8633" s="21">
        <v>2</v>
      </c>
      <c r="H8633" s="21">
        <v>99</v>
      </c>
      <c r="I8633" s="23" t="s">
        <v>5323</v>
      </c>
      <c r="J8633" s="21"/>
      <c r="K8633" s="21" t="s">
        <v>1122</v>
      </c>
      <c r="L8633" s="21"/>
      <c r="M8633" s="21"/>
      <c r="N8633" s="21" t="s">
        <v>44</v>
      </c>
      <c r="O8633" s="21">
        <v>140</v>
      </c>
      <c r="P8633" s="21"/>
      <c r="Q8633" s="21">
        <f t="shared" si="175"/>
        <v>2</v>
      </c>
      <c r="R8633" s="21">
        <v>1</v>
      </c>
      <c r="S8633" s="21">
        <v>0</v>
      </c>
      <c r="T8633" s="21">
        <v>0</v>
      </c>
      <c r="U8633" s="21">
        <v>1</v>
      </c>
      <c r="V8633" s="21">
        <v>0</v>
      </c>
      <c r="W8633" s="21">
        <v>1</v>
      </c>
      <c r="X8633" s="21">
        <v>0</v>
      </c>
      <c r="Y8633" s="21">
        <v>0</v>
      </c>
      <c r="Z8633" s="21">
        <v>0</v>
      </c>
      <c r="AA8633" s="21">
        <v>0</v>
      </c>
      <c r="AB8633" s="21">
        <v>0</v>
      </c>
      <c r="AC8633" s="21">
        <v>0</v>
      </c>
      <c r="AD8633" s="21">
        <v>0</v>
      </c>
      <c r="AE8633" s="21">
        <v>0</v>
      </c>
      <c r="AF8633" s="21">
        <v>0</v>
      </c>
      <c r="AG8633" s="21">
        <v>0</v>
      </c>
      <c r="AH8633" s="21">
        <f t="shared" si="176"/>
        <v>128</v>
      </c>
      <c r="AI8633" s="21"/>
      <c r="AJ8633" s="21" t="s">
        <v>51</v>
      </c>
      <c r="AK8633" s="21" t="s">
        <v>95</v>
      </c>
      <c r="AL8633" s="21"/>
      <c r="AM8633" s="21" t="s">
        <v>5324</v>
      </c>
      <c r="AN8633" s="21">
        <v>-122.427341266667</v>
      </c>
      <c r="AO8633" s="21">
        <v>37.803833983333298</v>
      </c>
      <c r="AP8633" s="21" t="s">
        <v>951</v>
      </c>
    </row>
    <row r="8634" spans="1:42">
      <c r="A8634" s="20">
        <v>43852</v>
      </c>
      <c r="B8634" s="21">
        <v>3</v>
      </c>
      <c r="C8634" s="21">
        <v>210</v>
      </c>
      <c r="D8634" s="21">
        <v>14638</v>
      </c>
      <c r="E8634" s="21"/>
      <c r="F8634" s="21" t="s">
        <v>38</v>
      </c>
      <c r="G8634" s="21">
        <v>2</v>
      </c>
      <c r="H8634" s="21">
        <v>100</v>
      </c>
      <c r="I8634" s="23" t="s">
        <v>5325</v>
      </c>
      <c r="J8634" s="21"/>
      <c r="K8634" s="21" t="s">
        <v>862</v>
      </c>
      <c r="L8634" s="21"/>
      <c r="M8634" s="21"/>
      <c r="N8634" s="21"/>
      <c r="O8634" s="21">
        <v>115</v>
      </c>
      <c r="P8634" s="21"/>
      <c r="Q8634" s="21">
        <f t="shared" si="175"/>
        <v>2</v>
      </c>
      <c r="R8634" s="21">
        <v>1</v>
      </c>
      <c r="S8634" s="21">
        <v>0</v>
      </c>
      <c r="T8634" s="21">
        <v>0</v>
      </c>
      <c r="U8634" s="21">
        <v>1</v>
      </c>
      <c r="V8634" s="21">
        <v>0</v>
      </c>
      <c r="W8634" s="21">
        <v>1</v>
      </c>
      <c r="X8634" s="21">
        <v>0</v>
      </c>
      <c r="Y8634" s="21">
        <v>0</v>
      </c>
      <c r="Z8634" s="21">
        <v>0</v>
      </c>
      <c r="AA8634" s="21">
        <v>0</v>
      </c>
      <c r="AB8634" s="21">
        <v>0</v>
      </c>
      <c r="AC8634" s="21">
        <v>0</v>
      </c>
      <c r="AD8634" s="21">
        <v>0</v>
      </c>
      <c r="AE8634" s="21">
        <v>0</v>
      </c>
      <c r="AF8634" s="21">
        <v>0</v>
      </c>
      <c r="AG8634" s="21">
        <v>0</v>
      </c>
      <c r="AH8634" s="21">
        <f t="shared" si="176"/>
        <v>128</v>
      </c>
      <c r="AI8634" s="21"/>
      <c r="AJ8634" s="21" t="s">
        <v>51</v>
      </c>
      <c r="AK8634" s="21" t="s">
        <v>95</v>
      </c>
      <c r="AL8634" s="21" t="s">
        <v>5326</v>
      </c>
      <c r="AM8634" s="21" t="s">
        <v>5327</v>
      </c>
      <c r="AN8634" s="21">
        <v>-122.4282348</v>
      </c>
      <c r="AO8634" s="21">
        <v>37.802572566666697</v>
      </c>
      <c r="AP8634" s="21" t="s">
        <v>951</v>
      </c>
    </row>
    <row r="8635" spans="1:42">
      <c r="A8635" s="20">
        <v>43852</v>
      </c>
      <c r="B8635" s="21">
        <v>3</v>
      </c>
      <c r="C8635" s="21">
        <v>210</v>
      </c>
      <c r="D8635" s="21">
        <v>14638</v>
      </c>
      <c r="E8635" s="21"/>
      <c r="F8635" s="21" t="s">
        <v>38</v>
      </c>
      <c r="G8635" s="21">
        <v>2</v>
      </c>
      <c r="H8635" s="21">
        <v>101</v>
      </c>
      <c r="I8635" s="23" t="s">
        <v>2605</v>
      </c>
      <c r="J8635" s="21"/>
      <c r="K8635" s="21" t="s">
        <v>638</v>
      </c>
      <c r="L8635" s="21"/>
      <c r="M8635" s="21"/>
      <c r="N8635" s="21" t="s">
        <v>44</v>
      </c>
      <c r="O8635" s="21">
        <v>224</v>
      </c>
      <c r="P8635" s="21"/>
      <c r="Q8635" s="21">
        <f t="shared" si="175"/>
        <v>2</v>
      </c>
      <c r="R8635" s="21">
        <v>1</v>
      </c>
      <c r="S8635" s="21">
        <v>0</v>
      </c>
      <c r="T8635" s="21">
        <v>0</v>
      </c>
      <c r="U8635" s="21">
        <v>1</v>
      </c>
      <c r="V8635" s="21">
        <v>0</v>
      </c>
      <c r="W8635" s="21">
        <v>1</v>
      </c>
      <c r="X8635" s="21">
        <v>0</v>
      </c>
      <c r="Y8635" s="21">
        <v>0</v>
      </c>
      <c r="Z8635" s="21">
        <v>0</v>
      </c>
      <c r="AA8635" s="21">
        <v>0</v>
      </c>
      <c r="AB8635" s="21">
        <v>0</v>
      </c>
      <c r="AC8635" s="21">
        <v>0</v>
      </c>
      <c r="AD8635" s="21">
        <v>0</v>
      </c>
      <c r="AE8635" s="21">
        <v>0</v>
      </c>
      <c r="AF8635" s="21">
        <v>0</v>
      </c>
      <c r="AG8635" s="21">
        <v>0</v>
      </c>
      <c r="AH8635" s="21">
        <f t="shared" si="176"/>
        <v>128</v>
      </c>
      <c r="AI8635" s="21"/>
      <c r="AJ8635" s="21" t="s">
        <v>51</v>
      </c>
      <c r="AK8635" s="21" t="s">
        <v>95</v>
      </c>
      <c r="AL8635" s="21"/>
      <c r="AM8635" s="21" t="s">
        <v>5328</v>
      </c>
      <c r="AN8635" s="21">
        <v>-122.428170033333</v>
      </c>
      <c r="AO8635" s="21">
        <v>37.801977433333299</v>
      </c>
      <c r="AP8635" s="21" t="s">
        <v>951</v>
      </c>
    </row>
    <row r="8636" spans="1:42">
      <c r="A8636" s="20">
        <v>43852</v>
      </c>
      <c r="B8636" s="21">
        <v>3</v>
      </c>
      <c r="C8636" s="21">
        <v>210</v>
      </c>
      <c r="D8636" s="21">
        <v>14638</v>
      </c>
      <c r="E8636" s="21"/>
      <c r="F8636" s="21" t="s">
        <v>38</v>
      </c>
      <c r="G8636" s="21">
        <v>2</v>
      </c>
      <c r="H8636" s="21">
        <v>102</v>
      </c>
      <c r="I8636" s="23" t="s">
        <v>2475</v>
      </c>
      <c r="J8636" s="21"/>
      <c r="K8636" s="21" t="s">
        <v>638</v>
      </c>
      <c r="L8636" s="21"/>
      <c r="M8636" s="21"/>
      <c r="N8636" s="21"/>
      <c r="O8636" s="21">
        <v>80</v>
      </c>
      <c r="P8636" s="21"/>
      <c r="Q8636" s="21">
        <f t="shared" si="175"/>
        <v>2</v>
      </c>
      <c r="R8636" s="21">
        <v>1</v>
      </c>
      <c r="S8636" s="21">
        <v>0</v>
      </c>
      <c r="T8636" s="21">
        <v>0</v>
      </c>
      <c r="U8636" s="21">
        <v>2</v>
      </c>
      <c r="V8636" s="21">
        <v>0</v>
      </c>
      <c r="W8636" s="21">
        <v>0</v>
      </c>
      <c r="X8636" s="21">
        <v>0</v>
      </c>
      <c r="Y8636" s="21">
        <v>0</v>
      </c>
      <c r="Z8636" s="21">
        <v>0</v>
      </c>
      <c r="AA8636" s="21">
        <v>0</v>
      </c>
      <c r="AB8636" s="21">
        <v>0</v>
      </c>
      <c r="AC8636" s="21">
        <v>0</v>
      </c>
      <c r="AD8636" s="21">
        <v>0</v>
      </c>
      <c r="AE8636" s="21">
        <v>0</v>
      </c>
      <c r="AF8636" s="21">
        <v>0</v>
      </c>
      <c r="AG8636" s="21">
        <v>0</v>
      </c>
      <c r="AH8636" s="21">
        <f t="shared" si="176"/>
        <v>64</v>
      </c>
      <c r="AI8636" s="21"/>
      <c r="AJ8636" s="21" t="s">
        <v>51</v>
      </c>
      <c r="AK8636" s="21" t="s">
        <v>95</v>
      </c>
      <c r="AL8636" s="21"/>
      <c r="AM8636" s="21" t="s">
        <v>5329</v>
      </c>
      <c r="AN8636" s="21">
        <v>-122.428128316667</v>
      </c>
      <c r="AO8636" s="21">
        <v>37.801879333333297</v>
      </c>
      <c r="AP8636" s="21" t="s">
        <v>951</v>
      </c>
    </row>
    <row r="8637" spans="1:42">
      <c r="A8637" s="22">
        <v>43868</v>
      </c>
      <c r="B8637" s="21">
        <v>5</v>
      </c>
      <c r="C8637" s="21">
        <v>226</v>
      </c>
      <c r="D8637" s="21"/>
      <c r="E8637" t="s">
        <v>112</v>
      </c>
      <c r="F8637" s="21" t="s">
        <v>104</v>
      </c>
      <c r="G8637" s="23">
        <v>4</v>
      </c>
      <c r="H8637" s="21">
        <v>1</v>
      </c>
      <c r="I8637" s="23" t="s">
        <v>5227</v>
      </c>
      <c r="J8637" s="21"/>
      <c r="K8637" s="21" t="s">
        <v>69</v>
      </c>
      <c r="L8637" s="21" t="s">
        <v>141</v>
      </c>
      <c r="M8637" s="21"/>
      <c r="N8637" s="21" t="s">
        <v>44</v>
      </c>
      <c r="O8637" s="21">
        <v>139</v>
      </c>
      <c r="P8637" s="21"/>
      <c r="Q8637" s="21">
        <f t="shared" si="175"/>
        <v>1</v>
      </c>
      <c r="R8637" s="21">
        <v>1</v>
      </c>
      <c r="S8637" s="21">
        <v>0</v>
      </c>
      <c r="T8637" s="21">
        <v>0</v>
      </c>
      <c r="U8637" s="21">
        <v>0</v>
      </c>
      <c r="V8637" s="21">
        <v>0</v>
      </c>
      <c r="W8637" s="21">
        <v>1</v>
      </c>
      <c r="X8637" s="21">
        <v>0</v>
      </c>
      <c r="Y8637" s="21">
        <v>0</v>
      </c>
      <c r="Z8637" s="21">
        <v>0</v>
      </c>
      <c r="AA8637" s="21">
        <v>0</v>
      </c>
      <c r="AB8637" s="21">
        <v>0</v>
      </c>
      <c r="AC8637" s="21">
        <v>0</v>
      </c>
      <c r="AD8637" s="21">
        <v>0</v>
      </c>
      <c r="AE8637" s="21">
        <v>0</v>
      </c>
      <c r="AF8637" s="21">
        <v>0</v>
      </c>
      <c r="AG8637" s="21">
        <v>0</v>
      </c>
      <c r="AH8637" s="21">
        <f t="shared" si="176"/>
        <v>96</v>
      </c>
      <c r="AI8637" s="21"/>
      <c r="AJ8637" s="21" t="s">
        <v>54</v>
      </c>
      <c r="AK8637" s="21" t="s">
        <v>52</v>
      </c>
      <c r="AL8637" s="21" t="s">
        <v>5330</v>
      </c>
      <c r="AM8637" s="21" t="s">
        <v>5331</v>
      </c>
      <c r="AN8637" s="21">
        <v>-122.424452883333</v>
      </c>
      <c r="AO8637" s="21">
        <v>37.7887718666666</v>
      </c>
      <c r="AP8637" s="21" t="s">
        <v>541</v>
      </c>
    </row>
    <row r="8638" spans="1:42">
      <c r="A8638" s="22">
        <v>43868</v>
      </c>
      <c r="B8638" s="21">
        <v>5</v>
      </c>
      <c r="C8638" s="21">
        <v>226</v>
      </c>
      <c r="D8638" s="21"/>
      <c r="E8638" t="s">
        <v>112</v>
      </c>
      <c r="F8638" s="21" t="s">
        <v>104</v>
      </c>
      <c r="G8638" s="23">
        <v>4</v>
      </c>
      <c r="H8638" s="21">
        <v>2</v>
      </c>
      <c r="I8638" s="23" t="s">
        <v>5332</v>
      </c>
      <c r="J8638" s="21"/>
      <c r="K8638" s="21" t="s">
        <v>69</v>
      </c>
      <c r="L8638" s="21" t="s">
        <v>141</v>
      </c>
      <c r="M8638" s="21" t="s">
        <v>52</v>
      </c>
      <c r="N8638" s="21" t="s">
        <v>44</v>
      </c>
      <c r="O8638" s="21">
        <v>177</v>
      </c>
      <c r="P8638" s="21"/>
      <c r="Q8638" s="21">
        <f t="shared" si="175"/>
        <v>1</v>
      </c>
      <c r="R8638" s="21">
        <v>1</v>
      </c>
      <c r="S8638" s="21">
        <v>0</v>
      </c>
      <c r="T8638" s="21">
        <v>0</v>
      </c>
      <c r="U8638" s="21">
        <v>0</v>
      </c>
      <c r="V8638" s="21">
        <v>0</v>
      </c>
      <c r="W8638" s="21">
        <v>1</v>
      </c>
      <c r="X8638" s="21">
        <v>0</v>
      </c>
      <c r="Y8638" s="21">
        <v>0</v>
      </c>
      <c r="Z8638" s="21">
        <v>0</v>
      </c>
      <c r="AA8638" s="21">
        <v>0</v>
      </c>
      <c r="AB8638" s="21">
        <v>0</v>
      </c>
      <c r="AC8638" s="21">
        <v>0</v>
      </c>
      <c r="AD8638" s="21">
        <v>0</v>
      </c>
      <c r="AE8638" s="21">
        <v>0</v>
      </c>
      <c r="AF8638" s="21">
        <v>0</v>
      </c>
      <c r="AG8638" s="21">
        <v>0</v>
      </c>
      <c r="AH8638" s="21">
        <f t="shared" si="176"/>
        <v>96</v>
      </c>
      <c r="AI8638" s="21"/>
      <c r="AJ8638" s="21" t="s">
        <v>54</v>
      </c>
      <c r="AK8638" s="21" t="s">
        <v>95</v>
      </c>
      <c r="AL8638" s="21" t="s">
        <v>5333</v>
      </c>
      <c r="AM8638" s="21" t="s">
        <v>5334</v>
      </c>
      <c r="AN8638" s="21">
        <v>-122.423736283333</v>
      </c>
      <c r="AO8638" s="21">
        <v>37.789503083333301</v>
      </c>
      <c r="AP8638" s="21" t="s">
        <v>541</v>
      </c>
    </row>
    <row r="8639" spans="1:42">
      <c r="A8639" s="22">
        <v>43868</v>
      </c>
      <c r="B8639" s="21">
        <v>5</v>
      </c>
      <c r="C8639" s="21">
        <v>226</v>
      </c>
      <c r="D8639" s="21"/>
      <c r="E8639" t="s">
        <v>112</v>
      </c>
      <c r="F8639" s="21" t="s">
        <v>104</v>
      </c>
      <c r="G8639" s="23">
        <v>4</v>
      </c>
      <c r="H8639" s="21">
        <v>3</v>
      </c>
      <c r="I8639" s="23" t="s">
        <v>2787</v>
      </c>
      <c r="J8639" s="21"/>
      <c r="K8639" s="21" t="s">
        <v>2125</v>
      </c>
      <c r="L8639" s="21" t="s">
        <v>114</v>
      </c>
      <c r="M8639" s="21"/>
      <c r="N8639" s="21" t="s">
        <v>40</v>
      </c>
      <c r="O8639" s="21">
        <v>102</v>
      </c>
      <c r="P8639" s="21"/>
      <c r="Q8639" s="21">
        <f t="shared" si="175"/>
        <v>2</v>
      </c>
      <c r="R8639" s="21">
        <v>1</v>
      </c>
      <c r="S8639" s="21">
        <v>0</v>
      </c>
      <c r="T8639" s="21">
        <v>0</v>
      </c>
      <c r="U8639" s="21">
        <v>0</v>
      </c>
      <c r="V8639" s="21">
        <v>1</v>
      </c>
      <c r="W8639" s="21">
        <v>1</v>
      </c>
      <c r="X8639" s="21">
        <v>0</v>
      </c>
      <c r="Y8639" s="21">
        <v>0</v>
      </c>
      <c r="Z8639" s="21">
        <v>0</v>
      </c>
      <c r="AA8639" s="21">
        <v>0</v>
      </c>
      <c r="AB8639" s="21">
        <v>0</v>
      </c>
      <c r="AC8639" s="21">
        <v>0</v>
      </c>
      <c r="AD8639" s="21">
        <v>0</v>
      </c>
      <c r="AE8639" s="21">
        <v>0</v>
      </c>
      <c r="AF8639" s="21">
        <v>0</v>
      </c>
      <c r="AG8639" s="21">
        <v>0</v>
      </c>
      <c r="AH8639" s="21">
        <f t="shared" si="176"/>
        <v>160</v>
      </c>
      <c r="AI8639" s="21"/>
      <c r="AJ8639" s="21" t="s">
        <v>54</v>
      </c>
      <c r="AK8639" s="21" t="s">
        <v>95</v>
      </c>
      <c r="AL8639" s="21"/>
      <c r="AM8639" s="21" t="s">
        <v>5335</v>
      </c>
      <c r="AN8639" s="21">
        <v>-122.42230350784401</v>
      </c>
      <c r="AO8639" s="21">
        <v>37.788613028114902</v>
      </c>
      <c r="AP8639" s="21" t="s">
        <v>541</v>
      </c>
    </row>
    <row r="8640" spans="1:42">
      <c r="A8640" s="22">
        <v>43868</v>
      </c>
      <c r="B8640" s="21">
        <v>5</v>
      </c>
      <c r="C8640" s="21">
        <v>226</v>
      </c>
      <c r="D8640" s="21"/>
      <c r="E8640" t="s">
        <v>112</v>
      </c>
      <c r="F8640" s="21" t="s">
        <v>104</v>
      </c>
      <c r="G8640" s="23">
        <v>4</v>
      </c>
      <c r="H8640" s="21">
        <v>4</v>
      </c>
      <c r="I8640" s="23" t="s">
        <v>4447</v>
      </c>
      <c r="J8640" s="21"/>
      <c r="K8640" s="21" t="s">
        <v>2125</v>
      </c>
      <c r="L8640" s="21" t="s">
        <v>141</v>
      </c>
      <c r="M8640" s="21"/>
      <c r="N8640" s="21" t="s">
        <v>44</v>
      </c>
      <c r="O8640" s="21">
        <v>133</v>
      </c>
      <c r="P8640" s="21"/>
      <c r="Q8640" s="21">
        <f t="shared" ref="Q8640:Q8703" si="177">SUM(S8640:AE8640)</f>
        <v>2</v>
      </c>
      <c r="R8640" s="21">
        <v>1</v>
      </c>
      <c r="S8640" s="21">
        <v>0</v>
      </c>
      <c r="T8640" s="21">
        <v>0</v>
      </c>
      <c r="U8640" s="21">
        <v>0</v>
      </c>
      <c r="V8640" s="21">
        <v>0</v>
      </c>
      <c r="W8640" s="21">
        <v>2</v>
      </c>
      <c r="X8640" s="21">
        <v>0</v>
      </c>
      <c r="Y8640" s="21">
        <v>0</v>
      </c>
      <c r="Z8640" s="21">
        <v>0</v>
      </c>
      <c r="AA8640" s="21">
        <v>0</v>
      </c>
      <c r="AB8640" s="21">
        <v>0</v>
      </c>
      <c r="AC8640" s="21">
        <v>0</v>
      </c>
      <c r="AD8640" s="21">
        <v>0</v>
      </c>
      <c r="AE8640" s="21">
        <v>0</v>
      </c>
      <c r="AF8640" s="21">
        <v>0</v>
      </c>
      <c r="AG8640" s="21">
        <v>0</v>
      </c>
      <c r="AH8640" s="21">
        <f t="shared" ref="AH8640:AH8703" si="178">(S8640*16)+(T8640*20)+(U8640*32)+(V8640*64)+(W8640*96)</f>
        <v>192</v>
      </c>
      <c r="AI8640" s="21"/>
      <c r="AJ8640" s="21" t="s">
        <v>54</v>
      </c>
      <c r="AK8640" s="21" t="s">
        <v>95</v>
      </c>
      <c r="AL8640" s="21" t="s">
        <v>5336</v>
      </c>
      <c r="AM8640" s="21" t="s">
        <v>5337</v>
      </c>
      <c r="AN8640" s="21">
        <v>-122.4225692</v>
      </c>
      <c r="AO8640" s="21">
        <v>37.789380633333302</v>
      </c>
      <c r="AP8640" s="21" t="s">
        <v>541</v>
      </c>
    </row>
    <row r="8641" spans="1:42">
      <c r="A8641" s="22">
        <v>43868</v>
      </c>
      <c r="B8641" s="21">
        <v>5</v>
      </c>
      <c r="C8641" s="21">
        <v>226</v>
      </c>
      <c r="D8641" s="21"/>
      <c r="E8641" t="s">
        <v>112</v>
      </c>
      <c r="F8641" s="21" t="s">
        <v>104</v>
      </c>
      <c r="G8641" s="23">
        <v>4</v>
      </c>
      <c r="H8641" s="21">
        <v>5</v>
      </c>
      <c r="I8641" s="23" t="s">
        <v>3876</v>
      </c>
      <c r="J8641" s="21"/>
      <c r="K8641" s="21" t="s">
        <v>69</v>
      </c>
      <c r="L8641" s="21" t="s">
        <v>114</v>
      </c>
      <c r="M8641" s="21"/>
      <c r="N8641" s="21" t="s">
        <v>1703</v>
      </c>
      <c r="O8641" s="21">
        <v>68</v>
      </c>
      <c r="P8641" s="21"/>
      <c r="Q8641" s="21">
        <f t="shared" si="177"/>
        <v>2</v>
      </c>
      <c r="R8641" s="21">
        <v>1</v>
      </c>
      <c r="S8641" s="21">
        <v>0</v>
      </c>
      <c r="T8641" s="21">
        <v>0</v>
      </c>
      <c r="U8641" s="21">
        <v>0</v>
      </c>
      <c r="V8641" s="21">
        <v>2</v>
      </c>
      <c r="W8641" s="21">
        <v>0</v>
      </c>
      <c r="X8641" s="21">
        <v>0</v>
      </c>
      <c r="Y8641" s="21">
        <v>0</v>
      </c>
      <c r="Z8641" s="21">
        <v>0</v>
      </c>
      <c r="AA8641" s="21">
        <v>0</v>
      </c>
      <c r="AB8641" s="21">
        <v>0</v>
      </c>
      <c r="AC8641" s="21">
        <v>0</v>
      </c>
      <c r="AD8641" s="21">
        <v>0</v>
      </c>
      <c r="AE8641" s="21">
        <v>0</v>
      </c>
      <c r="AF8641" s="21">
        <v>0</v>
      </c>
      <c r="AG8641" s="21">
        <v>0</v>
      </c>
      <c r="AH8641" s="21">
        <f t="shared" si="178"/>
        <v>128</v>
      </c>
      <c r="AI8641" s="21"/>
      <c r="AJ8641" s="21" t="s">
        <v>54</v>
      </c>
      <c r="AK8641" s="21" t="s">
        <v>52</v>
      </c>
      <c r="AL8641" s="21" t="s">
        <v>5338</v>
      </c>
      <c r="AM8641" s="21" t="s">
        <v>5339</v>
      </c>
      <c r="AN8641" s="21">
        <v>-122.42298358333299</v>
      </c>
      <c r="AO8641" s="21">
        <v>37.789396383333298</v>
      </c>
      <c r="AP8641" s="21" t="s">
        <v>541</v>
      </c>
    </row>
    <row r="8642" spans="1:42">
      <c r="A8642" s="22">
        <v>43868</v>
      </c>
      <c r="B8642" s="21">
        <v>5</v>
      </c>
      <c r="C8642" s="21">
        <v>226</v>
      </c>
      <c r="D8642" s="21"/>
      <c r="E8642" t="s">
        <v>112</v>
      </c>
      <c r="F8642" s="21" t="s">
        <v>104</v>
      </c>
      <c r="G8642" s="23">
        <v>4</v>
      </c>
      <c r="H8642" s="21">
        <v>6</v>
      </c>
      <c r="I8642" s="23" t="s">
        <v>3100</v>
      </c>
      <c r="J8642" s="21"/>
      <c r="K8642" s="21" t="s">
        <v>69</v>
      </c>
      <c r="L8642" s="21" t="s">
        <v>114</v>
      </c>
      <c r="M8642" s="21"/>
      <c r="N8642" s="21" t="s">
        <v>40</v>
      </c>
      <c r="O8642" s="21">
        <v>63</v>
      </c>
      <c r="P8642" s="21"/>
      <c r="Q8642" s="21">
        <f t="shared" si="177"/>
        <v>3</v>
      </c>
      <c r="R8642" s="21">
        <v>1</v>
      </c>
      <c r="S8642" s="21">
        <v>0</v>
      </c>
      <c r="T8642" s="21">
        <v>0</v>
      </c>
      <c r="U8642" s="21">
        <v>0</v>
      </c>
      <c r="V8642" s="21">
        <v>3</v>
      </c>
      <c r="W8642" s="21">
        <v>0</v>
      </c>
      <c r="X8642" s="21">
        <v>0</v>
      </c>
      <c r="Y8642" s="21">
        <v>0</v>
      </c>
      <c r="Z8642" s="21">
        <v>0</v>
      </c>
      <c r="AA8642" s="21">
        <v>0</v>
      </c>
      <c r="AB8642" s="21">
        <v>0</v>
      </c>
      <c r="AC8642" s="21">
        <v>0</v>
      </c>
      <c r="AD8642" s="21">
        <v>0</v>
      </c>
      <c r="AE8642" s="21">
        <v>0</v>
      </c>
      <c r="AF8642" s="21">
        <v>0</v>
      </c>
      <c r="AG8642" s="21">
        <v>0</v>
      </c>
      <c r="AH8642" s="21">
        <f t="shared" si="178"/>
        <v>192</v>
      </c>
      <c r="AI8642" s="21"/>
      <c r="AJ8642" s="21" t="s">
        <v>54</v>
      </c>
      <c r="AK8642" s="21" t="s">
        <v>52</v>
      </c>
      <c r="AL8642" s="21"/>
      <c r="AM8642" s="21" t="s">
        <v>5340</v>
      </c>
      <c r="AN8642" s="21">
        <v>-122.42326635000001</v>
      </c>
      <c r="AO8642" s="21">
        <v>37.7892917666667</v>
      </c>
      <c r="AP8642" s="21" t="s">
        <v>541</v>
      </c>
    </row>
    <row r="8643" spans="1:42">
      <c r="A8643" s="22">
        <v>43868</v>
      </c>
      <c r="B8643" s="21">
        <v>5</v>
      </c>
      <c r="C8643" s="21">
        <v>226</v>
      </c>
      <c r="D8643" s="21"/>
      <c r="E8643" t="s">
        <v>112</v>
      </c>
      <c r="F8643" s="21" t="s">
        <v>104</v>
      </c>
      <c r="G8643" s="23">
        <v>4</v>
      </c>
      <c r="H8643" s="21">
        <v>7</v>
      </c>
      <c r="I8643" s="23" t="s">
        <v>5341</v>
      </c>
      <c r="J8643" s="21"/>
      <c r="K8643" s="21" t="s">
        <v>69</v>
      </c>
      <c r="L8643" s="21" t="s">
        <v>141</v>
      </c>
      <c r="M8643" s="21"/>
      <c r="N8643" s="21" t="s">
        <v>44</v>
      </c>
      <c r="O8643" s="21">
        <v>88</v>
      </c>
      <c r="P8643" s="21"/>
      <c r="Q8643" s="21">
        <f t="shared" si="177"/>
        <v>1</v>
      </c>
      <c r="R8643" s="21">
        <v>1</v>
      </c>
      <c r="S8643" s="21">
        <v>0</v>
      </c>
      <c r="T8643" s="21">
        <v>0</v>
      </c>
      <c r="U8643" s="21">
        <v>0</v>
      </c>
      <c r="V8643" s="21">
        <v>0</v>
      </c>
      <c r="W8643" s="21">
        <v>1</v>
      </c>
      <c r="X8643" s="21">
        <v>0</v>
      </c>
      <c r="Y8643" s="21">
        <v>0</v>
      </c>
      <c r="Z8643" s="21">
        <v>0</v>
      </c>
      <c r="AA8643" s="21">
        <v>0</v>
      </c>
      <c r="AB8643" s="21">
        <v>0</v>
      </c>
      <c r="AC8643" s="21">
        <v>0</v>
      </c>
      <c r="AD8643" s="21">
        <v>0</v>
      </c>
      <c r="AE8643" s="21">
        <v>0</v>
      </c>
      <c r="AF8643" s="21">
        <v>0</v>
      </c>
      <c r="AG8643" s="21">
        <v>0</v>
      </c>
      <c r="AH8643" s="21">
        <f t="shared" si="178"/>
        <v>96</v>
      </c>
      <c r="AI8643" s="21"/>
      <c r="AJ8643" s="21" t="s">
        <v>54</v>
      </c>
      <c r="AK8643" s="21" t="s">
        <v>52</v>
      </c>
      <c r="AL8643" s="21" t="s">
        <v>5342</v>
      </c>
      <c r="AM8643" s="21" t="s">
        <v>5343</v>
      </c>
      <c r="AN8643" s="21">
        <v>-122.42451218333299</v>
      </c>
      <c r="AO8643" s="21">
        <v>37.789143133333297</v>
      </c>
      <c r="AP8643" s="21" t="s">
        <v>541</v>
      </c>
    </row>
    <row r="8644" spans="1:42">
      <c r="A8644" s="22">
        <v>43868</v>
      </c>
      <c r="B8644" s="21">
        <v>5</v>
      </c>
      <c r="C8644" s="21">
        <v>226</v>
      </c>
      <c r="D8644" s="21"/>
      <c r="E8644" t="s">
        <v>112</v>
      </c>
      <c r="F8644" s="21" t="s">
        <v>104</v>
      </c>
      <c r="G8644" s="23">
        <v>4</v>
      </c>
      <c r="H8644" s="21">
        <v>8</v>
      </c>
      <c r="I8644" s="23" t="s">
        <v>5344</v>
      </c>
      <c r="J8644" s="21"/>
      <c r="K8644" s="21" t="s">
        <v>69</v>
      </c>
      <c r="L8644" s="21" t="s">
        <v>141</v>
      </c>
      <c r="M8644" s="21" t="s">
        <v>95</v>
      </c>
      <c r="N8644" s="21" t="s">
        <v>40</v>
      </c>
      <c r="O8644" s="21">
        <v>67</v>
      </c>
      <c r="P8644" s="21"/>
      <c r="Q8644" s="21">
        <f t="shared" si="177"/>
        <v>2</v>
      </c>
      <c r="R8644" s="21">
        <v>1</v>
      </c>
      <c r="S8644" s="21">
        <v>0</v>
      </c>
      <c r="T8644" s="21">
        <v>0</v>
      </c>
      <c r="U8644" s="21">
        <v>0</v>
      </c>
      <c r="V8644" s="21">
        <v>0</v>
      </c>
      <c r="W8644" s="21">
        <v>2</v>
      </c>
      <c r="X8644" s="21">
        <v>0</v>
      </c>
      <c r="Y8644" s="21">
        <v>0</v>
      </c>
      <c r="Z8644" s="21">
        <v>0</v>
      </c>
      <c r="AA8644" s="21">
        <v>0</v>
      </c>
      <c r="AB8644" s="21">
        <v>0</v>
      </c>
      <c r="AC8644" s="21">
        <v>0</v>
      </c>
      <c r="AD8644" s="21">
        <v>0</v>
      </c>
      <c r="AE8644" s="21">
        <v>0</v>
      </c>
      <c r="AF8644" s="21">
        <v>0</v>
      </c>
      <c r="AG8644" s="21">
        <v>0</v>
      </c>
      <c r="AH8644" s="21">
        <f t="shared" si="178"/>
        <v>192</v>
      </c>
      <c r="AI8644" s="21"/>
      <c r="AJ8644" s="21" t="s">
        <v>54</v>
      </c>
      <c r="AK8644" s="21" t="s">
        <v>52</v>
      </c>
      <c r="AL8644" s="21"/>
      <c r="AM8644" s="21" t="s">
        <v>5345</v>
      </c>
      <c r="AN8644" s="21">
        <v>-122.42558203497001</v>
      </c>
      <c r="AO8644" s="21">
        <v>37.785755086616803</v>
      </c>
      <c r="AP8644" s="21" t="s">
        <v>541</v>
      </c>
    </row>
    <row r="8645" spans="1:42">
      <c r="A8645" s="22">
        <v>43868</v>
      </c>
      <c r="B8645" s="21">
        <v>5</v>
      </c>
      <c r="C8645" s="21">
        <v>226</v>
      </c>
      <c r="D8645" s="21"/>
      <c r="E8645" t="s">
        <v>112</v>
      </c>
      <c r="F8645" s="21" t="s">
        <v>104</v>
      </c>
      <c r="G8645" s="23">
        <v>4</v>
      </c>
      <c r="H8645" s="21">
        <v>9</v>
      </c>
      <c r="I8645" s="23" t="s">
        <v>5346</v>
      </c>
      <c r="J8645" s="21"/>
      <c r="K8645" s="21" t="s">
        <v>69</v>
      </c>
      <c r="L8645" s="21" t="s">
        <v>114</v>
      </c>
      <c r="M8645" s="21" t="s">
        <v>52</v>
      </c>
      <c r="N8645" s="21" t="s">
        <v>44</v>
      </c>
      <c r="O8645" s="21">
        <v>132</v>
      </c>
      <c r="P8645" s="21"/>
      <c r="Q8645" s="21">
        <f t="shared" si="177"/>
        <v>2</v>
      </c>
      <c r="R8645" s="21">
        <v>1</v>
      </c>
      <c r="S8645" s="21">
        <v>0</v>
      </c>
      <c r="T8645" s="21">
        <v>0</v>
      </c>
      <c r="U8645" s="21">
        <v>0</v>
      </c>
      <c r="V8645" s="21">
        <v>0</v>
      </c>
      <c r="W8645" s="21">
        <v>2</v>
      </c>
      <c r="X8645" s="21">
        <v>0</v>
      </c>
      <c r="Y8645" s="21">
        <v>0</v>
      </c>
      <c r="Z8645" s="21">
        <v>0</v>
      </c>
      <c r="AA8645" s="21">
        <v>0</v>
      </c>
      <c r="AB8645" s="21">
        <v>0</v>
      </c>
      <c r="AC8645" s="21">
        <v>0</v>
      </c>
      <c r="AD8645" s="21">
        <v>0</v>
      </c>
      <c r="AE8645" s="21">
        <v>0</v>
      </c>
      <c r="AF8645" s="21">
        <v>0</v>
      </c>
      <c r="AG8645" s="21">
        <v>0</v>
      </c>
      <c r="AH8645" s="21">
        <f t="shared" si="178"/>
        <v>192</v>
      </c>
      <c r="AI8645" s="21"/>
      <c r="AJ8645" s="21" t="s">
        <v>54</v>
      </c>
      <c r="AK8645" s="21" t="s">
        <v>52</v>
      </c>
      <c r="AL8645" s="21" t="s">
        <v>5347</v>
      </c>
      <c r="AM8645" s="21" t="s">
        <v>5348</v>
      </c>
      <c r="AN8645" s="21">
        <v>-122.424895616667</v>
      </c>
      <c r="AO8645" s="21">
        <v>37.789146233333298</v>
      </c>
      <c r="AP8645" s="21" t="s">
        <v>541</v>
      </c>
    </row>
    <row r="8646" spans="1:42">
      <c r="A8646" s="22">
        <v>43868</v>
      </c>
      <c r="B8646" s="21">
        <v>5</v>
      </c>
      <c r="C8646" s="21">
        <v>226</v>
      </c>
      <c r="D8646" s="21"/>
      <c r="E8646" t="s">
        <v>112</v>
      </c>
      <c r="F8646" s="21" t="s">
        <v>104</v>
      </c>
      <c r="G8646" s="23">
        <v>4</v>
      </c>
      <c r="H8646" s="21">
        <v>10</v>
      </c>
      <c r="I8646" s="23" t="s">
        <v>2787</v>
      </c>
      <c r="J8646" s="21"/>
      <c r="K8646" s="21" t="s">
        <v>638</v>
      </c>
      <c r="L8646" s="21" t="s">
        <v>114</v>
      </c>
      <c r="M8646" s="21"/>
      <c r="N8646" s="21" t="s">
        <v>44</v>
      </c>
      <c r="O8646" s="21">
        <v>141</v>
      </c>
      <c r="P8646" s="21"/>
      <c r="Q8646" s="21">
        <f t="shared" si="177"/>
        <v>3</v>
      </c>
      <c r="R8646" s="21">
        <v>1</v>
      </c>
      <c r="S8646" s="21">
        <v>0</v>
      </c>
      <c r="T8646" s="21">
        <v>0</v>
      </c>
      <c r="U8646" s="21">
        <v>0</v>
      </c>
      <c r="V8646" s="21">
        <v>0</v>
      </c>
      <c r="W8646" s="21">
        <v>3</v>
      </c>
      <c r="X8646" s="21">
        <v>0</v>
      </c>
      <c r="Y8646" s="21">
        <v>0</v>
      </c>
      <c r="Z8646" s="21">
        <v>0</v>
      </c>
      <c r="AA8646" s="21">
        <v>0</v>
      </c>
      <c r="AB8646" s="21">
        <v>0</v>
      </c>
      <c r="AC8646" s="21">
        <v>0</v>
      </c>
      <c r="AD8646" s="21">
        <v>0</v>
      </c>
      <c r="AE8646" s="21">
        <v>0</v>
      </c>
      <c r="AF8646" s="21">
        <v>0</v>
      </c>
      <c r="AG8646" s="21">
        <v>0</v>
      </c>
      <c r="AH8646" s="21">
        <f t="shared" si="178"/>
        <v>288</v>
      </c>
      <c r="AI8646" s="21"/>
      <c r="AJ8646" s="21" t="s">
        <v>54</v>
      </c>
      <c r="AK8646" s="21" t="s">
        <v>52</v>
      </c>
      <c r="AL8646" s="21" t="s">
        <v>5349</v>
      </c>
      <c r="AM8646" s="21" t="s">
        <v>5350</v>
      </c>
      <c r="AN8646" s="21">
        <v>-122.42525568333301</v>
      </c>
      <c r="AO8646" s="21">
        <v>37.789168933333301</v>
      </c>
      <c r="AP8646" s="21" t="s">
        <v>541</v>
      </c>
    </row>
    <row r="8647" spans="1:42">
      <c r="A8647" s="22">
        <v>43868</v>
      </c>
      <c r="B8647" s="21">
        <v>5</v>
      </c>
      <c r="C8647" s="21">
        <v>226</v>
      </c>
      <c r="D8647" s="21"/>
      <c r="E8647" t="s">
        <v>112</v>
      </c>
      <c r="F8647" s="21" t="s">
        <v>104</v>
      </c>
      <c r="G8647" s="23">
        <v>4</v>
      </c>
      <c r="H8647" s="21">
        <v>11</v>
      </c>
      <c r="I8647" s="23" t="s">
        <v>3335</v>
      </c>
      <c r="J8647" s="21"/>
      <c r="K8647" s="21" t="s">
        <v>638</v>
      </c>
      <c r="L8647" s="21" t="s">
        <v>141</v>
      </c>
      <c r="M8647" s="21"/>
      <c r="N8647" s="21" t="s">
        <v>44</v>
      </c>
      <c r="O8647" s="21">
        <v>263</v>
      </c>
      <c r="P8647" s="21"/>
      <c r="Q8647" s="21">
        <f t="shared" si="177"/>
        <v>4</v>
      </c>
      <c r="R8647" s="21">
        <v>1</v>
      </c>
      <c r="S8647" s="21">
        <v>0</v>
      </c>
      <c r="T8647" s="21">
        <v>0</v>
      </c>
      <c r="U8647" s="21">
        <v>0</v>
      </c>
      <c r="V8647" s="21">
        <v>0</v>
      </c>
      <c r="W8647" s="21">
        <v>4</v>
      </c>
      <c r="X8647" s="21">
        <v>0</v>
      </c>
      <c r="Y8647" s="21">
        <v>0</v>
      </c>
      <c r="Z8647" s="21">
        <v>0</v>
      </c>
      <c r="AA8647" s="21">
        <v>0</v>
      </c>
      <c r="AB8647" s="21">
        <v>0</v>
      </c>
      <c r="AC8647" s="21">
        <v>0</v>
      </c>
      <c r="AD8647" s="21">
        <v>0</v>
      </c>
      <c r="AE8647" s="21">
        <v>0</v>
      </c>
      <c r="AF8647" s="21">
        <v>0</v>
      </c>
      <c r="AG8647" s="21">
        <v>0</v>
      </c>
      <c r="AH8647" s="21">
        <f t="shared" si="178"/>
        <v>384</v>
      </c>
      <c r="AI8647" s="21"/>
      <c r="AJ8647" s="21" t="s">
        <v>54</v>
      </c>
      <c r="AK8647" s="21" t="s">
        <v>52</v>
      </c>
      <c r="AL8647" s="21" t="s">
        <v>5351</v>
      </c>
      <c r="AM8647" s="21" t="s">
        <v>5352</v>
      </c>
      <c r="AN8647" s="21">
        <v>-122.425452383333</v>
      </c>
      <c r="AO8647" s="21">
        <v>37.7886912833333</v>
      </c>
      <c r="AP8647" s="21" t="s">
        <v>541</v>
      </c>
    </row>
    <row r="8648" spans="1:42">
      <c r="A8648" s="22">
        <v>43868</v>
      </c>
      <c r="B8648" s="21">
        <v>5</v>
      </c>
      <c r="C8648" s="21">
        <v>226</v>
      </c>
      <c r="D8648" s="21"/>
      <c r="E8648" t="s">
        <v>112</v>
      </c>
      <c r="F8648" s="21" t="s">
        <v>104</v>
      </c>
      <c r="G8648" s="23">
        <v>4</v>
      </c>
      <c r="H8648" s="21">
        <v>12</v>
      </c>
      <c r="I8648" s="23" t="s">
        <v>5353</v>
      </c>
      <c r="J8648" s="21"/>
      <c r="K8648" s="21" t="s">
        <v>2125</v>
      </c>
      <c r="L8648" s="21" t="s">
        <v>141</v>
      </c>
      <c r="M8648" s="21"/>
      <c r="N8648" s="21" t="s">
        <v>44</v>
      </c>
      <c r="O8648" s="21">
        <v>113</v>
      </c>
      <c r="P8648" s="21"/>
      <c r="Q8648" s="21">
        <f t="shared" si="177"/>
        <v>2</v>
      </c>
      <c r="R8648" s="21">
        <v>1</v>
      </c>
      <c r="S8648" s="21">
        <v>0</v>
      </c>
      <c r="T8648" s="21">
        <v>0</v>
      </c>
      <c r="U8648" s="21">
        <v>0</v>
      </c>
      <c r="V8648" s="21">
        <v>0</v>
      </c>
      <c r="W8648" s="21">
        <v>2</v>
      </c>
      <c r="X8648" s="21">
        <v>0</v>
      </c>
      <c r="Y8648" s="21">
        <v>0</v>
      </c>
      <c r="Z8648" s="21">
        <v>0</v>
      </c>
      <c r="AA8648" s="21">
        <v>0</v>
      </c>
      <c r="AB8648" s="21">
        <v>0</v>
      </c>
      <c r="AC8648" s="21">
        <v>0</v>
      </c>
      <c r="AD8648" s="21">
        <v>0</v>
      </c>
      <c r="AE8648" s="21">
        <v>0</v>
      </c>
      <c r="AF8648" s="21">
        <v>0</v>
      </c>
      <c r="AG8648" s="21">
        <v>0</v>
      </c>
      <c r="AH8648" s="21">
        <f t="shared" si="178"/>
        <v>192</v>
      </c>
      <c r="AI8648" s="21"/>
      <c r="AJ8648" s="21"/>
      <c r="AK8648" s="21"/>
      <c r="AL8648" s="21"/>
      <c r="AM8648" s="21" t="s">
        <v>5354</v>
      </c>
      <c r="AN8648" s="21">
        <v>-122.426858783333</v>
      </c>
      <c r="AO8648" s="21">
        <v>37.789806433333297</v>
      </c>
      <c r="AP8648" s="21" t="s">
        <v>541</v>
      </c>
    </row>
    <row r="8649" spans="1:42">
      <c r="A8649" s="22">
        <v>43868</v>
      </c>
      <c r="B8649" s="21">
        <v>5</v>
      </c>
      <c r="C8649" s="21">
        <v>226</v>
      </c>
      <c r="D8649" s="21"/>
      <c r="E8649" t="s">
        <v>112</v>
      </c>
      <c r="F8649" s="21" t="s">
        <v>104</v>
      </c>
      <c r="G8649" s="23">
        <v>4</v>
      </c>
      <c r="H8649" s="21">
        <v>13</v>
      </c>
      <c r="I8649" s="23" t="s">
        <v>4123</v>
      </c>
      <c r="J8649" s="21"/>
      <c r="K8649" s="21" t="s">
        <v>2125</v>
      </c>
      <c r="L8649" s="21" t="s">
        <v>141</v>
      </c>
      <c r="M8649" s="21" t="s">
        <v>52</v>
      </c>
      <c r="N8649" s="21" t="s">
        <v>44</v>
      </c>
      <c r="O8649" s="21">
        <v>150</v>
      </c>
      <c r="P8649" s="21"/>
      <c r="Q8649" s="21">
        <f t="shared" si="177"/>
        <v>1</v>
      </c>
      <c r="R8649" s="21">
        <v>1</v>
      </c>
      <c r="S8649" s="21">
        <v>0</v>
      </c>
      <c r="T8649" s="21">
        <v>0</v>
      </c>
      <c r="U8649" s="21">
        <v>0</v>
      </c>
      <c r="V8649" s="21">
        <v>0</v>
      </c>
      <c r="W8649" s="21">
        <v>1</v>
      </c>
      <c r="X8649" s="21">
        <v>0</v>
      </c>
      <c r="Y8649" s="21">
        <v>0</v>
      </c>
      <c r="Z8649" s="21">
        <v>0</v>
      </c>
      <c r="AA8649" s="21">
        <v>0</v>
      </c>
      <c r="AB8649" s="21">
        <v>0</v>
      </c>
      <c r="AC8649" s="21">
        <v>0</v>
      </c>
      <c r="AD8649" s="21">
        <v>0</v>
      </c>
      <c r="AE8649" s="21">
        <v>0</v>
      </c>
      <c r="AF8649" s="21">
        <v>0</v>
      </c>
      <c r="AG8649" s="21">
        <v>0</v>
      </c>
      <c r="AH8649" s="21">
        <f t="shared" si="178"/>
        <v>96</v>
      </c>
      <c r="AI8649" s="21"/>
      <c r="AJ8649" s="21" t="s">
        <v>3023</v>
      </c>
      <c r="AK8649" s="21"/>
      <c r="AL8649" s="21"/>
      <c r="AM8649" s="21" t="s">
        <v>5355</v>
      </c>
      <c r="AN8649" s="21">
        <v>-122.426154966667</v>
      </c>
      <c r="AO8649" s="21">
        <v>37.789937666666603</v>
      </c>
      <c r="AP8649" s="21" t="s">
        <v>541</v>
      </c>
    </row>
    <row r="8650" spans="1:42">
      <c r="A8650" s="22">
        <v>43868</v>
      </c>
      <c r="B8650" s="21">
        <v>5</v>
      </c>
      <c r="C8650" s="21">
        <v>226</v>
      </c>
      <c r="D8650" s="21"/>
      <c r="E8650" t="s">
        <v>112</v>
      </c>
      <c r="F8650" s="21" t="s">
        <v>104</v>
      </c>
      <c r="G8650" s="23">
        <v>4</v>
      </c>
      <c r="H8650" s="21">
        <v>14</v>
      </c>
      <c r="I8650" s="23" t="s">
        <v>5356</v>
      </c>
      <c r="J8650" s="21"/>
      <c r="K8650" s="21" t="s">
        <v>2125</v>
      </c>
      <c r="L8650" s="21" t="s">
        <v>141</v>
      </c>
      <c r="M8650" s="21"/>
      <c r="N8650" s="21" t="s">
        <v>44</v>
      </c>
      <c r="O8650" s="21">
        <v>139</v>
      </c>
      <c r="P8650" s="21"/>
      <c r="Q8650" s="21">
        <f t="shared" si="177"/>
        <v>1</v>
      </c>
      <c r="R8650" s="21">
        <v>1</v>
      </c>
      <c r="S8650" s="21">
        <v>0</v>
      </c>
      <c r="T8650" s="21">
        <v>0</v>
      </c>
      <c r="U8650" s="21">
        <v>0</v>
      </c>
      <c r="V8650" s="21">
        <v>0</v>
      </c>
      <c r="W8650" s="21">
        <v>1</v>
      </c>
      <c r="X8650" s="21">
        <v>0</v>
      </c>
      <c r="Y8650" s="21">
        <v>0</v>
      </c>
      <c r="Z8650" s="21">
        <v>0</v>
      </c>
      <c r="AA8650" s="21">
        <v>0</v>
      </c>
      <c r="AB8650" s="21">
        <v>0</v>
      </c>
      <c r="AC8650" s="21">
        <v>0</v>
      </c>
      <c r="AD8650" s="21">
        <v>0</v>
      </c>
      <c r="AE8650" s="21">
        <v>0</v>
      </c>
      <c r="AF8650" s="21">
        <v>0</v>
      </c>
      <c r="AG8650" s="21">
        <v>0</v>
      </c>
      <c r="AH8650" s="21">
        <f t="shared" si="178"/>
        <v>96</v>
      </c>
      <c r="AI8650" s="21"/>
      <c r="AJ8650" s="21" t="s">
        <v>54</v>
      </c>
      <c r="AK8650" s="21" t="s">
        <v>52</v>
      </c>
      <c r="AL8650" s="21" t="s">
        <v>5357</v>
      </c>
      <c r="AM8650" s="21" t="s">
        <v>5358</v>
      </c>
      <c r="AN8650" s="21">
        <v>-122.425670883333</v>
      </c>
      <c r="AO8650" s="21">
        <v>37.789922633333298</v>
      </c>
      <c r="AP8650" s="21" t="s">
        <v>541</v>
      </c>
    </row>
    <row r="8651" spans="1:42">
      <c r="A8651" s="22">
        <v>43868</v>
      </c>
      <c r="B8651" s="21">
        <v>5</v>
      </c>
      <c r="C8651" s="21">
        <v>226</v>
      </c>
      <c r="D8651" s="21"/>
      <c r="E8651" t="s">
        <v>112</v>
      </c>
      <c r="F8651" s="21" t="s">
        <v>104</v>
      </c>
      <c r="G8651" s="23">
        <v>4</v>
      </c>
      <c r="H8651" s="21">
        <v>15</v>
      </c>
      <c r="I8651" s="23" t="s">
        <v>5359</v>
      </c>
      <c r="J8651" s="21"/>
      <c r="K8651" s="21" t="s">
        <v>638</v>
      </c>
      <c r="L8651" s="21" t="s">
        <v>114</v>
      </c>
      <c r="M8651" s="21"/>
      <c r="N8651" s="21" t="s">
        <v>44</v>
      </c>
      <c r="O8651" s="21">
        <v>97</v>
      </c>
      <c r="P8651" s="21"/>
      <c r="Q8651" s="21">
        <f t="shared" si="177"/>
        <v>2</v>
      </c>
      <c r="R8651" s="21">
        <v>1</v>
      </c>
      <c r="S8651" s="21">
        <v>0</v>
      </c>
      <c r="T8651" s="21">
        <v>0</v>
      </c>
      <c r="U8651" s="21">
        <v>0</v>
      </c>
      <c r="V8651" s="21">
        <v>0</v>
      </c>
      <c r="W8651" s="21">
        <v>2</v>
      </c>
      <c r="X8651" s="21">
        <v>0</v>
      </c>
      <c r="Y8651" s="21">
        <v>0</v>
      </c>
      <c r="Z8651" s="21">
        <v>0</v>
      </c>
      <c r="AA8651" s="21">
        <v>0</v>
      </c>
      <c r="AB8651" s="21">
        <v>0</v>
      </c>
      <c r="AC8651" s="21">
        <v>0</v>
      </c>
      <c r="AD8651" s="21">
        <v>0</v>
      </c>
      <c r="AE8651" s="21">
        <v>0</v>
      </c>
      <c r="AF8651" s="21">
        <v>0</v>
      </c>
      <c r="AG8651" s="21">
        <v>0</v>
      </c>
      <c r="AH8651" s="21">
        <f t="shared" si="178"/>
        <v>192</v>
      </c>
      <c r="AI8651" s="21"/>
      <c r="AJ8651" s="21" t="s">
        <v>54</v>
      </c>
      <c r="AK8651" s="21" t="s">
        <v>95</v>
      </c>
      <c r="AL8651" s="21" t="s">
        <v>587</v>
      </c>
      <c r="AM8651" s="21" t="s">
        <v>5360</v>
      </c>
      <c r="AN8651" s="21">
        <v>-122.422095559859</v>
      </c>
      <c r="AO8651" s="21">
        <v>37.786743782104701</v>
      </c>
      <c r="AP8651" s="21" t="s">
        <v>541</v>
      </c>
    </row>
    <row r="8652" spans="1:42">
      <c r="A8652" s="22">
        <v>43868</v>
      </c>
      <c r="B8652" s="21">
        <v>5</v>
      </c>
      <c r="C8652" s="21">
        <v>226</v>
      </c>
      <c r="D8652" s="21"/>
      <c r="E8652" t="s">
        <v>112</v>
      </c>
      <c r="F8652" s="21" t="s">
        <v>104</v>
      </c>
      <c r="G8652" s="23">
        <v>4</v>
      </c>
      <c r="H8652" s="21">
        <v>16</v>
      </c>
      <c r="I8652" s="23" t="s">
        <v>5361</v>
      </c>
      <c r="J8652" s="21"/>
      <c r="K8652" s="21" t="s">
        <v>3181</v>
      </c>
      <c r="L8652" s="21" t="s">
        <v>141</v>
      </c>
      <c r="M8652" s="21" t="s">
        <v>95</v>
      </c>
      <c r="N8652" s="21"/>
      <c r="O8652" s="21">
        <v>284</v>
      </c>
      <c r="P8652" s="21"/>
      <c r="Q8652" s="21">
        <f t="shared" si="177"/>
        <v>2</v>
      </c>
      <c r="R8652" s="21">
        <v>1</v>
      </c>
      <c r="S8652" s="21">
        <v>0</v>
      </c>
      <c r="T8652" s="21">
        <v>0</v>
      </c>
      <c r="U8652" s="21">
        <v>0</v>
      </c>
      <c r="V8652" s="21">
        <v>0</v>
      </c>
      <c r="W8652" s="21">
        <v>2</v>
      </c>
      <c r="X8652" s="21">
        <v>0</v>
      </c>
      <c r="Y8652" s="21">
        <v>0</v>
      </c>
      <c r="Z8652" s="21">
        <v>0</v>
      </c>
      <c r="AA8652" s="21">
        <v>0</v>
      </c>
      <c r="AB8652" s="21">
        <v>0</v>
      </c>
      <c r="AC8652" s="21">
        <v>0</v>
      </c>
      <c r="AD8652" s="21">
        <v>0</v>
      </c>
      <c r="AE8652" s="21">
        <v>0</v>
      </c>
      <c r="AF8652" s="21">
        <v>0</v>
      </c>
      <c r="AG8652" s="21">
        <v>0</v>
      </c>
      <c r="AH8652" s="21">
        <f t="shared" si="178"/>
        <v>192</v>
      </c>
      <c r="AI8652" s="21"/>
      <c r="AJ8652" s="21" t="s">
        <v>51</v>
      </c>
      <c r="AK8652" s="21" t="s">
        <v>52</v>
      </c>
      <c r="AL8652" s="21" t="s">
        <v>5362</v>
      </c>
      <c r="AM8652" s="21" t="s">
        <v>5363</v>
      </c>
      <c r="AN8652" s="21">
        <v>-122.42423545</v>
      </c>
      <c r="AO8652" s="21">
        <v>37.7908601166667</v>
      </c>
      <c r="AP8652" s="21" t="s">
        <v>541</v>
      </c>
    </row>
    <row r="8653" spans="1:42">
      <c r="A8653" s="22">
        <v>43868</v>
      </c>
      <c r="B8653" s="21">
        <v>5</v>
      </c>
      <c r="C8653" s="21">
        <v>226</v>
      </c>
      <c r="D8653" s="21"/>
      <c r="E8653" t="s">
        <v>112</v>
      </c>
      <c r="F8653" s="21" t="s">
        <v>104</v>
      </c>
      <c r="G8653" s="23">
        <v>4</v>
      </c>
      <c r="H8653" s="21">
        <v>17</v>
      </c>
      <c r="I8653" s="23" t="s">
        <v>5364</v>
      </c>
      <c r="J8653" s="21"/>
      <c r="K8653" s="21" t="s">
        <v>631</v>
      </c>
      <c r="L8653" s="21" t="s">
        <v>114</v>
      </c>
      <c r="M8653" s="21"/>
      <c r="N8653" s="21"/>
      <c r="O8653" s="21">
        <v>153</v>
      </c>
      <c r="P8653" s="21"/>
      <c r="Q8653" s="21">
        <f t="shared" si="177"/>
        <v>1</v>
      </c>
      <c r="R8653" s="21">
        <v>1</v>
      </c>
      <c r="S8653" s="21">
        <v>0</v>
      </c>
      <c r="T8653" s="21">
        <v>0</v>
      </c>
      <c r="U8653" s="21">
        <v>0</v>
      </c>
      <c r="V8653" s="21">
        <v>0</v>
      </c>
      <c r="W8653" s="21">
        <v>1</v>
      </c>
      <c r="X8653" s="21">
        <v>0</v>
      </c>
      <c r="Y8653" s="21">
        <v>0</v>
      </c>
      <c r="Z8653" s="21">
        <v>0</v>
      </c>
      <c r="AA8653" s="21">
        <v>0</v>
      </c>
      <c r="AB8653" s="21">
        <v>0</v>
      </c>
      <c r="AC8653" s="21">
        <v>0</v>
      </c>
      <c r="AD8653" s="21">
        <v>0</v>
      </c>
      <c r="AE8653" s="21">
        <v>0</v>
      </c>
      <c r="AF8653" s="21">
        <v>0</v>
      </c>
      <c r="AG8653" s="21">
        <v>0</v>
      </c>
      <c r="AH8653" s="21">
        <f t="shared" si="178"/>
        <v>96</v>
      </c>
      <c r="AI8653" s="21"/>
      <c r="AJ8653" s="21" t="s">
        <v>54</v>
      </c>
      <c r="AK8653" s="21" t="s">
        <v>95</v>
      </c>
      <c r="AL8653" s="21" t="s">
        <v>5365</v>
      </c>
      <c r="AM8653" s="21" t="s">
        <v>5366</v>
      </c>
      <c r="AN8653" s="21">
        <v>-122.42346817775</v>
      </c>
      <c r="AO8653" s="21">
        <v>37.788778962464001</v>
      </c>
      <c r="AP8653" s="21" t="s">
        <v>541</v>
      </c>
    </row>
    <row r="8654" spans="1:42">
      <c r="A8654" s="22">
        <v>43868</v>
      </c>
      <c r="B8654" s="21">
        <v>5</v>
      </c>
      <c r="C8654" s="21">
        <v>226</v>
      </c>
      <c r="D8654" s="21"/>
      <c r="E8654" t="s">
        <v>112</v>
      </c>
      <c r="F8654" s="21" t="s">
        <v>104</v>
      </c>
      <c r="G8654" s="23">
        <v>4</v>
      </c>
      <c r="H8654" s="21">
        <v>18</v>
      </c>
      <c r="I8654" s="23" t="s">
        <v>5367</v>
      </c>
      <c r="J8654" s="21"/>
      <c r="K8654" s="21" t="s">
        <v>68</v>
      </c>
      <c r="L8654" s="21" t="s">
        <v>141</v>
      </c>
      <c r="M8654" s="21"/>
      <c r="N8654" s="21" t="s">
        <v>44</v>
      </c>
      <c r="O8654" s="21">
        <v>165</v>
      </c>
      <c r="P8654" s="21"/>
      <c r="Q8654" s="21">
        <f t="shared" si="177"/>
        <v>3</v>
      </c>
      <c r="R8654" s="21">
        <v>1</v>
      </c>
      <c r="S8654" s="21">
        <v>0</v>
      </c>
      <c r="T8654" s="21">
        <v>0</v>
      </c>
      <c r="U8654" s="21">
        <v>0</v>
      </c>
      <c r="V8654" s="21">
        <v>1</v>
      </c>
      <c r="W8654" s="21">
        <v>2</v>
      </c>
      <c r="X8654" s="21">
        <v>0</v>
      </c>
      <c r="Y8654" s="21">
        <v>0</v>
      </c>
      <c r="Z8654" s="21">
        <v>0</v>
      </c>
      <c r="AA8654" s="21">
        <v>0</v>
      </c>
      <c r="AB8654" s="21">
        <v>0</v>
      </c>
      <c r="AC8654" s="21">
        <v>0</v>
      </c>
      <c r="AD8654" s="21">
        <v>0</v>
      </c>
      <c r="AE8654" s="21">
        <v>0</v>
      </c>
      <c r="AF8654" s="21">
        <v>0</v>
      </c>
      <c r="AG8654" s="21">
        <v>0</v>
      </c>
      <c r="AH8654" s="21">
        <f t="shared" si="178"/>
        <v>256</v>
      </c>
      <c r="AI8654" s="21"/>
      <c r="AJ8654" s="21" t="s">
        <v>54</v>
      </c>
      <c r="AK8654" s="21" t="s">
        <v>52</v>
      </c>
      <c r="AL8654" s="21" t="s">
        <v>5368</v>
      </c>
      <c r="AM8654" s="21" t="s">
        <v>5369</v>
      </c>
      <c r="AN8654" s="21">
        <v>-122.42396928333299</v>
      </c>
      <c r="AO8654" s="21">
        <v>37.791971683333301</v>
      </c>
      <c r="AP8654" s="21" t="s">
        <v>541</v>
      </c>
    </row>
    <row r="8655" spans="1:42">
      <c r="A8655" s="22">
        <v>43868</v>
      </c>
      <c r="B8655" s="21">
        <v>5</v>
      </c>
      <c r="C8655" s="21">
        <v>226</v>
      </c>
      <c r="D8655" s="21"/>
      <c r="E8655" t="s">
        <v>112</v>
      </c>
      <c r="F8655" s="21" t="s">
        <v>104</v>
      </c>
      <c r="G8655" s="23">
        <v>4</v>
      </c>
      <c r="H8655" s="21">
        <v>19</v>
      </c>
      <c r="I8655" s="23" t="s">
        <v>3305</v>
      </c>
      <c r="J8655" s="21"/>
      <c r="K8655" s="21" t="s">
        <v>631</v>
      </c>
      <c r="L8655" s="21" t="s">
        <v>114</v>
      </c>
      <c r="M8655" s="21"/>
      <c r="N8655" s="21" t="s">
        <v>44</v>
      </c>
      <c r="O8655" s="21">
        <v>118</v>
      </c>
      <c r="P8655" s="21"/>
      <c r="Q8655" s="21">
        <f t="shared" si="177"/>
        <v>1</v>
      </c>
      <c r="R8655" s="21">
        <v>1</v>
      </c>
      <c r="S8655" s="21">
        <v>0</v>
      </c>
      <c r="T8655" s="21">
        <v>0</v>
      </c>
      <c r="U8655" s="21">
        <v>0</v>
      </c>
      <c r="V8655" s="21">
        <v>0</v>
      </c>
      <c r="W8655" s="21">
        <v>1</v>
      </c>
      <c r="X8655" s="21">
        <v>0</v>
      </c>
      <c r="Y8655" s="21">
        <v>0</v>
      </c>
      <c r="Z8655" s="21">
        <v>0</v>
      </c>
      <c r="AA8655" s="21">
        <v>0</v>
      </c>
      <c r="AB8655" s="21">
        <v>0</v>
      </c>
      <c r="AC8655" s="21">
        <v>0</v>
      </c>
      <c r="AD8655" s="21">
        <v>0</v>
      </c>
      <c r="AE8655" s="21">
        <v>0</v>
      </c>
      <c r="AF8655" s="21">
        <v>0</v>
      </c>
      <c r="AG8655" s="21">
        <v>0</v>
      </c>
      <c r="AH8655" s="21">
        <f t="shared" si="178"/>
        <v>96</v>
      </c>
      <c r="AI8655" s="21"/>
      <c r="AJ8655" s="21" t="s">
        <v>54</v>
      </c>
      <c r="AK8655" s="21" t="s">
        <v>52</v>
      </c>
      <c r="AL8655" s="21" t="s">
        <v>5370</v>
      </c>
      <c r="AM8655" s="21" t="s">
        <v>5371</v>
      </c>
      <c r="AN8655" s="21">
        <v>-122.42308013240699</v>
      </c>
      <c r="AO8655" s="21">
        <v>37.787626930458401</v>
      </c>
      <c r="AP8655" s="21" t="s">
        <v>541</v>
      </c>
    </row>
    <row r="8656" spans="1:42">
      <c r="A8656" s="22">
        <v>43868</v>
      </c>
      <c r="B8656" s="21">
        <v>5</v>
      </c>
      <c r="C8656" s="21">
        <v>226</v>
      </c>
      <c r="D8656" s="21"/>
      <c r="E8656" t="s">
        <v>112</v>
      </c>
      <c r="F8656" s="21" t="s">
        <v>104</v>
      </c>
      <c r="G8656" s="23">
        <v>4</v>
      </c>
      <c r="H8656" s="21">
        <v>20</v>
      </c>
      <c r="I8656" s="23" t="s">
        <v>3841</v>
      </c>
      <c r="J8656" s="21"/>
      <c r="K8656" s="21" t="s">
        <v>68</v>
      </c>
      <c r="L8656" s="21" t="s">
        <v>114</v>
      </c>
      <c r="M8656" s="21" t="s">
        <v>52</v>
      </c>
      <c r="N8656" s="21" t="s">
        <v>42</v>
      </c>
      <c r="O8656" s="21">
        <v>69</v>
      </c>
      <c r="P8656" s="21"/>
      <c r="Q8656" s="21">
        <f t="shared" si="177"/>
        <v>2</v>
      </c>
      <c r="R8656" s="21">
        <v>1</v>
      </c>
      <c r="S8656" s="21">
        <v>0</v>
      </c>
      <c r="T8656" s="21">
        <v>0</v>
      </c>
      <c r="U8656" s="21">
        <v>0</v>
      </c>
      <c r="V8656" s="21">
        <v>0</v>
      </c>
      <c r="W8656" s="21">
        <v>2</v>
      </c>
      <c r="X8656" s="21">
        <v>0</v>
      </c>
      <c r="Y8656" s="21">
        <v>0</v>
      </c>
      <c r="Z8656" s="21">
        <v>0</v>
      </c>
      <c r="AA8656" s="21">
        <v>0</v>
      </c>
      <c r="AB8656" s="21">
        <v>0</v>
      </c>
      <c r="AC8656" s="21">
        <v>0</v>
      </c>
      <c r="AD8656" s="21">
        <v>0</v>
      </c>
      <c r="AE8656" s="21">
        <v>0</v>
      </c>
      <c r="AF8656" s="21">
        <v>0</v>
      </c>
      <c r="AG8656" s="21">
        <v>0</v>
      </c>
      <c r="AH8656" s="21">
        <f t="shared" si="178"/>
        <v>192</v>
      </c>
      <c r="AI8656" s="21"/>
      <c r="AJ8656" s="21" t="s">
        <v>54</v>
      </c>
      <c r="AK8656" s="21" t="s">
        <v>95</v>
      </c>
      <c r="AL8656" s="21"/>
      <c r="AM8656" s="21" t="s">
        <v>5372</v>
      </c>
      <c r="AN8656" s="21">
        <v>-122.423383</v>
      </c>
      <c r="AO8656" s="21">
        <v>37.792137750000002</v>
      </c>
      <c r="AP8656" s="21" t="s">
        <v>541</v>
      </c>
    </row>
    <row r="8657" spans="1:42">
      <c r="A8657" s="22">
        <v>43868</v>
      </c>
      <c r="B8657" s="21">
        <v>5</v>
      </c>
      <c r="C8657" s="21">
        <v>226</v>
      </c>
      <c r="D8657" s="21"/>
      <c r="E8657" t="s">
        <v>112</v>
      </c>
      <c r="F8657" s="21" t="s">
        <v>104</v>
      </c>
      <c r="G8657" s="23">
        <v>4</v>
      </c>
      <c r="H8657" s="21">
        <v>21</v>
      </c>
      <c r="I8657" s="23" t="s">
        <v>5373</v>
      </c>
      <c r="J8657" s="21"/>
      <c r="K8657" s="21" t="s">
        <v>2215</v>
      </c>
      <c r="L8657" s="21" t="s">
        <v>141</v>
      </c>
      <c r="M8657" s="21"/>
      <c r="N8657" s="21" t="s">
        <v>44</v>
      </c>
      <c r="O8657" s="21">
        <v>129</v>
      </c>
      <c r="P8657" s="21"/>
      <c r="Q8657" s="21">
        <f t="shared" si="177"/>
        <v>2</v>
      </c>
      <c r="R8657" s="21">
        <v>1</v>
      </c>
      <c r="S8657" s="21">
        <v>0</v>
      </c>
      <c r="T8657" s="21">
        <v>0</v>
      </c>
      <c r="U8657" s="21">
        <v>0</v>
      </c>
      <c r="V8657" s="21">
        <v>0</v>
      </c>
      <c r="W8657" s="21">
        <v>2</v>
      </c>
      <c r="X8657" s="21">
        <v>0</v>
      </c>
      <c r="Y8657" s="21">
        <v>0</v>
      </c>
      <c r="Z8657" s="21">
        <v>0</v>
      </c>
      <c r="AA8657" s="21">
        <v>0</v>
      </c>
      <c r="AB8657" s="21">
        <v>0</v>
      </c>
      <c r="AC8657" s="21">
        <v>0</v>
      </c>
      <c r="AD8657" s="21">
        <v>0</v>
      </c>
      <c r="AE8657" s="21">
        <v>0</v>
      </c>
      <c r="AF8657" s="21">
        <v>0</v>
      </c>
      <c r="AG8657" s="21">
        <v>0</v>
      </c>
      <c r="AH8657" s="21">
        <f t="shared" si="178"/>
        <v>192</v>
      </c>
      <c r="AI8657" s="21"/>
      <c r="AJ8657" s="21"/>
      <c r="AK8657" s="21"/>
      <c r="AL8657" s="21"/>
      <c r="AM8657" s="21" t="s">
        <v>5374</v>
      </c>
      <c r="AN8657" s="21">
        <v>-122.423180116667</v>
      </c>
      <c r="AO8657" s="21">
        <v>37.791183466666702</v>
      </c>
      <c r="AP8657" s="21" t="s">
        <v>541</v>
      </c>
    </row>
    <row r="8658" spans="1:42">
      <c r="A8658" s="22">
        <v>43868</v>
      </c>
      <c r="B8658" s="21">
        <v>5</v>
      </c>
      <c r="C8658" s="21">
        <v>226</v>
      </c>
      <c r="D8658" s="21"/>
      <c r="E8658" t="s">
        <v>112</v>
      </c>
      <c r="F8658" s="21" t="s">
        <v>104</v>
      </c>
      <c r="G8658" s="23">
        <v>4</v>
      </c>
      <c r="H8658" s="21">
        <v>22</v>
      </c>
      <c r="I8658" s="23" t="s">
        <v>5375</v>
      </c>
      <c r="J8658" s="21"/>
      <c r="K8658" s="21" t="s">
        <v>2215</v>
      </c>
      <c r="L8658" s="21" t="s">
        <v>114</v>
      </c>
      <c r="M8658" s="21"/>
      <c r="N8658" s="21" t="s">
        <v>44</v>
      </c>
      <c r="O8658" s="21">
        <v>169</v>
      </c>
      <c r="P8658" s="21"/>
      <c r="Q8658" s="21">
        <f t="shared" si="177"/>
        <v>2</v>
      </c>
      <c r="R8658" s="21">
        <v>1</v>
      </c>
      <c r="S8658" s="21">
        <v>0</v>
      </c>
      <c r="T8658" s="21">
        <v>0</v>
      </c>
      <c r="U8658" s="21">
        <v>0</v>
      </c>
      <c r="V8658" s="21">
        <v>0</v>
      </c>
      <c r="W8658" s="21">
        <v>2</v>
      </c>
      <c r="X8658" s="21">
        <v>0</v>
      </c>
      <c r="Y8658" s="21">
        <v>0</v>
      </c>
      <c r="Z8658" s="21">
        <v>0</v>
      </c>
      <c r="AA8658" s="21">
        <v>0</v>
      </c>
      <c r="AB8658" s="21">
        <v>0</v>
      </c>
      <c r="AC8658" s="21">
        <v>0</v>
      </c>
      <c r="AD8658" s="21">
        <v>0</v>
      </c>
      <c r="AE8658" s="21">
        <v>0</v>
      </c>
      <c r="AF8658" s="21">
        <v>0</v>
      </c>
      <c r="AG8658" s="21">
        <v>0</v>
      </c>
      <c r="AH8658" s="21">
        <f t="shared" si="178"/>
        <v>192</v>
      </c>
      <c r="AI8658" s="21"/>
      <c r="AJ8658" s="21" t="s">
        <v>54</v>
      </c>
      <c r="AK8658" s="21" t="s">
        <v>52</v>
      </c>
      <c r="AL8658" s="21"/>
      <c r="AM8658" s="21" t="s">
        <v>5376</v>
      </c>
      <c r="AN8658" s="21">
        <v>-122.423561216667</v>
      </c>
      <c r="AO8658" s="21">
        <v>37.791143883333298</v>
      </c>
      <c r="AP8658" s="21" t="s">
        <v>541</v>
      </c>
    </row>
    <row r="8659" spans="1:42">
      <c r="A8659" s="22">
        <v>43868</v>
      </c>
      <c r="B8659" s="21">
        <v>5</v>
      </c>
      <c r="C8659" s="21">
        <v>226</v>
      </c>
      <c r="D8659" s="21"/>
      <c r="E8659" t="s">
        <v>112</v>
      </c>
      <c r="F8659" s="21" t="s">
        <v>104</v>
      </c>
      <c r="G8659" s="23">
        <v>4</v>
      </c>
      <c r="H8659" s="21">
        <v>24</v>
      </c>
      <c r="I8659" s="23" t="s">
        <v>5377</v>
      </c>
      <c r="J8659" s="21"/>
      <c r="K8659" s="21" t="s">
        <v>2215</v>
      </c>
      <c r="L8659" s="21" t="s">
        <v>114</v>
      </c>
      <c r="M8659" s="21"/>
      <c r="N8659" s="21" t="s">
        <v>44</v>
      </c>
      <c r="O8659" s="21">
        <v>127</v>
      </c>
      <c r="P8659" s="21"/>
      <c r="Q8659" s="21">
        <f t="shared" si="177"/>
        <v>1</v>
      </c>
      <c r="R8659" s="21">
        <v>1</v>
      </c>
      <c r="S8659" s="21">
        <v>0</v>
      </c>
      <c r="T8659" s="21">
        <v>0</v>
      </c>
      <c r="U8659" s="21">
        <v>0</v>
      </c>
      <c r="V8659" s="21">
        <v>0</v>
      </c>
      <c r="W8659" s="21">
        <v>1</v>
      </c>
      <c r="X8659" s="21">
        <v>0</v>
      </c>
      <c r="Y8659" s="21">
        <v>0</v>
      </c>
      <c r="Z8659" s="21">
        <v>0</v>
      </c>
      <c r="AA8659" s="21">
        <v>0</v>
      </c>
      <c r="AB8659" s="21">
        <v>0</v>
      </c>
      <c r="AC8659" s="21">
        <v>0</v>
      </c>
      <c r="AD8659" s="21">
        <v>0</v>
      </c>
      <c r="AE8659" s="21">
        <v>0</v>
      </c>
      <c r="AF8659" s="21">
        <v>0</v>
      </c>
      <c r="AG8659" s="21">
        <v>0</v>
      </c>
      <c r="AH8659" s="21">
        <f t="shared" si="178"/>
        <v>96</v>
      </c>
      <c r="AI8659" s="21"/>
      <c r="AJ8659" s="21" t="s">
        <v>54</v>
      </c>
      <c r="AK8659" s="21" t="s">
        <v>95</v>
      </c>
      <c r="AL8659" s="21" t="s">
        <v>5378</v>
      </c>
      <c r="AM8659" s="21" t="s">
        <v>5379</v>
      </c>
      <c r="AN8659" s="21">
        <v>-122.424789416667</v>
      </c>
      <c r="AO8659" s="21">
        <v>37.791228383333298</v>
      </c>
      <c r="AP8659" s="21" t="s">
        <v>541</v>
      </c>
    </row>
    <row r="8660" spans="1:42">
      <c r="A8660" s="22">
        <v>43868</v>
      </c>
      <c r="B8660" s="21">
        <v>5</v>
      </c>
      <c r="C8660" s="21">
        <v>226</v>
      </c>
      <c r="D8660" s="21"/>
      <c r="E8660" t="s">
        <v>112</v>
      </c>
      <c r="F8660" s="21" t="s">
        <v>104</v>
      </c>
      <c r="G8660" s="23">
        <v>4</v>
      </c>
      <c r="H8660" s="21">
        <v>25</v>
      </c>
      <c r="I8660" s="23" t="s">
        <v>5380</v>
      </c>
      <c r="J8660" s="21"/>
      <c r="K8660" s="21" t="s">
        <v>2215</v>
      </c>
      <c r="L8660" s="21" t="s">
        <v>114</v>
      </c>
      <c r="M8660" s="21" t="s">
        <v>52</v>
      </c>
      <c r="N8660" s="21" t="s">
        <v>40</v>
      </c>
      <c r="O8660" s="21">
        <v>115</v>
      </c>
      <c r="P8660" s="21"/>
      <c r="Q8660" s="21">
        <f t="shared" si="177"/>
        <v>1</v>
      </c>
      <c r="R8660" s="21">
        <v>1</v>
      </c>
      <c r="S8660" s="21">
        <v>0</v>
      </c>
      <c r="T8660" s="21">
        <v>0</v>
      </c>
      <c r="U8660" s="21">
        <v>0</v>
      </c>
      <c r="V8660" s="21">
        <v>0</v>
      </c>
      <c r="W8660" s="21">
        <v>1</v>
      </c>
      <c r="X8660" s="21">
        <v>0</v>
      </c>
      <c r="Y8660" s="21">
        <v>0</v>
      </c>
      <c r="Z8660" s="21">
        <v>0</v>
      </c>
      <c r="AA8660" s="21">
        <v>0</v>
      </c>
      <c r="AB8660" s="21">
        <v>0</v>
      </c>
      <c r="AC8660" s="21">
        <v>0</v>
      </c>
      <c r="AD8660" s="21">
        <v>0</v>
      </c>
      <c r="AE8660" s="21">
        <v>0</v>
      </c>
      <c r="AF8660" s="21">
        <v>0</v>
      </c>
      <c r="AG8660" s="21">
        <v>0</v>
      </c>
      <c r="AH8660" s="21">
        <f t="shared" si="178"/>
        <v>96</v>
      </c>
      <c r="AI8660" s="21"/>
      <c r="AJ8660" s="21" t="s">
        <v>54</v>
      </c>
      <c r="AK8660" s="21" t="s">
        <v>95</v>
      </c>
      <c r="AL8660" s="21" t="s">
        <v>5381</v>
      </c>
      <c r="AM8660" s="21" t="s">
        <v>5382</v>
      </c>
      <c r="AN8660" s="21">
        <v>-122.42467163333301</v>
      </c>
      <c r="AO8660" s="21">
        <v>37.791038550000003</v>
      </c>
      <c r="AP8660" s="21" t="s">
        <v>541</v>
      </c>
    </row>
    <row r="8661" spans="1:42">
      <c r="A8661" s="22">
        <v>43868</v>
      </c>
      <c r="B8661" s="21">
        <v>5</v>
      </c>
      <c r="C8661" s="21">
        <v>226</v>
      </c>
      <c r="D8661" s="21"/>
      <c r="E8661" t="s">
        <v>112</v>
      </c>
      <c r="F8661" s="21" t="s">
        <v>104</v>
      </c>
      <c r="G8661" s="23">
        <v>4</v>
      </c>
      <c r="H8661" s="21">
        <v>26</v>
      </c>
      <c r="I8661" s="23" t="s">
        <v>5383</v>
      </c>
      <c r="J8661" s="21"/>
      <c r="K8661" s="21" t="s">
        <v>2215</v>
      </c>
      <c r="L8661" s="21" t="s">
        <v>141</v>
      </c>
      <c r="M8661" s="21" t="s">
        <v>95</v>
      </c>
      <c r="N8661" s="21" t="s">
        <v>44</v>
      </c>
      <c r="O8661" s="21">
        <v>106</v>
      </c>
      <c r="P8661" s="21"/>
      <c r="Q8661" s="21">
        <f t="shared" si="177"/>
        <v>2</v>
      </c>
      <c r="R8661" s="21">
        <v>1</v>
      </c>
      <c r="S8661" s="21">
        <v>0</v>
      </c>
      <c r="T8661" s="21">
        <v>0</v>
      </c>
      <c r="U8661" s="21">
        <v>0</v>
      </c>
      <c r="V8661" s="21">
        <v>0</v>
      </c>
      <c r="W8661" s="21">
        <v>2</v>
      </c>
      <c r="X8661" s="21">
        <v>0</v>
      </c>
      <c r="Y8661" s="21">
        <v>0</v>
      </c>
      <c r="Z8661" s="21">
        <v>0</v>
      </c>
      <c r="AA8661" s="21">
        <v>0</v>
      </c>
      <c r="AB8661" s="21">
        <v>0</v>
      </c>
      <c r="AC8661" s="21">
        <v>0</v>
      </c>
      <c r="AD8661" s="21">
        <v>0</v>
      </c>
      <c r="AE8661" s="21">
        <v>0</v>
      </c>
      <c r="AF8661" s="21">
        <v>0</v>
      </c>
      <c r="AG8661" s="21">
        <v>0</v>
      </c>
      <c r="AH8661" s="21">
        <f t="shared" si="178"/>
        <v>192</v>
      </c>
      <c r="AI8661" s="21"/>
      <c r="AJ8661" s="21" t="s">
        <v>54</v>
      </c>
      <c r="AK8661" s="21" t="s">
        <v>52</v>
      </c>
      <c r="AL8661" s="21" t="s">
        <v>5384</v>
      </c>
      <c r="AM8661" s="21" t="s">
        <v>5385</v>
      </c>
      <c r="AN8661" s="21">
        <v>-122.424206551949</v>
      </c>
      <c r="AO8661" s="21">
        <v>37.788068864253603</v>
      </c>
      <c r="AP8661" s="21" t="s">
        <v>541</v>
      </c>
    </row>
    <row r="8662" spans="1:42">
      <c r="A8662" s="22">
        <v>43868</v>
      </c>
      <c r="B8662" s="21">
        <v>5</v>
      </c>
      <c r="C8662" s="21">
        <v>226</v>
      </c>
      <c r="D8662" s="21"/>
      <c r="E8662" t="s">
        <v>112</v>
      </c>
      <c r="F8662" s="21" t="s">
        <v>104</v>
      </c>
      <c r="G8662" s="23">
        <v>4</v>
      </c>
      <c r="H8662" s="21">
        <v>27</v>
      </c>
      <c r="I8662" s="23" t="s">
        <v>4789</v>
      </c>
      <c r="J8662" s="21"/>
      <c r="K8662" s="21" t="s">
        <v>2215</v>
      </c>
      <c r="L8662" s="21" t="s">
        <v>141</v>
      </c>
      <c r="M8662" s="21" t="s">
        <v>95</v>
      </c>
      <c r="N8662" s="21" t="s">
        <v>40</v>
      </c>
      <c r="O8662" s="21">
        <v>235</v>
      </c>
      <c r="P8662" s="21"/>
      <c r="Q8662" s="21">
        <f t="shared" si="177"/>
        <v>2</v>
      </c>
      <c r="R8662" s="21">
        <v>1</v>
      </c>
      <c r="S8662" s="21">
        <v>0</v>
      </c>
      <c r="T8662" s="21">
        <v>0</v>
      </c>
      <c r="U8662" s="21">
        <v>0</v>
      </c>
      <c r="V8662" s="21">
        <v>0</v>
      </c>
      <c r="W8662" s="21">
        <v>2</v>
      </c>
      <c r="X8662" s="21">
        <v>0</v>
      </c>
      <c r="Y8662" s="21">
        <v>0</v>
      </c>
      <c r="Z8662" s="21">
        <v>0</v>
      </c>
      <c r="AA8662" s="21">
        <v>0</v>
      </c>
      <c r="AB8662" s="21">
        <v>0</v>
      </c>
      <c r="AC8662" s="21">
        <v>0</v>
      </c>
      <c r="AD8662" s="21">
        <v>0</v>
      </c>
      <c r="AE8662" s="21">
        <v>0</v>
      </c>
      <c r="AF8662" s="21">
        <v>0</v>
      </c>
      <c r="AG8662" s="21">
        <v>0</v>
      </c>
      <c r="AH8662" s="21">
        <f t="shared" si="178"/>
        <v>192</v>
      </c>
      <c r="AI8662" s="21"/>
      <c r="AJ8662" s="21" t="s">
        <v>54</v>
      </c>
      <c r="AK8662" s="21" t="s">
        <v>52</v>
      </c>
      <c r="AL8662" s="21" t="s">
        <v>5386</v>
      </c>
      <c r="AM8662" s="21" t="s">
        <v>5387</v>
      </c>
      <c r="AN8662" s="21">
        <v>-122.423191101664</v>
      </c>
      <c r="AO8662" s="21">
        <v>37.787987793681502</v>
      </c>
      <c r="AP8662" s="21" t="s">
        <v>541</v>
      </c>
    </row>
    <row r="8663" spans="1:42">
      <c r="A8663" s="22">
        <v>43868</v>
      </c>
      <c r="B8663" s="21">
        <v>5</v>
      </c>
      <c r="C8663" s="21">
        <v>226</v>
      </c>
      <c r="D8663" s="21"/>
      <c r="E8663" t="s">
        <v>112</v>
      </c>
      <c r="F8663" s="21" t="s">
        <v>104</v>
      </c>
      <c r="G8663" s="23">
        <v>4</v>
      </c>
      <c r="H8663" s="21">
        <v>28</v>
      </c>
      <c r="I8663" s="23" t="s">
        <v>2795</v>
      </c>
      <c r="J8663" s="21"/>
      <c r="K8663" s="21" t="s">
        <v>2215</v>
      </c>
      <c r="L8663" s="21" t="s">
        <v>141</v>
      </c>
      <c r="M8663" s="21" t="s">
        <v>95</v>
      </c>
      <c r="N8663" s="21" t="s">
        <v>44</v>
      </c>
      <c r="O8663" s="21">
        <v>165</v>
      </c>
      <c r="P8663" s="21"/>
      <c r="Q8663" s="21">
        <f t="shared" si="177"/>
        <v>1</v>
      </c>
      <c r="R8663" s="21">
        <v>1</v>
      </c>
      <c r="S8663" s="21">
        <v>0</v>
      </c>
      <c r="T8663" s="21">
        <v>0</v>
      </c>
      <c r="U8663" s="21">
        <v>0</v>
      </c>
      <c r="V8663" s="21">
        <v>0</v>
      </c>
      <c r="W8663" s="21">
        <v>1</v>
      </c>
      <c r="X8663" s="21">
        <v>0</v>
      </c>
      <c r="Y8663" s="21">
        <v>0</v>
      </c>
      <c r="Z8663" s="21">
        <v>0</v>
      </c>
      <c r="AA8663" s="21">
        <v>0</v>
      </c>
      <c r="AB8663" s="21">
        <v>0</v>
      </c>
      <c r="AC8663" s="21">
        <v>0</v>
      </c>
      <c r="AD8663" s="21">
        <v>0</v>
      </c>
      <c r="AE8663" s="21">
        <v>0</v>
      </c>
      <c r="AF8663" s="21">
        <v>0</v>
      </c>
      <c r="AG8663" s="21">
        <v>0</v>
      </c>
      <c r="AH8663" s="21">
        <f t="shared" si="178"/>
        <v>96</v>
      </c>
      <c r="AI8663" s="21"/>
      <c r="AJ8663" s="21" t="s">
        <v>54</v>
      </c>
      <c r="AK8663" s="21" t="s">
        <v>52</v>
      </c>
      <c r="AL8663" s="21" t="s">
        <v>5388</v>
      </c>
      <c r="AM8663" s="21" t="s">
        <v>5389</v>
      </c>
      <c r="AN8663" s="21">
        <v>-122.426199916667</v>
      </c>
      <c r="AO8663" s="21">
        <v>37.790821583333297</v>
      </c>
      <c r="AP8663" s="21" t="s">
        <v>541</v>
      </c>
    </row>
    <row r="8664" spans="1:42">
      <c r="A8664" s="22">
        <v>43868</v>
      </c>
      <c r="B8664" s="21">
        <v>5</v>
      </c>
      <c r="C8664" s="21">
        <v>226</v>
      </c>
      <c r="D8664" s="21"/>
      <c r="E8664" t="s">
        <v>112</v>
      </c>
      <c r="F8664" s="21" t="s">
        <v>104</v>
      </c>
      <c r="G8664" s="23">
        <v>4</v>
      </c>
      <c r="H8664" s="21">
        <v>29</v>
      </c>
      <c r="I8664" s="23" t="s">
        <v>2896</v>
      </c>
      <c r="J8664" s="21"/>
      <c r="K8664" s="21" t="s">
        <v>2215</v>
      </c>
      <c r="L8664" s="21" t="s">
        <v>141</v>
      </c>
      <c r="M8664" s="21"/>
      <c r="N8664" s="21" t="s">
        <v>44</v>
      </c>
      <c r="O8664" s="21">
        <v>120</v>
      </c>
      <c r="P8664" s="21"/>
      <c r="Q8664" s="21">
        <f t="shared" si="177"/>
        <v>1</v>
      </c>
      <c r="R8664" s="21">
        <v>1</v>
      </c>
      <c r="S8664" s="21">
        <v>0</v>
      </c>
      <c r="T8664" s="21">
        <v>0</v>
      </c>
      <c r="U8664" s="21">
        <v>0</v>
      </c>
      <c r="V8664" s="21">
        <v>0</v>
      </c>
      <c r="W8664" s="21">
        <v>1</v>
      </c>
      <c r="X8664" s="21">
        <v>0</v>
      </c>
      <c r="Y8664" s="21">
        <v>0</v>
      </c>
      <c r="Z8664" s="21">
        <v>0</v>
      </c>
      <c r="AA8664" s="21">
        <v>0</v>
      </c>
      <c r="AB8664" s="21">
        <v>0</v>
      </c>
      <c r="AC8664" s="21">
        <v>0</v>
      </c>
      <c r="AD8664" s="21">
        <v>0</v>
      </c>
      <c r="AE8664" s="21">
        <v>0</v>
      </c>
      <c r="AF8664" s="21">
        <v>0</v>
      </c>
      <c r="AG8664" s="21">
        <v>0</v>
      </c>
      <c r="AH8664" s="21">
        <f t="shared" si="178"/>
        <v>96</v>
      </c>
      <c r="AI8664" s="21"/>
      <c r="AJ8664" s="21" t="s">
        <v>54</v>
      </c>
      <c r="AK8664" s="21" t="s">
        <v>52</v>
      </c>
      <c r="AL8664" s="21" t="s">
        <v>5330</v>
      </c>
      <c r="AM8664" s="21" t="s">
        <v>5390</v>
      </c>
      <c r="AN8664" s="21">
        <v>-122.42147933088199</v>
      </c>
      <c r="AO8664" s="21">
        <v>37.785679317152002</v>
      </c>
      <c r="AP8664" s="21" t="s">
        <v>541</v>
      </c>
    </row>
    <row r="8665" spans="1:42">
      <c r="A8665" s="22">
        <v>43868</v>
      </c>
      <c r="B8665" s="21">
        <v>5</v>
      </c>
      <c r="C8665" s="21">
        <v>226</v>
      </c>
      <c r="D8665" s="21"/>
      <c r="E8665" t="s">
        <v>112</v>
      </c>
      <c r="F8665" s="21" t="s">
        <v>104</v>
      </c>
      <c r="G8665" s="23">
        <v>4</v>
      </c>
      <c r="H8665" s="21">
        <v>30</v>
      </c>
      <c r="I8665" s="23" t="s">
        <v>5391</v>
      </c>
      <c r="J8665" s="21"/>
      <c r="K8665" s="21" t="s">
        <v>3923</v>
      </c>
      <c r="L8665" s="21" t="s">
        <v>141</v>
      </c>
      <c r="M8665" s="21" t="s">
        <v>52</v>
      </c>
      <c r="N8665" s="21" t="s">
        <v>40</v>
      </c>
      <c r="O8665" s="21">
        <v>272</v>
      </c>
      <c r="P8665" s="21"/>
      <c r="Q8665" s="21">
        <f t="shared" si="177"/>
        <v>1</v>
      </c>
      <c r="R8665" s="21">
        <v>1</v>
      </c>
      <c r="S8665" s="21">
        <v>0</v>
      </c>
      <c r="T8665" s="21">
        <v>0</v>
      </c>
      <c r="U8665" s="21">
        <v>0</v>
      </c>
      <c r="V8665" s="21">
        <v>0</v>
      </c>
      <c r="W8665" s="21">
        <v>1</v>
      </c>
      <c r="X8665" s="21">
        <v>0</v>
      </c>
      <c r="Y8665" s="21">
        <v>0</v>
      </c>
      <c r="Z8665" s="21">
        <v>0</v>
      </c>
      <c r="AA8665" s="21">
        <v>0</v>
      </c>
      <c r="AB8665" s="21">
        <v>0</v>
      </c>
      <c r="AC8665" s="21">
        <v>0</v>
      </c>
      <c r="AD8665" s="21">
        <v>0</v>
      </c>
      <c r="AE8665" s="21">
        <v>0</v>
      </c>
      <c r="AF8665" s="21">
        <v>0</v>
      </c>
      <c r="AG8665" s="21">
        <v>0</v>
      </c>
      <c r="AH8665" s="21">
        <f t="shared" si="178"/>
        <v>96</v>
      </c>
      <c r="AI8665" s="21"/>
      <c r="AJ8665" s="21" t="s">
        <v>51</v>
      </c>
      <c r="AK8665" s="21" t="s">
        <v>52</v>
      </c>
      <c r="AL8665" s="21" t="s">
        <v>5392</v>
      </c>
      <c r="AM8665" s="21" t="s">
        <v>5393</v>
      </c>
      <c r="AN8665" s="21">
        <v>-122.425688283333</v>
      </c>
      <c r="AO8665" s="21">
        <v>37.790547866666699</v>
      </c>
      <c r="AP8665" s="21" t="s">
        <v>541</v>
      </c>
    </row>
    <row r="8666" spans="1:42">
      <c r="A8666" s="22">
        <v>43868</v>
      </c>
      <c r="B8666" s="21">
        <v>5</v>
      </c>
      <c r="C8666" s="21">
        <v>226</v>
      </c>
      <c r="D8666" s="21"/>
      <c r="E8666" t="s">
        <v>112</v>
      </c>
      <c r="F8666" s="21" t="s">
        <v>104</v>
      </c>
      <c r="G8666" s="23">
        <v>4</v>
      </c>
      <c r="H8666" s="21">
        <v>31</v>
      </c>
      <c r="I8666" s="23" t="s">
        <v>4447</v>
      </c>
      <c r="J8666" s="21"/>
      <c r="K8666" s="21" t="s">
        <v>638</v>
      </c>
      <c r="L8666" s="21" t="s">
        <v>141</v>
      </c>
      <c r="M8666" s="21" t="s">
        <v>52</v>
      </c>
      <c r="N8666" s="21" t="s">
        <v>44</v>
      </c>
      <c r="O8666" s="21">
        <v>106</v>
      </c>
      <c r="P8666" s="21"/>
      <c r="Q8666" s="21">
        <f t="shared" si="177"/>
        <v>2</v>
      </c>
      <c r="R8666" s="21">
        <v>1</v>
      </c>
      <c r="S8666" s="21">
        <v>0</v>
      </c>
      <c r="T8666" s="21">
        <v>0</v>
      </c>
      <c r="U8666" s="21">
        <v>0</v>
      </c>
      <c r="V8666" s="21">
        <v>0</v>
      </c>
      <c r="W8666" s="21">
        <v>2</v>
      </c>
      <c r="X8666" s="21">
        <v>0</v>
      </c>
      <c r="Y8666" s="21">
        <v>0</v>
      </c>
      <c r="Z8666" s="21">
        <v>0</v>
      </c>
      <c r="AA8666" s="21">
        <v>0</v>
      </c>
      <c r="AB8666" s="21">
        <v>0</v>
      </c>
      <c r="AC8666" s="21">
        <v>0</v>
      </c>
      <c r="AD8666" s="21">
        <v>0</v>
      </c>
      <c r="AE8666" s="21">
        <v>0</v>
      </c>
      <c r="AF8666" s="21">
        <v>0</v>
      </c>
      <c r="AG8666" s="21">
        <v>0</v>
      </c>
      <c r="AH8666" s="21">
        <f t="shared" si="178"/>
        <v>192</v>
      </c>
      <c r="AI8666" s="21"/>
      <c r="AJ8666" s="21" t="s">
        <v>51</v>
      </c>
      <c r="AK8666" s="21" t="s">
        <v>52</v>
      </c>
      <c r="AL8666" s="21" t="s">
        <v>5394</v>
      </c>
      <c r="AM8666" s="21" t="s">
        <v>5395</v>
      </c>
      <c r="AN8666" s="21">
        <v>-122.425672833333</v>
      </c>
      <c r="AO8666" s="21">
        <v>37.790302933333301</v>
      </c>
      <c r="AP8666" s="21" t="s">
        <v>541</v>
      </c>
    </row>
    <row r="8667" spans="1:42">
      <c r="A8667" s="22">
        <v>43868</v>
      </c>
      <c r="B8667" s="21">
        <v>5</v>
      </c>
      <c r="C8667" s="21">
        <v>226</v>
      </c>
      <c r="D8667" s="21"/>
      <c r="E8667" t="s">
        <v>112</v>
      </c>
      <c r="F8667" s="21" t="s">
        <v>104</v>
      </c>
      <c r="G8667" s="23">
        <v>4</v>
      </c>
      <c r="H8667" s="21">
        <v>32</v>
      </c>
      <c r="I8667" s="23" t="s">
        <v>5396</v>
      </c>
      <c r="J8667" s="21"/>
      <c r="K8667" s="21" t="s">
        <v>638</v>
      </c>
      <c r="L8667" s="21" t="s">
        <v>114</v>
      </c>
      <c r="M8667" s="21" t="s">
        <v>95</v>
      </c>
      <c r="N8667" s="21" t="s">
        <v>44</v>
      </c>
      <c r="O8667" s="21">
        <v>148</v>
      </c>
      <c r="P8667" s="21"/>
      <c r="Q8667" s="21">
        <f t="shared" si="177"/>
        <v>1</v>
      </c>
      <c r="R8667" s="21">
        <v>1</v>
      </c>
      <c r="S8667" s="21">
        <v>0</v>
      </c>
      <c r="T8667" s="21">
        <v>0</v>
      </c>
      <c r="U8667" s="21">
        <v>0</v>
      </c>
      <c r="V8667" s="21">
        <v>0</v>
      </c>
      <c r="W8667" s="21">
        <v>1</v>
      </c>
      <c r="X8667" s="21">
        <v>0</v>
      </c>
      <c r="Y8667" s="21">
        <v>0</v>
      </c>
      <c r="Z8667" s="21">
        <v>0</v>
      </c>
      <c r="AA8667" s="21">
        <v>0</v>
      </c>
      <c r="AB8667" s="21">
        <v>0</v>
      </c>
      <c r="AC8667" s="21">
        <v>0</v>
      </c>
      <c r="AD8667" s="21">
        <v>0</v>
      </c>
      <c r="AE8667" s="21">
        <v>0</v>
      </c>
      <c r="AF8667" s="21">
        <v>0</v>
      </c>
      <c r="AG8667" s="21">
        <v>0</v>
      </c>
      <c r="AH8667" s="21">
        <f t="shared" si="178"/>
        <v>96</v>
      </c>
      <c r="AI8667" s="21"/>
      <c r="AJ8667" s="21" t="s">
        <v>51</v>
      </c>
      <c r="AK8667" s="21" t="s">
        <v>52</v>
      </c>
      <c r="AL8667" s="21" t="s">
        <v>589</v>
      </c>
      <c r="AM8667" s="21" t="s">
        <v>5397</v>
      </c>
      <c r="AN8667" s="21">
        <v>-122.425641633333</v>
      </c>
      <c r="AO8667" s="21">
        <v>37.790325516666599</v>
      </c>
      <c r="AP8667" s="21" t="s">
        <v>541</v>
      </c>
    </row>
    <row r="8668" spans="1:42">
      <c r="A8668" s="22">
        <v>43868</v>
      </c>
      <c r="B8668" s="21">
        <v>5</v>
      </c>
      <c r="C8668" s="21">
        <v>226</v>
      </c>
      <c r="D8668" s="21"/>
      <c r="E8668" t="s">
        <v>112</v>
      </c>
      <c r="F8668" s="21" t="s">
        <v>104</v>
      </c>
      <c r="G8668" s="23">
        <v>4</v>
      </c>
      <c r="H8668" s="21">
        <v>33</v>
      </c>
      <c r="I8668" s="23" t="s">
        <v>3305</v>
      </c>
      <c r="J8668" s="21"/>
      <c r="K8668" s="21" t="s">
        <v>638</v>
      </c>
      <c r="L8668" s="21" t="s">
        <v>114</v>
      </c>
      <c r="M8668" s="21" t="s">
        <v>52</v>
      </c>
      <c r="N8668" s="21" t="s">
        <v>44</v>
      </c>
      <c r="O8668" s="21">
        <v>210</v>
      </c>
      <c r="P8668" s="21"/>
      <c r="Q8668" s="21">
        <f t="shared" si="177"/>
        <v>1</v>
      </c>
      <c r="R8668" s="21">
        <v>1</v>
      </c>
      <c r="S8668" s="21">
        <v>0</v>
      </c>
      <c r="T8668" s="21">
        <v>0</v>
      </c>
      <c r="U8668" s="21">
        <v>0</v>
      </c>
      <c r="V8668" s="21">
        <v>0</v>
      </c>
      <c r="W8668" s="21">
        <v>1</v>
      </c>
      <c r="X8668" s="21">
        <v>0</v>
      </c>
      <c r="Y8668" s="21">
        <v>0</v>
      </c>
      <c r="Z8668" s="21">
        <v>0</v>
      </c>
      <c r="AA8668" s="21">
        <v>0</v>
      </c>
      <c r="AB8668" s="21">
        <v>0</v>
      </c>
      <c r="AC8668" s="21">
        <v>0</v>
      </c>
      <c r="AD8668" s="21">
        <v>0</v>
      </c>
      <c r="AE8668" s="21">
        <v>0</v>
      </c>
      <c r="AF8668" s="21">
        <v>0</v>
      </c>
      <c r="AG8668" s="21">
        <v>0</v>
      </c>
      <c r="AH8668" s="21">
        <f t="shared" si="178"/>
        <v>96</v>
      </c>
      <c r="AI8668" s="21"/>
      <c r="AJ8668" s="21" t="s">
        <v>54</v>
      </c>
      <c r="AK8668" s="21" t="s">
        <v>52</v>
      </c>
      <c r="AL8668" s="21" t="s">
        <v>5398</v>
      </c>
      <c r="AM8668" s="21" t="s">
        <v>5399</v>
      </c>
      <c r="AN8668" s="21">
        <v>-122.425164866667</v>
      </c>
      <c r="AO8668" s="21">
        <v>37.789855449999997</v>
      </c>
      <c r="AP8668" s="21" t="s">
        <v>541</v>
      </c>
    </row>
    <row r="8669" spans="1:42">
      <c r="A8669" s="22">
        <v>43868</v>
      </c>
      <c r="B8669" s="21">
        <v>5</v>
      </c>
      <c r="C8669" s="21">
        <v>226</v>
      </c>
      <c r="D8669" s="21"/>
      <c r="E8669" t="s">
        <v>112</v>
      </c>
      <c r="F8669" s="21" t="s">
        <v>104</v>
      </c>
      <c r="G8669" s="23">
        <v>4</v>
      </c>
      <c r="H8669" s="21">
        <v>34</v>
      </c>
      <c r="I8669" s="23" t="s">
        <v>5400</v>
      </c>
      <c r="J8669" s="21"/>
      <c r="K8669" s="21" t="s">
        <v>2125</v>
      </c>
      <c r="L8669" s="21" t="s">
        <v>141</v>
      </c>
      <c r="M8669" s="21" t="s">
        <v>52</v>
      </c>
      <c r="N8669" s="21" t="s">
        <v>44</v>
      </c>
      <c r="O8669" s="21">
        <v>171</v>
      </c>
      <c r="P8669" s="21"/>
      <c r="Q8669" s="21">
        <f t="shared" si="177"/>
        <v>1</v>
      </c>
      <c r="R8669" s="21">
        <v>1</v>
      </c>
      <c r="S8669" s="21">
        <v>0</v>
      </c>
      <c r="T8669" s="21">
        <v>0</v>
      </c>
      <c r="U8669" s="21">
        <v>0</v>
      </c>
      <c r="V8669" s="21">
        <v>0</v>
      </c>
      <c r="W8669" s="21">
        <v>1</v>
      </c>
      <c r="X8669" s="21">
        <v>0</v>
      </c>
      <c r="Y8669" s="21">
        <v>0</v>
      </c>
      <c r="Z8669" s="21">
        <v>0</v>
      </c>
      <c r="AA8669" s="21">
        <v>0</v>
      </c>
      <c r="AB8669" s="21">
        <v>0</v>
      </c>
      <c r="AC8669" s="21">
        <v>0</v>
      </c>
      <c r="AD8669" s="21">
        <v>0</v>
      </c>
      <c r="AE8669" s="21">
        <v>0</v>
      </c>
      <c r="AF8669" s="21">
        <v>0</v>
      </c>
      <c r="AG8669" s="21">
        <v>0</v>
      </c>
      <c r="AH8669" s="21">
        <f t="shared" si="178"/>
        <v>96</v>
      </c>
      <c r="AI8669" s="21"/>
      <c r="AJ8669" s="21" t="s">
        <v>54</v>
      </c>
      <c r="AK8669" s="21" t="s">
        <v>52</v>
      </c>
      <c r="AL8669" s="21" t="s">
        <v>5401</v>
      </c>
      <c r="AM8669" s="21" t="s">
        <v>5402</v>
      </c>
      <c r="AN8669" s="21">
        <v>-122.424638816667</v>
      </c>
      <c r="AO8669" s="21">
        <v>37.790106866666697</v>
      </c>
      <c r="AP8669" s="21" t="s">
        <v>541</v>
      </c>
    </row>
    <row r="8670" spans="1:42">
      <c r="A8670" s="22">
        <v>43868</v>
      </c>
      <c r="B8670" s="21">
        <v>5</v>
      </c>
      <c r="C8670" s="21">
        <v>226</v>
      </c>
      <c r="D8670" s="21"/>
      <c r="E8670" t="s">
        <v>112</v>
      </c>
      <c r="F8670" s="21" t="s">
        <v>104</v>
      </c>
      <c r="G8670" s="23">
        <v>4</v>
      </c>
      <c r="H8670" s="21">
        <v>35</v>
      </c>
      <c r="I8670" s="23" t="s">
        <v>4447</v>
      </c>
      <c r="J8670" s="21"/>
      <c r="K8670" s="21" t="s">
        <v>2125</v>
      </c>
      <c r="L8670" s="21" t="s">
        <v>141</v>
      </c>
      <c r="M8670" s="21" t="s">
        <v>52</v>
      </c>
      <c r="N8670" s="21" t="s">
        <v>44</v>
      </c>
      <c r="O8670" s="21">
        <v>111</v>
      </c>
      <c r="P8670" s="21"/>
      <c r="Q8670" s="21">
        <f t="shared" si="177"/>
        <v>1</v>
      </c>
      <c r="R8670" s="21">
        <v>1</v>
      </c>
      <c r="S8670" s="21">
        <v>0</v>
      </c>
      <c r="T8670" s="21">
        <v>0</v>
      </c>
      <c r="U8670" s="21">
        <v>0</v>
      </c>
      <c r="V8670" s="21">
        <v>0</v>
      </c>
      <c r="W8670" s="21">
        <v>1</v>
      </c>
      <c r="X8670" s="21">
        <v>0</v>
      </c>
      <c r="Y8670" s="21">
        <v>0</v>
      </c>
      <c r="Z8670" s="21">
        <v>0</v>
      </c>
      <c r="AA8670" s="21">
        <v>0</v>
      </c>
      <c r="AB8670" s="21">
        <v>0</v>
      </c>
      <c r="AC8670" s="21">
        <v>0</v>
      </c>
      <c r="AD8670" s="21">
        <v>0</v>
      </c>
      <c r="AE8670" s="21">
        <v>0</v>
      </c>
      <c r="AF8670" s="21">
        <v>0</v>
      </c>
      <c r="AG8670" s="21">
        <v>0</v>
      </c>
      <c r="AH8670" s="21">
        <f t="shared" si="178"/>
        <v>96</v>
      </c>
      <c r="AI8670" s="21"/>
      <c r="AJ8670" s="21" t="s">
        <v>54</v>
      </c>
      <c r="AK8670" s="21" t="s">
        <v>52</v>
      </c>
      <c r="AL8670" s="21" t="s">
        <v>5403</v>
      </c>
      <c r="AM8670" s="21" t="s">
        <v>5404</v>
      </c>
      <c r="AN8670" s="21">
        <v>-122.424258983333</v>
      </c>
      <c r="AO8670" s="21">
        <v>37.79006175</v>
      </c>
      <c r="AP8670" s="21" t="s">
        <v>541</v>
      </c>
    </row>
    <row r="8671" spans="1:42">
      <c r="A8671" s="22">
        <v>43868</v>
      </c>
      <c r="B8671" s="21">
        <v>5</v>
      </c>
      <c r="C8671" s="21">
        <v>226</v>
      </c>
      <c r="D8671" s="21"/>
      <c r="E8671" t="s">
        <v>112</v>
      </c>
      <c r="F8671" s="21" t="s">
        <v>104</v>
      </c>
      <c r="G8671" s="23">
        <v>4</v>
      </c>
      <c r="H8671" s="21">
        <v>36</v>
      </c>
      <c r="I8671" s="23" t="s">
        <v>5405</v>
      </c>
      <c r="J8671" s="21"/>
      <c r="K8671" s="21" t="s">
        <v>638</v>
      </c>
      <c r="L8671" s="21" t="s">
        <v>114</v>
      </c>
      <c r="M8671" s="21"/>
      <c r="N8671" s="21" t="s">
        <v>44</v>
      </c>
      <c r="O8671" s="21">
        <v>71</v>
      </c>
      <c r="P8671" s="21"/>
      <c r="Q8671" s="21">
        <f t="shared" si="177"/>
        <v>1</v>
      </c>
      <c r="R8671" s="21">
        <v>1</v>
      </c>
      <c r="S8671" s="21">
        <v>0</v>
      </c>
      <c r="T8671" s="21">
        <v>0</v>
      </c>
      <c r="U8671" s="21">
        <v>0</v>
      </c>
      <c r="V8671" s="21">
        <v>0</v>
      </c>
      <c r="W8671" s="21">
        <v>1</v>
      </c>
      <c r="X8671" s="21">
        <v>0</v>
      </c>
      <c r="Y8671" s="21">
        <v>0</v>
      </c>
      <c r="Z8671" s="21">
        <v>0</v>
      </c>
      <c r="AA8671" s="21">
        <v>0</v>
      </c>
      <c r="AB8671" s="21">
        <v>0</v>
      </c>
      <c r="AC8671" s="21">
        <v>0</v>
      </c>
      <c r="AD8671" s="21">
        <v>0</v>
      </c>
      <c r="AE8671" s="21">
        <v>0</v>
      </c>
      <c r="AF8671" s="21">
        <v>0</v>
      </c>
      <c r="AG8671" s="21">
        <v>0</v>
      </c>
      <c r="AH8671" s="21">
        <f t="shared" si="178"/>
        <v>96</v>
      </c>
      <c r="AI8671" s="21"/>
      <c r="AJ8671" s="21" t="s">
        <v>3023</v>
      </c>
      <c r="AK8671" s="21" t="s">
        <v>52</v>
      </c>
      <c r="AL8671" s="21" t="s">
        <v>5406</v>
      </c>
      <c r="AM8671" s="21" t="s">
        <v>5407</v>
      </c>
      <c r="AN8671" s="21">
        <v>-122.425815733333</v>
      </c>
      <c r="AO8671" s="21">
        <v>37.791418166666702</v>
      </c>
      <c r="AP8671" s="21" t="s">
        <v>541</v>
      </c>
    </row>
    <row r="8672" spans="1:42">
      <c r="A8672" s="22">
        <v>43868</v>
      </c>
      <c r="B8672" s="21">
        <v>5</v>
      </c>
      <c r="C8672" s="21">
        <v>226</v>
      </c>
      <c r="D8672" s="21"/>
      <c r="E8672" t="s">
        <v>112</v>
      </c>
      <c r="F8672" s="21" t="s">
        <v>104</v>
      </c>
      <c r="G8672" s="23">
        <v>4</v>
      </c>
      <c r="H8672" s="21">
        <v>37</v>
      </c>
      <c r="I8672" s="23" t="s">
        <v>5203</v>
      </c>
      <c r="J8672" s="21"/>
      <c r="K8672" s="21" t="s">
        <v>638</v>
      </c>
      <c r="L8672" s="21" t="s">
        <v>141</v>
      </c>
      <c r="M8672" s="21" t="s">
        <v>52</v>
      </c>
      <c r="N8672" s="21" t="s">
        <v>44</v>
      </c>
      <c r="O8672" s="21">
        <v>165</v>
      </c>
      <c r="P8672" s="21"/>
      <c r="Q8672" s="21">
        <f t="shared" si="177"/>
        <v>2</v>
      </c>
      <c r="R8672" s="21">
        <v>1</v>
      </c>
      <c r="S8672" s="21">
        <v>0</v>
      </c>
      <c r="T8672" s="21">
        <v>0</v>
      </c>
      <c r="U8672" s="21">
        <v>0</v>
      </c>
      <c r="V8672" s="21">
        <v>0</v>
      </c>
      <c r="W8672" s="21">
        <v>2</v>
      </c>
      <c r="X8672" s="21">
        <v>0</v>
      </c>
      <c r="Y8672" s="21">
        <v>0</v>
      </c>
      <c r="Z8672" s="21">
        <v>0</v>
      </c>
      <c r="AA8672" s="21">
        <v>0</v>
      </c>
      <c r="AB8672" s="21">
        <v>0</v>
      </c>
      <c r="AC8672" s="21">
        <v>0</v>
      </c>
      <c r="AD8672" s="21">
        <v>0</v>
      </c>
      <c r="AE8672" s="21">
        <v>0</v>
      </c>
      <c r="AF8672" s="21">
        <v>0</v>
      </c>
      <c r="AG8672" s="21">
        <v>0</v>
      </c>
      <c r="AH8672" s="21">
        <f t="shared" si="178"/>
        <v>192</v>
      </c>
      <c r="AI8672" s="21"/>
      <c r="AJ8672" s="21"/>
      <c r="AK8672" s="21"/>
      <c r="AL8672" s="21"/>
      <c r="AM8672" s="21" t="s">
        <v>5408</v>
      </c>
      <c r="AN8672" s="21">
        <v>-122.422136236748</v>
      </c>
      <c r="AO8672" s="21">
        <v>37.787765588177798</v>
      </c>
      <c r="AP8672" s="21" t="s">
        <v>541</v>
      </c>
    </row>
    <row r="8673" spans="1:42">
      <c r="A8673" s="22">
        <v>43868</v>
      </c>
      <c r="B8673" s="21">
        <v>5</v>
      </c>
      <c r="C8673" s="21">
        <v>226</v>
      </c>
      <c r="D8673" s="21"/>
      <c r="E8673" t="s">
        <v>112</v>
      </c>
      <c r="F8673" s="21" t="s">
        <v>104</v>
      </c>
      <c r="G8673" s="23">
        <v>4</v>
      </c>
      <c r="H8673" s="21">
        <v>38</v>
      </c>
      <c r="I8673" s="23" t="s">
        <v>5391</v>
      </c>
      <c r="J8673" s="21"/>
      <c r="K8673" s="21" t="s">
        <v>3181</v>
      </c>
      <c r="L8673" s="21" t="s">
        <v>141</v>
      </c>
      <c r="M8673" s="21" t="s">
        <v>52</v>
      </c>
      <c r="N8673" s="21" t="s">
        <v>44</v>
      </c>
      <c r="O8673" s="21">
        <v>180</v>
      </c>
      <c r="P8673" s="21"/>
      <c r="Q8673" s="21">
        <f t="shared" si="177"/>
        <v>2</v>
      </c>
      <c r="R8673" s="21">
        <v>1</v>
      </c>
      <c r="S8673" s="21">
        <v>0</v>
      </c>
      <c r="T8673" s="21">
        <v>0</v>
      </c>
      <c r="U8673" s="21">
        <v>0</v>
      </c>
      <c r="V8673" s="21">
        <v>0</v>
      </c>
      <c r="W8673" s="21">
        <v>2</v>
      </c>
      <c r="X8673" s="21">
        <v>0</v>
      </c>
      <c r="Y8673" s="21">
        <v>0</v>
      </c>
      <c r="Z8673" s="21">
        <v>0</v>
      </c>
      <c r="AA8673" s="21">
        <v>0</v>
      </c>
      <c r="AB8673" s="21">
        <v>0</v>
      </c>
      <c r="AC8673" s="21">
        <v>0</v>
      </c>
      <c r="AD8673" s="21">
        <v>0</v>
      </c>
      <c r="AE8673" s="21">
        <v>0</v>
      </c>
      <c r="AF8673" s="21">
        <v>0</v>
      </c>
      <c r="AG8673" s="21">
        <v>0</v>
      </c>
      <c r="AH8673" s="21">
        <f t="shared" si="178"/>
        <v>192</v>
      </c>
      <c r="AI8673" s="21"/>
      <c r="AJ8673" s="21" t="s">
        <v>54</v>
      </c>
      <c r="AK8673" s="21" t="s">
        <v>52</v>
      </c>
      <c r="AL8673" s="21" t="s">
        <v>5409</v>
      </c>
      <c r="AM8673" s="21" t="s">
        <v>5410</v>
      </c>
      <c r="AN8673" s="21">
        <v>-122.425099616667</v>
      </c>
      <c r="AO8673" s="21">
        <v>37.791918783333301</v>
      </c>
      <c r="AP8673" s="21" t="s">
        <v>541</v>
      </c>
    </row>
    <row r="8674" spans="1:42">
      <c r="A8674" s="22">
        <v>43868</v>
      </c>
      <c r="B8674" s="21">
        <v>5</v>
      </c>
      <c r="C8674" s="21">
        <v>226</v>
      </c>
      <c r="D8674" s="21"/>
      <c r="E8674" t="s">
        <v>112</v>
      </c>
      <c r="F8674" s="21" t="s">
        <v>104</v>
      </c>
      <c r="G8674" s="23">
        <v>4</v>
      </c>
      <c r="H8674" s="21">
        <v>40</v>
      </c>
      <c r="I8674" s="23" t="s">
        <v>5377</v>
      </c>
      <c r="J8674" s="21"/>
      <c r="K8674" s="21" t="s">
        <v>638</v>
      </c>
      <c r="L8674" s="21" t="s">
        <v>114</v>
      </c>
      <c r="M8674" s="21" t="s">
        <v>52</v>
      </c>
      <c r="N8674" s="21" t="s">
        <v>44</v>
      </c>
      <c r="O8674" s="21">
        <v>242</v>
      </c>
      <c r="P8674" s="21"/>
      <c r="Q8674" s="21">
        <f t="shared" si="177"/>
        <v>2</v>
      </c>
      <c r="R8674" s="21">
        <v>1</v>
      </c>
      <c r="S8674" s="21">
        <v>0</v>
      </c>
      <c r="T8674" s="21">
        <v>0</v>
      </c>
      <c r="U8674" s="21">
        <v>0</v>
      </c>
      <c r="V8674" s="21">
        <v>0</v>
      </c>
      <c r="W8674" s="21">
        <v>2</v>
      </c>
      <c r="X8674" s="21">
        <v>0</v>
      </c>
      <c r="Y8674" s="21">
        <v>0</v>
      </c>
      <c r="Z8674" s="21">
        <v>0</v>
      </c>
      <c r="AA8674" s="21">
        <v>0</v>
      </c>
      <c r="AB8674" s="21">
        <v>0</v>
      </c>
      <c r="AC8674" s="21">
        <v>0</v>
      </c>
      <c r="AD8674" s="21">
        <v>0</v>
      </c>
      <c r="AE8674" s="21">
        <v>0</v>
      </c>
      <c r="AF8674" s="21">
        <v>0</v>
      </c>
      <c r="AG8674" s="21">
        <v>0</v>
      </c>
      <c r="AH8674" s="21">
        <f t="shared" si="178"/>
        <v>192</v>
      </c>
      <c r="AI8674" s="21"/>
      <c r="AJ8674" s="21"/>
      <c r="AK8674" s="21"/>
      <c r="AL8674" s="21"/>
      <c r="AM8674" s="21" t="s">
        <v>5411</v>
      </c>
      <c r="AN8674" s="21">
        <v>-122.42430038333301</v>
      </c>
      <c r="AO8674" s="21">
        <v>37.792199983333298</v>
      </c>
      <c r="AP8674" s="21" t="s">
        <v>541</v>
      </c>
    </row>
    <row r="8675" spans="1:42">
      <c r="A8675" s="22">
        <v>43868</v>
      </c>
      <c r="B8675" s="21">
        <v>5</v>
      </c>
      <c r="C8675" s="21">
        <v>226</v>
      </c>
      <c r="D8675" s="21"/>
      <c r="E8675" t="s">
        <v>112</v>
      </c>
      <c r="F8675" s="21" t="s">
        <v>104</v>
      </c>
      <c r="G8675" s="23">
        <v>4</v>
      </c>
      <c r="H8675" s="21">
        <v>41</v>
      </c>
      <c r="I8675" s="23" t="s">
        <v>5195</v>
      </c>
      <c r="J8675" s="21"/>
      <c r="K8675" s="21" t="s">
        <v>631</v>
      </c>
      <c r="L8675" s="21" t="s">
        <v>114</v>
      </c>
      <c r="M8675" s="21"/>
      <c r="N8675" s="21" t="s">
        <v>44</v>
      </c>
      <c r="O8675" s="21">
        <v>198</v>
      </c>
      <c r="P8675" s="21"/>
      <c r="Q8675" s="21">
        <f t="shared" si="177"/>
        <v>2</v>
      </c>
      <c r="R8675" s="21">
        <v>1</v>
      </c>
      <c r="S8675" s="21">
        <v>0</v>
      </c>
      <c r="T8675" s="21">
        <v>0</v>
      </c>
      <c r="U8675" s="21">
        <v>0</v>
      </c>
      <c r="V8675" s="21">
        <v>0</v>
      </c>
      <c r="W8675" s="21">
        <v>2</v>
      </c>
      <c r="X8675" s="21">
        <v>0</v>
      </c>
      <c r="Y8675" s="21">
        <v>0</v>
      </c>
      <c r="Z8675" s="21">
        <v>0</v>
      </c>
      <c r="AA8675" s="21">
        <v>0</v>
      </c>
      <c r="AB8675" s="21">
        <v>0</v>
      </c>
      <c r="AC8675" s="21">
        <v>0</v>
      </c>
      <c r="AD8675" s="21">
        <v>0</v>
      </c>
      <c r="AE8675" s="21">
        <v>0</v>
      </c>
      <c r="AF8675" s="21">
        <v>0</v>
      </c>
      <c r="AG8675" s="21">
        <v>0</v>
      </c>
      <c r="AH8675" s="21">
        <f t="shared" si="178"/>
        <v>192</v>
      </c>
      <c r="AI8675" s="21"/>
      <c r="AJ8675" s="21"/>
      <c r="AK8675" s="21" t="s">
        <v>52</v>
      </c>
      <c r="AL8675" s="21"/>
      <c r="AM8675" s="21" t="s">
        <v>5412</v>
      </c>
      <c r="AN8675" s="21">
        <v>-122.424445933333</v>
      </c>
      <c r="AO8675" s="21">
        <v>37.792522366666702</v>
      </c>
      <c r="AP8675" s="21" t="s">
        <v>541</v>
      </c>
    </row>
    <row r="8676" spans="1:42">
      <c r="A8676" s="22">
        <v>43868</v>
      </c>
      <c r="B8676" s="21">
        <v>5</v>
      </c>
      <c r="C8676" s="21">
        <v>226</v>
      </c>
      <c r="D8676" s="21"/>
      <c r="E8676" t="s">
        <v>112</v>
      </c>
      <c r="F8676" s="21" t="s">
        <v>104</v>
      </c>
      <c r="G8676" s="23">
        <v>4</v>
      </c>
      <c r="H8676" s="21">
        <v>42</v>
      </c>
      <c r="I8676" s="23" t="s">
        <v>5413</v>
      </c>
      <c r="J8676" s="21"/>
      <c r="K8676" s="21" t="s">
        <v>415</v>
      </c>
      <c r="L8676" s="21" t="s">
        <v>141</v>
      </c>
      <c r="M8676" s="21" t="s">
        <v>95</v>
      </c>
      <c r="N8676" s="21" t="s">
        <v>40</v>
      </c>
      <c r="O8676" s="21">
        <v>186</v>
      </c>
      <c r="P8676" s="21"/>
      <c r="Q8676" s="21">
        <f t="shared" si="177"/>
        <v>1</v>
      </c>
      <c r="R8676" s="21">
        <v>1</v>
      </c>
      <c r="S8676" s="21">
        <v>0</v>
      </c>
      <c r="T8676" s="21">
        <v>0</v>
      </c>
      <c r="U8676" s="21">
        <v>0</v>
      </c>
      <c r="V8676" s="21">
        <v>0</v>
      </c>
      <c r="W8676" s="21">
        <v>1</v>
      </c>
      <c r="X8676" s="21">
        <v>0</v>
      </c>
      <c r="Y8676" s="21">
        <v>0</v>
      </c>
      <c r="Z8676" s="21">
        <v>0</v>
      </c>
      <c r="AA8676" s="21">
        <v>0</v>
      </c>
      <c r="AB8676" s="21">
        <v>0</v>
      </c>
      <c r="AC8676" s="21">
        <v>0</v>
      </c>
      <c r="AD8676" s="21">
        <v>0</v>
      </c>
      <c r="AE8676" s="21">
        <v>0</v>
      </c>
      <c r="AF8676" s="21">
        <v>0</v>
      </c>
      <c r="AG8676" s="21">
        <v>0</v>
      </c>
      <c r="AH8676" s="21">
        <f t="shared" si="178"/>
        <v>96</v>
      </c>
      <c r="AI8676" s="21"/>
      <c r="AJ8676" s="21" t="s">
        <v>51</v>
      </c>
      <c r="AK8676" s="21" t="s">
        <v>52</v>
      </c>
      <c r="AL8676" s="21" t="s">
        <v>5414</v>
      </c>
      <c r="AM8676" s="21" t="s">
        <v>5415</v>
      </c>
      <c r="AN8676" s="21">
        <v>-122.42362686666699</v>
      </c>
      <c r="AO8676" s="21">
        <v>37.793692833333303</v>
      </c>
      <c r="AP8676" s="21" t="s">
        <v>541</v>
      </c>
    </row>
    <row r="8677" spans="1:42">
      <c r="A8677" s="22">
        <v>43868</v>
      </c>
      <c r="B8677" s="21">
        <v>5</v>
      </c>
      <c r="C8677" s="21">
        <v>226</v>
      </c>
      <c r="D8677" s="21"/>
      <c r="E8677" t="s">
        <v>112</v>
      </c>
      <c r="F8677" s="21" t="s">
        <v>104</v>
      </c>
      <c r="G8677" s="23">
        <v>4</v>
      </c>
      <c r="H8677" s="21">
        <v>43</v>
      </c>
      <c r="I8677" s="23" t="s">
        <v>3935</v>
      </c>
      <c r="J8677" s="21"/>
      <c r="K8677" s="21" t="s">
        <v>647</v>
      </c>
      <c r="L8677" s="21" t="s">
        <v>141</v>
      </c>
      <c r="M8677" s="21"/>
      <c r="N8677" s="21" t="s">
        <v>44</v>
      </c>
      <c r="O8677" s="21">
        <v>163</v>
      </c>
      <c r="P8677" s="21"/>
      <c r="Q8677" s="21">
        <f t="shared" si="177"/>
        <v>2</v>
      </c>
      <c r="R8677" s="21">
        <v>1</v>
      </c>
      <c r="S8677" s="21">
        <v>0</v>
      </c>
      <c r="T8677" s="21">
        <v>0</v>
      </c>
      <c r="U8677" s="21">
        <v>0</v>
      </c>
      <c r="V8677" s="21">
        <v>1</v>
      </c>
      <c r="W8677" s="21">
        <v>1</v>
      </c>
      <c r="X8677" s="21">
        <v>0</v>
      </c>
      <c r="Y8677" s="21">
        <v>0</v>
      </c>
      <c r="Z8677" s="21">
        <v>0</v>
      </c>
      <c r="AA8677" s="21">
        <v>0</v>
      </c>
      <c r="AB8677" s="21">
        <v>0</v>
      </c>
      <c r="AC8677" s="21">
        <v>0</v>
      </c>
      <c r="AD8677" s="21">
        <v>0</v>
      </c>
      <c r="AE8677" s="21">
        <v>0</v>
      </c>
      <c r="AF8677" s="21">
        <v>0</v>
      </c>
      <c r="AG8677" s="21">
        <v>0</v>
      </c>
      <c r="AH8677" s="21">
        <f t="shared" si="178"/>
        <v>160</v>
      </c>
      <c r="AI8677" s="21"/>
      <c r="AJ8677" s="21" t="s">
        <v>54</v>
      </c>
      <c r="AK8677" s="21" t="s">
        <v>52</v>
      </c>
      <c r="AL8677" s="21" t="s">
        <v>589</v>
      </c>
      <c r="AM8677" s="21" t="s">
        <v>5416</v>
      </c>
      <c r="AN8677" s="21">
        <v>-122.423319466667</v>
      </c>
      <c r="AO8677" s="21">
        <v>37.793842416666699</v>
      </c>
      <c r="AP8677" s="21" t="s">
        <v>541</v>
      </c>
    </row>
    <row r="8678" spans="1:42">
      <c r="A8678" s="22">
        <v>43868</v>
      </c>
      <c r="B8678" s="21">
        <v>5</v>
      </c>
      <c r="C8678" s="21">
        <v>226</v>
      </c>
      <c r="D8678" s="21"/>
      <c r="E8678" t="s">
        <v>112</v>
      </c>
      <c r="F8678" s="21" t="s">
        <v>104</v>
      </c>
      <c r="G8678" s="23">
        <v>4</v>
      </c>
      <c r="H8678" s="21">
        <v>44</v>
      </c>
      <c r="I8678" s="23" t="s">
        <v>5417</v>
      </c>
      <c r="J8678" s="21"/>
      <c r="K8678" s="21" t="s">
        <v>647</v>
      </c>
      <c r="L8678" s="21" t="s">
        <v>141</v>
      </c>
      <c r="M8678" s="21" t="s">
        <v>52</v>
      </c>
      <c r="N8678" s="21" t="s">
        <v>44</v>
      </c>
      <c r="O8678" s="21">
        <v>105</v>
      </c>
      <c r="P8678" s="21"/>
      <c r="Q8678" s="21">
        <f t="shared" si="177"/>
        <v>2</v>
      </c>
      <c r="R8678" s="21">
        <v>1</v>
      </c>
      <c r="S8678" s="21">
        <v>0</v>
      </c>
      <c r="T8678" s="21">
        <v>0</v>
      </c>
      <c r="U8678" s="21">
        <v>0</v>
      </c>
      <c r="V8678" s="21">
        <v>2</v>
      </c>
      <c r="W8678" s="21">
        <v>0</v>
      </c>
      <c r="X8678" s="21">
        <v>0</v>
      </c>
      <c r="Y8678" s="21">
        <v>0</v>
      </c>
      <c r="Z8678" s="21">
        <v>0</v>
      </c>
      <c r="AA8678" s="21">
        <v>0</v>
      </c>
      <c r="AB8678" s="21">
        <v>0</v>
      </c>
      <c r="AC8678" s="21">
        <v>0</v>
      </c>
      <c r="AD8678" s="21">
        <v>0</v>
      </c>
      <c r="AE8678" s="21">
        <v>0</v>
      </c>
      <c r="AF8678" s="21">
        <v>0</v>
      </c>
      <c r="AG8678" s="21">
        <v>0</v>
      </c>
      <c r="AH8678" s="21">
        <f t="shared" si="178"/>
        <v>128</v>
      </c>
      <c r="AI8678" s="21"/>
      <c r="AJ8678" s="21" t="s">
        <v>54</v>
      </c>
      <c r="AK8678" s="21" t="s">
        <v>52</v>
      </c>
      <c r="AL8678" s="21" t="s">
        <v>5418</v>
      </c>
      <c r="AM8678" s="21" t="s">
        <v>5419</v>
      </c>
      <c r="AN8678" s="21">
        <v>-122.423969183333</v>
      </c>
      <c r="AO8678" s="21">
        <v>37.793440599999997</v>
      </c>
      <c r="AP8678" s="21" t="s">
        <v>541</v>
      </c>
    </row>
    <row r="8679" spans="1:42">
      <c r="A8679" s="22">
        <v>43868</v>
      </c>
      <c r="B8679" s="21">
        <v>5</v>
      </c>
      <c r="C8679" s="21">
        <v>226</v>
      </c>
      <c r="D8679" s="21"/>
      <c r="E8679" t="s">
        <v>112</v>
      </c>
      <c r="F8679" s="21" t="s">
        <v>104</v>
      </c>
      <c r="G8679" s="23">
        <v>4</v>
      </c>
      <c r="H8679" s="21">
        <v>45</v>
      </c>
      <c r="I8679" s="23" t="s">
        <v>4786</v>
      </c>
      <c r="J8679" s="21"/>
      <c r="K8679" s="21" t="s">
        <v>647</v>
      </c>
      <c r="L8679" s="21" t="s">
        <v>114</v>
      </c>
      <c r="M8679" s="21" t="s">
        <v>52</v>
      </c>
      <c r="N8679" s="21" t="s">
        <v>44</v>
      </c>
      <c r="O8679" s="21">
        <v>79</v>
      </c>
      <c r="P8679" s="21"/>
      <c r="Q8679" s="21">
        <f t="shared" si="177"/>
        <v>2</v>
      </c>
      <c r="R8679" s="21">
        <v>1</v>
      </c>
      <c r="S8679" s="21">
        <v>0</v>
      </c>
      <c r="T8679" s="21">
        <v>0</v>
      </c>
      <c r="U8679" s="21">
        <v>0</v>
      </c>
      <c r="V8679" s="21">
        <v>0</v>
      </c>
      <c r="W8679" s="21">
        <v>2</v>
      </c>
      <c r="X8679" s="21">
        <v>0</v>
      </c>
      <c r="Y8679" s="21">
        <v>0</v>
      </c>
      <c r="Z8679" s="21">
        <v>0</v>
      </c>
      <c r="AA8679" s="21">
        <v>0</v>
      </c>
      <c r="AB8679" s="21">
        <v>0</v>
      </c>
      <c r="AC8679" s="21">
        <v>0</v>
      </c>
      <c r="AD8679" s="21">
        <v>0</v>
      </c>
      <c r="AE8679" s="21">
        <v>0</v>
      </c>
      <c r="AF8679" s="21">
        <v>0</v>
      </c>
      <c r="AG8679" s="21">
        <v>0</v>
      </c>
      <c r="AH8679" s="21">
        <f t="shared" si="178"/>
        <v>192</v>
      </c>
      <c r="AI8679" s="21"/>
      <c r="AJ8679" s="21" t="s">
        <v>54</v>
      </c>
      <c r="AK8679" s="21" t="s">
        <v>52</v>
      </c>
      <c r="AL8679" s="21" t="s">
        <v>589</v>
      </c>
      <c r="AM8679" s="21" t="s">
        <v>5420</v>
      </c>
      <c r="AN8679" s="21">
        <v>-122.425065483333</v>
      </c>
      <c r="AO8679" s="21">
        <v>37.793683600000001</v>
      </c>
      <c r="AP8679" s="21" t="s">
        <v>541</v>
      </c>
    </row>
    <row r="8680" spans="1:42">
      <c r="A8680" s="22">
        <v>43868</v>
      </c>
      <c r="B8680" s="21">
        <v>5</v>
      </c>
      <c r="C8680" s="21">
        <v>226</v>
      </c>
      <c r="D8680" s="21"/>
      <c r="E8680" t="s">
        <v>112</v>
      </c>
      <c r="F8680" s="21" t="s">
        <v>104</v>
      </c>
      <c r="G8680" s="23">
        <v>4</v>
      </c>
      <c r="H8680" s="21">
        <v>46</v>
      </c>
      <c r="I8680" s="23" t="s">
        <v>2890</v>
      </c>
      <c r="J8680" s="21"/>
      <c r="K8680" s="21" t="s">
        <v>631</v>
      </c>
      <c r="L8680" s="21" t="s">
        <v>141</v>
      </c>
      <c r="M8680" s="21" t="s">
        <v>52</v>
      </c>
      <c r="N8680" s="21" t="s">
        <v>40</v>
      </c>
      <c r="O8680" s="21">
        <v>96</v>
      </c>
      <c r="P8680" s="21"/>
      <c r="Q8680" s="21">
        <f t="shared" si="177"/>
        <v>1</v>
      </c>
      <c r="R8680" s="21">
        <v>1</v>
      </c>
      <c r="S8680" s="21">
        <v>0</v>
      </c>
      <c r="T8680" s="21">
        <v>0</v>
      </c>
      <c r="U8680" s="21">
        <v>0</v>
      </c>
      <c r="V8680" s="21">
        <v>0</v>
      </c>
      <c r="W8680" s="21">
        <v>1</v>
      </c>
      <c r="X8680" s="21">
        <v>0</v>
      </c>
      <c r="Y8680" s="21">
        <v>0</v>
      </c>
      <c r="Z8680" s="21">
        <v>0</v>
      </c>
      <c r="AA8680" s="21">
        <v>0</v>
      </c>
      <c r="AB8680" s="21">
        <v>0</v>
      </c>
      <c r="AC8680" s="21">
        <v>0</v>
      </c>
      <c r="AD8680" s="21">
        <v>0</v>
      </c>
      <c r="AE8680" s="21">
        <v>0</v>
      </c>
      <c r="AF8680" s="21">
        <v>0</v>
      </c>
      <c r="AG8680" s="21">
        <v>0</v>
      </c>
      <c r="AH8680" s="21">
        <f t="shared" si="178"/>
        <v>96</v>
      </c>
      <c r="AI8680" s="21"/>
      <c r="AJ8680" s="21" t="s">
        <v>54</v>
      </c>
      <c r="AK8680" s="21" t="s">
        <v>52</v>
      </c>
      <c r="AL8680" s="21" t="s">
        <v>589</v>
      </c>
      <c r="AM8680" s="21" t="s">
        <v>5421</v>
      </c>
      <c r="AN8680" s="21">
        <v>-122.4251189</v>
      </c>
      <c r="AO8680" s="21">
        <v>37.793710349999998</v>
      </c>
      <c r="AP8680" s="21" t="s">
        <v>541</v>
      </c>
    </row>
    <row r="8681" spans="1:42">
      <c r="A8681" s="22">
        <v>43868</v>
      </c>
      <c r="B8681" s="21">
        <v>5</v>
      </c>
      <c r="C8681" s="21">
        <v>226</v>
      </c>
      <c r="D8681" s="21"/>
      <c r="E8681" t="s">
        <v>112</v>
      </c>
      <c r="F8681" s="21" t="s">
        <v>104</v>
      </c>
      <c r="G8681" s="23">
        <v>4</v>
      </c>
      <c r="H8681" s="21">
        <v>47</v>
      </c>
      <c r="I8681" s="23" t="s">
        <v>4786</v>
      </c>
      <c r="J8681" s="21"/>
      <c r="K8681" s="21" t="s">
        <v>647</v>
      </c>
      <c r="L8681" s="21" t="s">
        <v>114</v>
      </c>
      <c r="M8681" s="21" t="s">
        <v>52</v>
      </c>
      <c r="N8681" s="21" t="s">
        <v>44</v>
      </c>
      <c r="O8681" s="21">
        <v>107</v>
      </c>
      <c r="P8681" s="21"/>
      <c r="Q8681" s="21">
        <f t="shared" si="177"/>
        <v>1</v>
      </c>
      <c r="R8681" s="21">
        <v>1</v>
      </c>
      <c r="S8681" s="21">
        <v>0</v>
      </c>
      <c r="T8681" s="21">
        <v>0</v>
      </c>
      <c r="U8681" s="21">
        <v>0</v>
      </c>
      <c r="V8681" s="21">
        <v>0</v>
      </c>
      <c r="W8681" s="21">
        <v>1</v>
      </c>
      <c r="X8681" s="21">
        <v>0</v>
      </c>
      <c r="Y8681" s="21">
        <v>0</v>
      </c>
      <c r="Z8681" s="21">
        <v>0</v>
      </c>
      <c r="AA8681" s="21">
        <v>0</v>
      </c>
      <c r="AB8681" s="21">
        <v>0</v>
      </c>
      <c r="AC8681" s="21">
        <v>0</v>
      </c>
      <c r="AD8681" s="21">
        <v>0</v>
      </c>
      <c r="AE8681" s="21">
        <v>0</v>
      </c>
      <c r="AF8681" s="21">
        <v>0</v>
      </c>
      <c r="AG8681" s="21">
        <v>0</v>
      </c>
      <c r="AH8681" s="21">
        <f t="shared" si="178"/>
        <v>96</v>
      </c>
      <c r="AI8681" s="21"/>
      <c r="AJ8681" s="21" t="s">
        <v>54</v>
      </c>
      <c r="AK8681" s="21" t="s">
        <v>52</v>
      </c>
      <c r="AL8681" s="21" t="s">
        <v>5342</v>
      </c>
      <c r="AM8681" s="21" t="s">
        <v>5422</v>
      </c>
      <c r="AN8681" s="21">
        <v>-122.4251357</v>
      </c>
      <c r="AO8681" s="21">
        <v>37.7937169</v>
      </c>
      <c r="AP8681" s="21" t="s">
        <v>541</v>
      </c>
    </row>
    <row r="8682" spans="1:42">
      <c r="A8682" s="22">
        <v>43868</v>
      </c>
      <c r="B8682" s="21">
        <v>5</v>
      </c>
      <c r="C8682" s="21">
        <v>226</v>
      </c>
      <c r="D8682" s="21"/>
      <c r="E8682" t="s">
        <v>112</v>
      </c>
      <c r="F8682" s="21" t="s">
        <v>104</v>
      </c>
      <c r="G8682" s="23">
        <v>4</v>
      </c>
      <c r="H8682" s="21">
        <v>48</v>
      </c>
      <c r="I8682" s="23" t="s">
        <v>5344</v>
      </c>
      <c r="J8682" s="21"/>
      <c r="K8682" s="21" t="s">
        <v>647</v>
      </c>
      <c r="L8682" s="21" t="s">
        <v>141</v>
      </c>
      <c r="M8682" s="21" t="s">
        <v>52</v>
      </c>
      <c r="N8682" s="21" t="s">
        <v>44</v>
      </c>
      <c r="O8682" s="21">
        <v>96</v>
      </c>
      <c r="P8682" s="21"/>
      <c r="Q8682" s="21">
        <f t="shared" si="177"/>
        <v>1</v>
      </c>
      <c r="R8682" s="21">
        <v>1</v>
      </c>
      <c r="S8682" s="21">
        <v>0</v>
      </c>
      <c r="T8682" s="21">
        <v>0</v>
      </c>
      <c r="U8682" s="21">
        <v>0</v>
      </c>
      <c r="V8682" s="21">
        <v>0</v>
      </c>
      <c r="W8682" s="21">
        <v>1</v>
      </c>
      <c r="X8682" s="21">
        <v>0</v>
      </c>
      <c r="Y8682" s="21">
        <v>0</v>
      </c>
      <c r="Z8682" s="21">
        <v>0</v>
      </c>
      <c r="AA8682" s="21">
        <v>0</v>
      </c>
      <c r="AB8682" s="21">
        <v>0</v>
      </c>
      <c r="AC8682" s="21">
        <v>0</v>
      </c>
      <c r="AD8682" s="21">
        <v>0</v>
      </c>
      <c r="AE8682" s="21">
        <v>0</v>
      </c>
      <c r="AF8682" s="21">
        <v>0</v>
      </c>
      <c r="AG8682" s="21">
        <v>0</v>
      </c>
      <c r="AH8682" s="21">
        <f t="shared" si="178"/>
        <v>96</v>
      </c>
      <c r="AI8682" s="21"/>
      <c r="AJ8682" s="21" t="s">
        <v>54</v>
      </c>
      <c r="AK8682" s="21" t="s">
        <v>52</v>
      </c>
      <c r="AL8682" s="21" t="s">
        <v>589</v>
      </c>
      <c r="AM8682" s="21" t="s">
        <v>5423</v>
      </c>
      <c r="AN8682" s="21">
        <v>-122.42536131666699</v>
      </c>
      <c r="AO8682" s="21">
        <v>37.7936880166666</v>
      </c>
      <c r="AP8682" s="21" t="s">
        <v>541</v>
      </c>
    </row>
    <row r="8683" spans="1:42">
      <c r="A8683" s="22">
        <v>43868</v>
      </c>
      <c r="B8683" s="21">
        <v>5</v>
      </c>
      <c r="C8683" s="21">
        <v>226</v>
      </c>
      <c r="D8683" s="21"/>
      <c r="E8683" t="s">
        <v>112</v>
      </c>
      <c r="F8683" s="21" t="s">
        <v>104</v>
      </c>
      <c r="G8683" s="23">
        <v>4</v>
      </c>
      <c r="H8683" s="21">
        <v>50</v>
      </c>
      <c r="I8683" s="23" t="s">
        <v>5396</v>
      </c>
      <c r="J8683" s="21"/>
      <c r="K8683" s="21" t="s">
        <v>2240</v>
      </c>
      <c r="L8683" s="21" t="s">
        <v>114</v>
      </c>
      <c r="M8683" s="21" t="s">
        <v>52</v>
      </c>
      <c r="N8683" s="21" t="s">
        <v>44</v>
      </c>
      <c r="O8683" s="21">
        <v>119</v>
      </c>
      <c r="P8683" s="21"/>
      <c r="Q8683" s="21">
        <f t="shared" si="177"/>
        <v>1</v>
      </c>
      <c r="R8683" s="21">
        <v>1</v>
      </c>
      <c r="S8683" s="21">
        <v>0</v>
      </c>
      <c r="T8683" s="21">
        <v>0</v>
      </c>
      <c r="U8683" s="21">
        <v>0</v>
      </c>
      <c r="V8683" s="21">
        <v>0</v>
      </c>
      <c r="W8683" s="21">
        <v>1</v>
      </c>
      <c r="X8683" s="21">
        <v>0</v>
      </c>
      <c r="Y8683" s="21">
        <v>0</v>
      </c>
      <c r="Z8683" s="21">
        <v>0</v>
      </c>
      <c r="AA8683" s="21">
        <v>0</v>
      </c>
      <c r="AB8683" s="21">
        <v>0</v>
      </c>
      <c r="AC8683" s="21">
        <v>0</v>
      </c>
      <c r="AD8683" s="21">
        <v>0</v>
      </c>
      <c r="AE8683" s="21">
        <v>0</v>
      </c>
      <c r="AF8683" s="21">
        <v>0</v>
      </c>
      <c r="AG8683" s="21">
        <v>0</v>
      </c>
      <c r="AH8683" s="21">
        <f t="shared" si="178"/>
        <v>96</v>
      </c>
      <c r="AI8683" s="21"/>
      <c r="AJ8683" s="21" t="s">
        <v>54</v>
      </c>
      <c r="AK8683" s="21" t="s">
        <v>52</v>
      </c>
      <c r="AL8683" s="21" t="s">
        <v>5424</v>
      </c>
      <c r="AM8683" s="21" t="s">
        <v>5425</v>
      </c>
      <c r="AN8683" s="21">
        <v>-122.42548245</v>
      </c>
      <c r="AO8683" s="21">
        <v>37.793641766666703</v>
      </c>
      <c r="AP8683" s="21" t="s">
        <v>541</v>
      </c>
    </row>
    <row r="8684" spans="1:42">
      <c r="A8684" s="22">
        <v>43868</v>
      </c>
      <c r="B8684" s="21">
        <v>5</v>
      </c>
      <c r="C8684" s="21">
        <v>226</v>
      </c>
      <c r="D8684" s="21"/>
      <c r="E8684" t="s">
        <v>112</v>
      </c>
      <c r="F8684" s="21" t="s">
        <v>104</v>
      </c>
      <c r="G8684" s="23">
        <v>4</v>
      </c>
      <c r="H8684" s="21">
        <v>51</v>
      </c>
      <c r="I8684" s="23" t="s">
        <v>5426</v>
      </c>
      <c r="J8684" s="21"/>
      <c r="K8684" s="21" t="s">
        <v>647</v>
      </c>
      <c r="L8684" s="21" t="s">
        <v>114</v>
      </c>
      <c r="M8684" s="21" t="s">
        <v>52</v>
      </c>
      <c r="N8684" s="21" t="s">
        <v>44</v>
      </c>
      <c r="O8684" s="21">
        <v>139</v>
      </c>
      <c r="P8684" s="21"/>
      <c r="Q8684" s="21">
        <f t="shared" si="177"/>
        <v>3</v>
      </c>
      <c r="R8684" s="21">
        <v>1</v>
      </c>
      <c r="S8684" s="21">
        <v>0</v>
      </c>
      <c r="T8684" s="21">
        <v>0</v>
      </c>
      <c r="U8684" s="21">
        <v>0</v>
      </c>
      <c r="V8684" s="21">
        <v>3</v>
      </c>
      <c r="W8684" s="21">
        <v>0</v>
      </c>
      <c r="X8684" s="21">
        <v>0</v>
      </c>
      <c r="Y8684" s="21">
        <v>0</v>
      </c>
      <c r="Z8684" s="21">
        <v>0</v>
      </c>
      <c r="AA8684" s="21">
        <v>0</v>
      </c>
      <c r="AB8684" s="21">
        <v>0</v>
      </c>
      <c r="AC8684" s="21">
        <v>0</v>
      </c>
      <c r="AD8684" s="21">
        <v>0</v>
      </c>
      <c r="AE8684" s="21">
        <v>0</v>
      </c>
      <c r="AF8684" s="21">
        <v>0</v>
      </c>
      <c r="AG8684" s="21">
        <v>0</v>
      </c>
      <c r="AH8684" s="21">
        <f t="shared" si="178"/>
        <v>192</v>
      </c>
      <c r="AI8684" s="21"/>
      <c r="AJ8684" s="21" t="s">
        <v>54</v>
      </c>
      <c r="AK8684" s="21" t="s">
        <v>52</v>
      </c>
      <c r="AL8684" s="21" t="s">
        <v>5427</v>
      </c>
      <c r="AM8684" s="21" t="s">
        <v>5428</v>
      </c>
      <c r="AN8684" s="21">
        <v>-122.42549408333301</v>
      </c>
      <c r="AO8684" s="21">
        <v>37.793648666666698</v>
      </c>
      <c r="AP8684" s="21" t="s">
        <v>541</v>
      </c>
    </row>
    <row r="8685" spans="1:42">
      <c r="A8685" s="22">
        <v>43868</v>
      </c>
      <c r="B8685" s="21">
        <v>5</v>
      </c>
      <c r="C8685" s="21">
        <v>226</v>
      </c>
      <c r="D8685" s="21"/>
      <c r="E8685" t="s">
        <v>112</v>
      </c>
      <c r="F8685" s="21" t="s">
        <v>104</v>
      </c>
      <c r="G8685" s="23">
        <v>4</v>
      </c>
      <c r="H8685" s="21">
        <v>52</v>
      </c>
      <c r="I8685" s="23" t="s">
        <v>5429</v>
      </c>
      <c r="J8685" s="21"/>
      <c r="K8685" s="21" t="s">
        <v>647</v>
      </c>
      <c r="L8685" s="21" t="s">
        <v>114</v>
      </c>
      <c r="M8685" s="21" t="s">
        <v>52</v>
      </c>
      <c r="N8685" s="21" t="s">
        <v>44</v>
      </c>
      <c r="O8685" s="21">
        <v>355</v>
      </c>
      <c r="P8685" s="21"/>
      <c r="Q8685" s="21">
        <f t="shared" si="177"/>
        <v>3</v>
      </c>
      <c r="R8685" s="21">
        <v>1</v>
      </c>
      <c r="S8685" s="21">
        <v>0</v>
      </c>
      <c r="T8685" s="21">
        <v>0</v>
      </c>
      <c r="U8685" s="21">
        <v>0</v>
      </c>
      <c r="V8685" s="21">
        <v>0</v>
      </c>
      <c r="W8685" s="21">
        <v>3</v>
      </c>
      <c r="X8685" s="21">
        <v>0</v>
      </c>
      <c r="Y8685" s="21">
        <v>0</v>
      </c>
      <c r="Z8685" s="21">
        <v>0</v>
      </c>
      <c r="AA8685" s="21">
        <v>0</v>
      </c>
      <c r="AB8685" s="21">
        <v>0</v>
      </c>
      <c r="AC8685" s="21">
        <v>0</v>
      </c>
      <c r="AD8685" s="21">
        <v>0</v>
      </c>
      <c r="AE8685" s="21">
        <v>0</v>
      </c>
      <c r="AF8685" s="21">
        <v>0</v>
      </c>
      <c r="AG8685" s="21">
        <v>0</v>
      </c>
      <c r="AH8685" s="21">
        <f t="shared" si="178"/>
        <v>288</v>
      </c>
      <c r="AI8685" s="21"/>
      <c r="AJ8685" s="21" t="s">
        <v>54</v>
      </c>
      <c r="AK8685" s="21" t="s">
        <v>52</v>
      </c>
      <c r="AL8685" s="21" t="s">
        <v>5430</v>
      </c>
      <c r="AM8685" s="21" t="s">
        <v>5431</v>
      </c>
      <c r="AN8685" s="21">
        <v>-122.426027766667</v>
      </c>
      <c r="AO8685" s="21">
        <v>37.7935730833333</v>
      </c>
      <c r="AP8685" s="21" t="s">
        <v>541</v>
      </c>
    </row>
    <row r="8686" spans="1:42">
      <c r="A8686" s="22">
        <v>43868</v>
      </c>
      <c r="B8686" s="21">
        <v>5</v>
      </c>
      <c r="C8686" s="21">
        <v>226</v>
      </c>
      <c r="D8686" s="21"/>
      <c r="E8686" t="s">
        <v>112</v>
      </c>
      <c r="F8686" s="21" t="s">
        <v>104</v>
      </c>
      <c r="G8686" s="23">
        <v>4</v>
      </c>
      <c r="H8686" s="21">
        <v>53</v>
      </c>
      <c r="I8686" s="23" t="s">
        <v>5432</v>
      </c>
      <c r="J8686" s="21"/>
      <c r="K8686" s="21" t="s">
        <v>647</v>
      </c>
      <c r="L8686" s="21" t="s">
        <v>141</v>
      </c>
      <c r="M8686" s="21" t="s">
        <v>52</v>
      </c>
      <c r="N8686" s="21" t="s">
        <v>44</v>
      </c>
      <c r="O8686" s="21">
        <v>48</v>
      </c>
      <c r="P8686" s="21"/>
      <c r="Q8686" s="21">
        <f t="shared" si="177"/>
        <v>2</v>
      </c>
      <c r="R8686" s="21">
        <v>1</v>
      </c>
      <c r="S8686" s="21">
        <v>0</v>
      </c>
      <c r="T8686" s="21">
        <v>0</v>
      </c>
      <c r="U8686" s="21">
        <v>0</v>
      </c>
      <c r="V8686" s="21">
        <v>0</v>
      </c>
      <c r="W8686" s="21">
        <v>2</v>
      </c>
      <c r="X8686" s="21">
        <v>0</v>
      </c>
      <c r="Y8686" s="21">
        <v>0</v>
      </c>
      <c r="Z8686" s="21">
        <v>0</v>
      </c>
      <c r="AA8686" s="21">
        <v>0</v>
      </c>
      <c r="AB8686" s="21">
        <v>0</v>
      </c>
      <c r="AC8686" s="21">
        <v>0</v>
      </c>
      <c r="AD8686" s="21">
        <v>0</v>
      </c>
      <c r="AE8686" s="21">
        <v>0</v>
      </c>
      <c r="AF8686" s="21">
        <v>0</v>
      </c>
      <c r="AG8686" s="21">
        <v>0</v>
      </c>
      <c r="AH8686" s="21">
        <f t="shared" si="178"/>
        <v>192</v>
      </c>
      <c r="AI8686" s="21"/>
      <c r="AJ8686" s="21" t="s">
        <v>54</v>
      </c>
      <c r="AK8686" s="21" t="s">
        <v>52</v>
      </c>
      <c r="AL8686" s="21" t="s">
        <v>589</v>
      </c>
      <c r="AM8686" s="21" t="s">
        <v>5433</v>
      </c>
      <c r="AN8686" s="21">
        <v>-122.42573214236</v>
      </c>
      <c r="AO8686" s="21">
        <v>37.787431496660901</v>
      </c>
      <c r="AP8686" s="21" t="s">
        <v>541</v>
      </c>
    </row>
    <row r="8687" spans="1:42">
      <c r="A8687" s="22">
        <v>43868</v>
      </c>
      <c r="B8687" s="21">
        <v>5</v>
      </c>
      <c r="C8687" s="21">
        <v>226</v>
      </c>
      <c r="D8687" s="21"/>
      <c r="E8687" t="s">
        <v>112</v>
      </c>
      <c r="F8687" s="21" t="s">
        <v>104</v>
      </c>
      <c r="G8687" s="23">
        <v>4</v>
      </c>
      <c r="H8687" s="21">
        <v>54</v>
      </c>
      <c r="I8687" s="23" t="s">
        <v>5434</v>
      </c>
      <c r="J8687" s="21"/>
      <c r="K8687" s="21" t="s">
        <v>516</v>
      </c>
      <c r="L8687" s="21" t="s">
        <v>114</v>
      </c>
      <c r="M8687" s="21" t="s">
        <v>52</v>
      </c>
      <c r="N8687" s="21" t="s">
        <v>44</v>
      </c>
      <c r="O8687" s="21">
        <v>215</v>
      </c>
      <c r="P8687" s="21"/>
      <c r="Q8687" s="21">
        <f t="shared" si="177"/>
        <v>1</v>
      </c>
      <c r="R8687" s="21">
        <v>1</v>
      </c>
      <c r="S8687" s="21">
        <v>0</v>
      </c>
      <c r="T8687" s="21">
        <v>0</v>
      </c>
      <c r="U8687" s="21">
        <v>0</v>
      </c>
      <c r="V8687" s="21">
        <v>0</v>
      </c>
      <c r="W8687" s="21">
        <v>1</v>
      </c>
      <c r="X8687" s="21">
        <v>0</v>
      </c>
      <c r="Y8687" s="21">
        <v>0</v>
      </c>
      <c r="Z8687" s="21">
        <v>0</v>
      </c>
      <c r="AA8687" s="21">
        <v>0</v>
      </c>
      <c r="AB8687" s="21">
        <v>0</v>
      </c>
      <c r="AC8687" s="21">
        <v>0</v>
      </c>
      <c r="AD8687" s="21">
        <v>0</v>
      </c>
      <c r="AE8687" s="21">
        <v>0</v>
      </c>
      <c r="AF8687" s="21">
        <v>0</v>
      </c>
      <c r="AG8687" s="21">
        <v>0</v>
      </c>
      <c r="AH8687" s="21">
        <f t="shared" si="178"/>
        <v>96</v>
      </c>
      <c r="AI8687" s="21"/>
      <c r="AJ8687" s="21" t="s">
        <v>54</v>
      </c>
      <c r="AK8687" s="21" t="s">
        <v>52</v>
      </c>
      <c r="AL8687" s="21" t="s">
        <v>5435</v>
      </c>
      <c r="AM8687" s="21" t="s">
        <v>5436</v>
      </c>
      <c r="AN8687" s="21">
        <v>-122.426230283333</v>
      </c>
      <c r="AO8687" s="21">
        <v>37.793421383333303</v>
      </c>
      <c r="AP8687" s="21" t="s">
        <v>541</v>
      </c>
    </row>
    <row r="8688" spans="1:42">
      <c r="A8688" s="22">
        <v>43868</v>
      </c>
      <c r="B8688" s="21">
        <v>5</v>
      </c>
      <c r="C8688" s="21">
        <v>226</v>
      </c>
      <c r="D8688" s="21"/>
      <c r="E8688" t="s">
        <v>112</v>
      </c>
      <c r="F8688" s="21" t="s">
        <v>104</v>
      </c>
      <c r="G8688" s="23">
        <v>4</v>
      </c>
      <c r="H8688" s="21">
        <v>55</v>
      </c>
      <c r="I8688" s="23" t="s">
        <v>5437</v>
      </c>
      <c r="J8688" s="21"/>
      <c r="K8688" s="21" t="s">
        <v>1000</v>
      </c>
      <c r="L8688" s="21" t="s">
        <v>114</v>
      </c>
      <c r="M8688" s="21" t="s">
        <v>52</v>
      </c>
      <c r="N8688" s="21" t="s">
        <v>44</v>
      </c>
      <c r="O8688" s="21">
        <v>48</v>
      </c>
      <c r="P8688" s="21"/>
      <c r="Q8688" s="21">
        <f t="shared" si="177"/>
        <v>2</v>
      </c>
      <c r="R8688" s="21">
        <v>1</v>
      </c>
      <c r="S8688" s="21">
        <v>0</v>
      </c>
      <c r="T8688" s="21">
        <v>0</v>
      </c>
      <c r="U8688" s="21">
        <v>0</v>
      </c>
      <c r="V8688" s="21">
        <v>0</v>
      </c>
      <c r="W8688" s="21">
        <v>2</v>
      </c>
      <c r="X8688" s="21">
        <v>0</v>
      </c>
      <c r="Y8688" s="21">
        <v>0</v>
      </c>
      <c r="Z8688" s="21">
        <v>0</v>
      </c>
      <c r="AA8688" s="21">
        <v>0</v>
      </c>
      <c r="AB8688" s="21">
        <v>0</v>
      </c>
      <c r="AC8688" s="21">
        <v>0</v>
      </c>
      <c r="AD8688" s="21">
        <v>0</v>
      </c>
      <c r="AE8688" s="21">
        <v>0</v>
      </c>
      <c r="AF8688" s="21">
        <v>0</v>
      </c>
      <c r="AG8688" s="21">
        <v>0</v>
      </c>
      <c r="AH8688" s="21">
        <f t="shared" si="178"/>
        <v>192</v>
      </c>
      <c r="AI8688" s="21"/>
      <c r="AJ8688" s="21" t="s">
        <v>54</v>
      </c>
      <c r="AK8688" s="21" t="s">
        <v>52</v>
      </c>
      <c r="AL8688" s="21" t="s">
        <v>5333</v>
      </c>
      <c r="AM8688" s="21" t="s">
        <v>5438</v>
      </c>
      <c r="AN8688" s="21">
        <v>-122.42638581666699</v>
      </c>
      <c r="AO8688" s="21">
        <v>37.792655000000003</v>
      </c>
      <c r="AP8688" s="21" t="s">
        <v>541</v>
      </c>
    </row>
    <row r="8689" spans="1:42">
      <c r="A8689" s="22">
        <v>43868</v>
      </c>
      <c r="B8689" s="21">
        <v>5</v>
      </c>
      <c r="C8689" s="21">
        <v>226</v>
      </c>
      <c r="D8689" s="21"/>
      <c r="E8689" t="s">
        <v>112</v>
      </c>
      <c r="F8689" s="21" t="s">
        <v>104</v>
      </c>
      <c r="G8689" s="23">
        <v>4</v>
      </c>
      <c r="H8689" s="21">
        <v>56</v>
      </c>
      <c r="I8689" s="23" t="s">
        <v>5195</v>
      </c>
      <c r="J8689" s="21"/>
      <c r="K8689" s="21" t="s">
        <v>1000</v>
      </c>
      <c r="L8689" s="21" t="s">
        <v>114</v>
      </c>
      <c r="M8689" s="21" t="s">
        <v>52</v>
      </c>
      <c r="N8689" s="21" t="s">
        <v>44</v>
      </c>
      <c r="O8689" s="21">
        <v>117</v>
      </c>
      <c r="P8689" s="21"/>
      <c r="Q8689" s="21">
        <f t="shared" si="177"/>
        <v>1</v>
      </c>
      <c r="R8689" s="21">
        <v>1</v>
      </c>
      <c r="S8689" s="21">
        <v>0</v>
      </c>
      <c r="T8689" s="21">
        <v>0</v>
      </c>
      <c r="U8689" s="21">
        <v>0</v>
      </c>
      <c r="V8689" s="21">
        <v>0</v>
      </c>
      <c r="W8689" s="21">
        <v>1</v>
      </c>
      <c r="X8689" s="21">
        <v>0</v>
      </c>
      <c r="Y8689" s="21">
        <v>0</v>
      </c>
      <c r="Z8689" s="21">
        <v>0</v>
      </c>
      <c r="AA8689" s="21">
        <v>0</v>
      </c>
      <c r="AB8689" s="21">
        <v>0</v>
      </c>
      <c r="AC8689" s="21">
        <v>0</v>
      </c>
      <c r="AD8689" s="21">
        <v>0</v>
      </c>
      <c r="AE8689" s="21">
        <v>0</v>
      </c>
      <c r="AF8689" s="21">
        <v>0</v>
      </c>
      <c r="AG8689" s="21">
        <v>0</v>
      </c>
      <c r="AH8689" s="21">
        <f t="shared" si="178"/>
        <v>96</v>
      </c>
      <c r="AI8689" s="21"/>
      <c r="AJ8689" s="21" t="s">
        <v>54</v>
      </c>
      <c r="AK8689" s="21" t="s">
        <v>52</v>
      </c>
      <c r="AL8689" s="21" t="s">
        <v>5333</v>
      </c>
      <c r="AM8689" s="21" t="s">
        <v>5439</v>
      </c>
      <c r="AN8689" s="21">
        <v>-122.42544176666701</v>
      </c>
      <c r="AO8689" s="21">
        <v>37.7924917666667</v>
      </c>
      <c r="AP8689" s="21" t="s">
        <v>541</v>
      </c>
    </row>
    <row r="8690" spans="1:42">
      <c r="A8690" s="22">
        <v>43868</v>
      </c>
      <c r="B8690" s="21">
        <v>5</v>
      </c>
      <c r="C8690" s="21">
        <v>226</v>
      </c>
      <c r="D8690" s="21"/>
      <c r="E8690" t="s">
        <v>112</v>
      </c>
      <c r="F8690" s="21" t="s">
        <v>104</v>
      </c>
      <c r="G8690" s="23">
        <v>4</v>
      </c>
      <c r="H8690" s="21">
        <v>58</v>
      </c>
      <c r="I8690" s="23" t="s">
        <v>2791</v>
      </c>
      <c r="J8690" s="21"/>
      <c r="K8690" s="21" t="s">
        <v>516</v>
      </c>
      <c r="L8690" s="21" t="s">
        <v>114</v>
      </c>
      <c r="M8690" s="21" t="s">
        <v>52</v>
      </c>
      <c r="N8690" s="21" t="s">
        <v>44</v>
      </c>
      <c r="O8690" s="21">
        <v>138</v>
      </c>
      <c r="P8690" s="21"/>
      <c r="Q8690" s="21">
        <f t="shared" si="177"/>
        <v>1</v>
      </c>
      <c r="R8690" s="21">
        <v>1</v>
      </c>
      <c r="S8690" s="21">
        <v>0</v>
      </c>
      <c r="T8690" s="21">
        <v>0</v>
      </c>
      <c r="U8690" s="21">
        <v>0</v>
      </c>
      <c r="V8690" s="21">
        <v>0</v>
      </c>
      <c r="W8690" s="21">
        <v>1</v>
      </c>
      <c r="X8690" s="21">
        <v>0</v>
      </c>
      <c r="Y8690" s="21">
        <v>0</v>
      </c>
      <c r="Z8690" s="21">
        <v>0</v>
      </c>
      <c r="AA8690" s="21">
        <v>0</v>
      </c>
      <c r="AB8690" s="21">
        <v>0</v>
      </c>
      <c r="AC8690" s="21">
        <v>0</v>
      </c>
      <c r="AD8690" s="21">
        <v>0</v>
      </c>
      <c r="AE8690" s="21">
        <v>0</v>
      </c>
      <c r="AF8690" s="21">
        <v>0</v>
      </c>
      <c r="AG8690" s="21">
        <v>0</v>
      </c>
      <c r="AH8690" s="21">
        <f t="shared" si="178"/>
        <v>96</v>
      </c>
      <c r="AI8690" s="21"/>
      <c r="AJ8690" s="21" t="s">
        <v>54</v>
      </c>
      <c r="AK8690" s="21" t="s">
        <v>52</v>
      </c>
      <c r="AL8690" s="21" t="s">
        <v>5403</v>
      </c>
      <c r="AM8690" s="21" t="s">
        <v>5440</v>
      </c>
      <c r="AN8690" s="21">
        <v>-122.42484716666701</v>
      </c>
      <c r="AO8690" s="21">
        <v>37.7928693666667</v>
      </c>
      <c r="AP8690" s="21" t="s">
        <v>541</v>
      </c>
    </row>
    <row r="8691" spans="1:42">
      <c r="A8691" s="22">
        <v>43868</v>
      </c>
      <c r="B8691" s="21">
        <v>5</v>
      </c>
      <c r="C8691" s="21">
        <v>226</v>
      </c>
      <c r="D8691" s="21"/>
      <c r="E8691" t="s">
        <v>112</v>
      </c>
      <c r="F8691" s="21" t="s">
        <v>104</v>
      </c>
      <c r="G8691" s="23">
        <v>4</v>
      </c>
      <c r="H8691" s="21">
        <v>59</v>
      </c>
      <c r="I8691" s="23" t="s">
        <v>5441</v>
      </c>
      <c r="J8691" s="21"/>
      <c r="K8691" s="21" t="s">
        <v>516</v>
      </c>
      <c r="L8691" s="21" t="s">
        <v>141</v>
      </c>
      <c r="M8691" s="21" t="s">
        <v>52</v>
      </c>
      <c r="N8691" s="21" t="s">
        <v>44</v>
      </c>
      <c r="O8691" s="21">
        <v>130</v>
      </c>
      <c r="P8691" s="21"/>
      <c r="Q8691" s="21">
        <f t="shared" si="177"/>
        <v>2</v>
      </c>
      <c r="R8691" s="21">
        <v>1</v>
      </c>
      <c r="S8691" s="21">
        <v>0</v>
      </c>
      <c r="T8691" s="21">
        <v>0</v>
      </c>
      <c r="U8691" s="21">
        <v>1</v>
      </c>
      <c r="V8691" s="21">
        <v>0</v>
      </c>
      <c r="W8691" s="21">
        <v>1</v>
      </c>
      <c r="X8691" s="21">
        <v>0</v>
      </c>
      <c r="Y8691" s="21">
        <v>0</v>
      </c>
      <c r="Z8691" s="21">
        <v>0</v>
      </c>
      <c r="AA8691" s="21">
        <v>0</v>
      </c>
      <c r="AB8691" s="21">
        <v>0</v>
      </c>
      <c r="AC8691" s="21">
        <v>0</v>
      </c>
      <c r="AD8691" s="21">
        <v>0</v>
      </c>
      <c r="AE8691" s="21">
        <v>0</v>
      </c>
      <c r="AF8691" s="21">
        <v>0</v>
      </c>
      <c r="AG8691" s="21">
        <v>0</v>
      </c>
      <c r="AH8691" s="21">
        <f t="shared" si="178"/>
        <v>128</v>
      </c>
      <c r="AI8691" s="21"/>
      <c r="AJ8691" s="21" t="s">
        <v>54</v>
      </c>
      <c r="AK8691" s="21" t="s">
        <v>52</v>
      </c>
      <c r="AL8691" s="21" t="s">
        <v>589</v>
      </c>
      <c r="AM8691" s="21" t="s">
        <v>5442</v>
      </c>
      <c r="AN8691" s="21">
        <v>-122.42424698333301</v>
      </c>
      <c r="AO8691" s="21">
        <v>37.7928979666667</v>
      </c>
      <c r="AP8691" s="21" t="s">
        <v>541</v>
      </c>
    </row>
    <row r="8692" spans="1:42">
      <c r="A8692" s="22">
        <v>43868</v>
      </c>
      <c r="B8692" s="21">
        <v>5</v>
      </c>
      <c r="C8692" s="21">
        <v>226</v>
      </c>
      <c r="D8692" s="21"/>
      <c r="E8692" t="s">
        <v>112</v>
      </c>
      <c r="F8692" s="21" t="s">
        <v>104</v>
      </c>
      <c r="G8692" s="23">
        <v>4</v>
      </c>
      <c r="H8692" s="21">
        <v>60</v>
      </c>
      <c r="I8692" s="23" t="s">
        <v>2791</v>
      </c>
      <c r="J8692" s="21"/>
      <c r="K8692" s="21" t="s">
        <v>1000</v>
      </c>
      <c r="L8692" s="21" t="s">
        <v>114</v>
      </c>
      <c r="M8692" s="21" t="s">
        <v>95</v>
      </c>
      <c r="N8692" s="21" t="s">
        <v>44</v>
      </c>
      <c r="O8692" s="21">
        <v>259</v>
      </c>
      <c r="P8692" s="21"/>
      <c r="Q8692" s="21">
        <f t="shared" si="177"/>
        <v>2</v>
      </c>
      <c r="R8692" s="21">
        <v>1</v>
      </c>
      <c r="S8692" s="21">
        <v>0</v>
      </c>
      <c r="T8692" s="21">
        <v>0</v>
      </c>
      <c r="U8692" s="21">
        <v>0</v>
      </c>
      <c r="V8692" s="21">
        <v>0</v>
      </c>
      <c r="W8692" s="21">
        <v>2</v>
      </c>
      <c r="X8692" s="21">
        <v>0</v>
      </c>
      <c r="Y8692" s="21">
        <v>0</v>
      </c>
      <c r="Z8692" s="21">
        <v>0</v>
      </c>
      <c r="AA8692" s="21">
        <v>0</v>
      </c>
      <c r="AB8692" s="21">
        <v>0</v>
      </c>
      <c r="AC8692" s="21">
        <v>0</v>
      </c>
      <c r="AD8692" s="21">
        <v>0</v>
      </c>
      <c r="AE8692" s="21">
        <v>0</v>
      </c>
      <c r="AF8692" s="21">
        <v>0</v>
      </c>
      <c r="AG8692" s="21">
        <v>0</v>
      </c>
      <c r="AH8692" s="21">
        <f t="shared" si="178"/>
        <v>192</v>
      </c>
      <c r="AI8692" s="21"/>
      <c r="AJ8692" s="21" t="s">
        <v>54</v>
      </c>
      <c r="AK8692" s="21" t="s">
        <v>52</v>
      </c>
      <c r="AL8692" s="21" t="s">
        <v>5443</v>
      </c>
      <c r="AM8692" s="21" t="s">
        <v>5444</v>
      </c>
      <c r="AN8692" s="21">
        <v>-122.426090317969</v>
      </c>
      <c r="AO8692" s="21">
        <v>37.790598387722603</v>
      </c>
      <c r="AP8692" s="21" t="s">
        <v>541</v>
      </c>
    </row>
    <row r="8693" spans="1:42">
      <c r="A8693" s="22">
        <v>43868</v>
      </c>
      <c r="B8693" s="21">
        <v>5</v>
      </c>
      <c r="C8693" s="21">
        <v>226</v>
      </c>
      <c r="D8693" s="21"/>
      <c r="E8693" t="s">
        <v>112</v>
      </c>
      <c r="F8693" s="21" t="s">
        <v>104</v>
      </c>
      <c r="G8693" s="23">
        <v>4</v>
      </c>
      <c r="H8693" s="21">
        <v>61</v>
      </c>
      <c r="I8693" s="23" t="s">
        <v>5445</v>
      </c>
      <c r="J8693" s="21"/>
      <c r="K8693" s="21" t="s">
        <v>516</v>
      </c>
      <c r="L8693" s="21" t="s">
        <v>141</v>
      </c>
      <c r="M8693" s="21" t="s">
        <v>52</v>
      </c>
      <c r="N8693" s="21" t="s">
        <v>44</v>
      </c>
      <c r="O8693" s="21">
        <v>55</v>
      </c>
      <c r="P8693" s="21"/>
      <c r="Q8693" s="21">
        <f t="shared" si="177"/>
        <v>2</v>
      </c>
      <c r="R8693" s="21">
        <v>1</v>
      </c>
      <c r="S8693" s="21">
        <v>0</v>
      </c>
      <c r="T8693" s="21">
        <v>0</v>
      </c>
      <c r="U8693" s="21">
        <v>0</v>
      </c>
      <c r="V8693" s="21">
        <v>2</v>
      </c>
      <c r="W8693" s="21">
        <v>0</v>
      </c>
      <c r="X8693" s="21">
        <v>0</v>
      </c>
      <c r="Y8693" s="21">
        <v>0</v>
      </c>
      <c r="Z8693" s="21">
        <v>0</v>
      </c>
      <c r="AA8693" s="21">
        <v>0</v>
      </c>
      <c r="AB8693" s="21">
        <v>0</v>
      </c>
      <c r="AC8693" s="21">
        <v>0</v>
      </c>
      <c r="AD8693" s="21">
        <v>0</v>
      </c>
      <c r="AE8693" s="21">
        <v>0</v>
      </c>
      <c r="AF8693" s="21">
        <v>0</v>
      </c>
      <c r="AG8693" s="21">
        <v>0</v>
      </c>
      <c r="AH8693" s="21">
        <f t="shared" si="178"/>
        <v>128</v>
      </c>
      <c r="AI8693" s="21"/>
      <c r="AJ8693" s="21" t="s">
        <v>54</v>
      </c>
      <c r="AK8693" s="21" t="s">
        <v>52</v>
      </c>
      <c r="AL8693" s="21" t="s">
        <v>5403</v>
      </c>
      <c r="AM8693" s="21" t="s">
        <v>5446</v>
      </c>
      <c r="AN8693" s="21">
        <v>-122.42738421223901</v>
      </c>
      <c r="AO8693" s="21">
        <v>37.795878791721201</v>
      </c>
      <c r="AP8693" s="21" t="s">
        <v>541</v>
      </c>
    </row>
    <row r="8694" spans="1:42">
      <c r="A8694" s="22">
        <v>43868</v>
      </c>
      <c r="B8694" s="21">
        <v>5</v>
      </c>
      <c r="C8694" s="21">
        <v>226</v>
      </c>
      <c r="D8694" s="21"/>
      <c r="E8694" t="s">
        <v>112</v>
      </c>
      <c r="F8694" s="21" t="s">
        <v>104</v>
      </c>
      <c r="G8694" s="23">
        <v>4</v>
      </c>
      <c r="H8694" s="21">
        <v>62</v>
      </c>
      <c r="I8694" s="23" t="s">
        <v>5375</v>
      </c>
      <c r="J8694" s="21"/>
      <c r="K8694" s="21" t="s">
        <v>68</v>
      </c>
      <c r="L8694" s="21" t="s">
        <v>114</v>
      </c>
      <c r="M8694" s="21" t="s">
        <v>52</v>
      </c>
      <c r="N8694" s="21" t="s">
        <v>44</v>
      </c>
      <c r="O8694" s="21">
        <v>68</v>
      </c>
      <c r="P8694" s="21"/>
      <c r="Q8694" s="21">
        <f t="shared" si="177"/>
        <v>1</v>
      </c>
      <c r="R8694" s="21">
        <v>1</v>
      </c>
      <c r="S8694" s="21">
        <v>0</v>
      </c>
      <c r="T8694" s="21">
        <v>0</v>
      </c>
      <c r="U8694" s="21">
        <v>0</v>
      </c>
      <c r="V8694" s="21">
        <v>0</v>
      </c>
      <c r="W8694" s="21">
        <v>1</v>
      </c>
      <c r="X8694" s="21">
        <v>0</v>
      </c>
      <c r="Y8694" s="21">
        <v>0</v>
      </c>
      <c r="Z8694" s="21">
        <v>0</v>
      </c>
      <c r="AA8694" s="21">
        <v>0</v>
      </c>
      <c r="AB8694" s="21">
        <v>0</v>
      </c>
      <c r="AC8694" s="21">
        <v>0</v>
      </c>
      <c r="AD8694" s="21">
        <v>0</v>
      </c>
      <c r="AE8694" s="21">
        <v>0</v>
      </c>
      <c r="AF8694" s="21">
        <v>0</v>
      </c>
      <c r="AG8694" s="21">
        <v>0</v>
      </c>
      <c r="AH8694" s="21">
        <f t="shared" si="178"/>
        <v>96</v>
      </c>
      <c r="AI8694" s="21"/>
      <c r="AJ8694" s="21" t="s">
        <v>54</v>
      </c>
      <c r="AK8694" s="21" t="s">
        <v>52</v>
      </c>
      <c r="AL8694" s="21" t="s">
        <v>5333</v>
      </c>
      <c r="AM8694" s="21" t="s">
        <v>5447</v>
      </c>
      <c r="AN8694" s="21">
        <v>-122.423757983333</v>
      </c>
      <c r="AO8694" s="21">
        <v>37.792150416666601</v>
      </c>
      <c r="AP8694" s="21" t="s">
        <v>541</v>
      </c>
    </row>
    <row r="8695" spans="1:42">
      <c r="A8695" s="22">
        <v>43868</v>
      </c>
      <c r="B8695" s="21">
        <v>5</v>
      </c>
      <c r="C8695" s="21">
        <v>226</v>
      </c>
      <c r="D8695" s="21"/>
      <c r="E8695" t="s">
        <v>112</v>
      </c>
      <c r="F8695" s="21" t="s">
        <v>104</v>
      </c>
      <c r="G8695" s="23">
        <v>4</v>
      </c>
      <c r="H8695" s="21">
        <v>64</v>
      </c>
      <c r="I8695" s="23" t="s">
        <v>3926</v>
      </c>
      <c r="J8695" s="21"/>
      <c r="K8695" s="21" t="s">
        <v>68</v>
      </c>
      <c r="L8695" s="21" t="s">
        <v>114</v>
      </c>
      <c r="M8695" s="21" t="s">
        <v>52</v>
      </c>
      <c r="N8695" s="21" t="s">
        <v>44</v>
      </c>
      <c r="O8695" s="21">
        <v>110</v>
      </c>
      <c r="P8695" s="21"/>
      <c r="Q8695" s="21">
        <f t="shared" si="177"/>
        <v>1</v>
      </c>
      <c r="R8695" s="21">
        <v>1</v>
      </c>
      <c r="S8695" s="21">
        <v>0</v>
      </c>
      <c r="T8695" s="21">
        <v>0</v>
      </c>
      <c r="U8695" s="21">
        <v>0</v>
      </c>
      <c r="V8695" s="21">
        <v>0</v>
      </c>
      <c r="W8695" s="21">
        <v>1</v>
      </c>
      <c r="X8695" s="21">
        <v>0</v>
      </c>
      <c r="Y8695" s="21">
        <v>0</v>
      </c>
      <c r="Z8695" s="21">
        <v>0</v>
      </c>
      <c r="AA8695" s="21">
        <v>0</v>
      </c>
      <c r="AB8695" s="21">
        <v>0</v>
      </c>
      <c r="AC8695" s="21">
        <v>0</v>
      </c>
      <c r="AD8695" s="21">
        <v>0</v>
      </c>
      <c r="AE8695" s="21">
        <v>0</v>
      </c>
      <c r="AF8695" s="21">
        <v>0</v>
      </c>
      <c r="AG8695" s="21">
        <v>0</v>
      </c>
      <c r="AH8695" s="21">
        <f t="shared" si="178"/>
        <v>96</v>
      </c>
      <c r="AI8695" s="21"/>
      <c r="AJ8695" s="21" t="s">
        <v>54</v>
      </c>
      <c r="AK8695" s="21" t="s">
        <v>52</v>
      </c>
      <c r="AL8695" s="21" t="s">
        <v>5448</v>
      </c>
      <c r="AM8695" s="21" t="s">
        <v>5449</v>
      </c>
      <c r="AN8695" s="21">
        <v>-122.423698516667</v>
      </c>
      <c r="AO8695" s="21">
        <v>37.7922373166667</v>
      </c>
      <c r="AP8695" s="21" t="s">
        <v>541</v>
      </c>
    </row>
    <row r="8696" spans="1:42">
      <c r="A8696" s="22">
        <v>43868</v>
      </c>
      <c r="B8696" s="21">
        <v>5</v>
      </c>
      <c r="C8696" s="21">
        <v>226</v>
      </c>
      <c r="D8696" s="21"/>
      <c r="E8696" t="s">
        <v>112</v>
      </c>
      <c r="F8696" s="21" t="s">
        <v>104</v>
      </c>
      <c r="G8696" s="23">
        <v>4</v>
      </c>
      <c r="H8696" s="21">
        <v>66</v>
      </c>
      <c r="I8696" s="23" t="s">
        <v>5450</v>
      </c>
      <c r="J8696" s="21"/>
      <c r="K8696" s="21" t="s">
        <v>68</v>
      </c>
      <c r="L8696" s="21" t="s">
        <v>114</v>
      </c>
      <c r="M8696" s="21" t="s">
        <v>52</v>
      </c>
      <c r="N8696" s="21" t="s">
        <v>44</v>
      </c>
      <c r="O8696" s="21">
        <v>140</v>
      </c>
      <c r="P8696" s="21"/>
      <c r="Q8696" s="21">
        <f t="shared" si="177"/>
        <v>1</v>
      </c>
      <c r="R8696" s="21">
        <v>1</v>
      </c>
      <c r="S8696" s="21">
        <v>0</v>
      </c>
      <c r="T8696" s="21">
        <v>0</v>
      </c>
      <c r="U8696" s="21">
        <v>0</v>
      </c>
      <c r="V8696" s="21">
        <v>0</v>
      </c>
      <c r="W8696" s="21">
        <v>1</v>
      </c>
      <c r="X8696" s="21">
        <v>0</v>
      </c>
      <c r="Y8696" s="21">
        <v>0</v>
      </c>
      <c r="Z8696" s="21">
        <v>0</v>
      </c>
      <c r="AA8696" s="21">
        <v>0</v>
      </c>
      <c r="AB8696" s="21">
        <v>0</v>
      </c>
      <c r="AC8696" s="21">
        <v>0</v>
      </c>
      <c r="AD8696" s="21">
        <v>0</v>
      </c>
      <c r="AE8696" s="21">
        <v>0</v>
      </c>
      <c r="AF8696" s="21">
        <v>0</v>
      </c>
      <c r="AG8696" s="21">
        <v>0</v>
      </c>
      <c r="AH8696" s="21">
        <f t="shared" si="178"/>
        <v>96</v>
      </c>
      <c r="AI8696" s="21"/>
      <c r="AJ8696" s="21" t="s">
        <v>54</v>
      </c>
      <c r="AK8696" s="21" t="s">
        <v>52</v>
      </c>
      <c r="AL8696" s="21" t="s">
        <v>5451</v>
      </c>
      <c r="AM8696" s="21" t="s">
        <v>5452</v>
      </c>
      <c r="AN8696" s="21">
        <v>-122.42523060000001</v>
      </c>
      <c r="AO8696" s="21">
        <v>37.7917526833333</v>
      </c>
      <c r="AP8696" s="21" t="s">
        <v>541</v>
      </c>
    </row>
    <row r="8697" spans="1:42">
      <c r="A8697" s="22">
        <v>43868</v>
      </c>
      <c r="B8697" s="21">
        <v>5</v>
      </c>
      <c r="C8697" s="21">
        <v>226</v>
      </c>
      <c r="D8697" s="21"/>
      <c r="E8697" t="s">
        <v>112</v>
      </c>
      <c r="F8697" s="21" t="s">
        <v>104</v>
      </c>
      <c r="G8697" s="23">
        <v>4</v>
      </c>
      <c r="H8697" s="21">
        <v>68</v>
      </c>
      <c r="I8697" s="23" t="s">
        <v>5453</v>
      </c>
      <c r="J8697" s="21"/>
      <c r="K8697" s="21" t="s">
        <v>1000</v>
      </c>
      <c r="L8697" s="21" t="s">
        <v>114</v>
      </c>
      <c r="M8697" s="21" t="s">
        <v>52</v>
      </c>
      <c r="N8697" s="21" t="s">
        <v>44</v>
      </c>
      <c r="O8697" s="21">
        <v>292</v>
      </c>
      <c r="P8697" s="21"/>
      <c r="Q8697" s="21">
        <f t="shared" si="177"/>
        <v>2</v>
      </c>
      <c r="R8697" s="21">
        <v>1</v>
      </c>
      <c r="S8697" s="21">
        <v>0</v>
      </c>
      <c r="T8697" s="21">
        <v>0</v>
      </c>
      <c r="U8697" s="21">
        <v>0</v>
      </c>
      <c r="V8697" s="21">
        <v>0</v>
      </c>
      <c r="W8697" s="21">
        <v>2</v>
      </c>
      <c r="X8697" s="21">
        <v>0</v>
      </c>
      <c r="Y8697" s="21">
        <v>0</v>
      </c>
      <c r="Z8697" s="21">
        <v>0</v>
      </c>
      <c r="AA8697" s="21">
        <v>0</v>
      </c>
      <c r="AB8697" s="21">
        <v>0</v>
      </c>
      <c r="AC8697" s="21">
        <v>0</v>
      </c>
      <c r="AD8697" s="21">
        <v>0</v>
      </c>
      <c r="AE8697" s="21">
        <v>0</v>
      </c>
      <c r="AF8697" s="21">
        <v>0</v>
      </c>
      <c r="AG8697" s="21">
        <v>0</v>
      </c>
      <c r="AH8697" s="21">
        <f t="shared" si="178"/>
        <v>192</v>
      </c>
      <c r="AI8697" s="21"/>
      <c r="AJ8697" s="21"/>
      <c r="AK8697" s="21"/>
      <c r="AL8697" s="21"/>
      <c r="AM8697" s="21" t="s">
        <v>5454</v>
      </c>
      <c r="AN8697" s="21">
        <v>-122.42632330505199</v>
      </c>
      <c r="AO8697" s="21">
        <v>37.792551202264001</v>
      </c>
      <c r="AP8697" s="21" t="s">
        <v>541</v>
      </c>
    </row>
    <row r="8698" spans="1:42">
      <c r="A8698" s="22">
        <v>43868</v>
      </c>
      <c r="B8698" s="21">
        <v>5</v>
      </c>
      <c r="C8698" s="21">
        <v>226</v>
      </c>
      <c r="D8698" s="21"/>
      <c r="E8698" t="s">
        <v>112</v>
      </c>
      <c r="F8698" s="21" t="s">
        <v>104</v>
      </c>
      <c r="G8698" s="23">
        <v>4</v>
      </c>
      <c r="H8698" s="21">
        <v>69</v>
      </c>
      <c r="I8698" s="23" t="s">
        <v>5455</v>
      </c>
      <c r="J8698" s="21"/>
      <c r="K8698" t="s">
        <v>605</v>
      </c>
      <c r="L8698" s="21" t="s">
        <v>114</v>
      </c>
      <c r="M8698" s="21" t="s">
        <v>52</v>
      </c>
      <c r="N8698" s="21" t="s">
        <v>44</v>
      </c>
      <c r="O8698" s="21">
        <v>72</v>
      </c>
      <c r="P8698" s="21"/>
      <c r="Q8698" s="21">
        <f t="shared" si="177"/>
        <v>1</v>
      </c>
      <c r="R8698" s="21">
        <v>1</v>
      </c>
      <c r="S8698" s="21">
        <v>0</v>
      </c>
      <c r="T8698" s="21">
        <v>0</v>
      </c>
      <c r="U8698" s="21">
        <v>0</v>
      </c>
      <c r="V8698" s="21">
        <v>0</v>
      </c>
      <c r="W8698" s="21">
        <v>1</v>
      </c>
      <c r="X8698" s="21">
        <v>0</v>
      </c>
      <c r="Y8698" s="21">
        <v>0</v>
      </c>
      <c r="Z8698" s="21">
        <v>0</v>
      </c>
      <c r="AA8698" s="21">
        <v>0</v>
      </c>
      <c r="AB8698" s="21">
        <v>0</v>
      </c>
      <c r="AC8698" s="21">
        <v>0</v>
      </c>
      <c r="AD8698" s="21">
        <v>0</v>
      </c>
      <c r="AE8698" s="21">
        <v>0</v>
      </c>
      <c r="AF8698" s="21">
        <v>0</v>
      </c>
      <c r="AG8698" s="21">
        <v>0</v>
      </c>
      <c r="AH8698" s="21">
        <f t="shared" si="178"/>
        <v>96</v>
      </c>
      <c r="AI8698" s="21"/>
      <c r="AJ8698" s="21" t="s">
        <v>54</v>
      </c>
      <c r="AK8698" s="21" t="s">
        <v>52</v>
      </c>
      <c r="AL8698" s="21" t="s">
        <v>5456</v>
      </c>
      <c r="AM8698" s="21" t="s">
        <v>5457</v>
      </c>
      <c r="AN8698" s="21">
        <v>-122.426676316667</v>
      </c>
      <c r="AO8698" s="21">
        <v>37.794646450000002</v>
      </c>
      <c r="AP8698" s="21" t="s">
        <v>541</v>
      </c>
    </row>
    <row r="8699" spans="1:42">
      <c r="A8699" s="22">
        <v>43868</v>
      </c>
      <c r="B8699" s="21">
        <v>5</v>
      </c>
      <c r="C8699" s="21">
        <v>226</v>
      </c>
      <c r="D8699" s="21"/>
      <c r="E8699" t="s">
        <v>112</v>
      </c>
      <c r="F8699" s="21" t="s">
        <v>104</v>
      </c>
      <c r="G8699" s="23">
        <v>4</v>
      </c>
      <c r="H8699" s="21">
        <v>71</v>
      </c>
      <c r="I8699" s="23" t="s">
        <v>5458</v>
      </c>
      <c r="J8699" s="21"/>
      <c r="K8699" s="21" t="s">
        <v>415</v>
      </c>
      <c r="L8699" s="21" t="s">
        <v>141</v>
      </c>
      <c r="M8699" s="21" t="s">
        <v>52</v>
      </c>
      <c r="N8699" s="21" t="s">
        <v>40</v>
      </c>
      <c r="O8699" s="21">
        <v>38</v>
      </c>
      <c r="P8699" s="21"/>
      <c r="Q8699" s="21">
        <f t="shared" si="177"/>
        <v>2</v>
      </c>
      <c r="R8699" s="21">
        <v>1</v>
      </c>
      <c r="S8699" s="21">
        <v>0</v>
      </c>
      <c r="T8699" s="21">
        <v>0</v>
      </c>
      <c r="U8699" s="21">
        <v>0</v>
      </c>
      <c r="V8699" s="21">
        <v>2</v>
      </c>
      <c r="W8699" s="21">
        <v>0</v>
      </c>
      <c r="X8699" s="21">
        <v>0</v>
      </c>
      <c r="Y8699" s="21">
        <v>0</v>
      </c>
      <c r="Z8699" s="21">
        <v>0</v>
      </c>
      <c r="AA8699" s="21">
        <v>0</v>
      </c>
      <c r="AB8699" s="21">
        <v>0</v>
      </c>
      <c r="AC8699" s="21">
        <v>0</v>
      </c>
      <c r="AD8699" s="21">
        <v>0</v>
      </c>
      <c r="AE8699" s="21">
        <v>0</v>
      </c>
      <c r="AF8699" s="21">
        <v>0</v>
      </c>
      <c r="AG8699" s="21">
        <v>0</v>
      </c>
      <c r="AH8699" s="21">
        <f t="shared" si="178"/>
        <v>128</v>
      </c>
      <c r="AI8699" s="21"/>
      <c r="AJ8699" s="21" t="s">
        <v>54</v>
      </c>
      <c r="AK8699" s="21" t="s">
        <v>52</v>
      </c>
      <c r="AL8699" s="21"/>
      <c r="AM8699" s="21" t="s">
        <v>5459</v>
      </c>
      <c r="AN8699" s="21">
        <v>-122.423347816667</v>
      </c>
      <c r="AO8699" s="21">
        <v>37.795252783333297</v>
      </c>
      <c r="AP8699" s="21" t="s">
        <v>541</v>
      </c>
    </row>
    <row r="8700" spans="1:42">
      <c r="A8700" s="22">
        <v>43868</v>
      </c>
      <c r="B8700" s="21">
        <v>5</v>
      </c>
      <c r="C8700" s="21">
        <v>226</v>
      </c>
      <c r="D8700" s="21"/>
      <c r="E8700" t="s">
        <v>112</v>
      </c>
      <c r="F8700" s="21" t="s">
        <v>104</v>
      </c>
      <c r="G8700" s="23">
        <v>4</v>
      </c>
      <c r="H8700" s="21">
        <v>75</v>
      </c>
      <c r="I8700" s="23" t="s">
        <v>3407</v>
      </c>
      <c r="J8700" s="21"/>
      <c r="K8700" t="s">
        <v>605</v>
      </c>
      <c r="L8700" s="21" t="s">
        <v>114</v>
      </c>
      <c r="M8700" s="21" t="s">
        <v>52</v>
      </c>
      <c r="N8700" s="21" t="s">
        <v>44</v>
      </c>
      <c r="O8700" s="21">
        <v>189</v>
      </c>
      <c r="P8700" s="21"/>
      <c r="Q8700" s="21">
        <f t="shared" si="177"/>
        <v>2</v>
      </c>
      <c r="R8700" s="21">
        <v>1</v>
      </c>
      <c r="S8700" s="21">
        <v>0</v>
      </c>
      <c r="T8700" s="21">
        <v>0</v>
      </c>
      <c r="U8700" s="21">
        <v>0</v>
      </c>
      <c r="V8700" s="21">
        <v>0</v>
      </c>
      <c r="W8700" s="21">
        <v>2</v>
      </c>
      <c r="X8700" s="21">
        <v>0</v>
      </c>
      <c r="Y8700" s="21">
        <v>0</v>
      </c>
      <c r="Z8700" s="21">
        <v>0</v>
      </c>
      <c r="AA8700" s="21">
        <v>0</v>
      </c>
      <c r="AB8700" s="21">
        <v>0</v>
      </c>
      <c r="AC8700" s="21">
        <v>0</v>
      </c>
      <c r="AD8700" s="21">
        <v>0</v>
      </c>
      <c r="AE8700" s="21">
        <v>0</v>
      </c>
      <c r="AF8700" s="21">
        <v>0</v>
      </c>
      <c r="AG8700" s="21">
        <v>0</v>
      </c>
      <c r="AH8700" s="21">
        <f t="shared" si="178"/>
        <v>192</v>
      </c>
      <c r="AI8700" s="21"/>
      <c r="AJ8700" s="21" t="s">
        <v>51</v>
      </c>
      <c r="AK8700" s="21" t="s">
        <v>52</v>
      </c>
      <c r="AL8700" s="21" t="s">
        <v>5330</v>
      </c>
      <c r="AM8700" s="21" t="s">
        <v>5460</v>
      </c>
      <c r="AN8700" s="21">
        <v>-122.42470708010001</v>
      </c>
      <c r="AO8700" s="21">
        <v>37.7946875288158</v>
      </c>
      <c r="AP8700" s="21" t="s">
        <v>541</v>
      </c>
    </row>
    <row r="8701" spans="1:42">
      <c r="A8701" s="22">
        <v>43868</v>
      </c>
      <c r="B8701" s="21">
        <v>5</v>
      </c>
      <c r="C8701" s="21">
        <v>226</v>
      </c>
      <c r="D8701" s="21"/>
      <c r="E8701" t="s">
        <v>112</v>
      </c>
      <c r="F8701" s="21" t="s">
        <v>104</v>
      </c>
      <c r="G8701" s="23">
        <v>4</v>
      </c>
      <c r="H8701" s="21">
        <v>76</v>
      </c>
      <c r="I8701" s="23" t="s">
        <v>5461</v>
      </c>
      <c r="J8701" s="21"/>
      <c r="K8701" t="s">
        <v>605</v>
      </c>
      <c r="L8701" s="21" t="s">
        <v>114</v>
      </c>
      <c r="M8701" s="21" t="s">
        <v>52</v>
      </c>
      <c r="N8701" s="21" t="s">
        <v>44</v>
      </c>
      <c r="O8701" s="21">
        <v>104</v>
      </c>
      <c r="P8701" s="21"/>
      <c r="Q8701" s="21">
        <f t="shared" si="177"/>
        <v>2</v>
      </c>
      <c r="R8701" s="21">
        <v>1</v>
      </c>
      <c r="S8701" s="21">
        <v>0</v>
      </c>
      <c r="T8701" s="21">
        <v>0</v>
      </c>
      <c r="U8701" s="21">
        <v>0</v>
      </c>
      <c r="V8701" s="21">
        <v>0</v>
      </c>
      <c r="W8701" s="21">
        <v>2</v>
      </c>
      <c r="X8701" s="21">
        <v>0</v>
      </c>
      <c r="Y8701" s="21">
        <v>0</v>
      </c>
      <c r="Z8701" s="21">
        <v>0</v>
      </c>
      <c r="AA8701" s="21">
        <v>0</v>
      </c>
      <c r="AB8701" s="21">
        <v>0</v>
      </c>
      <c r="AC8701" s="21">
        <v>0</v>
      </c>
      <c r="AD8701" s="21">
        <v>0</v>
      </c>
      <c r="AE8701" s="21">
        <v>0</v>
      </c>
      <c r="AF8701" s="21">
        <v>0</v>
      </c>
      <c r="AG8701" s="21">
        <v>0</v>
      </c>
      <c r="AH8701" s="21">
        <f t="shared" si="178"/>
        <v>192</v>
      </c>
      <c r="AI8701" s="21"/>
      <c r="AJ8701" s="21" t="s">
        <v>51</v>
      </c>
      <c r="AK8701" s="21" t="s">
        <v>52</v>
      </c>
      <c r="AL8701" s="21"/>
      <c r="AM8701" s="21" t="s">
        <v>5462</v>
      </c>
      <c r="AN8701" s="21">
        <v>-122.425528966667</v>
      </c>
      <c r="AO8701" s="21">
        <v>37.794536116666698</v>
      </c>
      <c r="AP8701" s="21" t="s">
        <v>541</v>
      </c>
    </row>
    <row r="8702" spans="1:42">
      <c r="A8702" s="22">
        <v>43868</v>
      </c>
      <c r="B8702" s="21">
        <v>5</v>
      </c>
      <c r="C8702" s="21">
        <v>226</v>
      </c>
      <c r="D8702" s="21"/>
      <c r="E8702" t="s">
        <v>112</v>
      </c>
      <c r="F8702" s="21" t="s">
        <v>104</v>
      </c>
      <c r="G8702" s="23">
        <v>4</v>
      </c>
      <c r="H8702" s="21">
        <v>77</v>
      </c>
      <c r="I8702" s="23" t="s">
        <v>5429</v>
      </c>
      <c r="J8702" s="21"/>
      <c r="K8702" t="s">
        <v>605</v>
      </c>
      <c r="L8702" s="21" t="s">
        <v>114</v>
      </c>
      <c r="M8702" s="21" t="s">
        <v>52</v>
      </c>
      <c r="N8702" s="21" t="s">
        <v>44</v>
      </c>
      <c r="O8702" s="21">
        <v>103</v>
      </c>
      <c r="P8702" s="21"/>
      <c r="Q8702" s="21">
        <f t="shared" si="177"/>
        <v>2</v>
      </c>
      <c r="R8702" s="21">
        <v>1</v>
      </c>
      <c r="S8702" s="21">
        <v>0</v>
      </c>
      <c r="T8702" s="21">
        <v>0</v>
      </c>
      <c r="U8702" s="21">
        <v>0</v>
      </c>
      <c r="V8702" s="21">
        <v>0</v>
      </c>
      <c r="W8702" s="21">
        <v>2</v>
      </c>
      <c r="X8702" s="21">
        <v>0</v>
      </c>
      <c r="Y8702" s="21">
        <v>0</v>
      </c>
      <c r="Z8702" s="21">
        <v>0</v>
      </c>
      <c r="AA8702" s="21">
        <v>0</v>
      </c>
      <c r="AB8702" s="21">
        <v>0</v>
      </c>
      <c r="AC8702" s="21">
        <v>0</v>
      </c>
      <c r="AD8702" s="21">
        <v>0</v>
      </c>
      <c r="AE8702" s="21">
        <v>0</v>
      </c>
      <c r="AF8702" s="21">
        <v>0</v>
      </c>
      <c r="AG8702" s="21">
        <v>0</v>
      </c>
      <c r="AH8702" s="21">
        <f t="shared" si="178"/>
        <v>192</v>
      </c>
      <c r="AI8702" s="21"/>
      <c r="AJ8702" s="21" t="s">
        <v>51</v>
      </c>
      <c r="AK8702" s="21" t="s">
        <v>52</v>
      </c>
      <c r="AL8702" s="21"/>
      <c r="AM8702" s="21" t="s">
        <v>5463</v>
      </c>
      <c r="AN8702" s="21">
        <v>-122.425829333333</v>
      </c>
      <c r="AO8702" s="21">
        <v>37.794530216666701</v>
      </c>
      <c r="AP8702" s="21" t="s">
        <v>541</v>
      </c>
    </row>
    <row r="8703" spans="1:42">
      <c r="A8703" s="22">
        <v>43868</v>
      </c>
      <c r="B8703" s="21">
        <v>5</v>
      </c>
      <c r="C8703" s="21">
        <v>226</v>
      </c>
      <c r="D8703" s="21"/>
      <c r="E8703" t="s">
        <v>112</v>
      </c>
      <c r="F8703" s="21" t="s">
        <v>104</v>
      </c>
      <c r="G8703" s="23">
        <v>4</v>
      </c>
      <c r="H8703" s="21">
        <v>79</v>
      </c>
      <c r="I8703" s="23" t="s">
        <v>4055</v>
      </c>
      <c r="J8703" s="21"/>
      <c r="K8703" s="21" t="s">
        <v>638</v>
      </c>
      <c r="L8703" s="21" t="s">
        <v>141</v>
      </c>
      <c r="M8703" s="21" t="s">
        <v>52</v>
      </c>
      <c r="N8703" s="21" t="s">
        <v>44</v>
      </c>
      <c r="O8703" s="21">
        <v>51</v>
      </c>
      <c r="P8703" s="21"/>
      <c r="Q8703" s="21">
        <f t="shared" si="177"/>
        <v>1</v>
      </c>
      <c r="R8703" s="21">
        <v>1</v>
      </c>
      <c r="S8703" s="21">
        <v>0</v>
      </c>
      <c r="T8703" s="21">
        <v>0</v>
      </c>
      <c r="U8703" s="21">
        <v>0</v>
      </c>
      <c r="V8703" s="21">
        <v>0</v>
      </c>
      <c r="W8703" s="21">
        <v>1</v>
      </c>
      <c r="X8703" s="21">
        <v>0</v>
      </c>
      <c r="Y8703" s="21">
        <v>0</v>
      </c>
      <c r="Z8703" s="21">
        <v>0</v>
      </c>
      <c r="AA8703" s="21">
        <v>0</v>
      </c>
      <c r="AB8703" s="21">
        <v>0</v>
      </c>
      <c r="AC8703" s="21">
        <v>0</v>
      </c>
      <c r="AD8703" s="21">
        <v>0</v>
      </c>
      <c r="AE8703" s="21">
        <v>0</v>
      </c>
      <c r="AF8703" s="21">
        <v>0</v>
      </c>
      <c r="AG8703" s="21">
        <v>0</v>
      </c>
      <c r="AH8703" s="21">
        <f t="shared" si="178"/>
        <v>96</v>
      </c>
      <c r="AI8703" s="21"/>
      <c r="AJ8703" s="21" t="s">
        <v>54</v>
      </c>
      <c r="AK8703" s="21" t="s">
        <v>52</v>
      </c>
      <c r="AL8703" s="21"/>
      <c r="AM8703" s="21" t="s">
        <v>5464</v>
      </c>
      <c r="AN8703" s="21">
        <v>-122.426501566667</v>
      </c>
      <c r="AO8703" s="21">
        <v>37.794021583333297</v>
      </c>
      <c r="AP8703" s="21" t="s">
        <v>541</v>
      </c>
    </row>
    <row r="8704" spans="1:42">
      <c r="A8704" s="22">
        <v>43868</v>
      </c>
      <c r="B8704" s="21">
        <v>5</v>
      </c>
      <c r="C8704" s="21">
        <v>226</v>
      </c>
      <c r="D8704" s="21"/>
      <c r="E8704" t="s">
        <v>112</v>
      </c>
      <c r="F8704" s="21" t="s">
        <v>104</v>
      </c>
      <c r="G8704" s="23">
        <v>4</v>
      </c>
      <c r="H8704" s="21">
        <v>80</v>
      </c>
      <c r="I8704" s="23">
        <v>1900</v>
      </c>
      <c r="J8704" s="21"/>
      <c r="K8704" s="21" t="s">
        <v>647</v>
      </c>
      <c r="L8704" s="21" t="s">
        <v>114</v>
      </c>
      <c r="M8704" s="21" t="s">
        <v>52</v>
      </c>
      <c r="N8704" s="21" t="s">
        <v>44</v>
      </c>
      <c r="O8704" s="21">
        <v>67</v>
      </c>
      <c r="P8704" s="21"/>
      <c r="Q8704" s="21">
        <f t="shared" ref="Q8704:Q8767" si="179">SUM(S8704:AE8704)</f>
        <v>2</v>
      </c>
      <c r="R8704" s="21">
        <v>1</v>
      </c>
      <c r="S8704" s="21">
        <v>0</v>
      </c>
      <c r="T8704" s="21">
        <v>0</v>
      </c>
      <c r="U8704" s="21">
        <v>0</v>
      </c>
      <c r="V8704" s="21">
        <v>0</v>
      </c>
      <c r="W8704" s="21">
        <v>2</v>
      </c>
      <c r="X8704" s="21">
        <v>0</v>
      </c>
      <c r="Y8704" s="21">
        <v>0</v>
      </c>
      <c r="Z8704" s="21">
        <v>0</v>
      </c>
      <c r="AA8704" s="21">
        <v>0</v>
      </c>
      <c r="AB8704" s="21">
        <v>0</v>
      </c>
      <c r="AC8704" s="21">
        <v>0</v>
      </c>
      <c r="AD8704" s="21">
        <v>0</v>
      </c>
      <c r="AE8704" s="21">
        <v>0</v>
      </c>
      <c r="AF8704" s="21">
        <v>0</v>
      </c>
      <c r="AG8704" s="21">
        <v>0</v>
      </c>
      <c r="AH8704" s="21">
        <f t="shared" ref="AH8704:AH8767" si="180">(S8704*16)+(T8704*20)+(U8704*32)+(V8704*64)+(W8704*96)</f>
        <v>192</v>
      </c>
      <c r="AI8704" s="21"/>
      <c r="AJ8704" s="21" t="s">
        <v>54</v>
      </c>
      <c r="AK8704" s="21" t="s">
        <v>52</v>
      </c>
      <c r="AL8704" s="21" t="s">
        <v>589</v>
      </c>
      <c r="AM8704" s="21" t="s">
        <v>5465</v>
      </c>
      <c r="AN8704" s="21">
        <v>-122.426414916667</v>
      </c>
      <c r="AO8704" s="21">
        <v>37.7936552166667</v>
      </c>
      <c r="AP8704" s="21" t="s">
        <v>541</v>
      </c>
    </row>
    <row r="8705" spans="1:42">
      <c r="A8705" s="24">
        <v>43872</v>
      </c>
      <c r="B8705" s="21">
        <v>2</v>
      </c>
      <c r="C8705" s="21">
        <v>315</v>
      </c>
      <c r="D8705" s="21">
        <v>10375</v>
      </c>
      <c r="E8705" t="s">
        <v>37</v>
      </c>
      <c r="F8705" s="21" t="s">
        <v>38</v>
      </c>
      <c r="G8705" s="23" t="s">
        <v>3448</v>
      </c>
      <c r="H8705" s="21">
        <v>2</v>
      </c>
      <c r="I8705" s="23" t="s">
        <v>4599</v>
      </c>
      <c r="J8705" s="21"/>
      <c r="K8705" s="21" t="s">
        <v>5466</v>
      </c>
      <c r="L8705" s="21" t="s">
        <v>114</v>
      </c>
      <c r="M8705" s="21" t="s">
        <v>52</v>
      </c>
      <c r="N8705" s="21" t="s">
        <v>44</v>
      </c>
      <c r="O8705" s="21">
        <v>166</v>
      </c>
      <c r="P8705" s="21"/>
      <c r="Q8705" s="21">
        <f t="shared" si="179"/>
        <v>4</v>
      </c>
      <c r="R8705" s="21">
        <v>1</v>
      </c>
      <c r="S8705" s="21">
        <v>0</v>
      </c>
      <c r="T8705" s="21">
        <v>0</v>
      </c>
      <c r="U8705" s="21">
        <v>0</v>
      </c>
      <c r="V8705" s="21">
        <v>0</v>
      </c>
      <c r="W8705" s="21">
        <v>4</v>
      </c>
      <c r="X8705" s="21">
        <v>0</v>
      </c>
      <c r="Y8705" s="21">
        <v>0</v>
      </c>
      <c r="Z8705" s="21">
        <v>0</v>
      </c>
      <c r="AA8705" s="21">
        <v>0</v>
      </c>
      <c r="AB8705" s="21">
        <v>0</v>
      </c>
      <c r="AC8705" s="21">
        <v>0</v>
      </c>
      <c r="AD8705" s="21">
        <v>0</v>
      </c>
      <c r="AE8705" s="21">
        <v>0</v>
      </c>
      <c r="AF8705" s="21">
        <v>0</v>
      </c>
      <c r="AG8705" s="21">
        <v>0</v>
      </c>
      <c r="AH8705" s="21">
        <f t="shared" si="180"/>
        <v>384</v>
      </c>
      <c r="AI8705" s="21"/>
      <c r="AJ8705" s="21"/>
      <c r="AK8705" s="21" t="s">
        <v>35</v>
      </c>
      <c r="AL8705" s="21" t="s">
        <v>5467</v>
      </c>
      <c r="AM8705" s="21" t="s">
        <v>5468</v>
      </c>
      <c r="AN8705" s="21">
        <v>-122.41357979999999</v>
      </c>
      <c r="AO8705" s="21">
        <v>37.780785799999997</v>
      </c>
      <c r="AP8705" s="21" t="s">
        <v>541</v>
      </c>
    </row>
    <row r="8706" spans="1:42">
      <c r="A8706" s="24">
        <v>43872</v>
      </c>
      <c r="B8706" s="21">
        <v>2</v>
      </c>
      <c r="C8706" s="21">
        <v>315</v>
      </c>
      <c r="D8706" s="21">
        <v>10375</v>
      </c>
      <c r="E8706" t="s">
        <v>37</v>
      </c>
      <c r="F8706" s="21" t="s">
        <v>38</v>
      </c>
      <c r="G8706" s="23" t="s">
        <v>3448</v>
      </c>
      <c r="H8706" s="21">
        <v>3</v>
      </c>
      <c r="I8706" s="23" t="s">
        <v>5469</v>
      </c>
      <c r="J8706" s="21"/>
      <c r="K8706" s="21" t="s">
        <v>5470</v>
      </c>
      <c r="L8706" s="21" t="s">
        <v>114</v>
      </c>
      <c r="M8706" s="21" t="s">
        <v>52</v>
      </c>
      <c r="N8706" s="21" t="s">
        <v>44</v>
      </c>
      <c r="O8706" s="21">
        <v>109</v>
      </c>
      <c r="P8706" s="21"/>
      <c r="Q8706" s="21">
        <f t="shared" si="179"/>
        <v>2</v>
      </c>
      <c r="R8706" s="21">
        <v>1</v>
      </c>
      <c r="S8706" s="21">
        <v>0</v>
      </c>
      <c r="T8706" s="21">
        <v>0</v>
      </c>
      <c r="U8706" s="21">
        <v>0</v>
      </c>
      <c r="V8706" s="21">
        <v>0</v>
      </c>
      <c r="W8706" s="21">
        <v>2</v>
      </c>
      <c r="X8706" s="21">
        <v>0</v>
      </c>
      <c r="Y8706" s="21">
        <v>0</v>
      </c>
      <c r="Z8706" s="21">
        <v>0</v>
      </c>
      <c r="AA8706" s="21">
        <v>0</v>
      </c>
      <c r="AB8706" s="21">
        <v>0</v>
      </c>
      <c r="AC8706" s="21">
        <v>0</v>
      </c>
      <c r="AD8706" s="21">
        <v>0</v>
      </c>
      <c r="AE8706" s="21">
        <v>0</v>
      </c>
      <c r="AF8706" s="21">
        <v>0</v>
      </c>
      <c r="AG8706" s="21">
        <v>0</v>
      </c>
      <c r="AH8706" s="21">
        <f t="shared" si="180"/>
        <v>192</v>
      </c>
      <c r="AI8706" s="21"/>
      <c r="AJ8706" s="21"/>
      <c r="AK8706" s="21" t="s">
        <v>95</v>
      </c>
      <c r="AL8706" s="21" t="s">
        <v>5471</v>
      </c>
      <c r="AM8706" s="21" t="s">
        <v>5472</v>
      </c>
      <c r="AN8706" s="21">
        <v>-122.42092676666699</v>
      </c>
      <c r="AO8706" s="21">
        <v>37.777189200000002</v>
      </c>
      <c r="AP8706" s="21" t="s">
        <v>541</v>
      </c>
    </row>
    <row r="8707" spans="1:42">
      <c r="A8707" s="24">
        <v>43872</v>
      </c>
      <c r="B8707" s="21">
        <v>2</v>
      </c>
      <c r="C8707" s="21">
        <v>315</v>
      </c>
      <c r="D8707" s="21">
        <v>10375</v>
      </c>
      <c r="E8707" t="s">
        <v>37</v>
      </c>
      <c r="F8707" s="21" t="s">
        <v>38</v>
      </c>
      <c r="G8707" s="23" t="s">
        <v>3448</v>
      </c>
      <c r="H8707" s="21">
        <v>4</v>
      </c>
      <c r="I8707" s="23" t="s">
        <v>5473</v>
      </c>
      <c r="J8707" s="21"/>
      <c r="K8707" s="21" t="s">
        <v>631</v>
      </c>
      <c r="L8707" s="21" t="s">
        <v>141</v>
      </c>
      <c r="M8707" s="21" t="s">
        <v>52</v>
      </c>
      <c r="N8707" s="21" t="s">
        <v>44</v>
      </c>
      <c r="O8707" s="21">
        <v>70</v>
      </c>
      <c r="P8707" s="21"/>
      <c r="Q8707" s="21">
        <f t="shared" si="179"/>
        <v>3</v>
      </c>
      <c r="R8707" s="21">
        <v>1</v>
      </c>
      <c r="S8707" s="21">
        <v>0</v>
      </c>
      <c r="T8707" s="21">
        <v>0</v>
      </c>
      <c r="U8707" s="21">
        <v>0</v>
      </c>
      <c r="V8707" s="21">
        <v>0</v>
      </c>
      <c r="W8707" s="21">
        <v>3</v>
      </c>
      <c r="X8707" s="21">
        <v>0</v>
      </c>
      <c r="Y8707" s="21">
        <v>0</v>
      </c>
      <c r="Z8707" s="21">
        <v>0</v>
      </c>
      <c r="AA8707" s="21">
        <v>0</v>
      </c>
      <c r="AB8707" s="21">
        <v>0</v>
      </c>
      <c r="AC8707" s="21">
        <v>0</v>
      </c>
      <c r="AD8707" s="21">
        <v>0</v>
      </c>
      <c r="AE8707" s="21">
        <v>0</v>
      </c>
      <c r="AF8707" s="21">
        <v>0</v>
      </c>
      <c r="AG8707" s="21">
        <v>0</v>
      </c>
      <c r="AH8707" s="21">
        <f t="shared" si="180"/>
        <v>288</v>
      </c>
      <c r="AI8707" s="21"/>
      <c r="AJ8707" s="21"/>
      <c r="AK8707" s="21"/>
      <c r="AL8707" s="21" t="s">
        <v>5474</v>
      </c>
      <c r="AM8707" s="21" t="s">
        <v>5475</v>
      </c>
      <c r="AN8707" s="21">
        <v>-122.42318370343401</v>
      </c>
      <c r="AO8707" s="21">
        <v>37.785072980376</v>
      </c>
      <c r="AP8707" s="21" t="s">
        <v>541</v>
      </c>
    </row>
    <row r="8708" spans="1:42">
      <c r="A8708" s="24">
        <v>43872</v>
      </c>
      <c r="B8708" s="21">
        <v>2</v>
      </c>
      <c r="C8708" s="21">
        <v>315</v>
      </c>
      <c r="D8708" s="21">
        <v>10375</v>
      </c>
      <c r="E8708" t="s">
        <v>37</v>
      </c>
      <c r="F8708" s="21" t="s">
        <v>38</v>
      </c>
      <c r="G8708" s="23" t="s">
        <v>3448</v>
      </c>
      <c r="H8708" s="21">
        <v>5</v>
      </c>
      <c r="I8708" s="23">
        <v>539</v>
      </c>
      <c r="J8708" s="21"/>
      <c r="K8708" s="21" t="s">
        <v>5476</v>
      </c>
      <c r="L8708" s="21" t="s">
        <v>141</v>
      </c>
      <c r="M8708" s="21" t="s">
        <v>52</v>
      </c>
      <c r="N8708" s="21" t="s">
        <v>40</v>
      </c>
      <c r="O8708" s="21">
        <v>74</v>
      </c>
      <c r="P8708" s="21"/>
      <c r="Q8708" s="21">
        <f t="shared" si="179"/>
        <v>3</v>
      </c>
      <c r="R8708" s="21">
        <v>1</v>
      </c>
      <c r="S8708" s="21">
        <v>0</v>
      </c>
      <c r="T8708" s="21">
        <v>0</v>
      </c>
      <c r="U8708" s="21">
        <v>3</v>
      </c>
      <c r="V8708" s="21">
        <v>0</v>
      </c>
      <c r="W8708" s="21">
        <v>0</v>
      </c>
      <c r="X8708" s="21">
        <v>0</v>
      </c>
      <c r="Y8708" s="21">
        <v>0</v>
      </c>
      <c r="Z8708" s="21">
        <v>0</v>
      </c>
      <c r="AA8708" s="21">
        <v>0</v>
      </c>
      <c r="AB8708" s="21">
        <v>0</v>
      </c>
      <c r="AC8708" s="21">
        <v>0</v>
      </c>
      <c r="AD8708" s="21">
        <v>0</v>
      </c>
      <c r="AE8708" s="21">
        <v>0</v>
      </c>
      <c r="AF8708" s="21">
        <v>0</v>
      </c>
      <c r="AG8708" s="21">
        <v>0</v>
      </c>
      <c r="AH8708" s="21">
        <f t="shared" si="180"/>
        <v>96</v>
      </c>
      <c r="AI8708" s="21"/>
      <c r="AJ8708" s="21" t="s">
        <v>54</v>
      </c>
      <c r="AK8708" s="21" t="s">
        <v>35</v>
      </c>
      <c r="AL8708" s="21"/>
      <c r="AM8708" s="21" t="s">
        <v>5477</v>
      </c>
      <c r="AN8708" s="21">
        <v>-122.45087275</v>
      </c>
      <c r="AO8708" s="21">
        <v>37.797068133333298</v>
      </c>
      <c r="AP8708" s="21" t="s">
        <v>541</v>
      </c>
    </row>
    <row r="8709" spans="1:42">
      <c r="A8709" s="24">
        <v>43872</v>
      </c>
      <c r="B8709" s="21">
        <v>2</v>
      </c>
      <c r="C8709" s="21">
        <v>315</v>
      </c>
      <c r="D8709" s="21">
        <v>10375</v>
      </c>
      <c r="E8709" t="s">
        <v>37</v>
      </c>
      <c r="F8709" s="21" t="s">
        <v>38</v>
      </c>
      <c r="G8709" s="23" t="s">
        <v>3448</v>
      </c>
      <c r="H8709" s="21">
        <v>6</v>
      </c>
      <c r="I8709" s="23" t="s">
        <v>5478</v>
      </c>
      <c r="J8709" s="21"/>
      <c r="K8709" s="21" t="s">
        <v>5476</v>
      </c>
      <c r="L8709" s="21" t="s">
        <v>11</v>
      </c>
      <c r="M8709" s="21" t="s">
        <v>52</v>
      </c>
      <c r="N8709" s="21" t="s">
        <v>40</v>
      </c>
      <c r="O8709" s="21"/>
      <c r="P8709" s="21">
        <v>23</v>
      </c>
      <c r="Q8709" s="21">
        <f t="shared" si="179"/>
        <v>9</v>
      </c>
      <c r="R8709" s="21">
        <v>1</v>
      </c>
      <c r="S8709" s="21">
        <v>0</v>
      </c>
      <c r="T8709" s="21">
        <v>0</v>
      </c>
      <c r="U8709" s="21">
        <v>7</v>
      </c>
      <c r="V8709" s="21">
        <v>2</v>
      </c>
      <c r="W8709" s="21">
        <v>0</v>
      </c>
      <c r="X8709" s="21">
        <v>0</v>
      </c>
      <c r="Y8709" s="21">
        <v>0</v>
      </c>
      <c r="Z8709" s="21">
        <v>0</v>
      </c>
      <c r="AA8709" s="21">
        <v>0</v>
      </c>
      <c r="AB8709" s="21">
        <v>0</v>
      </c>
      <c r="AC8709" s="21">
        <v>0</v>
      </c>
      <c r="AD8709" s="21">
        <v>0</v>
      </c>
      <c r="AE8709" s="21">
        <v>0</v>
      </c>
      <c r="AF8709" s="21">
        <v>0</v>
      </c>
      <c r="AG8709" s="21">
        <v>0</v>
      </c>
      <c r="AH8709" s="21">
        <f t="shared" si="180"/>
        <v>352</v>
      </c>
      <c r="AI8709" s="21"/>
      <c r="AJ8709" s="21" t="s">
        <v>54</v>
      </c>
      <c r="AK8709" s="21" t="s">
        <v>95</v>
      </c>
      <c r="AL8709" s="21"/>
      <c r="AM8709" s="21" t="s">
        <v>5479</v>
      </c>
      <c r="AN8709" s="21">
        <v>-122.449293809864</v>
      </c>
      <c r="AO8709" s="21">
        <v>37.796473812183201</v>
      </c>
      <c r="AP8709" s="21" t="s">
        <v>541</v>
      </c>
    </row>
    <row r="8710" spans="1:42">
      <c r="A8710" s="24">
        <v>43872</v>
      </c>
      <c r="B8710" s="21">
        <v>2</v>
      </c>
      <c r="C8710" s="21">
        <v>315</v>
      </c>
      <c r="D8710" s="21">
        <v>10375</v>
      </c>
      <c r="E8710" t="s">
        <v>37</v>
      </c>
      <c r="F8710" s="21" t="s">
        <v>38</v>
      </c>
      <c r="G8710" s="23" t="s">
        <v>3448</v>
      </c>
      <c r="H8710" s="21">
        <v>7</v>
      </c>
      <c r="I8710" s="23" t="s">
        <v>5480</v>
      </c>
      <c r="J8710" s="21"/>
      <c r="K8710" s="21" t="s">
        <v>3435</v>
      </c>
      <c r="L8710" s="21" t="s">
        <v>114</v>
      </c>
      <c r="M8710" s="21" t="s">
        <v>52</v>
      </c>
      <c r="N8710" s="21" t="s">
        <v>40</v>
      </c>
      <c r="O8710" s="21">
        <v>58</v>
      </c>
      <c r="P8710" s="21"/>
      <c r="Q8710" s="21">
        <f t="shared" si="179"/>
        <v>2</v>
      </c>
      <c r="R8710" s="21">
        <v>1</v>
      </c>
      <c r="S8710" s="21">
        <v>0</v>
      </c>
      <c r="T8710" s="21">
        <v>0</v>
      </c>
      <c r="U8710" s="21">
        <v>0</v>
      </c>
      <c r="V8710" s="21">
        <v>1</v>
      </c>
      <c r="W8710" s="21">
        <v>1</v>
      </c>
      <c r="X8710" s="21">
        <v>0</v>
      </c>
      <c r="Y8710" s="21">
        <v>0</v>
      </c>
      <c r="Z8710" s="21">
        <v>0</v>
      </c>
      <c r="AA8710" s="21">
        <v>0</v>
      </c>
      <c r="AB8710" s="21">
        <v>0</v>
      </c>
      <c r="AC8710" s="21">
        <v>0</v>
      </c>
      <c r="AD8710" s="21">
        <v>0</v>
      </c>
      <c r="AE8710" s="21">
        <v>0</v>
      </c>
      <c r="AF8710" s="21">
        <v>0</v>
      </c>
      <c r="AG8710" s="21">
        <v>0</v>
      </c>
      <c r="AH8710" s="21">
        <f t="shared" si="180"/>
        <v>160</v>
      </c>
      <c r="AI8710" s="21"/>
      <c r="AJ8710" s="21" t="s">
        <v>51</v>
      </c>
      <c r="AK8710" s="21" t="s">
        <v>95</v>
      </c>
      <c r="AL8710" s="21"/>
      <c r="AM8710" s="21" t="s">
        <v>5481</v>
      </c>
      <c r="AN8710" s="21">
        <v>-122.44756575</v>
      </c>
      <c r="AO8710" s="21">
        <v>37.796816083333297</v>
      </c>
      <c r="AP8710" s="21" t="s">
        <v>541</v>
      </c>
    </row>
    <row r="8711" spans="1:42">
      <c r="A8711" s="24">
        <v>43872</v>
      </c>
      <c r="B8711" s="21">
        <v>2</v>
      </c>
      <c r="C8711" s="21">
        <v>315</v>
      </c>
      <c r="D8711" s="21">
        <v>10375</v>
      </c>
      <c r="E8711" t="s">
        <v>37</v>
      </c>
      <c r="F8711" s="21" t="s">
        <v>38</v>
      </c>
      <c r="G8711" s="23" t="s">
        <v>3448</v>
      </c>
      <c r="H8711" s="21">
        <v>8</v>
      </c>
      <c r="I8711" s="23" t="s">
        <v>5480</v>
      </c>
      <c r="J8711" s="21"/>
      <c r="K8711" s="21" t="s">
        <v>3435</v>
      </c>
      <c r="L8711" s="21" t="s">
        <v>114</v>
      </c>
      <c r="M8711" s="21" t="s">
        <v>52</v>
      </c>
      <c r="N8711" s="21" t="s">
        <v>40</v>
      </c>
      <c r="O8711" s="21">
        <v>58</v>
      </c>
      <c r="P8711" s="21"/>
      <c r="Q8711" s="21">
        <f t="shared" si="179"/>
        <v>2</v>
      </c>
      <c r="R8711" s="21">
        <v>1</v>
      </c>
      <c r="S8711" s="21">
        <v>0</v>
      </c>
      <c r="T8711" s="21">
        <v>0</v>
      </c>
      <c r="U8711" s="21">
        <v>0</v>
      </c>
      <c r="V8711" s="21">
        <v>1</v>
      </c>
      <c r="W8711" s="21">
        <v>1</v>
      </c>
      <c r="X8711" s="21">
        <v>0</v>
      </c>
      <c r="Y8711" s="21">
        <v>0</v>
      </c>
      <c r="Z8711" s="21">
        <v>0</v>
      </c>
      <c r="AA8711" s="21">
        <v>0</v>
      </c>
      <c r="AB8711" s="21">
        <v>0</v>
      </c>
      <c r="AC8711" s="21">
        <v>0</v>
      </c>
      <c r="AD8711" s="21">
        <v>0</v>
      </c>
      <c r="AE8711" s="21">
        <v>0</v>
      </c>
      <c r="AF8711" s="21">
        <v>0</v>
      </c>
      <c r="AG8711" s="21">
        <v>0</v>
      </c>
      <c r="AH8711" s="21">
        <f t="shared" si="180"/>
        <v>160</v>
      </c>
      <c r="AI8711" s="21"/>
      <c r="AJ8711" s="21" t="s">
        <v>51</v>
      </c>
      <c r="AK8711" s="21" t="s">
        <v>95</v>
      </c>
      <c r="AL8711" s="21"/>
      <c r="AM8711" s="21" t="s">
        <v>5482</v>
      </c>
      <c r="AN8711" s="21">
        <v>-122.44756575</v>
      </c>
      <c r="AO8711" s="21">
        <v>37.796816083333297</v>
      </c>
      <c r="AP8711" s="21" t="s">
        <v>541</v>
      </c>
    </row>
    <row r="8712" spans="1:42">
      <c r="A8712" s="24">
        <v>43872</v>
      </c>
      <c r="B8712" s="21">
        <v>2</v>
      </c>
      <c r="C8712" s="21">
        <v>315</v>
      </c>
      <c r="D8712" s="21">
        <v>10375</v>
      </c>
      <c r="E8712" t="s">
        <v>37</v>
      </c>
      <c r="F8712" s="21" t="s">
        <v>38</v>
      </c>
      <c r="G8712" s="23" t="s">
        <v>3448</v>
      </c>
      <c r="H8712" s="21">
        <v>9</v>
      </c>
      <c r="I8712" s="23" t="s">
        <v>5483</v>
      </c>
      <c r="J8712" s="21"/>
      <c r="K8712" s="21" t="s">
        <v>5476</v>
      </c>
      <c r="L8712" s="21" t="s">
        <v>11</v>
      </c>
      <c r="M8712" s="21" t="s">
        <v>52</v>
      </c>
      <c r="N8712" s="21" t="s">
        <v>40</v>
      </c>
      <c r="O8712" s="21"/>
      <c r="P8712" s="21">
        <v>327</v>
      </c>
      <c r="Q8712" s="21">
        <f t="shared" si="179"/>
        <v>9</v>
      </c>
      <c r="R8712" s="21">
        <v>3</v>
      </c>
      <c r="S8712" s="21">
        <v>0</v>
      </c>
      <c r="T8712" s="21">
        <v>0</v>
      </c>
      <c r="U8712" s="21">
        <v>8</v>
      </c>
      <c r="V8712" s="21">
        <v>1</v>
      </c>
      <c r="W8712" s="21">
        <v>0</v>
      </c>
      <c r="X8712" s="21">
        <v>0</v>
      </c>
      <c r="Y8712" s="21">
        <v>0</v>
      </c>
      <c r="Z8712" s="21">
        <v>0</v>
      </c>
      <c r="AA8712" s="21">
        <v>0</v>
      </c>
      <c r="AB8712" s="21">
        <v>0</v>
      </c>
      <c r="AC8712" s="21">
        <v>0</v>
      </c>
      <c r="AD8712" s="21">
        <v>0</v>
      </c>
      <c r="AE8712" s="21">
        <v>0</v>
      </c>
      <c r="AF8712" s="21">
        <v>0</v>
      </c>
      <c r="AG8712" s="21">
        <v>0</v>
      </c>
      <c r="AH8712" s="21">
        <f t="shared" si="180"/>
        <v>320</v>
      </c>
      <c r="AI8712" s="21"/>
      <c r="AJ8712" s="21" t="s">
        <v>51</v>
      </c>
      <c r="AK8712" s="21" t="s">
        <v>52</v>
      </c>
      <c r="AL8712" s="21"/>
      <c r="AM8712" s="21" t="s">
        <v>5484</v>
      </c>
      <c r="AN8712" s="21">
        <v>-122.450327733333</v>
      </c>
      <c r="AO8712" s="21">
        <v>37.795956383333298</v>
      </c>
      <c r="AP8712" s="21" t="s">
        <v>541</v>
      </c>
    </row>
    <row r="8713" spans="1:42">
      <c r="A8713" s="24">
        <v>43872</v>
      </c>
      <c r="B8713" s="21">
        <v>2</v>
      </c>
      <c r="C8713" s="21">
        <v>315</v>
      </c>
      <c r="D8713" s="21">
        <v>10375</v>
      </c>
      <c r="E8713" t="s">
        <v>37</v>
      </c>
      <c r="F8713" s="21" t="s">
        <v>38</v>
      </c>
      <c r="G8713" s="23" t="s">
        <v>3448</v>
      </c>
      <c r="H8713" s="21">
        <v>10</v>
      </c>
      <c r="I8713" s="23" t="s">
        <v>5485</v>
      </c>
      <c r="J8713" s="21"/>
      <c r="K8713" s="21" t="s">
        <v>540</v>
      </c>
      <c r="L8713" s="21" t="s">
        <v>11</v>
      </c>
      <c r="M8713" s="21" t="s">
        <v>52</v>
      </c>
      <c r="N8713" s="21" t="s">
        <v>40</v>
      </c>
      <c r="O8713" s="21"/>
      <c r="P8713" s="21">
        <f>60+49</f>
        <v>109</v>
      </c>
      <c r="Q8713" s="21">
        <f t="shared" si="179"/>
        <v>19</v>
      </c>
      <c r="R8713" s="21">
        <v>9</v>
      </c>
      <c r="S8713" s="21">
        <v>0</v>
      </c>
      <c r="T8713" s="21">
        <v>0</v>
      </c>
      <c r="U8713" s="21">
        <v>18</v>
      </c>
      <c r="V8713" s="21">
        <v>1</v>
      </c>
      <c r="W8713" s="21">
        <v>0</v>
      </c>
      <c r="X8713" s="21">
        <v>0</v>
      </c>
      <c r="Y8713" s="21">
        <v>0</v>
      </c>
      <c r="Z8713" s="21">
        <v>0</v>
      </c>
      <c r="AA8713" s="21">
        <v>0</v>
      </c>
      <c r="AB8713" s="21">
        <v>0</v>
      </c>
      <c r="AC8713" s="21">
        <v>0</v>
      </c>
      <c r="AD8713" s="21">
        <v>0</v>
      </c>
      <c r="AE8713" s="21">
        <v>0</v>
      </c>
      <c r="AF8713" s="21">
        <v>0</v>
      </c>
      <c r="AG8713" s="21">
        <v>0</v>
      </c>
      <c r="AH8713" s="21">
        <f t="shared" si="180"/>
        <v>640</v>
      </c>
      <c r="AI8713" s="21"/>
      <c r="AJ8713" s="21" t="s">
        <v>54</v>
      </c>
      <c r="AK8713" s="21" t="s">
        <v>95</v>
      </c>
      <c r="AL8713" s="21"/>
      <c r="AM8713" s="21" t="s">
        <v>5486</v>
      </c>
      <c r="AN8713" s="21">
        <v>-122.451984966667</v>
      </c>
      <c r="AO8713" s="21">
        <v>37.797108483333297</v>
      </c>
      <c r="AP8713" s="21" t="s">
        <v>541</v>
      </c>
    </row>
    <row r="8714" spans="1:42">
      <c r="A8714" s="24">
        <v>43872</v>
      </c>
      <c r="B8714" s="21">
        <v>2</v>
      </c>
      <c r="C8714" s="21">
        <v>315</v>
      </c>
      <c r="D8714" s="21">
        <v>10375</v>
      </c>
      <c r="E8714" t="s">
        <v>37</v>
      </c>
      <c r="F8714" s="21" t="s">
        <v>38</v>
      </c>
      <c r="G8714" s="23" t="s">
        <v>3448</v>
      </c>
      <c r="H8714" s="21">
        <v>11</v>
      </c>
      <c r="I8714" s="23" t="s">
        <v>4535</v>
      </c>
      <c r="J8714" s="21"/>
      <c r="K8714" s="21" t="s">
        <v>540</v>
      </c>
      <c r="L8714" s="21" t="s">
        <v>114</v>
      </c>
      <c r="M8714" s="21" t="s">
        <v>52</v>
      </c>
      <c r="N8714" s="21" t="s">
        <v>40</v>
      </c>
      <c r="O8714" s="21">
        <v>35</v>
      </c>
      <c r="P8714" s="21"/>
      <c r="Q8714" s="21">
        <f t="shared" si="179"/>
        <v>1</v>
      </c>
      <c r="R8714" s="21">
        <v>1</v>
      </c>
      <c r="S8714" s="21">
        <v>0</v>
      </c>
      <c r="T8714" s="21">
        <v>0</v>
      </c>
      <c r="U8714" s="21">
        <v>0</v>
      </c>
      <c r="V8714" s="21">
        <v>1</v>
      </c>
      <c r="W8714" s="21">
        <v>0</v>
      </c>
      <c r="X8714" s="21">
        <v>0</v>
      </c>
      <c r="Y8714" s="21">
        <v>0</v>
      </c>
      <c r="Z8714" s="21">
        <v>0</v>
      </c>
      <c r="AA8714" s="21">
        <v>0</v>
      </c>
      <c r="AB8714" s="21">
        <v>0</v>
      </c>
      <c r="AC8714" s="21">
        <v>0</v>
      </c>
      <c r="AD8714" s="21">
        <v>0</v>
      </c>
      <c r="AE8714" s="21">
        <v>0</v>
      </c>
      <c r="AF8714" s="21">
        <v>0</v>
      </c>
      <c r="AG8714" s="21">
        <v>0</v>
      </c>
      <c r="AH8714" s="21">
        <f t="shared" si="180"/>
        <v>64</v>
      </c>
      <c r="AI8714" s="21"/>
      <c r="AJ8714" s="21" t="s">
        <v>54</v>
      </c>
      <c r="AK8714" s="21" t="s">
        <v>95</v>
      </c>
      <c r="AL8714" s="21"/>
      <c r="AM8714" s="21" t="s">
        <v>5487</v>
      </c>
      <c r="AN8714" s="21">
        <v>-122.45620763093</v>
      </c>
      <c r="AO8714" s="21">
        <v>37.798701611792403</v>
      </c>
      <c r="AP8714" s="21" t="s">
        <v>541</v>
      </c>
    </row>
    <row r="8715" spans="1:42">
      <c r="A8715" s="24">
        <v>43872</v>
      </c>
      <c r="B8715" s="21">
        <v>2</v>
      </c>
      <c r="C8715" s="21">
        <v>315</v>
      </c>
      <c r="D8715" s="21">
        <v>10375</v>
      </c>
      <c r="E8715" t="s">
        <v>37</v>
      </c>
      <c r="F8715" s="21" t="s">
        <v>38</v>
      </c>
      <c r="G8715" s="23" t="s">
        <v>3448</v>
      </c>
      <c r="H8715" s="21">
        <v>12</v>
      </c>
      <c r="I8715" s="23" t="s">
        <v>4265</v>
      </c>
      <c r="J8715" s="21"/>
      <c r="K8715" s="21" t="s">
        <v>5488</v>
      </c>
      <c r="L8715" s="21" t="s">
        <v>141</v>
      </c>
      <c r="M8715" s="21" t="s">
        <v>52</v>
      </c>
      <c r="N8715" s="21" t="s">
        <v>40</v>
      </c>
      <c r="O8715" s="21">
        <v>43</v>
      </c>
      <c r="P8715" s="21"/>
      <c r="Q8715" s="21">
        <f t="shared" si="179"/>
        <v>1</v>
      </c>
      <c r="R8715" s="21">
        <v>1</v>
      </c>
      <c r="S8715" s="21">
        <v>0</v>
      </c>
      <c r="T8715" s="21">
        <v>0</v>
      </c>
      <c r="U8715" s="21">
        <v>0</v>
      </c>
      <c r="V8715" s="21">
        <v>1</v>
      </c>
      <c r="W8715" s="21">
        <v>0</v>
      </c>
      <c r="X8715" s="21">
        <v>0</v>
      </c>
      <c r="Y8715" s="21">
        <v>0</v>
      </c>
      <c r="Z8715" s="21">
        <v>0</v>
      </c>
      <c r="AA8715" s="21">
        <v>0</v>
      </c>
      <c r="AB8715" s="21">
        <v>0</v>
      </c>
      <c r="AC8715" s="21">
        <v>0</v>
      </c>
      <c r="AD8715" s="21">
        <v>0</v>
      </c>
      <c r="AE8715" s="21">
        <v>0</v>
      </c>
      <c r="AF8715" s="21">
        <v>0</v>
      </c>
      <c r="AG8715" s="21">
        <v>0</v>
      </c>
      <c r="AH8715" s="21">
        <f t="shared" si="180"/>
        <v>64</v>
      </c>
      <c r="AI8715" s="21"/>
      <c r="AJ8715" s="21"/>
      <c r="AK8715" s="21"/>
      <c r="AL8715" s="21"/>
      <c r="AM8715" s="21" t="s">
        <v>5489</v>
      </c>
      <c r="AN8715" s="21">
        <v>-122.45572225998301</v>
      </c>
      <c r="AO8715" s="21">
        <v>37.798666852583999</v>
      </c>
      <c r="AP8715" s="21" t="s">
        <v>541</v>
      </c>
    </row>
    <row r="8716" spans="1:42">
      <c r="A8716" s="24">
        <v>43872</v>
      </c>
      <c r="B8716" s="21">
        <v>2</v>
      </c>
      <c r="C8716" s="21">
        <v>315</v>
      </c>
      <c r="D8716" s="21">
        <v>10375</v>
      </c>
      <c r="E8716" t="s">
        <v>37</v>
      </c>
      <c r="F8716" s="21" t="s">
        <v>38</v>
      </c>
      <c r="G8716" s="23" t="s">
        <v>3448</v>
      </c>
      <c r="H8716" s="21">
        <v>13</v>
      </c>
      <c r="I8716" s="23" t="s">
        <v>5490</v>
      </c>
      <c r="J8716" s="21"/>
      <c r="K8716" s="21" t="s">
        <v>5491</v>
      </c>
      <c r="L8716" s="21" t="s">
        <v>11</v>
      </c>
      <c r="M8716" s="21" t="s">
        <v>52</v>
      </c>
      <c r="N8716" s="21" t="s">
        <v>40</v>
      </c>
      <c r="O8716" s="21"/>
      <c r="P8716" s="21">
        <v>252</v>
      </c>
      <c r="Q8716" s="21">
        <f t="shared" si="179"/>
        <v>8</v>
      </c>
      <c r="R8716" s="21">
        <v>7</v>
      </c>
      <c r="S8716" s="21">
        <v>0</v>
      </c>
      <c r="T8716" s="21">
        <v>0</v>
      </c>
      <c r="U8716" s="21">
        <v>0</v>
      </c>
      <c r="V8716" s="21">
        <v>7</v>
      </c>
      <c r="W8716" s="21">
        <v>1</v>
      </c>
      <c r="X8716" s="21">
        <v>0</v>
      </c>
      <c r="Y8716" s="21">
        <v>0</v>
      </c>
      <c r="Z8716" s="21">
        <v>0</v>
      </c>
      <c r="AA8716" s="21">
        <v>0</v>
      </c>
      <c r="AB8716" s="21">
        <v>0</v>
      </c>
      <c r="AC8716" s="21">
        <v>0</v>
      </c>
      <c r="AD8716" s="21">
        <v>0</v>
      </c>
      <c r="AE8716" s="21">
        <v>0</v>
      </c>
      <c r="AF8716" s="21">
        <v>0</v>
      </c>
      <c r="AG8716" s="21">
        <v>0</v>
      </c>
      <c r="AH8716" s="21">
        <f t="shared" si="180"/>
        <v>544</v>
      </c>
      <c r="AI8716" s="21"/>
      <c r="AJ8716" s="21" t="s">
        <v>51</v>
      </c>
      <c r="AK8716" s="21" t="s">
        <v>95</v>
      </c>
      <c r="AL8716" s="21"/>
      <c r="AM8716" s="21" t="s">
        <v>5492</v>
      </c>
      <c r="AN8716" s="21">
        <v>-122.45142079999999</v>
      </c>
      <c r="AO8716" s="21">
        <v>37.800075416666601</v>
      </c>
      <c r="AP8716" s="21" t="s">
        <v>541</v>
      </c>
    </row>
    <row r="8717" spans="1:42">
      <c r="A8717" s="24">
        <v>43872</v>
      </c>
      <c r="B8717" s="21">
        <v>2</v>
      </c>
      <c r="C8717" s="21">
        <v>315</v>
      </c>
      <c r="D8717" s="21">
        <v>10375</v>
      </c>
      <c r="E8717" t="s">
        <v>37</v>
      </c>
      <c r="F8717" s="21" t="s">
        <v>38</v>
      </c>
      <c r="G8717" s="23" t="s">
        <v>3448</v>
      </c>
      <c r="H8717" s="21">
        <v>14</v>
      </c>
      <c r="I8717" s="23" t="s">
        <v>5493</v>
      </c>
      <c r="J8717" s="21"/>
      <c r="K8717" s="21" t="s">
        <v>5494</v>
      </c>
      <c r="L8717" s="21" t="s">
        <v>141</v>
      </c>
      <c r="M8717" s="21" t="s">
        <v>52</v>
      </c>
      <c r="N8717" s="21" t="s">
        <v>40</v>
      </c>
      <c r="O8717" s="21">
        <v>32</v>
      </c>
      <c r="P8717" s="21"/>
      <c r="Q8717" s="21">
        <f t="shared" si="179"/>
        <v>1</v>
      </c>
      <c r="R8717" s="21">
        <v>1</v>
      </c>
      <c r="S8717" s="21">
        <v>0</v>
      </c>
      <c r="T8717" s="21">
        <v>0</v>
      </c>
      <c r="U8717" s="21">
        <v>0</v>
      </c>
      <c r="V8717" s="21">
        <v>1</v>
      </c>
      <c r="W8717" s="21">
        <v>0</v>
      </c>
      <c r="X8717" s="21">
        <v>0</v>
      </c>
      <c r="Y8717" s="21">
        <v>0</v>
      </c>
      <c r="Z8717" s="21">
        <v>0</v>
      </c>
      <c r="AA8717" s="21">
        <v>0</v>
      </c>
      <c r="AB8717" s="21">
        <v>0</v>
      </c>
      <c r="AC8717" s="21">
        <v>0</v>
      </c>
      <c r="AD8717" s="21">
        <v>0</v>
      </c>
      <c r="AE8717" s="21">
        <v>0</v>
      </c>
      <c r="AF8717" s="21">
        <v>0</v>
      </c>
      <c r="AG8717" s="21">
        <v>0</v>
      </c>
      <c r="AH8717" s="21">
        <f t="shared" si="180"/>
        <v>64</v>
      </c>
      <c r="AI8717" s="21"/>
      <c r="AJ8717" s="21"/>
      <c r="AK8717" s="21"/>
      <c r="AL8717" s="21"/>
      <c r="AM8717" s="21" t="s">
        <v>5495</v>
      </c>
      <c r="AN8717" s="21">
        <v>-122.45128098333301</v>
      </c>
      <c r="AO8717" s="21">
        <v>37.801370033333299</v>
      </c>
      <c r="AP8717" s="21" t="s">
        <v>541</v>
      </c>
    </row>
    <row r="8718" spans="1:42">
      <c r="A8718" s="24">
        <v>43872</v>
      </c>
      <c r="B8718" s="21">
        <v>2</v>
      </c>
      <c r="C8718" s="21">
        <v>315</v>
      </c>
      <c r="D8718" s="21">
        <v>10375</v>
      </c>
      <c r="E8718" t="s">
        <v>37</v>
      </c>
      <c r="F8718" s="21" t="s">
        <v>38</v>
      </c>
      <c r="G8718" s="23" t="s">
        <v>3448</v>
      </c>
      <c r="H8718" s="21">
        <v>15</v>
      </c>
      <c r="I8718" s="23" t="s">
        <v>5496</v>
      </c>
      <c r="J8718" s="21"/>
      <c r="K8718" s="21" t="s">
        <v>1008</v>
      </c>
      <c r="L8718" s="21" t="s">
        <v>114</v>
      </c>
      <c r="M8718" s="21" t="s">
        <v>52</v>
      </c>
      <c r="N8718" s="21" t="s">
        <v>40</v>
      </c>
      <c r="O8718" s="21">
        <v>39</v>
      </c>
      <c r="P8718" s="21"/>
      <c r="Q8718" s="21">
        <f t="shared" si="179"/>
        <v>1</v>
      </c>
      <c r="R8718" s="21">
        <v>1</v>
      </c>
      <c r="S8718" s="21">
        <v>0</v>
      </c>
      <c r="T8718" s="21">
        <v>0</v>
      </c>
      <c r="U8718" s="21">
        <v>1</v>
      </c>
      <c r="V8718" s="21">
        <v>0</v>
      </c>
      <c r="W8718" s="21">
        <v>0</v>
      </c>
      <c r="X8718" s="21">
        <v>0</v>
      </c>
      <c r="Y8718" s="21">
        <v>0</v>
      </c>
      <c r="Z8718" s="21">
        <v>0</v>
      </c>
      <c r="AA8718" s="21">
        <v>0</v>
      </c>
      <c r="AB8718" s="21">
        <v>0</v>
      </c>
      <c r="AC8718" s="21">
        <v>0</v>
      </c>
      <c r="AD8718" s="21">
        <v>0</v>
      </c>
      <c r="AE8718" s="21">
        <v>0</v>
      </c>
      <c r="AF8718" s="21">
        <v>0</v>
      </c>
      <c r="AG8718" s="21">
        <v>0</v>
      </c>
      <c r="AH8718" s="21">
        <f t="shared" si="180"/>
        <v>32</v>
      </c>
      <c r="AI8718" s="21"/>
      <c r="AJ8718" s="21" t="s">
        <v>51</v>
      </c>
      <c r="AK8718" s="21" t="s">
        <v>52</v>
      </c>
      <c r="AL8718" s="21"/>
      <c r="AM8718" s="21" t="s">
        <v>5497</v>
      </c>
      <c r="AN8718" s="21">
        <v>-122.45474856666701</v>
      </c>
      <c r="AO8718" s="21">
        <v>37.801708383333299</v>
      </c>
      <c r="AP8718" s="21" t="s">
        <v>541</v>
      </c>
    </row>
    <row r="8719" spans="1:42">
      <c r="A8719" s="24">
        <v>43872</v>
      </c>
      <c r="B8719" s="21">
        <v>2</v>
      </c>
      <c r="C8719" s="21">
        <v>315</v>
      </c>
      <c r="D8719" s="21">
        <v>10375</v>
      </c>
      <c r="E8719" t="s">
        <v>37</v>
      </c>
      <c r="F8719" s="21" t="s">
        <v>38</v>
      </c>
      <c r="G8719" s="23" t="s">
        <v>3448</v>
      </c>
      <c r="H8719" s="21">
        <v>16</v>
      </c>
      <c r="I8719" s="23" t="s">
        <v>5498</v>
      </c>
      <c r="J8719" s="21"/>
      <c r="K8719" t="s">
        <v>102</v>
      </c>
      <c r="L8719" s="21" t="s">
        <v>141</v>
      </c>
      <c r="M8719" s="21" t="s">
        <v>52</v>
      </c>
      <c r="N8719" s="21" t="s">
        <v>40</v>
      </c>
      <c r="O8719" s="21">
        <v>59</v>
      </c>
      <c r="P8719" s="21"/>
      <c r="Q8719" s="21">
        <f t="shared" si="179"/>
        <v>2</v>
      </c>
      <c r="R8719" s="21">
        <v>1</v>
      </c>
      <c r="S8719" s="21">
        <v>0</v>
      </c>
      <c r="T8719" s="21">
        <v>0</v>
      </c>
      <c r="U8719" s="21">
        <v>0</v>
      </c>
      <c r="V8719" s="21">
        <v>0</v>
      </c>
      <c r="W8719" s="21">
        <v>2</v>
      </c>
      <c r="X8719" s="21">
        <v>0</v>
      </c>
      <c r="Y8719" s="21">
        <v>0</v>
      </c>
      <c r="Z8719" s="21">
        <v>0</v>
      </c>
      <c r="AA8719" s="21">
        <v>0</v>
      </c>
      <c r="AB8719" s="21">
        <v>0</v>
      </c>
      <c r="AC8719" s="21">
        <v>0</v>
      </c>
      <c r="AD8719" s="21">
        <v>0</v>
      </c>
      <c r="AE8719" s="21">
        <v>0</v>
      </c>
      <c r="AF8719" s="21">
        <v>0</v>
      </c>
      <c r="AG8719" s="21">
        <v>0</v>
      </c>
      <c r="AH8719" s="21">
        <f t="shared" si="180"/>
        <v>192</v>
      </c>
      <c r="AI8719" s="21"/>
      <c r="AJ8719" s="21" t="s">
        <v>54</v>
      </c>
      <c r="AK8719" s="21" t="s">
        <v>95</v>
      </c>
      <c r="AL8719" s="21"/>
      <c r="AM8719" s="21" t="s">
        <v>5499</v>
      </c>
      <c r="AN8719" s="21">
        <v>-122.4672698</v>
      </c>
      <c r="AO8719" s="21">
        <v>37.805562199999997</v>
      </c>
      <c r="AP8719" s="21" t="s">
        <v>541</v>
      </c>
    </row>
    <row r="8720" spans="1:42">
      <c r="A8720" s="24">
        <v>43872</v>
      </c>
      <c r="B8720" s="21">
        <v>2</v>
      </c>
      <c r="C8720" s="21">
        <v>315</v>
      </c>
      <c r="D8720" s="21">
        <v>10375</v>
      </c>
      <c r="E8720" t="s">
        <v>37</v>
      </c>
      <c r="F8720" s="21" t="s">
        <v>38</v>
      </c>
      <c r="G8720" s="23" t="s">
        <v>3448</v>
      </c>
      <c r="H8720" s="21">
        <v>17</v>
      </c>
      <c r="I8720" s="23" t="s">
        <v>5500</v>
      </c>
      <c r="J8720" s="21"/>
      <c r="K8720" t="s">
        <v>102</v>
      </c>
      <c r="L8720" s="21" t="s">
        <v>114</v>
      </c>
      <c r="M8720" s="21" t="s">
        <v>52</v>
      </c>
      <c r="N8720" s="21" t="s">
        <v>44</v>
      </c>
      <c r="O8720" s="21">
        <v>160</v>
      </c>
      <c r="P8720" s="21"/>
      <c r="Q8720" s="21">
        <f t="shared" si="179"/>
        <v>5</v>
      </c>
      <c r="R8720" s="21">
        <v>1</v>
      </c>
      <c r="S8720" s="21">
        <v>0</v>
      </c>
      <c r="T8720" s="21">
        <v>0</v>
      </c>
      <c r="U8720" s="21">
        <v>0</v>
      </c>
      <c r="V8720" s="21">
        <v>0</v>
      </c>
      <c r="W8720" s="21">
        <v>5</v>
      </c>
      <c r="X8720" s="21">
        <v>0</v>
      </c>
      <c r="Y8720" s="21">
        <v>0</v>
      </c>
      <c r="Z8720" s="21">
        <v>0</v>
      </c>
      <c r="AA8720" s="21">
        <v>0</v>
      </c>
      <c r="AB8720" s="21">
        <v>0</v>
      </c>
      <c r="AC8720" s="21">
        <v>0</v>
      </c>
      <c r="AD8720" s="21">
        <v>0</v>
      </c>
      <c r="AE8720" s="21">
        <v>0</v>
      </c>
      <c r="AF8720" s="21">
        <v>0</v>
      </c>
      <c r="AG8720" s="21">
        <v>0</v>
      </c>
      <c r="AH8720" s="21">
        <f t="shared" si="180"/>
        <v>480</v>
      </c>
      <c r="AI8720" s="21"/>
      <c r="AJ8720" s="21" t="s">
        <v>54</v>
      </c>
      <c r="AK8720" s="21" t="s">
        <v>95</v>
      </c>
      <c r="AL8720" s="21" t="s">
        <v>5501</v>
      </c>
      <c r="AM8720" s="21" t="s">
        <v>5502</v>
      </c>
      <c r="AN8720" s="21">
        <v>-122.46810975</v>
      </c>
      <c r="AO8720" s="21">
        <v>37.803779516666701</v>
      </c>
      <c r="AP8720" s="21" t="s">
        <v>541</v>
      </c>
    </row>
    <row r="8721" spans="1:42">
      <c r="A8721" s="24">
        <v>43872</v>
      </c>
      <c r="B8721" s="21">
        <v>2</v>
      </c>
      <c r="C8721" s="21">
        <v>315</v>
      </c>
      <c r="D8721" s="21">
        <v>10375</v>
      </c>
      <c r="E8721" t="s">
        <v>37</v>
      </c>
      <c r="F8721" s="21" t="s">
        <v>38</v>
      </c>
      <c r="G8721" s="23" t="s">
        <v>3448</v>
      </c>
      <c r="H8721" s="21">
        <v>18</v>
      </c>
      <c r="I8721" s="23" t="s">
        <v>5503</v>
      </c>
      <c r="J8721" s="21"/>
      <c r="K8721" t="s">
        <v>102</v>
      </c>
      <c r="L8721" s="21" t="s">
        <v>114</v>
      </c>
      <c r="M8721" s="21" t="s">
        <v>52</v>
      </c>
      <c r="N8721" s="21" t="s">
        <v>44</v>
      </c>
      <c r="O8721" s="21">
        <v>46</v>
      </c>
      <c r="P8721" s="21"/>
      <c r="Q8721" s="21">
        <f t="shared" si="179"/>
        <v>1</v>
      </c>
      <c r="R8721" s="21">
        <v>1</v>
      </c>
      <c r="S8721" s="21">
        <v>0</v>
      </c>
      <c r="T8721" s="21">
        <v>0</v>
      </c>
      <c r="U8721" s="21">
        <v>0</v>
      </c>
      <c r="V8721" s="21">
        <v>1</v>
      </c>
      <c r="W8721" s="21">
        <v>0</v>
      </c>
      <c r="X8721" s="21">
        <v>0</v>
      </c>
      <c r="Y8721" s="21">
        <v>0</v>
      </c>
      <c r="Z8721" s="21">
        <v>0</v>
      </c>
      <c r="AA8721" s="21">
        <v>0</v>
      </c>
      <c r="AB8721" s="21">
        <v>0</v>
      </c>
      <c r="AC8721" s="21">
        <v>0</v>
      </c>
      <c r="AD8721" s="21">
        <v>0</v>
      </c>
      <c r="AE8721" s="21">
        <v>0</v>
      </c>
      <c r="AF8721" s="21">
        <v>0</v>
      </c>
      <c r="AG8721" s="21">
        <v>0</v>
      </c>
      <c r="AH8721" s="21">
        <f t="shared" si="180"/>
        <v>64</v>
      </c>
      <c r="AI8721" s="21"/>
      <c r="AJ8721" s="21" t="s">
        <v>54</v>
      </c>
      <c r="AK8721" s="21" t="s">
        <v>95</v>
      </c>
      <c r="AL8721" s="21"/>
      <c r="AM8721" s="21" t="s">
        <v>5504</v>
      </c>
      <c r="AN8721" s="21">
        <v>-122.46451816666701</v>
      </c>
      <c r="AO8721" s="21">
        <v>37.803085516666599</v>
      </c>
      <c r="AP8721" s="21" t="s">
        <v>541</v>
      </c>
    </row>
    <row r="8722" spans="1:42">
      <c r="A8722" s="24">
        <v>43872</v>
      </c>
      <c r="B8722" s="21">
        <v>2</v>
      </c>
      <c r="C8722" s="21">
        <v>315</v>
      </c>
      <c r="D8722" s="21">
        <v>10375</v>
      </c>
      <c r="E8722" t="s">
        <v>37</v>
      </c>
      <c r="F8722" s="21" t="s">
        <v>38</v>
      </c>
      <c r="G8722" s="23" t="s">
        <v>3448</v>
      </c>
      <c r="H8722" s="21">
        <v>21</v>
      </c>
      <c r="I8722" s="23" t="s">
        <v>5505</v>
      </c>
      <c r="J8722" s="21"/>
      <c r="K8722" s="21" t="s">
        <v>5506</v>
      </c>
      <c r="L8722" s="21" t="s">
        <v>11</v>
      </c>
      <c r="M8722" s="21" t="s">
        <v>52</v>
      </c>
      <c r="N8722" s="21" t="s">
        <v>40</v>
      </c>
      <c r="O8722" s="21"/>
      <c r="P8722" s="21">
        <v>495</v>
      </c>
      <c r="Q8722" s="21">
        <f t="shared" si="179"/>
        <v>10</v>
      </c>
      <c r="R8722" s="21">
        <v>9</v>
      </c>
      <c r="S8722" s="21">
        <v>0</v>
      </c>
      <c r="T8722" s="21">
        <v>0</v>
      </c>
      <c r="U8722" s="21">
        <v>8</v>
      </c>
      <c r="V8722" s="21">
        <v>2</v>
      </c>
      <c r="W8722" s="21">
        <v>0</v>
      </c>
      <c r="X8722" s="21">
        <v>0</v>
      </c>
      <c r="Y8722" s="21">
        <v>0</v>
      </c>
      <c r="Z8722" s="21">
        <v>0</v>
      </c>
      <c r="AA8722" s="21">
        <v>0</v>
      </c>
      <c r="AB8722" s="21">
        <v>0</v>
      </c>
      <c r="AC8722" s="21">
        <v>0</v>
      </c>
      <c r="AD8722" s="21">
        <v>0</v>
      </c>
      <c r="AE8722" s="21">
        <v>0</v>
      </c>
      <c r="AF8722" s="21">
        <v>0</v>
      </c>
      <c r="AG8722" s="21">
        <v>0</v>
      </c>
      <c r="AH8722" s="21">
        <f t="shared" si="180"/>
        <v>384</v>
      </c>
      <c r="AI8722" s="21"/>
      <c r="AJ8722" s="21" t="s">
        <v>51</v>
      </c>
      <c r="AK8722" s="21" t="s">
        <v>52</v>
      </c>
      <c r="AL8722" s="21"/>
      <c r="AM8722" s="21" t="s">
        <v>5507</v>
      </c>
      <c r="AN8722" s="21">
        <v>-122.457326238093</v>
      </c>
      <c r="AO8722" s="21">
        <v>37.7974303142922</v>
      </c>
      <c r="AP8722" s="21" t="s">
        <v>541</v>
      </c>
    </row>
    <row r="8723" spans="1:42">
      <c r="A8723" s="24">
        <v>43872</v>
      </c>
      <c r="B8723" s="21">
        <v>2</v>
      </c>
      <c r="C8723" s="21">
        <v>315</v>
      </c>
      <c r="D8723" s="21">
        <v>10375</v>
      </c>
      <c r="E8723" t="s">
        <v>37</v>
      </c>
      <c r="F8723" s="21" t="s">
        <v>38</v>
      </c>
      <c r="G8723" s="23" t="s">
        <v>3448</v>
      </c>
      <c r="H8723" s="21">
        <v>22</v>
      </c>
      <c r="I8723" s="23" t="s">
        <v>5508</v>
      </c>
      <c r="J8723" s="21"/>
      <c r="K8723" s="21" t="s">
        <v>5509</v>
      </c>
      <c r="L8723" s="21" t="s">
        <v>11</v>
      </c>
      <c r="M8723" s="21" t="s">
        <v>52</v>
      </c>
      <c r="N8723" s="21" t="s">
        <v>40</v>
      </c>
      <c r="O8723" s="21"/>
      <c r="P8723" s="21">
        <v>28</v>
      </c>
      <c r="Q8723" s="21">
        <f t="shared" si="179"/>
        <v>12</v>
      </c>
      <c r="R8723" s="21">
        <v>9</v>
      </c>
      <c r="S8723" s="21">
        <v>0</v>
      </c>
      <c r="T8723" s="21">
        <v>0</v>
      </c>
      <c r="U8723" s="21">
        <v>12</v>
      </c>
      <c r="V8723" s="21">
        <v>0</v>
      </c>
      <c r="W8723" s="21">
        <v>0</v>
      </c>
      <c r="X8723" s="21">
        <v>0</v>
      </c>
      <c r="Y8723" s="21">
        <v>0</v>
      </c>
      <c r="Z8723" s="21">
        <v>0</v>
      </c>
      <c r="AA8723" s="21">
        <v>0</v>
      </c>
      <c r="AB8723" s="21">
        <v>0</v>
      </c>
      <c r="AC8723" s="21">
        <v>0</v>
      </c>
      <c r="AD8723" s="21">
        <v>0</v>
      </c>
      <c r="AE8723" s="21">
        <v>0</v>
      </c>
      <c r="AF8723" s="21">
        <v>0</v>
      </c>
      <c r="AG8723" s="21">
        <v>0</v>
      </c>
      <c r="AH8723" s="21">
        <f t="shared" si="180"/>
        <v>384</v>
      </c>
      <c r="AI8723" s="21"/>
      <c r="AJ8723" s="21" t="s">
        <v>51</v>
      </c>
      <c r="AK8723" s="21" t="s">
        <v>95</v>
      </c>
      <c r="AL8723" s="21"/>
      <c r="AM8723" s="21" t="s">
        <v>5510</v>
      </c>
      <c r="AN8723" s="21">
        <v>-122.450859983333</v>
      </c>
      <c r="AO8723" s="21">
        <v>37.794719649999998</v>
      </c>
      <c r="AP8723" s="21" t="s">
        <v>541</v>
      </c>
    </row>
    <row r="8724" spans="1:42">
      <c r="A8724" s="24">
        <v>43872</v>
      </c>
      <c r="B8724" s="21">
        <v>2</v>
      </c>
      <c r="C8724" s="21">
        <v>315</v>
      </c>
      <c r="D8724" s="21">
        <v>10375</v>
      </c>
      <c r="E8724" t="s">
        <v>37</v>
      </c>
      <c r="F8724" s="21" t="s">
        <v>38</v>
      </c>
      <c r="G8724" s="23" t="s">
        <v>3448</v>
      </c>
      <c r="H8724" s="21">
        <v>23</v>
      </c>
      <c r="I8724" s="23" t="s">
        <v>5511</v>
      </c>
      <c r="J8724" s="21"/>
      <c r="K8724" s="21" t="s">
        <v>5509</v>
      </c>
      <c r="L8724" s="21" t="s">
        <v>141</v>
      </c>
      <c r="M8724" s="21" t="s">
        <v>52</v>
      </c>
      <c r="N8724" s="21" t="s">
        <v>40</v>
      </c>
      <c r="O8724" s="21">
        <v>46</v>
      </c>
      <c r="P8724" s="21"/>
      <c r="Q8724" s="21">
        <f t="shared" si="179"/>
        <v>1</v>
      </c>
      <c r="R8724" s="21">
        <v>1</v>
      </c>
      <c r="S8724" s="21">
        <v>0</v>
      </c>
      <c r="T8724" s="21">
        <v>0</v>
      </c>
      <c r="U8724" s="21">
        <v>0</v>
      </c>
      <c r="V8724" s="21">
        <v>1</v>
      </c>
      <c r="W8724" s="21">
        <v>0</v>
      </c>
      <c r="X8724" s="21">
        <v>0</v>
      </c>
      <c r="Y8724" s="21">
        <v>0</v>
      </c>
      <c r="Z8724" s="21">
        <v>0</v>
      </c>
      <c r="AA8724" s="21">
        <v>0</v>
      </c>
      <c r="AB8724" s="21">
        <v>0</v>
      </c>
      <c r="AC8724" s="21">
        <v>0</v>
      </c>
      <c r="AD8724" s="21">
        <v>0</v>
      </c>
      <c r="AE8724" s="21">
        <v>0</v>
      </c>
      <c r="AF8724" s="21">
        <v>0</v>
      </c>
      <c r="AG8724" s="21">
        <v>0</v>
      </c>
      <c r="AH8724" s="21">
        <f t="shared" si="180"/>
        <v>64</v>
      </c>
      <c r="AI8724" s="21"/>
      <c r="AJ8724" s="21" t="s">
        <v>51</v>
      </c>
      <c r="AK8724" s="21" t="s">
        <v>95</v>
      </c>
      <c r="AL8724" s="21"/>
      <c r="AM8724" s="21" t="s">
        <v>5512</v>
      </c>
      <c r="AN8724" s="21">
        <v>-122.45024171666699</v>
      </c>
      <c r="AO8724" s="21">
        <v>37.793081000000001</v>
      </c>
      <c r="AP8724" s="21" t="s">
        <v>541</v>
      </c>
    </row>
    <row r="8725" spans="1:42">
      <c r="A8725" s="24">
        <v>43872</v>
      </c>
      <c r="B8725" s="21">
        <v>2</v>
      </c>
      <c r="C8725" s="21">
        <v>315</v>
      </c>
      <c r="D8725" s="21">
        <v>10375</v>
      </c>
      <c r="E8725" t="s">
        <v>37</v>
      </c>
      <c r="F8725" s="21" t="s">
        <v>38</v>
      </c>
      <c r="G8725" s="23" t="s">
        <v>3448</v>
      </c>
      <c r="H8725" s="21">
        <v>24</v>
      </c>
      <c r="I8725" s="23" t="s">
        <v>2791</v>
      </c>
      <c r="J8725" s="21"/>
      <c r="K8725" s="21" t="s">
        <v>415</v>
      </c>
      <c r="L8725" s="21" t="s">
        <v>114</v>
      </c>
      <c r="M8725" s="21" t="s">
        <v>52</v>
      </c>
      <c r="N8725" s="21" t="s">
        <v>40</v>
      </c>
      <c r="O8725" s="21">
        <v>374</v>
      </c>
      <c r="P8725" s="21"/>
      <c r="Q8725" s="21">
        <f t="shared" si="179"/>
        <v>9</v>
      </c>
      <c r="R8725" s="21">
        <v>1</v>
      </c>
      <c r="S8725" s="21">
        <v>0</v>
      </c>
      <c r="T8725" s="21">
        <v>0</v>
      </c>
      <c r="U8725" s="21">
        <v>4</v>
      </c>
      <c r="V8725" s="21">
        <v>5</v>
      </c>
      <c r="W8725" s="21">
        <v>0</v>
      </c>
      <c r="X8725" s="21">
        <v>0</v>
      </c>
      <c r="Y8725" s="21">
        <v>0</v>
      </c>
      <c r="Z8725" s="21">
        <v>0</v>
      </c>
      <c r="AA8725" s="21">
        <v>0</v>
      </c>
      <c r="AB8725" s="21">
        <v>0</v>
      </c>
      <c r="AC8725" s="21">
        <v>0</v>
      </c>
      <c r="AD8725" s="21">
        <v>0</v>
      </c>
      <c r="AE8725" s="21">
        <v>0</v>
      </c>
      <c r="AF8725" s="21">
        <v>0</v>
      </c>
      <c r="AG8725" s="21">
        <v>0</v>
      </c>
      <c r="AH8725" s="21">
        <f t="shared" si="180"/>
        <v>448</v>
      </c>
      <c r="AI8725" s="21"/>
      <c r="AJ8725" s="21" t="s">
        <v>51</v>
      </c>
      <c r="AK8725" s="21" t="s">
        <v>95</v>
      </c>
      <c r="AL8725" s="21" t="s">
        <v>5513</v>
      </c>
      <c r="AM8725" s="21" t="s">
        <v>5514</v>
      </c>
      <c r="AN8725" s="21">
        <v>-122.422067795087</v>
      </c>
      <c r="AO8725" s="21">
        <v>37.7930238132572</v>
      </c>
      <c r="AP8725" s="21" t="s">
        <v>541</v>
      </c>
    </row>
    <row r="8726" spans="1:42">
      <c r="A8726" s="22">
        <v>43874</v>
      </c>
      <c r="B8726" s="21">
        <v>4</v>
      </c>
      <c r="C8726" s="21">
        <v>215</v>
      </c>
      <c r="D8726" s="21">
        <v>14445</v>
      </c>
      <c r="E8726" t="s">
        <v>112</v>
      </c>
      <c r="F8726" s="21" t="s">
        <v>436</v>
      </c>
      <c r="G8726" s="23" t="s">
        <v>4241</v>
      </c>
      <c r="H8726" s="21">
        <v>2</v>
      </c>
      <c r="I8726" s="23" t="s">
        <v>5515</v>
      </c>
      <c r="J8726" s="21"/>
      <c r="K8726" s="21" t="s">
        <v>156</v>
      </c>
      <c r="L8726" s="21" t="s">
        <v>114</v>
      </c>
      <c r="M8726" s="21" t="s">
        <v>52</v>
      </c>
      <c r="N8726" s="21" t="s">
        <v>40</v>
      </c>
      <c r="O8726" s="21">
        <v>73</v>
      </c>
      <c r="P8726" s="21"/>
      <c r="Q8726" s="21">
        <f t="shared" si="179"/>
        <v>2</v>
      </c>
      <c r="R8726" s="21">
        <v>0</v>
      </c>
      <c r="S8726" s="21">
        <v>0</v>
      </c>
      <c r="T8726" s="21">
        <v>0</v>
      </c>
      <c r="U8726" s="21">
        <v>1</v>
      </c>
      <c r="V8726" s="21">
        <v>0</v>
      </c>
      <c r="W8726" s="21">
        <v>1</v>
      </c>
      <c r="X8726" s="21">
        <v>0</v>
      </c>
      <c r="Y8726" s="21">
        <v>0</v>
      </c>
      <c r="Z8726" s="21">
        <v>0</v>
      </c>
      <c r="AA8726" s="21">
        <v>0</v>
      </c>
      <c r="AB8726" s="21">
        <v>0</v>
      </c>
      <c r="AC8726" s="21">
        <v>0</v>
      </c>
      <c r="AD8726" s="21">
        <v>0</v>
      </c>
      <c r="AE8726" s="21">
        <v>0</v>
      </c>
      <c r="AF8726" s="21">
        <v>0</v>
      </c>
      <c r="AG8726" s="21">
        <v>0</v>
      </c>
      <c r="AH8726" s="21">
        <f t="shared" si="180"/>
        <v>128</v>
      </c>
      <c r="AI8726" s="21"/>
      <c r="AJ8726" s="21" t="s">
        <v>51</v>
      </c>
      <c r="AK8726" s="21" t="s">
        <v>52</v>
      </c>
      <c r="AL8726" s="21" t="s">
        <v>589</v>
      </c>
      <c r="AM8726" s="21" t="s">
        <v>5516</v>
      </c>
      <c r="AN8726" s="21">
        <v>-122.42712960581299</v>
      </c>
      <c r="AO8726" s="21">
        <v>37.7963740166932</v>
      </c>
      <c r="AP8726" s="21" t="s">
        <v>541</v>
      </c>
    </row>
    <row r="8727" spans="1:42">
      <c r="A8727" s="22">
        <v>43874</v>
      </c>
      <c r="B8727" s="21">
        <v>4</v>
      </c>
      <c r="C8727" s="21">
        <v>215</v>
      </c>
      <c r="D8727" s="21">
        <v>14445</v>
      </c>
      <c r="E8727" t="s">
        <v>112</v>
      </c>
      <c r="F8727" s="21" t="s">
        <v>436</v>
      </c>
      <c r="G8727" s="23" t="s">
        <v>4241</v>
      </c>
      <c r="H8727" s="21">
        <v>3</v>
      </c>
      <c r="I8727" s="23" t="s">
        <v>5375</v>
      </c>
      <c r="J8727" s="21"/>
      <c r="K8727" s="21" t="s">
        <v>156</v>
      </c>
      <c r="L8727" s="21" t="s">
        <v>114</v>
      </c>
      <c r="M8727" s="21" t="s">
        <v>52</v>
      </c>
      <c r="N8727" s="21" t="s">
        <v>40</v>
      </c>
      <c r="O8727" s="21">
        <v>44</v>
      </c>
      <c r="P8727" s="21"/>
      <c r="Q8727" s="21">
        <f t="shared" si="179"/>
        <v>2</v>
      </c>
      <c r="R8727" s="21">
        <v>0</v>
      </c>
      <c r="S8727" s="21">
        <v>0</v>
      </c>
      <c r="T8727" s="21">
        <v>0</v>
      </c>
      <c r="U8727" s="21">
        <v>0</v>
      </c>
      <c r="V8727" s="21">
        <v>1</v>
      </c>
      <c r="W8727" s="21">
        <v>1</v>
      </c>
      <c r="X8727" s="21">
        <v>0</v>
      </c>
      <c r="Y8727" s="21">
        <v>0</v>
      </c>
      <c r="Z8727" s="21">
        <v>0</v>
      </c>
      <c r="AA8727" s="21">
        <v>0</v>
      </c>
      <c r="AB8727" s="21">
        <v>0</v>
      </c>
      <c r="AC8727" s="21">
        <v>0</v>
      </c>
      <c r="AD8727" s="21">
        <v>0</v>
      </c>
      <c r="AE8727" s="21">
        <v>0</v>
      </c>
      <c r="AF8727" s="21">
        <v>0</v>
      </c>
      <c r="AG8727" s="21">
        <v>0</v>
      </c>
      <c r="AH8727" s="21">
        <f t="shared" si="180"/>
        <v>160</v>
      </c>
      <c r="AI8727" s="21"/>
      <c r="AJ8727" s="21" t="s">
        <v>51</v>
      </c>
      <c r="AK8727" s="21" t="s">
        <v>52</v>
      </c>
      <c r="AL8727" s="21"/>
      <c r="AM8727" s="21" t="s">
        <v>5517</v>
      </c>
      <c r="AN8727" s="21">
        <v>-122.42964841666701</v>
      </c>
      <c r="AO8727" s="21">
        <v>37.797881133333298</v>
      </c>
      <c r="AP8727" s="21" t="s">
        <v>541</v>
      </c>
    </row>
    <row r="8728" spans="1:42">
      <c r="A8728" s="22">
        <v>43874</v>
      </c>
      <c r="B8728" s="21">
        <v>4</v>
      </c>
      <c r="C8728" s="21">
        <v>215</v>
      </c>
      <c r="D8728" s="21">
        <v>14445</v>
      </c>
      <c r="E8728" t="s">
        <v>112</v>
      </c>
      <c r="F8728" s="21" t="s">
        <v>436</v>
      </c>
      <c r="G8728" s="23" t="s">
        <v>4241</v>
      </c>
      <c r="H8728" s="21">
        <v>5</v>
      </c>
      <c r="I8728" s="23" t="s">
        <v>5518</v>
      </c>
      <c r="J8728" s="21"/>
      <c r="K8728" s="21" t="s">
        <v>156</v>
      </c>
      <c r="L8728" s="21" t="s">
        <v>114</v>
      </c>
      <c r="M8728" s="21" t="s">
        <v>52</v>
      </c>
      <c r="N8728" s="21" t="s">
        <v>40</v>
      </c>
      <c r="O8728" s="21">
        <v>46</v>
      </c>
      <c r="P8728" s="21"/>
      <c r="Q8728" s="21">
        <f t="shared" si="179"/>
        <v>2</v>
      </c>
      <c r="R8728" s="21">
        <v>0</v>
      </c>
      <c r="S8728" s="21">
        <v>0</v>
      </c>
      <c r="T8728" s="21">
        <v>0</v>
      </c>
      <c r="U8728" s="21">
        <v>0</v>
      </c>
      <c r="V8728" s="21">
        <v>2</v>
      </c>
      <c r="W8728" s="21">
        <v>0</v>
      </c>
      <c r="X8728" s="21">
        <v>0</v>
      </c>
      <c r="Y8728" s="21">
        <v>0</v>
      </c>
      <c r="Z8728" s="21">
        <v>0</v>
      </c>
      <c r="AA8728" s="21">
        <v>0</v>
      </c>
      <c r="AB8728" s="21">
        <v>0</v>
      </c>
      <c r="AC8728" s="21">
        <v>0</v>
      </c>
      <c r="AD8728" s="21">
        <v>0</v>
      </c>
      <c r="AE8728" s="21">
        <v>0</v>
      </c>
      <c r="AF8728" s="21">
        <v>0</v>
      </c>
      <c r="AG8728" s="21">
        <v>0</v>
      </c>
      <c r="AH8728" s="21">
        <f t="shared" si="180"/>
        <v>128</v>
      </c>
      <c r="AI8728" s="21"/>
      <c r="AJ8728" s="21" t="s">
        <v>51</v>
      </c>
      <c r="AK8728" s="21" t="s">
        <v>52</v>
      </c>
      <c r="AL8728" s="21"/>
      <c r="AM8728" s="21" t="s">
        <v>5519</v>
      </c>
      <c r="AN8728" s="21">
        <v>-122.43146424618701</v>
      </c>
      <c r="AO8728" s="21">
        <v>37.797088152871403</v>
      </c>
      <c r="AP8728" s="21" t="s">
        <v>541</v>
      </c>
    </row>
    <row r="8729" spans="1:42">
      <c r="A8729" s="22">
        <v>43874</v>
      </c>
      <c r="B8729" s="21">
        <v>4</v>
      </c>
      <c r="C8729" s="21">
        <v>215</v>
      </c>
      <c r="D8729" s="21">
        <v>14445</v>
      </c>
      <c r="E8729" t="s">
        <v>112</v>
      </c>
      <c r="F8729" s="21" t="s">
        <v>436</v>
      </c>
      <c r="G8729" s="23" t="s">
        <v>4241</v>
      </c>
      <c r="H8729" s="21">
        <v>6</v>
      </c>
      <c r="I8729" s="23" t="s">
        <v>5520</v>
      </c>
      <c r="J8729" s="21"/>
      <c r="K8729" s="21" t="s">
        <v>156</v>
      </c>
      <c r="L8729" s="21" t="s">
        <v>114</v>
      </c>
      <c r="M8729" s="21" t="s">
        <v>52</v>
      </c>
      <c r="N8729" s="21" t="s">
        <v>40</v>
      </c>
      <c r="O8729" s="21">
        <v>89</v>
      </c>
      <c r="P8729" s="21"/>
      <c r="Q8729" s="21">
        <f t="shared" si="179"/>
        <v>4</v>
      </c>
      <c r="R8729" s="21">
        <v>0</v>
      </c>
      <c r="S8729" s="21">
        <v>0</v>
      </c>
      <c r="T8729" s="21">
        <v>0</v>
      </c>
      <c r="U8729" s="21">
        <v>0</v>
      </c>
      <c r="V8729" s="21">
        <v>2</v>
      </c>
      <c r="W8729" s="21">
        <v>2</v>
      </c>
      <c r="X8729" s="21">
        <v>0</v>
      </c>
      <c r="Y8729" s="21">
        <v>0</v>
      </c>
      <c r="Z8729" s="21">
        <v>0</v>
      </c>
      <c r="AA8729" s="21">
        <v>0</v>
      </c>
      <c r="AB8729" s="21">
        <v>0</v>
      </c>
      <c r="AC8729" s="21">
        <v>0</v>
      </c>
      <c r="AD8729" s="21">
        <v>0</v>
      </c>
      <c r="AE8729" s="21">
        <v>0</v>
      </c>
      <c r="AF8729" s="21">
        <v>0</v>
      </c>
      <c r="AG8729" s="21">
        <v>0</v>
      </c>
      <c r="AH8729" s="21">
        <f t="shared" si="180"/>
        <v>320</v>
      </c>
      <c r="AI8729" s="21"/>
      <c r="AJ8729" s="21" t="s">
        <v>51</v>
      </c>
      <c r="AK8729" s="21" t="s">
        <v>52</v>
      </c>
      <c r="AL8729" s="21"/>
      <c r="AM8729" s="21" t="s">
        <v>5521</v>
      </c>
      <c r="AN8729" s="21">
        <v>-122.431398983333</v>
      </c>
      <c r="AO8729" s="21">
        <v>37.797662266666698</v>
      </c>
      <c r="AP8729" s="21" t="s">
        <v>541</v>
      </c>
    </row>
    <row r="8730" spans="1:42">
      <c r="A8730" s="22">
        <v>43874</v>
      </c>
      <c r="B8730" s="21">
        <v>4</v>
      </c>
      <c r="C8730" s="21">
        <v>215</v>
      </c>
      <c r="D8730" s="21">
        <v>14445</v>
      </c>
      <c r="E8730" t="s">
        <v>112</v>
      </c>
      <c r="F8730" s="21" t="s">
        <v>436</v>
      </c>
      <c r="G8730" s="23" t="s">
        <v>4241</v>
      </c>
      <c r="H8730" s="21">
        <v>7</v>
      </c>
      <c r="I8730" s="23" t="s">
        <v>5522</v>
      </c>
      <c r="J8730" s="21"/>
      <c r="K8730" s="21" t="s">
        <v>4904</v>
      </c>
      <c r="L8730" s="21" t="s">
        <v>114</v>
      </c>
      <c r="M8730" s="21" t="s">
        <v>52</v>
      </c>
      <c r="N8730" s="21" t="s">
        <v>42</v>
      </c>
      <c r="O8730" s="21">
        <v>182</v>
      </c>
      <c r="P8730" s="21"/>
      <c r="Q8730" s="21">
        <f t="shared" si="179"/>
        <v>3</v>
      </c>
      <c r="R8730" s="21">
        <v>0</v>
      </c>
      <c r="S8730" s="21">
        <v>0</v>
      </c>
      <c r="T8730" s="21">
        <v>0</v>
      </c>
      <c r="U8730" s="21">
        <v>1</v>
      </c>
      <c r="V8730" s="21">
        <v>2</v>
      </c>
      <c r="W8730" s="21">
        <v>0</v>
      </c>
      <c r="X8730" s="21">
        <v>0</v>
      </c>
      <c r="Y8730" s="21">
        <v>0</v>
      </c>
      <c r="Z8730" s="21">
        <v>0</v>
      </c>
      <c r="AA8730" s="21">
        <v>0</v>
      </c>
      <c r="AB8730" s="21">
        <v>0</v>
      </c>
      <c r="AC8730" s="21">
        <v>0</v>
      </c>
      <c r="AD8730" s="21">
        <v>0</v>
      </c>
      <c r="AE8730" s="21">
        <v>0</v>
      </c>
      <c r="AF8730" s="21">
        <v>0</v>
      </c>
      <c r="AG8730" s="21">
        <v>0</v>
      </c>
      <c r="AH8730" s="21">
        <f t="shared" si="180"/>
        <v>160</v>
      </c>
      <c r="AI8730" s="21"/>
      <c r="AJ8730" s="21" t="s">
        <v>51</v>
      </c>
      <c r="AK8730" s="21" t="s">
        <v>52</v>
      </c>
      <c r="AL8730" s="21" t="s">
        <v>5523</v>
      </c>
      <c r="AM8730" s="21" t="s">
        <v>5524</v>
      </c>
      <c r="AN8730" s="21">
        <v>-122.43139238333301</v>
      </c>
      <c r="AO8730" s="21">
        <v>37.797662383333297</v>
      </c>
      <c r="AP8730" s="21" t="s">
        <v>541</v>
      </c>
    </row>
    <row r="8731" spans="1:42">
      <c r="A8731" s="22">
        <v>43874</v>
      </c>
      <c r="B8731" s="21">
        <v>4</v>
      </c>
      <c r="C8731" s="21">
        <v>215</v>
      </c>
      <c r="D8731" s="21">
        <v>14445</v>
      </c>
      <c r="E8731" t="s">
        <v>112</v>
      </c>
      <c r="F8731" s="21" t="s">
        <v>436</v>
      </c>
      <c r="G8731" s="23" t="s">
        <v>4241</v>
      </c>
      <c r="H8731" s="21">
        <v>8</v>
      </c>
      <c r="I8731" s="23" t="s">
        <v>2551</v>
      </c>
      <c r="J8731" s="21"/>
      <c r="K8731" s="21" t="s">
        <v>4904</v>
      </c>
      <c r="L8731" s="21" t="s">
        <v>141</v>
      </c>
      <c r="M8731" s="21" t="s">
        <v>52</v>
      </c>
      <c r="N8731" s="21" t="s">
        <v>40</v>
      </c>
      <c r="O8731" s="21">
        <v>67</v>
      </c>
      <c r="P8731" s="21"/>
      <c r="Q8731" s="21">
        <f t="shared" si="179"/>
        <v>3</v>
      </c>
      <c r="R8731" s="21">
        <v>0</v>
      </c>
      <c r="S8731" s="21">
        <v>0</v>
      </c>
      <c r="T8731" s="21">
        <v>0</v>
      </c>
      <c r="U8731" s="21">
        <v>2</v>
      </c>
      <c r="V8731" s="21">
        <v>1</v>
      </c>
      <c r="W8731" s="21">
        <v>0</v>
      </c>
      <c r="X8731" s="21">
        <v>0</v>
      </c>
      <c r="Y8731" s="21">
        <v>0</v>
      </c>
      <c r="Z8731" s="21">
        <v>0</v>
      </c>
      <c r="AA8731" s="21">
        <v>0</v>
      </c>
      <c r="AB8731" s="21">
        <v>0</v>
      </c>
      <c r="AC8731" s="21">
        <v>0</v>
      </c>
      <c r="AD8731" s="21">
        <v>0</v>
      </c>
      <c r="AE8731" s="21">
        <v>0</v>
      </c>
      <c r="AF8731" s="21">
        <v>0</v>
      </c>
      <c r="AG8731" s="21">
        <v>0</v>
      </c>
      <c r="AH8731" s="21">
        <f t="shared" si="180"/>
        <v>128</v>
      </c>
      <c r="AI8731" s="21"/>
      <c r="AJ8731" s="21" t="s">
        <v>54</v>
      </c>
      <c r="AK8731" s="21" t="s">
        <v>52</v>
      </c>
      <c r="AL8731" s="21"/>
      <c r="AM8731" s="21" t="s">
        <v>5525</v>
      </c>
      <c r="AN8731" s="21">
        <v>-122.43232347114299</v>
      </c>
      <c r="AO8731" s="21">
        <v>37.797351698039002</v>
      </c>
      <c r="AP8731" s="21" t="s">
        <v>541</v>
      </c>
    </row>
    <row r="8732" spans="1:42">
      <c r="A8732" s="22">
        <v>43874</v>
      </c>
      <c r="B8732" s="21">
        <v>4</v>
      </c>
      <c r="C8732" s="21">
        <v>215</v>
      </c>
      <c r="D8732" s="21">
        <v>14445</v>
      </c>
      <c r="E8732" t="s">
        <v>112</v>
      </c>
      <c r="F8732" s="21" t="s">
        <v>436</v>
      </c>
      <c r="G8732" s="23" t="s">
        <v>4241</v>
      </c>
      <c r="H8732" s="21">
        <v>9</v>
      </c>
      <c r="I8732" s="23" t="s">
        <v>5526</v>
      </c>
      <c r="J8732" s="21"/>
      <c r="K8732" s="21" t="s">
        <v>156</v>
      </c>
      <c r="L8732" s="21" t="s">
        <v>141</v>
      </c>
      <c r="M8732" s="21" t="s">
        <v>52</v>
      </c>
      <c r="N8732" s="21" t="s">
        <v>40</v>
      </c>
      <c r="O8732" s="21">
        <v>39</v>
      </c>
      <c r="P8732" s="21"/>
      <c r="Q8732" s="21">
        <f t="shared" si="179"/>
        <v>2</v>
      </c>
      <c r="R8732" s="21">
        <v>0</v>
      </c>
      <c r="S8732" s="21">
        <v>0</v>
      </c>
      <c r="T8732" s="21">
        <v>0</v>
      </c>
      <c r="U8732" s="21">
        <v>1</v>
      </c>
      <c r="V8732" s="21">
        <v>0</v>
      </c>
      <c r="W8732" s="21">
        <v>1</v>
      </c>
      <c r="X8732" s="21">
        <v>0</v>
      </c>
      <c r="Y8732" s="21">
        <v>0</v>
      </c>
      <c r="Z8732" s="21">
        <v>0</v>
      </c>
      <c r="AA8732" s="21">
        <v>0</v>
      </c>
      <c r="AB8732" s="21">
        <v>0</v>
      </c>
      <c r="AC8732" s="21">
        <v>0</v>
      </c>
      <c r="AD8732" s="21">
        <v>0</v>
      </c>
      <c r="AE8732" s="21">
        <v>0</v>
      </c>
      <c r="AF8732" s="21">
        <v>0</v>
      </c>
      <c r="AG8732" s="21">
        <v>0</v>
      </c>
      <c r="AH8732" s="21">
        <f t="shared" si="180"/>
        <v>128</v>
      </c>
      <c r="AI8732" s="21"/>
      <c r="AJ8732" s="21" t="s">
        <v>54</v>
      </c>
      <c r="AK8732" s="21" t="s">
        <v>52</v>
      </c>
      <c r="AL8732" s="21"/>
      <c r="AM8732" s="21" t="s">
        <v>5527</v>
      </c>
      <c r="AN8732" s="21">
        <v>-122.42989301666699</v>
      </c>
      <c r="AO8732" s="21">
        <v>37.797799233333301</v>
      </c>
      <c r="AP8732" s="21" t="s">
        <v>541</v>
      </c>
    </row>
    <row r="8733" spans="1:42">
      <c r="A8733" s="22">
        <v>43874</v>
      </c>
      <c r="B8733" s="21">
        <v>4</v>
      </c>
      <c r="C8733" s="21">
        <v>215</v>
      </c>
      <c r="D8733" s="21">
        <v>14445</v>
      </c>
      <c r="E8733" t="s">
        <v>112</v>
      </c>
      <c r="F8733" s="21" t="s">
        <v>436</v>
      </c>
      <c r="G8733" s="23" t="s">
        <v>4241</v>
      </c>
      <c r="H8733" s="21">
        <v>10</v>
      </c>
      <c r="I8733" s="23" t="s">
        <v>5528</v>
      </c>
      <c r="J8733" s="21"/>
      <c r="K8733" s="21" t="s">
        <v>156</v>
      </c>
      <c r="L8733" s="21" t="s">
        <v>141</v>
      </c>
      <c r="M8733" s="21" t="s">
        <v>52</v>
      </c>
      <c r="N8733" s="21" t="s">
        <v>44</v>
      </c>
      <c r="O8733" s="21">
        <v>249</v>
      </c>
      <c r="P8733" s="21"/>
      <c r="Q8733" s="21">
        <f t="shared" si="179"/>
        <v>3</v>
      </c>
      <c r="R8733" s="21">
        <v>0</v>
      </c>
      <c r="S8733" s="21">
        <v>0</v>
      </c>
      <c r="T8733" s="21">
        <v>0</v>
      </c>
      <c r="U8733" s="21">
        <v>0</v>
      </c>
      <c r="V8733" s="21">
        <v>0</v>
      </c>
      <c r="W8733" s="21">
        <v>3</v>
      </c>
      <c r="X8733" s="21">
        <v>0</v>
      </c>
      <c r="Y8733" s="21">
        <v>0</v>
      </c>
      <c r="Z8733" s="21">
        <v>0</v>
      </c>
      <c r="AA8733" s="21">
        <v>0</v>
      </c>
      <c r="AB8733" s="21">
        <v>0</v>
      </c>
      <c r="AC8733" s="21">
        <v>0</v>
      </c>
      <c r="AD8733" s="21">
        <v>0</v>
      </c>
      <c r="AE8733" s="21">
        <v>0</v>
      </c>
      <c r="AF8733" s="21">
        <v>0</v>
      </c>
      <c r="AG8733" s="21">
        <v>0</v>
      </c>
      <c r="AH8733" s="21">
        <f t="shared" si="180"/>
        <v>288</v>
      </c>
      <c r="AI8733" s="21"/>
      <c r="AJ8733" s="21" t="s">
        <v>51</v>
      </c>
      <c r="AK8733" s="21" t="s">
        <v>52</v>
      </c>
      <c r="AL8733" s="21" t="s">
        <v>5403</v>
      </c>
      <c r="AM8733" s="21" t="s">
        <v>5529</v>
      </c>
      <c r="AN8733" s="21">
        <v>-122.429351166667</v>
      </c>
      <c r="AO8733" s="21">
        <v>37.797882733333303</v>
      </c>
      <c r="AP8733" s="21" t="s">
        <v>541</v>
      </c>
    </row>
    <row r="8734" spans="1:42">
      <c r="A8734" s="22">
        <v>43874</v>
      </c>
      <c r="B8734" s="21">
        <v>4</v>
      </c>
      <c r="C8734" s="21">
        <v>215</v>
      </c>
      <c r="D8734" s="21">
        <v>14445</v>
      </c>
      <c r="E8734" t="s">
        <v>112</v>
      </c>
      <c r="F8734" s="21" t="s">
        <v>436</v>
      </c>
      <c r="G8734" s="23" t="s">
        <v>4241</v>
      </c>
      <c r="H8734" s="21">
        <v>11</v>
      </c>
      <c r="I8734" s="23" t="s">
        <v>5530</v>
      </c>
      <c r="J8734" s="21"/>
      <c r="K8734" s="21" t="s">
        <v>156</v>
      </c>
      <c r="L8734" s="21" t="s">
        <v>141</v>
      </c>
      <c r="M8734" s="21" t="s">
        <v>52</v>
      </c>
      <c r="N8734" s="21" t="s">
        <v>40</v>
      </c>
      <c r="O8734" s="21">
        <v>69</v>
      </c>
      <c r="P8734" s="21"/>
      <c r="Q8734" s="21">
        <f t="shared" si="179"/>
        <v>3</v>
      </c>
      <c r="R8734" s="21">
        <v>0</v>
      </c>
      <c r="S8734" s="21">
        <v>0</v>
      </c>
      <c r="T8734" s="21">
        <v>0</v>
      </c>
      <c r="U8734" s="21">
        <v>0</v>
      </c>
      <c r="V8734" s="21">
        <v>3</v>
      </c>
      <c r="W8734" s="21">
        <v>0</v>
      </c>
      <c r="X8734" s="21">
        <v>0</v>
      </c>
      <c r="Y8734" s="21">
        <v>0</v>
      </c>
      <c r="Z8734" s="21">
        <v>0</v>
      </c>
      <c r="AA8734" s="21">
        <v>0</v>
      </c>
      <c r="AB8734" s="21">
        <v>0</v>
      </c>
      <c r="AC8734" s="21">
        <v>0</v>
      </c>
      <c r="AD8734" s="21">
        <v>0</v>
      </c>
      <c r="AE8734" s="21">
        <v>0</v>
      </c>
      <c r="AF8734" s="21">
        <v>0</v>
      </c>
      <c r="AG8734" s="21">
        <v>0</v>
      </c>
      <c r="AH8734" s="21">
        <f t="shared" si="180"/>
        <v>192</v>
      </c>
      <c r="AI8734" s="21"/>
      <c r="AJ8734" s="21" t="s">
        <v>51</v>
      </c>
      <c r="AK8734" s="21" t="s">
        <v>52</v>
      </c>
      <c r="AL8734" s="21"/>
      <c r="AM8734" s="21" t="s">
        <v>5531</v>
      </c>
      <c r="AN8734" s="21">
        <v>-122.429179283333</v>
      </c>
      <c r="AO8734" s="21">
        <v>37.797874866666596</v>
      </c>
      <c r="AP8734" s="21" t="s">
        <v>541</v>
      </c>
    </row>
    <row r="8735" spans="1:42">
      <c r="A8735" s="22">
        <v>43874</v>
      </c>
      <c r="B8735" s="21">
        <v>4</v>
      </c>
      <c r="C8735" s="21">
        <v>215</v>
      </c>
      <c r="D8735" s="21">
        <v>14445</v>
      </c>
      <c r="E8735" t="s">
        <v>112</v>
      </c>
      <c r="F8735" s="21" t="s">
        <v>436</v>
      </c>
      <c r="G8735" s="23" t="s">
        <v>4241</v>
      </c>
      <c r="H8735" s="21">
        <v>12</v>
      </c>
      <c r="I8735" s="23" t="s">
        <v>5532</v>
      </c>
      <c r="J8735" s="21"/>
      <c r="K8735" s="21" t="s">
        <v>210</v>
      </c>
      <c r="L8735" s="21" t="s">
        <v>141</v>
      </c>
      <c r="M8735" s="21" t="s">
        <v>52</v>
      </c>
      <c r="N8735" s="21" t="s">
        <v>40</v>
      </c>
      <c r="O8735" s="21">
        <v>118</v>
      </c>
      <c r="P8735" s="21"/>
      <c r="Q8735" s="21">
        <f t="shared" si="179"/>
        <v>5</v>
      </c>
      <c r="R8735" s="21">
        <v>0</v>
      </c>
      <c r="S8735" s="21">
        <v>0</v>
      </c>
      <c r="T8735" s="21">
        <v>0</v>
      </c>
      <c r="U8735" s="21">
        <v>2</v>
      </c>
      <c r="V8735" s="21">
        <v>0</v>
      </c>
      <c r="W8735" s="21">
        <v>1</v>
      </c>
      <c r="X8735" s="21">
        <v>0</v>
      </c>
      <c r="Y8735" s="21">
        <v>0</v>
      </c>
      <c r="Z8735" s="21">
        <v>0</v>
      </c>
      <c r="AA8735" s="21">
        <v>0</v>
      </c>
      <c r="AB8735" s="21">
        <v>0</v>
      </c>
      <c r="AC8735" s="21">
        <v>0</v>
      </c>
      <c r="AD8735" s="21">
        <v>0</v>
      </c>
      <c r="AE8735" s="21">
        <v>2</v>
      </c>
      <c r="AF8735" s="21">
        <v>0</v>
      </c>
      <c r="AG8735" s="21">
        <v>0</v>
      </c>
      <c r="AH8735" s="21">
        <f t="shared" si="180"/>
        <v>160</v>
      </c>
      <c r="AI8735" s="21"/>
      <c r="AJ8735" s="21" t="s">
        <v>51</v>
      </c>
      <c r="AK8735" s="21" t="s">
        <v>52</v>
      </c>
      <c r="AL8735" s="21" t="s">
        <v>5533</v>
      </c>
      <c r="AM8735" s="21" t="s">
        <v>5534</v>
      </c>
      <c r="AN8735" s="21">
        <v>-122.432408183333</v>
      </c>
      <c r="AO8735" s="21">
        <v>37.800267616666702</v>
      </c>
      <c r="AP8735" s="21" t="s">
        <v>541</v>
      </c>
    </row>
    <row r="8736" spans="1:42">
      <c r="A8736" s="22">
        <v>43874</v>
      </c>
      <c r="B8736" s="21">
        <v>4</v>
      </c>
      <c r="C8736" s="21">
        <v>215</v>
      </c>
      <c r="D8736" s="21">
        <v>14445</v>
      </c>
      <c r="E8736" t="s">
        <v>112</v>
      </c>
      <c r="F8736" s="21" t="s">
        <v>436</v>
      </c>
      <c r="G8736" s="23" t="s">
        <v>4241</v>
      </c>
      <c r="H8736" s="21">
        <v>13</v>
      </c>
      <c r="I8736" s="23" t="s">
        <v>5535</v>
      </c>
      <c r="J8736" s="21"/>
      <c r="K8736" s="21" t="s">
        <v>210</v>
      </c>
      <c r="L8736" s="21" t="s">
        <v>141</v>
      </c>
      <c r="M8736" s="21" t="s">
        <v>52</v>
      </c>
      <c r="N8736" s="21" t="s">
        <v>42</v>
      </c>
      <c r="O8736" s="21">
        <v>170</v>
      </c>
      <c r="P8736" s="21"/>
      <c r="Q8736" s="21">
        <f t="shared" si="179"/>
        <v>9</v>
      </c>
      <c r="R8736" s="21">
        <v>0</v>
      </c>
      <c r="S8736" s="21">
        <v>0</v>
      </c>
      <c r="T8736" s="21">
        <v>0</v>
      </c>
      <c r="U8736" s="21">
        <v>7</v>
      </c>
      <c r="V8736" s="21">
        <v>1</v>
      </c>
      <c r="W8736" s="21">
        <v>1</v>
      </c>
      <c r="X8736" s="21">
        <v>0</v>
      </c>
      <c r="Y8736" s="21">
        <v>0</v>
      </c>
      <c r="Z8736" s="21">
        <v>0</v>
      </c>
      <c r="AA8736" s="21">
        <v>0</v>
      </c>
      <c r="AB8736" s="21">
        <v>0</v>
      </c>
      <c r="AC8736" s="21">
        <v>0</v>
      </c>
      <c r="AD8736" s="21">
        <v>0</v>
      </c>
      <c r="AE8736" s="21">
        <v>0</v>
      </c>
      <c r="AF8736" s="21">
        <v>0</v>
      </c>
      <c r="AG8736" s="21">
        <v>0</v>
      </c>
      <c r="AH8736" s="21">
        <f t="shared" si="180"/>
        <v>384</v>
      </c>
      <c r="AI8736" s="21"/>
      <c r="AJ8736" s="21" t="s">
        <v>51</v>
      </c>
      <c r="AK8736" s="21" t="s">
        <v>52</v>
      </c>
      <c r="AL8736" s="21" t="s">
        <v>587</v>
      </c>
      <c r="AM8736" s="21" t="s">
        <v>5536</v>
      </c>
      <c r="AN8736" s="21">
        <v>-122.43210105</v>
      </c>
      <c r="AO8736" s="21">
        <v>37.800303649999996</v>
      </c>
      <c r="AP8736" s="21" t="s">
        <v>541</v>
      </c>
    </row>
    <row r="8737" spans="1:42">
      <c r="A8737" s="22">
        <v>43874</v>
      </c>
      <c r="B8737" s="21">
        <v>4</v>
      </c>
      <c r="C8737" s="21">
        <v>215</v>
      </c>
      <c r="D8737" s="21">
        <v>14445</v>
      </c>
      <c r="E8737" t="s">
        <v>112</v>
      </c>
      <c r="F8737" s="21" t="s">
        <v>436</v>
      </c>
      <c r="G8737" s="23" t="s">
        <v>4241</v>
      </c>
      <c r="H8737" s="21">
        <v>14</v>
      </c>
      <c r="I8737" s="23" t="s">
        <v>5537</v>
      </c>
      <c r="J8737" s="21"/>
      <c r="K8737" s="21" t="s">
        <v>210</v>
      </c>
      <c r="L8737" s="21" t="s">
        <v>141</v>
      </c>
      <c r="M8737" s="21" t="s">
        <v>52</v>
      </c>
      <c r="N8737" s="21" t="s">
        <v>42</v>
      </c>
      <c r="O8737" s="21">
        <v>114</v>
      </c>
      <c r="P8737" s="21"/>
      <c r="Q8737" s="21">
        <f t="shared" si="179"/>
        <v>2</v>
      </c>
      <c r="R8737" s="21">
        <v>0</v>
      </c>
      <c r="S8737" s="21">
        <v>0</v>
      </c>
      <c r="T8737" s="21">
        <v>0</v>
      </c>
      <c r="U8737" s="21">
        <v>0</v>
      </c>
      <c r="V8737" s="21">
        <v>1</v>
      </c>
      <c r="W8737" s="21">
        <v>1</v>
      </c>
      <c r="X8737" s="21">
        <v>0</v>
      </c>
      <c r="Y8737" s="21">
        <v>0</v>
      </c>
      <c r="Z8737" s="21">
        <v>0</v>
      </c>
      <c r="AA8737" s="21">
        <v>0</v>
      </c>
      <c r="AB8737" s="21">
        <v>0</v>
      </c>
      <c r="AC8737" s="21">
        <v>0</v>
      </c>
      <c r="AD8737" s="21">
        <v>0</v>
      </c>
      <c r="AE8737" s="21">
        <v>0</v>
      </c>
      <c r="AF8737" s="21">
        <v>0</v>
      </c>
      <c r="AG8737" s="21">
        <v>0</v>
      </c>
      <c r="AH8737" s="21">
        <f t="shared" si="180"/>
        <v>160</v>
      </c>
      <c r="AI8737" s="21"/>
      <c r="AJ8737" s="21" t="s">
        <v>51</v>
      </c>
      <c r="AK8737" s="21" t="s">
        <v>52</v>
      </c>
      <c r="AL8737" s="21" t="s">
        <v>5501</v>
      </c>
      <c r="AM8737" s="21" t="s">
        <v>5538</v>
      </c>
      <c r="AN8737" s="21">
        <v>-122.431994183333</v>
      </c>
      <c r="AO8737" s="21">
        <v>37.800281883333298</v>
      </c>
      <c r="AP8737" s="21" t="s">
        <v>541</v>
      </c>
    </row>
    <row r="8738" spans="1:42">
      <c r="A8738" s="22">
        <v>43874</v>
      </c>
      <c r="B8738" s="21">
        <v>4</v>
      </c>
      <c r="C8738" s="21">
        <v>215</v>
      </c>
      <c r="D8738" s="21">
        <v>14445</v>
      </c>
      <c r="E8738" t="s">
        <v>112</v>
      </c>
      <c r="F8738" s="21" t="s">
        <v>436</v>
      </c>
      <c r="G8738" s="23" t="s">
        <v>4241</v>
      </c>
      <c r="H8738" s="21">
        <v>15</v>
      </c>
      <c r="I8738" s="23" t="s">
        <v>5539</v>
      </c>
      <c r="J8738" s="21"/>
      <c r="K8738" s="21" t="s">
        <v>210</v>
      </c>
      <c r="L8738" s="21" t="s">
        <v>141</v>
      </c>
      <c r="M8738" s="21" t="s">
        <v>52</v>
      </c>
      <c r="N8738" s="21" t="s">
        <v>392</v>
      </c>
      <c r="O8738" s="21">
        <v>24</v>
      </c>
      <c r="P8738" s="21"/>
      <c r="Q8738" s="21">
        <f t="shared" si="179"/>
        <v>2</v>
      </c>
      <c r="R8738" s="21">
        <v>0</v>
      </c>
      <c r="S8738" s="21">
        <v>0</v>
      </c>
      <c r="T8738" s="21">
        <v>0</v>
      </c>
      <c r="U8738" s="21">
        <v>2</v>
      </c>
      <c r="V8738" s="21">
        <v>0</v>
      </c>
      <c r="W8738" s="21">
        <v>0</v>
      </c>
      <c r="X8738" s="21">
        <v>0</v>
      </c>
      <c r="Y8738" s="21">
        <v>0</v>
      </c>
      <c r="Z8738" s="21">
        <v>0</v>
      </c>
      <c r="AA8738" s="21">
        <v>0</v>
      </c>
      <c r="AB8738" s="21">
        <v>0</v>
      </c>
      <c r="AC8738" s="21">
        <v>0</v>
      </c>
      <c r="AD8738" s="21">
        <v>0</v>
      </c>
      <c r="AE8738" s="21">
        <v>0</v>
      </c>
      <c r="AF8738" s="21">
        <v>0</v>
      </c>
      <c r="AG8738" s="21">
        <v>0</v>
      </c>
      <c r="AH8738" s="21">
        <f t="shared" si="180"/>
        <v>64</v>
      </c>
      <c r="AI8738" s="21"/>
      <c r="AJ8738" s="21" t="s">
        <v>51</v>
      </c>
      <c r="AK8738" s="21" t="s">
        <v>52</v>
      </c>
      <c r="AL8738" s="21"/>
      <c r="AM8738" s="21" t="s">
        <v>5540</v>
      </c>
      <c r="AN8738" s="21">
        <v>-122.431993216667</v>
      </c>
      <c r="AO8738" s="21">
        <v>37.800245199999999</v>
      </c>
      <c r="AP8738" s="21" t="s">
        <v>541</v>
      </c>
    </row>
    <row r="8739" spans="1:42">
      <c r="A8739" s="22">
        <v>43874</v>
      </c>
      <c r="B8739" s="21">
        <v>4</v>
      </c>
      <c r="C8739" s="21">
        <v>215</v>
      </c>
      <c r="D8739" s="21">
        <v>14445</v>
      </c>
      <c r="E8739" t="s">
        <v>112</v>
      </c>
      <c r="F8739" s="21" t="s">
        <v>436</v>
      </c>
      <c r="G8739" s="23" t="s">
        <v>4241</v>
      </c>
      <c r="H8739" s="21">
        <v>16</v>
      </c>
      <c r="I8739" s="23" t="s">
        <v>4665</v>
      </c>
      <c r="J8739" s="21"/>
      <c r="K8739" s="21" t="s">
        <v>210</v>
      </c>
      <c r="L8739" s="21" t="s">
        <v>141</v>
      </c>
      <c r="M8739" s="21" t="s">
        <v>52</v>
      </c>
      <c r="N8739" s="21" t="s">
        <v>44</v>
      </c>
      <c r="O8739" s="21">
        <v>85</v>
      </c>
      <c r="P8739" s="21"/>
      <c r="Q8739" s="21">
        <f t="shared" si="179"/>
        <v>1</v>
      </c>
      <c r="R8739" s="21">
        <v>0</v>
      </c>
      <c r="S8739" s="21">
        <v>0</v>
      </c>
      <c r="T8739" s="21">
        <v>0</v>
      </c>
      <c r="U8739" s="21">
        <v>0</v>
      </c>
      <c r="V8739" s="21">
        <v>1</v>
      </c>
      <c r="W8739" s="21">
        <v>0</v>
      </c>
      <c r="X8739" s="21">
        <v>0</v>
      </c>
      <c r="Y8739" s="21">
        <v>0</v>
      </c>
      <c r="Z8739" s="21">
        <v>0</v>
      </c>
      <c r="AA8739" s="21">
        <v>0</v>
      </c>
      <c r="AB8739" s="21">
        <v>0</v>
      </c>
      <c r="AC8739" s="21">
        <v>0</v>
      </c>
      <c r="AD8739" s="21">
        <v>0</v>
      </c>
      <c r="AE8739" s="21">
        <v>0</v>
      </c>
      <c r="AF8739" s="21">
        <v>0</v>
      </c>
      <c r="AG8739" s="21">
        <v>0</v>
      </c>
      <c r="AH8739" s="21">
        <f t="shared" si="180"/>
        <v>64</v>
      </c>
      <c r="AI8739" s="21"/>
      <c r="AJ8739" s="21" t="s">
        <v>51</v>
      </c>
      <c r="AK8739" s="21" t="s">
        <v>52</v>
      </c>
      <c r="AL8739" s="21" t="s">
        <v>5501</v>
      </c>
      <c r="AM8739" s="21" t="s">
        <v>5541</v>
      </c>
      <c r="AN8739" s="21">
        <v>-122.43162478333301</v>
      </c>
      <c r="AO8739" s="21">
        <v>37.800329249999997</v>
      </c>
      <c r="AP8739" s="21" t="s">
        <v>541</v>
      </c>
    </row>
    <row r="8740" spans="1:42">
      <c r="A8740" s="22">
        <v>43874</v>
      </c>
      <c r="B8740" s="21">
        <v>4</v>
      </c>
      <c r="C8740" s="21">
        <v>215</v>
      </c>
      <c r="D8740" s="21">
        <v>14445</v>
      </c>
      <c r="E8740" t="s">
        <v>112</v>
      </c>
      <c r="F8740" s="21" t="s">
        <v>436</v>
      </c>
      <c r="G8740" s="23" t="s">
        <v>4241</v>
      </c>
      <c r="H8740" s="21">
        <v>17</v>
      </c>
      <c r="I8740" s="23" t="s">
        <v>5542</v>
      </c>
      <c r="J8740" s="21"/>
      <c r="K8740" s="21" t="s">
        <v>588</v>
      </c>
      <c r="L8740" s="21" t="s">
        <v>141</v>
      </c>
      <c r="M8740" s="21" t="s">
        <v>52</v>
      </c>
      <c r="N8740" s="21" t="s">
        <v>42</v>
      </c>
      <c r="O8740" s="21">
        <v>165</v>
      </c>
      <c r="P8740" s="21"/>
      <c r="Q8740" s="21">
        <f t="shared" si="179"/>
        <v>2</v>
      </c>
      <c r="R8740" s="21">
        <v>0</v>
      </c>
      <c r="S8740" s="21">
        <v>0</v>
      </c>
      <c r="T8740" s="21">
        <v>0</v>
      </c>
      <c r="U8740" s="21">
        <v>0</v>
      </c>
      <c r="V8740" s="21">
        <v>1</v>
      </c>
      <c r="W8740" s="21">
        <v>1</v>
      </c>
      <c r="X8740" s="21">
        <v>0</v>
      </c>
      <c r="Y8740" s="21">
        <v>0</v>
      </c>
      <c r="Z8740" s="21">
        <v>0</v>
      </c>
      <c r="AA8740" s="21">
        <v>0</v>
      </c>
      <c r="AB8740" s="21">
        <v>0</v>
      </c>
      <c r="AC8740" s="21">
        <v>0</v>
      </c>
      <c r="AD8740" s="21">
        <v>0</v>
      </c>
      <c r="AE8740" s="21">
        <v>0</v>
      </c>
      <c r="AF8740" s="21">
        <v>0</v>
      </c>
      <c r="AG8740" s="21">
        <v>0</v>
      </c>
      <c r="AH8740" s="21">
        <f t="shared" si="180"/>
        <v>160</v>
      </c>
      <c r="AI8740" s="21"/>
      <c r="AJ8740" s="21" t="s">
        <v>51</v>
      </c>
      <c r="AK8740" s="21" t="s">
        <v>52</v>
      </c>
      <c r="AL8740" s="21" t="s">
        <v>5543</v>
      </c>
      <c r="AM8740" s="21" t="s">
        <v>5544</v>
      </c>
      <c r="AN8740" s="21">
        <v>-122.43103691700701</v>
      </c>
      <c r="AO8740" s="21">
        <v>37.799766043563899</v>
      </c>
      <c r="AP8740" s="21" t="s">
        <v>541</v>
      </c>
    </row>
    <row r="8741" spans="1:42">
      <c r="A8741" s="22">
        <v>43874</v>
      </c>
      <c r="B8741" s="21">
        <v>4</v>
      </c>
      <c r="C8741" s="21">
        <v>215</v>
      </c>
      <c r="D8741" s="21">
        <v>14445</v>
      </c>
      <c r="E8741" t="s">
        <v>112</v>
      </c>
      <c r="F8741" s="21" t="s">
        <v>436</v>
      </c>
      <c r="G8741" s="23" t="s">
        <v>4241</v>
      </c>
      <c r="H8741" s="21">
        <v>18</v>
      </c>
      <c r="I8741" s="23" t="s">
        <v>5545</v>
      </c>
      <c r="J8741" s="21"/>
      <c r="K8741" s="21" t="s">
        <v>588</v>
      </c>
      <c r="L8741" s="21" t="s">
        <v>141</v>
      </c>
      <c r="M8741" s="21" t="s">
        <v>52</v>
      </c>
      <c r="N8741" s="21" t="s">
        <v>40</v>
      </c>
      <c r="O8741" s="21">
        <v>99</v>
      </c>
      <c r="P8741" s="21"/>
      <c r="Q8741" s="21">
        <f t="shared" si="179"/>
        <v>2</v>
      </c>
      <c r="R8741" s="21">
        <v>0</v>
      </c>
      <c r="S8741" s="21">
        <v>0</v>
      </c>
      <c r="T8741" s="21">
        <v>0</v>
      </c>
      <c r="U8741" s="21">
        <v>0</v>
      </c>
      <c r="V8741" s="21">
        <v>2</v>
      </c>
      <c r="W8741" s="21">
        <v>0</v>
      </c>
      <c r="X8741" s="21">
        <v>0</v>
      </c>
      <c r="Y8741" s="21">
        <v>0</v>
      </c>
      <c r="Z8741" s="21">
        <v>0</v>
      </c>
      <c r="AA8741" s="21">
        <v>0</v>
      </c>
      <c r="AB8741" s="21">
        <v>0</v>
      </c>
      <c r="AC8741" s="21">
        <v>0</v>
      </c>
      <c r="AD8741" s="21">
        <v>0</v>
      </c>
      <c r="AE8741" s="21">
        <v>0</v>
      </c>
      <c r="AF8741" s="21">
        <v>0</v>
      </c>
      <c r="AG8741" s="21">
        <v>0</v>
      </c>
      <c r="AH8741" s="21">
        <f t="shared" si="180"/>
        <v>128</v>
      </c>
      <c r="AI8741" s="21"/>
      <c r="AJ8741" s="21" t="s">
        <v>51</v>
      </c>
      <c r="AK8741" s="21" t="s">
        <v>52</v>
      </c>
      <c r="AL8741" s="21"/>
      <c r="AM8741" s="21" t="s">
        <v>5546</v>
      </c>
      <c r="AN8741" s="21">
        <v>-122.43098320228</v>
      </c>
      <c r="AO8741" s="21">
        <v>37.799730925622299</v>
      </c>
      <c r="AP8741" s="21" t="s">
        <v>541</v>
      </c>
    </row>
    <row r="8742" spans="1:42">
      <c r="A8742" s="22">
        <v>43874</v>
      </c>
      <c r="B8742" s="21">
        <v>4</v>
      </c>
      <c r="C8742" s="21">
        <v>215</v>
      </c>
      <c r="D8742" s="21">
        <v>14445</v>
      </c>
      <c r="E8742" t="s">
        <v>112</v>
      </c>
      <c r="F8742" s="21" t="s">
        <v>436</v>
      </c>
      <c r="G8742" s="23" t="s">
        <v>4241</v>
      </c>
      <c r="H8742" s="21">
        <v>19</v>
      </c>
      <c r="I8742" s="23" t="s">
        <v>5547</v>
      </c>
      <c r="J8742" s="21"/>
      <c r="K8742" s="21" t="s">
        <v>588</v>
      </c>
      <c r="L8742" s="21" t="s">
        <v>141</v>
      </c>
      <c r="M8742" s="21" t="s">
        <v>52</v>
      </c>
      <c r="N8742" s="21" t="s">
        <v>42</v>
      </c>
      <c r="O8742" s="21">
        <v>136</v>
      </c>
      <c r="P8742" s="21"/>
      <c r="Q8742" s="21">
        <f t="shared" si="179"/>
        <v>2</v>
      </c>
      <c r="R8742" s="21">
        <v>0</v>
      </c>
      <c r="S8742" s="21">
        <v>0</v>
      </c>
      <c r="T8742" s="21">
        <v>0</v>
      </c>
      <c r="U8742" s="21">
        <v>1</v>
      </c>
      <c r="V8742" s="21">
        <v>1</v>
      </c>
      <c r="W8742" s="21">
        <v>0</v>
      </c>
      <c r="X8742" s="21">
        <v>0</v>
      </c>
      <c r="Y8742" s="21">
        <v>0</v>
      </c>
      <c r="Z8742" s="21">
        <v>0</v>
      </c>
      <c r="AA8742" s="21">
        <v>0</v>
      </c>
      <c r="AB8742" s="21">
        <v>0</v>
      </c>
      <c r="AC8742" s="21">
        <v>0</v>
      </c>
      <c r="AD8742" s="21">
        <v>0</v>
      </c>
      <c r="AE8742" s="21">
        <v>0</v>
      </c>
      <c r="AF8742" s="21">
        <v>0</v>
      </c>
      <c r="AG8742" s="21">
        <v>0</v>
      </c>
      <c r="AH8742" s="21">
        <f t="shared" si="180"/>
        <v>96</v>
      </c>
      <c r="AI8742" s="21"/>
      <c r="AJ8742" s="21" t="s">
        <v>51</v>
      </c>
      <c r="AK8742" s="21" t="s">
        <v>52</v>
      </c>
      <c r="AL8742" s="21" t="s">
        <v>5548</v>
      </c>
      <c r="AM8742" s="21" t="s">
        <v>5549</v>
      </c>
      <c r="AN8742" s="21">
        <v>-122.43091735</v>
      </c>
      <c r="AO8742" s="21">
        <v>37.799374049999997</v>
      </c>
      <c r="AP8742" s="21" t="s">
        <v>541</v>
      </c>
    </row>
    <row r="8743" spans="1:42">
      <c r="A8743" s="22">
        <v>43874</v>
      </c>
      <c r="B8743" s="21">
        <v>4</v>
      </c>
      <c r="C8743" s="21">
        <v>215</v>
      </c>
      <c r="D8743" s="21">
        <v>14445</v>
      </c>
      <c r="E8743" t="s">
        <v>112</v>
      </c>
      <c r="F8743" s="21" t="s">
        <v>436</v>
      </c>
      <c r="G8743" s="23" t="s">
        <v>4241</v>
      </c>
      <c r="H8743" s="21">
        <v>20</v>
      </c>
      <c r="I8743" s="23" t="s">
        <v>5550</v>
      </c>
      <c r="J8743" s="21"/>
      <c r="K8743" s="21" t="s">
        <v>588</v>
      </c>
      <c r="L8743" s="21" t="s">
        <v>141</v>
      </c>
      <c r="M8743" s="21" t="s">
        <v>52</v>
      </c>
      <c r="N8743" s="21" t="s">
        <v>40</v>
      </c>
      <c r="O8743" s="21">
        <v>76</v>
      </c>
      <c r="P8743" s="21"/>
      <c r="Q8743" s="21">
        <f t="shared" si="179"/>
        <v>2</v>
      </c>
      <c r="R8743" s="21">
        <v>0</v>
      </c>
      <c r="S8743" s="21">
        <v>0</v>
      </c>
      <c r="T8743" s="21">
        <v>0</v>
      </c>
      <c r="U8743" s="21">
        <v>0</v>
      </c>
      <c r="V8743" s="21">
        <v>2</v>
      </c>
      <c r="W8743" s="21">
        <v>0</v>
      </c>
      <c r="X8743" s="21">
        <v>0</v>
      </c>
      <c r="Y8743" s="21">
        <v>0</v>
      </c>
      <c r="Z8743" s="21">
        <v>0</v>
      </c>
      <c r="AA8743" s="21">
        <v>0</v>
      </c>
      <c r="AB8743" s="21">
        <v>0</v>
      </c>
      <c r="AC8743" s="21">
        <v>0</v>
      </c>
      <c r="AD8743" s="21">
        <v>0</v>
      </c>
      <c r="AE8743" s="21">
        <v>0</v>
      </c>
      <c r="AF8743" s="21">
        <v>0</v>
      </c>
      <c r="AG8743" s="21">
        <v>0</v>
      </c>
      <c r="AH8743" s="21">
        <f t="shared" si="180"/>
        <v>128</v>
      </c>
      <c r="AI8743" s="21"/>
      <c r="AJ8743" s="21" t="s">
        <v>51</v>
      </c>
      <c r="AK8743" s="21" t="s">
        <v>52</v>
      </c>
      <c r="AL8743" s="21"/>
      <c r="AM8743" s="21" t="s">
        <v>5551</v>
      </c>
      <c r="AN8743" s="21">
        <v>-122.430865183333</v>
      </c>
      <c r="AO8743" s="21">
        <v>37.799182566666701</v>
      </c>
      <c r="AP8743" s="21" t="s">
        <v>541</v>
      </c>
    </row>
    <row r="8744" spans="1:42">
      <c r="A8744" s="22">
        <v>43874</v>
      </c>
      <c r="B8744" s="21">
        <v>4</v>
      </c>
      <c r="C8744" s="21">
        <v>215</v>
      </c>
      <c r="D8744" s="21">
        <v>14445</v>
      </c>
      <c r="E8744" t="s">
        <v>112</v>
      </c>
      <c r="F8744" s="21" t="s">
        <v>436</v>
      </c>
      <c r="G8744" s="23" t="s">
        <v>4241</v>
      </c>
      <c r="H8744" s="21">
        <v>21</v>
      </c>
      <c r="I8744" s="23" t="s">
        <v>5552</v>
      </c>
      <c r="J8744" s="21"/>
      <c r="K8744" s="21" t="s">
        <v>588</v>
      </c>
      <c r="L8744" s="21" t="s">
        <v>141</v>
      </c>
      <c r="M8744" s="21" t="s">
        <v>52</v>
      </c>
      <c r="N8744" s="21" t="s">
        <v>40</v>
      </c>
      <c r="O8744" s="21">
        <v>95</v>
      </c>
      <c r="P8744" s="21"/>
      <c r="Q8744" s="21">
        <f t="shared" si="179"/>
        <v>7</v>
      </c>
      <c r="R8744" s="21">
        <v>0</v>
      </c>
      <c r="S8744" s="21">
        <v>0</v>
      </c>
      <c r="T8744" s="21">
        <v>0</v>
      </c>
      <c r="U8744" s="21">
        <v>5</v>
      </c>
      <c r="V8744" s="21">
        <v>2</v>
      </c>
      <c r="W8744" s="21">
        <v>0</v>
      </c>
      <c r="X8744" s="21">
        <v>0</v>
      </c>
      <c r="Y8744" s="21">
        <v>0</v>
      </c>
      <c r="Z8744" s="21">
        <v>0</v>
      </c>
      <c r="AA8744" s="21">
        <v>0</v>
      </c>
      <c r="AB8744" s="21">
        <v>0</v>
      </c>
      <c r="AC8744" s="21">
        <v>0</v>
      </c>
      <c r="AD8744" s="21">
        <v>0</v>
      </c>
      <c r="AE8744" s="21">
        <v>0</v>
      </c>
      <c r="AF8744" s="21">
        <v>0</v>
      </c>
      <c r="AG8744" s="21">
        <v>0</v>
      </c>
      <c r="AH8744" s="21">
        <f t="shared" si="180"/>
        <v>288</v>
      </c>
      <c r="AI8744" s="21"/>
      <c r="AJ8744" s="21" t="s">
        <v>51</v>
      </c>
      <c r="AK8744" s="21" t="s">
        <v>52</v>
      </c>
      <c r="AL8744" s="21"/>
      <c r="AM8744" s="21" t="s">
        <v>5553</v>
      </c>
      <c r="AN8744" s="21">
        <v>-122.430794933333</v>
      </c>
      <c r="AO8744" s="21">
        <v>37.798957166666703</v>
      </c>
      <c r="AP8744" s="21" t="s">
        <v>541</v>
      </c>
    </row>
    <row r="8745" spans="1:42">
      <c r="A8745" s="22">
        <v>43874</v>
      </c>
      <c r="B8745" s="21">
        <v>4</v>
      </c>
      <c r="C8745" s="21">
        <v>215</v>
      </c>
      <c r="D8745" s="21">
        <v>14445</v>
      </c>
      <c r="E8745" t="s">
        <v>112</v>
      </c>
      <c r="F8745" s="21" t="s">
        <v>436</v>
      </c>
      <c r="G8745" s="23" t="s">
        <v>4241</v>
      </c>
      <c r="H8745" s="21">
        <v>23</v>
      </c>
      <c r="I8745" s="23">
        <v>2827</v>
      </c>
      <c r="J8745" s="21"/>
      <c r="K8745" s="21" t="s">
        <v>3347</v>
      </c>
      <c r="L8745" s="21" t="s">
        <v>141</v>
      </c>
      <c r="M8745" s="21" t="s">
        <v>52</v>
      </c>
      <c r="N8745" s="21" t="s">
        <v>44</v>
      </c>
      <c r="O8745" s="21">
        <v>192</v>
      </c>
      <c r="P8745" s="21"/>
      <c r="Q8745" s="21">
        <f t="shared" si="179"/>
        <v>2</v>
      </c>
      <c r="R8745" s="21">
        <v>0</v>
      </c>
      <c r="S8745" s="21">
        <v>0</v>
      </c>
      <c r="T8745" s="21">
        <v>0</v>
      </c>
      <c r="U8745" s="21">
        <v>0</v>
      </c>
      <c r="V8745" s="21">
        <v>2</v>
      </c>
      <c r="W8745" s="21">
        <v>0</v>
      </c>
      <c r="X8745" s="21">
        <v>0</v>
      </c>
      <c r="Y8745" s="21">
        <v>0</v>
      </c>
      <c r="Z8745" s="21">
        <v>0</v>
      </c>
      <c r="AA8745" s="21">
        <v>0</v>
      </c>
      <c r="AB8745" s="21">
        <v>0</v>
      </c>
      <c r="AC8745" s="21">
        <v>0</v>
      </c>
      <c r="AD8745" s="21">
        <v>0</v>
      </c>
      <c r="AE8745" s="21">
        <v>0</v>
      </c>
      <c r="AF8745" s="21">
        <v>0</v>
      </c>
      <c r="AG8745" s="21">
        <v>0</v>
      </c>
      <c r="AH8745" s="21">
        <f t="shared" si="180"/>
        <v>128</v>
      </c>
      <c r="AI8745" s="21"/>
      <c r="AJ8745" s="21" t="s">
        <v>51</v>
      </c>
      <c r="AK8745" s="21" t="s">
        <v>52</v>
      </c>
      <c r="AL8745" s="21" t="s">
        <v>589</v>
      </c>
      <c r="AM8745" s="21" t="s">
        <v>5554</v>
      </c>
      <c r="AN8745" s="21">
        <v>-122.43046718333299</v>
      </c>
      <c r="AO8745" s="21">
        <v>37.797342999999998</v>
      </c>
      <c r="AP8745" s="21" t="s">
        <v>541</v>
      </c>
    </row>
    <row r="8746" spans="1:42">
      <c r="A8746" s="22">
        <v>43874</v>
      </c>
      <c r="B8746" s="21">
        <v>4</v>
      </c>
      <c r="C8746" s="21">
        <v>215</v>
      </c>
      <c r="D8746" s="21">
        <v>14445</v>
      </c>
      <c r="E8746" t="s">
        <v>112</v>
      </c>
      <c r="F8746" s="21" t="s">
        <v>436</v>
      </c>
      <c r="G8746" s="23" t="s">
        <v>4241</v>
      </c>
      <c r="H8746" s="21">
        <v>26</v>
      </c>
      <c r="I8746" s="23" t="s">
        <v>2244</v>
      </c>
      <c r="J8746" s="21"/>
      <c r="K8746" s="21" t="s">
        <v>3347</v>
      </c>
      <c r="L8746" s="21" t="s">
        <v>141</v>
      </c>
      <c r="M8746" s="21" t="s">
        <v>52</v>
      </c>
      <c r="N8746" s="21" t="s">
        <v>40</v>
      </c>
      <c r="O8746" s="21">
        <v>107</v>
      </c>
      <c r="P8746" s="21"/>
      <c r="Q8746" s="21">
        <f t="shared" si="179"/>
        <v>7</v>
      </c>
      <c r="R8746" s="21">
        <v>0</v>
      </c>
      <c r="S8746" s="21">
        <v>0</v>
      </c>
      <c r="T8746" s="21">
        <v>0</v>
      </c>
      <c r="U8746" s="21">
        <v>2</v>
      </c>
      <c r="V8746" s="21">
        <v>5</v>
      </c>
      <c r="W8746" s="21">
        <v>0</v>
      </c>
      <c r="X8746" s="21">
        <v>0</v>
      </c>
      <c r="Y8746" s="21">
        <v>0</v>
      </c>
      <c r="Z8746" s="21">
        <v>0</v>
      </c>
      <c r="AA8746" s="21">
        <v>0</v>
      </c>
      <c r="AB8746" s="21">
        <v>0</v>
      </c>
      <c r="AC8746" s="21">
        <v>0</v>
      </c>
      <c r="AD8746" s="21">
        <v>0</v>
      </c>
      <c r="AE8746" s="21">
        <v>0</v>
      </c>
      <c r="AF8746" s="21">
        <v>0</v>
      </c>
      <c r="AG8746" s="21">
        <v>0</v>
      </c>
      <c r="AH8746" s="21">
        <f t="shared" si="180"/>
        <v>384</v>
      </c>
      <c r="AI8746" s="21"/>
      <c r="AJ8746" s="21" t="s">
        <v>51</v>
      </c>
      <c r="AK8746" s="21" t="s">
        <v>52</v>
      </c>
      <c r="AL8746" s="21"/>
      <c r="AM8746" s="21" t="s">
        <v>5555</v>
      </c>
      <c r="AN8746" s="21">
        <v>-122.43067758333299</v>
      </c>
      <c r="AO8746" s="21">
        <v>37.798220433333299</v>
      </c>
      <c r="AP8746" s="21" t="s">
        <v>541</v>
      </c>
    </row>
    <row r="8747" spans="1:42">
      <c r="A8747" s="22">
        <v>43874</v>
      </c>
      <c r="B8747" s="21">
        <v>4</v>
      </c>
      <c r="C8747" s="21">
        <v>215</v>
      </c>
      <c r="D8747" s="21">
        <v>14445</v>
      </c>
      <c r="E8747" t="s">
        <v>112</v>
      </c>
      <c r="F8747" s="21" t="s">
        <v>436</v>
      </c>
      <c r="G8747" s="23" t="s">
        <v>4241</v>
      </c>
      <c r="H8747" s="21">
        <v>27</v>
      </c>
      <c r="I8747" s="23" t="s">
        <v>5556</v>
      </c>
      <c r="J8747" s="21"/>
      <c r="K8747" s="21" t="s">
        <v>5557</v>
      </c>
      <c r="L8747" s="21" t="s">
        <v>114</v>
      </c>
      <c r="M8747" s="21" t="s">
        <v>52</v>
      </c>
      <c r="N8747" s="21" t="s">
        <v>40</v>
      </c>
      <c r="O8747" s="21"/>
      <c r="P8747" s="21">
        <v>842</v>
      </c>
      <c r="Q8747" s="21">
        <f t="shared" si="179"/>
        <v>13</v>
      </c>
      <c r="R8747" s="21">
        <v>0</v>
      </c>
      <c r="S8747" s="21">
        <v>2</v>
      </c>
      <c r="T8747" s="21">
        <v>0</v>
      </c>
      <c r="U8747" s="21">
        <v>10</v>
      </c>
      <c r="V8747" s="21">
        <v>0</v>
      </c>
      <c r="W8747" s="21">
        <v>1</v>
      </c>
      <c r="X8747" s="21">
        <v>0</v>
      </c>
      <c r="Y8747" s="21">
        <v>0</v>
      </c>
      <c r="Z8747" s="21">
        <v>0</v>
      </c>
      <c r="AA8747" s="21">
        <v>0</v>
      </c>
      <c r="AB8747" s="21">
        <v>0</v>
      </c>
      <c r="AC8747" s="21">
        <v>0</v>
      </c>
      <c r="AD8747" s="21">
        <v>0</v>
      </c>
      <c r="AE8747" s="21">
        <v>0</v>
      </c>
      <c r="AF8747" s="21">
        <v>0</v>
      </c>
      <c r="AG8747" s="21">
        <v>0</v>
      </c>
      <c r="AH8747" s="21">
        <f t="shared" si="180"/>
        <v>448</v>
      </c>
      <c r="AI8747" s="21"/>
      <c r="AJ8747" s="21" t="s">
        <v>51</v>
      </c>
      <c r="AK8747" s="21" t="s">
        <v>52</v>
      </c>
      <c r="AL8747" s="21"/>
      <c r="AM8747" s="21" t="s">
        <v>5558</v>
      </c>
      <c r="AN8747" s="21">
        <v>-122.430880683333</v>
      </c>
      <c r="AO8747" s="21">
        <v>37.799089616666699</v>
      </c>
      <c r="AP8747" s="21" t="s">
        <v>541</v>
      </c>
    </row>
    <row r="8748" spans="1:42">
      <c r="A8748" s="22">
        <v>43874</v>
      </c>
      <c r="B8748" s="21">
        <v>4</v>
      </c>
      <c r="C8748" s="21">
        <v>215</v>
      </c>
      <c r="D8748" s="21">
        <v>14445</v>
      </c>
      <c r="E8748" t="s">
        <v>112</v>
      </c>
      <c r="F8748" s="21" t="s">
        <v>436</v>
      </c>
      <c r="G8748" s="23" t="s">
        <v>4241</v>
      </c>
      <c r="H8748" s="21">
        <v>28</v>
      </c>
      <c r="I8748" s="23" t="s">
        <v>5559</v>
      </c>
      <c r="J8748" s="21"/>
      <c r="K8748" s="21" t="s">
        <v>588</v>
      </c>
      <c r="L8748" s="21" t="s">
        <v>114</v>
      </c>
      <c r="M8748" s="21" t="s">
        <v>52</v>
      </c>
      <c r="N8748" s="21" t="s">
        <v>40</v>
      </c>
      <c r="O8748" s="21">
        <v>23</v>
      </c>
      <c r="P8748" s="21"/>
      <c r="Q8748" s="21">
        <f t="shared" si="179"/>
        <v>1</v>
      </c>
      <c r="R8748" s="21">
        <v>0</v>
      </c>
      <c r="S8748" s="21">
        <v>0</v>
      </c>
      <c r="T8748" s="21">
        <v>0</v>
      </c>
      <c r="U8748" s="21">
        <v>0</v>
      </c>
      <c r="V8748" s="21">
        <v>1</v>
      </c>
      <c r="W8748" s="21">
        <v>0</v>
      </c>
      <c r="X8748" s="21">
        <v>0</v>
      </c>
      <c r="Y8748" s="21">
        <v>0</v>
      </c>
      <c r="Z8748" s="21">
        <v>0</v>
      </c>
      <c r="AA8748" s="21">
        <v>0</v>
      </c>
      <c r="AB8748" s="21">
        <v>0</v>
      </c>
      <c r="AC8748" s="21">
        <v>0</v>
      </c>
      <c r="AD8748" s="21">
        <v>0</v>
      </c>
      <c r="AE8748" s="21">
        <v>0</v>
      </c>
      <c r="AF8748" s="21">
        <v>0</v>
      </c>
      <c r="AG8748" s="21">
        <v>0</v>
      </c>
      <c r="AH8748" s="21">
        <f t="shared" si="180"/>
        <v>64</v>
      </c>
      <c r="AI8748" s="21"/>
      <c r="AJ8748" s="21" t="s">
        <v>51</v>
      </c>
      <c r="AK8748" s="21" t="s">
        <v>52</v>
      </c>
      <c r="AL8748" s="21"/>
      <c r="AM8748" s="21" t="s">
        <v>5560</v>
      </c>
      <c r="AN8748" s="21">
        <v>-122.430909983333</v>
      </c>
      <c r="AO8748" s="21">
        <v>37.7990855166667</v>
      </c>
      <c r="AP8748" s="21" t="s">
        <v>541</v>
      </c>
    </row>
    <row r="8749" spans="1:42">
      <c r="A8749" s="22">
        <v>43874</v>
      </c>
      <c r="B8749" s="21">
        <v>4</v>
      </c>
      <c r="C8749" s="21">
        <v>215</v>
      </c>
      <c r="D8749" s="21">
        <v>14445</v>
      </c>
      <c r="E8749" t="s">
        <v>112</v>
      </c>
      <c r="F8749" s="21" t="s">
        <v>436</v>
      </c>
      <c r="G8749" s="23" t="s">
        <v>4241</v>
      </c>
      <c r="H8749" s="21">
        <v>30</v>
      </c>
      <c r="I8749" s="23" t="s">
        <v>5561</v>
      </c>
      <c r="J8749" s="21"/>
      <c r="K8749" s="21" t="s">
        <v>588</v>
      </c>
      <c r="L8749" s="21" t="s">
        <v>141</v>
      </c>
      <c r="M8749" s="21" t="s">
        <v>52</v>
      </c>
      <c r="N8749" s="21" t="s">
        <v>44</v>
      </c>
      <c r="O8749" s="21">
        <v>118</v>
      </c>
      <c r="P8749" s="21"/>
      <c r="Q8749" s="21">
        <f t="shared" si="179"/>
        <v>1</v>
      </c>
      <c r="R8749" s="21">
        <v>0</v>
      </c>
      <c r="S8749" s="21">
        <v>0</v>
      </c>
      <c r="T8749" s="21">
        <v>0</v>
      </c>
      <c r="U8749" s="21">
        <v>0</v>
      </c>
      <c r="V8749" s="21">
        <v>0</v>
      </c>
      <c r="W8749" s="21">
        <v>1</v>
      </c>
      <c r="X8749" s="21">
        <v>0</v>
      </c>
      <c r="Y8749" s="21">
        <v>0</v>
      </c>
      <c r="Z8749" s="21">
        <v>0</v>
      </c>
      <c r="AA8749" s="21">
        <v>0</v>
      </c>
      <c r="AB8749" s="21">
        <v>0</v>
      </c>
      <c r="AC8749" s="21">
        <v>0</v>
      </c>
      <c r="AD8749" s="21">
        <v>0</v>
      </c>
      <c r="AE8749" s="21">
        <v>0</v>
      </c>
      <c r="AF8749" s="21">
        <v>0</v>
      </c>
      <c r="AG8749" s="21">
        <v>0</v>
      </c>
      <c r="AH8749" s="21">
        <f t="shared" si="180"/>
        <v>96</v>
      </c>
      <c r="AI8749" s="21"/>
      <c r="AJ8749" s="21" t="s">
        <v>51</v>
      </c>
      <c r="AK8749" s="21" t="s">
        <v>52</v>
      </c>
      <c r="AL8749" s="21"/>
      <c r="AM8749" s="21" t="s">
        <v>5562</v>
      </c>
      <c r="AN8749" s="21">
        <v>-122.43105041666701</v>
      </c>
      <c r="AO8749" s="21">
        <v>37.799976116666699</v>
      </c>
      <c r="AP8749" s="21" t="s">
        <v>541</v>
      </c>
    </row>
    <row r="8750" spans="1:42">
      <c r="A8750" s="22">
        <v>43874</v>
      </c>
      <c r="B8750" s="21">
        <v>4</v>
      </c>
      <c r="C8750" s="21">
        <v>215</v>
      </c>
      <c r="D8750" s="21">
        <v>14445</v>
      </c>
      <c r="E8750" t="s">
        <v>112</v>
      </c>
      <c r="F8750" s="21" t="s">
        <v>436</v>
      </c>
      <c r="G8750" s="23" t="s">
        <v>4241</v>
      </c>
      <c r="H8750" s="21">
        <v>32</v>
      </c>
      <c r="I8750" s="23" t="s">
        <v>5563</v>
      </c>
      <c r="J8750" s="21"/>
      <c r="K8750" s="21" t="s">
        <v>148</v>
      </c>
      <c r="L8750" s="21" t="s">
        <v>141</v>
      </c>
      <c r="M8750" s="21" t="s">
        <v>52</v>
      </c>
      <c r="N8750" s="21" t="s">
        <v>40</v>
      </c>
      <c r="O8750" s="21">
        <v>453</v>
      </c>
      <c r="P8750" s="21"/>
      <c r="Q8750" s="21">
        <f t="shared" si="179"/>
        <v>3</v>
      </c>
      <c r="R8750" s="21">
        <v>0</v>
      </c>
      <c r="S8750" s="21">
        <v>0</v>
      </c>
      <c r="T8750" s="21">
        <v>0</v>
      </c>
      <c r="U8750" s="21">
        <v>3</v>
      </c>
      <c r="V8750" s="21">
        <v>0</v>
      </c>
      <c r="W8750" s="21">
        <v>0</v>
      </c>
      <c r="X8750" s="21">
        <v>0</v>
      </c>
      <c r="Y8750" s="21">
        <v>0</v>
      </c>
      <c r="Z8750" s="21">
        <v>0</v>
      </c>
      <c r="AA8750" s="21">
        <v>0</v>
      </c>
      <c r="AB8750" s="21">
        <v>0</v>
      </c>
      <c r="AC8750" s="21">
        <v>0</v>
      </c>
      <c r="AD8750" s="21">
        <v>0</v>
      </c>
      <c r="AE8750" s="21">
        <v>0</v>
      </c>
      <c r="AF8750" s="21">
        <v>0</v>
      </c>
      <c r="AG8750" s="21">
        <v>0</v>
      </c>
      <c r="AH8750" s="21">
        <f t="shared" si="180"/>
        <v>96</v>
      </c>
      <c r="AI8750" s="21"/>
      <c r="AJ8750" s="21" t="s">
        <v>51</v>
      </c>
      <c r="AK8750" s="21" t="s">
        <v>52</v>
      </c>
      <c r="AL8750" s="21" t="s">
        <v>5403</v>
      </c>
      <c r="AM8750" s="21" t="s">
        <v>5564</v>
      </c>
      <c r="AN8750" s="21">
        <v>-122.431817383333</v>
      </c>
      <c r="AO8750" s="21">
        <v>37.799525166666697</v>
      </c>
      <c r="AP8750" s="21" t="s">
        <v>541</v>
      </c>
    </row>
    <row r="8751" spans="1:42">
      <c r="A8751" s="22">
        <v>43874</v>
      </c>
      <c r="B8751" s="21">
        <v>4</v>
      </c>
      <c r="C8751" s="21">
        <v>215</v>
      </c>
      <c r="D8751" s="21">
        <v>14445</v>
      </c>
      <c r="E8751" t="s">
        <v>112</v>
      </c>
      <c r="F8751" s="21" t="s">
        <v>436</v>
      </c>
      <c r="G8751" s="23" t="s">
        <v>4241</v>
      </c>
      <c r="H8751" s="21">
        <v>33</v>
      </c>
      <c r="I8751" s="23" t="s">
        <v>5396</v>
      </c>
      <c r="J8751" s="21"/>
      <c r="K8751" s="21" t="s">
        <v>148</v>
      </c>
      <c r="L8751" s="21" t="s">
        <v>114</v>
      </c>
      <c r="M8751" s="21" t="s">
        <v>52</v>
      </c>
      <c r="N8751" s="21" t="s">
        <v>40</v>
      </c>
      <c r="O8751" s="21">
        <v>19</v>
      </c>
      <c r="P8751" s="21"/>
      <c r="Q8751" s="21">
        <f t="shared" si="179"/>
        <v>2</v>
      </c>
      <c r="R8751" s="21">
        <v>0</v>
      </c>
      <c r="S8751" s="21">
        <v>0</v>
      </c>
      <c r="T8751" s="21">
        <v>0</v>
      </c>
      <c r="U8751" s="21">
        <v>1</v>
      </c>
      <c r="V8751" s="21">
        <v>1</v>
      </c>
      <c r="W8751" s="21">
        <v>0</v>
      </c>
      <c r="X8751" s="21">
        <v>0</v>
      </c>
      <c r="Y8751" s="21">
        <v>0</v>
      </c>
      <c r="Z8751" s="21">
        <v>0</v>
      </c>
      <c r="AA8751" s="21">
        <v>0</v>
      </c>
      <c r="AB8751" s="21">
        <v>0</v>
      </c>
      <c r="AC8751" s="21">
        <v>0</v>
      </c>
      <c r="AD8751" s="21">
        <v>0</v>
      </c>
      <c r="AE8751" s="21">
        <v>0</v>
      </c>
      <c r="AF8751" s="21">
        <v>0</v>
      </c>
      <c r="AG8751" s="21">
        <v>0</v>
      </c>
      <c r="AH8751" s="21">
        <f t="shared" si="180"/>
        <v>96</v>
      </c>
      <c r="AI8751" s="21"/>
      <c r="AJ8751" s="21" t="s">
        <v>51</v>
      </c>
      <c r="AK8751" s="21" t="s">
        <v>52</v>
      </c>
      <c r="AL8751" s="21"/>
      <c r="AM8751" s="21" t="s">
        <v>5565</v>
      </c>
      <c r="AN8751" s="21">
        <v>-122.4292949</v>
      </c>
      <c r="AO8751" s="21">
        <v>37.796934733333302</v>
      </c>
      <c r="AP8751" s="21" t="s">
        <v>541</v>
      </c>
    </row>
    <row r="8752" spans="1:42">
      <c r="A8752" s="22">
        <v>43874</v>
      </c>
      <c r="B8752" s="21">
        <v>4</v>
      </c>
      <c r="C8752" s="21">
        <v>215</v>
      </c>
      <c r="D8752" s="21">
        <v>14445</v>
      </c>
      <c r="E8752" t="s">
        <v>112</v>
      </c>
      <c r="F8752" s="21" t="s">
        <v>436</v>
      </c>
      <c r="G8752" s="23" t="s">
        <v>4241</v>
      </c>
      <c r="H8752" s="21">
        <v>34</v>
      </c>
      <c r="I8752" s="23" t="s">
        <v>3926</v>
      </c>
      <c r="J8752" s="21"/>
      <c r="K8752" s="21" t="s">
        <v>148</v>
      </c>
      <c r="L8752" s="21" t="s">
        <v>114</v>
      </c>
      <c r="M8752" s="21" t="s">
        <v>52</v>
      </c>
      <c r="N8752" s="21" t="s">
        <v>42</v>
      </c>
      <c r="O8752" s="21">
        <v>211</v>
      </c>
      <c r="P8752" s="21"/>
      <c r="Q8752" s="21">
        <f t="shared" si="179"/>
        <v>5</v>
      </c>
      <c r="R8752" s="21">
        <v>0</v>
      </c>
      <c r="S8752" s="21">
        <v>0</v>
      </c>
      <c r="T8752" s="21">
        <v>0</v>
      </c>
      <c r="U8752" s="21">
        <v>3</v>
      </c>
      <c r="V8752" s="21">
        <v>0</v>
      </c>
      <c r="W8752" s="21">
        <v>2</v>
      </c>
      <c r="X8752" s="21">
        <v>0</v>
      </c>
      <c r="Y8752" s="21">
        <v>0</v>
      </c>
      <c r="Z8752" s="21">
        <v>0</v>
      </c>
      <c r="AA8752" s="21">
        <v>0</v>
      </c>
      <c r="AB8752" s="21">
        <v>0</v>
      </c>
      <c r="AC8752" s="21">
        <v>0</v>
      </c>
      <c r="AD8752" s="21">
        <v>0</v>
      </c>
      <c r="AE8752" s="21">
        <v>0</v>
      </c>
      <c r="AF8752" s="21">
        <v>0</v>
      </c>
      <c r="AG8752" s="21">
        <v>0</v>
      </c>
      <c r="AH8752" s="21">
        <f t="shared" si="180"/>
        <v>288</v>
      </c>
      <c r="AI8752" s="21"/>
      <c r="AJ8752" s="21" t="s">
        <v>3023</v>
      </c>
      <c r="AK8752" s="21" t="s">
        <v>52</v>
      </c>
      <c r="AL8752" s="21" t="s">
        <v>5566</v>
      </c>
      <c r="AM8752" s="21" t="s">
        <v>5567</v>
      </c>
      <c r="AN8752" s="21">
        <v>-122.42953595</v>
      </c>
      <c r="AO8752" s="21">
        <v>37.7969446166667</v>
      </c>
      <c r="AP8752" s="21" t="s">
        <v>541</v>
      </c>
    </row>
    <row r="8753" spans="1:42">
      <c r="A8753" s="22">
        <v>43874</v>
      </c>
      <c r="B8753" s="21">
        <v>4</v>
      </c>
      <c r="C8753" s="21">
        <v>215</v>
      </c>
      <c r="D8753" s="21">
        <v>14445</v>
      </c>
      <c r="E8753" t="s">
        <v>112</v>
      </c>
      <c r="F8753" s="21" t="s">
        <v>436</v>
      </c>
      <c r="G8753" s="23" t="s">
        <v>4241</v>
      </c>
      <c r="H8753" s="21">
        <v>35</v>
      </c>
      <c r="I8753" s="23" t="s">
        <v>5568</v>
      </c>
      <c r="J8753" s="21"/>
      <c r="K8753" s="21" t="s">
        <v>148</v>
      </c>
      <c r="L8753" s="21" t="s">
        <v>114</v>
      </c>
      <c r="M8753" s="21" t="s">
        <v>52</v>
      </c>
      <c r="N8753" s="21" t="s">
        <v>44</v>
      </c>
      <c r="O8753" s="21">
        <v>85</v>
      </c>
      <c r="P8753" s="21"/>
      <c r="Q8753" s="21">
        <f t="shared" si="179"/>
        <v>2</v>
      </c>
      <c r="R8753" s="21">
        <v>0</v>
      </c>
      <c r="S8753" s="21">
        <v>0</v>
      </c>
      <c r="T8753" s="21">
        <v>0</v>
      </c>
      <c r="U8753" s="21">
        <v>1</v>
      </c>
      <c r="V8753" s="21">
        <v>0</v>
      </c>
      <c r="W8753" s="21">
        <v>1</v>
      </c>
      <c r="X8753" s="21">
        <v>0</v>
      </c>
      <c r="Y8753" s="21">
        <v>0</v>
      </c>
      <c r="Z8753" s="21">
        <v>0</v>
      </c>
      <c r="AA8753" s="21">
        <v>0</v>
      </c>
      <c r="AB8753" s="21">
        <v>0</v>
      </c>
      <c r="AC8753" s="21">
        <v>0</v>
      </c>
      <c r="AD8753" s="21">
        <v>0</v>
      </c>
      <c r="AE8753" s="21">
        <v>0</v>
      </c>
      <c r="AF8753" s="21">
        <v>0</v>
      </c>
      <c r="AG8753" s="21">
        <v>0</v>
      </c>
      <c r="AH8753" s="21">
        <f t="shared" si="180"/>
        <v>128</v>
      </c>
      <c r="AI8753" s="21"/>
      <c r="AJ8753" s="21" t="s">
        <v>51</v>
      </c>
      <c r="AK8753" s="21" t="s">
        <v>52</v>
      </c>
      <c r="AL8753" s="21" t="s">
        <v>5569</v>
      </c>
      <c r="AM8753" s="21" t="s">
        <v>5570</v>
      </c>
      <c r="AN8753" s="21">
        <v>-122.429973166667</v>
      </c>
      <c r="AO8753" s="21">
        <v>37.796921333333302</v>
      </c>
      <c r="AP8753" s="21" t="s">
        <v>541</v>
      </c>
    </row>
    <row r="8754" spans="1:42">
      <c r="A8754" s="22">
        <v>43874</v>
      </c>
      <c r="B8754" s="21">
        <v>4</v>
      </c>
      <c r="C8754" s="21">
        <v>215</v>
      </c>
      <c r="D8754" s="21">
        <v>14445</v>
      </c>
      <c r="E8754" t="s">
        <v>112</v>
      </c>
      <c r="F8754" s="21" t="s">
        <v>436</v>
      </c>
      <c r="G8754" s="23" t="s">
        <v>4241</v>
      </c>
      <c r="H8754" s="21">
        <v>36</v>
      </c>
      <c r="I8754" s="23" t="s">
        <v>5571</v>
      </c>
      <c r="J8754" s="21"/>
      <c r="K8754" s="21" t="s">
        <v>148</v>
      </c>
      <c r="L8754" s="21" t="s">
        <v>114</v>
      </c>
      <c r="M8754" s="21" t="s">
        <v>52</v>
      </c>
      <c r="N8754" s="21" t="s">
        <v>40</v>
      </c>
      <c r="O8754" s="21">
        <v>60</v>
      </c>
      <c r="P8754" s="21"/>
      <c r="Q8754" s="21">
        <f t="shared" si="179"/>
        <v>2</v>
      </c>
      <c r="R8754" s="21">
        <v>0</v>
      </c>
      <c r="S8754" s="21">
        <v>0</v>
      </c>
      <c r="T8754" s="21">
        <v>0</v>
      </c>
      <c r="U8754" s="21">
        <v>2</v>
      </c>
      <c r="V8754" s="21">
        <v>0</v>
      </c>
      <c r="W8754" s="21">
        <v>0</v>
      </c>
      <c r="X8754" s="21">
        <v>0</v>
      </c>
      <c r="Y8754" s="21">
        <v>0</v>
      </c>
      <c r="Z8754" s="21">
        <v>0</v>
      </c>
      <c r="AA8754" s="21">
        <v>0</v>
      </c>
      <c r="AB8754" s="21">
        <v>0</v>
      </c>
      <c r="AC8754" s="21">
        <v>0</v>
      </c>
      <c r="AD8754" s="21">
        <v>0</v>
      </c>
      <c r="AE8754" s="21">
        <v>0</v>
      </c>
      <c r="AF8754" s="21">
        <v>0</v>
      </c>
      <c r="AG8754" s="21">
        <v>0</v>
      </c>
      <c r="AH8754" s="21">
        <f t="shared" si="180"/>
        <v>64</v>
      </c>
      <c r="AI8754" s="21"/>
      <c r="AJ8754" s="21" t="s">
        <v>51</v>
      </c>
      <c r="AK8754" s="21" t="s">
        <v>52</v>
      </c>
      <c r="AL8754" s="21"/>
      <c r="AM8754" s="21" t="s">
        <v>5572</v>
      </c>
      <c r="AN8754" s="21">
        <v>-122.430223183333</v>
      </c>
      <c r="AO8754" s="21">
        <v>37.796855316666701</v>
      </c>
      <c r="AP8754" s="21" t="s">
        <v>541</v>
      </c>
    </row>
    <row r="8755" spans="1:42">
      <c r="A8755" s="22">
        <v>43874</v>
      </c>
      <c r="B8755" s="21">
        <v>4</v>
      </c>
      <c r="C8755" s="21">
        <v>215</v>
      </c>
      <c r="D8755" s="21">
        <v>14445</v>
      </c>
      <c r="E8755" t="s">
        <v>112</v>
      </c>
      <c r="F8755" s="21" t="s">
        <v>436</v>
      </c>
      <c r="G8755" s="23" t="s">
        <v>4241</v>
      </c>
      <c r="H8755" s="21">
        <v>37</v>
      </c>
      <c r="I8755" s="23" t="s">
        <v>5573</v>
      </c>
      <c r="J8755" s="21"/>
      <c r="K8755" s="21" t="s">
        <v>148</v>
      </c>
      <c r="L8755" s="21" t="s">
        <v>114</v>
      </c>
      <c r="M8755" s="21" t="s">
        <v>52</v>
      </c>
      <c r="N8755" s="21" t="s">
        <v>42</v>
      </c>
      <c r="O8755" s="21">
        <v>61</v>
      </c>
      <c r="P8755" s="21"/>
      <c r="Q8755" s="21">
        <f t="shared" si="179"/>
        <v>2</v>
      </c>
      <c r="R8755" s="21">
        <v>0</v>
      </c>
      <c r="S8755" s="21">
        <v>0</v>
      </c>
      <c r="T8755" s="21">
        <v>0</v>
      </c>
      <c r="U8755" s="21">
        <v>0</v>
      </c>
      <c r="V8755" s="21">
        <v>0</v>
      </c>
      <c r="W8755" s="21">
        <v>2</v>
      </c>
      <c r="X8755" s="21">
        <v>0</v>
      </c>
      <c r="Y8755" s="21">
        <v>0</v>
      </c>
      <c r="Z8755" s="21">
        <v>0</v>
      </c>
      <c r="AA8755" s="21">
        <v>0</v>
      </c>
      <c r="AB8755" s="21">
        <v>0</v>
      </c>
      <c r="AC8755" s="21">
        <v>0</v>
      </c>
      <c r="AD8755" s="21">
        <v>0</v>
      </c>
      <c r="AE8755" s="21">
        <v>0</v>
      </c>
      <c r="AF8755" s="21">
        <v>0</v>
      </c>
      <c r="AG8755" s="21">
        <v>0</v>
      </c>
      <c r="AH8755" s="21">
        <f t="shared" si="180"/>
        <v>192</v>
      </c>
      <c r="AI8755" s="21"/>
      <c r="AJ8755" s="21" t="s">
        <v>51</v>
      </c>
      <c r="AK8755" s="21" t="s">
        <v>52</v>
      </c>
      <c r="AL8755" s="21" t="s">
        <v>5574</v>
      </c>
      <c r="AM8755" s="21" t="s">
        <v>5575</v>
      </c>
      <c r="AN8755" s="21">
        <v>-122.42762763781199</v>
      </c>
      <c r="AO8755" s="21">
        <v>37.796402996991198</v>
      </c>
      <c r="AP8755" s="21" t="s">
        <v>541</v>
      </c>
    </row>
    <row r="8756" spans="1:42">
      <c r="A8756" s="22">
        <v>43874</v>
      </c>
      <c r="B8756" s="21">
        <v>4</v>
      </c>
      <c r="C8756" s="21">
        <v>215</v>
      </c>
      <c r="D8756" s="21">
        <v>14445</v>
      </c>
      <c r="E8756" t="s">
        <v>112</v>
      </c>
      <c r="F8756" s="21" t="s">
        <v>436</v>
      </c>
      <c r="G8756" s="23" t="s">
        <v>4241</v>
      </c>
      <c r="H8756" s="21">
        <v>38</v>
      </c>
      <c r="I8756" s="23" t="s">
        <v>5203</v>
      </c>
      <c r="J8756" s="21"/>
      <c r="K8756" s="21" t="s">
        <v>119</v>
      </c>
      <c r="L8756" s="21" t="s">
        <v>114</v>
      </c>
      <c r="M8756" s="21" t="s">
        <v>52</v>
      </c>
      <c r="N8756" s="21" t="s">
        <v>40</v>
      </c>
      <c r="O8756" s="21">
        <v>72</v>
      </c>
      <c r="P8756" s="21"/>
      <c r="Q8756" s="21">
        <f t="shared" si="179"/>
        <v>2</v>
      </c>
      <c r="R8756" s="21">
        <v>0</v>
      </c>
      <c r="S8756" s="21">
        <v>0</v>
      </c>
      <c r="T8756" s="21">
        <v>0</v>
      </c>
      <c r="U8756" s="21">
        <v>0</v>
      </c>
      <c r="V8756" s="21">
        <v>2</v>
      </c>
      <c r="W8756" s="21">
        <v>0</v>
      </c>
      <c r="X8756" s="21">
        <v>0</v>
      </c>
      <c r="Y8756" s="21">
        <v>0</v>
      </c>
      <c r="Z8756" s="21">
        <v>0</v>
      </c>
      <c r="AA8756" s="21">
        <v>0</v>
      </c>
      <c r="AB8756" s="21">
        <v>0</v>
      </c>
      <c r="AC8756" s="21">
        <v>0</v>
      </c>
      <c r="AD8756" s="21">
        <v>0</v>
      </c>
      <c r="AE8756" s="21">
        <v>0</v>
      </c>
      <c r="AF8756" s="21">
        <v>0</v>
      </c>
      <c r="AG8756" s="21">
        <v>0</v>
      </c>
      <c r="AH8756" s="21">
        <f t="shared" si="180"/>
        <v>128</v>
      </c>
      <c r="AI8756" s="21"/>
      <c r="AJ8756" s="21" t="s">
        <v>51</v>
      </c>
      <c r="AK8756" s="21" t="s">
        <v>52</v>
      </c>
      <c r="AL8756" s="21"/>
      <c r="AM8756" s="21" t="s">
        <v>5576</v>
      </c>
      <c r="AN8756" s="21">
        <v>-122.43104098333301</v>
      </c>
      <c r="AO8756" s="21">
        <v>37.796712933333303</v>
      </c>
      <c r="AP8756" s="21" t="s">
        <v>541</v>
      </c>
    </row>
    <row r="8757" spans="1:42">
      <c r="A8757" s="22">
        <v>43874</v>
      </c>
      <c r="B8757" s="21">
        <v>4</v>
      </c>
      <c r="C8757" s="21">
        <v>215</v>
      </c>
      <c r="D8757" s="21">
        <v>14445</v>
      </c>
      <c r="E8757" t="s">
        <v>112</v>
      </c>
      <c r="F8757" s="21" t="s">
        <v>436</v>
      </c>
      <c r="G8757" s="23" t="s">
        <v>4241</v>
      </c>
      <c r="H8757" s="21">
        <v>39</v>
      </c>
      <c r="I8757" s="23" t="s">
        <v>5577</v>
      </c>
      <c r="J8757" s="21"/>
      <c r="K8757" s="21" t="s">
        <v>119</v>
      </c>
      <c r="L8757" s="21" t="s">
        <v>114</v>
      </c>
      <c r="M8757" s="21" t="s">
        <v>52</v>
      </c>
      <c r="N8757" s="21" t="s">
        <v>44</v>
      </c>
      <c r="O8757" s="21">
        <v>96</v>
      </c>
      <c r="P8757" s="21"/>
      <c r="Q8757" s="21">
        <f t="shared" si="179"/>
        <v>1</v>
      </c>
      <c r="R8757" s="21">
        <v>0</v>
      </c>
      <c r="S8757" s="21">
        <v>0</v>
      </c>
      <c r="T8757" s="21">
        <v>0</v>
      </c>
      <c r="U8757" s="21">
        <v>0</v>
      </c>
      <c r="V8757" s="21">
        <v>0</v>
      </c>
      <c r="W8757" s="21">
        <v>1</v>
      </c>
      <c r="X8757" s="21">
        <v>0</v>
      </c>
      <c r="Y8757" s="21">
        <v>0</v>
      </c>
      <c r="Z8757" s="21">
        <v>0</v>
      </c>
      <c r="AA8757" s="21">
        <v>0</v>
      </c>
      <c r="AB8757" s="21">
        <v>0</v>
      </c>
      <c r="AC8757" s="21">
        <v>0</v>
      </c>
      <c r="AD8757" s="21">
        <v>0</v>
      </c>
      <c r="AE8757" s="21">
        <v>0</v>
      </c>
      <c r="AF8757" s="21">
        <v>0</v>
      </c>
      <c r="AG8757" s="21">
        <v>0</v>
      </c>
      <c r="AH8757" s="21">
        <f t="shared" si="180"/>
        <v>96</v>
      </c>
      <c r="AI8757" s="21"/>
      <c r="AJ8757" s="21" t="s">
        <v>51</v>
      </c>
      <c r="AK8757" s="21" t="s">
        <v>52</v>
      </c>
      <c r="AL8757" s="21" t="s">
        <v>5578</v>
      </c>
      <c r="AM8757" s="21" t="s">
        <v>5579</v>
      </c>
      <c r="AN8757" s="21">
        <v>-122.431666966667</v>
      </c>
      <c r="AO8757" s="21">
        <v>37.796640016666601</v>
      </c>
      <c r="AP8757" s="21" t="s">
        <v>541</v>
      </c>
    </row>
    <row r="8758" spans="1:42">
      <c r="A8758" s="22">
        <v>43874</v>
      </c>
      <c r="B8758" s="21">
        <v>4</v>
      </c>
      <c r="C8758" s="21">
        <v>215</v>
      </c>
      <c r="D8758" s="21">
        <v>14445</v>
      </c>
      <c r="E8758" t="s">
        <v>112</v>
      </c>
      <c r="F8758" s="21" t="s">
        <v>436</v>
      </c>
      <c r="G8758" s="23" t="s">
        <v>4241</v>
      </c>
      <c r="H8758" s="21">
        <v>40</v>
      </c>
      <c r="I8758" s="23" t="s">
        <v>5580</v>
      </c>
      <c r="J8758" s="21"/>
      <c r="K8758" t="s">
        <v>605</v>
      </c>
      <c r="L8758" s="21" t="s">
        <v>141</v>
      </c>
      <c r="M8758" s="21" t="s">
        <v>52</v>
      </c>
      <c r="N8758" s="21" t="s">
        <v>40</v>
      </c>
      <c r="O8758" s="21">
        <v>44</v>
      </c>
      <c r="P8758" s="21"/>
      <c r="Q8758" s="21">
        <f t="shared" si="179"/>
        <v>2</v>
      </c>
      <c r="R8758" s="21">
        <v>0</v>
      </c>
      <c r="S8758" s="21">
        <v>0</v>
      </c>
      <c r="T8758" s="21">
        <v>0</v>
      </c>
      <c r="U8758" s="21">
        <v>2</v>
      </c>
      <c r="V8758" s="21">
        <v>0</v>
      </c>
      <c r="W8758" s="21">
        <v>0</v>
      </c>
      <c r="X8758" s="21">
        <v>0</v>
      </c>
      <c r="Y8758" s="21">
        <v>0</v>
      </c>
      <c r="Z8758" s="21">
        <v>0</v>
      </c>
      <c r="AA8758" s="21">
        <v>0</v>
      </c>
      <c r="AB8758" s="21">
        <v>0</v>
      </c>
      <c r="AC8758" s="21">
        <v>0</v>
      </c>
      <c r="AD8758" s="21">
        <v>0</v>
      </c>
      <c r="AE8758" s="21">
        <v>0</v>
      </c>
      <c r="AF8758" s="21">
        <v>0</v>
      </c>
      <c r="AG8758" s="21">
        <v>0</v>
      </c>
      <c r="AH8758" s="21">
        <f t="shared" si="180"/>
        <v>64</v>
      </c>
      <c r="AI8758" s="21"/>
      <c r="AJ8758" s="21" t="s">
        <v>51</v>
      </c>
      <c r="AK8758" s="21" t="s">
        <v>52</v>
      </c>
      <c r="AL8758" s="21"/>
      <c r="AM8758" s="21" t="s">
        <v>5581</v>
      </c>
      <c r="AN8758" s="21">
        <v>-122.431598466667</v>
      </c>
      <c r="AO8758" s="21">
        <v>37.7966357166667</v>
      </c>
      <c r="AP8758" s="21" t="s">
        <v>541</v>
      </c>
    </row>
    <row r="8759" spans="1:42">
      <c r="A8759" s="22">
        <v>43874</v>
      </c>
      <c r="B8759" s="21">
        <v>4</v>
      </c>
      <c r="C8759" s="21">
        <v>215</v>
      </c>
      <c r="D8759" s="21">
        <v>14445</v>
      </c>
      <c r="E8759" t="s">
        <v>112</v>
      </c>
      <c r="F8759" s="21" t="s">
        <v>436</v>
      </c>
      <c r="G8759" s="23" t="s">
        <v>4241</v>
      </c>
      <c r="H8759" s="21">
        <v>42</v>
      </c>
      <c r="I8759" s="23" t="s">
        <v>5582</v>
      </c>
      <c r="J8759" s="21"/>
      <c r="K8759" s="21" t="s">
        <v>119</v>
      </c>
      <c r="L8759" s="21" t="s">
        <v>141</v>
      </c>
      <c r="M8759" s="21" t="s">
        <v>52</v>
      </c>
      <c r="N8759" s="21" t="s">
        <v>40</v>
      </c>
      <c r="O8759" s="21">
        <v>94</v>
      </c>
      <c r="P8759" s="21"/>
      <c r="Q8759" s="21">
        <f t="shared" si="179"/>
        <v>2</v>
      </c>
      <c r="R8759" s="21">
        <v>0</v>
      </c>
      <c r="S8759" s="21">
        <v>0</v>
      </c>
      <c r="T8759" s="21">
        <v>0</v>
      </c>
      <c r="U8759" s="21">
        <v>1</v>
      </c>
      <c r="V8759" s="21">
        <v>1</v>
      </c>
      <c r="W8759" s="21">
        <v>0</v>
      </c>
      <c r="X8759" s="21">
        <v>0</v>
      </c>
      <c r="Y8759" s="21">
        <v>0</v>
      </c>
      <c r="Z8759" s="21">
        <v>0</v>
      </c>
      <c r="AA8759" s="21">
        <v>0</v>
      </c>
      <c r="AB8759" s="21">
        <v>0</v>
      </c>
      <c r="AC8759" s="21">
        <v>0</v>
      </c>
      <c r="AD8759" s="21">
        <v>0</v>
      </c>
      <c r="AE8759" s="21">
        <v>0</v>
      </c>
      <c r="AF8759" s="21">
        <v>0</v>
      </c>
      <c r="AG8759" s="21">
        <v>0</v>
      </c>
      <c r="AH8759" s="21">
        <f t="shared" si="180"/>
        <v>96</v>
      </c>
      <c r="AI8759" s="21"/>
      <c r="AJ8759" s="21" t="s">
        <v>51</v>
      </c>
      <c r="AK8759" s="21" t="s">
        <v>52</v>
      </c>
      <c r="AL8759" s="21"/>
      <c r="AM8759" s="21" t="s">
        <v>5583</v>
      </c>
      <c r="AN8759" s="21">
        <v>-122.43143448333301</v>
      </c>
      <c r="AO8759" s="21">
        <v>37.796666016666698</v>
      </c>
      <c r="AP8759" s="21" t="s">
        <v>541</v>
      </c>
    </row>
    <row r="8760" spans="1:42">
      <c r="A8760" s="22">
        <v>43874</v>
      </c>
      <c r="B8760" s="21">
        <v>4</v>
      </c>
      <c r="C8760" s="21">
        <v>215</v>
      </c>
      <c r="D8760" s="21">
        <v>14445</v>
      </c>
      <c r="E8760" t="s">
        <v>112</v>
      </c>
      <c r="F8760" s="21" t="s">
        <v>436</v>
      </c>
      <c r="G8760" s="23" t="s">
        <v>4241</v>
      </c>
      <c r="H8760" s="21">
        <v>43</v>
      </c>
      <c r="I8760" s="23" t="s">
        <v>5584</v>
      </c>
      <c r="J8760" s="21"/>
      <c r="K8760" s="21" t="s">
        <v>119</v>
      </c>
      <c r="L8760" s="21" t="s">
        <v>114</v>
      </c>
      <c r="M8760" s="21" t="s">
        <v>52</v>
      </c>
      <c r="N8760" s="21" t="s">
        <v>40</v>
      </c>
      <c r="O8760" s="21">
        <v>28</v>
      </c>
      <c r="P8760" s="21"/>
      <c r="Q8760" s="21">
        <f t="shared" si="179"/>
        <v>1</v>
      </c>
      <c r="R8760" s="21">
        <v>0</v>
      </c>
      <c r="S8760" s="21">
        <v>0</v>
      </c>
      <c r="T8760" s="21">
        <v>0</v>
      </c>
      <c r="U8760" s="21">
        <v>0</v>
      </c>
      <c r="V8760" s="21">
        <v>1</v>
      </c>
      <c r="W8760" s="21">
        <v>0</v>
      </c>
      <c r="X8760" s="21">
        <v>0</v>
      </c>
      <c r="Y8760" s="21">
        <v>0</v>
      </c>
      <c r="Z8760" s="21">
        <v>0</v>
      </c>
      <c r="AA8760" s="21">
        <v>0</v>
      </c>
      <c r="AB8760" s="21">
        <v>0</v>
      </c>
      <c r="AC8760" s="21">
        <v>0</v>
      </c>
      <c r="AD8760" s="21">
        <v>0</v>
      </c>
      <c r="AE8760" s="21">
        <v>0</v>
      </c>
      <c r="AF8760" s="21">
        <v>0</v>
      </c>
      <c r="AG8760" s="21">
        <v>0</v>
      </c>
      <c r="AH8760" s="21">
        <f t="shared" si="180"/>
        <v>64</v>
      </c>
      <c r="AI8760" s="21"/>
      <c r="AJ8760" s="21" t="s">
        <v>51</v>
      </c>
      <c r="AK8760" s="21" t="s">
        <v>52</v>
      </c>
      <c r="AL8760" s="21"/>
      <c r="AM8760" s="21" t="s">
        <v>5585</v>
      </c>
      <c r="AN8760" s="21">
        <v>-122.43134245</v>
      </c>
      <c r="AO8760" s="21">
        <v>37.796715183333298</v>
      </c>
      <c r="AP8760" s="21" t="s">
        <v>541</v>
      </c>
    </row>
    <row r="8761" spans="1:42">
      <c r="A8761" s="22">
        <v>43874</v>
      </c>
      <c r="B8761" s="21">
        <v>4</v>
      </c>
      <c r="C8761" s="21">
        <v>215</v>
      </c>
      <c r="D8761" s="21">
        <v>14445</v>
      </c>
      <c r="E8761" t="s">
        <v>112</v>
      </c>
      <c r="F8761" s="21" t="s">
        <v>436</v>
      </c>
      <c r="G8761" s="23" t="s">
        <v>4241</v>
      </c>
      <c r="H8761" s="21">
        <v>44</v>
      </c>
      <c r="I8761" s="23" t="s">
        <v>3844</v>
      </c>
      <c r="J8761" s="21"/>
      <c r="K8761" s="21" t="s">
        <v>119</v>
      </c>
      <c r="L8761" s="21" t="s">
        <v>114</v>
      </c>
      <c r="M8761" s="21" t="s">
        <v>52</v>
      </c>
      <c r="N8761" s="21" t="s">
        <v>42</v>
      </c>
      <c r="O8761" s="21">
        <v>35</v>
      </c>
      <c r="P8761" s="21"/>
      <c r="Q8761" s="21">
        <f t="shared" si="179"/>
        <v>1</v>
      </c>
      <c r="R8761" s="21">
        <v>0</v>
      </c>
      <c r="S8761" s="21">
        <v>0</v>
      </c>
      <c r="T8761" s="21">
        <v>0</v>
      </c>
      <c r="U8761" s="21">
        <v>0</v>
      </c>
      <c r="V8761" s="21">
        <v>1</v>
      </c>
      <c r="W8761" s="21">
        <v>0</v>
      </c>
      <c r="X8761" s="21">
        <v>0</v>
      </c>
      <c r="Y8761" s="21">
        <v>0</v>
      </c>
      <c r="Z8761" s="21">
        <v>0</v>
      </c>
      <c r="AA8761" s="21">
        <v>0</v>
      </c>
      <c r="AB8761" s="21">
        <v>0</v>
      </c>
      <c r="AC8761" s="21">
        <v>0</v>
      </c>
      <c r="AD8761" s="21">
        <v>0</v>
      </c>
      <c r="AE8761" s="21">
        <v>0</v>
      </c>
      <c r="AF8761" s="21">
        <v>0</v>
      </c>
      <c r="AG8761" s="21">
        <v>0</v>
      </c>
      <c r="AH8761" s="21">
        <f t="shared" si="180"/>
        <v>64</v>
      </c>
      <c r="AI8761" s="21"/>
      <c r="AJ8761" s="21" t="s">
        <v>51</v>
      </c>
      <c r="AK8761" s="21" t="s">
        <v>52</v>
      </c>
      <c r="AL8761" s="21"/>
      <c r="AM8761" s="21" t="s">
        <v>5586</v>
      </c>
      <c r="AN8761" s="21">
        <v>-122.43113023333299</v>
      </c>
      <c r="AO8761" s="21">
        <v>37.796732466666597</v>
      </c>
      <c r="AP8761" s="21" t="s">
        <v>541</v>
      </c>
    </row>
    <row r="8762" spans="1:42">
      <c r="A8762" s="22">
        <v>43874</v>
      </c>
      <c r="B8762" s="21">
        <v>4</v>
      </c>
      <c r="C8762" s="21">
        <v>215</v>
      </c>
      <c r="D8762" s="21">
        <v>14445</v>
      </c>
      <c r="E8762" t="s">
        <v>112</v>
      </c>
      <c r="F8762" s="21" t="s">
        <v>436</v>
      </c>
      <c r="G8762" s="23" t="s">
        <v>4241</v>
      </c>
      <c r="H8762" s="21">
        <v>45</v>
      </c>
      <c r="I8762" s="23" t="s">
        <v>5587</v>
      </c>
      <c r="J8762" s="21"/>
      <c r="K8762" s="21" t="s">
        <v>119</v>
      </c>
      <c r="L8762" s="21" t="s">
        <v>141</v>
      </c>
      <c r="M8762" s="21" t="s">
        <v>52</v>
      </c>
      <c r="N8762" s="21" t="s">
        <v>40</v>
      </c>
      <c r="O8762" s="21">
        <v>23</v>
      </c>
      <c r="P8762" s="21"/>
      <c r="Q8762" s="21">
        <f t="shared" si="179"/>
        <v>1</v>
      </c>
      <c r="R8762" s="21">
        <v>0</v>
      </c>
      <c r="S8762" s="21">
        <v>0</v>
      </c>
      <c r="T8762" s="21">
        <v>0</v>
      </c>
      <c r="U8762" s="21">
        <v>0</v>
      </c>
      <c r="V8762" s="21">
        <v>1</v>
      </c>
      <c r="W8762" s="21">
        <v>0</v>
      </c>
      <c r="X8762" s="21">
        <v>0</v>
      </c>
      <c r="Y8762" s="21">
        <v>0</v>
      </c>
      <c r="Z8762" s="21">
        <v>0</v>
      </c>
      <c r="AA8762" s="21">
        <v>0</v>
      </c>
      <c r="AB8762" s="21">
        <v>0</v>
      </c>
      <c r="AC8762" s="21">
        <v>0</v>
      </c>
      <c r="AD8762" s="21">
        <v>0</v>
      </c>
      <c r="AE8762" s="21">
        <v>0</v>
      </c>
      <c r="AF8762" s="21">
        <v>0</v>
      </c>
      <c r="AG8762" s="21">
        <v>0</v>
      </c>
      <c r="AH8762" s="21">
        <f t="shared" si="180"/>
        <v>64</v>
      </c>
      <c r="AI8762" s="21"/>
      <c r="AJ8762" s="21" t="s">
        <v>51</v>
      </c>
      <c r="AK8762" s="21" t="s">
        <v>52</v>
      </c>
      <c r="AL8762" s="21"/>
      <c r="AM8762" s="21" t="s">
        <v>5588</v>
      </c>
      <c r="AN8762" s="21">
        <v>-122.43087850000001</v>
      </c>
      <c r="AO8762" s="21">
        <v>37.796747600000003</v>
      </c>
      <c r="AP8762" s="21" t="s">
        <v>541</v>
      </c>
    </row>
    <row r="8763" spans="1:42">
      <c r="A8763" s="22">
        <v>43874</v>
      </c>
      <c r="B8763" s="21">
        <v>4</v>
      </c>
      <c r="C8763" s="21">
        <v>215</v>
      </c>
      <c r="D8763" s="21">
        <v>14445</v>
      </c>
      <c r="E8763" t="s">
        <v>112</v>
      </c>
      <c r="F8763" s="21" t="s">
        <v>436</v>
      </c>
      <c r="G8763" s="23" t="s">
        <v>4241</v>
      </c>
      <c r="H8763" s="21">
        <v>46</v>
      </c>
      <c r="I8763" s="23" t="s">
        <v>5367</v>
      </c>
      <c r="J8763" s="21"/>
      <c r="K8763" s="21" t="s">
        <v>162</v>
      </c>
      <c r="L8763" s="21" t="s">
        <v>141</v>
      </c>
      <c r="M8763" s="21" t="s">
        <v>52</v>
      </c>
      <c r="N8763" s="21" t="s">
        <v>42</v>
      </c>
      <c r="O8763" s="21">
        <v>125</v>
      </c>
      <c r="P8763" s="21"/>
      <c r="Q8763" s="21">
        <f t="shared" si="179"/>
        <v>4</v>
      </c>
      <c r="R8763" s="21">
        <v>0</v>
      </c>
      <c r="S8763" s="21">
        <v>0</v>
      </c>
      <c r="T8763" s="21">
        <v>0</v>
      </c>
      <c r="U8763" s="21">
        <v>4</v>
      </c>
      <c r="V8763" s="21">
        <v>0</v>
      </c>
      <c r="W8763" s="21">
        <v>0</v>
      </c>
      <c r="X8763" s="21">
        <v>0</v>
      </c>
      <c r="Y8763" s="21">
        <v>0</v>
      </c>
      <c r="Z8763" s="21">
        <v>0</v>
      </c>
      <c r="AA8763" s="21">
        <v>0</v>
      </c>
      <c r="AB8763" s="21">
        <v>0</v>
      </c>
      <c r="AC8763" s="21">
        <v>0</v>
      </c>
      <c r="AD8763" s="21">
        <v>0</v>
      </c>
      <c r="AE8763" s="21">
        <v>0</v>
      </c>
      <c r="AF8763" s="21">
        <v>0</v>
      </c>
      <c r="AG8763" s="21">
        <v>0</v>
      </c>
      <c r="AH8763" s="21">
        <f t="shared" si="180"/>
        <v>128</v>
      </c>
      <c r="AI8763" s="21"/>
      <c r="AJ8763" s="21" t="s">
        <v>51</v>
      </c>
      <c r="AK8763" s="21" t="s">
        <v>52</v>
      </c>
      <c r="AL8763" s="21" t="s">
        <v>5589</v>
      </c>
      <c r="AM8763" s="21" t="s">
        <v>5590</v>
      </c>
      <c r="AN8763" s="21">
        <v>-122.43006231666701</v>
      </c>
      <c r="AO8763" s="21">
        <v>37.796820916666697</v>
      </c>
      <c r="AP8763" s="21" t="s">
        <v>541</v>
      </c>
    </row>
    <row r="8764" spans="1:42">
      <c r="A8764" s="22">
        <v>43874</v>
      </c>
      <c r="B8764" s="21">
        <v>4</v>
      </c>
      <c r="C8764" s="21">
        <v>215</v>
      </c>
      <c r="D8764" s="21">
        <v>14445</v>
      </c>
      <c r="E8764" t="s">
        <v>112</v>
      </c>
      <c r="F8764" s="21" t="s">
        <v>436</v>
      </c>
      <c r="G8764" s="23" t="s">
        <v>4241</v>
      </c>
      <c r="H8764" s="21">
        <v>47</v>
      </c>
      <c r="I8764" s="23" t="s">
        <v>5591</v>
      </c>
      <c r="J8764" s="21"/>
      <c r="K8764" s="21" t="s">
        <v>162</v>
      </c>
      <c r="L8764" s="21" t="s">
        <v>141</v>
      </c>
      <c r="M8764" s="21" t="s">
        <v>52</v>
      </c>
      <c r="N8764" s="21" t="s">
        <v>44</v>
      </c>
      <c r="O8764" s="21">
        <v>68</v>
      </c>
      <c r="P8764" s="21"/>
      <c r="Q8764" s="21">
        <f t="shared" si="179"/>
        <v>4</v>
      </c>
      <c r="R8764" s="21">
        <v>0</v>
      </c>
      <c r="S8764" s="21">
        <v>0</v>
      </c>
      <c r="T8764" s="21">
        <v>0</v>
      </c>
      <c r="U8764" s="21">
        <v>4</v>
      </c>
      <c r="V8764" s="21">
        <v>0</v>
      </c>
      <c r="W8764" s="21">
        <v>0</v>
      </c>
      <c r="X8764" s="21">
        <v>0</v>
      </c>
      <c r="Y8764" s="21">
        <v>0</v>
      </c>
      <c r="Z8764" s="21">
        <v>0</v>
      </c>
      <c r="AA8764" s="21">
        <v>0</v>
      </c>
      <c r="AB8764" s="21">
        <v>0</v>
      </c>
      <c r="AC8764" s="21">
        <v>0</v>
      </c>
      <c r="AD8764" s="21">
        <v>0</v>
      </c>
      <c r="AE8764" s="21">
        <v>0</v>
      </c>
      <c r="AF8764" s="21">
        <v>0</v>
      </c>
      <c r="AG8764" s="21">
        <v>0</v>
      </c>
      <c r="AH8764" s="21">
        <f t="shared" si="180"/>
        <v>128</v>
      </c>
      <c r="AI8764" s="21"/>
      <c r="AJ8764" s="21" t="s">
        <v>51</v>
      </c>
      <c r="AK8764" s="21" t="s">
        <v>52</v>
      </c>
      <c r="AL8764" s="21"/>
      <c r="AM8764" s="21" t="s">
        <v>5592</v>
      </c>
      <c r="AN8764" s="21">
        <v>-122.43004809999999</v>
      </c>
      <c r="AO8764" s="21">
        <v>37.796815816666701</v>
      </c>
      <c r="AP8764" s="21" t="s">
        <v>541</v>
      </c>
    </row>
    <row r="8765" spans="1:42">
      <c r="A8765" s="22">
        <v>43874</v>
      </c>
      <c r="B8765" s="21">
        <v>4</v>
      </c>
      <c r="C8765" s="21">
        <v>215</v>
      </c>
      <c r="D8765" s="21">
        <v>14445</v>
      </c>
      <c r="E8765" t="s">
        <v>112</v>
      </c>
      <c r="F8765" s="21" t="s">
        <v>436</v>
      </c>
      <c r="G8765" s="23" t="s">
        <v>4241</v>
      </c>
      <c r="H8765" s="21">
        <v>48</v>
      </c>
      <c r="I8765" s="23" t="s">
        <v>5593</v>
      </c>
      <c r="J8765" s="21"/>
      <c r="K8765" s="21" t="s">
        <v>162</v>
      </c>
      <c r="L8765" s="21" t="s">
        <v>141</v>
      </c>
      <c r="M8765" s="21" t="s">
        <v>52</v>
      </c>
      <c r="N8765" s="21" t="s">
        <v>40</v>
      </c>
      <c r="O8765" s="21">
        <v>62</v>
      </c>
      <c r="P8765" s="21"/>
      <c r="Q8765" s="21">
        <f t="shared" si="179"/>
        <v>3</v>
      </c>
      <c r="R8765" s="21">
        <v>0</v>
      </c>
      <c r="S8765" s="21">
        <v>0</v>
      </c>
      <c r="T8765" s="21">
        <v>0</v>
      </c>
      <c r="U8765" s="21">
        <v>1</v>
      </c>
      <c r="V8765" s="21">
        <v>0</v>
      </c>
      <c r="W8765" s="21">
        <v>2</v>
      </c>
      <c r="X8765" s="21">
        <v>0</v>
      </c>
      <c r="Y8765" s="21">
        <v>0</v>
      </c>
      <c r="Z8765" s="21">
        <v>0</v>
      </c>
      <c r="AA8765" s="21">
        <v>0</v>
      </c>
      <c r="AB8765" s="21">
        <v>0</v>
      </c>
      <c r="AC8765" s="21">
        <v>0</v>
      </c>
      <c r="AD8765" s="21">
        <v>0</v>
      </c>
      <c r="AE8765" s="21">
        <v>0</v>
      </c>
      <c r="AF8765" s="21">
        <v>0</v>
      </c>
      <c r="AG8765" s="21">
        <v>0</v>
      </c>
      <c r="AH8765" s="21">
        <f t="shared" si="180"/>
        <v>224</v>
      </c>
      <c r="AI8765" s="21"/>
      <c r="AJ8765" s="21" t="s">
        <v>51</v>
      </c>
      <c r="AK8765" s="21" t="s">
        <v>52</v>
      </c>
      <c r="AL8765" s="21"/>
      <c r="AM8765" s="21" t="s">
        <v>5594</v>
      </c>
      <c r="AN8765" s="21">
        <v>-122.429784666667</v>
      </c>
      <c r="AO8765" s="21">
        <v>37.796869866666597</v>
      </c>
      <c r="AP8765" s="21" t="s">
        <v>541</v>
      </c>
    </row>
    <row r="8766" spans="1:42">
      <c r="A8766" s="22">
        <v>43874</v>
      </c>
      <c r="B8766" s="21">
        <v>4</v>
      </c>
      <c r="C8766" s="21">
        <v>215</v>
      </c>
      <c r="D8766" s="21">
        <v>14445</v>
      </c>
      <c r="E8766" t="s">
        <v>112</v>
      </c>
      <c r="F8766" s="21" t="s">
        <v>436</v>
      </c>
      <c r="G8766" s="23" t="s">
        <v>4241</v>
      </c>
      <c r="H8766" s="21">
        <v>49</v>
      </c>
      <c r="I8766" s="23" t="s">
        <v>5595</v>
      </c>
      <c r="J8766" s="21"/>
      <c r="K8766" s="21" t="s">
        <v>119</v>
      </c>
      <c r="L8766" s="21" t="s">
        <v>141</v>
      </c>
      <c r="M8766" s="21" t="s">
        <v>52</v>
      </c>
      <c r="N8766" s="21" t="s">
        <v>44</v>
      </c>
      <c r="O8766" s="21">
        <v>611</v>
      </c>
      <c r="P8766" s="21"/>
      <c r="Q8766" s="21">
        <f t="shared" si="179"/>
        <v>2</v>
      </c>
      <c r="R8766" s="21">
        <v>0</v>
      </c>
      <c r="S8766" s="21">
        <v>0</v>
      </c>
      <c r="T8766" s="21">
        <v>0</v>
      </c>
      <c r="U8766" s="21">
        <v>0</v>
      </c>
      <c r="V8766" s="21">
        <v>0</v>
      </c>
      <c r="W8766" s="21">
        <v>2</v>
      </c>
      <c r="X8766" s="21">
        <v>0</v>
      </c>
      <c r="Y8766" s="21">
        <v>0</v>
      </c>
      <c r="Z8766" s="21">
        <v>0</v>
      </c>
      <c r="AA8766" s="21">
        <v>0</v>
      </c>
      <c r="AB8766" s="21">
        <v>0</v>
      </c>
      <c r="AC8766" s="21">
        <v>0</v>
      </c>
      <c r="AD8766" s="21">
        <v>0</v>
      </c>
      <c r="AE8766" s="21">
        <v>0</v>
      </c>
      <c r="AF8766" s="21">
        <v>0</v>
      </c>
      <c r="AG8766" s="21">
        <v>0</v>
      </c>
      <c r="AH8766" s="21">
        <f t="shared" si="180"/>
        <v>192</v>
      </c>
      <c r="AI8766" s="21"/>
      <c r="AJ8766" s="21" t="s">
        <v>51</v>
      </c>
      <c r="AK8766" s="21" t="s">
        <v>52</v>
      </c>
      <c r="AL8766" s="21" t="s">
        <v>5596</v>
      </c>
      <c r="AM8766" s="21" t="s">
        <v>5597</v>
      </c>
      <c r="AN8766" s="21">
        <v>-122.429693683333</v>
      </c>
      <c r="AO8766" s="21">
        <v>37.796890333333302</v>
      </c>
      <c r="AP8766" s="21" t="s">
        <v>541</v>
      </c>
    </row>
    <row r="8767" spans="1:42">
      <c r="A8767" s="22">
        <v>43874</v>
      </c>
      <c r="B8767" s="21">
        <v>4</v>
      </c>
      <c r="C8767" s="21">
        <v>215</v>
      </c>
      <c r="D8767" s="21">
        <v>14445</v>
      </c>
      <c r="E8767" t="s">
        <v>112</v>
      </c>
      <c r="F8767" s="21" t="s">
        <v>436</v>
      </c>
      <c r="G8767" s="23" t="s">
        <v>4241</v>
      </c>
      <c r="H8767" s="21">
        <v>50</v>
      </c>
      <c r="I8767" s="23" t="s">
        <v>4447</v>
      </c>
      <c r="J8767" s="21"/>
      <c r="K8767" s="21" t="s">
        <v>119</v>
      </c>
      <c r="L8767" s="21" t="s">
        <v>141</v>
      </c>
      <c r="M8767" s="21" t="s">
        <v>95</v>
      </c>
      <c r="N8767" s="21" t="s">
        <v>40</v>
      </c>
      <c r="O8767" s="21">
        <v>61</v>
      </c>
      <c r="P8767" s="21"/>
      <c r="Q8767" s="21">
        <f t="shared" si="179"/>
        <v>3</v>
      </c>
      <c r="R8767" s="21">
        <v>0</v>
      </c>
      <c r="S8767" s="21">
        <v>0</v>
      </c>
      <c r="T8767" s="21">
        <v>0</v>
      </c>
      <c r="U8767" s="21">
        <v>0</v>
      </c>
      <c r="V8767" s="21">
        <v>1</v>
      </c>
      <c r="W8767" s="21">
        <v>2</v>
      </c>
      <c r="X8767" s="21">
        <v>0</v>
      </c>
      <c r="Y8767" s="21">
        <v>0</v>
      </c>
      <c r="Z8767" s="21">
        <v>0</v>
      </c>
      <c r="AA8767" s="21">
        <v>0</v>
      </c>
      <c r="AB8767" s="21">
        <v>0</v>
      </c>
      <c r="AC8767" s="21">
        <v>0</v>
      </c>
      <c r="AD8767" s="21">
        <v>0</v>
      </c>
      <c r="AE8767" s="21">
        <v>0</v>
      </c>
      <c r="AF8767" s="21">
        <v>0</v>
      </c>
      <c r="AG8767" s="21">
        <v>0</v>
      </c>
      <c r="AH8767" s="21">
        <f t="shared" si="180"/>
        <v>256</v>
      </c>
      <c r="AI8767" s="21"/>
      <c r="AJ8767" s="21" t="s">
        <v>51</v>
      </c>
      <c r="AK8767" s="21" t="s">
        <v>52</v>
      </c>
      <c r="AL8767" s="21"/>
      <c r="AM8767" s="21" t="s">
        <v>5598</v>
      </c>
      <c r="AN8767" s="21">
        <v>-122.429244066667</v>
      </c>
      <c r="AO8767" s="21">
        <v>37.796933916666603</v>
      </c>
      <c r="AP8767" s="21" t="s">
        <v>541</v>
      </c>
    </row>
    <row r="8768" spans="1:42">
      <c r="A8768" s="22">
        <v>43874</v>
      </c>
      <c r="B8768" s="21">
        <v>4</v>
      </c>
      <c r="C8768" s="21">
        <v>215</v>
      </c>
      <c r="D8768" s="21">
        <v>14445</v>
      </c>
      <c r="E8768" t="s">
        <v>112</v>
      </c>
      <c r="F8768" s="21" t="s">
        <v>436</v>
      </c>
      <c r="G8768" s="23" t="s">
        <v>4241</v>
      </c>
      <c r="H8768" s="21">
        <v>51</v>
      </c>
      <c r="I8768" s="23" t="s">
        <v>5599</v>
      </c>
      <c r="J8768" s="21"/>
      <c r="K8768" t="s">
        <v>585</v>
      </c>
      <c r="L8768" s="21" t="s">
        <v>141</v>
      </c>
      <c r="M8768" s="21" t="s">
        <v>52</v>
      </c>
      <c r="N8768" s="21" t="s">
        <v>44</v>
      </c>
      <c r="O8768" s="21">
        <v>122</v>
      </c>
      <c r="P8768" s="21"/>
      <c r="Q8768" s="21">
        <f t="shared" ref="Q8768:Q8831" si="181">SUM(S8768:AE8768)</f>
        <v>2</v>
      </c>
      <c r="R8768" s="21">
        <v>0</v>
      </c>
      <c r="S8768" s="21">
        <v>0</v>
      </c>
      <c r="T8768" s="21">
        <v>0</v>
      </c>
      <c r="U8768" s="21">
        <v>0</v>
      </c>
      <c r="V8768" s="21">
        <v>1</v>
      </c>
      <c r="W8768" s="21">
        <v>1</v>
      </c>
      <c r="X8768" s="21">
        <v>0</v>
      </c>
      <c r="Y8768" s="21">
        <v>0</v>
      </c>
      <c r="Z8768" s="21">
        <v>0</v>
      </c>
      <c r="AA8768" s="21">
        <v>0</v>
      </c>
      <c r="AB8768" s="21">
        <v>0</v>
      </c>
      <c r="AC8768" s="21">
        <v>0</v>
      </c>
      <c r="AD8768" s="21">
        <v>0</v>
      </c>
      <c r="AE8768" s="21">
        <v>0</v>
      </c>
      <c r="AF8768" s="21">
        <v>0</v>
      </c>
      <c r="AG8768" s="21">
        <v>0</v>
      </c>
      <c r="AH8768" s="21">
        <f t="shared" ref="AH8768:AH8831" si="182">(S8768*16)+(T8768*20)+(U8768*32)+(V8768*64)+(W8768*96)</f>
        <v>160</v>
      </c>
      <c r="AI8768" s="21"/>
      <c r="AJ8768" s="21" t="s">
        <v>51</v>
      </c>
      <c r="AK8768" s="21" t="s">
        <v>52</v>
      </c>
      <c r="AL8768" s="21" t="s">
        <v>589</v>
      </c>
      <c r="AM8768" s="21" t="s">
        <v>5600</v>
      </c>
      <c r="AN8768" s="21">
        <v>-122.42866884999999</v>
      </c>
      <c r="AO8768" s="21">
        <v>37.796680066666603</v>
      </c>
      <c r="AP8768" s="21" t="s">
        <v>541</v>
      </c>
    </row>
    <row r="8769" spans="1:42">
      <c r="A8769" s="22">
        <v>43874</v>
      </c>
      <c r="B8769" s="21">
        <v>4</v>
      </c>
      <c r="C8769" s="21">
        <v>215</v>
      </c>
      <c r="D8769" s="21">
        <v>14445</v>
      </c>
      <c r="E8769" t="s">
        <v>112</v>
      </c>
      <c r="F8769" s="21" t="s">
        <v>436</v>
      </c>
      <c r="G8769" s="23" t="s">
        <v>4241</v>
      </c>
      <c r="H8769" s="21">
        <v>52</v>
      </c>
      <c r="I8769" s="23" t="s">
        <v>5593</v>
      </c>
      <c r="J8769" s="21"/>
      <c r="K8769" t="s">
        <v>585</v>
      </c>
      <c r="L8769" s="21" t="s">
        <v>141</v>
      </c>
      <c r="M8769" s="21" t="s">
        <v>95</v>
      </c>
      <c r="N8769" s="21" t="s">
        <v>40</v>
      </c>
      <c r="O8769" s="21">
        <v>106</v>
      </c>
      <c r="P8769" s="21"/>
      <c r="Q8769" s="21">
        <f t="shared" si="181"/>
        <v>5</v>
      </c>
      <c r="R8769" s="21">
        <v>0</v>
      </c>
      <c r="S8769" s="21">
        <v>1</v>
      </c>
      <c r="T8769" s="21">
        <v>0</v>
      </c>
      <c r="U8769" s="21">
        <v>2</v>
      </c>
      <c r="V8769" s="21">
        <v>2</v>
      </c>
      <c r="W8769" s="21">
        <v>0</v>
      </c>
      <c r="X8769" s="21">
        <v>0</v>
      </c>
      <c r="Y8769" s="21">
        <v>0</v>
      </c>
      <c r="Z8769" s="21">
        <v>0</v>
      </c>
      <c r="AA8769" s="21">
        <v>0</v>
      </c>
      <c r="AB8769" s="21">
        <v>0</v>
      </c>
      <c r="AC8769" s="21">
        <v>0</v>
      </c>
      <c r="AD8769" s="21">
        <v>0</v>
      </c>
      <c r="AE8769" s="21">
        <v>0</v>
      </c>
      <c r="AF8769" s="21">
        <v>0</v>
      </c>
      <c r="AG8769" s="21">
        <v>0</v>
      </c>
      <c r="AH8769" s="21">
        <f t="shared" si="182"/>
        <v>208</v>
      </c>
      <c r="AI8769" s="21"/>
      <c r="AJ8769" s="21" t="s">
        <v>51</v>
      </c>
      <c r="AK8769" s="21" t="s">
        <v>52</v>
      </c>
      <c r="AL8769" s="21"/>
      <c r="AM8769" s="21" t="s">
        <v>5601</v>
      </c>
      <c r="AN8769" s="21">
        <v>-122.42726785000001</v>
      </c>
      <c r="AO8769" s="21">
        <v>37.7962225666667</v>
      </c>
      <c r="AP8769" s="21" t="s">
        <v>541</v>
      </c>
    </row>
    <row r="8770" spans="1:42">
      <c r="A8770" s="22">
        <v>43874</v>
      </c>
      <c r="B8770" s="21">
        <v>4</v>
      </c>
      <c r="C8770" s="21">
        <v>215</v>
      </c>
      <c r="D8770" s="21">
        <v>14445</v>
      </c>
      <c r="E8770" t="s">
        <v>112</v>
      </c>
      <c r="F8770" s="21" t="s">
        <v>436</v>
      </c>
      <c r="G8770" s="23" t="s">
        <v>4241</v>
      </c>
      <c r="H8770" s="21">
        <v>54</v>
      </c>
      <c r="I8770" s="23" t="s">
        <v>5602</v>
      </c>
      <c r="J8770" s="21"/>
      <c r="K8770" t="s">
        <v>585</v>
      </c>
      <c r="L8770" s="21" t="s">
        <v>114</v>
      </c>
      <c r="M8770" s="21" t="s">
        <v>52</v>
      </c>
      <c r="N8770" s="21" t="s">
        <v>44</v>
      </c>
      <c r="O8770" s="21">
        <v>114</v>
      </c>
      <c r="P8770" s="21"/>
      <c r="Q8770" s="21">
        <f t="shared" si="181"/>
        <v>1</v>
      </c>
      <c r="R8770" s="21">
        <v>0</v>
      </c>
      <c r="S8770" s="21">
        <v>0</v>
      </c>
      <c r="T8770" s="21">
        <v>0</v>
      </c>
      <c r="U8770" s="21">
        <v>0</v>
      </c>
      <c r="V8770" s="21">
        <v>0</v>
      </c>
      <c r="W8770" s="21">
        <v>1</v>
      </c>
      <c r="X8770" s="21">
        <v>0</v>
      </c>
      <c r="Y8770" s="21">
        <v>0</v>
      </c>
      <c r="Z8770" s="21">
        <v>0</v>
      </c>
      <c r="AA8770" s="21">
        <v>0</v>
      </c>
      <c r="AB8770" s="21">
        <v>0</v>
      </c>
      <c r="AC8770" s="21">
        <v>0</v>
      </c>
      <c r="AD8770" s="21">
        <v>0</v>
      </c>
      <c r="AE8770" s="21">
        <v>0</v>
      </c>
      <c r="AF8770" s="21">
        <v>0</v>
      </c>
      <c r="AG8770" s="21">
        <v>0</v>
      </c>
      <c r="AH8770" s="21">
        <f t="shared" si="182"/>
        <v>96</v>
      </c>
      <c r="AI8770" s="21"/>
      <c r="AJ8770" s="21" t="s">
        <v>51</v>
      </c>
      <c r="AK8770" s="21" t="s">
        <v>52</v>
      </c>
      <c r="AL8770" s="21" t="s">
        <v>5578</v>
      </c>
      <c r="AM8770" s="21" t="s">
        <v>5603</v>
      </c>
      <c r="AN8770" s="21">
        <v>-122.427599466667</v>
      </c>
      <c r="AO8770" s="21">
        <v>37.796174383333302</v>
      </c>
      <c r="AP8770" s="21" t="s">
        <v>541</v>
      </c>
    </row>
    <row r="8771" spans="1:42">
      <c r="A8771" s="22">
        <v>43874</v>
      </c>
      <c r="B8771" s="21">
        <v>4</v>
      </c>
      <c r="C8771" s="21">
        <v>215</v>
      </c>
      <c r="D8771" s="21">
        <v>14445</v>
      </c>
      <c r="E8771" t="s">
        <v>112</v>
      </c>
      <c r="F8771" s="21" t="s">
        <v>436</v>
      </c>
      <c r="G8771" s="23" t="s">
        <v>4241</v>
      </c>
      <c r="H8771" s="21">
        <v>55</v>
      </c>
      <c r="I8771" s="23" t="s">
        <v>5604</v>
      </c>
      <c r="J8771" s="21"/>
      <c r="K8771" t="s">
        <v>585</v>
      </c>
      <c r="L8771" s="21" t="s">
        <v>114</v>
      </c>
      <c r="M8771" s="21" t="s">
        <v>52</v>
      </c>
      <c r="N8771" s="21" t="s">
        <v>44</v>
      </c>
      <c r="O8771" s="21">
        <v>121</v>
      </c>
      <c r="P8771" s="21"/>
      <c r="Q8771" s="21">
        <f t="shared" si="181"/>
        <v>1</v>
      </c>
      <c r="R8771" s="21">
        <v>0</v>
      </c>
      <c r="S8771" s="21">
        <v>0</v>
      </c>
      <c r="T8771" s="21">
        <v>0</v>
      </c>
      <c r="U8771" s="21">
        <v>0</v>
      </c>
      <c r="V8771" s="21">
        <v>0</v>
      </c>
      <c r="W8771" s="21">
        <v>1</v>
      </c>
      <c r="X8771" s="21">
        <v>0</v>
      </c>
      <c r="Y8771" s="21">
        <v>0</v>
      </c>
      <c r="Z8771" s="21">
        <v>0</v>
      </c>
      <c r="AA8771" s="21">
        <v>0</v>
      </c>
      <c r="AB8771" s="21">
        <v>0</v>
      </c>
      <c r="AC8771" s="21">
        <v>0</v>
      </c>
      <c r="AD8771" s="21">
        <v>0</v>
      </c>
      <c r="AE8771" s="21">
        <v>0</v>
      </c>
      <c r="AF8771" s="21">
        <v>0</v>
      </c>
      <c r="AG8771" s="21">
        <v>0</v>
      </c>
      <c r="AH8771" s="21">
        <f t="shared" si="182"/>
        <v>96</v>
      </c>
      <c r="AI8771" s="21"/>
      <c r="AJ8771" s="21" t="s">
        <v>51</v>
      </c>
      <c r="AK8771" s="21" t="s">
        <v>52</v>
      </c>
      <c r="AL8771" s="21"/>
      <c r="AM8771" s="21" t="s">
        <v>5605</v>
      </c>
      <c r="AN8771" s="21">
        <v>-122.427868933333</v>
      </c>
      <c r="AO8771" s="21">
        <v>37.796231516666701</v>
      </c>
      <c r="AP8771" s="21" t="s">
        <v>541</v>
      </c>
    </row>
    <row r="8772" spans="1:42">
      <c r="A8772" s="22">
        <v>43874</v>
      </c>
      <c r="B8772" s="21">
        <v>4</v>
      </c>
      <c r="C8772" s="21">
        <v>215</v>
      </c>
      <c r="D8772" s="21">
        <v>14445</v>
      </c>
      <c r="E8772" t="s">
        <v>112</v>
      </c>
      <c r="F8772" s="21" t="s">
        <v>436</v>
      </c>
      <c r="G8772" s="23" t="s">
        <v>4241</v>
      </c>
      <c r="H8772" s="21">
        <v>56</v>
      </c>
      <c r="I8772" s="23" t="s">
        <v>5606</v>
      </c>
      <c r="J8772" s="21"/>
      <c r="K8772" t="s">
        <v>585</v>
      </c>
      <c r="L8772" s="21" t="s">
        <v>114</v>
      </c>
      <c r="M8772" s="21" t="s">
        <v>52</v>
      </c>
      <c r="N8772" s="21" t="s">
        <v>44</v>
      </c>
      <c r="O8772" s="21">
        <v>196</v>
      </c>
      <c r="P8772" s="21"/>
      <c r="Q8772" s="21">
        <f t="shared" si="181"/>
        <v>12</v>
      </c>
      <c r="R8772" s="21">
        <v>1</v>
      </c>
      <c r="S8772" s="21">
        <v>1</v>
      </c>
      <c r="T8772" s="21">
        <v>0</v>
      </c>
      <c r="U8772" s="21">
        <v>0</v>
      </c>
      <c r="V8772" s="21">
        <v>0</v>
      </c>
      <c r="W8772" s="21">
        <v>11</v>
      </c>
      <c r="X8772" s="21">
        <v>0</v>
      </c>
      <c r="Y8772" s="21">
        <v>0</v>
      </c>
      <c r="Z8772" s="21">
        <v>0</v>
      </c>
      <c r="AA8772" s="21">
        <v>0</v>
      </c>
      <c r="AB8772" s="21">
        <v>0</v>
      </c>
      <c r="AC8772" s="21">
        <v>0</v>
      </c>
      <c r="AD8772" s="21">
        <v>0</v>
      </c>
      <c r="AE8772" s="21">
        <v>0</v>
      </c>
      <c r="AF8772" s="21">
        <v>0</v>
      </c>
      <c r="AG8772" s="21">
        <v>0</v>
      </c>
      <c r="AH8772" s="21">
        <f t="shared" si="182"/>
        <v>1072</v>
      </c>
      <c r="AI8772" s="21"/>
      <c r="AJ8772" s="21" t="s">
        <v>51</v>
      </c>
      <c r="AK8772" s="21" t="s">
        <v>52</v>
      </c>
      <c r="AL8772" s="21" t="s">
        <v>5607</v>
      </c>
      <c r="AM8772" s="21" t="s">
        <v>5608</v>
      </c>
      <c r="AN8772" s="21">
        <v>-122.427603272</v>
      </c>
      <c r="AO8772" s="21">
        <v>37.795858184232998</v>
      </c>
      <c r="AP8772" s="21" t="s">
        <v>541</v>
      </c>
    </row>
    <row r="8773" spans="1:42">
      <c r="A8773" s="22">
        <v>43874</v>
      </c>
      <c r="B8773" s="21">
        <v>4</v>
      </c>
      <c r="C8773" s="21">
        <v>215</v>
      </c>
      <c r="D8773" s="21">
        <v>14445</v>
      </c>
      <c r="E8773" t="s">
        <v>112</v>
      </c>
      <c r="F8773" s="21" t="s">
        <v>436</v>
      </c>
      <c r="G8773" s="23" t="s">
        <v>4241</v>
      </c>
      <c r="H8773" s="21">
        <v>57</v>
      </c>
      <c r="I8773" s="23">
        <v>1880</v>
      </c>
      <c r="J8773" s="21"/>
      <c r="K8773" t="s">
        <v>585</v>
      </c>
      <c r="L8773" s="21" t="s">
        <v>114</v>
      </c>
      <c r="M8773" s="21" t="s">
        <v>52</v>
      </c>
      <c r="N8773" s="21" t="s">
        <v>44</v>
      </c>
      <c r="O8773" s="21">
        <v>56</v>
      </c>
      <c r="P8773" s="21"/>
      <c r="Q8773" s="21">
        <f t="shared" si="181"/>
        <v>1</v>
      </c>
      <c r="R8773" s="21">
        <v>0</v>
      </c>
      <c r="S8773" s="21">
        <v>0</v>
      </c>
      <c r="T8773" s="21">
        <v>0</v>
      </c>
      <c r="U8773" s="21">
        <v>0</v>
      </c>
      <c r="V8773" s="21">
        <v>0</v>
      </c>
      <c r="W8773" s="21">
        <v>1</v>
      </c>
      <c r="X8773" s="21">
        <v>0</v>
      </c>
      <c r="Y8773" s="21">
        <v>0</v>
      </c>
      <c r="Z8773" s="21">
        <v>0</v>
      </c>
      <c r="AA8773" s="21">
        <v>0</v>
      </c>
      <c r="AB8773" s="21">
        <v>0</v>
      </c>
      <c r="AC8773" s="21">
        <v>0</v>
      </c>
      <c r="AD8773" s="21">
        <v>0</v>
      </c>
      <c r="AE8773" s="21">
        <v>0</v>
      </c>
      <c r="AF8773" s="21">
        <v>0</v>
      </c>
      <c r="AG8773" s="21">
        <v>0</v>
      </c>
      <c r="AH8773" s="21">
        <f t="shared" si="182"/>
        <v>96</v>
      </c>
      <c r="AI8773" s="21"/>
      <c r="AJ8773" s="21" t="s">
        <v>51</v>
      </c>
      <c r="AK8773" s="21" t="s">
        <v>52</v>
      </c>
      <c r="AL8773" s="21" t="s">
        <v>589</v>
      </c>
      <c r="AM8773" s="21" t="s">
        <v>5609</v>
      </c>
      <c r="AN8773" s="21">
        <v>-122.42780565277</v>
      </c>
      <c r="AO8773" s="21">
        <v>37.793482087687501</v>
      </c>
      <c r="AP8773" s="21" t="s">
        <v>541</v>
      </c>
    </row>
    <row r="8774" spans="1:42">
      <c r="A8774" s="22">
        <v>43874</v>
      </c>
      <c r="B8774" s="21">
        <v>4</v>
      </c>
      <c r="C8774" s="21">
        <v>215</v>
      </c>
      <c r="D8774" s="21">
        <v>14445</v>
      </c>
      <c r="E8774" t="s">
        <v>112</v>
      </c>
      <c r="F8774" s="21" t="s">
        <v>436</v>
      </c>
      <c r="G8774" s="23" t="s">
        <v>4241</v>
      </c>
      <c r="H8774" s="21">
        <v>58</v>
      </c>
      <c r="I8774" s="23" t="s">
        <v>5610</v>
      </c>
      <c r="J8774" s="21"/>
      <c r="K8774" t="s">
        <v>585</v>
      </c>
      <c r="L8774" s="21" t="s">
        <v>114</v>
      </c>
      <c r="M8774" s="21" t="s">
        <v>52</v>
      </c>
      <c r="N8774" s="21" t="s">
        <v>40</v>
      </c>
      <c r="O8774" s="21">
        <v>24</v>
      </c>
      <c r="P8774" s="21"/>
      <c r="Q8774" s="21">
        <f t="shared" si="181"/>
        <v>1</v>
      </c>
      <c r="R8774" s="21">
        <v>0</v>
      </c>
      <c r="S8774" s="21">
        <v>0</v>
      </c>
      <c r="T8774" s="21">
        <v>0</v>
      </c>
      <c r="U8774" s="21">
        <v>1</v>
      </c>
      <c r="V8774" s="21">
        <v>0</v>
      </c>
      <c r="W8774" s="21">
        <v>0</v>
      </c>
      <c r="X8774" s="21">
        <v>0</v>
      </c>
      <c r="Y8774" s="21">
        <v>0</v>
      </c>
      <c r="Z8774" s="21">
        <v>0</v>
      </c>
      <c r="AA8774" s="21">
        <v>0</v>
      </c>
      <c r="AB8774" s="21">
        <v>0</v>
      </c>
      <c r="AC8774" s="21">
        <v>0</v>
      </c>
      <c r="AD8774" s="21">
        <v>0</v>
      </c>
      <c r="AE8774" s="21">
        <v>0</v>
      </c>
      <c r="AF8774" s="21">
        <v>0</v>
      </c>
      <c r="AG8774" s="21">
        <v>0</v>
      </c>
      <c r="AH8774" s="21">
        <f t="shared" si="182"/>
        <v>32</v>
      </c>
      <c r="AI8774" s="21"/>
      <c r="AJ8774" s="21" t="s">
        <v>51</v>
      </c>
      <c r="AK8774" s="21" t="s">
        <v>52</v>
      </c>
      <c r="AL8774" s="21"/>
      <c r="AM8774" s="21" t="s">
        <v>5611</v>
      </c>
      <c r="AN8774" s="21">
        <v>-122.428903116667</v>
      </c>
      <c r="AO8774" s="21">
        <v>37.796056483333302</v>
      </c>
      <c r="AP8774" s="21" t="s">
        <v>541</v>
      </c>
    </row>
    <row r="8775" spans="1:42">
      <c r="A8775" s="22">
        <v>43874</v>
      </c>
      <c r="B8775" s="21">
        <v>4</v>
      </c>
      <c r="C8775" s="21">
        <v>215</v>
      </c>
      <c r="D8775" s="21">
        <v>14445</v>
      </c>
      <c r="E8775" t="s">
        <v>112</v>
      </c>
      <c r="F8775" s="21" t="s">
        <v>436</v>
      </c>
      <c r="G8775" s="23" t="s">
        <v>4241</v>
      </c>
      <c r="H8775" s="21">
        <v>59</v>
      </c>
      <c r="I8775" s="23" t="s">
        <v>5612</v>
      </c>
      <c r="J8775" s="21"/>
      <c r="K8775" t="s">
        <v>585</v>
      </c>
      <c r="L8775" s="21" t="s">
        <v>114</v>
      </c>
      <c r="M8775" s="21" t="s">
        <v>52</v>
      </c>
      <c r="N8775" s="21" t="s">
        <v>40</v>
      </c>
      <c r="O8775" s="21">
        <v>53</v>
      </c>
      <c r="P8775" s="21"/>
      <c r="Q8775" s="21">
        <f t="shared" si="181"/>
        <v>4</v>
      </c>
      <c r="R8775" s="21">
        <v>0</v>
      </c>
      <c r="S8775" s="21">
        <v>2</v>
      </c>
      <c r="T8775" s="21">
        <v>0</v>
      </c>
      <c r="U8775" s="21">
        <v>0</v>
      </c>
      <c r="V8775" s="21">
        <v>2</v>
      </c>
      <c r="W8775" s="21">
        <v>0</v>
      </c>
      <c r="X8775" s="21">
        <v>0</v>
      </c>
      <c r="Y8775" s="21">
        <v>0</v>
      </c>
      <c r="Z8775" s="21">
        <v>0</v>
      </c>
      <c r="AA8775" s="21">
        <v>0</v>
      </c>
      <c r="AB8775" s="21">
        <v>0</v>
      </c>
      <c r="AC8775" s="21">
        <v>0</v>
      </c>
      <c r="AD8775" s="21">
        <v>0</v>
      </c>
      <c r="AE8775" s="21">
        <v>0</v>
      </c>
      <c r="AF8775" s="21">
        <v>0</v>
      </c>
      <c r="AG8775" s="21">
        <v>0</v>
      </c>
      <c r="AH8775" s="21">
        <f t="shared" si="182"/>
        <v>160</v>
      </c>
      <c r="AI8775" s="21"/>
      <c r="AJ8775" s="21" t="s">
        <v>51</v>
      </c>
      <c r="AK8775" s="21" t="s">
        <v>52</v>
      </c>
      <c r="AL8775" s="21"/>
      <c r="AM8775" s="21" t="s">
        <v>5613</v>
      </c>
      <c r="AN8775" s="21">
        <v>-122.429023683333</v>
      </c>
      <c r="AO8775" s="21">
        <v>37.7960839666667</v>
      </c>
      <c r="AP8775" s="21" t="s">
        <v>541</v>
      </c>
    </row>
    <row r="8776" spans="1:42">
      <c r="A8776" s="22">
        <v>43874</v>
      </c>
      <c r="B8776" s="21">
        <v>4</v>
      </c>
      <c r="C8776" s="21">
        <v>215</v>
      </c>
      <c r="D8776" s="21">
        <v>14445</v>
      </c>
      <c r="E8776" t="s">
        <v>112</v>
      </c>
      <c r="F8776" s="21" t="s">
        <v>436</v>
      </c>
      <c r="G8776" s="23" t="s">
        <v>4241</v>
      </c>
      <c r="H8776" s="21">
        <v>60</v>
      </c>
      <c r="I8776" s="23" t="s">
        <v>5380</v>
      </c>
      <c r="J8776" s="21"/>
      <c r="K8776" t="s">
        <v>585</v>
      </c>
      <c r="L8776" s="21" t="s">
        <v>114</v>
      </c>
      <c r="M8776" s="21" t="s">
        <v>52</v>
      </c>
      <c r="N8776" s="21" t="s">
        <v>40</v>
      </c>
      <c r="O8776" s="21">
        <v>37</v>
      </c>
      <c r="P8776" s="21"/>
      <c r="Q8776" s="21">
        <f t="shared" si="181"/>
        <v>2</v>
      </c>
      <c r="R8776" s="21">
        <v>0</v>
      </c>
      <c r="S8776" s="21">
        <v>0</v>
      </c>
      <c r="T8776" s="21">
        <v>0</v>
      </c>
      <c r="U8776" s="21">
        <v>1</v>
      </c>
      <c r="V8776" s="21">
        <v>1</v>
      </c>
      <c r="W8776" s="21">
        <v>0</v>
      </c>
      <c r="X8776" s="21">
        <v>0</v>
      </c>
      <c r="Y8776" s="21">
        <v>0</v>
      </c>
      <c r="Z8776" s="21">
        <v>0</v>
      </c>
      <c r="AA8776" s="21">
        <v>0</v>
      </c>
      <c r="AB8776" s="21">
        <v>0</v>
      </c>
      <c r="AC8776" s="21">
        <v>0</v>
      </c>
      <c r="AD8776" s="21">
        <v>0</v>
      </c>
      <c r="AE8776" s="21">
        <v>0</v>
      </c>
      <c r="AF8776" s="21">
        <v>0</v>
      </c>
      <c r="AG8776" s="21">
        <v>0</v>
      </c>
      <c r="AH8776" s="21">
        <f t="shared" si="182"/>
        <v>96</v>
      </c>
      <c r="AI8776" s="21"/>
      <c r="AJ8776" s="21" t="s">
        <v>51</v>
      </c>
      <c r="AK8776" s="21" t="s">
        <v>52</v>
      </c>
      <c r="AL8776" s="21"/>
      <c r="AM8776" s="21" t="s">
        <v>5614</v>
      </c>
      <c r="AN8776" s="21">
        <v>-122.429022783333</v>
      </c>
      <c r="AO8776" s="21">
        <v>37.796087383333301</v>
      </c>
      <c r="AP8776" s="21" t="s">
        <v>541</v>
      </c>
    </row>
    <row r="8777" spans="1:42">
      <c r="A8777" s="22">
        <v>43874</v>
      </c>
      <c r="B8777" s="21">
        <v>4</v>
      </c>
      <c r="C8777" s="21">
        <v>215</v>
      </c>
      <c r="D8777" s="21">
        <v>14445</v>
      </c>
      <c r="E8777" t="s">
        <v>112</v>
      </c>
      <c r="F8777" s="21" t="s">
        <v>436</v>
      </c>
      <c r="G8777" s="23" t="s">
        <v>4241</v>
      </c>
      <c r="H8777" s="21">
        <v>61</v>
      </c>
      <c r="I8777" s="23" t="s">
        <v>4456</v>
      </c>
      <c r="J8777" s="21"/>
      <c r="K8777" t="s">
        <v>585</v>
      </c>
      <c r="L8777" s="21" t="s">
        <v>114</v>
      </c>
      <c r="M8777" s="21" t="s">
        <v>52</v>
      </c>
      <c r="N8777" s="21" t="s">
        <v>40</v>
      </c>
      <c r="O8777" s="21">
        <v>67</v>
      </c>
      <c r="P8777" s="21"/>
      <c r="Q8777" s="21">
        <f t="shared" si="181"/>
        <v>2</v>
      </c>
      <c r="R8777" s="21">
        <v>0</v>
      </c>
      <c r="S8777" s="21">
        <v>0</v>
      </c>
      <c r="T8777" s="21">
        <v>0</v>
      </c>
      <c r="U8777" s="21">
        <v>0</v>
      </c>
      <c r="V8777" s="21">
        <v>0</v>
      </c>
      <c r="W8777" s="21">
        <v>2</v>
      </c>
      <c r="X8777" s="21">
        <v>0</v>
      </c>
      <c r="Y8777" s="21">
        <v>0</v>
      </c>
      <c r="Z8777" s="21">
        <v>0</v>
      </c>
      <c r="AA8777" s="21">
        <v>0</v>
      </c>
      <c r="AB8777" s="21">
        <v>0</v>
      </c>
      <c r="AC8777" s="21">
        <v>0</v>
      </c>
      <c r="AD8777" s="21">
        <v>0</v>
      </c>
      <c r="AE8777" s="21">
        <v>0</v>
      </c>
      <c r="AF8777" s="21">
        <v>0</v>
      </c>
      <c r="AG8777" s="21">
        <v>0</v>
      </c>
      <c r="AH8777" s="21">
        <f t="shared" si="182"/>
        <v>192</v>
      </c>
      <c r="AI8777" s="21"/>
      <c r="AJ8777" s="21" t="s">
        <v>51</v>
      </c>
      <c r="AK8777" s="21" t="s">
        <v>52</v>
      </c>
      <c r="AL8777" s="21"/>
      <c r="AM8777" s="21" t="s">
        <v>5615</v>
      </c>
      <c r="AN8777" s="21">
        <v>-122.430780016667</v>
      </c>
      <c r="AO8777" s="21">
        <v>37.795843666666698</v>
      </c>
      <c r="AP8777" s="21" t="s">
        <v>541</v>
      </c>
    </row>
    <row r="8778" spans="1:42">
      <c r="A8778" s="22">
        <v>43874</v>
      </c>
      <c r="B8778" s="21">
        <v>4</v>
      </c>
      <c r="C8778" s="21">
        <v>215</v>
      </c>
      <c r="D8778" s="21">
        <v>14445</v>
      </c>
      <c r="E8778" t="s">
        <v>112</v>
      </c>
      <c r="F8778" s="21" t="s">
        <v>436</v>
      </c>
      <c r="G8778" s="23" t="s">
        <v>4241</v>
      </c>
      <c r="H8778" s="21">
        <v>62</v>
      </c>
      <c r="I8778" s="23" t="s">
        <v>2400</v>
      </c>
      <c r="J8778" s="21"/>
      <c r="K8778" s="21" t="s">
        <v>588</v>
      </c>
      <c r="L8778" s="21" t="s">
        <v>141</v>
      </c>
      <c r="M8778" s="21" t="s">
        <v>52</v>
      </c>
      <c r="N8778" s="21" t="s">
        <v>44</v>
      </c>
      <c r="O8778" s="21">
        <v>100</v>
      </c>
      <c r="P8778" s="21"/>
      <c r="Q8778" s="21">
        <f t="shared" si="181"/>
        <v>2</v>
      </c>
      <c r="R8778" s="21">
        <v>0</v>
      </c>
      <c r="S8778" s="21">
        <v>0</v>
      </c>
      <c r="T8778" s="21">
        <v>0</v>
      </c>
      <c r="U8778" s="21">
        <v>2</v>
      </c>
      <c r="V8778" s="21">
        <v>0</v>
      </c>
      <c r="W8778" s="21">
        <v>0</v>
      </c>
      <c r="X8778" s="21">
        <v>0</v>
      </c>
      <c r="Y8778" s="21">
        <v>0</v>
      </c>
      <c r="Z8778" s="21">
        <v>0</v>
      </c>
      <c r="AA8778" s="21">
        <v>0</v>
      </c>
      <c r="AB8778" s="21">
        <v>0</v>
      </c>
      <c r="AC8778" s="21">
        <v>0</v>
      </c>
      <c r="AD8778" s="21">
        <v>0</v>
      </c>
      <c r="AE8778" s="21">
        <v>0</v>
      </c>
      <c r="AF8778" s="21">
        <v>0</v>
      </c>
      <c r="AG8778" s="21">
        <v>0</v>
      </c>
      <c r="AH8778" s="21">
        <f t="shared" si="182"/>
        <v>64</v>
      </c>
      <c r="AI8778" s="21"/>
      <c r="AJ8778" s="21" t="s">
        <v>51</v>
      </c>
      <c r="AK8778" s="21" t="s">
        <v>52</v>
      </c>
      <c r="AL8778" s="21" t="s">
        <v>5616</v>
      </c>
      <c r="AM8778" s="21" t="s">
        <v>5617</v>
      </c>
      <c r="AN8778" s="21">
        <v>-122.430695566667</v>
      </c>
      <c r="AO8778" s="21">
        <v>37.796737649999997</v>
      </c>
      <c r="AP8778" s="21" t="s">
        <v>541</v>
      </c>
    </row>
    <row r="8779" spans="1:42">
      <c r="A8779" s="22">
        <v>43874</v>
      </c>
      <c r="B8779" s="21">
        <v>4</v>
      </c>
      <c r="C8779" s="21">
        <v>215</v>
      </c>
      <c r="D8779" s="21">
        <v>14445</v>
      </c>
      <c r="E8779" t="s">
        <v>112</v>
      </c>
      <c r="F8779" s="21" t="s">
        <v>436</v>
      </c>
      <c r="G8779" s="23" t="s">
        <v>4241</v>
      </c>
      <c r="H8779" s="21">
        <v>63</v>
      </c>
      <c r="I8779" s="23" t="s">
        <v>5618</v>
      </c>
      <c r="J8779" s="21"/>
      <c r="K8779" s="21" t="s">
        <v>3347</v>
      </c>
      <c r="L8779" s="21" t="s">
        <v>141</v>
      </c>
      <c r="M8779" s="21" t="s">
        <v>52</v>
      </c>
      <c r="N8779" s="21" t="s">
        <v>44</v>
      </c>
      <c r="O8779" s="21">
        <v>48</v>
      </c>
      <c r="P8779" s="21"/>
      <c r="Q8779" s="21">
        <f t="shared" si="181"/>
        <v>1</v>
      </c>
      <c r="R8779" s="21">
        <v>0</v>
      </c>
      <c r="S8779" s="21">
        <v>0</v>
      </c>
      <c r="T8779" s="21">
        <v>0</v>
      </c>
      <c r="U8779" s="21">
        <v>0</v>
      </c>
      <c r="V8779" s="21">
        <v>1</v>
      </c>
      <c r="W8779" s="21">
        <v>0</v>
      </c>
      <c r="X8779" s="21">
        <v>0</v>
      </c>
      <c r="Y8779" s="21">
        <v>0</v>
      </c>
      <c r="Z8779" s="21">
        <v>0</v>
      </c>
      <c r="AA8779" s="21">
        <v>0</v>
      </c>
      <c r="AB8779" s="21">
        <v>0</v>
      </c>
      <c r="AC8779" s="21">
        <v>0</v>
      </c>
      <c r="AD8779" s="21">
        <v>0</v>
      </c>
      <c r="AE8779" s="21">
        <v>0</v>
      </c>
      <c r="AF8779" s="21">
        <v>0</v>
      </c>
      <c r="AG8779" s="21">
        <v>0</v>
      </c>
      <c r="AH8779" s="21">
        <f t="shared" si="182"/>
        <v>64</v>
      </c>
      <c r="AI8779" s="21"/>
      <c r="AJ8779" s="21" t="s">
        <v>51</v>
      </c>
      <c r="AK8779" s="21" t="s">
        <v>52</v>
      </c>
      <c r="AL8779" s="21"/>
      <c r="AM8779" s="21" t="s">
        <v>5619</v>
      </c>
      <c r="AN8779" s="21">
        <v>-122.430287216667</v>
      </c>
      <c r="AO8779" s="21">
        <v>37.796563966666703</v>
      </c>
      <c r="AP8779" s="21" t="s">
        <v>541</v>
      </c>
    </row>
    <row r="8780" spans="1:42">
      <c r="A8780" s="22">
        <v>43874</v>
      </c>
      <c r="B8780" s="21">
        <v>4</v>
      </c>
      <c r="C8780" s="21">
        <v>215</v>
      </c>
      <c r="D8780" s="21">
        <v>14445</v>
      </c>
      <c r="E8780" t="s">
        <v>112</v>
      </c>
      <c r="F8780" s="21" t="s">
        <v>436</v>
      </c>
      <c r="G8780" s="23" t="s">
        <v>4241</v>
      </c>
      <c r="H8780" s="21">
        <v>64</v>
      </c>
      <c r="I8780" s="23" t="s">
        <v>5620</v>
      </c>
      <c r="J8780" s="21"/>
      <c r="K8780" s="21" t="s">
        <v>588</v>
      </c>
      <c r="L8780" s="21" t="s">
        <v>141</v>
      </c>
      <c r="M8780" s="21" t="s">
        <v>52</v>
      </c>
      <c r="N8780" s="21" t="s">
        <v>40</v>
      </c>
      <c r="O8780" s="21">
        <v>116</v>
      </c>
      <c r="P8780" s="21"/>
      <c r="Q8780" s="21">
        <f t="shared" si="181"/>
        <v>3</v>
      </c>
      <c r="R8780" s="21">
        <v>0</v>
      </c>
      <c r="S8780" s="21">
        <v>0</v>
      </c>
      <c r="T8780" s="21">
        <v>0</v>
      </c>
      <c r="U8780" s="21">
        <v>2</v>
      </c>
      <c r="V8780" s="21">
        <v>0</v>
      </c>
      <c r="W8780" s="21">
        <v>1</v>
      </c>
      <c r="X8780" s="21">
        <v>0</v>
      </c>
      <c r="Y8780" s="21">
        <v>0</v>
      </c>
      <c r="Z8780" s="21">
        <v>0</v>
      </c>
      <c r="AA8780" s="21">
        <v>0</v>
      </c>
      <c r="AB8780" s="21">
        <v>0</v>
      </c>
      <c r="AC8780" s="21">
        <v>0</v>
      </c>
      <c r="AD8780" s="21">
        <v>0</v>
      </c>
      <c r="AE8780" s="21">
        <v>0</v>
      </c>
      <c r="AF8780" s="21">
        <v>0</v>
      </c>
      <c r="AG8780" s="21">
        <v>0</v>
      </c>
      <c r="AH8780" s="21">
        <f t="shared" si="182"/>
        <v>160</v>
      </c>
      <c r="AI8780" s="21"/>
      <c r="AJ8780" s="21" t="s">
        <v>51</v>
      </c>
      <c r="AK8780" s="21" t="s">
        <v>52</v>
      </c>
      <c r="AL8780" s="21"/>
      <c r="AM8780" s="21" t="s">
        <v>5621</v>
      </c>
      <c r="AN8780" s="21">
        <v>-122.430326916667</v>
      </c>
      <c r="AO8780" s="21">
        <v>37.7964479166667</v>
      </c>
      <c r="AP8780" s="21" t="s">
        <v>541</v>
      </c>
    </row>
    <row r="8781" spans="1:42">
      <c r="A8781" s="22">
        <v>43874</v>
      </c>
      <c r="B8781" s="21">
        <v>4</v>
      </c>
      <c r="C8781" s="21">
        <v>215</v>
      </c>
      <c r="D8781" s="21">
        <v>14445</v>
      </c>
      <c r="E8781" t="s">
        <v>112</v>
      </c>
      <c r="F8781" s="21" t="s">
        <v>436</v>
      </c>
      <c r="G8781" s="23" t="s">
        <v>4241</v>
      </c>
      <c r="H8781" s="21">
        <v>65</v>
      </c>
      <c r="I8781" s="23" t="s">
        <v>5622</v>
      </c>
      <c r="J8781" s="21"/>
      <c r="K8781" s="21" t="s">
        <v>588</v>
      </c>
      <c r="L8781" s="21" t="s">
        <v>141</v>
      </c>
      <c r="M8781" s="21" t="s">
        <v>52</v>
      </c>
      <c r="N8781" s="21" t="s">
        <v>40</v>
      </c>
      <c r="O8781" s="21">
        <v>46</v>
      </c>
      <c r="P8781" s="21"/>
      <c r="Q8781" s="21">
        <f t="shared" si="181"/>
        <v>1</v>
      </c>
      <c r="R8781" s="21">
        <v>0</v>
      </c>
      <c r="S8781" s="21">
        <v>0</v>
      </c>
      <c r="T8781" s="21">
        <v>0</v>
      </c>
      <c r="U8781" s="21">
        <v>0</v>
      </c>
      <c r="V8781" s="21">
        <v>0</v>
      </c>
      <c r="W8781" s="21">
        <v>1</v>
      </c>
      <c r="X8781" s="21">
        <v>0</v>
      </c>
      <c r="Y8781" s="21">
        <v>0</v>
      </c>
      <c r="Z8781" s="21">
        <v>0</v>
      </c>
      <c r="AA8781" s="21">
        <v>0</v>
      </c>
      <c r="AB8781" s="21">
        <v>0</v>
      </c>
      <c r="AC8781" s="21">
        <v>0</v>
      </c>
      <c r="AD8781" s="21">
        <v>0</v>
      </c>
      <c r="AE8781" s="21">
        <v>0</v>
      </c>
      <c r="AF8781" s="21">
        <v>0</v>
      </c>
      <c r="AG8781" s="21">
        <v>0</v>
      </c>
      <c r="AH8781" s="21">
        <f t="shared" si="182"/>
        <v>96</v>
      </c>
      <c r="AI8781" s="21"/>
      <c r="AJ8781" s="21" t="s">
        <v>51</v>
      </c>
      <c r="AK8781" s="21" t="s">
        <v>52</v>
      </c>
      <c r="AL8781" s="21"/>
      <c r="AM8781" s="21" t="s">
        <v>5623</v>
      </c>
      <c r="AN8781" s="21">
        <v>-122.43031741666699</v>
      </c>
      <c r="AO8781" s="21">
        <v>37.796461800000003</v>
      </c>
      <c r="AP8781" s="21" t="s">
        <v>541</v>
      </c>
    </row>
    <row r="8782" spans="1:42">
      <c r="A8782" s="22">
        <v>43874</v>
      </c>
      <c r="B8782" s="21">
        <v>4</v>
      </c>
      <c r="C8782" s="21">
        <v>215</v>
      </c>
      <c r="D8782" s="21">
        <v>14445</v>
      </c>
      <c r="E8782" t="s">
        <v>112</v>
      </c>
      <c r="F8782" s="21" t="s">
        <v>436</v>
      </c>
      <c r="G8782" s="23" t="s">
        <v>4241</v>
      </c>
      <c r="H8782" s="21">
        <v>67</v>
      </c>
      <c r="I8782" s="23" t="s">
        <v>5624</v>
      </c>
      <c r="J8782" s="21"/>
      <c r="K8782" s="21" t="s">
        <v>588</v>
      </c>
      <c r="L8782" s="21" t="s">
        <v>141</v>
      </c>
      <c r="M8782" s="21" t="s">
        <v>52</v>
      </c>
      <c r="N8782" s="21" t="s">
        <v>42</v>
      </c>
      <c r="O8782" s="21">
        <v>119</v>
      </c>
      <c r="P8782" s="21"/>
      <c r="Q8782" s="21">
        <f t="shared" si="181"/>
        <v>2</v>
      </c>
      <c r="R8782" s="21">
        <v>0</v>
      </c>
      <c r="S8782" s="21">
        <v>0</v>
      </c>
      <c r="T8782" s="21">
        <v>0</v>
      </c>
      <c r="U8782" s="21">
        <v>1</v>
      </c>
      <c r="V8782" s="21">
        <v>0</v>
      </c>
      <c r="W8782" s="21">
        <v>1</v>
      </c>
      <c r="X8782" s="21">
        <v>0</v>
      </c>
      <c r="Y8782" s="21">
        <v>0</v>
      </c>
      <c r="Z8782" s="21">
        <v>0</v>
      </c>
      <c r="AA8782" s="21">
        <v>0</v>
      </c>
      <c r="AB8782" s="21">
        <v>0</v>
      </c>
      <c r="AC8782" s="21">
        <v>0</v>
      </c>
      <c r="AD8782" s="21">
        <v>0</v>
      </c>
      <c r="AE8782" s="21">
        <v>0</v>
      </c>
      <c r="AF8782" s="21">
        <v>0</v>
      </c>
      <c r="AG8782" s="21">
        <v>0</v>
      </c>
      <c r="AH8782" s="21">
        <f t="shared" si="182"/>
        <v>128</v>
      </c>
      <c r="AI8782" s="21"/>
      <c r="AJ8782" s="21" t="s">
        <v>54</v>
      </c>
      <c r="AK8782" s="21" t="s">
        <v>52</v>
      </c>
      <c r="AL8782" s="21" t="s">
        <v>5625</v>
      </c>
      <c r="AM8782" s="21" t="s">
        <v>5626</v>
      </c>
      <c r="AN8782" s="21">
        <v>-122.430176683333</v>
      </c>
      <c r="AO8782" s="21">
        <v>37.795571133333297</v>
      </c>
      <c r="AP8782" s="21" t="s">
        <v>541</v>
      </c>
    </row>
    <row r="8783" spans="1:42">
      <c r="A8783" s="22">
        <v>43874</v>
      </c>
      <c r="B8783" s="21">
        <v>4</v>
      </c>
      <c r="C8783" s="21">
        <v>215</v>
      </c>
      <c r="D8783" s="21">
        <v>14445</v>
      </c>
      <c r="E8783" t="s">
        <v>112</v>
      </c>
      <c r="F8783" s="21" t="s">
        <v>436</v>
      </c>
      <c r="G8783" s="23" t="s">
        <v>4241</v>
      </c>
      <c r="H8783" s="21">
        <v>68</v>
      </c>
      <c r="I8783" s="23" t="s">
        <v>5627</v>
      </c>
      <c r="J8783" s="21"/>
      <c r="K8783" s="21" t="s">
        <v>588</v>
      </c>
      <c r="L8783" s="21" t="s">
        <v>141</v>
      </c>
      <c r="M8783" s="21" t="s">
        <v>95</v>
      </c>
      <c r="N8783" s="21" t="s">
        <v>44</v>
      </c>
      <c r="O8783" s="21">
        <v>104</v>
      </c>
      <c r="P8783" s="21"/>
      <c r="Q8783" s="21">
        <f t="shared" si="181"/>
        <v>1</v>
      </c>
      <c r="R8783" s="21">
        <v>0</v>
      </c>
      <c r="S8783" s="21">
        <v>0</v>
      </c>
      <c r="T8783" s="21">
        <v>0</v>
      </c>
      <c r="U8783" s="21">
        <v>0</v>
      </c>
      <c r="V8783" s="21">
        <v>0</v>
      </c>
      <c r="W8783" s="21">
        <v>1</v>
      </c>
      <c r="X8783" s="21">
        <v>0</v>
      </c>
      <c r="Y8783" s="21">
        <v>0</v>
      </c>
      <c r="Z8783" s="21">
        <v>0</v>
      </c>
      <c r="AA8783" s="21">
        <v>0</v>
      </c>
      <c r="AB8783" s="21">
        <v>0</v>
      </c>
      <c r="AC8783" s="21">
        <v>0</v>
      </c>
      <c r="AD8783" s="21">
        <v>0</v>
      </c>
      <c r="AE8783" s="21">
        <v>0</v>
      </c>
      <c r="AF8783" s="21">
        <v>0</v>
      </c>
      <c r="AG8783" s="21">
        <v>0</v>
      </c>
      <c r="AH8783" s="21">
        <f t="shared" si="182"/>
        <v>96</v>
      </c>
      <c r="AI8783" s="21"/>
      <c r="AJ8783" s="21" t="s">
        <v>54</v>
      </c>
      <c r="AK8783" s="21" t="s">
        <v>52</v>
      </c>
      <c r="AL8783" s="21" t="s">
        <v>5628</v>
      </c>
      <c r="AM8783" s="21" t="s">
        <v>5629</v>
      </c>
      <c r="AN8783" s="21">
        <v>-122.431697240291</v>
      </c>
      <c r="AO8783" s="21">
        <v>37.794295669809799</v>
      </c>
      <c r="AP8783" s="21" t="s">
        <v>541</v>
      </c>
    </row>
    <row r="8784" spans="1:42">
      <c r="A8784" s="22">
        <v>43874</v>
      </c>
      <c r="B8784" s="21">
        <v>4</v>
      </c>
      <c r="C8784" s="21">
        <v>215</v>
      </c>
      <c r="D8784" s="21">
        <v>14445</v>
      </c>
      <c r="E8784" t="s">
        <v>112</v>
      </c>
      <c r="F8784" s="21" t="s">
        <v>436</v>
      </c>
      <c r="G8784" s="23" t="s">
        <v>4241</v>
      </c>
      <c r="H8784" s="21">
        <v>69</v>
      </c>
      <c r="I8784" s="23" t="s">
        <v>5630</v>
      </c>
      <c r="J8784" s="21"/>
      <c r="K8784" s="21" t="s">
        <v>588</v>
      </c>
      <c r="L8784" s="21" t="s">
        <v>114</v>
      </c>
      <c r="M8784" s="21" t="s">
        <v>52</v>
      </c>
      <c r="N8784" s="21" t="s">
        <v>44</v>
      </c>
      <c r="O8784" s="21">
        <v>115</v>
      </c>
      <c r="P8784" s="21"/>
      <c r="Q8784" s="21">
        <f t="shared" si="181"/>
        <v>3</v>
      </c>
      <c r="R8784" s="21">
        <v>0</v>
      </c>
      <c r="S8784" s="21">
        <v>0</v>
      </c>
      <c r="T8784" s="21">
        <v>0</v>
      </c>
      <c r="U8784" s="21">
        <v>1</v>
      </c>
      <c r="V8784" s="21">
        <v>0</v>
      </c>
      <c r="W8784" s="21">
        <v>2</v>
      </c>
      <c r="X8784" s="21">
        <v>0</v>
      </c>
      <c r="Y8784" s="21">
        <v>0</v>
      </c>
      <c r="Z8784" s="21">
        <v>0</v>
      </c>
      <c r="AA8784" s="21">
        <v>0</v>
      </c>
      <c r="AB8784" s="21">
        <v>0</v>
      </c>
      <c r="AC8784" s="21">
        <v>0</v>
      </c>
      <c r="AD8784" s="21">
        <v>0</v>
      </c>
      <c r="AE8784" s="21">
        <v>0</v>
      </c>
      <c r="AF8784" s="21">
        <v>0</v>
      </c>
      <c r="AG8784" s="21">
        <v>0</v>
      </c>
      <c r="AH8784" s="21">
        <f t="shared" si="182"/>
        <v>224</v>
      </c>
      <c r="AI8784" s="21"/>
      <c r="AJ8784" s="21" t="s">
        <v>54</v>
      </c>
      <c r="AK8784" s="21" t="s">
        <v>52</v>
      </c>
      <c r="AL8784" s="21" t="s">
        <v>5631</v>
      </c>
      <c r="AM8784" s="21" t="s">
        <v>5632</v>
      </c>
      <c r="AN8784" s="21">
        <v>-122.430132483333</v>
      </c>
      <c r="AO8784" s="21">
        <v>37.795468216666698</v>
      </c>
      <c r="AP8784" s="21" t="s">
        <v>541</v>
      </c>
    </row>
    <row r="8785" spans="1:42">
      <c r="A8785" s="22">
        <v>43874</v>
      </c>
      <c r="B8785" s="21">
        <v>4</v>
      </c>
      <c r="C8785" s="21">
        <v>215</v>
      </c>
      <c r="D8785" s="21">
        <v>14445</v>
      </c>
      <c r="E8785" t="s">
        <v>112</v>
      </c>
      <c r="F8785" s="21" t="s">
        <v>436</v>
      </c>
      <c r="G8785" s="23" t="s">
        <v>4241</v>
      </c>
      <c r="H8785" s="21">
        <v>70</v>
      </c>
      <c r="I8785" s="23" t="s">
        <v>5633</v>
      </c>
      <c r="J8785" s="21"/>
      <c r="K8785" t="s">
        <v>585</v>
      </c>
      <c r="L8785" s="21" t="s">
        <v>141</v>
      </c>
      <c r="M8785" s="21" t="s">
        <v>52</v>
      </c>
      <c r="N8785" s="21" t="s">
        <v>40</v>
      </c>
      <c r="O8785" s="21">
        <v>125</v>
      </c>
      <c r="P8785" s="21"/>
      <c r="Q8785" s="21">
        <f t="shared" si="181"/>
        <v>4</v>
      </c>
      <c r="R8785" s="21">
        <v>0</v>
      </c>
      <c r="S8785" s="21">
        <v>0</v>
      </c>
      <c r="T8785" s="21">
        <v>0</v>
      </c>
      <c r="U8785" s="21">
        <v>2</v>
      </c>
      <c r="V8785" s="21">
        <v>1</v>
      </c>
      <c r="W8785" s="21">
        <v>1</v>
      </c>
      <c r="X8785" s="21">
        <v>0</v>
      </c>
      <c r="Y8785" s="21">
        <v>0</v>
      </c>
      <c r="Z8785" s="21">
        <v>0</v>
      </c>
      <c r="AA8785" s="21">
        <v>0</v>
      </c>
      <c r="AB8785" s="21">
        <v>0</v>
      </c>
      <c r="AC8785" s="21">
        <v>0</v>
      </c>
      <c r="AD8785" s="21">
        <v>0</v>
      </c>
      <c r="AE8785" s="21">
        <v>0</v>
      </c>
      <c r="AF8785" s="21">
        <v>0</v>
      </c>
      <c r="AG8785" s="21">
        <v>0</v>
      </c>
      <c r="AH8785" s="21">
        <f t="shared" si="182"/>
        <v>224</v>
      </c>
      <c r="AI8785" s="21"/>
      <c r="AJ8785" s="21" t="s">
        <v>51</v>
      </c>
      <c r="AK8785" s="21" t="s">
        <v>52</v>
      </c>
      <c r="AL8785" s="21"/>
      <c r="AM8785" s="21" t="s">
        <v>5634</v>
      </c>
      <c r="AN8785" s="21">
        <v>-122.429457333333</v>
      </c>
      <c r="AO8785" s="21">
        <v>37.795938566666599</v>
      </c>
      <c r="AP8785" s="21" t="s">
        <v>541</v>
      </c>
    </row>
    <row r="8786" spans="1:42">
      <c r="A8786" s="22">
        <v>43874</v>
      </c>
      <c r="B8786" s="21">
        <v>4</v>
      </c>
      <c r="C8786" s="21">
        <v>215</v>
      </c>
      <c r="D8786" s="21">
        <v>14445</v>
      </c>
      <c r="E8786" t="s">
        <v>112</v>
      </c>
      <c r="F8786" s="21" t="s">
        <v>436</v>
      </c>
      <c r="G8786" s="23" t="s">
        <v>4241</v>
      </c>
      <c r="H8786" s="21">
        <v>72</v>
      </c>
      <c r="I8786" s="23" t="s">
        <v>5635</v>
      </c>
      <c r="J8786" s="21"/>
      <c r="K8786" s="21" t="s">
        <v>4704</v>
      </c>
      <c r="L8786" s="21" t="s">
        <v>114</v>
      </c>
      <c r="M8786" s="21" t="s">
        <v>52</v>
      </c>
      <c r="N8786" s="21" t="s">
        <v>44</v>
      </c>
      <c r="O8786" s="21">
        <v>251</v>
      </c>
      <c r="P8786" s="21"/>
      <c r="Q8786" s="21">
        <f t="shared" si="181"/>
        <v>3</v>
      </c>
      <c r="R8786" s="21">
        <v>0</v>
      </c>
      <c r="S8786" s="21">
        <v>0</v>
      </c>
      <c r="T8786" s="21">
        <v>0</v>
      </c>
      <c r="U8786" s="21">
        <v>0</v>
      </c>
      <c r="V8786" s="21">
        <v>0</v>
      </c>
      <c r="W8786" s="21">
        <v>3</v>
      </c>
      <c r="X8786" s="21">
        <v>0</v>
      </c>
      <c r="Y8786" s="21">
        <v>0</v>
      </c>
      <c r="Z8786" s="21">
        <v>0</v>
      </c>
      <c r="AA8786" s="21">
        <v>0</v>
      </c>
      <c r="AB8786" s="21">
        <v>0</v>
      </c>
      <c r="AC8786" s="21">
        <v>0</v>
      </c>
      <c r="AD8786" s="21">
        <v>0</v>
      </c>
      <c r="AE8786" s="21">
        <v>0</v>
      </c>
      <c r="AF8786" s="21">
        <v>0</v>
      </c>
      <c r="AG8786" s="21">
        <v>0</v>
      </c>
      <c r="AH8786" s="21">
        <f t="shared" si="182"/>
        <v>288</v>
      </c>
      <c r="AI8786" s="21"/>
      <c r="AJ8786" s="21" t="s">
        <v>54</v>
      </c>
      <c r="AK8786" s="21" t="s">
        <v>52</v>
      </c>
      <c r="AL8786" s="21" t="s">
        <v>587</v>
      </c>
      <c r="AM8786" s="21" t="s">
        <v>5636</v>
      </c>
      <c r="AN8786" s="21">
        <v>-122.428427466667</v>
      </c>
      <c r="AO8786" s="21">
        <v>37.795276416666702</v>
      </c>
      <c r="AP8786" s="21" t="s">
        <v>541</v>
      </c>
    </row>
    <row r="8787" spans="1:42">
      <c r="A8787" s="22">
        <v>43874</v>
      </c>
      <c r="B8787" s="21">
        <v>4</v>
      </c>
      <c r="C8787" s="21">
        <v>215</v>
      </c>
      <c r="D8787" s="21">
        <v>14445</v>
      </c>
      <c r="E8787" t="s">
        <v>112</v>
      </c>
      <c r="F8787" s="21" t="s">
        <v>436</v>
      </c>
      <c r="G8787" s="23" t="s">
        <v>4241</v>
      </c>
      <c r="H8787" s="21">
        <v>73</v>
      </c>
      <c r="I8787" s="23" t="s">
        <v>2367</v>
      </c>
      <c r="J8787" s="21"/>
      <c r="K8787" s="21" t="s">
        <v>595</v>
      </c>
      <c r="L8787" s="21" t="s">
        <v>114</v>
      </c>
      <c r="M8787" s="21" t="s">
        <v>52</v>
      </c>
      <c r="N8787" s="21" t="s">
        <v>44</v>
      </c>
      <c r="O8787" s="21">
        <v>127</v>
      </c>
      <c r="P8787" s="21"/>
      <c r="Q8787" s="21">
        <f t="shared" si="181"/>
        <v>1</v>
      </c>
      <c r="R8787" s="21">
        <v>0</v>
      </c>
      <c r="S8787" s="21">
        <v>0</v>
      </c>
      <c r="T8787" s="21">
        <v>0</v>
      </c>
      <c r="U8787" s="21">
        <v>0</v>
      </c>
      <c r="V8787" s="21">
        <v>0</v>
      </c>
      <c r="W8787" s="21">
        <v>1</v>
      </c>
      <c r="X8787" s="21">
        <v>0</v>
      </c>
      <c r="Y8787" s="21">
        <v>0</v>
      </c>
      <c r="Z8787" s="21">
        <v>0</v>
      </c>
      <c r="AA8787" s="21">
        <v>0</v>
      </c>
      <c r="AB8787" s="21">
        <v>0</v>
      </c>
      <c r="AC8787" s="21">
        <v>0</v>
      </c>
      <c r="AD8787" s="21">
        <v>0</v>
      </c>
      <c r="AE8787" s="21">
        <v>0</v>
      </c>
      <c r="AF8787" s="21">
        <v>0</v>
      </c>
      <c r="AG8787" s="21">
        <v>0</v>
      </c>
      <c r="AH8787" s="21">
        <f t="shared" si="182"/>
        <v>96</v>
      </c>
      <c r="AI8787" s="21"/>
      <c r="AJ8787" s="21" t="s">
        <v>54</v>
      </c>
      <c r="AK8787" s="21" t="s">
        <v>52</v>
      </c>
      <c r="AL8787" s="21" t="s">
        <v>5543</v>
      </c>
      <c r="AM8787" s="21" t="s">
        <v>5637</v>
      </c>
      <c r="AN8787" s="21">
        <v>-122.43139114792</v>
      </c>
      <c r="AO8787" s="21">
        <v>37.796218007880597</v>
      </c>
      <c r="AP8787" s="21" t="s">
        <v>541</v>
      </c>
    </row>
    <row r="8788" spans="1:42">
      <c r="A8788" s="22">
        <v>43874</v>
      </c>
      <c r="B8788" s="21">
        <v>4</v>
      </c>
      <c r="C8788" s="21">
        <v>215</v>
      </c>
      <c r="D8788" s="21">
        <v>14445</v>
      </c>
      <c r="E8788" t="s">
        <v>112</v>
      </c>
      <c r="F8788" s="21" t="s">
        <v>436</v>
      </c>
      <c r="G8788" s="23" t="s">
        <v>4241</v>
      </c>
      <c r="H8788" s="21">
        <v>74</v>
      </c>
      <c r="I8788" s="23" t="s">
        <v>5638</v>
      </c>
      <c r="J8788" s="21"/>
      <c r="K8788" s="21" t="s">
        <v>595</v>
      </c>
      <c r="L8788" s="21" t="s">
        <v>141</v>
      </c>
      <c r="M8788" s="21" t="s">
        <v>52</v>
      </c>
      <c r="N8788" s="21" t="s">
        <v>44</v>
      </c>
      <c r="O8788" s="21">
        <v>97</v>
      </c>
      <c r="P8788" s="21"/>
      <c r="Q8788" s="21">
        <f t="shared" si="181"/>
        <v>1</v>
      </c>
      <c r="R8788" s="21">
        <v>0</v>
      </c>
      <c r="S8788" s="21">
        <v>0</v>
      </c>
      <c r="T8788" s="21">
        <v>0</v>
      </c>
      <c r="U8788" s="21">
        <v>1</v>
      </c>
      <c r="V8788" s="21">
        <v>0</v>
      </c>
      <c r="W8788" s="21">
        <v>0</v>
      </c>
      <c r="X8788" s="21">
        <v>0</v>
      </c>
      <c r="Y8788" s="21">
        <v>0</v>
      </c>
      <c r="Z8788" s="21">
        <v>0</v>
      </c>
      <c r="AA8788" s="21">
        <v>0</v>
      </c>
      <c r="AB8788" s="21">
        <v>0</v>
      </c>
      <c r="AC8788" s="21">
        <v>0</v>
      </c>
      <c r="AD8788" s="21">
        <v>0</v>
      </c>
      <c r="AE8788" s="21">
        <v>0</v>
      </c>
      <c r="AF8788" s="21">
        <v>0</v>
      </c>
      <c r="AG8788" s="21">
        <v>0</v>
      </c>
      <c r="AH8788" s="21">
        <f t="shared" si="182"/>
        <v>32</v>
      </c>
      <c r="AI8788" s="21"/>
      <c r="AJ8788" s="21" t="s">
        <v>54</v>
      </c>
      <c r="AK8788" s="21" t="s">
        <v>52</v>
      </c>
      <c r="AL8788" s="21" t="s">
        <v>5639</v>
      </c>
      <c r="AM8788" s="21" t="s">
        <v>5640</v>
      </c>
      <c r="AN8788" s="21">
        <v>-122.42880863333301</v>
      </c>
      <c r="AO8788" s="21">
        <v>37.797382466666598</v>
      </c>
      <c r="AP8788" s="21" t="s">
        <v>541</v>
      </c>
    </row>
    <row r="8789" spans="1:42">
      <c r="A8789" s="22">
        <v>43874</v>
      </c>
      <c r="B8789" s="21">
        <v>4</v>
      </c>
      <c r="C8789" s="21">
        <v>215</v>
      </c>
      <c r="D8789" s="21">
        <v>14445</v>
      </c>
      <c r="E8789" t="s">
        <v>112</v>
      </c>
      <c r="F8789" s="21" t="s">
        <v>436</v>
      </c>
      <c r="G8789" s="23" t="s">
        <v>4241</v>
      </c>
      <c r="H8789" s="21">
        <v>75</v>
      </c>
      <c r="I8789" s="23" t="s">
        <v>2791</v>
      </c>
      <c r="J8789" s="21"/>
      <c r="K8789" s="21" t="s">
        <v>4704</v>
      </c>
      <c r="L8789" s="21" t="s">
        <v>114</v>
      </c>
      <c r="M8789" s="21" t="s">
        <v>52</v>
      </c>
      <c r="N8789" s="21" t="s">
        <v>44</v>
      </c>
      <c r="O8789" s="21">
        <v>70</v>
      </c>
      <c r="P8789" s="21"/>
      <c r="Q8789" s="21">
        <f t="shared" si="181"/>
        <v>1</v>
      </c>
      <c r="R8789" s="21">
        <v>0</v>
      </c>
      <c r="S8789" s="21">
        <v>0</v>
      </c>
      <c r="T8789" s="21">
        <v>0</v>
      </c>
      <c r="U8789" s="21">
        <v>0</v>
      </c>
      <c r="V8789" s="21">
        <v>0</v>
      </c>
      <c r="W8789" s="21">
        <v>1</v>
      </c>
      <c r="X8789" s="21">
        <v>0</v>
      </c>
      <c r="Y8789" s="21">
        <v>0</v>
      </c>
      <c r="Z8789" s="21">
        <v>0</v>
      </c>
      <c r="AA8789" s="21">
        <v>0</v>
      </c>
      <c r="AB8789" s="21">
        <v>0</v>
      </c>
      <c r="AC8789" s="21">
        <v>0</v>
      </c>
      <c r="AD8789" s="21">
        <v>0</v>
      </c>
      <c r="AE8789" s="21">
        <v>0</v>
      </c>
      <c r="AF8789" s="21">
        <v>0</v>
      </c>
      <c r="AG8789" s="21">
        <v>0</v>
      </c>
      <c r="AH8789" s="21">
        <f t="shared" si="182"/>
        <v>96</v>
      </c>
      <c r="AI8789" s="21"/>
      <c r="AJ8789" s="21" t="s">
        <v>54</v>
      </c>
      <c r="AK8789" s="21" t="s">
        <v>52</v>
      </c>
      <c r="AL8789" s="21" t="s">
        <v>5641</v>
      </c>
      <c r="AM8789" s="21" t="s">
        <v>5642</v>
      </c>
      <c r="AN8789" s="21">
        <v>-122.429327098032</v>
      </c>
      <c r="AO8789" s="21">
        <v>37.795176828655897</v>
      </c>
      <c r="AP8789" s="21" t="s">
        <v>541</v>
      </c>
    </row>
    <row r="8790" spans="1:42">
      <c r="A8790" s="22">
        <v>43874</v>
      </c>
      <c r="B8790" s="21">
        <v>4</v>
      </c>
      <c r="C8790" s="21">
        <v>215</v>
      </c>
      <c r="D8790" s="21">
        <v>14445</v>
      </c>
      <c r="E8790" t="s">
        <v>112</v>
      </c>
      <c r="F8790" s="21" t="s">
        <v>436</v>
      </c>
      <c r="G8790" s="23" t="s">
        <v>4241</v>
      </c>
      <c r="H8790" s="21">
        <v>76</v>
      </c>
      <c r="I8790" s="23" t="s">
        <v>5518</v>
      </c>
      <c r="J8790" s="21"/>
      <c r="K8790" s="21" t="s">
        <v>4704</v>
      </c>
      <c r="L8790" s="21" t="s">
        <v>114</v>
      </c>
      <c r="M8790" s="21" t="s">
        <v>52</v>
      </c>
      <c r="N8790" s="21" t="s">
        <v>40</v>
      </c>
      <c r="O8790" s="21">
        <v>75</v>
      </c>
      <c r="P8790" s="21"/>
      <c r="Q8790" s="21">
        <f t="shared" si="181"/>
        <v>4</v>
      </c>
      <c r="R8790" s="21">
        <v>0</v>
      </c>
      <c r="S8790" s="21">
        <v>0</v>
      </c>
      <c r="T8790" s="21">
        <v>0</v>
      </c>
      <c r="U8790" s="21">
        <v>3</v>
      </c>
      <c r="V8790" s="21">
        <v>0</v>
      </c>
      <c r="W8790" s="21">
        <v>1</v>
      </c>
      <c r="X8790" s="21">
        <v>0</v>
      </c>
      <c r="Y8790" s="21">
        <v>0</v>
      </c>
      <c r="Z8790" s="21">
        <v>0</v>
      </c>
      <c r="AA8790" s="21">
        <v>0</v>
      </c>
      <c r="AB8790" s="21">
        <v>0</v>
      </c>
      <c r="AC8790" s="21">
        <v>0</v>
      </c>
      <c r="AD8790" s="21">
        <v>0</v>
      </c>
      <c r="AE8790" s="21">
        <v>0</v>
      </c>
      <c r="AF8790" s="21">
        <v>0</v>
      </c>
      <c r="AG8790" s="21">
        <v>0</v>
      </c>
      <c r="AH8790" s="21">
        <f t="shared" si="182"/>
        <v>192</v>
      </c>
      <c r="AI8790" s="21"/>
      <c r="AJ8790" s="21" t="s">
        <v>54</v>
      </c>
      <c r="AK8790" s="21" t="s">
        <v>52</v>
      </c>
      <c r="AL8790" s="21"/>
      <c r="AM8790" s="21" t="s">
        <v>5643</v>
      </c>
      <c r="AN8790" s="21">
        <v>-122.42863445</v>
      </c>
      <c r="AO8790" s="21">
        <v>37.7950706166666</v>
      </c>
      <c r="AP8790" s="21" t="s">
        <v>541</v>
      </c>
    </row>
    <row r="8791" spans="1:42">
      <c r="A8791" s="22">
        <v>43874</v>
      </c>
      <c r="B8791" s="21">
        <v>4</v>
      </c>
      <c r="C8791" s="21">
        <v>215</v>
      </c>
      <c r="D8791" s="21">
        <v>14445</v>
      </c>
      <c r="E8791" t="s">
        <v>112</v>
      </c>
      <c r="F8791" s="21" t="s">
        <v>436</v>
      </c>
      <c r="G8791" s="23" t="s">
        <v>4241</v>
      </c>
      <c r="H8791" s="21">
        <v>77</v>
      </c>
      <c r="I8791" s="23" t="s">
        <v>5644</v>
      </c>
      <c r="J8791" s="21"/>
      <c r="K8791" s="21" t="s">
        <v>4704</v>
      </c>
      <c r="L8791" s="21" t="s">
        <v>114</v>
      </c>
      <c r="M8791" s="21" t="s">
        <v>52</v>
      </c>
      <c r="N8791" s="21" t="s">
        <v>44</v>
      </c>
      <c r="O8791" s="21">
        <v>124</v>
      </c>
      <c r="P8791" s="21"/>
      <c r="Q8791" s="21">
        <f t="shared" si="181"/>
        <v>1</v>
      </c>
      <c r="R8791" s="21">
        <v>0</v>
      </c>
      <c r="S8791" s="21">
        <v>1</v>
      </c>
      <c r="T8791" s="21">
        <v>0</v>
      </c>
      <c r="U8791" s="21">
        <v>0</v>
      </c>
      <c r="V8791" s="21">
        <v>0</v>
      </c>
      <c r="W8791" s="21">
        <v>0</v>
      </c>
      <c r="X8791" s="21">
        <v>0</v>
      </c>
      <c r="Y8791" s="21">
        <v>0</v>
      </c>
      <c r="Z8791" s="21">
        <v>0</v>
      </c>
      <c r="AA8791" s="21">
        <v>0</v>
      </c>
      <c r="AB8791" s="21">
        <v>0</v>
      </c>
      <c r="AC8791" s="21">
        <v>0</v>
      </c>
      <c r="AD8791" s="21">
        <v>0</v>
      </c>
      <c r="AE8791" s="21">
        <v>0</v>
      </c>
      <c r="AF8791" s="21">
        <v>0</v>
      </c>
      <c r="AG8791" s="21">
        <v>0</v>
      </c>
      <c r="AH8791" s="21">
        <f t="shared" si="182"/>
        <v>16</v>
      </c>
      <c r="AI8791" s="21"/>
      <c r="AJ8791" s="21" t="s">
        <v>51</v>
      </c>
      <c r="AK8791" s="21" t="s">
        <v>52</v>
      </c>
      <c r="AL8791" s="21" t="s">
        <v>5645</v>
      </c>
      <c r="AM8791" s="21" t="s">
        <v>5646</v>
      </c>
      <c r="AN8791" s="21">
        <v>-122.43010687665</v>
      </c>
      <c r="AO8791" s="21">
        <v>37.795127049403597</v>
      </c>
      <c r="AP8791" s="21" t="s">
        <v>541</v>
      </c>
    </row>
    <row r="8792" spans="1:42">
      <c r="A8792" s="22">
        <v>43874</v>
      </c>
      <c r="B8792" s="21">
        <v>4</v>
      </c>
      <c r="C8792" s="21">
        <v>215</v>
      </c>
      <c r="D8792" s="21">
        <v>14445</v>
      </c>
      <c r="E8792" t="s">
        <v>112</v>
      </c>
      <c r="F8792" s="21" t="s">
        <v>436</v>
      </c>
      <c r="G8792" s="23" t="s">
        <v>4241</v>
      </c>
      <c r="H8792" s="21">
        <v>78</v>
      </c>
      <c r="I8792" s="23" t="s">
        <v>3954</v>
      </c>
      <c r="J8792" s="21"/>
      <c r="K8792" s="21" t="s">
        <v>4704</v>
      </c>
      <c r="L8792" s="21" t="s">
        <v>114</v>
      </c>
      <c r="M8792" s="21" t="s">
        <v>52</v>
      </c>
      <c r="N8792" s="21" t="s">
        <v>44</v>
      </c>
      <c r="O8792" s="21">
        <v>236</v>
      </c>
      <c r="P8792" s="21"/>
      <c r="Q8792" s="21">
        <f t="shared" si="181"/>
        <v>4</v>
      </c>
      <c r="R8792" s="21">
        <v>0</v>
      </c>
      <c r="S8792" s="21">
        <v>0</v>
      </c>
      <c r="T8792" s="21">
        <v>0</v>
      </c>
      <c r="U8792" s="21">
        <v>0</v>
      </c>
      <c r="V8792" s="21">
        <v>0</v>
      </c>
      <c r="W8792" s="21">
        <v>4</v>
      </c>
      <c r="X8792" s="21">
        <v>0</v>
      </c>
      <c r="Y8792" s="21">
        <v>0</v>
      </c>
      <c r="Z8792" s="21">
        <v>0</v>
      </c>
      <c r="AA8792" s="21">
        <v>0</v>
      </c>
      <c r="AB8792" s="21">
        <v>0</v>
      </c>
      <c r="AC8792" s="21">
        <v>0</v>
      </c>
      <c r="AD8792" s="21">
        <v>0</v>
      </c>
      <c r="AE8792" s="21">
        <v>0</v>
      </c>
      <c r="AF8792" s="21">
        <v>0</v>
      </c>
      <c r="AG8792" s="21">
        <v>0</v>
      </c>
      <c r="AH8792" s="21">
        <f t="shared" si="182"/>
        <v>384</v>
      </c>
      <c r="AI8792" s="21"/>
      <c r="AJ8792" s="21" t="s">
        <v>54</v>
      </c>
      <c r="AK8792" s="21" t="s">
        <v>52</v>
      </c>
      <c r="AL8792" s="21" t="s">
        <v>5647</v>
      </c>
      <c r="AM8792" s="21" t="s">
        <v>5648</v>
      </c>
      <c r="AN8792" s="21">
        <v>-122.431075333333</v>
      </c>
      <c r="AO8792" s="21">
        <v>37.794832916666699</v>
      </c>
      <c r="AP8792" s="21" t="s">
        <v>541</v>
      </c>
    </row>
    <row r="8793" spans="1:42">
      <c r="A8793" s="22">
        <v>43874</v>
      </c>
      <c r="B8793" s="21">
        <v>4</v>
      </c>
      <c r="C8793" s="21">
        <v>215</v>
      </c>
      <c r="D8793" s="21">
        <v>14445</v>
      </c>
      <c r="E8793" t="s">
        <v>112</v>
      </c>
      <c r="F8793" s="21" t="s">
        <v>436</v>
      </c>
      <c r="G8793" s="23" t="s">
        <v>4241</v>
      </c>
      <c r="H8793" s="21">
        <v>79</v>
      </c>
      <c r="I8793" s="23" t="s">
        <v>4456</v>
      </c>
      <c r="J8793" s="21"/>
      <c r="K8793" s="21" t="s">
        <v>4704</v>
      </c>
      <c r="L8793" s="21" t="s">
        <v>114</v>
      </c>
      <c r="M8793" s="21" t="s">
        <v>52</v>
      </c>
      <c r="N8793" s="21" t="s">
        <v>44</v>
      </c>
      <c r="O8793" s="21">
        <v>200</v>
      </c>
      <c r="P8793" s="21"/>
      <c r="Q8793" s="21">
        <f t="shared" si="181"/>
        <v>2</v>
      </c>
      <c r="R8793" s="21">
        <v>0</v>
      </c>
      <c r="S8793" s="21">
        <v>0</v>
      </c>
      <c r="T8793" s="21">
        <v>0</v>
      </c>
      <c r="U8793" s="21">
        <v>0</v>
      </c>
      <c r="V8793" s="21">
        <v>1</v>
      </c>
      <c r="W8793" s="21">
        <v>1</v>
      </c>
      <c r="X8793" s="21">
        <v>0</v>
      </c>
      <c r="Y8793" s="21">
        <v>0</v>
      </c>
      <c r="Z8793" s="21">
        <v>0</v>
      </c>
      <c r="AA8793" s="21">
        <v>0</v>
      </c>
      <c r="AB8793" s="21">
        <v>0</v>
      </c>
      <c r="AC8793" s="21">
        <v>0</v>
      </c>
      <c r="AD8793" s="21">
        <v>0</v>
      </c>
      <c r="AE8793" s="21">
        <v>0</v>
      </c>
      <c r="AF8793" s="21">
        <v>0</v>
      </c>
      <c r="AG8793" s="21">
        <v>0</v>
      </c>
      <c r="AH8793" s="21">
        <f t="shared" si="182"/>
        <v>160</v>
      </c>
      <c r="AI8793" s="21"/>
      <c r="AJ8793" s="21" t="s">
        <v>54</v>
      </c>
      <c r="AK8793" s="21" t="s">
        <v>52</v>
      </c>
      <c r="AL8793" s="21" t="s">
        <v>5639</v>
      </c>
      <c r="AM8793" s="21" t="s">
        <v>5649</v>
      </c>
      <c r="AN8793" s="21">
        <v>-122.431179766667</v>
      </c>
      <c r="AO8793" s="21">
        <v>37.794807916666599</v>
      </c>
      <c r="AP8793" s="21" t="s">
        <v>541</v>
      </c>
    </row>
    <row r="8794" spans="1:42">
      <c r="A8794" s="22">
        <v>43874</v>
      </c>
      <c r="B8794" s="21">
        <v>4</v>
      </c>
      <c r="C8794" s="21">
        <v>215</v>
      </c>
      <c r="D8794" s="21">
        <v>14445</v>
      </c>
      <c r="E8794" t="s">
        <v>112</v>
      </c>
      <c r="F8794" s="21" t="s">
        <v>436</v>
      </c>
      <c r="G8794" s="23" t="s">
        <v>4241</v>
      </c>
      <c r="H8794" s="21">
        <v>80</v>
      </c>
      <c r="I8794" s="23" t="s">
        <v>5580</v>
      </c>
      <c r="J8794" s="21"/>
      <c r="K8794" s="21" t="s">
        <v>4704</v>
      </c>
      <c r="L8794" s="21" t="s">
        <v>141</v>
      </c>
      <c r="M8794" s="21" t="s">
        <v>52</v>
      </c>
      <c r="N8794" s="21" t="s">
        <v>44</v>
      </c>
      <c r="O8794" s="21">
        <v>164</v>
      </c>
      <c r="P8794" s="21"/>
      <c r="Q8794" s="21">
        <f t="shared" si="181"/>
        <v>3</v>
      </c>
      <c r="R8794" s="21">
        <v>0</v>
      </c>
      <c r="S8794" s="21">
        <v>0</v>
      </c>
      <c r="T8794" s="21">
        <v>0</v>
      </c>
      <c r="U8794" s="21">
        <v>0</v>
      </c>
      <c r="V8794" s="21">
        <v>1</v>
      </c>
      <c r="W8794" s="21">
        <v>2</v>
      </c>
      <c r="X8794" s="21">
        <v>0</v>
      </c>
      <c r="Y8794" s="21">
        <v>0</v>
      </c>
      <c r="Z8794" s="21">
        <v>0</v>
      </c>
      <c r="AA8794" s="21">
        <v>0</v>
      </c>
      <c r="AB8794" s="21">
        <v>0</v>
      </c>
      <c r="AC8794" s="21">
        <v>0</v>
      </c>
      <c r="AD8794" s="21">
        <v>0</v>
      </c>
      <c r="AE8794" s="21">
        <v>0</v>
      </c>
      <c r="AF8794" s="21">
        <v>0</v>
      </c>
      <c r="AG8794" s="21">
        <v>0</v>
      </c>
      <c r="AH8794" s="21">
        <f t="shared" si="182"/>
        <v>256</v>
      </c>
      <c r="AI8794" s="21"/>
      <c r="AJ8794" s="21" t="s">
        <v>51</v>
      </c>
      <c r="AK8794" s="21" t="s">
        <v>52</v>
      </c>
      <c r="AL8794" s="21" t="s">
        <v>589</v>
      </c>
      <c r="AM8794" s="21" t="s">
        <v>5650</v>
      </c>
      <c r="AN8794" s="21">
        <v>-122.429895633333</v>
      </c>
      <c r="AO8794" s="21">
        <v>37.794284116666702</v>
      </c>
      <c r="AP8794" s="21" t="s">
        <v>541</v>
      </c>
    </row>
    <row r="8795" spans="1:42">
      <c r="A8795" s="22">
        <v>43874</v>
      </c>
      <c r="B8795" s="21">
        <v>4</v>
      </c>
      <c r="C8795" s="21">
        <v>215</v>
      </c>
      <c r="D8795" s="21">
        <v>14445</v>
      </c>
      <c r="E8795" t="s">
        <v>112</v>
      </c>
      <c r="F8795" s="21" t="s">
        <v>436</v>
      </c>
      <c r="G8795" s="23" t="s">
        <v>4241</v>
      </c>
      <c r="H8795" s="21">
        <v>81</v>
      </c>
      <c r="I8795" s="23" t="s">
        <v>5651</v>
      </c>
      <c r="J8795" s="21"/>
      <c r="K8795" s="21" t="s">
        <v>4704</v>
      </c>
      <c r="L8795" s="21" t="s">
        <v>141</v>
      </c>
      <c r="M8795" s="21" t="s">
        <v>52</v>
      </c>
      <c r="N8795" s="21" t="s">
        <v>40</v>
      </c>
      <c r="O8795" s="21">
        <v>44</v>
      </c>
      <c r="P8795" s="21"/>
      <c r="Q8795" s="21">
        <f t="shared" si="181"/>
        <v>2</v>
      </c>
      <c r="R8795" s="21">
        <v>0</v>
      </c>
      <c r="S8795" s="21">
        <v>0</v>
      </c>
      <c r="T8795" s="21">
        <v>0</v>
      </c>
      <c r="U8795" s="21">
        <v>2</v>
      </c>
      <c r="V8795" s="21">
        <v>0</v>
      </c>
      <c r="W8795" s="21">
        <v>0</v>
      </c>
      <c r="X8795" s="21">
        <v>0</v>
      </c>
      <c r="Y8795" s="21">
        <v>0</v>
      </c>
      <c r="Z8795" s="21">
        <v>0</v>
      </c>
      <c r="AA8795" s="21">
        <v>0</v>
      </c>
      <c r="AB8795" s="21">
        <v>0</v>
      </c>
      <c r="AC8795" s="21">
        <v>0</v>
      </c>
      <c r="AD8795" s="21">
        <v>0</v>
      </c>
      <c r="AE8795" s="21">
        <v>0</v>
      </c>
      <c r="AF8795" s="21">
        <v>0</v>
      </c>
      <c r="AG8795" s="21">
        <v>0</v>
      </c>
      <c r="AH8795" s="21">
        <f t="shared" si="182"/>
        <v>64</v>
      </c>
      <c r="AI8795" s="21"/>
      <c r="AJ8795" s="21" t="s">
        <v>51</v>
      </c>
      <c r="AK8795" s="21" t="s">
        <v>52</v>
      </c>
      <c r="AL8795" s="21"/>
      <c r="AM8795" s="21" t="s">
        <v>5652</v>
      </c>
      <c r="AN8795" s="21">
        <v>-122.429693216667</v>
      </c>
      <c r="AO8795" s="21">
        <v>37.7949725</v>
      </c>
      <c r="AP8795" s="21" t="s">
        <v>541</v>
      </c>
    </row>
    <row r="8796" spans="1:42">
      <c r="A8796" s="22">
        <v>43874</v>
      </c>
      <c r="B8796" s="21">
        <v>4</v>
      </c>
      <c r="C8796" s="21">
        <v>215</v>
      </c>
      <c r="D8796" s="21">
        <v>14445</v>
      </c>
      <c r="E8796" t="s">
        <v>112</v>
      </c>
      <c r="F8796" s="21" t="s">
        <v>436</v>
      </c>
      <c r="G8796" s="23" t="s">
        <v>4241</v>
      </c>
      <c r="H8796" s="21">
        <v>82</v>
      </c>
      <c r="I8796" s="23" t="s">
        <v>5653</v>
      </c>
      <c r="J8796" s="21"/>
      <c r="K8796" s="21" t="s">
        <v>4704</v>
      </c>
      <c r="L8796" s="21" t="s">
        <v>141</v>
      </c>
      <c r="M8796" s="21" t="s">
        <v>95</v>
      </c>
      <c r="N8796" s="21" t="s">
        <v>44</v>
      </c>
      <c r="O8796" s="21">
        <v>120</v>
      </c>
      <c r="P8796" s="21"/>
      <c r="Q8796" s="21">
        <f t="shared" si="181"/>
        <v>2</v>
      </c>
      <c r="R8796" s="21">
        <v>0</v>
      </c>
      <c r="S8796" s="21">
        <v>0</v>
      </c>
      <c r="T8796" s="21">
        <v>0</v>
      </c>
      <c r="U8796" s="21">
        <v>0</v>
      </c>
      <c r="V8796" s="21">
        <v>0</v>
      </c>
      <c r="W8796" s="21">
        <v>2</v>
      </c>
      <c r="X8796" s="21">
        <v>0</v>
      </c>
      <c r="Y8796" s="21">
        <v>0</v>
      </c>
      <c r="Z8796" s="21">
        <v>0</v>
      </c>
      <c r="AA8796" s="21">
        <v>0</v>
      </c>
      <c r="AB8796" s="21">
        <v>0</v>
      </c>
      <c r="AC8796" s="21">
        <v>0</v>
      </c>
      <c r="AD8796" s="21">
        <v>0</v>
      </c>
      <c r="AE8796" s="21">
        <v>0</v>
      </c>
      <c r="AF8796" s="21">
        <v>0</v>
      </c>
      <c r="AG8796" s="21">
        <v>0</v>
      </c>
      <c r="AH8796" s="21">
        <f t="shared" si="182"/>
        <v>192</v>
      </c>
      <c r="AI8796" s="21"/>
      <c r="AJ8796" s="21" t="s">
        <v>51</v>
      </c>
      <c r="AK8796" s="21" t="s">
        <v>52</v>
      </c>
      <c r="AL8796" s="21" t="s">
        <v>589</v>
      </c>
      <c r="AM8796" s="21" t="s">
        <v>5654</v>
      </c>
      <c r="AN8796" s="21">
        <v>-122.429315883333</v>
      </c>
      <c r="AO8796" s="21">
        <v>37.794989133333303</v>
      </c>
      <c r="AP8796" s="21" t="s">
        <v>541</v>
      </c>
    </row>
    <row r="8797" spans="1:42">
      <c r="A8797" s="22">
        <v>43874</v>
      </c>
      <c r="B8797" s="21">
        <v>4</v>
      </c>
      <c r="C8797" s="21">
        <v>215</v>
      </c>
      <c r="D8797" s="21">
        <v>14445</v>
      </c>
      <c r="E8797" t="s">
        <v>112</v>
      </c>
      <c r="F8797" s="21" t="s">
        <v>436</v>
      </c>
      <c r="G8797" s="23" t="s">
        <v>4241</v>
      </c>
      <c r="H8797" s="21">
        <v>83</v>
      </c>
      <c r="I8797" s="23" t="s">
        <v>3844</v>
      </c>
      <c r="J8797" s="21"/>
      <c r="K8797" s="21" t="s">
        <v>4704</v>
      </c>
      <c r="L8797" s="21" t="s">
        <v>141</v>
      </c>
      <c r="M8797" s="21" t="s">
        <v>52</v>
      </c>
      <c r="N8797" s="21" t="s">
        <v>40</v>
      </c>
      <c r="O8797" s="21">
        <v>35</v>
      </c>
      <c r="P8797" s="21"/>
      <c r="Q8797" s="21">
        <f t="shared" si="181"/>
        <v>2</v>
      </c>
      <c r="R8797" s="21">
        <v>0</v>
      </c>
      <c r="S8797" s="21">
        <v>1</v>
      </c>
      <c r="T8797" s="21">
        <v>0</v>
      </c>
      <c r="U8797" s="21">
        <v>1</v>
      </c>
      <c r="V8797" s="21">
        <v>0</v>
      </c>
      <c r="W8797" s="21">
        <v>0</v>
      </c>
      <c r="X8797" s="21">
        <v>0</v>
      </c>
      <c r="Y8797" s="21">
        <v>0</v>
      </c>
      <c r="Z8797" s="21">
        <v>0</v>
      </c>
      <c r="AA8797" s="21">
        <v>0</v>
      </c>
      <c r="AB8797" s="21">
        <v>0</v>
      </c>
      <c r="AC8797" s="21">
        <v>0</v>
      </c>
      <c r="AD8797" s="21">
        <v>0</v>
      </c>
      <c r="AE8797" s="21">
        <v>0</v>
      </c>
      <c r="AF8797" s="21">
        <v>0</v>
      </c>
      <c r="AG8797" s="21">
        <v>0</v>
      </c>
      <c r="AH8797" s="21">
        <f t="shared" si="182"/>
        <v>48</v>
      </c>
      <c r="AI8797" s="21"/>
      <c r="AJ8797" s="21" t="s">
        <v>51</v>
      </c>
      <c r="AK8797" s="21" t="s">
        <v>52</v>
      </c>
      <c r="AL8797" s="21"/>
      <c r="AM8797" s="21" t="s">
        <v>5655</v>
      </c>
      <c r="AN8797" s="21">
        <v>-122.428688640139</v>
      </c>
      <c r="AO8797" s="21">
        <v>37.792825946347399</v>
      </c>
      <c r="AP8797" s="21" t="s">
        <v>541</v>
      </c>
    </row>
    <row r="8798" spans="1:42">
      <c r="A8798" s="22">
        <v>43874</v>
      </c>
      <c r="B8798" s="21">
        <v>4</v>
      </c>
      <c r="C8798" s="21">
        <v>215</v>
      </c>
      <c r="D8798" s="21">
        <v>14445</v>
      </c>
      <c r="E8798" t="s">
        <v>112</v>
      </c>
      <c r="F8798" s="21" t="s">
        <v>436</v>
      </c>
      <c r="G8798" s="23" t="s">
        <v>4241</v>
      </c>
      <c r="H8798" s="21">
        <v>84</v>
      </c>
      <c r="I8798" s="23" t="s">
        <v>2164</v>
      </c>
      <c r="J8798" s="21"/>
      <c r="K8798" s="21" t="s">
        <v>595</v>
      </c>
      <c r="L8798" s="21" t="s">
        <v>114</v>
      </c>
      <c r="M8798" s="21" t="s">
        <v>52</v>
      </c>
      <c r="N8798" s="21" t="s">
        <v>40</v>
      </c>
      <c r="O8798" s="21">
        <v>49</v>
      </c>
      <c r="P8798" s="21"/>
      <c r="Q8798" s="21">
        <f t="shared" si="181"/>
        <v>2</v>
      </c>
      <c r="R8798" s="21">
        <v>0</v>
      </c>
      <c r="S8798" s="21">
        <v>0</v>
      </c>
      <c r="T8798" s="21">
        <v>0</v>
      </c>
      <c r="U8798" s="21">
        <v>0</v>
      </c>
      <c r="V8798" s="21">
        <v>2</v>
      </c>
      <c r="W8798" s="21">
        <v>0</v>
      </c>
      <c r="X8798" s="21">
        <v>0</v>
      </c>
      <c r="Y8798" s="21">
        <v>0</v>
      </c>
      <c r="Z8798" s="21">
        <v>0</v>
      </c>
      <c r="AA8798" s="21">
        <v>0</v>
      </c>
      <c r="AB8798" s="21">
        <v>0</v>
      </c>
      <c r="AC8798" s="21">
        <v>0</v>
      </c>
      <c r="AD8798" s="21">
        <v>0</v>
      </c>
      <c r="AE8798" s="21">
        <v>0</v>
      </c>
      <c r="AF8798" s="21">
        <v>0</v>
      </c>
      <c r="AG8798" s="21">
        <v>0</v>
      </c>
      <c r="AH8798" s="21">
        <f t="shared" si="182"/>
        <v>128</v>
      </c>
      <c r="AI8798" s="21"/>
      <c r="AJ8798" s="21" t="s">
        <v>54</v>
      </c>
      <c r="AK8798" s="21" t="s">
        <v>52</v>
      </c>
      <c r="AL8798" s="21"/>
      <c r="AM8798" s="21" t="s">
        <v>5656</v>
      </c>
      <c r="AN8798" s="21">
        <v>-122.42814005</v>
      </c>
      <c r="AO8798" s="21">
        <v>37.794436166666699</v>
      </c>
      <c r="AP8798" s="21" t="s">
        <v>541</v>
      </c>
    </row>
    <row r="8799" spans="1:42">
      <c r="A8799" s="22">
        <v>43874</v>
      </c>
      <c r="B8799" s="21">
        <v>4</v>
      </c>
      <c r="C8799" s="21">
        <v>215</v>
      </c>
      <c r="D8799" s="21">
        <v>14445</v>
      </c>
      <c r="E8799" t="s">
        <v>112</v>
      </c>
      <c r="F8799" s="21" t="s">
        <v>436</v>
      </c>
      <c r="G8799" s="23" t="s">
        <v>4241</v>
      </c>
      <c r="H8799" s="21">
        <v>85</v>
      </c>
      <c r="I8799" s="23" t="s">
        <v>2551</v>
      </c>
      <c r="J8799" s="21"/>
      <c r="K8799" s="21" t="s">
        <v>647</v>
      </c>
      <c r="L8799" s="21" t="s">
        <v>114</v>
      </c>
      <c r="M8799" s="21" t="s">
        <v>95</v>
      </c>
      <c r="N8799" s="21" t="s">
        <v>40</v>
      </c>
      <c r="O8799" s="21">
        <v>67</v>
      </c>
      <c r="P8799" s="21"/>
      <c r="Q8799" s="21">
        <f t="shared" si="181"/>
        <v>1</v>
      </c>
      <c r="R8799" s="21">
        <v>0</v>
      </c>
      <c r="S8799" s="21">
        <v>0</v>
      </c>
      <c r="T8799" s="21">
        <v>0</v>
      </c>
      <c r="U8799" s="21">
        <v>0</v>
      </c>
      <c r="V8799" s="21">
        <v>1</v>
      </c>
      <c r="W8799" s="21">
        <v>0</v>
      </c>
      <c r="X8799" s="21">
        <v>0</v>
      </c>
      <c r="Y8799" s="21">
        <v>0</v>
      </c>
      <c r="Z8799" s="21">
        <v>0</v>
      </c>
      <c r="AA8799" s="21">
        <v>0</v>
      </c>
      <c r="AB8799" s="21">
        <v>0</v>
      </c>
      <c r="AC8799" s="21">
        <v>0</v>
      </c>
      <c r="AD8799" s="21">
        <v>0</v>
      </c>
      <c r="AE8799" s="21">
        <v>0</v>
      </c>
      <c r="AF8799" s="21">
        <v>0</v>
      </c>
      <c r="AG8799" s="21">
        <v>0</v>
      </c>
      <c r="AH8799" s="21">
        <f t="shared" si="182"/>
        <v>64</v>
      </c>
      <c r="AI8799" s="21"/>
      <c r="AJ8799" s="21" t="s">
        <v>54</v>
      </c>
      <c r="AK8799" s="21" t="s">
        <v>52</v>
      </c>
      <c r="AL8799" s="21"/>
      <c r="AM8799" s="21" t="s">
        <v>5657</v>
      </c>
      <c r="AN8799" s="21">
        <v>-122.42833621666701</v>
      </c>
      <c r="AO8799" s="21">
        <v>37.793435733333297</v>
      </c>
      <c r="AP8799" s="21" t="s">
        <v>541</v>
      </c>
    </row>
    <row r="8800" spans="1:42">
      <c r="A8800" s="22">
        <v>43874</v>
      </c>
      <c r="B8800" s="21">
        <v>4</v>
      </c>
      <c r="C8800" s="21">
        <v>215</v>
      </c>
      <c r="D8800" s="21">
        <v>14445</v>
      </c>
      <c r="E8800" t="s">
        <v>112</v>
      </c>
      <c r="F8800" s="21" t="s">
        <v>436</v>
      </c>
      <c r="G8800" s="23" t="s">
        <v>4241</v>
      </c>
      <c r="H8800" s="21">
        <v>86</v>
      </c>
      <c r="I8800" s="23" t="s">
        <v>2881</v>
      </c>
      <c r="J8800" s="21"/>
      <c r="K8800" s="21" t="s">
        <v>595</v>
      </c>
      <c r="L8800" s="21" t="s">
        <v>114</v>
      </c>
      <c r="M8800" s="21" t="s">
        <v>52</v>
      </c>
      <c r="N8800" s="21" t="s">
        <v>40</v>
      </c>
      <c r="O8800" s="21">
        <v>46</v>
      </c>
      <c r="P8800" s="21"/>
      <c r="Q8800" s="21">
        <f t="shared" si="181"/>
        <v>2</v>
      </c>
      <c r="R8800" s="21">
        <v>0</v>
      </c>
      <c r="S8800" s="21">
        <v>0</v>
      </c>
      <c r="T8800" s="21">
        <v>0</v>
      </c>
      <c r="U8800" s="21">
        <v>2</v>
      </c>
      <c r="V8800" s="21">
        <v>0</v>
      </c>
      <c r="W8800" s="21">
        <v>0</v>
      </c>
      <c r="X8800" s="21">
        <v>0</v>
      </c>
      <c r="Y8800" s="21">
        <v>0</v>
      </c>
      <c r="Z8800" s="21">
        <v>0</v>
      </c>
      <c r="AA8800" s="21">
        <v>0</v>
      </c>
      <c r="AB8800" s="21">
        <v>0</v>
      </c>
      <c r="AC8800" s="21">
        <v>0</v>
      </c>
      <c r="AD8800" s="21">
        <v>0</v>
      </c>
      <c r="AE8800" s="21">
        <v>0</v>
      </c>
      <c r="AF8800" s="21">
        <v>0</v>
      </c>
      <c r="AG8800" s="21">
        <v>0</v>
      </c>
      <c r="AH8800" s="21">
        <f t="shared" si="182"/>
        <v>64</v>
      </c>
      <c r="AI8800" s="21"/>
      <c r="AJ8800" s="21" t="s">
        <v>54</v>
      </c>
      <c r="AK8800" s="21" t="s">
        <v>52</v>
      </c>
      <c r="AL8800" s="21"/>
      <c r="AM8800" s="21" t="s">
        <v>5658</v>
      </c>
      <c r="AN8800" s="21">
        <v>-122.428013483333</v>
      </c>
      <c r="AO8800" s="21">
        <v>37.793647649999997</v>
      </c>
      <c r="AP8800" s="21" t="s">
        <v>541</v>
      </c>
    </row>
    <row r="8801" spans="1:42">
      <c r="A8801" s="22">
        <v>43874</v>
      </c>
      <c r="B8801" s="21">
        <v>4</v>
      </c>
      <c r="C8801" s="21">
        <v>215</v>
      </c>
      <c r="D8801" s="21">
        <v>14445</v>
      </c>
      <c r="E8801" t="s">
        <v>112</v>
      </c>
      <c r="F8801" s="21" t="s">
        <v>436</v>
      </c>
      <c r="G8801" s="23" t="s">
        <v>4241</v>
      </c>
      <c r="H8801" s="21">
        <v>87</v>
      </c>
      <c r="I8801" s="23" t="s">
        <v>5659</v>
      </c>
      <c r="J8801" s="21"/>
      <c r="K8801" s="21" t="s">
        <v>595</v>
      </c>
      <c r="L8801" s="21" t="s">
        <v>114</v>
      </c>
      <c r="M8801" s="21" t="s">
        <v>52</v>
      </c>
      <c r="N8801" s="21" t="s">
        <v>42</v>
      </c>
      <c r="O8801" s="21">
        <v>48</v>
      </c>
      <c r="P8801" s="21"/>
      <c r="Q8801" s="21">
        <f t="shared" si="181"/>
        <v>1</v>
      </c>
      <c r="R8801" s="21">
        <v>0</v>
      </c>
      <c r="S8801" s="21">
        <v>0</v>
      </c>
      <c r="T8801" s="21">
        <v>0</v>
      </c>
      <c r="U8801" s="21">
        <v>0</v>
      </c>
      <c r="V8801" s="21">
        <v>1</v>
      </c>
      <c r="W8801" s="21">
        <v>0</v>
      </c>
      <c r="X8801" s="21">
        <v>0</v>
      </c>
      <c r="Y8801" s="21">
        <v>0</v>
      </c>
      <c r="Z8801" s="21">
        <v>0</v>
      </c>
      <c r="AA8801" s="21">
        <v>0</v>
      </c>
      <c r="AB8801" s="21">
        <v>0</v>
      </c>
      <c r="AC8801" s="21">
        <v>0</v>
      </c>
      <c r="AD8801" s="21">
        <v>0</v>
      </c>
      <c r="AE8801" s="21">
        <v>0</v>
      </c>
      <c r="AF8801" s="21">
        <v>0</v>
      </c>
      <c r="AG8801" s="21">
        <v>0</v>
      </c>
      <c r="AH8801" s="21">
        <f t="shared" si="182"/>
        <v>64</v>
      </c>
      <c r="AI8801" s="21"/>
      <c r="AJ8801" s="21" t="s">
        <v>54</v>
      </c>
      <c r="AK8801" s="21" t="s">
        <v>52</v>
      </c>
      <c r="AL8801" s="21"/>
      <c r="AM8801" s="21" t="s">
        <v>5660</v>
      </c>
      <c r="AN8801" s="21">
        <v>-122.43002361807299</v>
      </c>
      <c r="AO8801" s="21">
        <v>37.792009042754799</v>
      </c>
      <c r="AP8801" s="21" t="s">
        <v>541</v>
      </c>
    </row>
    <row r="8802" spans="1:42">
      <c r="A8802" s="22">
        <v>43879</v>
      </c>
      <c r="B8802" s="21">
        <v>2</v>
      </c>
      <c r="C8802" s="21">
        <v>815</v>
      </c>
      <c r="D8802" s="21">
        <v>14654</v>
      </c>
      <c r="E8802" s="21" t="s">
        <v>649</v>
      </c>
      <c r="F8802" s="21" t="s">
        <v>436</v>
      </c>
      <c r="G8802" s="23">
        <v>2</v>
      </c>
      <c r="H8802" s="21">
        <v>1</v>
      </c>
      <c r="I8802" s="23" t="s">
        <v>5661</v>
      </c>
      <c r="J8802" s="21"/>
      <c r="K8802" s="21" t="s">
        <v>389</v>
      </c>
      <c r="L8802" s="21" t="s">
        <v>141</v>
      </c>
      <c r="M8802" s="21" t="s">
        <v>52</v>
      </c>
      <c r="N8802" s="21" t="s">
        <v>40</v>
      </c>
      <c r="O8802" s="21">
        <v>14</v>
      </c>
      <c r="P8802" s="21"/>
      <c r="Q8802" s="21">
        <f t="shared" si="181"/>
        <v>1</v>
      </c>
      <c r="R8802" s="21">
        <v>0</v>
      </c>
      <c r="S8802" s="21">
        <v>0</v>
      </c>
      <c r="T8802" s="21">
        <v>0</v>
      </c>
      <c r="U8802" s="21">
        <v>0</v>
      </c>
      <c r="V8802" s="21">
        <v>0</v>
      </c>
      <c r="W8802" s="21">
        <v>0</v>
      </c>
      <c r="X8802" s="21">
        <v>1</v>
      </c>
      <c r="Y8802" s="21">
        <v>0</v>
      </c>
      <c r="Z8802" s="21">
        <v>0</v>
      </c>
      <c r="AA8802" s="21">
        <v>0</v>
      </c>
      <c r="AB8802" s="21">
        <v>0</v>
      </c>
      <c r="AC8802" s="21">
        <v>0</v>
      </c>
      <c r="AD8802" s="21">
        <v>0</v>
      </c>
      <c r="AE8802" s="21">
        <v>0</v>
      </c>
      <c r="AF8802" s="21">
        <v>0</v>
      </c>
      <c r="AG8802" s="21">
        <v>0</v>
      </c>
      <c r="AH8802" s="21">
        <f t="shared" si="182"/>
        <v>0</v>
      </c>
      <c r="AI8802" s="21"/>
      <c r="AJ8802" s="21" t="s">
        <v>51</v>
      </c>
      <c r="AK8802" s="21" t="s">
        <v>52</v>
      </c>
      <c r="AL8802" s="21"/>
      <c r="AM8802" s="21" t="s">
        <v>5662</v>
      </c>
      <c r="AN8802" s="21">
        <v>-122.393491466667</v>
      </c>
      <c r="AO8802" s="21">
        <v>37.779359483333302</v>
      </c>
      <c r="AP8802" s="21" t="s">
        <v>541</v>
      </c>
    </row>
    <row r="8803" spans="1:42">
      <c r="A8803" s="22">
        <v>43879</v>
      </c>
      <c r="B8803" s="21">
        <v>2</v>
      </c>
      <c r="C8803" s="21">
        <v>815</v>
      </c>
      <c r="D8803" s="21">
        <v>14654</v>
      </c>
      <c r="E8803" s="21" t="s">
        <v>649</v>
      </c>
      <c r="F8803" s="21" t="s">
        <v>436</v>
      </c>
      <c r="G8803" s="23">
        <v>2</v>
      </c>
      <c r="H8803" s="21">
        <v>2</v>
      </c>
      <c r="I8803" s="23" t="s">
        <v>5663</v>
      </c>
      <c r="J8803" s="21"/>
      <c r="K8803" s="21" t="s">
        <v>389</v>
      </c>
      <c r="L8803" s="21" t="s">
        <v>114</v>
      </c>
      <c r="M8803" s="21" t="s">
        <v>95</v>
      </c>
      <c r="N8803" s="21" t="s">
        <v>40</v>
      </c>
      <c r="O8803" s="21">
        <v>140</v>
      </c>
      <c r="P8803" s="21"/>
      <c r="Q8803" s="21">
        <f t="shared" si="181"/>
        <v>2</v>
      </c>
      <c r="R8803" s="21">
        <v>0</v>
      </c>
      <c r="S8803" s="21">
        <v>0</v>
      </c>
      <c r="T8803" s="21">
        <v>0</v>
      </c>
      <c r="U8803" s="21">
        <v>0</v>
      </c>
      <c r="V8803" s="21">
        <v>0</v>
      </c>
      <c r="W8803" s="21">
        <v>0</v>
      </c>
      <c r="X8803" s="21">
        <v>2</v>
      </c>
      <c r="Y8803" s="21">
        <v>0</v>
      </c>
      <c r="Z8803" s="21">
        <v>0</v>
      </c>
      <c r="AA8803" s="21">
        <v>0</v>
      </c>
      <c r="AB8803" s="21">
        <v>0</v>
      </c>
      <c r="AC8803" s="21">
        <v>0</v>
      </c>
      <c r="AD8803" s="21">
        <v>0</v>
      </c>
      <c r="AE8803" s="21">
        <v>0</v>
      </c>
      <c r="AF8803" s="21">
        <v>0</v>
      </c>
      <c r="AG8803" s="21">
        <v>0</v>
      </c>
      <c r="AH8803" s="21">
        <f t="shared" si="182"/>
        <v>0</v>
      </c>
      <c r="AI8803" s="21"/>
      <c r="AJ8803" s="21" t="s">
        <v>51</v>
      </c>
      <c r="AK8803" s="21" t="s">
        <v>95</v>
      </c>
      <c r="AL8803" s="21" t="s">
        <v>5664</v>
      </c>
      <c r="AM8803" s="21" t="s">
        <v>5665</v>
      </c>
      <c r="AN8803" s="21">
        <v>-122.394621016667</v>
      </c>
      <c r="AO8803" s="21">
        <v>37.780384116666703</v>
      </c>
      <c r="AP8803" s="21" t="s">
        <v>541</v>
      </c>
    </row>
    <row r="8804" spans="1:42">
      <c r="A8804" s="22">
        <v>43879</v>
      </c>
      <c r="B8804" s="21">
        <v>2</v>
      </c>
      <c r="C8804" s="21">
        <v>815</v>
      </c>
      <c r="D8804" s="21">
        <v>14654</v>
      </c>
      <c r="E8804" s="21" t="s">
        <v>649</v>
      </c>
      <c r="F8804" s="21" t="s">
        <v>436</v>
      </c>
      <c r="G8804" s="23">
        <v>2</v>
      </c>
      <c r="H8804" s="21">
        <v>3</v>
      </c>
      <c r="I8804" s="23" t="s">
        <v>5666</v>
      </c>
      <c r="J8804" s="21"/>
      <c r="K8804" s="21" t="s">
        <v>389</v>
      </c>
      <c r="L8804" s="21" t="s">
        <v>114</v>
      </c>
      <c r="M8804" s="21" t="s">
        <v>52</v>
      </c>
      <c r="N8804" s="21" t="s">
        <v>40</v>
      </c>
      <c r="O8804" s="21">
        <v>15</v>
      </c>
      <c r="P8804" s="21"/>
      <c r="Q8804" s="21">
        <f t="shared" si="181"/>
        <v>1</v>
      </c>
      <c r="R8804" s="21">
        <v>0</v>
      </c>
      <c r="S8804" s="21">
        <v>0</v>
      </c>
      <c r="T8804" s="21">
        <v>0</v>
      </c>
      <c r="U8804" s="21">
        <v>0</v>
      </c>
      <c r="V8804" s="21">
        <v>0</v>
      </c>
      <c r="W8804" s="21">
        <v>0</v>
      </c>
      <c r="X8804" s="21">
        <v>1</v>
      </c>
      <c r="Y8804" s="21">
        <v>0</v>
      </c>
      <c r="Z8804" s="21">
        <v>0</v>
      </c>
      <c r="AA8804" s="21">
        <v>0</v>
      </c>
      <c r="AB8804" s="21">
        <v>0</v>
      </c>
      <c r="AC8804" s="21">
        <v>0</v>
      </c>
      <c r="AD8804" s="21">
        <v>0</v>
      </c>
      <c r="AE8804" s="21">
        <v>0</v>
      </c>
      <c r="AF8804" s="21">
        <v>0</v>
      </c>
      <c r="AG8804" s="21">
        <v>0</v>
      </c>
      <c r="AH8804" s="21">
        <f t="shared" si="182"/>
        <v>0</v>
      </c>
      <c r="AI8804" s="21"/>
      <c r="AJ8804" s="21" t="s">
        <v>51</v>
      </c>
      <c r="AK8804" s="21" t="s">
        <v>95</v>
      </c>
      <c r="AL8804" s="21"/>
      <c r="AM8804" s="21" t="s">
        <v>5667</v>
      </c>
      <c r="AN8804" s="21">
        <v>-122.395786</v>
      </c>
      <c r="AO8804" s="21">
        <v>37.7812861833333</v>
      </c>
      <c r="AP8804" s="21" t="s">
        <v>541</v>
      </c>
    </row>
    <row r="8805" spans="1:42">
      <c r="A8805" s="22">
        <v>43879</v>
      </c>
      <c r="B8805" s="21">
        <v>2</v>
      </c>
      <c r="C8805" s="21">
        <v>815</v>
      </c>
      <c r="D8805" s="21">
        <v>14654</v>
      </c>
      <c r="E8805" s="21" t="s">
        <v>649</v>
      </c>
      <c r="F8805" s="21" t="s">
        <v>436</v>
      </c>
      <c r="G8805" s="23">
        <v>2</v>
      </c>
      <c r="H8805" s="21">
        <v>4</v>
      </c>
      <c r="I8805" s="23" t="s">
        <v>5668</v>
      </c>
      <c r="J8805" s="21"/>
      <c r="K8805" s="21" t="s">
        <v>107</v>
      </c>
      <c r="L8805" s="21" t="s">
        <v>114</v>
      </c>
      <c r="M8805" s="21" t="s">
        <v>52</v>
      </c>
      <c r="N8805" s="21" t="s">
        <v>40</v>
      </c>
      <c r="O8805" s="21">
        <v>15</v>
      </c>
      <c r="P8805" s="21"/>
      <c r="Q8805" s="21">
        <f t="shared" si="181"/>
        <v>1</v>
      </c>
      <c r="R8805" s="21">
        <v>0</v>
      </c>
      <c r="S8805" s="21">
        <v>0</v>
      </c>
      <c r="T8805" s="21">
        <v>0</v>
      </c>
      <c r="U8805" s="21">
        <v>0</v>
      </c>
      <c r="V8805" s="21">
        <v>0</v>
      </c>
      <c r="W8805" s="21">
        <v>0</v>
      </c>
      <c r="X8805" s="21">
        <v>1</v>
      </c>
      <c r="Y8805" s="21">
        <v>0</v>
      </c>
      <c r="Z8805" s="21">
        <v>0</v>
      </c>
      <c r="AA8805" s="21">
        <v>0</v>
      </c>
      <c r="AB8805" s="21">
        <v>0</v>
      </c>
      <c r="AC8805" s="21">
        <v>0</v>
      </c>
      <c r="AD8805" s="21">
        <v>0</v>
      </c>
      <c r="AE8805" s="21">
        <v>0</v>
      </c>
      <c r="AF8805" s="21">
        <v>0</v>
      </c>
      <c r="AG8805" s="21">
        <v>0</v>
      </c>
      <c r="AH8805" s="21">
        <f t="shared" si="182"/>
        <v>0</v>
      </c>
      <c r="AI8805" s="21"/>
      <c r="AJ8805" s="21" t="s">
        <v>51</v>
      </c>
      <c r="AK8805" s="21" t="s">
        <v>95</v>
      </c>
      <c r="AL8805" s="21"/>
      <c r="AM8805" s="21" t="s">
        <v>5669</v>
      </c>
      <c r="AN8805" s="21">
        <v>-122.399117666667</v>
      </c>
      <c r="AO8805" s="21">
        <v>37.783984783333302</v>
      </c>
      <c r="AP8805" s="21" t="s">
        <v>541</v>
      </c>
    </row>
    <row r="8806" spans="1:42">
      <c r="A8806" s="22">
        <v>43879</v>
      </c>
      <c r="B8806" s="21">
        <v>2</v>
      </c>
      <c r="C8806" s="21">
        <v>815</v>
      </c>
      <c r="D8806" s="21">
        <v>14654</v>
      </c>
      <c r="E8806" s="21" t="s">
        <v>649</v>
      </c>
      <c r="F8806" s="21" t="s">
        <v>436</v>
      </c>
      <c r="G8806" s="23">
        <v>2</v>
      </c>
      <c r="H8806" s="21">
        <v>5</v>
      </c>
      <c r="I8806" s="23" t="s">
        <v>5670</v>
      </c>
      <c r="J8806" s="21"/>
      <c r="K8806" s="21" t="s">
        <v>389</v>
      </c>
      <c r="L8806" s="21" t="s">
        <v>141</v>
      </c>
      <c r="M8806" s="21" t="s">
        <v>52</v>
      </c>
      <c r="N8806" s="21" t="s">
        <v>40</v>
      </c>
      <c r="O8806" s="21">
        <v>18</v>
      </c>
      <c r="P8806" s="21"/>
      <c r="Q8806" s="21">
        <f t="shared" si="181"/>
        <v>1</v>
      </c>
      <c r="R8806" s="21">
        <v>0</v>
      </c>
      <c r="S8806" s="21">
        <v>0</v>
      </c>
      <c r="T8806" s="21">
        <v>0</v>
      </c>
      <c r="U8806" s="21">
        <v>0</v>
      </c>
      <c r="V8806" s="21">
        <v>0</v>
      </c>
      <c r="W8806" s="21">
        <v>0</v>
      </c>
      <c r="X8806" s="21">
        <v>1</v>
      </c>
      <c r="Y8806" s="21">
        <v>0</v>
      </c>
      <c r="Z8806" s="21">
        <v>0</v>
      </c>
      <c r="AA8806" s="21">
        <v>0</v>
      </c>
      <c r="AB8806" s="21">
        <v>0</v>
      </c>
      <c r="AC8806" s="21">
        <v>0</v>
      </c>
      <c r="AD8806" s="21">
        <v>0</v>
      </c>
      <c r="AE8806" s="21">
        <v>0</v>
      </c>
      <c r="AF8806" s="21">
        <v>0</v>
      </c>
      <c r="AG8806" s="21">
        <v>0</v>
      </c>
      <c r="AH8806" s="21">
        <f t="shared" si="182"/>
        <v>0</v>
      </c>
      <c r="AI8806" s="21"/>
      <c r="AJ8806" s="21" t="s">
        <v>51</v>
      </c>
      <c r="AK8806" s="21" t="s">
        <v>95</v>
      </c>
      <c r="AL8806" s="21"/>
      <c r="AM8806" s="21" t="s">
        <v>5671</v>
      </c>
      <c r="AN8806" s="21">
        <v>-122.39880929779</v>
      </c>
      <c r="AO8806" s="21">
        <v>37.7834812201868</v>
      </c>
      <c r="AP8806" s="21" t="s">
        <v>541</v>
      </c>
    </row>
    <row r="8807" spans="1:42">
      <c r="A8807" s="22">
        <v>43879</v>
      </c>
      <c r="B8807" s="21">
        <v>2</v>
      </c>
      <c r="C8807" s="21">
        <v>815</v>
      </c>
      <c r="D8807" s="21">
        <v>14654</v>
      </c>
      <c r="E8807" s="21" t="s">
        <v>649</v>
      </c>
      <c r="F8807" s="21" t="s">
        <v>436</v>
      </c>
      <c r="G8807" s="23">
        <v>2</v>
      </c>
      <c r="H8807" s="21">
        <v>6</v>
      </c>
      <c r="I8807" s="23" t="s">
        <v>4628</v>
      </c>
      <c r="J8807" s="21"/>
      <c r="K8807" s="21" t="s">
        <v>389</v>
      </c>
      <c r="L8807" s="21" t="s">
        <v>141</v>
      </c>
      <c r="M8807" s="21" t="s">
        <v>52</v>
      </c>
      <c r="N8807" s="21" t="s">
        <v>40</v>
      </c>
      <c r="O8807" s="21">
        <v>22</v>
      </c>
      <c r="P8807" s="21"/>
      <c r="Q8807" s="21">
        <f t="shared" si="181"/>
        <v>1</v>
      </c>
      <c r="R8807" s="21">
        <v>0</v>
      </c>
      <c r="S8807" s="21">
        <v>0</v>
      </c>
      <c r="T8807" s="21">
        <v>0</v>
      </c>
      <c r="U8807" s="21">
        <v>0</v>
      </c>
      <c r="V8807" s="21">
        <v>0</v>
      </c>
      <c r="W8807" s="21">
        <v>0</v>
      </c>
      <c r="X8807" s="21">
        <v>1</v>
      </c>
      <c r="Y8807" s="21">
        <v>0</v>
      </c>
      <c r="Z8807" s="21">
        <v>0</v>
      </c>
      <c r="AA8807" s="21">
        <v>0</v>
      </c>
      <c r="AB8807" s="21">
        <v>0</v>
      </c>
      <c r="AC8807" s="21">
        <v>0</v>
      </c>
      <c r="AD8807" s="21">
        <v>0</v>
      </c>
      <c r="AE8807" s="21">
        <v>0</v>
      </c>
      <c r="AF8807" s="21">
        <v>0</v>
      </c>
      <c r="AG8807" s="21">
        <v>0</v>
      </c>
      <c r="AH8807" s="21">
        <f t="shared" si="182"/>
        <v>0</v>
      </c>
      <c r="AI8807" s="21"/>
      <c r="AJ8807" s="21" t="s">
        <v>51</v>
      </c>
      <c r="AK8807" s="21" t="s">
        <v>95</v>
      </c>
      <c r="AL8807" s="21" t="s">
        <v>589</v>
      </c>
      <c r="AM8807" s="21" t="s">
        <v>5672</v>
      </c>
      <c r="AN8807" s="21">
        <v>-122.403604483333</v>
      </c>
      <c r="AO8807" s="21">
        <v>37.787515833333302</v>
      </c>
      <c r="AP8807" s="21" t="s">
        <v>541</v>
      </c>
    </row>
    <row r="8808" spans="1:42">
      <c r="A8808" s="22">
        <v>43879</v>
      </c>
      <c r="B8808" s="21">
        <v>2</v>
      </c>
      <c r="C8808" s="21">
        <v>815</v>
      </c>
      <c r="D8808" s="21">
        <v>14654</v>
      </c>
      <c r="E8808" s="21" t="s">
        <v>649</v>
      </c>
      <c r="F8808" s="21" t="s">
        <v>436</v>
      </c>
      <c r="G8808" s="23">
        <v>2</v>
      </c>
      <c r="H8808" s="21">
        <v>7</v>
      </c>
      <c r="I8808" s="23" t="s">
        <v>4232</v>
      </c>
      <c r="J8808" s="21"/>
      <c r="K8808" s="21" t="s">
        <v>73</v>
      </c>
      <c r="L8808" s="21" t="s">
        <v>141</v>
      </c>
      <c r="M8808" s="21" t="s">
        <v>52</v>
      </c>
      <c r="N8808" s="21" t="s">
        <v>40</v>
      </c>
      <c r="O8808" s="21">
        <v>32</v>
      </c>
      <c r="P8808" s="21"/>
      <c r="Q8808" s="21">
        <f t="shared" si="181"/>
        <v>1</v>
      </c>
      <c r="R8808" s="21">
        <v>0</v>
      </c>
      <c r="S8808" s="21">
        <v>0</v>
      </c>
      <c r="T8808" s="21">
        <v>0</v>
      </c>
      <c r="U8808" s="21">
        <v>0</v>
      </c>
      <c r="V8808" s="21">
        <v>0</v>
      </c>
      <c r="W8808" s="21">
        <v>0</v>
      </c>
      <c r="X8808" s="21">
        <v>1</v>
      </c>
      <c r="Y8808" s="21">
        <v>0</v>
      </c>
      <c r="Z8808" s="21">
        <v>0</v>
      </c>
      <c r="AA8808" s="21">
        <v>0</v>
      </c>
      <c r="AB8808" s="21">
        <v>0</v>
      </c>
      <c r="AC8808" s="21">
        <v>0</v>
      </c>
      <c r="AD8808" s="21">
        <v>0</v>
      </c>
      <c r="AE8808" s="21">
        <v>0</v>
      </c>
      <c r="AF8808" s="21">
        <v>0</v>
      </c>
      <c r="AG8808" s="21">
        <v>0</v>
      </c>
      <c r="AH8808" s="21">
        <f t="shared" si="182"/>
        <v>0</v>
      </c>
      <c r="AI8808" s="21"/>
      <c r="AJ8808" s="21" t="s">
        <v>51</v>
      </c>
      <c r="AK8808" s="21" t="s">
        <v>95</v>
      </c>
      <c r="AL8808" s="21" t="s">
        <v>589</v>
      </c>
      <c r="AM8808" s="21" t="s">
        <v>5673</v>
      </c>
      <c r="AN8808" s="21">
        <v>-122.402931833333</v>
      </c>
      <c r="AO8808" s="21">
        <v>37.788201966666698</v>
      </c>
      <c r="AP8808" s="21" t="s">
        <v>541</v>
      </c>
    </row>
    <row r="8809" spans="1:42">
      <c r="A8809" s="22">
        <v>43879</v>
      </c>
      <c r="B8809" s="21">
        <v>2</v>
      </c>
      <c r="C8809" s="21">
        <v>815</v>
      </c>
      <c r="D8809" s="21">
        <v>14654</v>
      </c>
      <c r="E8809" s="21" t="s">
        <v>649</v>
      </c>
      <c r="F8809" s="21" t="s">
        <v>436</v>
      </c>
      <c r="G8809" s="23">
        <v>2</v>
      </c>
      <c r="H8809" s="21">
        <v>8</v>
      </c>
      <c r="I8809" s="23" t="s">
        <v>4409</v>
      </c>
      <c r="J8809" s="21"/>
      <c r="K8809" s="21" t="s">
        <v>73</v>
      </c>
      <c r="L8809" s="21" t="s">
        <v>141</v>
      </c>
      <c r="M8809" s="21" t="s">
        <v>52</v>
      </c>
      <c r="N8809" s="21" t="s">
        <v>40</v>
      </c>
      <c r="O8809" s="21">
        <v>13</v>
      </c>
      <c r="P8809" s="21"/>
      <c r="Q8809" s="21">
        <f t="shared" si="181"/>
        <v>1</v>
      </c>
      <c r="R8809" s="21">
        <v>0</v>
      </c>
      <c r="S8809" s="21">
        <v>0</v>
      </c>
      <c r="T8809" s="21">
        <v>0</v>
      </c>
      <c r="U8809" s="21">
        <v>0</v>
      </c>
      <c r="V8809" s="21">
        <v>0</v>
      </c>
      <c r="W8809" s="21">
        <v>0</v>
      </c>
      <c r="X8809" s="21">
        <v>1</v>
      </c>
      <c r="Y8809" s="21">
        <v>0</v>
      </c>
      <c r="Z8809" s="21">
        <v>0</v>
      </c>
      <c r="AA8809" s="21">
        <v>0</v>
      </c>
      <c r="AB8809" s="21">
        <v>0</v>
      </c>
      <c r="AC8809" s="21">
        <v>0</v>
      </c>
      <c r="AD8809" s="21">
        <v>0</v>
      </c>
      <c r="AE8809" s="21">
        <v>0</v>
      </c>
      <c r="AF8809" s="21">
        <v>0</v>
      </c>
      <c r="AG8809" s="21">
        <v>0</v>
      </c>
      <c r="AH8809" s="21">
        <f t="shared" si="182"/>
        <v>0</v>
      </c>
      <c r="AI8809" s="21"/>
      <c r="AJ8809" s="21" t="s">
        <v>51</v>
      </c>
      <c r="AK8809" s="21" t="s">
        <v>95</v>
      </c>
      <c r="AL8809" s="21"/>
      <c r="AM8809" s="21" t="s">
        <v>5674</v>
      </c>
      <c r="AN8809" s="21">
        <v>-122.402551183333</v>
      </c>
      <c r="AO8809" s="21">
        <v>37.788470183333303</v>
      </c>
      <c r="AP8809" s="21" t="s">
        <v>541</v>
      </c>
    </row>
    <row r="8810" spans="1:42">
      <c r="A8810" s="22">
        <v>43879</v>
      </c>
      <c r="B8810" s="21">
        <v>2</v>
      </c>
      <c r="C8810" s="21">
        <v>815</v>
      </c>
      <c r="D8810" s="21">
        <v>14654</v>
      </c>
      <c r="E8810" s="21" t="s">
        <v>649</v>
      </c>
      <c r="F8810" s="21" t="s">
        <v>436</v>
      </c>
      <c r="G8810" s="23">
        <v>2</v>
      </c>
      <c r="H8810" s="21">
        <v>9</v>
      </c>
      <c r="I8810" s="23" t="s">
        <v>4270</v>
      </c>
      <c r="J8810" s="21"/>
      <c r="K8810" s="21" t="s">
        <v>399</v>
      </c>
      <c r="L8810" s="21" t="s">
        <v>114</v>
      </c>
      <c r="M8810" s="21" t="s">
        <v>52</v>
      </c>
      <c r="N8810" s="21" t="s">
        <v>40</v>
      </c>
      <c r="O8810" s="21">
        <v>17</v>
      </c>
      <c r="P8810" s="21"/>
      <c r="Q8810" s="21">
        <f t="shared" si="181"/>
        <v>1</v>
      </c>
      <c r="R8810" s="21">
        <v>0</v>
      </c>
      <c r="S8810" s="21">
        <v>0</v>
      </c>
      <c r="T8810" s="21">
        <v>0</v>
      </c>
      <c r="U8810" s="21">
        <v>0</v>
      </c>
      <c r="V8810" s="21">
        <v>0</v>
      </c>
      <c r="W8810" s="21">
        <v>0</v>
      </c>
      <c r="X8810" s="21">
        <v>1</v>
      </c>
      <c r="Y8810" s="21">
        <v>0</v>
      </c>
      <c r="Z8810" s="21">
        <v>0</v>
      </c>
      <c r="AA8810" s="21">
        <v>0</v>
      </c>
      <c r="AB8810" s="21">
        <v>0</v>
      </c>
      <c r="AC8810" s="21">
        <v>0</v>
      </c>
      <c r="AD8810" s="21">
        <v>0</v>
      </c>
      <c r="AE8810" s="21">
        <v>0</v>
      </c>
      <c r="AF8810" s="21">
        <v>0</v>
      </c>
      <c r="AG8810" s="21">
        <v>0</v>
      </c>
      <c r="AH8810" s="21">
        <f t="shared" si="182"/>
        <v>0</v>
      </c>
      <c r="AI8810" s="21"/>
      <c r="AJ8810" s="21" t="s">
        <v>51</v>
      </c>
      <c r="AK8810" s="21" t="s">
        <v>95</v>
      </c>
      <c r="AL8810" s="21"/>
      <c r="AM8810" s="21" t="s">
        <v>5675</v>
      </c>
      <c r="AN8810" s="21">
        <v>-122.402121916667</v>
      </c>
      <c r="AO8810" s="21">
        <v>37.788754383333298</v>
      </c>
      <c r="AP8810" s="21" t="s">
        <v>541</v>
      </c>
    </row>
    <row r="8811" spans="1:42">
      <c r="A8811" s="22">
        <v>43879</v>
      </c>
      <c r="B8811" s="21">
        <v>2</v>
      </c>
      <c r="C8811" s="21">
        <v>815</v>
      </c>
      <c r="D8811" s="21">
        <v>14654</v>
      </c>
      <c r="E8811" s="21" t="s">
        <v>649</v>
      </c>
      <c r="F8811" s="21" t="s">
        <v>436</v>
      </c>
      <c r="G8811" s="23">
        <v>2</v>
      </c>
      <c r="H8811" s="21">
        <v>10</v>
      </c>
      <c r="I8811" s="23" t="s">
        <v>5676</v>
      </c>
      <c r="J8811" s="21"/>
      <c r="K8811" s="21" t="s">
        <v>4271</v>
      </c>
      <c r="L8811" s="21" t="s">
        <v>114</v>
      </c>
      <c r="M8811" s="21" t="s">
        <v>52</v>
      </c>
      <c r="N8811" s="21" t="s">
        <v>40</v>
      </c>
      <c r="O8811" s="21">
        <v>29</v>
      </c>
      <c r="P8811" s="21"/>
      <c r="Q8811" s="21">
        <f t="shared" si="181"/>
        <v>1</v>
      </c>
      <c r="R8811" s="21">
        <v>0</v>
      </c>
      <c r="S8811" s="21">
        <v>0</v>
      </c>
      <c r="T8811" s="21">
        <v>0</v>
      </c>
      <c r="U8811" s="21">
        <v>0</v>
      </c>
      <c r="V8811" s="21">
        <v>0</v>
      </c>
      <c r="W8811" s="21">
        <v>0</v>
      </c>
      <c r="X8811" s="21">
        <v>1</v>
      </c>
      <c r="Y8811" s="21">
        <v>0</v>
      </c>
      <c r="Z8811" s="21">
        <v>0</v>
      </c>
      <c r="AA8811" s="21">
        <v>0</v>
      </c>
      <c r="AB8811" s="21">
        <v>0</v>
      </c>
      <c r="AC8811" s="21">
        <v>0</v>
      </c>
      <c r="AD8811" s="21">
        <v>0</v>
      </c>
      <c r="AE8811" s="21">
        <v>0</v>
      </c>
      <c r="AF8811" s="21">
        <v>0</v>
      </c>
      <c r="AG8811" s="21">
        <v>0</v>
      </c>
      <c r="AH8811" s="21">
        <f t="shared" si="182"/>
        <v>0</v>
      </c>
      <c r="AI8811" s="21"/>
      <c r="AJ8811" s="21" t="s">
        <v>51</v>
      </c>
      <c r="AK8811" s="21" t="s">
        <v>95</v>
      </c>
      <c r="AL8811" s="21" t="s">
        <v>589</v>
      </c>
      <c r="AM8811" s="21" t="s">
        <v>5677</v>
      </c>
      <c r="AN8811" s="21">
        <v>-122.400887883333</v>
      </c>
      <c r="AO8811" s="21">
        <v>37.787829883333302</v>
      </c>
      <c r="AP8811" s="21" t="s">
        <v>541</v>
      </c>
    </row>
    <row r="8812" spans="1:42">
      <c r="A8812" s="22">
        <v>43879</v>
      </c>
      <c r="B8812" s="21">
        <v>2</v>
      </c>
      <c r="C8812" s="21">
        <v>815</v>
      </c>
      <c r="D8812" s="21">
        <v>14654</v>
      </c>
      <c r="E8812" s="21" t="s">
        <v>649</v>
      </c>
      <c r="F8812" s="21" t="s">
        <v>436</v>
      </c>
      <c r="G8812" s="23">
        <v>2</v>
      </c>
      <c r="H8812" s="21">
        <v>11</v>
      </c>
      <c r="I8812" s="23" t="s">
        <v>4541</v>
      </c>
      <c r="J8812" s="21"/>
      <c r="K8812" s="21" t="s">
        <v>389</v>
      </c>
      <c r="L8812" s="21" t="s">
        <v>141</v>
      </c>
      <c r="M8812" s="21" t="s">
        <v>52</v>
      </c>
      <c r="N8812" s="21" t="s">
        <v>40</v>
      </c>
      <c r="O8812" s="21">
        <v>46</v>
      </c>
      <c r="P8812" s="21"/>
      <c r="Q8812" s="21">
        <f t="shared" si="181"/>
        <v>1</v>
      </c>
      <c r="R8812" s="21">
        <v>0</v>
      </c>
      <c r="S8812" s="21">
        <v>0</v>
      </c>
      <c r="T8812" s="21">
        <v>0</v>
      </c>
      <c r="U8812" s="21">
        <v>0</v>
      </c>
      <c r="V8812" s="21">
        <v>0</v>
      </c>
      <c r="W8812" s="21">
        <v>0</v>
      </c>
      <c r="X8812" s="21">
        <v>1</v>
      </c>
      <c r="Y8812" s="21">
        <v>0</v>
      </c>
      <c r="Z8812" s="21">
        <v>0</v>
      </c>
      <c r="AA8812" s="21">
        <v>0</v>
      </c>
      <c r="AB8812" s="21">
        <v>0</v>
      </c>
      <c r="AC8812" s="21">
        <v>0</v>
      </c>
      <c r="AD8812" s="21">
        <v>0</v>
      </c>
      <c r="AE8812" s="21">
        <v>0</v>
      </c>
      <c r="AF8812" s="21">
        <v>0</v>
      </c>
      <c r="AG8812" s="21">
        <v>0</v>
      </c>
      <c r="AH8812" s="21">
        <f t="shared" si="182"/>
        <v>0</v>
      </c>
      <c r="AI8812" s="21"/>
      <c r="AJ8812" s="21" t="s">
        <v>51</v>
      </c>
      <c r="AK8812" s="21" t="s">
        <v>95</v>
      </c>
      <c r="AL8812" s="21" t="s">
        <v>5678</v>
      </c>
      <c r="AM8812" s="21" t="s">
        <v>5679</v>
      </c>
      <c r="AN8812" s="21">
        <v>-122.40303236666701</v>
      </c>
      <c r="AO8812" s="21">
        <v>37.787058583333298</v>
      </c>
      <c r="AP8812" s="21" t="s">
        <v>541</v>
      </c>
    </row>
    <row r="8813" spans="1:42">
      <c r="A8813" s="22">
        <v>43879</v>
      </c>
      <c r="B8813" s="21">
        <v>2</v>
      </c>
      <c r="C8813" s="21">
        <v>815</v>
      </c>
      <c r="D8813" s="21">
        <v>14654</v>
      </c>
      <c r="E8813" s="21" t="s">
        <v>649</v>
      </c>
      <c r="F8813" s="21" t="s">
        <v>436</v>
      </c>
      <c r="G8813" s="23" t="s">
        <v>4270</v>
      </c>
      <c r="H8813" s="21">
        <v>12</v>
      </c>
      <c r="I8813" s="23" t="s">
        <v>5680</v>
      </c>
      <c r="J8813" s="21"/>
      <c r="K8813" t="s">
        <v>71</v>
      </c>
      <c r="L8813" s="21" t="s">
        <v>141</v>
      </c>
      <c r="M8813" s="21" t="s">
        <v>95</v>
      </c>
      <c r="N8813" s="21" t="s">
        <v>40</v>
      </c>
      <c r="O8813" s="21">
        <v>193</v>
      </c>
      <c r="P8813" s="21"/>
      <c r="Q8813" s="21">
        <f t="shared" si="181"/>
        <v>6</v>
      </c>
      <c r="R8813" s="21">
        <v>0</v>
      </c>
      <c r="S8813" s="21">
        <v>0</v>
      </c>
      <c r="T8813" s="21">
        <v>0</v>
      </c>
      <c r="U8813" s="21">
        <v>0</v>
      </c>
      <c r="V8813" s="21">
        <v>0</v>
      </c>
      <c r="W8813" s="21">
        <v>0</v>
      </c>
      <c r="X8813" s="21">
        <v>6</v>
      </c>
      <c r="Y8813" s="21">
        <v>0</v>
      </c>
      <c r="Z8813" s="21">
        <v>0</v>
      </c>
      <c r="AA8813" s="21">
        <v>0</v>
      </c>
      <c r="AB8813" s="21">
        <v>0</v>
      </c>
      <c r="AC8813" s="21">
        <v>0</v>
      </c>
      <c r="AD8813" s="21">
        <v>0</v>
      </c>
      <c r="AE8813" s="21">
        <v>0</v>
      </c>
      <c r="AF8813" s="21">
        <v>0</v>
      </c>
      <c r="AG8813" s="21">
        <v>0</v>
      </c>
      <c r="AH8813" s="21">
        <f t="shared" si="182"/>
        <v>0</v>
      </c>
      <c r="AI8813" s="21"/>
      <c r="AJ8813" s="21" t="s">
        <v>51</v>
      </c>
      <c r="AK8813" s="21" t="s">
        <v>95</v>
      </c>
      <c r="AL8813" s="21"/>
      <c r="AM8813" s="21" t="s">
        <v>5681</v>
      </c>
      <c r="AN8813" s="21">
        <v>-122.399908469667</v>
      </c>
      <c r="AO8813" s="21">
        <v>37.789388826296999</v>
      </c>
      <c r="AP8813" s="21" t="s">
        <v>541</v>
      </c>
    </row>
    <row r="8814" spans="1:42">
      <c r="A8814" s="22">
        <v>43879</v>
      </c>
      <c r="B8814" s="21">
        <v>2</v>
      </c>
      <c r="C8814" s="21">
        <v>815</v>
      </c>
      <c r="D8814" s="21">
        <v>14654</v>
      </c>
      <c r="E8814" s="21" t="s">
        <v>649</v>
      </c>
      <c r="F8814" s="21" t="s">
        <v>436</v>
      </c>
      <c r="G8814" s="23">
        <v>2</v>
      </c>
      <c r="H8814" s="21">
        <v>13</v>
      </c>
      <c r="I8814" s="23" t="s">
        <v>5682</v>
      </c>
      <c r="J8814" s="21"/>
      <c r="K8814" s="21" t="s">
        <v>46</v>
      </c>
      <c r="L8814" s="21" t="s">
        <v>114</v>
      </c>
      <c r="M8814" s="21" t="s">
        <v>95</v>
      </c>
      <c r="N8814" s="21" t="s">
        <v>40</v>
      </c>
      <c r="O8814" s="21">
        <v>139</v>
      </c>
      <c r="P8814" s="21"/>
      <c r="Q8814" s="21">
        <f t="shared" si="181"/>
        <v>4</v>
      </c>
      <c r="R8814" s="21">
        <v>0</v>
      </c>
      <c r="S8814" s="21">
        <v>0</v>
      </c>
      <c r="T8814" s="21">
        <v>0</v>
      </c>
      <c r="U8814" s="21">
        <v>0</v>
      </c>
      <c r="V8814" s="21">
        <v>0</v>
      </c>
      <c r="W8814" s="21">
        <v>0</v>
      </c>
      <c r="X8814" s="21">
        <v>4</v>
      </c>
      <c r="Y8814" s="21">
        <v>0</v>
      </c>
      <c r="Z8814" s="21">
        <v>0</v>
      </c>
      <c r="AA8814" s="21">
        <v>0</v>
      </c>
      <c r="AB8814" s="21">
        <v>0</v>
      </c>
      <c r="AC8814" s="21">
        <v>0</v>
      </c>
      <c r="AD8814" s="21">
        <v>0</v>
      </c>
      <c r="AE8814" s="21">
        <v>0</v>
      </c>
      <c r="AF8814" s="21">
        <v>0</v>
      </c>
      <c r="AG8814" s="21">
        <v>0</v>
      </c>
      <c r="AH8814" s="21">
        <f t="shared" si="182"/>
        <v>0</v>
      </c>
      <c r="AI8814" s="21"/>
      <c r="AJ8814" s="21" t="s">
        <v>51</v>
      </c>
      <c r="AK8814" s="21" t="s">
        <v>95</v>
      </c>
      <c r="AL8814" s="21"/>
      <c r="AM8814" s="21" t="s">
        <v>5683</v>
      </c>
      <c r="AN8814" s="21">
        <v>-122.40090721666699</v>
      </c>
      <c r="AO8814" s="21">
        <v>37.791158466666701</v>
      </c>
      <c r="AP8814" s="21" t="s">
        <v>541</v>
      </c>
    </row>
    <row r="8815" spans="1:42">
      <c r="A8815" s="22">
        <v>43879</v>
      </c>
      <c r="B8815" s="21">
        <v>2</v>
      </c>
      <c r="C8815" s="21">
        <v>815</v>
      </c>
      <c r="D8815" s="21">
        <v>14654</v>
      </c>
      <c r="E8815" s="21" t="s">
        <v>649</v>
      </c>
      <c r="F8815" s="21" t="s">
        <v>436</v>
      </c>
      <c r="G8815" s="23">
        <v>2</v>
      </c>
      <c r="H8815" s="21">
        <v>14</v>
      </c>
      <c r="I8815" s="23" t="s">
        <v>3448</v>
      </c>
      <c r="J8815" s="21"/>
      <c r="K8815" s="21" t="s">
        <v>46</v>
      </c>
      <c r="L8815" s="21" t="s">
        <v>141</v>
      </c>
      <c r="M8815" s="21" t="s">
        <v>52</v>
      </c>
      <c r="N8815" s="21" t="s">
        <v>40</v>
      </c>
      <c r="O8815" s="21">
        <v>16</v>
      </c>
      <c r="P8815" s="21"/>
      <c r="Q8815" s="21">
        <f t="shared" si="181"/>
        <v>1</v>
      </c>
      <c r="R8815" s="21">
        <v>0</v>
      </c>
      <c r="S8815" s="21">
        <v>0</v>
      </c>
      <c r="T8815" s="21">
        <v>0</v>
      </c>
      <c r="U8815" s="21">
        <v>0</v>
      </c>
      <c r="V8815" s="21">
        <v>0</v>
      </c>
      <c r="W8815" s="21">
        <v>0</v>
      </c>
      <c r="X8815" s="21">
        <v>1</v>
      </c>
      <c r="Y8815" s="21">
        <v>0</v>
      </c>
      <c r="Z8815" s="21">
        <v>0</v>
      </c>
      <c r="AA8815" s="21">
        <v>0</v>
      </c>
      <c r="AB8815" s="21">
        <v>0</v>
      </c>
      <c r="AC8815" s="21">
        <v>0</v>
      </c>
      <c r="AD8815" s="21">
        <v>0</v>
      </c>
      <c r="AE8815" s="21">
        <v>0</v>
      </c>
      <c r="AF8815" s="21">
        <v>0</v>
      </c>
      <c r="AG8815" s="21">
        <v>0</v>
      </c>
      <c r="AH8815" s="21">
        <f t="shared" si="182"/>
        <v>0</v>
      </c>
      <c r="AI8815" s="21"/>
      <c r="AJ8815" s="21" t="s">
        <v>51</v>
      </c>
      <c r="AK8815" s="21" t="s">
        <v>95</v>
      </c>
      <c r="AL8815" s="21"/>
      <c r="AM8815" s="21" t="s">
        <v>5684</v>
      </c>
      <c r="AN8815" s="21">
        <v>-122.399719666667</v>
      </c>
      <c r="AO8815" s="21">
        <v>37.790986983333298</v>
      </c>
      <c r="AP8815" s="21" t="s">
        <v>541</v>
      </c>
    </row>
    <row r="8816" spans="1:42">
      <c r="A8816" s="22">
        <v>43879</v>
      </c>
      <c r="B8816" s="21">
        <v>2</v>
      </c>
      <c r="C8816" s="21">
        <v>815</v>
      </c>
      <c r="D8816" s="21">
        <v>14654</v>
      </c>
      <c r="E8816" s="21" t="s">
        <v>649</v>
      </c>
      <c r="F8816" s="21" t="s">
        <v>436</v>
      </c>
      <c r="G8816" s="23">
        <v>2</v>
      </c>
      <c r="H8816" s="21">
        <v>15</v>
      </c>
      <c r="I8816" s="23" t="s">
        <v>5103</v>
      </c>
      <c r="J8816" s="21"/>
      <c r="K8816" s="21" t="s">
        <v>60</v>
      </c>
      <c r="L8816" s="21" t="s">
        <v>141</v>
      </c>
      <c r="M8816" s="21" t="s">
        <v>52</v>
      </c>
      <c r="N8816" s="21" t="s">
        <v>40</v>
      </c>
      <c r="O8816" s="21">
        <v>13</v>
      </c>
      <c r="P8816" s="21"/>
      <c r="Q8816" s="21">
        <f t="shared" si="181"/>
        <v>1</v>
      </c>
      <c r="R8816" s="21">
        <v>0</v>
      </c>
      <c r="S8816" s="21">
        <v>0</v>
      </c>
      <c r="T8816" s="21">
        <v>0</v>
      </c>
      <c r="U8816" s="21">
        <v>0</v>
      </c>
      <c r="V8816" s="21">
        <v>0</v>
      </c>
      <c r="W8816" s="21">
        <v>0</v>
      </c>
      <c r="X8816" s="21">
        <v>1</v>
      </c>
      <c r="Y8816" s="21">
        <v>0</v>
      </c>
      <c r="Z8816" s="21">
        <v>0</v>
      </c>
      <c r="AA8816" s="21">
        <v>0</v>
      </c>
      <c r="AB8816" s="21">
        <v>0</v>
      </c>
      <c r="AC8816" s="21">
        <v>0</v>
      </c>
      <c r="AD8816" s="21">
        <v>0</v>
      </c>
      <c r="AE8816" s="21">
        <v>0</v>
      </c>
      <c r="AF8816" s="21">
        <v>0</v>
      </c>
      <c r="AG8816" s="21">
        <v>0</v>
      </c>
      <c r="AH8816" s="21">
        <f t="shared" si="182"/>
        <v>0</v>
      </c>
      <c r="AI8816" s="21"/>
      <c r="AJ8816" s="21" t="s">
        <v>51</v>
      </c>
      <c r="AK8816" s="21" t="s">
        <v>95</v>
      </c>
      <c r="AL8816" s="21"/>
      <c r="AM8816" s="21" t="s">
        <v>5685</v>
      </c>
      <c r="AN8816" s="21">
        <v>-122.39889255</v>
      </c>
      <c r="AO8816" s="21">
        <v>37.790634333333301</v>
      </c>
      <c r="AP8816" s="21" t="s">
        <v>541</v>
      </c>
    </row>
    <row r="8817" spans="1:42">
      <c r="A8817" s="22">
        <v>43879</v>
      </c>
      <c r="B8817" s="21">
        <v>2</v>
      </c>
      <c r="C8817" s="21">
        <v>815</v>
      </c>
      <c r="D8817" s="21">
        <v>14654</v>
      </c>
      <c r="E8817" s="21" t="s">
        <v>649</v>
      </c>
      <c r="F8817" s="21" t="s">
        <v>436</v>
      </c>
      <c r="G8817" s="23">
        <v>2</v>
      </c>
      <c r="H8817" s="21">
        <v>16</v>
      </c>
      <c r="I8817" s="23" t="s">
        <v>3508</v>
      </c>
      <c r="J8817" s="21"/>
      <c r="K8817" s="21" t="s">
        <v>58</v>
      </c>
      <c r="L8817" s="21" t="s">
        <v>114</v>
      </c>
      <c r="M8817" s="21" t="s">
        <v>52</v>
      </c>
      <c r="N8817" s="21" t="s">
        <v>40</v>
      </c>
      <c r="O8817" s="21">
        <v>13</v>
      </c>
      <c r="P8817" s="21"/>
      <c r="Q8817" s="21">
        <f t="shared" si="181"/>
        <v>1</v>
      </c>
      <c r="R8817" s="21">
        <v>0</v>
      </c>
      <c r="S8817" s="21">
        <v>0</v>
      </c>
      <c r="T8817" s="21">
        <v>0</v>
      </c>
      <c r="U8817" s="21">
        <v>0</v>
      </c>
      <c r="V8817" s="21">
        <v>0</v>
      </c>
      <c r="W8817" s="21">
        <v>0</v>
      </c>
      <c r="X8817" s="21">
        <v>1</v>
      </c>
      <c r="Y8817" s="21">
        <v>0</v>
      </c>
      <c r="Z8817" s="21">
        <v>0</v>
      </c>
      <c r="AA8817" s="21">
        <v>0</v>
      </c>
      <c r="AB8817" s="21">
        <v>0</v>
      </c>
      <c r="AC8817" s="21">
        <v>0</v>
      </c>
      <c r="AD8817" s="21">
        <v>0</v>
      </c>
      <c r="AE8817" s="21">
        <v>0</v>
      </c>
      <c r="AF8817" s="21">
        <v>0</v>
      </c>
      <c r="AG8817" s="21">
        <v>0</v>
      </c>
      <c r="AH8817" s="21">
        <f t="shared" si="182"/>
        <v>0</v>
      </c>
      <c r="AI8817" s="21"/>
      <c r="AJ8817" s="21" t="s">
        <v>51</v>
      </c>
      <c r="AK8817" s="21" t="s">
        <v>95</v>
      </c>
      <c r="AL8817" s="21"/>
      <c r="AM8817" s="21" t="s">
        <v>5686</v>
      </c>
      <c r="AN8817" s="21">
        <v>-122.400195</v>
      </c>
      <c r="AO8817" s="21">
        <v>37.790046566666597</v>
      </c>
      <c r="AP8817" s="21" t="s">
        <v>541</v>
      </c>
    </row>
    <row r="8818" spans="1:42">
      <c r="A8818" s="22">
        <v>43879</v>
      </c>
      <c r="B8818" s="21">
        <v>2</v>
      </c>
      <c r="C8818" s="21">
        <v>815</v>
      </c>
      <c r="D8818" s="21">
        <v>14654</v>
      </c>
      <c r="E8818" s="21" t="s">
        <v>649</v>
      </c>
      <c r="F8818" s="21" t="s">
        <v>436</v>
      </c>
      <c r="G8818" s="23">
        <v>2</v>
      </c>
      <c r="H8818" s="21">
        <v>17</v>
      </c>
      <c r="I8818" s="23" t="s">
        <v>5687</v>
      </c>
      <c r="J8818" s="21"/>
      <c r="K8818" s="21" t="s">
        <v>58</v>
      </c>
      <c r="L8818" s="21" t="s">
        <v>114</v>
      </c>
      <c r="M8818" s="21" t="s">
        <v>95</v>
      </c>
      <c r="N8818" s="21" t="s">
        <v>40</v>
      </c>
      <c r="O8818" s="21">
        <v>197</v>
      </c>
      <c r="P8818" s="21"/>
      <c r="Q8818" s="21">
        <f t="shared" si="181"/>
        <v>3</v>
      </c>
      <c r="R8818" s="21">
        <v>0</v>
      </c>
      <c r="S8818" s="21">
        <v>0</v>
      </c>
      <c r="T8818" s="21">
        <v>0</v>
      </c>
      <c r="U8818" s="21">
        <v>0</v>
      </c>
      <c r="V8818" s="21">
        <v>0</v>
      </c>
      <c r="W8818" s="21">
        <v>0</v>
      </c>
      <c r="X8818" s="21">
        <v>3</v>
      </c>
      <c r="Y8818" s="21">
        <v>0</v>
      </c>
      <c r="Z8818" s="21">
        <v>0</v>
      </c>
      <c r="AA8818" s="21">
        <v>0</v>
      </c>
      <c r="AB8818" s="21">
        <v>0</v>
      </c>
      <c r="AC8818" s="21">
        <v>0</v>
      </c>
      <c r="AD8818" s="21">
        <v>0</v>
      </c>
      <c r="AE8818" s="21">
        <v>0</v>
      </c>
      <c r="AF8818" s="21">
        <v>0</v>
      </c>
      <c r="AG8818" s="21">
        <v>0</v>
      </c>
      <c r="AH8818" s="21">
        <f t="shared" si="182"/>
        <v>0</v>
      </c>
      <c r="AI8818" s="21"/>
      <c r="AJ8818" s="21" t="s">
        <v>51</v>
      </c>
      <c r="AK8818" s="21" t="s">
        <v>95</v>
      </c>
      <c r="AL8818" s="21"/>
      <c r="AM8818" s="21" t="s">
        <v>5688</v>
      </c>
      <c r="AN8818" s="21">
        <v>-122.40058386666701</v>
      </c>
      <c r="AO8818" s="21">
        <v>37.792113366666698</v>
      </c>
      <c r="AP8818" s="21" t="s">
        <v>541</v>
      </c>
    </row>
    <row r="8819" spans="1:42">
      <c r="A8819" s="22">
        <v>43879</v>
      </c>
      <c r="B8819" s="21">
        <v>2</v>
      </c>
      <c r="C8819" s="21">
        <v>815</v>
      </c>
      <c r="D8819" s="21">
        <v>14654</v>
      </c>
      <c r="E8819" s="21" t="s">
        <v>649</v>
      </c>
      <c r="F8819" s="21" t="s">
        <v>436</v>
      </c>
      <c r="G8819" s="23">
        <v>2</v>
      </c>
      <c r="H8819" s="21">
        <v>18</v>
      </c>
      <c r="I8819" s="23" t="s">
        <v>5689</v>
      </c>
      <c r="J8819" s="21"/>
      <c r="K8819" s="21" t="s">
        <v>69</v>
      </c>
      <c r="L8819" s="21" t="s">
        <v>114</v>
      </c>
      <c r="M8819" s="21" t="s">
        <v>95</v>
      </c>
      <c r="N8819" s="21" t="s">
        <v>40</v>
      </c>
      <c r="O8819" s="21">
        <v>140</v>
      </c>
      <c r="P8819" s="21"/>
      <c r="Q8819" s="21">
        <f t="shared" si="181"/>
        <v>3</v>
      </c>
      <c r="R8819" s="21">
        <v>0</v>
      </c>
      <c r="S8819" s="21">
        <v>0</v>
      </c>
      <c r="T8819" s="21">
        <v>0</v>
      </c>
      <c r="U8819" s="21">
        <v>0</v>
      </c>
      <c r="V8819" s="21">
        <v>0</v>
      </c>
      <c r="W8819" s="21">
        <v>0</v>
      </c>
      <c r="X8819" s="21">
        <v>3</v>
      </c>
      <c r="Y8819" s="21">
        <v>0</v>
      </c>
      <c r="Z8819" s="21">
        <v>0</v>
      </c>
      <c r="AA8819" s="21">
        <v>0</v>
      </c>
      <c r="AB8819" s="21">
        <v>0</v>
      </c>
      <c r="AC8819" s="21">
        <v>0</v>
      </c>
      <c r="AD8819" s="21">
        <v>0</v>
      </c>
      <c r="AE8819" s="21">
        <v>0</v>
      </c>
      <c r="AF8819" s="21">
        <v>0</v>
      </c>
      <c r="AG8819" s="21">
        <v>0</v>
      </c>
      <c r="AH8819" s="21">
        <f t="shared" si="182"/>
        <v>0</v>
      </c>
      <c r="AI8819" s="21"/>
      <c r="AJ8819" s="21" t="s">
        <v>51</v>
      </c>
      <c r="AK8819" s="21" t="s">
        <v>95</v>
      </c>
      <c r="AL8819" s="21"/>
      <c r="AM8819" s="21" t="s">
        <v>5690</v>
      </c>
      <c r="AN8819" s="21">
        <v>-122.401126116667</v>
      </c>
      <c r="AO8819" s="21">
        <v>37.792670483333303</v>
      </c>
      <c r="AP8819" s="21" t="s">
        <v>541</v>
      </c>
    </row>
    <row r="8820" spans="1:42">
      <c r="A8820" s="22">
        <v>43879</v>
      </c>
      <c r="B8820" s="21">
        <v>2</v>
      </c>
      <c r="C8820" s="21">
        <v>815</v>
      </c>
      <c r="D8820" s="21">
        <v>14654</v>
      </c>
      <c r="E8820" s="21" t="s">
        <v>649</v>
      </c>
      <c r="F8820" s="21" t="s">
        <v>436</v>
      </c>
      <c r="G8820" s="23">
        <v>2</v>
      </c>
      <c r="H8820" s="21">
        <v>20</v>
      </c>
      <c r="I8820" s="23" t="s">
        <v>3200</v>
      </c>
      <c r="J8820" s="21"/>
      <c r="K8820" s="21" t="s">
        <v>73</v>
      </c>
      <c r="L8820" s="21" t="s">
        <v>141</v>
      </c>
      <c r="M8820" s="21" t="s">
        <v>52</v>
      </c>
      <c r="N8820" s="21" t="s">
        <v>40</v>
      </c>
      <c r="O8820" s="21">
        <v>171</v>
      </c>
      <c r="P8820" s="21"/>
      <c r="Q8820" s="21">
        <f t="shared" si="181"/>
        <v>1</v>
      </c>
      <c r="R8820" s="21">
        <v>0</v>
      </c>
      <c r="S8820" s="21">
        <v>0</v>
      </c>
      <c r="T8820" s="21">
        <v>0</v>
      </c>
      <c r="U8820" s="21">
        <v>0</v>
      </c>
      <c r="V8820" s="21">
        <v>0</v>
      </c>
      <c r="W8820" s="21">
        <v>0</v>
      </c>
      <c r="X8820" s="21">
        <v>1</v>
      </c>
      <c r="Y8820" s="21">
        <v>0</v>
      </c>
      <c r="Z8820" s="21">
        <v>0</v>
      </c>
      <c r="AA8820" s="21">
        <v>0</v>
      </c>
      <c r="AB8820" s="21">
        <v>0</v>
      </c>
      <c r="AC8820" s="21">
        <v>0</v>
      </c>
      <c r="AD8820" s="21">
        <v>0</v>
      </c>
      <c r="AE8820" s="21">
        <v>0</v>
      </c>
      <c r="AF8820" s="21">
        <v>0</v>
      </c>
      <c r="AG8820" s="21">
        <v>0</v>
      </c>
      <c r="AH8820" s="21">
        <f t="shared" si="182"/>
        <v>0</v>
      </c>
      <c r="AI8820" s="21"/>
      <c r="AJ8820" s="21" t="s">
        <v>51</v>
      </c>
      <c r="AK8820" s="21" t="s">
        <v>95</v>
      </c>
      <c r="AL8820" s="21"/>
      <c r="AM8820" s="21" t="s">
        <v>5691</v>
      </c>
      <c r="AN8820" s="21">
        <v>-122.40211530000001</v>
      </c>
      <c r="AO8820" s="21">
        <v>37.788740333333301</v>
      </c>
      <c r="AP8820" s="21" t="s">
        <v>541</v>
      </c>
    </row>
    <row r="8821" spans="1:42">
      <c r="A8821" s="22">
        <v>43879</v>
      </c>
      <c r="B8821" s="21">
        <v>2</v>
      </c>
      <c r="C8821" s="21">
        <v>815</v>
      </c>
      <c r="D8821" s="21">
        <v>14654</v>
      </c>
      <c r="E8821" s="21" t="s">
        <v>649</v>
      </c>
      <c r="F8821" s="21" t="s">
        <v>436</v>
      </c>
      <c r="G8821" s="23">
        <v>2</v>
      </c>
      <c r="H8821" s="21">
        <v>21</v>
      </c>
      <c r="I8821" s="23" t="s">
        <v>3214</v>
      </c>
      <c r="J8821" s="21"/>
      <c r="K8821" s="21" t="s">
        <v>73</v>
      </c>
      <c r="L8821" s="21" t="s">
        <v>114</v>
      </c>
      <c r="M8821" s="21" t="s">
        <v>52</v>
      </c>
      <c r="N8821" s="21" t="s">
        <v>40</v>
      </c>
      <c r="O8821" s="21">
        <v>18</v>
      </c>
      <c r="P8821" s="21"/>
      <c r="Q8821" s="21">
        <f t="shared" si="181"/>
        <v>1</v>
      </c>
      <c r="R8821" s="21">
        <v>0</v>
      </c>
      <c r="S8821" s="21">
        <v>0</v>
      </c>
      <c r="T8821" s="21">
        <v>0</v>
      </c>
      <c r="U8821" s="21">
        <v>0</v>
      </c>
      <c r="V8821" s="21">
        <v>0</v>
      </c>
      <c r="W8821" s="21">
        <v>0</v>
      </c>
      <c r="X8821" s="21">
        <v>1</v>
      </c>
      <c r="Y8821" s="21">
        <v>0</v>
      </c>
      <c r="Z8821" s="21">
        <v>0</v>
      </c>
      <c r="AA8821" s="21">
        <v>0</v>
      </c>
      <c r="AB8821" s="21">
        <v>0</v>
      </c>
      <c r="AC8821" s="21">
        <v>0</v>
      </c>
      <c r="AD8821" s="21">
        <v>0</v>
      </c>
      <c r="AE8821" s="21">
        <v>0</v>
      </c>
      <c r="AF8821" s="21">
        <v>0</v>
      </c>
      <c r="AG8821" s="21">
        <v>0</v>
      </c>
      <c r="AH8821" s="21">
        <f t="shared" si="182"/>
        <v>0</v>
      </c>
      <c r="AI8821" s="21"/>
      <c r="AJ8821" s="21" t="s">
        <v>51</v>
      </c>
      <c r="AK8821" s="21" t="s">
        <v>95</v>
      </c>
      <c r="AL8821" s="21"/>
      <c r="AM8821" s="21" t="s">
        <v>5692</v>
      </c>
      <c r="AN8821" s="21">
        <v>-122.3967731</v>
      </c>
      <c r="AO8821" s="21">
        <v>37.793198250000003</v>
      </c>
      <c r="AP8821" s="21" t="s">
        <v>541</v>
      </c>
    </row>
    <row r="8822" spans="1:42">
      <c r="A8822" s="22">
        <v>43879</v>
      </c>
      <c r="B8822" s="21">
        <v>2</v>
      </c>
      <c r="C8822" s="21">
        <v>815</v>
      </c>
      <c r="D8822" s="21">
        <v>14654</v>
      </c>
      <c r="E8822" s="21" t="s">
        <v>649</v>
      </c>
      <c r="F8822" s="21" t="s">
        <v>436</v>
      </c>
      <c r="G8822" s="23">
        <v>2</v>
      </c>
      <c r="H8822" s="21">
        <v>22</v>
      </c>
      <c r="I8822" s="23" t="s">
        <v>3508</v>
      </c>
      <c r="J8822" s="21"/>
      <c r="K8822" s="21" t="s">
        <v>491</v>
      </c>
      <c r="L8822" s="21" t="s">
        <v>114</v>
      </c>
      <c r="M8822" s="21" t="s">
        <v>52</v>
      </c>
      <c r="N8822" s="21" t="s">
        <v>40</v>
      </c>
      <c r="O8822" s="21">
        <v>224</v>
      </c>
      <c r="P8822" s="21"/>
      <c r="Q8822" s="21">
        <f t="shared" si="181"/>
        <v>3</v>
      </c>
      <c r="R8822" s="21">
        <v>0</v>
      </c>
      <c r="S8822" s="21">
        <v>0</v>
      </c>
      <c r="T8822" s="21">
        <v>0</v>
      </c>
      <c r="U8822" s="21">
        <v>0</v>
      </c>
      <c r="V8822" s="21">
        <v>0</v>
      </c>
      <c r="W8822" s="21">
        <v>0</v>
      </c>
      <c r="X8822" s="21">
        <v>3</v>
      </c>
      <c r="Y8822" s="21">
        <v>0</v>
      </c>
      <c r="Z8822" s="21">
        <v>0</v>
      </c>
      <c r="AA8822" s="21">
        <v>0</v>
      </c>
      <c r="AB8822" s="21">
        <v>0</v>
      </c>
      <c r="AC8822" s="21">
        <v>0</v>
      </c>
      <c r="AD8822" s="21">
        <v>0</v>
      </c>
      <c r="AE8822" s="21">
        <v>0</v>
      </c>
      <c r="AF8822" s="21">
        <v>0</v>
      </c>
      <c r="AG8822" s="21">
        <v>0</v>
      </c>
      <c r="AH8822" s="21">
        <f t="shared" si="182"/>
        <v>0</v>
      </c>
      <c r="AI8822" s="21"/>
      <c r="AJ8822" s="21" t="s">
        <v>51</v>
      </c>
      <c r="AK8822" s="21" t="s">
        <v>95</v>
      </c>
      <c r="AL8822" s="21"/>
      <c r="AM8822" s="21" t="s">
        <v>5693</v>
      </c>
      <c r="AN8822" s="21">
        <v>-122.39193375000001</v>
      </c>
      <c r="AO8822" s="21">
        <v>37.792329366666699</v>
      </c>
      <c r="AP8822" s="21" t="s">
        <v>541</v>
      </c>
    </row>
    <row r="8823" spans="1:42">
      <c r="A8823" s="22">
        <v>43879</v>
      </c>
      <c r="B8823" s="21">
        <v>2</v>
      </c>
      <c r="C8823" s="21">
        <v>815</v>
      </c>
      <c r="D8823" s="21">
        <v>14654</v>
      </c>
      <c r="E8823" s="21" t="s">
        <v>649</v>
      </c>
      <c r="F8823" s="21" t="s">
        <v>436</v>
      </c>
      <c r="G8823" s="23">
        <v>2</v>
      </c>
      <c r="H8823" s="21">
        <v>23</v>
      </c>
      <c r="I8823" s="23" t="s">
        <v>3448</v>
      </c>
      <c r="J8823" s="21"/>
      <c r="K8823" s="21" t="s">
        <v>386</v>
      </c>
      <c r="L8823" s="21" t="s">
        <v>141</v>
      </c>
      <c r="M8823" s="21" t="s">
        <v>52</v>
      </c>
      <c r="N8823" s="21" t="s">
        <v>40</v>
      </c>
      <c r="O8823" s="21">
        <v>16</v>
      </c>
      <c r="P8823" s="21"/>
      <c r="Q8823" s="21">
        <f t="shared" si="181"/>
        <v>1</v>
      </c>
      <c r="R8823" s="21">
        <v>0</v>
      </c>
      <c r="S8823" s="21">
        <v>0</v>
      </c>
      <c r="T8823" s="21">
        <v>0</v>
      </c>
      <c r="U8823" s="21">
        <v>0</v>
      </c>
      <c r="V8823" s="21">
        <v>0</v>
      </c>
      <c r="W8823" s="21">
        <v>0</v>
      </c>
      <c r="X8823" s="21">
        <v>1</v>
      </c>
      <c r="Y8823" s="21">
        <v>0</v>
      </c>
      <c r="Z8823" s="21">
        <v>0</v>
      </c>
      <c r="AA8823" s="21">
        <v>0</v>
      </c>
      <c r="AB8823" s="21">
        <v>0</v>
      </c>
      <c r="AC8823" s="21">
        <v>0</v>
      </c>
      <c r="AD8823" s="21">
        <v>0</v>
      </c>
      <c r="AE8823" s="21">
        <v>0</v>
      </c>
      <c r="AF8823" s="21">
        <v>0</v>
      </c>
      <c r="AG8823" s="21">
        <v>0</v>
      </c>
      <c r="AH8823" s="21">
        <f t="shared" si="182"/>
        <v>0</v>
      </c>
      <c r="AI8823" s="21"/>
      <c r="AJ8823" s="21" t="s">
        <v>51</v>
      </c>
      <c r="AK8823" s="21" t="s">
        <v>95</v>
      </c>
      <c r="AL8823" s="21"/>
      <c r="AM8823" s="21" t="s">
        <v>5694</v>
      </c>
      <c r="AN8823" s="21">
        <v>-122.392612883333</v>
      </c>
      <c r="AO8823" s="21">
        <v>37.794003383333298</v>
      </c>
      <c r="AP8823" s="21" t="s">
        <v>541</v>
      </c>
    </row>
    <row r="8824" spans="1:42">
      <c r="A8824" s="22">
        <v>43879</v>
      </c>
      <c r="B8824" s="21">
        <v>2</v>
      </c>
      <c r="C8824" s="21">
        <v>815</v>
      </c>
      <c r="D8824" s="21">
        <v>14654</v>
      </c>
      <c r="E8824" s="21" t="s">
        <v>649</v>
      </c>
      <c r="F8824" s="21" t="s">
        <v>436</v>
      </c>
      <c r="G8824" s="23">
        <v>2</v>
      </c>
      <c r="H8824" s="21">
        <v>24</v>
      </c>
      <c r="I8824" s="23" t="s">
        <v>5695</v>
      </c>
      <c r="J8824" s="21"/>
      <c r="K8824" s="21" t="s">
        <v>386</v>
      </c>
      <c r="L8824" s="21" t="s">
        <v>141</v>
      </c>
      <c r="M8824" s="21" t="s">
        <v>52</v>
      </c>
      <c r="N8824" s="21" t="s">
        <v>40</v>
      </c>
      <c r="O8824" s="21">
        <v>14</v>
      </c>
      <c r="P8824" s="21"/>
      <c r="Q8824" s="21">
        <f t="shared" si="181"/>
        <v>1</v>
      </c>
      <c r="R8824" s="21">
        <v>0</v>
      </c>
      <c r="S8824" s="21">
        <v>0</v>
      </c>
      <c r="T8824" s="21">
        <v>0</v>
      </c>
      <c r="U8824" s="21">
        <v>0</v>
      </c>
      <c r="V8824" s="21">
        <v>0</v>
      </c>
      <c r="W8824" s="21">
        <v>0</v>
      </c>
      <c r="X8824" s="21">
        <v>1</v>
      </c>
      <c r="Y8824" s="21">
        <v>0</v>
      </c>
      <c r="Z8824" s="21">
        <v>0</v>
      </c>
      <c r="AA8824" s="21">
        <v>0</v>
      </c>
      <c r="AB8824" s="21">
        <v>0</v>
      </c>
      <c r="AC8824" s="21">
        <v>0</v>
      </c>
      <c r="AD8824" s="21">
        <v>0</v>
      </c>
      <c r="AE8824" s="21">
        <v>0</v>
      </c>
      <c r="AF8824" s="21">
        <v>0</v>
      </c>
      <c r="AG8824" s="21">
        <v>0</v>
      </c>
      <c r="AH8824" s="21">
        <f t="shared" si="182"/>
        <v>0</v>
      </c>
      <c r="AI8824" s="21"/>
      <c r="AJ8824" s="21" t="s">
        <v>51</v>
      </c>
      <c r="AK8824" s="21" t="s">
        <v>95</v>
      </c>
      <c r="AL8824" s="21"/>
      <c r="AM8824" s="21" t="s">
        <v>5696</v>
      </c>
      <c r="AN8824" s="21">
        <v>-122.394532916667</v>
      </c>
      <c r="AO8824" s="21">
        <v>37.796022833333303</v>
      </c>
      <c r="AP8824" s="21" t="s">
        <v>541</v>
      </c>
    </row>
    <row r="8825" spans="1:42">
      <c r="A8825" s="22">
        <v>43879</v>
      </c>
      <c r="B8825" s="21">
        <v>2</v>
      </c>
      <c r="C8825" s="21">
        <v>815</v>
      </c>
      <c r="D8825" s="21">
        <v>14654</v>
      </c>
      <c r="E8825" s="21" t="s">
        <v>649</v>
      </c>
      <c r="F8825" s="21" t="s">
        <v>436</v>
      </c>
      <c r="G8825" s="23">
        <v>2</v>
      </c>
      <c r="H8825" s="21">
        <v>25</v>
      </c>
      <c r="I8825" s="23" t="s">
        <v>5697</v>
      </c>
      <c r="J8825" s="21"/>
      <c r="K8825" s="21" t="s">
        <v>5698</v>
      </c>
      <c r="L8825" s="21" t="s">
        <v>141</v>
      </c>
      <c r="M8825" s="21" t="s">
        <v>52</v>
      </c>
      <c r="N8825" s="21" t="s">
        <v>40</v>
      </c>
      <c r="O8825" s="21">
        <v>13</v>
      </c>
      <c r="P8825" s="21"/>
      <c r="Q8825" s="21">
        <f t="shared" si="181"/>
        <v>1</v>
      </c>
      <c r="R8825" s="21">
        <v>0</v>
      </c>
      <c r="S8825" s="21">
        <v>0</v>
      </c>
      <c r="T8825" s="21">
        <v>0</v>
      </c>
      <c r="U8825" s="21">
        <v>0</v>
      </c>
      <c r="V8825" s="21">
        <v>0</v>
      </c>
      <c r="W8825" s="21">
        <v>0</v>
      </c>
      <c r="X8825" s="21">
        <v>1</v>
      </c>
      <c r="Y8825" s="21">
        <v>0</v>
      </c>
      <c r="Z8825" s="21">
        <v>0</v>
      </c>
      <c r="AA8825" s="21">
        <v>0</v>
      </c>
      <c r="AB8825" s="21">
        <v>0</v>
      </c>
      <c r="AC8825" s="21">
        <v>0</v>
      </c>
      <c r="AD8825" s="21">
        <v>0</v>
      </c>
      <c r="AE8825" s="21">
        <v>0</v>
      </c>
      <c r="AF8825" s="21">
        <v>0</v>
      </c>
      <c r="AG8825" s="21">
        <v>0</v>
      </c>
      <c r="AH8825" s="21">
        <f t="shared" si="182"/>
        <v>0</v>
      </c>
      <c r="AI8825" s="21"/>
      <c r="AJ8825" s="21" t="s">
        <v>51</v>
      </c>
      <c r="AK8825" s="21" t="s">
        <v>95</v>
      </c>
      <c r="AL8825" s="21"/>
      <c r="AM8825" s="21" t="s">
        <v>5699</v>
      </c>
      <c r="AN8825" s="21">
        <v>-122.395406466667</v>
      </c>
      <c r="AO8825" s="21">
        <v>37.797066916666701</v>
      </c>
      <c r="AP8825" s="21" t="s">
        <v>541</v>
      </c>
    </row>
    <row r="8826" spans="1:42">
      <c r="A8826" s="22">
        <v>43879</v>
      </c>
      <c r="B8826" s="21">
        <v>2</v>
      </c>
      <c r="C8826" s="21">
        <v>815</v>
      </c>
      <c r="D8826" s="21">
        <v>14654</v>
      </c>
      <c r="E8826" s="21" t="s">
        <v>649</v>
      </c>
      <c r="F8826" s="21" t="s">
        <v>436</v>
      </c>
      <c r="G8826" s="23">
        <v>2</v>
      </c>
      <c r="H8826" s="21">
        <v>26</v>
      </c>
      <c r="I8826" s="23" t="s">
        <v>5700</v>
      </c>
      <c r="J8826" s="21"/>
      <c r="K8826" s="21" t="s">
        <v>5698</v>
      </c>
      <c r="L8826" s="21" t="s">
        <v>141</v>
      </c>
      <c r="M8826" s="21" t="s">
        <v>52</v>
      </c>
      <c r="N8826" s="21" t="s">
        <v>40</v>
      </c>
      <c r="O8826" s="21">
        <v>14</v>
      </c>
      <c r="P8826" s="21"/>
      <c r="Q8826" s="21">
        <f t="shared" si="181"/>
        <v>0</v>
      </c>
      <c r="R8826" s="21">
        <v>0</v>
      </c>
      <c r="S8826" s="21">
        <v>0</v>
      </c>
      <c r="T8826" s="21">
        <v>0</v>
      </c>
      <c r="U8826" s="21">
        <v>0</v>
      </c>
      <c r="V8826" s="21">
        <v>0</v>
      </c>
      <c r="W8826" s="21">
        <v>0</v>
      </c>
      <c r="X8826" s="21">
        <v>0</v>
      </c>
      <c r="Y8826" s="21">
        <v>0</v>
      </c>
      <c r="Z8826" s="21">
        <v>0</v>
      </c>
      <c r="AA8826" s="21">
        <v>0</v>
      </c>
      <c r="AB8826" s="21">
        <v>0</v>
      </c>
      <c r="AC8826" s="21">
        <v>0</v>
      </c>
      <c r="AD8826" s="21">
        <v>0</v>
      </c>
      <c r="AE8826" s="21">
        <v>0</v>
      </c>
      <c r="AF8826" s="21">
        <v>0</v>
      </c>
      <c r="AG8826" s="21">
        <v>0</v>
      </c>
      <c r="AH8826" s="21">
        <f t="shared" si="182"/>
        <v>0</v>
      </c>
      <c r="AI8826" s="21"/>
      <c r="AJ8826" s="21" t="s">
        <v>51</v>
      </c>
      <c r="AK8826" s="21" t="s">
        <v>95</v>
      </c>
      <c r="AL8826" s="21"/>
      <c r="AM8826" s="21" t="s">
        <v>5701</v>
      </c>
      <c r="AN8826" s="21">
        <v>-122.397486683333</v>
      </c>
      <c r="AO8826" s="21">
        <v>37.799289116666699</v>
      </c>
      <c r="AP8826" s="21" t="s">
        <v>541</v>
      </c>
    </row>
    <row r="8827" spans="1:42">
      <c r="A8827" s="22">
        <v>43879</v>
      </c>
      <c r="B8827" s="21">
        <v>2</v>
      </c>
      <c r="C8827" s="21">
        <v>815</v>
      </c>
      <c r="D8827" s="21">
        <v>14654</v>
      </c>
      <c r="E8827" s="21" t="s">
        <v>649</v>
      </c>
      <c r="F8827" s="21" t="s">
        <v>436</v>
      </c>
      <c r="G8827" s="23">
        <v>2</v>
      </c>
      <c r="H8827" s="21">
        <v>27</v>
      </c>
      <c r="I8827" s="23" t="s">
        <v>5700</v>
      </c>
      <c r="J8827" s="21"/>
      <c r="K8827" s="21" t="s">
        <v>5698</v>
      </c>
      <c r="L8827" s="21" t="s">
        <v>141</v>
      </c>
      <c r="M8827" s="21" t="s">
        <v>52</v>
      </c>
      <c r="N8827" s="21" t="s">
        <v>40</v>
      </c>
      <c r="O8827" s="21">
        <v>12</v>
      </c>
      <c r="P8827" s="21"/>
      <c r="Q8827" s="21">
        <f t="shared" si="181"/>
        <v>0</v>
      </c>
      <c r="R8827" s="21">
        <v>0</v>
      </c>
      <c r="S8827" s="21">
        <v>0</v>
      </c>
      <c r="T8827" s="21">
        <v>0</v>
      </c>
      <c r="U8827" s="21">
        <v>0</v>
      </c>
      <c r="V8827" s="21">
        <v>0</v>
      </c>
      <c r="W8827" s="21">
        <v>0</v>
      </c>
      <c r="X8827" s="21">
        <v>0</v>
      </c>
      <c r="Y8827" s="21">
        <v>0</v>
      </c>
      <c r="Z8827" s="21">
        <v>0</v>
      </c>
      <c r="AA8827" s="21">
        <v>0</v>
      </c>
      <c r="AB8827" s="21">
        <v>0</v>
      </c>
      <c r="AC8827" s="21">
        <v>0</v>
      </c>
      <c r="AD8827" s="21">
        <v>0</v>
      </c>
      <c r="AE8827" s="21">
        <v>0</v>
      </c>
      <c r="AF8827" s="21">
        <v>0</v>
      </c>
      <c r="AG8827" s="21">
        <v>0</v>
      </c>
      <c r="AH8827" s="21">
        <f t="shared" si="182"/>
        <v>0</v>
      </c>
      <c r="AI8827" s="21"/>
      <c r="AJ8827" s="21" t="s">
        <v>51</v>
      </c>
      <c r="AK8827" s="21" t="s">
        <v>95</v>
      </c>
      <c r="AL8827" s="21"/>
      <c r="AM8827" s="21" t="s">
        <v>5702</v>
      </c>
      <c r="AN8827" s="21">
        <v>-122.397677516667</v>
      </c>
      <c r="AO8827" s="21">
        <v>37.799501733333301</v>
      </c>
      <c r="AP8827" s="21" t="s">
        <v>541</v>
      </c>
    </row>
    <row r="8828" spans="1:42">
      <c r="A8828" s="22">
        <v>43879</v>
      </c>
      <c r="B8828" s="21">
        <v>2</v>
      </c>
      <c r="C8828" s="21">
        <v>815</v>
      </c>
      <c r="D8828" s="21">
        <v>14654</v>
      </c>
      <c r="E8828" s="21" t="s">
        <v>649</v>
      </c>
      <c r="F8828" s="21" t="s">
        <v>436</v>
      </c>
      <c r="G8828" s="23">
        <v>2</v>
      </c>
      <c r="H8828" s="21">
        <v>28</v>
      </c>
      <c r="I8828" s="23" t="s">
        <v>5703</v>
      </c>
      <c r="J8828" s="21"/>
      <c r="K8828" s="21" t="s">
        <v>5698</v>
      </c>
      <c r="L8828" s="21" t="s">
        <v>141</v>
      </c>
      <c r="M8828" s="21" t="s">
        <v>52</v>
      </c>
      <c r="N8828" s="21" t="s">
        <v>40</v>
      </c>
      <c r="O8828" s="21">
        <v>13</v>
      </c>
      <c r="P8828" s="21"/>
      <c r="Q8828" s="21">
        <f t="shared" si="181"/>
        <v>1</v>
      </c>
      <c r="R8828" s="21">
        <v>0</v>
      </c>
      <c r="S8828" s="21">
        <v>0</v>
      </c>
      <c r="T8828" s="21">
        <v>0</v>
      </c>
      <c r="U8828" s="21">
        <v>0</v>
      </c>
      <c r="V8828" s="21">
        <v>0</v>
      </c>
      <c r="W8828" s="21">
        <v>0</v>
      </c>
      <c r="X8828" s="21">
        <v>1</v>
      </c>
      <c r="Y8828" s="21">
        <v>0</v>
      </c>
      <c r="Z8828" s="21">
        <v>0</v>
      </c>
      <c r="AA8828" s="21">
        <v>0</v>
      </c>
      <c r="AB8828" s="21">
        <v>0</v>
      </c>
      <c r="AC8828" s="21">
        <v>0</v>
      </c>
      <c r="AD8828" s="21">
        <v>0</v>
      </c>
      <c r="AE8828" s="21">
        <v>0</v>
      </c>
      <c r="AF8828" s="21">
        <v>0</v>
      </c>
      <c r="AG8828" s="21">
        <v>0</v>
      </c>
      <c r="AH8828" s="21">
        <f t="shared" si="182"/>
        <v>0</v>
      </c>
      <c r="AI8828" s="21"/>
      <c r="AJ8828" s="21" t="s">
        <v>51</v>
      </c>
      <c r="AK8828" s="21" t="s">
        <v>95</v>
      </c>
      <c r="AL8828" s="21"/>
      <c r="AM8828" s="21" t="s">
        <v>5704</v>
      </c>
      <c r="AN8828" s="21">
        <v>-122.397976016667</v>
      </c>
      <c r="AO8828" s="21">
        <v>37.7997579166666</v>
      </c>
      <c r="AP8828" s="21" t="s">
        <v>541</v>
      </c>
    </row>
    <row r="8829" spans="1:42">
      <c r="A8829" s="22">
        <v>43879</v>
      </c>
      <c r="B8829" s="21">
        <v>2</v>
      </c>
      <c r="C8829" s="21">
        <v>815</v>
      </c>
      <c r="D8829" s="21">
        <v>14654</v>
      </c>
      <c r="E8829" s="21" t="s">
        <v>649</v>
      </c>
      <c r="F8829" s="21" t="s">
        <v>436</v>
      </c>
      <c r="G8829" s="23">
        <v>2</v>
      </c>
      <c r="H8829" s="21">
        <v>29</v>
      </c>
      <c r="I8829" s="23" t="s">
        <v>4556</v>
      </c>
      <c r="J8829" s="21"/>
      <c r="K8829" s="21" t="s">
        <v>5698</v>
      </c>
      <c r="L8829" s="21" t="s">
        <v>141</v>
      </c>
      <c r="M8829" s="21" t="s">
        <v>52</v>
      </c>
      <c r="N8829" s="21" t="s">
        <v>40</v>
      </c>
      <c r="O8829" s="21">
        <v>15</v>
      </c>
      <c r="P8829" s="21"/>
      <c r="Q8829" s="21">
        <f t="shared" si="181"/>
        <v>1</v>
      </c>
      <c r="R8829" s="21">
        <v>0</v>
      </c>
      <c r="S8829" s="21">
        <v>0</v>
      </c>
      <c r="T8829" s="21">
        <v>0</v>
      </c>
      <c r="U8829" s="21">
        <v>0</v>
      </c>
      <c r="V8829" s="21">
        <v>0</v>
      </c>
      <c r="W8829" s="21">
        <v>0</v>
      </c>
      <c r="X8829" s="21">
        <v>1</v>
      </c>
      <c r="Y8829" s="21">
        <v>0</v>
      </c>
      <c r="Z8829" s="21">
        <v>0</v>
      </c>
      <c r="AA8829" s="21">
        <v>0</v>
      </c>
      <c r="AB8829" s="21">
        <v>0</v>
      </c>
      <c r="AC8829" s="21">
        <v>0</v>
      </c>
      <c r="AD8829" s="21">
        <v>0</v>
      </c>
      <c r="AE8829" s="21">
        <v>0</v>
      </c>
      <c r="AF8829" s="21">
        <v>0</v>
      </c>
      <c r="AG8829" s="21">
        <v>0</v>
      </c>
      <c r="AH8829" s="21">
        <f t="shared" si="182"/>
        <v>0</v>
      </c>
      <c r="AI8829" s="21"/>
      <c r="AJ8829" s="21" t="s">
        <v>51</v>
      </c>
      <c r="AK8829" s="21" t="s">
        <v>95</v>
      </c>
      <c r="AL8829" s="21"/>
      <c r="AM8829" s="21" t="s">
        <v>5705</v>
      </c>
      <c r="AN8829" s="21">
        <v>-122.398967466667</v>
      </c>
      <c r="AO8829" s="21">
        <v>37.800976066666699</v>
      </c>
      <c r="AP8829" s="21" t="s">
        <v>541</v>
      </c>
    </row>
    <row r="8830" spans="1:42">
      <c r="A8830" s="22">
        <v>43879</v>
      </c>
      <c r="B8830" s="21">
        <v>2</v>
      </c>
      <c r="C8830" s="21">
        <v>815</v>
      </c>
      <c r="D8830" s="21">
        <v>14654</v>
      </c>
      <c r="E8830" s="21" t="s">
        <v>649</v>
      </c>
      <c r="F8830" s="21" t="s">
        <v>436</v>
      </c>
      <c r="G8830" s="23">
        <v>2</v>
      </c>
      <c r="H8830" s="21">
        <v>31</v>
      </c>
      <c r="I8830" s="23" t="s">
        <v>5706</v>
      </c>
      <c r="J8830" s="21"/>
      <c r="K8830" s="21" t="s">
        <v>5698</v>
      </c>
      <c r="L8830" s="21" t="s">
        <v>141</v>
      </c>
      <c r="M8830" s="21" t="s">
        <v>52</v>
      </c>
      <c r="N8830" s="21" t="s">
        <v>40</v>
      </c>
      <c r="O8830" s="21">
        <v>24</v>
      </c>
      <c r="P8830" s="21"/>
      <c r="Q8830" s="21">
        <f t="shared" si="181"/>
        <v>1</v>
      </c>
      <c r="R8830" s="21">
        <v>0</v>
      </c>
      <c r="S8830" s="21">
        <v>0</v>
      </c>
      <c r="T8830" s="21">
        <v>0</v>
      </c>
      <c r="U8830" s="21">
        <v>0</v>
      </c>
      <c r="V8830" s="21">
        <v>0</v>
      </c>
      <c r="W8830" s="21">
        <v>0</v>
      </c>
      <c r="X8830" s="21">
        <v>1</v>
      </c>
      <c r="Y8830" s="21">
        <v>0</v>
      </c>
      <c r="Z8830" s="21">
        <v>0</v>
      </c>
      <c r="AA8830" s="21">
        <v>0</v>
      </c>
      <c r="AB8830" s="21">
        <v>0</v>
      </c>
      <c r="AC8830" s="21">
        <v>0</v>
      </c>
      <c r="AD8830" s="21">
        <v>0</v>
      </c>
      <c r="AE8830" s="21">
        <v>0</v>
      </c>
      <c r="AF8830" s="21">
        <v>0</v>
      </c>
      <c r="AG8830" s="21">
        <v>0</v>
      </c>
      <c r="AH8830" s="21">
        <f t="shared" si="182"/>
        <v>0</v>
      </c>
      <c r="AI8830" s="21"/>
      <c r="AJ8830" s="21" t="s">
        <v>51</v>
      </c>
      <c r="AK8830" s="21" t="s">
        <v>95</v>
      </c>
      <c r="AL8830" s="21"/>
      <c r="AM8830" s="21" t="s">
        <v>5707</v>
      </c>
      <c r="AN8830" s="21">
        <v>-122.404158216667</v>
      </c>
      <c r="AO8830" s="21">
        <v>37.805863616666599</v>
      </c>
      <c r="AP8830" s="21" t="s">
        <v>541</v>
      </c>
    </row>
    <row r="8831" spans="1:42">
      <c r="A8831" s="22">
        <v>43879</v>
      </c>
      <c r="B8831" s="21">
        <v>2</v>
      </c>
      <c r="C8831" s="21">
        <v>815</v>
      </c>
      <c r="D8831" s="21">
        <v>14654</v>
      </c>
      <c r="E8831" s="21" t="s">
        <v>649</v>
      </c>
      <c r="F8831" s="21" t="s">
        <v>436</v>
      </c>
      <c r="G8831" s="23">
        <v>2</v>
      </c>
      <c r="H8831" s="21">
        <v>33</v>
      </c>
      <c r="I8831" s="23" t="s">
        <v>4579</v>
      </c>
      <c r="J8831" s="21"/>
      <c r="K8831" s="21" t="s">
        <v>386</v>
      </c>
      <c r="L8831" s="21" t="s">
        <v>114</v>
      </c>
      <c r="M8831" s="21" t="s">
        <v>95</v>
      </c>
      <c r="N8831" s="21" t="s">
        <v>40</v>
      </c>
      <c r="O8831" s="21">
        <v>18</v>
      </c>
      <c r="P8831" s="21"/>
      <c r="Q8831" s="21">
        <f t="shared" si="181"/>
        <v>2</v>
      </c>
      <c r="R8831" s="21">
        <v>0</v>
      </c>
      <c r="S8831" s="21">
        <v>0</v>
      </c>
      <c r="T8831" s="21">
        <v>0</v>
      </c>
      <c r="U8831" s="21">
        <v>0</v>
      </c>
      <c r="V8831" s="21">
        <v>0</v>
      </c>
      <c r="W8831" s="21">
        <v>0</v>
      </c>
      <c r="X8831" s="21">
        <v>2</v>
      </c>
      <c r="Y8831" s="21">
        <v>0</v>
      </c>
      <c r="Z8831" s="21">
        <v>0</v>
      </c>
      <c r="AA8831" s="21">
        <v>0</v>
      </c>
      <c r="AB8831" s="21">
        <v>0</v>
      </c>
      <c r="AC8831" s="21">
        <v>0</v>
      </c>
      <c r="AD8831" s="21">
        <v>0</v>
      </c>
      <c r="AE8831" s="21">
        <v>0</v>
      </c>
      <c r="AF8831" s="21">
        <v>0</v>
      </c>
      <c r="AG8831" s="21">
        <v>0</v>
      </c>
      <c r="AH8831" s="21">
        <f t="shared" si="182"/>
        <v>0</v>
      </c>
      <c r="AI8831" s="21"/>
      <c r="AJ8831" s="21" t="s">
        <v>51</v>
      </c>
      <c r="AK8831" s="21" t="s">
        <v>95</v>
      </c>
      <c r="AL8831" s="21"/>
      <c r="AM8831" s="21" t="s">
        <v>5708</v>
      </c>
      <c r="AN8831" s="21">
        <v>-122.393523716667</v>
      </c>
      <c r="AO8831" s="21">
        <v>37.794087416666599</v>
      </c>
      <c r="AP8831" s="21" t="s">
        <v>541</v>
      </c>
    </row>
    <row r="8832" spans="1:42">
      <c r="A8832" s="22">
        <v>43879</v>
      </c>
      <c r="B8832" s="21">
        <v>2</v>
      </c>
      <c r="C8832" s="21">
        <v>815</v>
      </c>
      <c r="D8832" s="21">
        <v>14654</v>
      </c>
      <c r="E8832" s="21" t="s">
        <v>649</v>
      </c>
      <c r="F8832" s="21" t="s">
        <v>436</v>
      </c>
      <c r="G8832" s="23">
        <v>2</v>
      </c>
      <c r="H8832" s="21">
        <v>34</v>
      </c>
      <c r="I8832" s="23" t="s">
        <v>5709</v>
      </c>
      <c r="J8832" s="21"/>
      <c r="K8832" s="21" t="s">
        <v>73</v>
      </c>
      <c r="L8832" s="21" t="s">
        <v>114</v>
      </c>
      <c r="M8832" s="21" t="s">
        <v>52</v>
      </c>
      <c r="N8832" s="21" t="s">
        <v>40</v>
      </c>
      <c r="O8832" s="21">
        <v>12</v>
      </c>
      <c r="P8832" s="21"/>
      <c r="Q8832" s="21">
        <f t="shared" ref="Q8832:Q8881" si="183">SUM(S8832:AE8832)</f>
        <v>1</v>
      </c>
      <c r="R8832" s="21">
        <v>0</v>
      </c>
      <c r="S8832" s="21">
        <v>0</v>
      </c>
      <c r="T8832" s="21">
        <v>0</v>
      </c>
      <c r="U8832" s="21">
        <v>0</v>
      </c>
      <c r="V8832" s="21">
        <v>0</v>
      </c>
      <c r="W8832" s="21">
        <v>0</v>
      </c>
      <c r="X8832" s="21">
        <v>1</v>
      </c>
      <c r="Y8832" s="21">
        <v>0</v>
      </c>
      <c r="Z8832" s="21">
        <v>0</v>
      </c>
      <c r="AA8832" s="21">
        <v>0</v>
      </c>
      <c r="AB8832" s="21">
        <v>0</v>
      </c>
      <c r="AC8832" s="21">
        <v>0</v>
      </c>
      <c r="AD8832" s="21">
        <v>0</v>
      </c>
      <c r="AE8832" s="21">
        <v>0</v>
      </c>
      <c r="AF8832" s="21">
        <v>0</v>
      </c>
      <c r="AG8832" s="21">
        <v>0</v>
      </c>
      <c r="AH8832" s="21">
        <f t="shared" ref="AH8832:AH8881" si="184">(S8832*16)+(T8832*20)+(U8832*32)+(V8832*64)+(W8832*96)</f>
        <v>0</v>
      </c>
      <c r="AI8832" s="21"/>
      <c r="AJ8832" s="21" t="s">
        <v>51</v>
      </c>
      <c r="AK8832" s="21" t="s">
        <v>95</v>
      </c>
      <c r="AL8832" s="21"/>
      <c r="AM8832" s="21" t="s">
        <v>5710</v>
      </c>
      <c r="AN8832" s="21">
        <v>-122.395362216667</v>
      </c>
      <c r="AO8832" s="21">
        <v>37.7940313</v>
      </c>
      <c r="AP8832" s="21" t="s">
        <v>541</v>
      </c>
    </row>
    <row r="8833" spans="1:42">
      <c r="A8833" s="22">
        <v>43879</v>
      </c>
      <c r="B8833" s="21">
        <v>2</v>
      </c>
      <c r="C8833" s="21">
        <v>815</v>
      </c>
      <c r="D8833" s="21">
        <v>14654</v>
      </c>
      <c r="E8833" s="21" t="s">
        <v>649</v>
      </c>
      <c r="F8833" s="21" t="s">
        <v>436</v>
      </c>
      <c r="G8833" s="23">
        <v>2</v>
      </c>
      <c r="H8833" s="21">
        <v>35</v>
      </c>
      <c r="I8833" s="23" t="s">
        <v>3214</v>
      </c>
      <c r="J8833" s="21"/>
      <c r="K8833" s="21" t="s">
        <v>73</v>
      </c>
      <c r="L8833" s="21" t="s">
        <v>114</v>
      </c>
      <c r="M8833" s="21" t="s">
        <v>52</v>
      </c>
      <c r="N8833" s="21" t="s">
        <v>40</v>
      </c>
      <c r="O8833" s="21">
        <v>307</v>
      </c>
      <c r="P8833" s="21"/>
      <c r="Q8833" s="21">
        <f t="shared" si="183"/>
        <v>3</v>
      </c>
      <c r="R8833" s="21">
        <v>0</v>
      </c>
      <c r="S8833" s="21">
        <v>0</v>
      </c>
      <c r="T8833" s="21">
        <v>0</v>
      </c>
      <c r="U8833" s="21">
        <v>0</v>
      </c>
      <c r="V8833" s="21">
        <v>0</v>
      </c>
      <c r="W8833" s="21">
        <v>0</v>
      </c>
      <c r="X8833" s="21">
        <v>3</v>
      </c>
      <c r="Y8833" s="21">
        <v>0</v>
      </c>
      <c r="Z8833" s="21">
        <v>0</v>
      </c>
      <c r="AA8833" s="21">
        <v>0</v>
      </c>
      <c r="AB8833" s="21">
        <v>0</v>
      </c>
      <c r="AC8833" s="21">
        <v>0</v>
      </c>
      <c r="AD8833" s="21">
        <v>0</v>
      </c>
      <c r="AE8833" s="21">
        <v>0</v>
      </c>
      <c r="AF8833" s="21">
        <v>0</v>
      </c>
      <c r="AG8833" s="21">
        <v>0</v>
      </c>
      <c r="AH8833" s="21">
        <f t="shared" si="184"/>
        <v>0</v>
      </c>
      <c r="AI8833" s="21"/>
      <c r="AJ8833" s="21" t="s">
        <v>51</v>
      </c>
      <c r="AK8833" s="21" t="s">
        <v>95</v>
      </c>
      <c r="AL8833" s="21" t="s">
        <v>5711</v>
      </c>
      <c r="AM8833" s="21" t="s">
        <v>5712</v>
      </c>
      <c r="AN8833" s="21">
        <v>-122.395990766667</v>
      </c>
      <c r="AO8833" s="21">
        <v>37.793356983333297</v>
      </c>
      <c r="AP8833" s="21" t="s">
        <v>541</v>
      </c>
    </row>
    <row r="8834" spans="1:42">
      <c r="A8834" s="22">
        <v>43879</v>
      </c>
      <c r="B8834" s="21">
        <v>2</v>
      </c>
      <c r="C8834" s="21">
        <v>815</v>
      </c>
      <c r="D8834" s="21">
        <v>14654</v>
      </c>
      <c r="E8834" s="21" t="s">
        <v>649</v>
      </c>
      <c r="F8834" s="21" t="s">
        <v>436</v>
      </c>
      <c r="G8834" s="23">
        <v>2</v>
      </c>
      <c r="H8834" s="21">
        <v>36</v>
      </c>
      <c r="I8834" s="23" t="s">
        <v>3448</v>
      </c>
      <c r="J8834" s="21"/>
      <c r="K8834" s="21" t="s">
        <v>73</v>
      </c>
      <c r="L8834" s="21" t="s">
        <v>141</v>
      </c>
      <c r="M8834" s="21" t="s">
        <v>52</v>
      </c>
      <c r="N8834" s="21" t="s">
        <v>40</v>
      </c>
      <c r="O8834" s="21">
        <v>15</v>
      </c>
      <c r="P8834" s="21"/>
      <c r="Q8834" s="21">
        <f t="shared" si="183"/>
        <v>1</v>
      </c>
      <c r="R8834" s="21">
        <v>0</v>
      </c>
      <c r="S8834" s="21">
        <v>0</v>
      </c>
      <c r="T8834" s="21">
        <v>0</v>
      </c>
      <c r="U8834" s="21">
        <v>0</v>
      </c>
      <c r="V8834" s="21">
        <v>0</v>
      </c>
      <c r="W8834" s="21">
        <v>0</v>
      </c>
      <c r="X8834" s="21">
        <v>1</v>
      </c>
      <c r="Y8834" s="21">
        <v>0</v>
      </c>
      <c r="Z8834" s="21">
        <v>0</v>
      </c>
      <c r="AA8834" s="21">
        <v>0</v>
      </c>
      <c r="AB8834" s="21">
        <v>0</v>
      </c>
      <c r="AC8834" s="21">
        <v>0</v>
      </c>
      <c r="AD8834" s="21">
        <v>0</v>
      </c>
      <c r="AE8834" s="21">
        <v>0</v>
      </c>
      <c r="AF8834" s="21">
        <v>0</v>
      </c>
      <c r="AG8834" s="21">
        <v>0</v>
      </c>
      <c r="AH8834" s="21">
        <f t="shared" si="184"/>
        <v>0</v>
      </c>
      <c r="AI8834" s="21"/>
      <c r="AJ8834" s="21" t="s">
        <v>51</v>
      </c>
      <c r="AK8834" s="21" t="s">
        <v>95</v>
      </c>
      <c r="AL8834" s="21"/>
      <c r="AM8834" s="21" t="s">
        <v>5713</v>
      </c>
      <c r="AN8834" s="21">
        <v>-122.396693233333</v>
      </c>
      <c r="AO8834" s="21">
        <v>37.793018766666599</v>
      </c>
      <c r="AP8834" s="21" t="s">
        <v>541</v>
      </c>
    </row>
    <row r="8835" spans="1:42">
      <c r="A8835" s="22">
        <v>43879</v>
      </c>
      <c r="B8835" s="21">
        <v>2</v>
      </c>
      <c r="C8835" s="21">
        <v>815</v>
      </c>
      <c r="D8835" s="21">
        <v>14654</v>
      </c>
      <c r="E8835" s="21" t="s">
        <v>649</v>
      </c>
      <c r="F8835" s="21" t="s">
        <v>436</v>
      </c>
      <c r="G8835" s="23">
        <v>2</v>
      </c>
      <c r="H8835" s="21">
        <v>37</v>
      </c>
      <c r="I8835" s="23" t="s">
        <v>3051</v>
      </c>
      <c r="J8835" s="21"/>
      <c r="K8835" s="21" t="s">
        <v>73</v>
      </c>
      <c r="L8835" s="21" t="s">
        <v>141</v>
      </c>
      <c r="M8835" s="21" t="s">
        <v>52</v>
      </c>
      <c r="N8835" s="21" t="s">
        <v>40</v>
      </c>
      <c r="O8835" s="21">
        <v>21</v>
      </c>
      <c r="P8835" s="21"/>
      <c r="Q8835" s="21">
        <f t="shared" si="183"/>
        <v>1</v>
      </c>
      <c r="R8835" s="21">
        <v>0</v>
      </c>
      <c r="S8835" s="21">
        <v>0</v>
      </c>
      <c r="T8835" s="21">
        <v>0</v>
      </c>
      <c r="U8835" s="21">
        <v>0</v>
      </c>
      <c r="V8835" s="21">
        <v>0</v>
      </c>
      <c r="W8835" s="21">
        <v>0</v>
      </c>
      <c r="X8835" s="21">
        <v>1</v>
      </c>
      <c r="Y8835" s="21">
        <v>0</v>
      </c>
      <c r="Z8835" s="21">
        <v>0</v>
      </c>
      <c r="AA8835" s="21">
        <v>0</v>
      </c>
      <c r="AB8835" s="21">
        <v>0</v>
      </c>
      <c r="AC8835" s="21">
        <v>0</v>
      </c>
      <c r="AD8835" s="21">
        <v>0</v>
      </c>
      <c r="AE8835" s="21">
        <v>0</v>
      </c>
      <c r="AF8835" s="21">
        <v>0</v>
      </c>
      <c r="AG8835" s="21">
        <v>0</v>
      </c>
      <c r="AH8835" s="21">
        <f t="shared" si="184"/>
        <v>0</v>
      </c>
      <c r="AI8835" s="21"/>
      <c r="AJ8835" s="21" t="s">
        <v>51</v>
      </c>
      <c r="AK8835" s="21" t="s">
        <v>95</v>
      </c>
      <c r="AL8835" s="21"/>
      <c r="AM8835" s="21" t="s">
        <v>5714</v>
      </c>
      <c r="AN8835" s="21">
        <v>-122.397356266667</v>
      </c>
      <c r="AO8835" s="21">
        <v>37.792586300000004</v>
      </c>
      <c r="AP8835" s="21" t="s">
        <v>541</v>
      </c>
    </row>
    <row r="8836" spans="1:42">
      <c r="A8836" s="22">
        <v>43879</v>
      </c>
      <c r="B8836" s="21">
        <v>2</v>
      </c>
      <c r="C8836" s="21">
        <v>815</v>
      </c>
      <c r="D8836" s="21">
        <v>14654</v>
      </c>
      <c r="E8836" s="21" t="s">
        <v>649</v>
      </c>
      <c r="F8836" s="21" t="s">
        <v>436</v>
      </c>
      <c r="G8836" s="23">
        <v>2</v>
      </c>
      <c r="H8836" s="21">
        <v>38</v>
      </c>
      <c r="I8836" s="23" t="s">
        <v>4296</v>
      </c>
      <c r="J8836" s="21"/>
      <c r="K8836" s="21" t="s">
        <v>73</v>
      </c>
      <c r="L8836" s="21" t="s">
        <v>114</v>
      </c>
      <c r="M8836" s="21" t="s">
        <v>52</v>
      </c>
      <c r="N8836" s="21" t="s">
        <v>40</v>
      </c>
      <c r="O8836" s="21">
        <v>17</v>
      </c>
      <c r="P8836" s="21"/>
      <c r="Q8836" s="21">
        <f t="shared" si="183"/>
        <v>0</v>
      </c>
      <c r="R8836" s="21">
        <v>0</v>
      </c>
      <c r="S8836" s="21">
        <v>0</v>
      </c>
      <c r="T8836" s="21">
        <v>0</v>
      </c>
      <c r="U8836" s="21">
        <v>0</v>
      </c>
      <c r="V8836" s="21">
        <v>0</v>
      </c>
      <c r="W8836" s="21">
        <v>0</v>
      </c>
      <c r="X8836" s="21">
        <v>0</v>
      </c>
      <c r="Y8836" s="21">
        <v>0</v>
      </c>
      <c r="Z8836" s="21">
        <v>0</v>
      </c>
      <c r="AA8836" s="21">
        <v>0</v>
      </c>
      <c r="AB8836" s="21">
        <v>0</v>
      </c>
      <c r="AC8836" s="21">
        <v>0</v>
      </c>
      <c r="AD8836" s="21">
        <v>0</v>
      </c>
      <c r="AE8836" s="21">
        <v>0</v>
      </c>
      <c r="AF8836" s="21">
        <v>0</v>
      </c>
      <c r="AG8836" s="21">
        <v>0</v>
      </c>
      <c r="AH8836" s="21">
        <f t="shared" si="184"/>
        <v>0</v>
      </c>
      <c r="AI8836" s="21"/>
      <c r="AJ8836" s="21" t="s">
        <v>51</v>
      </c>
      <c r="AK8836" s="21" t="s">
        <v>95</v>
      </c>
      <c r="AL8836" s="21"/>
      <c r="AM8836" s="21" t="s">
        <v>5715</v>
      </c>
      <c r="AN8836" s="21">
        <v>-122.397900383333</v>
      </c>
      <c r="AO8836" s="21">
        <v>37.791917083333402</v>
      </c>
      <c r="AP8836" s="21" t="s">
        <v>541</v>
      </c>
    </row>
    <row r="8837" spans="1:42">
      <c r="A8837" s="22">
        <v>43879</v>
      </c>
      <c r="B8837" s="21">
        <v>2</v>
      </c>
      <c r="C8837" s="21">
        <v>815</v>
      </c>
      <c r="D8837" s="21">
        <v>14654</v>
      </c>
      <c r="E8837" s="21" t="s">
        <v>649</v>
      </c>
      <c r="F8837" s="21" t="s">
        <v>436</v>
      </c>
      <c r="G8837" s="23">
        <v>2</v>
      </c>
      <c r="H8837" s="21">
        <v>39</v>
      </c>
      <c r="I8837" s="23" t="s">
        <v>3051</v>
      </c>
      <c r="J8837" s="21"/>
      <c r="K8837" s="21" t="s">
        <v>61</v>
      </c>
      <c r="L8837" s="21" t="s">
        <v>114</v>
      </c>
      <c r="M8837" s="21" t="s">
        <v>52</v>
      </c>
      <c r="N8837" s="21" t="s">
        <v>40</v>
      </c>
      <c r="O8837" s="21">
        <v>16</v>
      </c>
      <c r="P8837" s="21"/>
      <c r="Q8837" s="21">
        <f t="shared" si="183"/>
        <v>1</v>
      </c>
      <c r="R8837" s="21">
        <v>0</v>
      </c>
      <c r="S8837" s="21">
        <v>0</v>
      </c>
      <c r="T8837" s="21">
        <v>0</v>
      </c>
      <c r="U8837" s="21">
        <v>0</v>
      </c>
      <c r="V8837" s="21">
        <v>0</v>
      </c>
      <c r="W8837" s="21">
        <v>0</v>
      </c>
      <c r="X8837" s="21">
        <v>1</v>
      </c>
      <c r="Y8837" s="21">
        <v>0</v>
      </c>
      <c r="Z8837" s="21">
        <v>0</v>
      </c>
      <c r="AA8837" s="21">
        <v>0</v>
      </c>
      <c r="AB8837" s="21">
        <v>0</v>
      </c>
      <c r="AC8837" s="21">
        <v>0</v>
      </c>
      <c r="AD8837" s="21">
        <v>0</v>
      </c>
      <c r="AE8837" s="21">
        <v>0</v>
      </c>
      <c r="AF8837" s="21">
        <v>0</v>
      </c>
      <c r="AG8837" s="21">
        <v>0</v>
      </c>
      <c r="AH8837" s="21">
        <f t="shared" si="184"/>
        <v>0</v>
      </c>
      <c r="AI8837" s="21"/>
      <c r="AJ8837" s="21" t="s">
        <v>51</v>
      </c>
      <c r="AK8837" s="21" t="s">
        <v>95</v>
      </c>
      <c r="AL8837" s="21"/>
      <c r="AM8837" s="21" t="s">
        <v>5716</v>
      </c>
      <c r="AN8837" s="21">
        <v>-122.397982483333</v>
      </c>
      <c r="AO8837" s="21">
        <v>37.791826866666597</v>
      </c>
      <c r="AP8837" s="21" t="s">
        <v>541</v>
      </c>
    </row>
    <row r="8838" spans="1:42">
      <c r="A8838" s="22">
        <v>43879</v>
      </c>
      <c r="B8838" s="21">
        <v>2</v>
      </c>
      <c r="C8838" s="21">
        <v>815</v>
      </c>
      <c r="D8838" s="21">
        <v>14654</v>
      </c>
      <c r="E8838" s="21" t="s">
        <v>649</v>
      </c>
      <c r="F8838" s="21" t="s">
        <v>436</v>
      </c>
      <c r="G8838" s="23">
        <v>2</v>
      </c>
      <c r="H8838" s="21">
        <v>40</v>
      </c>
      <c r="I8838" s="23" t="s">
        <v>5717</v>
      </c>
      <c r="J8838" s="21"/>
      <c r="K8838" s="21" t="s">
        <v>62</v>
      </c>
      <c r="L8838" s="21" t="s">
        <v>114</v>
      </c>
      <c r="M8838" s="21" t="s">
        <v>95</v>
      </c>
      <c r="N8838" s="21" t="s">
        <v>40</v>
      </c>
      <c r="O8838" s="21">
        <v>175</v>
      </c>
      <c r="P8838" s="21"/>
      <c r="Q8838" s="21">
        <f t="shared" si="183"/>
        <v>3</v>
      </c>
      <c r="R8838" s="21">
        <v>0</v>
      </c>
      <c r="S8838" s="21">
        <v>0</v>
      </c>
      <c r="T8838" s="21">
        <v>0</v>
      </c>
      <c r="U8838" s="21">
        <v>0</v>
      </c>
      <c r="V8838" s="21">
        <v>0</v>
      </c>
      <c r="W8838" s="21">
        <v>0</v>
      </c>
      <c r="X8838" s="21">
        <v>3</v>
      </c>
      <c r="Y8838" s="21">
        <v>0</v>
      </c>
      <c r="Z8838" s="21">
        <v>0</v>
      </c>
      <c r="AA8838" s="21">
        <v>0</v>
      </c>
      <c r="AB8838" s="21">
        <v>0</v>
      </c>
      <c r="AC8838" s="21">
        <v>0</v>
      </c>
      <c r="AD8838" s="21">
        <v>0</v>
      </c>
      <c r="AE8838" s="21">
        <v>0</v>
      </c>
      <c r="AF8838" s="21">
        <v>0</v>
      </c>
      <c r="AG8838" s="21">
        <v>0</v>
      </c>
      <c r="AH8838" s="21">
        <f t="shared" si="184"/>
        <v>0</v>
      </c>
      <c r="AI8838" s="21"/>
      <c r="AJ8838" s="21" t="s">
        <v>51</v>
      </c>
      <c r="AK8838" s="21" t="s">
        <v>95</v>
      </c>
      <c r="AL8838" s="21"/>
      <c r="AM8838" s="21" t="s">
        <v>5718</v>
      </c>
      <c r="AN8838" s="21">
        <v>-122.39858491666701</v>
      </c>
      <c r="AO8838" s="21">
        <v>37.793398500000002</v>
      </c>
      <c r="AP8838" s="21" t="s">
        <v>541</v>
      </c>
    </row>
    <row r="8839" spans="1:42">
      <c r="A8839" s="22">
        <v>43879</v>
      </c>
      <c r="B8839" s="21">
        <v>2</v>
      </c>
      <c r="C8839" s="21">
        <v>815</v>
      </c>
      <c r="D8839" s="21">
        <v>14654</v>
      </c>
      <c r="E8839" s="21" t="s">
        <v>649</v>
      </c>
      <c r="F8839" s="21" t="s">
        <v>436</v>
      </c>
      <c r="G8839" s="23">
        <v>2</v>
      </c>
      <c r="H8839" s="21">
        <v>41</v>
      </c>
      <c r="I8839" s="23" t="s">
        <v>3437</v>
      </c>
      <c r="J8839" s="21"/>
      <c r="K8839" s="21" t="s">
        <v>2215</v>
      </c>
      <c r="L8839" s="21" t="s">
        <v>114</v>
      </c>
      <c r="M8839" s="21" t="s">
        <v>52</v>
      </c>
      <c r="N8839" s="21" t="s">
        <v>40</v>
      </c>
      <c r="O8839" s="21">
        <v>29</v>
      </c>
      <c r="P8839" s="21"/>
      <c r="Q8839" s="21">
        <f t="shared" si="183"/>
        <v>1</v>
      </c>
      <c r="R8839" s="21">
        <v>0</v>
      </c>
      <c r="S8839" s="21">
        <v>0</v>
      </c>
      <c r="T8839" s="21">
        <v>0</v>
      </c>
      <c r="U8839" s="21">
        <v>0</v>
      </c>
      <c r="V8839" s="21">
        <v>0</v>
      </c>
      <c r="W8839" s="21">
        <v>0</v>
      </c>
      <c r="X8839" s="21">
        <v>1</v>
      </c>
      <c r="Y8839" s="21">
        <v>0</v>
      </c>
      <c r="Z8839" s="21">
        <v>0</v>
      </c>
      <c r="AA8839" s="21">
        <v>0</v>
      </c>
      <c r="AB8839" s="21">
        <v>0</v>
      </c>
      <c r="AC8839" s="21">
        <v>0</v>
      </c>
      <c r="AD8839" s="21">
        <v>0</v>
      </c>
      <c r="AE8839" s="21">
        <v>0</v>
      </c>
      <c r="AF8839" s="21">
        <v>0</v>
      </c>
      <c r="AG8839" s="21">
        <v>0</v>
      </c>
      <c r="AH8839" s="21">
        <f t="shared" si="184"/>
        <v>0</v>
      </c>
      <c r="AI8839" s="21"/>
      <c r="AJ8839" s="21" t="s">
        <v>51</v>
      </c>
      <c r="AK8839" s="21" t="s">
        <v>95</v>
      </c>
      <c r="AL8839" s="21"/>
      <c r="AM8839" s="21" t="s">
        <v>5719</v>
      </c>
      <c r="AN8839" s="21">
        <v>-122.397152783333</v>
      </c>
      <c r="AO8839" s="21">
        <v>37.793541849999997</v>
      </c>
      <c r="AP8839" s="21" t="s">
        <v>541</v>
      </c>
    </row>
    <row r="8840" spans="1:42">
      <c r="A8840" s="22">
        <v>43879</v>
      </c>
      <c r="B8840" s="21">
        <v>2</v>
      </c>
      <c r="C8840" s="21">
        <v>815</v>
      </c>
      <c r="D8840" s="21">
        <v>14654</v>
      </c>
      <c r="E8840" s="21" t="s">
        <v>649</v>
      </c>
      <c r="F8840" s="21" t="s">
        <v>436</v>
      </c>
      <c r="G8840" s="23">
        <v>2</v>
      </c>
      <c r="H8840" s="21">
        <v>42</v>
      </c>
      <c r="I8840" s="23" t="s">
        <v>3214</v>
      </c>
      <c r="J8840" s="21"/>
      <c r="K8840" s="21" t="s">
        <v>60</v>
      </c>
      <c r="L8840" s="21" t="s">
        <v>114</v>
      </c>
      <c r="M8840" s="21" t="s">
        <v>52</v>
      </c>
      <c r="N8840" s="21" t="s">
        <v>40</v>
      </c>
      <c r="O8840" s="21">
        <v>15</v>
      </c>
      <c r="P8840" s="21"/>
      <c r="Q8840" s="21">
        <f t="shared" si="183"/>
        <v>1</v>
      </c>
      <c r="R8840" s="21">
        <v>0</v>
      </c>
      <c r="S8840" s="21">
        <v>0</v>
      </c>
      <c r="T8840" s="21">
        <v>0</v>
      </c>
      <c r="U8840" s="21">
        <v>0</v>
      </c>
      <c r="V8840" s="21">
        <v>0</v>
      </c>
      <c r="W8840" s="21">
        <v>0</v>
      </c>
      <c r="X8840" s="21">
        <v>1</v>
      </c>
      <c r="Y8840" s="21">
        <v>0</v>
      </c>
      <c r="Z8840" s="21">
        <v>0</v>
      </c>
      <c r="AA8840" s="21">
        <v>0</v>
      </c>
      <c r="AB8840" s="21">
        <v>0</v>
      </c>
      <c r="AC8840" s="21">
        <v>0</v>
      </c>
      <c r="AD8840" s="21">
        <v>0</v>
      </c>
      <c r="AE8840" s="21">
        <v>0</v>
      </c>
      <c r="AF8840" s="21">
        <v>0</v>
      </c>
      <c r="AG8840" s="21">
        <v>0</v>
      </c>
      <c r="AH8840" s="21">
        <f t="shared" si="184"/>
        <v>0</v>
      </c>
      <c r="AI8840" s="21"/>
      <c r="AJ8840" s="21" t="s">
        <v>51</v>
      </c>
      <c r="AK8840" s="21" t="s">
        <v>95</v>
      </c>
      <c r="AL8840" s="21"/>
      <c r="AM8840" s="21" t="s">
        <v>5720</v>
      </c>
      <c r="AN8840" s="21">
        <v>-122.399923716667</v>
      </c>
      <c r="AO8840" s="21">
        <v>37.793313016666602</v>
      </c>
      <c r="AP8840" s="21" t="s">
        <v>541</v>
      </c>
    </row>
    <row r="8841" spans="1:42">
      <c r="A8841" s="22">
        <v>43879</v>
      </c>
      <c r="B8841" s="21">
        <v>2</v>
      </c>
      <c r="C8841" s="21">
        <v>815</v>
      </c>
      <c r="D8841" s="21">
        <v>14654</v>
      </c>
      <c r="E8841" s="21" t="s">
        <v>649</v>
      </c>
      <c r="F8841" s="21" t="s">
        <v>436</v>
      </c>
      <c r="G8841" s="23">
        <v>2</v>
      </c>
      <c r="H8841" s="21">
        <v>43</v>
      </c>
      <c r="I8841" s="23" t="s">
        <v>3214</v>
      </c>
      <c r="J8841" s="21"/>
      <c r="K8841" s="21" t="s">
        <v>69</v>
      </c>
      <c r="L8841" s="21" t="s">
        <v>114</v>
      </c>
      <c r="M8841" s="21" t="s">
        <v>95</v>
      </c>
      <c r="N8841" s="21" t="s">
        <v>40</v>
      </c>
      <c r="O8841" s="21">
        <v>27</v>
      </c>
      <c r="P8841" s="21"/>
      <c r="Q8841" s="21">
        <f t="shared" si="183"/>
        <v>2</v>
      </c>
      <c r="R8841" s="21">
        <v>0</v>
      </c>
      <c r="S8841" s="21">
        <v>0</v>
      </c>
      <c r="T8841" s="21">
        <v>0</v>
      </c>
      <c r="U8841" s="21">
        <v>0</v>
      </c>
      <c r="V8841" s="21">
        <v>0</v>
      </c>
      <c r="W8841" s="21">
        <v>0</v>
      </c>
      <c r="X8841" s="21">
        <v>2</v>
      </c>
      <c r="Y8841" s="21">
        <v>0</v>
      </c>
      <c r="Z8841" s="21">
        <v>0</v>
      </c>
      <c r="AA8841" s="21">
        <v>0</v>
      </c>
      <c r="AB8841" s="21">
        <v>0</v>
      </c>
      <c r="AC8841" s="21">
        <v>0</v>
      </c>
      <c r="AD8841" s="21">
        <v>0</v>
      </c>
      <c r="AE8841" s="21">
        <v>0</v>
      </c>
      <c r="AF8841" s="21">
        <v>0</v>
      </c>
      <c r="AG8841" s="21">
        <v>0</v>
      </c>
      <c r="AH8841" s="21">
        <f t="shared" si="184"/>
        <v>0</v>
      </c>
      <c r="AI8841" s="21"/>
      <c r="AJ8841" s="21" t="s">
        <v>51</v>
      </c>
      <c r="AK8841" s="21" t="s">
        <v>95</v>
      </c>
      <c r="AL8841" s="21"/>
      <c r="AM8841" s="21" t="s">
        <v>5721</v>
      </c>
      <c r="AN8841" s="21">
        <v>-122.400083016667</v>
      </c>
      <c r="AO8841" s="21">
        <v>37.79266045</v>
      </c>
      <c r="AP8841" s="21" t="s">
        <v>541</v>
      </c>
    </row>
    <row r="8842" spans="1:42">
      <c r="A8842" s="22">
        <v>43879</v>
      </c>
      <c r="B8842" s="21">
        <v>2</v>
      </c>
      <c r="C8842" s="21">
        <v>815</v>
      </c>
      <c r="D8842" s="21">
        <v>14654</v>
      </c>
      <c r="E8842" s="21" t="s">
        <v>649</v>
      </c>
      <c r="F8842" s="21" t="s">
        <v>436</v>
      </c>
      <c r="G8842" s="23">
        <v>2</v>
      </c>
      <c r="H8842" s="21">
        <v>44</v>
      </c>
      <c r="I8842" s="23" t="s">
        <v>3519</v>
      </c>
      <c r="J8842" s="21"/>
      <c r="K8842" s="21" t="s">
        <v>69</v>
      </c>
      <c r="L8842" s="21" t="s">
        <v>141</v>
      </c>
      <c r="M8842" s="21" t="s">
        <v>52</v>
      </c>
      <c r="N8842" s="21" t="s">
        <v>40</v>
      </c>
      <c r="O8842" s="21">
        <v>24</v>
      </c>
      <c r="P8842" s="21"/>
      <c r="Q8842" s="21">
        <f t="shared" si="183"/>
        <v>1</v>
      </c>
      <c r="R8842" s="21">
        <v>0</v>
      </c>
      <c r="S8842" s="21">
        <v>0</v>
      </c>
      <c r="T8842" s="21">
        <v>0</v>
      </c>
      <c r="U8842" s="21">
        <v>0</v>
      </c>
      <c r="V8842" s="21">
        <v>0</v>
      </c>
      <c r="W8842" s="21">
        <v>0</v>
      </c>
      <c r="X8842" s="21">
        <v>1</v>
      </c>
      <c r="Y8842" s="21">
        <v>0</v>
      </c>
      <c r="Z8842" s="21">
        <v>0</v>
      </c>
      <c r="AA8842" s="21">
        <v>0</v>
      </c>
      <c r="AB8842" s="21">
        <v>0</v>
      </c>
      <c r="AC8842" s="21">
        <v>0</v>
      </c>
      <c r="AD8842" s="21">
        <v>0</v>
      </c>
      <c r="AE8842" s="21">
        <v>0</v>
      </c>
      <c r="AF8842" s="21">
        <v>0</v>
      </c>
      <c r="AG8842" s="21">
        <v>0</v>
      </c>
      <c r="AH8842" s="21">
        <f t="shared" si="184"/>
        <v>0</v>
      </c>
      <c r="AI8842" s="21"/>
      <c r="AJ8842" s="21" t="s">
        <v>51</v>
      </c>
      <c r="AK8842" s="21" t="s">
        <v>95</v>
      </c>
      <c r="AL8842" s="21" t="s">
        <v>5722</v>
      </c>
      <c r="AM8842" s="21" t="s">
        <v>5723</v>
      </c>
      <c r="AN8842" s="21">
        <v>-122.39979624999999</v>
      </c>
      <c r="AO8842" s="21">
        <v>37.792330999999997</v>
      </c>
      <c r="AP8842" s="21" t="s">
        <v>541</v>
      </c>
    </row>
    <row r="8843" spans="1:42">
      <c r="A8843" s="22">
        <v>43879</v>
      </c>
      <c r="B8843" s="21">
        <v>2</v>
      </c>
      <c r="C8843" s="21">
        <v>815</v>
      </c>
      <c r="D8843" s="21">
        <v>14654</v>
      </c>
      <c r="E8843" s="21" t="s">
        <v>649</v>
      </c>
      <c r="F8843" s="21" t="s">
        <v>436</v>
      </c>
      <c r="G8843" s="23">
        <v>2</v>
      </c>
      <c r="H8843" s="21">
        <v>45</v>
      </c>
      <c r="I8843" s="23" t="s">
        <v>5666</v>
      </c>
      <c r="J8843" s="21"/>
      <c r="K8843" s="21" t="s">
        <v>58</v>
      </c>
      <c r="L8843" s="21" t="s">
        <v>114</v>
      </c>
      <c r="M8843" s="21" t="s">
        <v>52</v>
      </c>
      <c r="N8843" s="21" t="s">
        <v>40</v>
      </c>
      <c r="O8843" s="21">
        <v>21</v>
      </c>
      <c r="P8843" s="21"/>
      <c r="Q8843" s="21">
        <f t="shared" si="183"/>
        <v>1</v>
      </c>
      <c r="R8843" s="21">
        <v>0</v>
      </c>
      <c r="S8843" s="21">
        <v>0</v>
      </c>
      <c r="T8843" s="21">
        <v>0</v>
      </c>
      <c r="U8843" s="21">
        <v>0</v>
      </c>
      <c r="V8843" s="21">
        <v>0</v>
      </c>
      <c r="W8843" s="21">
        <v>0</v>
      </c>
      <c r="X8843" s="21">
        <v>1</v>
      </c>
      <c r="Y8843" s="21">
        <v>0</v>
      </c>
      <c r="Z8843" s="21">
        <v>0</v>
      </c>
      <c r="AA8843" s="21">
        <v>0</v>
      </c>
      <c r="AB8843" s="21">
        <v>0</v>
      </c>
      <c r="AC8843" s="21">
        <v>0</v>
      </c>
      <c r="AD8843" s="21">
        <v>0</v>
      </c>
      <c r="AE8843" s="21">
        <v>0</v>
      </c>
      <c r="AF8843" s="21">
        <v>0</v>
      </c>
      <c r="AG8843" s="21">
        <v>0</v>
      </c>
      <c r="AH8843" s="21">
        <f t="shared" si="184"/>
        <v>0</v>
      </c>
      <c r="AI8843" s="21"/>
      <c r="AJ8843" s="21" t="s">
        <v>51</v>
      </c>
      <c r="AK8843" s="21" t="s">
        <v>95</v>
      </c>
      <c r="AL8843" s="21"/>
      <c r="AM8843" s="21" t="s">
        <v>5724</v>
      </c>
      <c r="AN8843" s="21">
        <v>-122.401905883333</v>
      </c>
      <c r="AO8843" s="21">
        <v>37.794136966666599</v>
      </c>
      <c r="AP8843" s="21" t="s">
        <v>541</v>
      </c>
    </row>
    <row r="8844" spans="1:42">
      <c r="A8844" s="22">
        <v>43879</v>
      </c>
      <c r="B8844" s="21">
        <v>2</v>
      </c>
      <c r="C8844" s="21">
        <v>815</v>
      </c>
      <c r="D8844" s="21">
        <v>14654</v>
      </c>
      <c r="E8844" s="21" t="s">
        <v>649</v>
      </c>
      <c r="F8844" s="21" t="s">
        <v>436</v>
      </c>
      <c r="G8844" s="23">
        <v>2</v>
      </c>
      <c r="H8844" s="21">
        <v>46</v>
      </c>
      <c r="I8844" s="23" t="s">
        <v>3137</v>
      </c>
      <c r="J8844" s="21"/>
      <c r="K8844" s="21" t="s">
        <v>5725</v>
      </c>
      <c r="L8844" s="21" t="s">
        <v>114</v>
      </c>
      <c r="M8844" s="21" t="s">
        <v>52</v>
      </c>
      <c r="N8844" s="21" t="s">
        <v>40</v>
      </c>
      <c r="O8844" s="21">
        <v>19</v>
      </c>
      <c r="P8844" s="21"/>
      <c r="Q8844" s="21">
        <f t="shared" si="183"/>
        <v>1</v>
      </c>
      <c r="R8844" s="21">
        <v>0</v>
      </c>
      <c r="S8844" s="21">
        <v>0</v>
      </c>
      <c r="T8844" s="21">
        <v>0</v>
      </c>
      <c r="U8844" s="21">
        <v>0</v>
      </c>
      <c r="V8844" s="21">
        <v>0</v>
      </c>
      <c r="W8844" s="21">
        <v>0</v>
      </c>
      <c r="X8844" s="21">
        <v>1</v>
      </c>
      <c r="Y8844" s="21">
        <v>0</v>
      </c>
      <c r="Z8844" s="21">
        <v>0</v>
      </c>
      <c r="AA8844" s="21">
        <v>0</v>
      </c>
      <c r="AB8844" s="21">
        <v>0</v>
      </c>
      <c r="AC8844" s="21">
        <v>0</v>
      </c>
      <c r="AD8844" s="21">
        <v>0</v>
      </c>
      <c r="AE8844" s="21">
        <v>0</v>
      </c>
      <c r="AF8844" s="21">
        <v>0</v>
      </c>
      <c r="AG8844" s="21">
        <v>0</v>
      </c>
      <c r="AH8844" s="21">
        <f t="shared" si="184"/>
        <v>0</v>
      </c>
      <c r="AI8844" s="21"/>
      <c r="AJ8844" s="21" t="s">
        <v>54</v>
      </c>
      <c r="AK8844" s="21" t="s">
        <v>95</v>
      </c>
      <c r="AL8844" s="21"/>
      <c r="AM8844" s="21" t="s">
        <v>5726</v>
      </c>
      <c r="AN8844" s="21">
        <v>-122.40164935</v>
      </c>
      <c r="AO8844" s="21">
        <v>37.794916216666699</v>
      </c>
      <c r="AP8844" s="21" t="s">
        <v>541</v>
      </c>
    </row>
    <row r="8845" spans="1:42">
      <c r="A8845" s="22">
        <v>43879</v>
      </c>
      <c r="B8845" s="21">
        <v>2</v>
      </c>
      <c r="C8845" s="21">
        <v>815</v>
      </c>
      <c r="D8845" s="21">
        <v>14654</v>
      </c>
      <c r="E8845" s="21" t="s">
        <v>649</v>
      </c>
      <c r="F8845" s="21" t="s">
        <v>436</v>
      </c>
      <c r="G8845" s="23">
        <v>2</v>
      </c>
      <c r="H8845" s="21">
        <v>47</v>
      </c>
      <c r="I8845" s="23" t="s">
        <v>3209</v>
      </c>
      <c r="J8845" s="21"/>
      <c r="K8845" s="21" t="s">
        <v>5727</v>
      </c>
      <c r="L8845" s="21" t="s">
        <v>114</v>
      </c>
      <c r="M8845" s="21" t="s">
        <v>52</v>
      </c>
      <c r="N8845" s="21" t="s">
        <v>40</v>
      </c>
      <c r="O8845" s="21">
        <v>18</v>
      </c>
      <c r="P8845" s="21"/>
      <c r="Q8845" s="21">
        <f t="shared" si="183"/>
        <v>0</v>
      </c>
      <c r="R8845" s="21">
        <v>0</v>
      </c>
      <c r="S8845" s="21">
        <v>0</v>
      </c>
      <c r="T8845" s="21">
        <v>0</v>
      </c>
      <c r="U8845" s="21">
        <v>0</v>
      </c>
      <c r="V8845" s="21">
        <v>0</v>
      </c>
      <c r="W8845" s="21">
        <v>0</v>
      </c>
      <c r="X8845" s="21">
        <v>0</v>
      </c>
      <c r="Y8845" s="21">
        <v>0</v>
      </c>
      <c r="Z8845" s="21">
        <v>0</v>
      </c>
      <c r="AA8845" s="21">
        <v>0</v>
      </c>
      <c r="AB8845" s="21">
        <v>0</v>
      </c>
      <c r="AC8845" s="21">
        <v>0</v>
      </c>
      <c r="AD8845" s="21">
        <v>0</v>
      </c>
      <c r="AE8845" s="21">
        <v>0</v>
      </c>
      <c r="AF8845" s="21">
        <v>0</v>
      </c>
      <c r="AG8845" s="21">
        <v>0</v>
      </c>
      <c r="AH8845" s="21">
        <f t="shared" si="184"/>
        <v>0</v>
      </c>
      <c r="AI8845" s="21"/>
      <c r="AJ8845" s="21" t="s">
        <v>51</v>
      </c>
      <c r="AK8845" s="21" t="s">
        <v>95</v>
      </c>
      <c r="AL8845" s="21"/>
      <c r="AM8845" s="21" t="s">
        <v>5728</v>
      </c>
      <c r="AN8845" s="21">
        <v>-122.400791566667</v>
      </c>
      <c r="AO8845" s="21">
        <v>37.797704783333302</v>
      </c>
      <c r="AP8845" s="21" t="s">
        <v>541</v>
      </c>
    </row>
    <row r="8846" spans="1:42">
      <c r="A8846" s="22">
        <v>43879</v>
      </c>
      <c r="B8846" s="21">
        <v>2</v>
      </c>
      <c r="C8846" s="21">
        <v>815</v>
      </c>
      <c r="D8846" s="21">
        <v>14654</v>
      </c>
      <c r="E8846" s="21" t="s">
        <v>649</v>
      </c>
      <c r="F8846" s="21" t="s">
        <v>436</v>
      </c>
      <c r="G8846" s="23">
        <v>2</v>
      </c>
      <c r="H8846" s="21">
        <v>48</v>
      </c>
      <c r="I8846" s="23" t="s">
        <v>5729</v>
      </c>
      <c r="J8846" s="21"/>
      <c r="K8846" s="21" t="s">
        <v>60</v>
      </c>
      <c r="L8846" s="21" t="s">
        <v>11</v>
      </c>
      <c r="M8846" s="21" t="s">
        <v>95</v>
      </c>
      <c r="N8846" s="21" t="s">
        <v>40</v>
      </c>
      <c r="O8846" s="21">
        <v>33</v>
      </c>
      <c r="P8846" s="21"/>
      <c r="Q8846" s="21">
        <f t="shared" si="183"/>
        <v>0</v>
      </c>
      <c r="R8846" s="21">
        <v>0</v>
      </c>
      <c r="S8846" s="21">
        <v>0</v>
      </c>
      <c r="T8846" s="21">
        <v>0</v>
      </c>
      <c r="U8846" s="21">
        <v>0</v>
      </c>
      <c r="V8846" s="21">
        <v>0</v>
      </c>
      <c r="W8846" s="21">
        <v>0</v>
      </c>
      <c r="X8846" s="21">
        <v>0</v>
      </c>
      <c r="Y8846" s="21">
        <v>0</v>
      </c>
      <c r="Z8846" s="21">
        <v>0</v>
      </c>
      <c r="AA8846" s="21">
        <v>0</v>
      </c>
      <c r="AB8846" s="21">
        <v>0</v>
      </c>
      <c r="AC8846" s="21">
        <v>0</v>
      </c>
      <c r="AD8846" s="21">
        <v>0</v>
      </c>
      <c r="AE8846" s="21">
        <v>0</v>
      </c>
      <c r="AF8846" s="21">
        <v>0</v>
      </c>
      <c r="AG8846" s="21">
        <v>0</v>
      </c>
      <c r="AH8846" s="21">
        <f t="shared" si="184"/>
        <v>0</v>
      </c>
      <c r="AI8846" s="21"/>
      <c r="AJ8846" s="21" t="s">
        <v>51</v>
      </c>
      <c r="AK8846" s="21" t="s">
        <v>95</v>
      </c>
      <c r="AL8846" s="21"/>
      <c r="AM8846" s="21" t="s">
        <v>5730</v>
      </c>
      <c r="AN8846" s="21">
        <v>-122.400689266667</v>
      </c>
      <c r="AO8846" s="21">
        <v>37.796834133333299</v>
      </c>
      <c r="AP8846" s="21" t="s">
        <v>541</v>
      </c>
    </row>
    <row r="8847" spans="1:42">
      <c r="A8847" s="22">
        <v>43879</v>
      </c>
      <c r="B8847" s="21">
        <v>2</v>
      </c>
      <c r="C8847" s="21">
        <v>815</v>
      </c>
      <c r="D8847" s="21">
        <v>14654</v>
      </c>
      <c r="E8847" s="21" t="s">
        <v>649</v>
      </c>
      <c r="F8847" s="21" t="s">
        <v>436</v>
      </c>
      <c r="G8847" s="23">
        <v>2</v>
      </c>
      <c r="H8847" s="21">
        <v>49</v>
      </c>
      <c r="I8847" s="23" t="s">
        <v>5731</v>
      </c>
      <c r="J8847" s="21"/>
      <c r="K8847" s="21" t="s">
        <v>60</v>
      </c>
      <c r="L8847" s="21" t="s">
        <v>11</v>
      </c>
      <c r="M8847" s="21" t="s">
        <v>95</v>
      </c>
      <c r="N8847" s="21" t="s">
        <v>40</v>
      </c>
      <c r="O8847" s="21">
        <v>56</v>
      </c>
      <c r="P8847" s="21"/>
      <c r="Q8847" s="21">
        <f t="shared" si="183"/>
        <v>0</v>
      </c>
      <c r="R8847" s="21">
        <v>0</v>
      </c>
      <c r="S8847" s="21">
        <v>0</v>
      </c>
      <c r="T8847" s="21">
        <v>0</v>
      </c>
      <c r="U8847" s="21">
        <v>0</v>
      </c>
      <c r="V8847" s="21">
        <v>0</v>
      </c>
      <c r="W8847" s="21">
        <v>0</v>
      </c>
      <c r="X8847" s="21">
        <v>0</v>
      </c>
      <c r="Y8847" s="21">
        <v>0</v>
      </c>
      <c r="Z8847" s="21">
        <v>0</v>
      </c>
      <c r="AA8847" s="21">
        <v>0</v>
      </c>
      <c r="AB8847" s="21">
        <v>0</v>
      </c>
      <c r="AC8847" s="21">
        <v>0</v>
      </c>
      <c r="AD8847" s="21">
        <v>0</v>
      </c>
      <c r="AE8847" s="21">
        <v>0</v>
      </c>
      <c r="AF8847" s="21">
        <v>0</v>
      </c>
      <c r="AG8847" s="21">
        <v>0</v>
      </c>
      <c r="AH8847" s="21">
        <f t="shared" si="184"/>
        <v>0</v>
      </c>
      <c r="AI8847" s="21"/>
      <c r="AJ8847" s="21" t="s">
        <v>51</v>
      </c>
      <c r="AK8847" s="21" t="s">
        <v>95</v>
      </c>
      <c r="AL8847" s="21"/>
      <c r="AM8847" s="21" t="s">
        <v>5732</v>
      </c>
      <c r="AN8847" s="21">
        <v>-122.4003218</v>
      </c>
      <c r="AO8847" s="21">
        <v>37.795580333333298</v>
      </c>
      <c r="AP8847" s="21" t="s">
        <v>541</v>
      </c>
    </row>
    <row r="8848" spans="1:42">
      <c r="A8848" s="22">
        <v>43879</v>
      </c>
      <c r="B8848" s="21">
        <v>2</v>
      </c>
      <c r="C8848" s="21">
        <v>815</v>
      </c>
      <c r="D8848" s="21">
        <v>14654</v>
      </c>
      <c r="E8848" s="21" t="s">
        <v>649</v>
      </c>
      <c r="F8848" s="21" t="s">
        <v>436</v>
      </c>
      <c r="G8848" s="23">
        <v>2</v>
      </c>
      <c r="H8848" s="21">
        <v>50</v>
      </c>
      <c r="I8848" s="23" t="s">
        <v>4296</v>
      </c>
      <c r="J8848" s="21"/>
      <c r="K8848" s="21" t="s">
        <v>60</v>
      </c>
      <c r="L8848" s="21" t="s">
        <v>114</v>
      </c>
      <c r="M8848" s="21" t="s">
        <v>95</v>
      </c>
      <c r="N8848" s="21" t="s">
        <v>40</v>
      </c>
      <c r="O8848" s="21">
        <v>58</v>
      </c>
      <c r="P8848" s="21"/>
      <c r="Q8848" s="21">
        <f t="shared" si="183"/>
        <v>0</v>
      </c>
      <c r="R8848" s="21">
        <v>0</v>
      </c>
      <c r="S8848" s="21">
        <v>0</v>
      </c>
      <c r="T8848" s="21">
        <v>0</v>
      </c>
      <c r="U8848" s="21">
        <v>0</v>
      </c>
      <c r="V8848" s="21">
        <v>0</v>
      </c>
      <c r="W8848" s="21">
        <v>0</v>
      </c>
      <c r="X8848" s="21">
        <v>0</v>
      </c>
      <c r="Y8848" s="21">
        <v>0</v>
      </c>
      <c r="Z8848" s="21">
        <v>0</v>
      </c>
      <c r="AA8848" s="21">
        <v>0</v>
      </c>
      <c r="AB8848" s="21">
        <v>0</v>
      </c>
      <c r="AC8848" s="21">
        <v>0</v>
      </c>
      <c r="AD8848" s="21">
        <v>0</v>
      </c>
      <c r="AE8848" s="21">
        <v>0</v>
      </c>
      <c r="AF8848" s="21">
        <v>0</v>
      </c>
      <c r="AG8848" s="21">
        <v>0</v>
      </c>
      <c r="AH8848" s="21">
        <f t="shared" si="184"/>
        <v>0</v>
      </c>
      <c r="AI8848" s="21"/>
      <c r="AJ8848" s="21" t="s">
        <v>51</v>
      </c>
      <c r="AK8848" s="21" t="s">
        <v>95</v>
      </c>
      <c r="AL8848" s="21"/>
      <c r="AM8848" s="21" t="s">
        <v>5733</v>
      </c>
      <c r="AN8848" s="21">
        <v>-122.400147483333</v>
      </c>
      <c r="AO8848" s="21">
        <v>37.794746516666699</v>
      </c>
      <c r="AP8848" s="21" t="s">
        <v>541</v>
      </c>
    </row>
    <row r="8849" spans="1:42">
      <c r="A8849" s="22">
        <v>43879</v>
      </c>
      <c r="B8849" s="21">
        <v>2</v>
      </c>
      <c r="C8849" s="21">
        <v>815</v>
      </c>
      <c r="D8849" s="21">
        <v>14654</v>
      </c>
      <c r="E8849" s="21" t="s">
        <v>649</v>
      </c>
      <c r="F8849" s="21" t="s">
        <v>436</v>
      </c>
      <c r="G8849" s="23">
        <v>2</v>
      </c>
      <c r="H8849" s="21">
        <v>51</v>
      </c>
      <c r="I8849" s="23" t="s">
        <v>3495</v>
      </c>
      <c r="J8849" s="21"/>
      <c r="K8849" s="21" t="s">
        <v>5727</v>
      </c>
      <c r="L8849" s="21" t="s">
        <v>114</v>
      </c>
      <c r="M8849" s="21" t="s">
        <v>52</v>
      </c>
      <c r="N8849" s="21" t="s">
        <v>40</v>
      </c>
      <c r="O8849" s="21">
        <v>204</v>
      </c>
      <c r="P8849" s="21"/>
      <c r="Q8849" s="21">
        <f t="shared" si="183"/>
        <v>4</v>
      </c>
      <c r="R8849" s="21">
        <v>0</v>
      </c>
      <c r="S8849" s="21">
        <v>0</v>
      </c>
      <c r="T8849" s="21">
        <v>0</v>
      </c>
      <c r="U8849" s="21">
        <v>0</v>
      </c>
      <c r="V8849" s="21">
        <v>0</v>
      </c>
      <c r="W8849" s="21">
        <v>0</v>
      </c>
      <c r="X8849" s="21">
        <v>4</v>
      </c>
      <c r="Y8849" s="21">
        <v>0</v>
      </c>
      <c r="Z8849" s="21">
        <v>0</v>
      </c>
      <c r="AA8849" s="21">
        <v>0</v>
      </c>
      <c r="AB8849" s="21">
        <v>0</v>
      </c>
      <c r="AC8849" s="21">
        <v>0</v>
      </c>
      <c r="AD8849" s="21">
        <v>0</v>
      </c>
      <c r="AE8849" s="21">
        <v>0</v>
      </c>
      <c r="AF8849" s="21">
        <v>0</v>
      </c>
      <c r="AG8849" s="21">
        <v>0</v>
      </c>
      <c r="AH8849" s="21">
        <f t="shared" si="184"/>
        <v>0</v>
      </c>
      <c r="AI8849" s="21"/>
      <c r="AJ8849" s="21" t="s">
        <v>51</v>
      </c>
      <c r="AK8849" s="21" t="s">
        <v>95</v>
      </c>
      <c r="AL8849" s="21"/>
      <c r="AM8849" s="21" t="s">
        <v>5734</v>
      </c>
      <c r="AN8849" s="21">
        <v>-122.3991736</v>
      </c>
      <c r="AO8849" s="21">
        <v>37.791564749999999</v>
      </c>
      <c r="AP8849" s="21" t="s">
        <v>541</v>
      </c>
    </row>
    <row r="8850" spans="1:42">
      <c r="A8850" s="22">
        <v>43879</v>
      </c>
      <c r="B8850" s="21">
        <v>2</v>
      </c>
      <c r="C8850" s="21">
        <v>815</v>
      </c>
      <c r="D8850" s="21">
        <v>14654</v>
      </c>
      <c r="E8850" s="21" t="s">
        <v>649</v>
      </c>
      <c r="F8850" s="21" t="s">
        <v>436</v>
      </c>
      <c r="G8850" s="23">
        <v>2</v>
      </c>
      <c r="H8850" s="21">
        <v>53</v>
      </c>
      <c r="I8850" s="23" t="s">
        <v>5735</v>
      </c>
      <c r="J8850" s="21"/>
      <c r="K8850" s="21" t="s">
        <v>73</v>
      </c>
      <c r="L8850" s="21" t="s">
        <v>114</v>
      </c>
      <c r="M8850" s="21" t="s">
        <v>52</v>
      </c>
      <c r="N8850" s="21" t="s">
        <v>40</v>
      </c>
      <c r="O8850" s="21">
        <v>14</v>
      </c>
      <c r="P8850" s="21"/>
      <c r="Q8850" s="21">
        <f t="shared" si="183"/>
        <v>1</v>
      </c>
      <c r="R8850" s="21">
        <v>0</v>
      </c>
      <c r="S8850" s="21">
        <v>0</v>
      </c>
      <c r="T8850" s="21">
        <v>0</v>
      </c>
      <c r="U8850" s="21">
        <v>0</v>
      </c>
      <c r="V8850" s="21">
        <v>0</v>
      </c>
      <c r="W8850" s="21">
        <v>0</v>
      </c>
      <c r="X8850" s="21">
        <v>1</v>
      </c>
      <c r="Y8850" s="21">
        <v>0</v>
      </c>
      <c r="Z8850" s="21">
        <v>0</v>
      </c>
      <c r="AA8850" s="21">
        <v>0</v>
      </c>
      <c r="AB8850" s="21">
        <v>0</v>
      </c>
      <c r="AC8850" s="21">
        <v>0</v>
      </c>
      <c r="AD8850" s="21">
        <v>0</v>
      </c>
      <c r="AE8850" s="21">
        <v>0</v>
      </c>
      <c r="AF8850" s="21">
        <v>0</v>
      </c>
      <c r="AG8850" s="21">
        <v>0</v>
      </c>
      <c r="AH8850" s="21">
        <f t="shared" si="184"/>
        <v>0</v>
      </c>
      <c r="AI8850" s="21"/>
      <c r="AJ8850" s="21" t="s">
        <v>51</v>
      </c>
      <c r="AK8850" s="21" t="s">
        <v>95</v>
      </c>
      <c r="AL8850" s="21"/>
      <c r="AM8850" s="21" t="s">
        <v>5736</v>
      </c>
      <c r="AN8850" s="21">
        <v>-122.400247216667</v>
      </c>
      <c r="AO8850" s="21">
        <v>37.790047883333301</v>
      </c>
      <c r="AP8850" s="21" t="s">
        <v>541</v>
      </c>
    </row>
    <row r="8851" spans="1:42">
      <c r="A8851" s="22">
        <v>43879</v>
      </c>
      <c r="B8851" s="21">
        <v>2</v>
      </c>
      <c r="C8851" s="21">
        <v>815</v>
      </c>
      <c r="D8851" s="21">
        <v>14654</v>
      </c>
      <c r="E8851" s="21" t="s">
        <v>649</v>
      </c>
      <c r="F8851" s="21" t="s">
        <v>436</v>
      </c>
      <c r="G8851" s="23">
        <v>2</v>
      </c>
      <c r="H8851" s="21">
        <v>54</v>
      </c>
      <c r="I8851" s="23" t="s">
        <v>5737</v>
      </c>
      <c r="J8851" s="21"/>
      <c r="K8851" s="21" t="s">
        <v>73</v>
      </c>
      <c r="L8851" s="21" t="s">
        <v>114</v>
      </c>
      <c r="M8851" s="21" t="s">
        <v>52</v>
      </c>
      <c r="N8851" s="21" t="s">
        <v>40</v>
      </c>
      <c r="O8851" s="21">
        <v>23</v>
      </c>
      <c r="P8851" s="21"/>
      <c r="Q8851" s="21">
        <f t="shared" si="183"/>
        <v>1</v>
      </c>
      <c r="R8851" s="21">
        <v>0</v>
      </c>
      <c r="S8851" s="21">
        <v>0</v>
      </c>
      <c r="T8851" s="21">
        <v>0</v>
      </c>
      <c r="U8851" s="21">
        <v>0</v>
      </c>
      <c r="V8851" s="21">
        <v>0</v>
      </c>
      <c r="W8851" s="21">
        <v>0</v>
      </c>
      <c r="X8851" s="21">
        <v>1</v>
      </c>
      <c r="Y8851" s="21">
        <v>0</v>
      </c>
      <c r="Z8851" s="21">
        <v>0</v>
      </c>
      <c r="AA8851" s="21">
        <v>0</v>
      </c>
      <c r="AB8851" s="21">
        <v>0</v>
      </c>
      <c r="AC8851" s="21">
        <v>0</v>
      </c>
      <c r="AD8851" s="21">
        <v>0</v>
      </c>
      <c r="AE8851" s="21">
        <v>0</v>
      </c>
      <c r="AF8851" s="21">
        <v>0</v>
      </c>
      <c r="AG8851" s="21">
        <v>0</v>
      </c>
      <c r="AH8851" s="21">
        <f t="shared" si="184"/>
        <v>0</v>
      </c>
      <c r="AI8851" s="21"/>
      <c r="AJ8851" s="21" t="s">
        <v>51</v>
      </c>
      <c r="AK8851" s="21" t="s">
        <v>95</v>
      </c>
      <c r="AL8851" s="21"/>
      <c r="AM8851" s="21" t="s">
        <v>5738</v>
      </c>
      <c r="AN8851" s="21">
        <v>-122.400344116667</v>
      </c>
      <c r="AO8851" s="21">
        <v>37.790235733333297</v>
      </c>
      <c r="AP8851" s="21" t="s">
        <v>541</v>
      </c>
    </row>
    <row r="8852" spans="1:42">
      <c r="A8852" s="22">
        <v>43879</v>
      </c>
      <c r="B8852" s="21">
        <v>2</v>
      </c>
      <c r="C8852" s="21">
        <v>815</v>
      </c>
      <c r="D8852" s="21">
        <v>14654</v>
      </c>
      <c r="E8852" s="21" t="s">
        <v>649</v>
      </c>
      <c r="F8852" s="21" t="s">
        <v>436</v>
      </c>
      <c r="G8852" s="23">
        <v>2</v>
      </c>
      <c r="H8852" s="21">
        <v>55</v>
      </c>
      <c r="I8852" s="23" t="s">
        <v>5739</v>
      </c>
      <c r="J8852" s="21"/>
      <c r="K8852" s="21" t="s">
        <v>73</v>
      </c>
      <c r="L8852" s="21" t="s">
        <v>114</v>
      </c>
      <c r="M8852" s="21" t="s">
        <v>52</v>
      </c>
      <c r="N8852" s="21" t="s">
        <v>40</v>
      </c>
      <c r="O8852" s="21">
        <v>14</v>
      </c>
      <c r="P8852" s="21"/>
      <c r="Q8852" s="21">
        <f t="shared" si="183"/>
        <v>1</v>
      </c>
      <c r="R8852" s="21">
        <v>0</v>
      </c>
      <c r="S8852" s="21">
        <v>0</v>
      </c>
      <c r="T8852" s="21">
        <v>0</v>
      </c>
      <c r="U8852" s="21">
        <v>0</v>
      </c>
      <c r="V8852" s="21">
        <v>0</v>
      </c>
      <c r="W8852" s="21">
        <v>0</v>
      </c>
      <c r="X8852" s="21">
        <v>1</v>
      </c>
      <c r="Y8852" s="21">
        <v>0</v>
      </c>
      <c r="Z8852" s="21">
        <v>0</v>
      </c>
      <c r="AA8852" s="21">
        <v>0</v>
      </c>
      <c r="AB8852" s="21">
        <v>0</v>
      </c>
      <c r="AC8852" s="21">
        <v>0</v>
      </c>
      <c r="AD8852" s="21">
        <v>0</v>
      </c>
      <c r="AE8852" s="21">
        <v>0</v>
      </c>
      <c r="AF8852" s="21">
        <v>0</v>
      </c>
      <c r="AG8852" s="21">
        <v>0</v>
      </c>
      <c r="AH8852" s="21">
        <f t="shared" si="184"/>
        <v>0</v>
      </c>
      <c r="AI8852" s="21"/>
      <c r="AJ8852" s="21" t="s">
        <v>51</v>
      </c>
      <c r="AK8852" s="21" t="s">
        <v>95</v>
      </c>
      <c r="AL8852" s="21"/>
      <c r="AM8852" s="21" t="s">
        <v>5740</v>
      </c>
      <c r="AN8852" s="21">
        <v>-122.400780183333</v>
      </c>
      <c r="AO8852" s="21">
        <v>37.7896891166667</v>
      </c>
      <c r="AP8852" s="21" t="s">
        <v>541</v>
      </c>
    </row>
    <row r="8853" spans="1:42">
      <c r="A8853" s="22">
        <v>43879</v>
      </c>
      <c r="B8853" s="21">
        <v>2</v>
      </c>
      <c r="C8853" s="21">
        <v>815</v>
      </c>
      <c r="D8853" s="21">
        <v>14654</v>
      </c>
      <c r="E8853" s="21" t="s">
        <v>649</v>
      </c>
      <c r="F8853" s="21" t="s">
        <v>436</v>
      </c>
      <c r="G8853" s="23">
        <v>2</v>
      </c>
      <c r="H8853" s="21">
        <v>56</v>
      </c>
      <c r="I8853" s="23" t="s">
        <v>5741</v>
      </c>
      <c r="J8853" s="21"/>
      <c r="K8853" s="21" t="s">
        <v>73</v>
      </c>
      <c r="L8853" s="21" t="s">
        <v>114</v>
      </c>
      <c r="M8853" s="21" t="s">
        <v>52</v>
      </c>
      <c r="N8853" s="21" t="s">
        <v>40</v>
      </c>
      <c r="O8853" s="21">
        <v>13</v>
      </c>
      <c r="P8853" s="21"/>
      <c r="Q8853" s="21">
        <f t="shared" si="183"/>
        <v>1</v>
      </c>
      <c r="R8853" s="21">
        <v>0</v>
      </c>
      <c r="S8853" s="21">
        <v>0</v>
      </c>
      <c r="T8853" s="21">
        <v>0</v>
      </c>
      <c r="U8853" s="21">
        <v>0</v>
      </c>
      <c r="V8853" s="21">
        <v>0</v>
      </c>
      <c r="W8853" s="21">
        <v>0</v>
      </c>
      <c r="X8853" s="21">
        <v>1</v>
      </c>
      <c r="Y8853" s="21">
        <v>0</v>
      </c>
      <c r="Z8853" s="21">
        <v>0</v>
      </c>
      <c r="AA8853" s="21">
        <v>0</v>
      </c>
      <c r="AB8853" s="21">
        <v>0</v>
      </c>
      <c r="AC8853" s="21">
        <v>0</v>
      </c>
      <c r="AD8853" s="21">
        <v>0</v>
      </c>
      <c r="AE8853" s="21">
        <v>0</v>
      </c>
      <c r="AF8853" s="21">
        <v>0</v>
      </c>
      <c r="AG8853" s="21">
        <v>0</v>
      </c>
      <c r="AH8853" s="21">
        <f t="shared" si="184"/>
        <v>0</v>
      </c>
      <c r="AI8853" s="21"/>
      <c r="AJ8853" s="21" t="s">
        <v>51</v>
      </c>
      <c r="AK8853" s="21" t="s">
        <v>95</v>
      </c>
      <c r="AL8853" s="21"/>
      <c r="AM8853" s="21" t="s">
        <v>5742</v>
      </c>
      <c r="AN8853" s="21">
        <v>-122.40083595</v>
      </c>
      <c r="AO8853" s="21">
        <v>37.789445933333297</v>
      </c>
      <c r="AP8853" s="21" t="s">
        <v>541</v>
      </c>
    </row>
    <row r="8854" spans="1:42">
      <c r="A8854" s="22">
        <v>43879</v>
      </c>
      <c r="B8854" s="21">
        <v>2</v>
      </c>
      <c r="C8854" s="21">
        <v>815</v>
      </c>
      <c r="D8854" s="21">
        <v>14654</v>
      </c>
      <c r="E8854" s="21" t="s">
        <v>649</v>
      </c>
      <c r="F8854" s="21" t="s">
        <v>436</v>
      </c>
      <c r="G8854" s="23">
        <v>2</v>
      </c>
      <c r="H8854" s="21">
        <v>57</v>
      </c>
      <c r="I8854" s="23" t="s">
        <v>4270</v>
      </c>
      <c r="J8854" s="21"/>
      <c r="K8854" t="s">
        <v>71</v>
      </c>
      <c r="L8854" s="21" t="s">
        <v>114</v>
      </c>
      <c r="M8854" s="21" t="s">
        <v>52</v>
      </c>
      <c r="N8854" s="21" t="s">
        <v>40</v>
      </c>
      <c r="O8854" s="21">
        <v>119</v>
      </c>
      <c r="P8854" s="21"/>
      <c r="Q8854" s="21">
        <f t="shared" si="183"/>
        <v>2</v>
      </c>
      <c r="R8854" s="21">
        <v>0</v>
      </c>
      <c r="S8854" s="21">
        <v>0</v>
      </c>
      <c r="T8854" s="21">
        <v>0</v>
      </c>
      <c r="U8854" s="21">
        <v>0</v>
      </c>
      <c r="V8854" s="21">
        <v>0</v>
      </c>
      <c r="W8854" s="21">
        <v>0</v>
      </c>
      <c r="X8854" s="21">
        <v>2</v>
      </c>
      <c r="Y8854" s="21">
        <v>0</v>
      </c>
      <c r="Z8854" s="21">
        <v>0</v>
      </c>
      <c r="AA8854" s="21">
        <v>0</v>
      </c>
      <c r="AB8854" s="21">
        <v>0</v>
      </c>
      <c r="AC8854" s="21">
        <v>0</v>
      </c>
      <c r="AD8854" s="21">
        <v>0</v>
      </c>
      <c r="AE8854" s="21">
        <v>0</v>
      </c>
      <c r="AF8854" s="21">
        <v>0</v>
      </c>
      <c r="AG8854" s="21">
        <v>0</v>
      </c>
      <c r="AH8854" s="21">
        <f t="shared" si="184"/>
        <v>0</v>
      </c>
      <c r="AI8854" s="21"/>
      <c r="AJ8854" s="21" t="s">
        <v>51</v>
      </c>
      <c r="AK8854" s="21" t="s">
        <v>95</v>
      </c>
      <c r="AL8854" s="21"/>
      <c r="AM8854" s="21" t="s">
        <v>5743</v>
      </c>
      <c r="AN8854" s="21">
        <v>-122.401755983333</v>
      </c>
      <c r="AO8854" s="21">
        <v>37.789111866666701</v>
      </c>
      <c r="AP8854" s="21" t="s">
        <v>541</v>
      </c>
    </row>
    <row r="8855" spans="1:42">
      <c r="A8855" s="22">
        <v>43879</v>
      </c>
      <c r="B8855" s="21">
        <v>2</v>
      </c>
      <c r="C8855" s="21">
        <v>815</v>
      </c>
      <c r="D8855" s="21">
        <v>14654</v>
      </c>
      <c r="E8855" s="21" t="s">
        <v>649</v>
      </c>
      <c r="F8855" s="21" t="s">
        <v>436</v>
      </c>
      <c r="G8855" s="23">
        <v>2</v>
      </c>
      <c r="H8855" s="21">
        <v>58</v>
      </c>
      <c r="I8855" s="23" t="s">
        <v>4409</v>
      </c>
      <c r="J8855" s="21"/>
      <c r="K8855" s="21" t="s">
        <v>73</v>
      </c>
      <c r="L8855" s="21" t="s">
        <v>141</v>
      </c>
      <c r="M8855" s="21" t="s">
        <v>52</v>
      </c>
      <c r="N8855" s="21" t="s">
        <v>40</v>
      </c>
      <c r="O8855" s="21">
        <v>16</v>
      </c>
      <c r="P8855" s="21"/>
      <c r="Q8855" s="21">
        <f t="shared" si="183"/>
        <v>1</v>
      </c>
      <c r="R8855" s="21">
        <v>0</v>
      </c>
      <c r="S8855" s="21">
        <v>0</v>
      </c>
      <c r="T8855" s="21">
        <v>0</v>
      </c>
      <c r="U8855" s="21">
        <v>0</v>
      </c>
      <c r="V8855" s="21">
        <v>0</v>
      </c>
      <c r="W8855" s="21">
        <v>0</v>
      </c>
      <c r="X8855" s="21">
        <v>1</v>
      </c>
      <c r="Y8855" s="21">
        <v>0</v>
      </c>
      <c r="Z8855" s="21">
        <v>0</v>
      </c>
      <c r="AA8855" s="21">
        <v>0</v>
      </c>
      <c r="AB8855" s="21">
        <v>0</v>
      </c>
      <c r="AC8855" s="21">
        <v>0</v>
      </c>
      <c r="AD8855" s="21">
        <v>0</v>
      </c>
      <c r="AE8855" s="21">
        <v>0</v>
      </c>
      <c r="AF8855" s="21">
        <v>0</v>
      </c>
      <c r="AG8855" s="21">
        <v>0</v>
      </c>
      <c r="AH8855" s="21">
        <f t="shared" si="184"/>
        <v>0</v>
      </c>
      <c r="AI8855" s="21"/>
      <c r="AJ8855" s="21" t="s">
        <v>51</v>
      </c>
      <c r="AK8855" s="21" t="s">
        <v>95</v>
      </c>
      <c r="AL8855" s="21"/>
      <c r="AM8855" s="21" t="s">
        <v>5744</v>
      </c>
      <c r="AN8855" s="21">
        <v>-122.40185276666701</v>
      </c>
      <c r="AO8855" s="21">
        <v>37.788995466666599</v>
      </c>
      <c r="AP8855" s="21" t="s">
        <v>541</v>
      </c>
    </row>
    <row r="8856" spans="1:42">
      <c r="A8856" s="22">
        <v>43879</v>
      </c>
      <c r="B8856" s="21">
        <v>2</v>
      </c>
      <c r="C8856" s="21">
        <v>815</v>
      </c>
      <c r="D8856" s="21">
        <v>14654</v>
      </c>
      <c r="E8856" s="21" t="s">
        <v>649</v>
      </c>
      <c r="F8856" s="21" t="s">
        <v>436</v>
      </c>
      <c r="G8856" s="23">
        <v>2</v>
      </c>
      <c r="H8856" s="21">
        <v>59</v>
      </c>
      <c r="I8856" s="23" t="s">
        <v>5745</v>
      </c>
      <c r="J8856" s="21"/>
      <c r="K8856" s="21" t="s">
        <v>73</v>
      </c>
      <c r="L8856" s="21" t="s">
        <v>114</v>
      </c>
      <c r="M8856" s="21" t="s">
        <v>52</v>
      </c>
      <c r="N8856" s="21" t="s">
        <v>40</v>
      </c>
      <c r="O8856" s="21">
        <v>10</v>
      </c>
      <c r="P8856" s="21"/>
      <c r="Q8856" s="21">
        <f t="shared" si="183"/>
        <v>15</v>
      </c>
      <c r="R8856" s="21">
        <v>0</v>
      </c>
      <c r="S8856" s="21">
        <v>0</v>
      </c>
      <c r="T8856" s="21">
        <v>0</v>
      </c>
      <c r="U8856" s="21">
        <v>0</v>
      </c>
      <c r="V8856" s="21">
        <v>0</v>
      </c>
      <c r="W8856" s="21">
        <v>0</v>
      </c>
      <c r="X8856" s="21">
        <v>15</v>
      </c>
      <c r="Y8856" s="21">
        <v>0</v>
      </c>
      <c r="Z8856" s="21">
        <v>0</v>
      </c>
      <c r="AA8856" s="21">
        <v>0</v>
      </c>
      <c r="AB8856" s="21">
        <v>0</v>
      </c>
      <c r="AC8856" s="21">
        <v>0</v>
      </c>
      <c r="AD8856" s="21">
        <v>0</v>
      </c>
      <c r="AE8856" s="21">
        <v>0</v>
      </c>
      <c r="AF8856" s="21">
        <v>0</v>
      </c>
      <c r="AG8856" s="21">
        <v>0</v>
      </c>
      <c r="AH8856" s="21">
        <f t="shared" si="184"/>
        <v>0</v>
      </c>
      <c r="AI8856" s="21"/>
      <c r="AJ8856" s="21" t="s">
        <v>51</v>
      </c>
      <c r="AK8856" s="21" t="s">
        <v>95</v>
      </c>
      <c r="AL8856" s="21"/>
      <c r="AM8856" s="21" t="s">
        <v>5746</v>
      </c>
      <c r="AN8856" s="21">
        <v>-122.402370366667</v>
      </c>
      <c r="AO8856" s="21">
        <v>37.788558083333299</v>
      </c>
      <c r="AP8856" s="21" t="s">
        <v>541</v>
      </c>
    </row>
    <row r="8857" spans="1:42">
      <c r="A8857" s="22">
        <v>43879</v>
      </c>
      <c r="B8857" s="21">
        <v>2</v>
      </c>
      <c r="C8857" s="21">
        <v>815</v>
      </c>
      <c r="D8857" s="21">
        <v>14654</v>
      </c>
      <c r="E8857" s="21" t="s">
        <v>649</v>
      </c>
      <c r="F8857" s="21" t="s">
        <v>436</v>
      </c>
      <c r="G8857" s="23">
        <v>2</v>
      </c>
      <c r="H8857" s="21">
        <v>60</v>
      </c>
      <c r="I8857" s="23" t="s">
        <v>3437</v>
      </c>
      <c r="J8857" s="21"/>
      <c r="K8857" s="21" t="s">
        <v>380</v>
      </c>
      <c r="L8857" s="21" t="s">
        <v>114</v>
      </c>
      <c r="M8857" s="21" t="s">
        <v>52</v>
      </c>
      <c r="N8857" s="21" t="s">
        <v>40</v>
      </c>
      <c r="O8857" s="21">
        <v>22</v>
      </c>
      <c r="P8857" s="21"/>
      <c r="Q8857" s="21">
        <f t="shared" si="183"/>
        <v>1</v>
      </c>
      <c r="R8857" s="21">
        <v>0</v>
      </c>
      <c r="S8857" s="21">
        <v>0</v>
      </c>
      <c r="T8857" s="21">
        <v>0</v>
      </c>
      <c r="U8857" s="21">
        <v>0</v>
      </c>
      <c r="V8857" s="21">
        <v>0</v>
      </c>
      <c r="W8857" s="21">
        <v>0</v>
      </c>
      <c r="X8857" s="21">
        <v>1</v>
      </c>
      <c r="Y8857" s="21">
        <v>0</v>
      </c>
      <c r="Z8857" s="21">
        <v>0</v>
      </c>
      <c r="AA8857" s="21">
        <v>0</v>
      </c>
      <c r="AB8857" s="21">
        <v>0</v>
      </c>
      <c r="AC8857" s="21">
        <v>0</v>
      </c>
      <c r="AD8857" s="21">
        <v>0</v>
      </c>
      <c r="AE8857" s="21">
        <v>0</v>
      </c>
      <c r="AF8857" s="21">
        <v>0</v>
      </c>
      <c r="AG8857" s="21">
        <v>0</v>
      </c>
      <c r="AH8857" s="21">
        <f t="shared" si="184"/>
        <v>0</v>
      </c>
      <c r="AI8857" s="21"/>
      <c r="AJ8857" s="21" t="s">
        <v>51</v>
      </c>
      <c r="AK8857" s="21" t="s">
        <v>95</v>
      </c>
      <c r="AL8857" s="21"/>
      <c r="AM8857" s="21" t="s">
        <v>5747</v>
      </c>
      <c r="AN8857" s="21">
        <v>-122.40062275</v>
      </c>
      <c r="AO8857" s="21">
        <v>37.788452083333297</v>
      </c>
      <c r="AP8857" s="21" t="s">
        <v>541</v>
      </c>
    </row>
    <row r="8858" spans="1:42">
      <c r="A8858" s="22">
        <v>43879</v>
      </c>
      <c r="B8858" s="21">
        <v>2</v>
      </c>
      <c r="C8858" s="21">
        <v>815</v>
      </c>
      <c r="D8858" s="21">
        <v>14654</v>
      </c>
      <c r="E8858" s="21" t="s">
        <v>649</v>
      </c>
      <c r="F8858" s="21" t="s">
        <v>436</v>
      </c>
      <c r="G8858" s="23">
        <v>2</v>
      </c>
      <c r="H8858" s="21">
        <v>61</v>
      </c>
      <c r="I8858" s="23" t="s">
        <v>5748</v>
      </c>
      <c r="J8858" s="21"/>
      <c r="K8858" s="21" t="s">
        <v>5749</v>
      </c>
      <c r="L8858" s="21" t="s">
        <v>114</v>
      </c>
      <c r="M8858" s="21" t="s">
        <v>95</v>
      </c>
      <c r="N8858" s="21" t="s">
        <v>40</v>
      </c>
      <c r="O8858" s="21">
        <v>266</v>
      </c>
      <c r="P8858" s="21"/>
      <c r="Q8858" s="21">
        <f t="shared" si="183"/>
        <v>4</v>
      </c>
      <c r="R8858" s="21">
        <v>0</v>
      </c>
      <c r="S8858" s="21">
        <v>0</v>
      </c>
      <c r="T8858" s="21">
        <v>0</v>
      </c>
      <c r="U8858" s="21">
        <v>0</v>
      </c>
      <c r="V8858" s="21">
        <v>0</v>
      </c>
      <c r="W8858" s="21">
        <v>0</v>
      </c>
      <c r="X8858" s="21">
        <v>4</v>
      </c>
      <c r="Y8858" s="21">
        <v>0</v>
      </c>
      <c r="Z8858" s="21">
        <v>0</v>
      </c>
      <c r="AA8858" s="21">
        <v>0</v>
      </c>
      <c r="AB8858" s="21">
        <v>0</v>
      </c>
      <c r="AC8858" s="21">
        <v>0</v>
      </c>
      <c r="AD8858" s="21">
        <v>0</v>
      </c>
      <c r="AE8858" s="21">
        <v>0</v>
      </c>
      <c r="AF8858" s="21">
        <v>0</v>
      </c>
      <c r="AG8858" s="21">
        <v>0</v>
      </c>
      <c r="AH8858" s="21">
        <f t="shared" si="184"/>
        <v>0</v>
      </c>
      <c r="AI8858" s="21"/>
      <c r="AJ8858" s="21" t="s">
        <v>51</v>
      </c>
      <c r="AK8858" s="21" t="s">
        <v>95</v>
      </c>
      <c r="AL8858" s="21"/>
      <c r="AM8858" s="21" t="s">
        <v>5750</v>
      </c>
      <c r="AN8858" s="21">
        <v>-122.399397833333</v>
      </c>
      <c r="AO8858" s="21">
        <v>37.787870983333299</v>
      </c>
      <c r="AP8858" s="21" t="s">
        <v>541</v>
      </c>
    </row>
    <row r="8859" spans="1:42">
      <c r="A8859" s="22">
        <v>43879</v>
      </c>
      <c r="B8859" s="21">
        <v>2</v>
      </c>
      <c r="C8859" s="21">
        <v>815</v>
      </c>
      <c r="D8859" s="21">
        <v>14654</v>
      </c>
      <c r="E8859" s="21" t="s">
        <v>649</v>
      </c>
      <c r="F8859" s="21" t="s">
        <v>436</v>
      </c>
      <c r="G8859" s="23">
        <v>2</v>
      </c>
      <c r="H8859" s="21">
        <v>62</v>
      </c>
      <c r="I8859" s="23" t="s">
        <v>5751</v>
      </c>
      <c r="J8859" s="21"/>
      <c r="K8859" s="21" t="s">
        <v>5752</v>
      </c>
      <c r="L8859" s="21" t="s">
        <v>114</v>
      </c>
      <c r="M8859" s="21" t="s">
        <v>95</v>
      </c>
      <c r="N8859" s="21" t="s">
        <v>40</v>
      </c>
      <c r="O8859" s="21">
        <v>112</v>
      </c>
      <c r="P8859" s="21"/>
      <c r="Q8859" s="21">
        <f t="shared" si="183"/>
        <v>2</v>
      </c>
      <c r="R8859" s="21">
        <v>0</v>
      </c>
      <c r="S8859" s="21">
        <v>0</v>
      </c>
      <c r="T8859" s="21">
        <v>0</v>
      </c>
      <c r="U8859" s="21">
        <v>0</v>
      </c>
      <c r="V8859" s="21">
        <v>0</v>
      </c>
      <c r="W8859" s="21">
        <v>0</v>
      </c>
      <c r="X8859" s="21">
        <v>2</v>
      </c>
      <c r="Y8859" s="21">
        <v>0</v>
      </c>
      <c r="Z8859" s="21">
        <v>0</v>
      </c>
      <c r="AA8859" s="21">
        <v>0</v>
      </c>
      <c r="AB8859" s="21">
        <v>0</v>
      </c>
      <c r="AC8859" s="21">
        <v>0</v>
      </c>
      <c r="AD8859" s="21">
        <v>0</v>
      </c>
      <c r="AE8859" s="21">
        <v>0</v>
      </c>
      <c r="AF8859" s="21">
        <v>0</v>
      </c>
      <c r="AG8859" s="21">
        <v>0</v>
      </c>
      <c r="AH8859" s="21">
        <f t="shared" si="184"/>
        <v>0</v>
      </c>
      <c r="AI8859" s="21"/>
      <c r="AJ8859" s="21" t="s">
        <v>51</v>
      </c>
      <c r="AK8859" s="21" t="s">
        <v>95</v>
      </c>
      <c r="AL8859" s="21"/>
      <c r="AM8859" s="21" t="s">
        <v>5753</v>
      </c>
      <c r="AN8859" s="21">
        <v>-122.396299816667</v>
      </c>
      <c r="AO8859" s="21">
        <v>37.785412133333303</v>
      </c>
      <c r="AP8859" s="21" t="s">
        <v>541</v>
      </c>
    </row>
    <row r="8860" spans="1:42">
      <c r="A8860" s="22">
        <v>43879</v>
      </c>
      <c r="B8860" s="21">
        <v>2</v>
      </c>
      <c r="C8860" s="21">
        <v>815</v>
      </c>
      <c r="D8860" s="21">
        <v>14654</v>
      </c>
      <c r="E8860" s="21" t="s">
        <v>649</v>
      </c>
      <c r="F8860" s="21" t="s">
        <v>436</v>
      </c>
      <c r="G8860" s="23">
        <v>2</v>
      </c>
      <c r="H8860" s="21">
        <v>63</v>
      </c>
      <c r="I8860" s="23" t="s">
        <v>4296</v>
      </c>
      <c r="J8860" s="21"/>
      <c r="K8860" s="21" t="s">
        <v>380</v>
      </c>
      <c r="L8860" s="21" t="s">
        <v>114</v>
      </c>
      <c r="M8860" s="21" t="s">
        <v>52</v>
      </c>
      <c r="N8860" s="21" t="s">
        <v>40</v>
      </c>
      <c r="O8860" s="21">
        <v>32</v>
      </c>
      <c r="P8860" s="21"/>
      <c r="Q8860" s="21">
        <f t="shared" si="183"/>
        <v>1</v>
      </c>
      <c r="R8860" s="21">
        <v>0</v>
      </c>
      <c r="S8860" s="21">
        <v>0</v>
      </c>
      <c r="T8860" s="21">
        <v>0</v>
      </c>
      <c r="U8860" s="21">
        <v>0</v>
      </c>
      <c r="V8860" s="21">
        <v>0</v>
      </c>
      <c r="W8860" s="21">
        <v>0</v>
      </c>
      <c r="X8860" s="21">
        <v>1</v>
      </c>
      <c r="Y8860" s="21">
        <v>0</v>
      </c>
      <c r="Z8860" s="21">
        <v>0</v>
      </c>
      <c r="AA8860" s="21">
        <v>0</v>
      </c>
      <c r="AB8860" s="21">
        <v>0</v>
      </c>
      <c r="AC8860" s="21">
        <v>0</v>
      </c>
      <c r="AD8860" s="21">
        <v>0</v>
      </c>
      <c r="AE8860" s="21">
        <v>0</v>
      </c>
      <c r="AF8860" s="21">
        <v>0</v>
      </c>
      <c r="AG8860" s="21">
        <v>0</v>
      </c>
      <c r="AH8860" s="21">
        <f t="shared" si="184"/>
        <v>0</v>
      </c>
      <c r="AI8860" s="21"/>
      <c r="AJ8860" s="21" t="s">
        <v>51</v>
      </c>
      <c r="AK8860" s="21" t="s">
        <v>95</v>
      </c>
      <c r="AL8860" s="21"/>
      <c r="AM8860" s="21" t="s">
        <v>5754</v>
      </c>
      <c r="AN8860" s="21">
        <v>-122.39530311666699</v>
      </c>
      <c r="AO8860" s="21">
        <v>37.784439866666602</v>
      </c>
      <c r="AP8860" s="21" t="s">
        <v>541</v>
      </c>
    </row>
    <row r="8861" spans="1:42">
      <c r="A8861" s="22">
        <v>43879</v>
      </c>
      <c r="B8861" s="21">
        <v>2</v>
      </c>
      <c r="C8861" s="21">
        <v>815</v>
      </c>
      <c r="D8861" s="21">
        <v>14654</v>
      </c>
      <c r="E8861" s="21" t="s">
        <v>649</v>
      </c>
      <c r="F8861" s="21" t="s">
        <v>436</v>
      </c>
      <c r="G8861" s="23">
        <v>2</v>
      </c>
      <c r="H8861" s="21">
        <v>64</v>
      </c>
      <c r="I8861" s="23" t="s">
        <v>5755</v>
      </c>
      <c r="J8861" s="21"/>
      <c r="K8861" s="21" t="s">
        <v>380</v>
      </c>
      <c r="L8861" s="21" t="s">
        <v>114</v>
      </c>
      <c r="M8861" s="21" t="s">
        <v>52</v>
      </c>
      <c r="N8861" s="21" t="s">
        <v>40</v>
      </c>
      <c r="O8861" s="21">
        <v>18</v>
      </c>
      <c r="P8861" s="21"/>
      <c r="Q8861" s="21">
        <f t="shared" si="183"/>
        <v>1</v>
      </c>
      <c r="R8861" s="21">
        <v>0</v>
      </c>
      <c r="S8861" s="21">
        <v>0</v>
      </c>
      <c r="T8861" s="21">
        <v>0</v>
      </c>
      <c r="U8861" s="21">
        <v>0</v>
      </c>
      <c r="V8861" s="21">
        <v>0</v>
      </c>
      <c r="W8861" s="21">
        <v>0</v>
      </c>
      <c r="X8861" s="21">
        <v>1</v>
      </c>
      <c r="Y8861" s="21">
        <v>0</v>
      </c>
      <c r="Z8861" s="21">
        <v>0</v>
      </c>
      <c r="AA8861" s="21">
        <v>0</v>
      </c>
      <c r="AB8861" s="21">
        <v>0</v>
      </c>
      <c r="AC8861" s="21">
        <v>0</v>
      </c>
      <c r="AD8861" s="21">
        <v>0</v>
      </c>
      <c r="AE8861" s="21">
        <v>0</v>
      </c>
      <c r="AF8861" s="21">
        <v>0</v>
      </c>
      <c r="AG8861" s="21">
        <v>0</v>
      </c>
      <c r="AH8861" s="21">
        <f t="shared" si="184"/>
        <v>0</v>
      </c>
      <c r="AI8861" s="21"/>
      <c r="AJ8861" s="21" t="s">
        <v>51</v>
      </c>
      <c r="AK8861" s="21" t="s">
        <v>95</v>
      </c>
      <c r="AL8861" s="21"/>
      <c r="AM8861" s="21" t="s">
        <v>5756</v>
      </c>
      <c r="AN8861" s="21">
        <v>-122.3940468</v>
      </c>
      <c r="AO8861" s="21">
        <v>37.783473433333299</v>
      </c>
      <c r="AP8861" s="21" t="s">
        <v>541</v>
      </c>
    </row>
    <row r="8862" spans="1:42">
      <c r="A8862" s="22">
        <v>43879</v>
      </c>
      <c r="B8862" s="21">
        <v>2</v>
      </c>
      <c r="C8862" s="21">
        <v>815</v>
      </c>
      <c r="D8862" s="21">
        <v>14654</v>
      </c>
      <c r="E8862" s="21" t="s">
        <v>649</v>
      </c>
      <c r="F8862" s="21" t="s">
        <v>436</v>
      </c>
      <c r="G8862" s="23">
        <v>2</v>
      </c>
      <c r="H8862" s="21">
        <v>65</v>
      </c>
      <c r="I8862" s="23" t="s">
        <v>5757</v>
      </c>
      <c r="J8862" s="21"/>
      <c r="K8862" s="21" t="s">
        <v>380</v>
      </c>
      <c r="L8862" s="21" t="s">
        <v>114</v>
      </c>
      <c r="M8862" s="21" t="s">
        <v>95</v>
      </c>
      <c r="N8862" s="21" t="s">
        <v>40</v>
      </c>
      <c r="O8862" s="21">
        <v>208</v>
      </c>
      <c r="P8862" s="21"/>
      <c r="Q8862" s="21">
        <f t="shared" si="183"/>
        <v>3</v>
      </c>
      <c r="R8862" s="21">
        <v>0</v>
      </c>
      <c r="S8862" s="21">
        <v>0</v>
      </c>
      <c r="T8862" s="21">
        <v>0</v>
      </c>
      <c r="U8862" s="21">
        <v>0</v>
      </c>
      <c r="V8862" s="21">
        <v>0</v>
      </c>
      <c r="W8862" s="21">
        <v>0</v>
      </c>
      <c r="X8862" s="21">
        <v>3</v>
      </c>
      <c r="Y8862" s="21">
        <v>0</v>
      </c>
      <c r="Z8862" s="21">
        <v>0</v>
      </c>
      <c r="AA8862" s="21">
        <v>0</v>
      </c>
      <c r="AB8862" s="21">
        <v>0</v>
      </c>
      <c r="AC8862" s="21">
        <v>0</v>
      </c>
      <c r="AD8862" s="21">
        <v>0</v>
      </c>
      <c r="AE8862" s="21">
        <v>0</v>
      </c>
      <c r="AF8862" s="21">
        <v>0</v>
      </c>
      <c r="AG8862" s="21">
        <v>0</v>
      </c>
      <c r="AH8862" s="21">
        <f t="shared" si="184"/>
        <v>0</v>
      </c>
      <c r="AI8862" s="21"/>
      <c r="AJ8862" s="21" t="s">
        <v>51</v>
      </c>
      <c r="AK8862" s="21" t="s">
        <v>95</v>
      </c>
      <c r="AL8862" s="21"/>
      <c r="AM8862" s="21" t="s">
        <v>5758</v>
      </c>
      <c r="AN8862" s="21">
        <v>-122.393780866667</v>
      </c>
      <c r="AO8862" s="21">
        <v>37.783189583333296</v>
      </c>
      <c r="AP8862" s="21" t="s">
        <v>541</v>
      </c>
    </row>
    <row r="8863" spans="1:42">
      <c r="A8863" s="22">
        <v>43879</v>
      </c>
      <c r="B8863" s="21">
        <v>2</v>
      </c>
      <c r="C8863" s="21">
        <v>815</v>
      </c>
      <c r="D8863" s="21">
        <v>14654</v>
      </c>
      <c r="E8863" s="21" t="s">
        <v>649</v>
      </c>
      <c r="F8863" s="21" t="s">
        <v>436</v>
      </c>
      <c r="G8863" s="23">
        <v>2</v>
      </c>
      <c r="H8863" s="21">
        <v>66</v>
      </c>
      <c r="I8863" s="23" t="s">
        <v>4237</v>
      </c>
      <c r="J8863" s="21"/>
      <c r="K8863" s="21" t="s">
        <v>1110</v>
      </c>
      <c r="L8863" s="21" t="s">
        <v>141</v>
      </c>
      <c r="M8863" s="21" t="s">
        <v>52</v>
      </c>
      <c r="N8863" s="21" t="s">
        <v>40</v>
      </c>
      <c r="O8863" s="21">
        <v>133</v>
      </c>
      <c r="P8863" s="21"/>
      <c r="Q8863" s="21">
        <f t="shared" si="183"/>
        <v>2</v>
      </c>
      <c r="R8863" s="21">
        <v>0</v>
      </c>
      <c r="S8863" s="21">
        <v>0</v>
      </c>
      <c r="T8863" s="21">
        <v>0</v>
      </c>
      <c r="U8863" s="21">
        <v>0</v>
      </c>
      <c r="V8863" s="21">
        <v>0</v>
      </c>
      <c r="W8863" s="21">
        <v>0</v>
      </c>
      <c r="X8863" s="21">
        <v>2</v>
      </c>
      <c r="Y8863" s="21">
        <v>0</v>
      </c>
      <c r="Z8863" s="21">
        <v>0</v>
      </c>
      <c r="AA8863" s="21">
        <v>0</v>
      </c>
      <c r="AB8863" s="21">
        <v>0</v>
      </c>
      <c r="AC8863" s="21">
        <v>0</v>
      </c>
      <c r="AD8863" s="21">
        <v>0</v>
      </c>
      <c r="AE8863" s="21">
        <v>0</v>
      </c>
      <c r="AF8863" s="21">
        <v>0</v>
      </c>
      <c r="AG8863" s="21">
        <v>0</v>
      </c>
      <c r="AH8863" s="21">
        <f t="shared" si="184"/>
        <v>0</v>
      </c>
      <c r="AI8863" s="21"/>
      <c r="AJ8863" s="21" t="s">
        <v>51</v>
      </c>
      <c r="AK8863" s="21" t="s">
        <v>95</v>
      </c>
      <c r="AL8863" s="21" t="s">
        <v>5759</v>
      </c>
      <c r="AM8863" s="21" t="s">
        <v>5760</v>
      </c>
      <c r="AN8863" s="21">
        <v>-122.39185518333301</v>
      </c>
      <c r="AO8863" s="21">
        <v>37.781688733333297</v>
      </c>
      <c r="AP8863" s="21" t="s">
        <v>541</v>
      </c>
    </row>
    <row r="8864" spans="1:42">
      <c r="A8864" s="22">
        <v>43879</v>
      </c>
      <c r="B8864" s="21">
        <v>2</v>
      </c>
      <c r="C8864" s="21">
        <v>815</v>
      </c>
      <c r="D8864" s="21">
        <v>14654</v>
      </c>
      <c r="E8864" s="21" t="s">
        <v>649</v>
      </c>
      <c r="F8864" s="21" t="s">
        <v>436</v>
      </c>
      <c r="G8864" s="23">
        <v>2</v>
      </c>
      <c r="H8864" s="21">
        <v>67</v>
      </c>
      <c r="I8864" s="23" t="s">
        <v>5761</v>
      </c>
      <c r="J8864" s="21"/>
      <c r="K8864" s="21" t="s">
        <v>394</v>
      </c>
      <c r="L8864" s="21" t="s">
        <v>114</v>
      </c>
      <c r="M8864" s="21" t="s">
        <v>95</v>
      </c>
      <c r="N8864" s="21" t="s">
        <v>40</v>
      </c>
      <c r="O8864" s="21">
        <v>360</v>
      </c>
      <c r="P8864" s="21"/>
      <c r="Q8864" s="21">
        <f t="shared" si="183"/>
        <v>6</v>
      </c>
      <c r="R8864" s="21">
        <v>0</v>
      </c>
      <c r="S8864" s="21">
        <v>0</v>
      </c>
      <c r="T8864" s="21">
        <v>0</v>
      </c>
      <c r="U8864" s="21">
        <v>0</v>
      </c>
      <c r="V8864" s="21">
        <v>0</v>
      </c>
      <c r="W8864" s="21">
        <v>0</v>
      </c>
      <c r="X8864" s="21">
        <v>6</v>
      </c>
      <c r="Y8864" s="21">
        <v>0</v>
      </c>
      <c r="Z8864" s="21">
        <v>0</v>
      </c>
      <c r="AA8864" s="21">
        <v>0</v>
      </c>
      <c r="AB8864" s="21">
        <v>0</v>
      </c>
      <c r="AC8864" s="21">
        <v>0</v>
      </c>
      <c r="AD8864" s="21">
        <v>0</v>
      </c>
      <c r="AE8864" s="21">
        <v>0</v>
      </c>
      <c r="AF8864" s="21">
        <v>0</v>
      </c>
      <c r="AG8864" s="21">
        <v>0</v>
      </c>
      <c r="AH8864" s="21">
        <f t="shared" si="184"/>
        <v>0</v>
      </c>
      <c r="AI8864" s="21"/>
      <c r="AJ8864" s="21" t="s">
        <v>51</v>
      </c>
      <c r="AK8864" s="21" t="s">
        <v>95</v>
      </c>
      <c r="AL8864" s="21"/>
      <c r="AM8864" s="21" t="s">
        <v>5762</v>
      </c>
      <c r="AN8864" s="21">
        <v>-122.393658983333</v>
      </c>
      <c r="AO8864" s="21">
        <v>37.793223633333298</v>
      </c>
      <c r="AP8864" s="21" t="s">
        <v>541</v>
      </c>
    </row>
    <row r="8865" spans="1:42">
      <c r="A8865" s="22">
        <v>43879</v>
      </c>
      <c r="B8865" s="21">
        <v>2</v>
      </c>
      <c r="C8865" s="21">
        <v>815</v>
      </c>
      <c r="D8865" s="21">
        <v>14654</v>
      </c>
      <c r="E8865" s="21" t="s">
        <v>649</v>
      </c>
      <c r="F8865" s="21" t="s">
        <v>436</v>
      </c>
      <c r="G8865" s="23">
        <v>2</v>
      </c>
      <c r="H8865" s="21">
        <v>68</v>
      </c>
      <c r="I8865" s="23" t="s">
        <v>5763</v>
      </c>
      <c r="J8865" s="21"/>
      <c r="K8865" s="21" t="s">
        <v>394</v>
      </c>
      <c r="L8865" s="21" t="s">
        <v>114</v>
      </c>
      <c r="M8865" s="21" t="s">
        <v>52</v>
      </c>
      <c r="N8865" s="21" t="s">
        <v>40</v>
      </c>
      <c r="O8865" s="21">
        <v>17</v>
      </c>
      <c r="P8865" s="21"/>
      <c r="Q8865" s="21">
        <f t="shared" si="183"/>
        <v>1</v>
      </c>
      <c r="R8865" s="21">
        <v>0</v>
      </c>
      <c r="S8865" s="21">
        <v>0</v>
      </c>
      <c r="T8865" s="21">
        <v>0</v>
      </c>
      <c r="U8865" s="21">
        <v>0</v>
      </c>
      <c r="V8865" s="21">
        <v>0</v>
      </c>
      <c r="W8865" s="21">
        <v>0</v>
      </c>
      <c r="X8865" s="21">
        <v>1</v>
      </c>
      <c r="Y8865" s="21">
        <v>0</v>
      </c>
      <c r="Z8865" s="21">
        <v>0</v>
      </c>
      <c r="AA8865" s="21">
        <v>0</v>
      </c>
      <c r="AB8865" s="21">
        <v>0</v>
      </c>
      <c r="AC8865" s="21">
        <v>0</v>
      </c>
      <c r="AD8865" s="21">
        <v>0</v>
      </c>
      <c r="AE8865" s="21">
        <v>0</v>
      </c>
      <c r="AF8865" s="21">
        <v>0</v>
      </c>
      <c r="AG8865" s="21">
        <v>0</v>
      </c>
      <c r="AH8865" s="21">
        <f t="shared" si="184"/>
        <v>0</v>
      </c>
      <c r="AI8865" s="21"/>
      <c r="AJ8865" s="21" t="s">
        <v>51</v>
      </c>
      <c r="AK8865" s="21" t="s">
        <v>95</v>
      </c>
      <c r="AL8865" s="21"/>
      <c r="AM8865" s="21" t="s">
        <v>5764</v>
      </c>
      <c r="AN8865" s="21">
        <v>-122.39423425</v>
      </c>
      <c r="AO8865" s="21">
        <v>37.792418416666699</v>
      </c>
      <c r="AP8865" s="21" t="s">
        <v>541</v>
      </c>
    </row>
    <row r="8866" spans="1:42">
      <c r="A8866" s="22">
        <v>43879</v>
      </c>
      <c r="B8866" s="21">
        <v>2</v>
      </c>
      <c r="C8866" s="21">
        <v>815</v>
      </c>
      <c r="D8866" s="21">
        <v>14654</v>
      </c>
      <c r="E8866" s="21" t="s">
        <v>649</v>
      </c>
      <c r="F8866" s="21" t="s">
        <v>436</v>
      </c>
      <c r="G8866" s="23">
        <v>2</v>
      </c>
      <c r="H8866" s="21">
        <v>69</v>
      </c>
      <c r="I8866" s="23" t="s">
        <v>3214</v>
      </c>
      <c r="J8866" s="21"/>
      <c r="K8866" s="21" t="s">
        <v>394</v>
      </c>
      <c r="L8866" s="21" t="s">
        <v>114</v>
      </c>
      <c r="M8866" s="21" t="s">
        <v>52</v>
      </c>
      <c r="N8866" s="21" t="s">
        <v>40</v>
      </c>
      <c r="O8866" s="21">
        <v>12</v>
      </c>
      <c r="P8866" s="21"/>
      <c r="Q8866" s="21">
        <f t="shared" si="183"/>
        <v>1</v>
      </c>
      <c r="R8866" s="21">
        <v>0</v>
      </c>
      <c r="S8866" s="21">
        <v>0</v>
      </c>
      <c r="T8866" s="21">
        <v>0</v>
      </c>
      <c r="U8866" s="21">
        <v>0</v>
      </c>
      <c r="V8866" s="21">
        <v>0</v>
      </c>
      <c r="W8866" s="21">
        <v>0</v>
      </c>
      <c r="X8866" s="21">
        <v>1</v>
      </c>
      <c r="Y8866" s="21">
        <v>0</v>
      </c>
      <c r="Z8866" s="21">
        <v>0</v>
      </c>
      <c r="AA8866" s="21">
        <v>0</v>
      </c>
      <c r="AB8866" s="21">
        <v>0</v>
      </c>
      <c r="AC8866" s="21">
        <v>0</v>
      </c>
      <c r="AD8866" s="21">
        <v>0</v>
      </c>
      <c r="AE8866" s="21">
        <v>0</v>
      </c>
      <c r="AF8866" s="21">
        <v>0</v>
      </c>
      <c r="AG8866" s="21">
        <v>0</v>
      </c>
      <c r="AH8866" s="21">
        <f t="shared" si="184"/>
        <v>0</v>
      </c>
      <c r="AI8866" s="21"/>
      <c r="AJ8866" s="21" t="s">
        <v>51</v>
      </c>
      <c r="AK8866" s="21" t="s">
        <v>95</v>
      </c>
      <c r="AL8866" s="21"/>
      <c r="AM8866" s="21" t="s">
        <v>5765</v>
      </c>
      <c r="AN8866" s="21">
        <v>-122.39499671666699</v>
      </c>
      <c r="AO8866" s="21">
        <v>37.791879350000002</v>
      </c>
      <c r="AP8866" s="21" t="s">
        <v>541</v>
      </c>
    </row>
    <row r="8867" spans="1:42">
      <c r="A8867" s="22">
        <v>43879</v>
      </c>
      <c r="B8867" s="21">
        <v>2</v>
      </c>
      <c r="C8867" s="21">
        <v>815</v>
      </c>
      <c r="D8867" s="21">
        <v>14654</v>
      </c>
      <c r="E8867" s="21" t="s">
        <v>649</v>
      </c>
      <c r="F8867" s="21" t="s">
        <v>436</v>
      </c>
      <c r="G8867" s="23">
        <v>2</v>
      </c>
      <c r="H8867" s="21">
        <v>70</v>
      </c>
      <c r="I8867" s="23" t="s">
        <v>3752</v>
      </c>
      <c r="J8867" s="21"/>
      <c r="K8867" s="21" t="s">
        <v>394</v>
      </c>
      <c r="L8867" s="21" t="s">
        <v>114</v>
      </c>
      <c r="M8867" s="21" t="s">
        <v>52</v>
      </c>
      <c r="N8867" s="21" t="s">
        <v>40</v>
      </c>
      <c r="O8867" s="21">
        <v>13</v>
      </c>
      <c r="P8867" s="21"/>
      <c r="Q8867" s="21">
        <f t="shared" si="183"/>
        <v>1</v>
      </c>
      <c r="R8867" s="21">
        <v>0</v>
      </c>
      <c r="S8867" s="21">
        <v>0</v>
      </c>
      <c r="T8867" s="21">
        <v>0</v>
      </c>
      <c r="U8867" s="21">
        <v>0</v>
      </c>
      <c r="V8867" s="21">
        <v>0</v>
      </c>
      <c r="W8867" s="21">
        <v>0</v>
      </c>
      <c r="X8867" s="21">
        <v>1</v>
      </c>
      <c r="Y8867" s="21">
        <v>0</v>
      </c>
      <c r="Z8867" s="21">
        <v>0</v>
      </c>
      <c r="AA8867" s="21">
        <v>0</v>
      </c>
      <c r="AB8867" s="21">
        <v>0</v>
      </c>
      <c r="AC8867" s="21">
        <v>0</v>
      </c>
      <c r="AD8867" s="21">
        <v>0</v>
      </c>
      <c r="AE8867" s="21">
        <v>0</v>
      </c>
      <c r="AF8867" s="21">
        <v>0</v>
      </c>
      <c r="AG8867" s="21">
        <v>0</v>
      </c>
      <c r="AH8867" s="21">
        <f t="shared" si="184"/>
        <v>0</v>
      </c>
      <c r="AI8867" s="21"/>
      <c r="AJ8867" s="21" t="s">
        <v>51</v>
      </c>
      <c r="AK8867" s="21" t="s">
        <v>95</v>
      </c>
      <c r="AL8867" s="21"/>
      <c r="AM8867" s="21" t="s">
        <v>5766</v>
      </c>
      <c r="AN8867" s="21">
        <v>-122.395916383333</v>
      </c>
      <c r="AO8867" s="21">
        <v>37.790651850000003</v>
      </c>
      <c r="AP8867" s="21" t="s">
        <v>541</v>
      </c>
    </row>
    <row r="8868" spans="1:42">
      <c r="A8868" s="22">
        <v>43879</v>
      </c>
      <c r="B8868" s="21">
        <v>2</v>
      </c>
      <c r="C8868" s="21">
        <v>815</v>
      </c>
      <c r="D8868" s="21">
        <v>14654</v>
      </c>
      <c r="E8868" s="21" t="s">
        <v>649</v>
      </c>
      <c r="F8868" s="21" t="s">
        <v>436</v>
      </c>
      <c r="G8868" s="23">
        <v>2</v>
      </c>
      <c r="H8868" s="21">
        <v>71</v>
      </c>
      <c r="I8868" s="23" t="s">
        <v>5767</v>
      </c>
      <c r="J8868" s="21"/>
      <c r="K8868" s="21" t="s">
        <v>394</v>
      </c>
      <c r="L8868" s="21" t="s">
        <v>114</v>
      </c>
      <c r="M8868" s="21" t="s">
        <v>52</v>
      </c>
      <c r="N8868" s="21" t="s">
        <v>40</v>
      </c>
      <c r="O8868" s="21">
        <v>12</v>
      </c>
      <c r="P8868" s="21"/>
      <c r="Q8868" s="21">
        <f t="shared" si="183"/>
        <v>1</v>
      </c>
      <c r="R8868" s="21">
        <v>0</v>
      </c>
      <c r="S8868" s="21">
        <v>0</v>
      </c>
      <c r="T8868" s="21">
        <v>0</v>
      </c>
      <c r="U8868" s="21">
        <v>0</v>
      </c>
      <c r="V8868" s="21">
        <v>0</v>
      </c>
      <c r="W8868" s="21">
        <v>0</v>
      </c>
      <c r="X8868" s="21">
        <v>1</v>
      </c>
      <c r="Y8868" s="21">
        <v>0</v>
      </c>
      <c r="Z8868" s="21">
        <v>0</v>
      </c>
      <c r="AA8868" s="21">
        <v>0</v>
      </c>
      <c r="AB8868" s="21">
        <v>0</v>
      </c>
      <c r="AC8868" s="21">
        <v>0</v>
      </c>
      <c r="AD8868" s="21">
        <v>0</v>
      </c>
      <c r="AE8868" s="21">
        <v>0</v>
      </c>
      <c r="AF8868" s="21">
        <v>0</v>
      </c>
      <c r="AG8868" s="21">
        <v>0</v>
      </c>
      <c r="AH8868" s="21">
        <f t="shared" si="184"/>
        <v>0</v>
      </c>
      <c r="AI8868" s="21"/>
      <c r="AJ8868" s="21" t="s">
        <v>51</v>
      </c>
      <c r="AK8868" s="21" t="s">
        <v>95</v>
      </c>
      <c r="AL8868" s="21"/>
      <c r="AM8868" s="21" t="s">
        <v>5768</v>
      </c>
      <c r="AN8868" s="21">
        <v>-122.39696076666699</v>
      </c>
      <c r="AO8868" s="21">
        <v>37.790238533333302</v>
      </c>
      <c r="AP8868" s="21" t="s">
        <v>541</v>
      </c>
    </row>
    <row r="8869" spans="1:42">
      <c r="A8869" s="22">
        <v>43879</v>
      </c>
      <c r="B8869" s="21">
        <v>2</v>
      </c>
      <c r="C8869" s="21">
        <v>815</v>
      </c>
      <c r="D8869" s="21">
        <v>14654</v>
      </c>
      <c r="E8869" s="21" t="s">
        <v>649</v>
      </c>
      <c r="F8869" s="21" t="s">
        <v>436</v>
      </c>
      <c r="G8869" s="23">
        <v>2</v>
      </c>
      <c r="H8869" s="21">
        <v>72</v>
      </c>
      <c r="I8869" s="23" t="s">
        <v>3511</v>
      </c>
      <c r="J8869" s="21"/>
      <c r="K8869" s="21" t="s">
        <v>403</v>
      </c>
      <c r="L8869" s="21" t="s">
        <v>141</v>
      </c>
      <c r="M8869" s="21" t="s">
        <v>52</v>
      </c>
      <c r="N8869" s="21" t="s">
        <v>40</v>
      </c>
      <c r="O8869" s="21">
        <v>28</v>
      </c>
      <c r="P8869" s="21"/>
      <c r="Q8869" s="21">
        <f t="shared" si="183"/>
        <v>1</v>
      </c>
      <c r="R8869" s="21">
        <v>0</v>
      </c>
      <c r="S8869" s="21">
        <v>0</v>
      </c>
      <c r="T8869" s="21">
        <v>0</v>
      </c>
      <c r="U8869" s="21">
        <v>0</v>
      </c>
      <c r="V8869" s="21">
        <v>0</v>
      </c>
      <c r="W8869" s="21">
        <v>0</v>
      </c>
      <c r="X8869" s="21">
        <v>1</v>
      </c>
      <c r="Y8869" s="21">
        <v>0</v>
      </c>
      <c r="Z8869" s="21">
        <v>0</v>
      </c>
      <c r="AA8869" s="21">
        <v>0</v>
      </c>
      <c r="AB8869" s="21">
        <v>0</v>
      </c>
      <c r="AC8869" s="21">
        <v>0</v>
      </c>
      <c r="AD8869" s="21">
        <v>0</v>
      </c>
      <c r="AE8869" s="21">
        <v>0</v>
      </c>
      <c r="AF8869" s="21">
        <v>0</v>
      </c>
      <c r="AG8869" s="21">
        <v>0</v>
      </c>
      <c r="AH8869" s="21">
        <f t="shared" si="184"/>
        <v>0</v>
      </c>
      <c r="AI8869" s="21"/>
      <c r="AJ8869" s="21" t="s">
        <v>51</v>
      </c>
      <c r="AK8869" s="21" t="s">
        <v>95</v>
      </c>
      <c r="AL8869" s="21"/>
      <c r="AM8869" s="21" t="s">
        <v>5769</v>
      </c>
      <c r="AN8869" s="21">
        <v>-122.397368383333</v>
      </c>
      <c r="AO8869" s="21">
        <v>37.789827216666701</v>
      </c>
      <c r="AP8869" s="21" t="s">
        <v>541</v>
      </c>
    </row>
    <row r="8870" spans="1:42">
      <c r="A8870" s="22">
        <v>43879</v>
      </c>
      <c r="B8870" s="21">
        <v>2</v>
      </c>
      <c r="C8870" s="21">
        <v>815</v>
      </c>
      <c r="D8870" s="21">
        <v>14654</v>
      </c>
      <c r="E8870" s="21" t="s">
        <v>649</v>
      </c>
      <c r="F8870" s="21" t="s">
        <v>436</v>
      </c>
      <c r="G8870" s="23">
        <v>2</v>
      </c>
      <c r="H8870" s="21">
        <v>73</v>
      </c>
      <c r="I8870" s="23" t="s">
        <v>5666</v>
      </c>
      <c r="J8870" s="21"/>
      <c r="K8870" s="21" t="s">
        <v>394</v>
      </c>
      <c r="L8870" s="21" t="s">
        <v>114</v>
      </c>
      <c r="M8870" s="21" t="s">
        <v>52</v>
      </c>
      <c r="N8870" s="21" t="s">
        <v>40</v>
      </c>
      <c r="O8870" s="21">
        <v>13</v>
      </c>
      <c r="P8870" s="21"/>
      <c r="Q8870" s="21">
        <f t="shared" si="183"/>
        <v>1</v>
      </c>
      <c r="R8870" s="21">
        <v>0</v>
      </c>
      <c r="S8870" s="21">
        <v>0</v>
      </c>
      <c r="T8870" s="21">
        <v>0</v>
      </c>
      <c r="U8870" s="21">
        <v>0</v>
      </c>
      <c r="V8870" s="21">
        <v>0</v>
      </c>
      <c r="W8870" s="21">
        <v>0</v>
      </c>
      <c r="X8870" s="21">
        <v>1</v>
      </c>
      <c r="Y8870" s="21">
        <v>0</v>
      </c>
      <c r="Z8870" s="21">
        <v>0</v>
      </c>
      <c r="AA8870" s="21">
        <v>0</v>
      </c>
      <c r="AB8870" s="21">
        <v>0</v>
      </c>
      <c r="AC8870" s="21">
        <v>0</v>
      </c>
      <c r="AD8870" s="21">
        <v>0</v>
      </c>
      <c r="AE8870" s="21">
        <v>0</v>
      </c>
      <c r="AF8870" s="21">
        <v>0</v>
      </c>
      <c r="AG8870" s="21">
        <v>0</v>
      </c>
      <c r="AH8870" s="21">
        <f t="shared" si="184"/>
        <v>0</v>
      </c>
      <c r="AI8870" s="21"/>
      <c r="AJ8870" s="21" t="s">
        <v>51</v>
      </c>
      <c r="AK8870" s="21" t="s">
        <v>95</v>
      </c>
      <c r="AL8870" s="21"/>
      <c r="AM8870" s="21" t="s">
        <v>5770</v>
      </c>
      <c r="AN8870" s="21">
        <v>-122.397441066667</v>
      </c>
      <c r="AO8870" s="21">
        <v>37.789725133333299</v>
      </c>
      <c r="AP8870" s="21" t="s">
        <v>541</v>
      </c>
    </row>
    <row r="8871" spans="1:42">
      <c r="A8871" s="22">
        <v>43879</v>
      </c>
      <c r="B8871" s="21">
        <v>2</v>
      </c>
      <c r="C8871" s="21">
        <v>815</v>
      </c>
      <c r="D8871" s="21">
        <v>14654</v>
      </c>
      <c r="E8871" s="21" t="s">
        <v>649</v>
      </c>
      <c r="F8871" s="21" t="s">
        <v>436</v>
      </c>
      <c r="G8871" s="23">
        <v>2</v>
      </c>
      <c r="H8871" s="21">
        <v>74</v>
      </c>
      <c r="I8871" s="23" t="s">
        <v>5771</v>
      </c>
      <c r="J8871" s="21"/>
      <c r="K8871" s="21" t="s">
        <v>394</v>
      </c>
      <c r="L8871" s="21" t="s">
        <v>114</v>
      </c>
      <c r="M8871" s="21" t="s">
        <v>52</v>
      </c>
      <c r="N8871" s="21" t="s">
        <v>40</v>
      </c>
      <c r="O8871" s="21">
        <v>17</v>
      </c>
      <c r="P8871" s="21"/>
      <c r="Q8871" s="21">
        <f t="shared" si="183"/>
        <v>1</v>
      </c>
      <c r="R8871" s="21">
        <v>0</v>
      </c>
      <c r="S8871" s="21">
        <v>0</v>
      </c>
      <c r="T8871" s="21">
        <v>0</v>
      </c>
      <c r="U8871" s="21">
        <v>0</v>
      </c>
      <c r="V8871" s="21">
        <v>0</v>
      </c>
      <c r="W8871" s="21">
        <v>0</v>
      </c>
      <c r="X8871" s="21">
        <v>1</v>
      </c>
      <c r="Y8871" s="21">
        <v>0</v>
      </c>
      <c r="Z8871" s="21">
        <v>0</v>
      </c>
      <c r="AA8871" s="21">
        <v>0</v>
      </c>
      <c r="AB8871" s="21">
        <v>0</v>
      </c>
      <c r="AC8871" s="21">
        <v>0</v>
      </c>
      <c r="AD8871" s="21">
        <v>0</v>
      </c>
      <c r="AE8871" s="21">
        <v>0</v>
      </c>
      <c r="AF8871" s="21">
        <v>0</v>
      </c>
      <c r="AG8871" s="21">
        <v>0</v>
      </c>
      <c r="AH8871" s="21">
        <f t="shared" si="184"/>
        <v>0</v>
      </c>
      <c r="AI8871" s="21"/>
      <c r="AJ8871" s="21" t="s">
        <v>51</v>
      </c>
      <c r="AK8871" s="21" t="s">
        <v>52</v>
      </c>
      <c r="AL8871" s="21"/>
      <c r="AM8871" s="21" t="s">
        <v>5772</v>
      </c>
      <c r="AN8871" s="21">
        <v>-122.398608616667</v>
      </c>
      <c r="AO8871" s="21">
        <v>37.789183266666697</v>
      </c>
      <c r="AP8871" s="21" t="s">
        <v>541</v>
      </c>
    </row>
    <row r="8872" spans="1:42">
      <c r="A8872" s="22">
        <v>43879</v>
      </c>
      <c r="B8872" s="21">
        <v>2</v>
      </c>
      <c r="C8872" s="21">
        <v>815</v>
      </c>
      <c r="D8872" s="21">
        <v>14654</v>
      </c>
      <c r="E8872" s="21" t="s">
        <v>649</v>
      </c>
      <c r="F8872" s="21" t="s">
        <v>436</v>
      </c>
      <c r="G8872" s="23">
        <v>2</v>
      </c>
      <c r="H8872" s="21">
        <v>75</v>
      </c>
      <c r="I8872" s="23" t="s">
        <v>5773</v>
      </c>
      <c r="J8872" s="21"/>
      <c r="K8872" s="21" t="s">
        <v>73</v>
      </c>
      <c r="L8872" s="21" t="s">
        <v>141</v>
      </c>
      <c r="M8872" s="21" t="s">
        <v>52</v>
      </c>
      <c r="N8872" s="21" t="s">
        <v>40</v>
      </c>
      <c r="O8872" s="21">
        <v>16</v>
      </c>
      <c r="P8872" s="21"/>
      <c r="Q8872" s="21">
        <f t="shared" si="183"/>
        <v>1</v>
      </c>
      <c r="R8872" s="21">
        <v>0</v>
      </c>
      <c r="S8872" s="21">
        <v>0</v>
      </c>
      <c r="T8872" s="21">
        <v>0</v>
      </c>
      <c r="U8872" s="21">
        <v>0</v>
      </c>
      <c r="V8872" s="21">
        <v>0</v>
      </c>
      <c r="W8872" s="21">
        <v>0</v>
      </c>
      <c r="X8872" s="21">
        <v>1</v>
      </c>
      <c r="Y8872" s="21">
        <v>0</v>
      </c>
      <c r="Z8872" s="21">
        <v>0</v>
      </c>
      <c r="AA8872" s="21">
        <v>0</v>
      </c>
      <c r="AB8872" s="21">
        <v>0</v>
      </c>
      <c r="AC8872" s="21">
        <v>0</v>
      </c>
      <c r="AD8872" s="21">
        <v>0</v>
      </c>
      <c r="AE8872" s="21">
        <v>0</v>
      </c>
      <c r="AF8872" s="21">
        <v>0</v>
      </c>
      <c r="AG8872" s="21">
        <v>0</v>
      </c>
      <c r="AH8872" s="21">
        <f t="shared" si="184"/>
        <v>0</v>
      </c>
      <c r="AI8872" s="21"/>
      <c r="AJ8872" s="21" t="s">
        <v>51</v>
      </c>
      <c r="AK8872" s="21" t="s">
        <v>95</v>
      </c>
      <c r="AL8872" s="21"/>
      <c r="AM8872" s="21" t="s">
        <v>5774</v>
      </c>
      <c r="AN8872" s="21">
        <v>-122.40096455</v>
      </c>
      <c r="AO8872" s="21">
        <v>37.789621466666702</v>
      </c>
      <c r="AP8872" s="21" t="s">
        <v>541</v>
      </c>
    </row>
    <row r="8873" spans="1:42">
      <c r="A8873" s="22">
        <v>43879</v>
      </c>
      <c r="B8873" s="21">
        <v>2</v>
      </c>
      <c r="C8873" s="21">
        <v>815</v>
      </c>
      <c r="D8873" s="21">
        <v>14654</v>
      </c>
      <c r="E8873" s="21" t="s">
        <v>649</v>
      </c>
      <c r="F8873" s="21" t="s">
        <v>436</v>
      </c>
      <c r="G8873" s="23">
        <v>2</v>
      </c>
      <c r="H8873" s="21">
        <v>76</v>
      </c>
      <c r="I8873" s="23" t="s">
        <v>5775</v>
      </c>
      <c r="J8873" s="21"/>
      <c r="K8873" s="21" t="s">
        <v>504</v>
      </c>
      <c r="L8873" s="21" t="s">
        <v>114</v>
      </c>
      <c r="M8873" s="21" t="s">
        <v>52</v>
      </c>
      <c r="N8873" s="21" t="s">
        <v>40</v>
      </c>
      <c r="O8873" s="21">
        <v>19</v>
      </c>
      <c r="P8873" s="21"/>
      <c r="Q8873" s="21">
        <f t="shared" si="183"/>
        <v>1</v>
      </c>
      <c r="R8873" s="21">
        <v>0</v>
      </c>
      <c r="S8873" s="21">
        <v>0</v>
      </c>
      <c r="T8873" s="21">
        <v>0</v>
      </c>
      <c r="U8873" s="21">
        <v>0</v>
      </c>
      <c r="V8873" s="21">
        <v>0</v>
      </c>
      <c r="W8873" s="21">
        <v>0</v>
      </c>
      <c r="X8873" s="21">
        <v>1</v>
      </c>
      <c r="Y8873" s="21">
        <v>0</v>
      </c>
      <c r="Z8873" s="21">
        <v>0</v>
      </c>
      <c r="AA8873" s="21">
        <v>0</v>
      </c>
      <c r="AB8873" s="21">
        <v>0</v>
      </c>
      <c r="AC8873" s="21">
        <v>0</v>
      </c>
      <c r="AD8873" s="21">
        <v>0</v>
      </c>
      <c r="AE8873" s="21">
        <v>0</v>
      </c>
      <c r="AF8873" s="21">
        <v>0</v>
      </c>
      <c r="AG8873" s="21">
        <v>0</v>
      </c>
      <c r="AH8873" s="21">
        <f t="shared" si="184"/>
        <v>0</v>
      </c>
      <c r="AI8873" s="21"/>
      <c r="AJ8873" s="21" t="s">
        <v>51</v>
      </c>
      <c r="AK8873" s="21" t="s">
        <v>95</v>
      </c>
      <c r="AL8873" s="21"/>
      <c r="AM8873" s="21" t="s">
        <v>5776</v>
      </c>
      <c r="AN8873" s="21">
        <v>-122.40113024999999</v>
      </c>
      <c r="AO8873" s="21">
        <v>37.7898975833333</v>
      </c>
      <c r="AP8873" s="21" t="s">
        <v>541</v>
      </c>
    </row>
    <row r="8874" spans="1:42">
      <c r="A8874" s="22">
        <v>43879</v>
      </c>
      <c r="B8874" s="21">
        <v>2</v>
      </c>
      <c r="C8874" s="21">
        <v>815</v>
      </c>
      <c r="D8874" s="21">
        <v>14654</v>
      </c>
      <c r="E8874" s="21" t="s">
        <v>649</v>
      </c>
      <c r="F8874" s="21" t="s">
        <v>436</v>
      </c>
      <c r="G8874" s="23">
        <v>2</v>
      </c>
      <c r="H8874" s="21">
        <v>77</v>
      </c>
      <c r="I8874" s="23" t="s">
        <v>5775</v>
      </c>
      <c r="J8874" s="21"/>
      <c r="K8874" s="21" t="s">
        <v>378</v>
      </c>
      <c r="L8874" s="21" t="s">
        <v>114</v>
      </c>
      <c r="M8874" s="21" t="s">
        <v>52</v>
      </c>
      <c r="N8874" s="21" t="s">
        <v>40</v>
      </c>
      <c r="O8874" s="21">
        <v>19</v>
      </c>
      <c r="P8874" s="21"/>
      <c r="Q8874" s="21">
        <f t="shared" si="183"/>
        <v>1</v>
      </c>
      <c r="R8874" s="21">
        <v>0</v>
      </c>
      <c r="S8874" s="21">
        <v>0</v>
      </c>
      <c r="T8874" s="21">
        <v>0</v>
      </c>
      <c r="U8874" s="21">
        <v>0</v>
      </c>
      <c r="V8874" s="21">
        <v>0</v>
      </c>
      <c r="W8874" s="21">
        <v>0</v>
      </c>
      <c r="X8874" s="21">
        <v>1</v>
      </c>
      <c r="Y8874" s="21">
        <v>0</v>
      </c>
      <c r="Z8874" s="21">
        <v>0</v>
      </c>
      <c r="AA8874" s="21">
        <v>0</v>
      </c>
      <c r="AB8874" s="21">
        <v>0</v>
      </c>
      <c r="AC8874" s="21">
        <v>0</v>
      </c>
      <c r="AD8874" s="21">
        <v>0</v>
      </c>
      <c r="AE8874" s="21">
        <v>0</v>
      </c>
      <c r="AF8874" s="21">
        <v>0</v>
      </c>
      <c r="AG8874" s="21">
        <v>0</v>
      </c>
      <c r="AH8874" s="21">
        <f t="shared" si="184"/>
        <v>0</v>
      </c>
      <c r="AI8874" s="21"/>
      <c r="AJ8874" s="21" t="s">
        <v>51</v>
      </c>
      <c r="AK8874" s="21" t="s">
        <v>95</v>
      </c>
      <c r="AL8874" s="21"/>
      <c r="AM8874" s="21" t="s">
        <v>5777</v>
      </c>
      <c r="AN8874" s="21">
        <v>-122.396308116667</v>
      </c>
      <c r="AO8874" s="21">
        <v>37.778623083333301</v>
      </c>
      <c r="AP8874" s="21" t="s">
        <v>541</v>
      </c>
    </row>
    <row r="8875" spans="1:42">
      <c r="A8875" s="22">
        <v>43879</v>
      </c>
      <c r="B8875" s="21">
        <v>2</v>
      </c>
      <c r="C8875" s="21">
        <v>815</v>
      </c>
      <c r="D8875" s="21">
        <v>14654</v>
      </c>
      <c r="E8875" s="21" t="s">
        <v>649</v>
      </c>
      <c r="F8875" s="21" t="s">
        <v>436</v>
      </c>
      <c r="G8875" s="23">
        <v>2</v>
      </c>
      <c r="H8875" s="21">
        <v>78</v>
      </c>
      <c r="I8875" s="23" t="s">
        <v>5580</v>
      </c>
      <c r="J8875" s="21"/>
      <c r="K8875" s="21" t="s">
        <v>535</v>
      </c>
      <c r="L8875" s="21" t="s">
        <v>141</v>
      </c>
      <c r="M8875" s="21" t="s">
        <v>52</v>
      </c>
      <c r="N8875" s="21" t="s">
        <v>40</v>
      </c>
      <c r="O8875" s="21">
        <v>20</v>
      </c>
      <c r="P8875" s="21"/>
      <c r="Q8875" s="21">
        <f t="shared" si="183"/>
        <v>1</v>
      </c>
      <c r="R8875" s="21">
        <v>0</v>
      </c>
      <c r="S8875" s="21">
        <v>0</v>
      </c>
      <c r="T8875" s="21">
        <v>0</v>
      </c>
      <c r="U8875" s="21">
        <v>0</v>
      </c>
      <c r="V8875" s="21">
        <v>0</v>
      </c>
      <c r="W8875" s="21">
        <v>0</v>
      </c>
      <c r="X8875" s="21">
        <v>1</v>
      </c>
      <c r="Y8875" s="21">
        <v>0</v>
      </c>
      <c r="Z8875" s="21">
        <v>0</v>
      </c>
      <c r="AA8875" s="21">
        <v>0</v>
      </c>
      <c r="AB8875" s="21">
        <v>0</v>
      </c>
      <c r="AC8875" s="21">
        <v>0</v>
      </c>
      <c r="AD8875" s="21">
        <v>0</v>
      </c>
      <c r="AE8875" s="21">
        <v>0</v>
      </c>
      <c r="AF8875" s="21">
        <v>0</v>
      </c>
      <c r="AG8875" s="21">
        <v>0</v>
      </c>
      <c r="AH8875" s="21">
        <f t="shared" si="184"/>
        <v>0</v>
      </c>
      <c r="AI8875" s="21"/>
      <c r="AJ8875" s="21" t="s">
        <v>51</v>
      </c>
      <c r="AK8875" s="21" t="s">
        <v>95</v>
      </c>
      <c r="AL8875" s="21"/>
      <c r="AM8875" s="21" t="s">
        <v>5778</v>
      </c>
      <c r="AN8875" s="21">
        <v>-122.39656573333301</v>
      </c>
      <c r="AO8875" s="21">
        <v>37.778312083333297</v>
      </c>
      <c r="AP8875" s="21" t="s">
        <v>541</v>
      </c>
    </row>
    <row r="8876" spans="1:42">
      <c r="A8876" s="22">
        <v>43879</v>
      </c>
      <c r="B8876" s="21">
        <v>2</v>
      </c>
      <c r="C8876" s="21">
        <v>815</v>
      </c>
      <c r="D8876" s="21">
        <v>14654</v>
      </c>
      <c r="E8876" s="21" t="s">
        <v>649</v>
      </c>
      <c r="F8876" s="21" t="s">
        <v>436</v>
      </c>
      <c r="G8876" s="23">
        <v>2</v>
      </c>
      <c r="H8876" s="21">
        <v>79</v>
      </c>
      <c r="I8876" s="23" t="s">
        <v>3214</v>
      </c>
      <c r="J8876" s="21"/>
      <c r="K8876" s="21" t="s">
        <v>1112</v>
      </c>
      <c r="L8876" s="21" t="s">
        <v>114</v>
      </c>
      <c r="M8876" s="21" t="s">
        <v>52</v>
      </c>
      <c r="N8876" s="21" t="s">
        <v>40</v>
      </c>
      <c r="O8876" s="21">
        <v>19</v>
      </c>
      <c r="P8876" s="21"/>
      <c r="Q8876" s="21">
        <f t="shared" si="183"/>
        <v>1</v>
      </c>
      <c r="R8876" s="21">
        <v>0</v>
      </c>
      <c r="S8876" s="21">
        <v>0</v>
      </c>
      <c r="T8876" s="21">
        <v>0</v>
      </c>
      <c r="U8876" s="21">
        <v>0</v>
      </c>
      <c r="V8876" s="21">
        <v>0</v>
      </c>
      <c r="W8876" s="21">
        <v>0</v>
      </c>
      <c r="X8876" s="21">
        <v>1</v>
      </c>
      <c r="Y8876" s="21">
        <v>0</v>
      </c>
      <c r="Z8876" s="21">
        <v>0</v>
      </c>
      <c r="AA8876" s="21">
        <v>0</v>
      </c>
      <c r="AB8876" s="21">
        <v>0</v>
      </c>
      <c r="AC8876" s="21">
        <v>0</v>
      </c>
      <c r="AD8876" s="21">
        <v>0</v>
      </c>
      <c r="AE8876" s="21">
        <v>0</v>
      </c>
      <c r="AF8876" s="21">
        <v>0</v>
      </c>
      <c r="AG8876" s="21">
        <v>0</v>
      </c>
      <c r="AH8876" s="21">
        <f t="shared" si="184"/>
        <v>0</v>
      </c>
      <c r="AI8876" s="21"/>
      <c r="AJ8876" s="21" t="s">
        <v>51</v>
      </c>
      <c r="AK8876" s="21" t="s">
        <v>95</v>
      </c>
      <c r="AL8876" s="21"/>
      <c r="AM8876" s="21" t="s">
        <v>5779</v>
      </c>
      <c r="AN8876" s="21">
        <v>-122.389794133333</v>
      </c>
      <c r="AO8876" s="21">
        <v>37.781307633333299</v>
      </c>
      <c r="AP8876" s="21" t="s">
        <v>541</v>
      </c>
    </row>
    <row r="8877" spans="1:42">
      <c r="A8877" s="22">
        <v>43879</v>
      </c>
      <c r="B8877" s="21">
        <v>2</v>
      </c>
      <c r="C8877" s="21">
        <v>815</v>
      </c>
      <c r="D8877" s="21">
        <v>14654</v>
      </c>
      <c r="E8877" s="21" t="s">
        <v>649</v>
      </c>
      <c r="F8877" s="21" t="s">
        <v>436</v>
      </c>
      <c r="G8877" s="23">
        <v>2</v>
      </c>
      <c r="H8877" s="21">
        <v>80</v>
      </c>
      <c r="I8877" s="23" t="s">
        <v>5780</v>
      </c>
      <c r="J8877" s="21"/>
      <c r="K8877" s="21" t="s">
        <v>1112</v>
      </c>
      <c r="L8877" s="21" t="s">
        <v>114</v>
      </c>
      <c r="M8877" s="21" t="s">
        <v>52</v>
      </c>
      <c r="N8877" s="21" t="s">
        <v>40</v>
      </c>
      <c r="O8877" s="21">
        <v>15</v>
      </c>
      <c r="P8877" s="21"/>
      <c r="Q8877" s="21">
        <f t="shared" si="183"/>
        <v>1</v>
      </c>
      <c r="R8877" s="21">
        <v>0</v>
      </c>
      <c r="S8877" s="21">
        <v>0</v>
      </c>
      <c r="T8877" s="21">
        <v>0</v>
      </c>
      <c r="U8877" s="21">
        <v>0</v>
      </c>
      <c r="V8877" s="21">
        <v>0</v>
      </c>
      <c r="W8877" s="21">
        <v>0</v>
      </c>
      <c r="X8877" s="21">
        <v>1</v>
      </c>
      <c r="Y8877" s="21">
        <v>0</v>
      </c>
      <c r="Z8877" s="21">
        <v>0</v>
      </c>
      <c r="AA8877" s="21">
        <v>0</v>
      </c>
      <c r="AB8877" s="21">
        <v>0</v>
      </c>
      <c r="AC8877" s="21">
        <v>0</v>
      </c>
      <c r="AD8877" s="21">
        <v>0</v>
      </c>
      <c r="AE8877" s="21">
        <v>0</v>
      </c>
      <c r="AF8877" s="21">
        <v>0</v>
      </c>
      <c r="AG8877" s="21">
        <v>0</v>
      </c>
      <c r="AH8877" s="21">
        <f t="shared" si="184"/>
        <v>0</v>
      </c>
      <c r="AI8877" s="21"/>
      <c r="AJ8877" s="21" t="s">
        <v>51</v>
      </c>
      <c r="AK8877" s="21" t="s">
        <v>95</v>
      </c>
      <c r="AL8877" s="21"/>
      <c r="AM8877" s="21" t="s">
        <v>5781</v>
      </c>
      <c r="AN8877" s="21">
        <v>-122.391328516667</v>
      </c>
      <c r="AO8877" s="21">
        <v>37.780071333333296</v>
      </c>
      <c r="AP8877" s="21" t="s">
        <v>541</v>
      </c>
    </row>
    <row r="8878" spans="1:42">
      <c r="A8878" s="22">
        <v>43879</v>
      </c>
      <c r="B8878" s="21">
        <v>2</v>
      </c>
      <c r="C8878" s="21">
        <v>815</v>
      </c>
      <c r="D8878" s="21">
        <v>14654</v>
      </c>
      <c r="E8878" s="21" t="s">
        <v>649</v>
      </c>
      <c r="F8878" s="21" t="s">
        <v>436</v>
      </c>
      <c r="G8878" s="23">
        <v>2</v>
      </c>
      <c r="H8878" s="21">
        <v>81</v>
      </c>
      <c r="I8878" s="23" t="s">
        <v>5782</v>
      </c>
      <c r="J8878" s="21"/>
      <c r="K8878" s="21" t="s">
        <v>381</v>
      </c>
      <c r="L8878" s="21" t="s">
        <v>114</v>
      </c>
      <c r="M8878" s="21" t="s">
        <v>52</v>
      </c>
      <c r="N8878" s="21" t="s">
        <v>40</v>
      </c>
      <c r="O8878" s="21">
        <v>12</v>
      </c>
      <c r="P8878" s="21"/>
      <c r="Q8878" s="21">
        <f t="shared" si="183"/>
        <v>1</v>
      </c>
      <c r="R8878" s="21">
        <v>0</v>
      </c>
      <c r="S8878" s="21">
        <v>0</v>
      </c>
      <c r="T8878" s="21">
        <v>0</v>
      </c>
      <c r="U8878" s="21">
        <v>0</v>
      </c>
      <c r="V8878" s="21">
        <v>0</v>
      </c>
      <c r="W8878" s="21">
        <v>0</v>
      </c>
      <c r="X8878" s="21">
        <v>1</v>
      </c>
      <c r="Y8878" s="21">
        <v>0</v>
      </c>
      <c r="Z8878" s="21">
        <v>0</v>
      </c>
      <c r="AA8878" s="21">
        <v>0</v>
      </c>
      <c r="AB8878" s="21">
        <v>0</v>
      </c>
      <c r="AC8878" s="21">
        <v>0</v>
      </c>
      <c r="AD8878" s="21">
        <v>0</v>
      </c>
      <c r="AE8878" s="21">
        <v>0</v>
      </c>
      <c r="AF8878" s="21">
        <v>0</v>
      </c>
      <c r="AG8878" s="21">
        <v>0</v>
      </c>
      <c r="AH8878" s="21">
        <f t="shared" si="184"/>
        <v>0</v>
      </c>
      <c r="AI8878" s="21"/>
      <c r="AJ8878" s="21" t="s">
        <v>51</v>
      </c>
      <c r="AK8878" s="21" t="s">
        <v>95</v>
      </c>
      <c r="AL8878" s="21"/>
      <c r="AM8878" s="21" t="s">
        <v>5783</v>
      </c>
      <c r="AN8878" s="21">
        <v>-122.39328974999999</v>
      </c>
      <c r="AO8878" s="21">
        <v>37.778447416666701</v>
      </c>
      <c r="AP8878" s="21" t="s">
        <v>541</v>
      </c>
    </row>
    <row r="8879" spans="1:42">
      <c r="A8879" s="22">
        <v>43879</v>
      </c>
      <c r="B8879" s="21">
        <v>2</v>
      </c>
      <c r="C8879" s="21">
        <v>815</v>
      </c>
      <c r="D8879" s="21">
        <v>14654</v>
      </c>
      <c r="E8879" s="21" t="s">
        <v>649</v>
      </c>
      <c r="F8879" s="21" t="s">
        <v>436</v>
      </c>
      <c r="G8879" s="23">
        <v>2</v>
      </c>
      <c r="H8879" s="21">
        <v>82</v>
      </c>
      <c r="I8879" s="23" t="s">
        <v>5784</v>
      </c>
      <c r="J8879" s="21"/>
      <c r="K8879" s="21" t="s">
        <v>381</v>
      </c>
      <c r="L8879" s="21" t="s">
        <v>114</v>
      </c>
      <c r="M8879" s="21" t="s">
        <v>52</v>
      </c>
      <c r="N8879" s="21" t="s">
        <v>40</v>
      </c>
      <c r="O8879" s="21">
        <v>13</v>
      </c>
      <c r="P8879" s="21"/>
      <c r="Q8879" s="21">
        <f t="shared" si="183"/>
        <v>1</v>
      </c>
      <c r="R8879" s="21">
        <v>0</v>
      </c>
      <c r="S8879" s="21">
        <v>0</v>
      </c>
      <c r="T8879" s="21">
        <v>0</v>
      </c>
      <c r="U8879" s="21">
        <v>0</v>
      </c>
      <c r="V8879" s="21">
        <v>0</v>
      </c>
      <c r="W8879" s="21">
        <v>0</v>
      </c>
      <c r="X8879" s="21">
        <v>1</v>
      </c>
      <c r="Y8879" s="21">
        <v>0</v>
      </c>
      <c r="Z8879" s="21">
        <v>0</v>
      </c>
      <c r="AA8879" s="21">
        <v>0</v>
      </c>
      <c r="AB8879" s="21">
        <v>0</v>
      </c>
      <c r="AC8879" s="21">
        <v>0</v>
      </c>
      <c r="AD8879" s="21">
        <v>0</v>
      </c>
      <c r="AE8879" s="21">
        <v>0</v>
      </c>
      <c r="AF8879" s="21">
        <v>0</v>
      </c>
      <c r="AG8879" s="21">
        <v>0</v>
      </c>
      <c r="AH8879" s="21">
        <f t="shared" si="184"/>
        <v>0</v>
      </c>
      <c r="AI8879" s="21"/>
      <c r="AJ8879" s="21" t="s">
        <v>51</v>
      </c>
      <c r="AK8879" s="21" t="s">
        <v>95</v>
      </c>
      <c r="AL8879" s="21"/>
      <c r="AM8879" s="21" t="s">
        <v>5785</v>
      </c>
      <c r="AN8879" s="21">
        <v>-122.39566746666701</v>
      </c>
      <c r="AO8879" s="21">
        <v>37.776705783333298</v>
      </c>
      <c r="AP8879" s="21" t="s">
        <v>541</v>
      </c>
    </row>
    <row r="8880" spans="1:42">
      <c r="A8880" s="22">
        <v>43879</v>
      </c>
      <c r="B8880" s="21">
        <v>2</v>
      </c>
      <c r="C8880" s="21">
        <v>815</v>
      </c>
      <c r="D8880" s="21">
        <v>14654</v>
      </c>
      <c r="E8880" s="21" t="s">
        <v>649</v>
      </c>
      <c r="F8880" s="21" t="s">
        <v>436</v>
      </c>
      <c r="G8880" s="23">
        <v>2</v>
      </c>
      <c r="H8880" s="21">
        <v>83</v>
      </c>
      <c r="I8880" s="23" t="s">
        <v>4134</v>
      </c>
      <c r="J8880" s="21"/>
      <c r="K8880" s="21" t="s">
        <v>381</v>
      </c>
      <c r="L8880" s="21" t="s">
        <v>114</v>
      </c>
      <c r="M8880" s="21" t="s">
        <v>52</v>
      </c>
      <c r="N8880" s="21" t="s">
        <v>40</v>
      </c>
      <c r="O8880" s="21">
        <v>10</v>
      </c>
      <c r="P8880" s="21"/>
      <c r="Q8880" s="21">
        <f t="shared" si="183"/>
        <v>1</v>
      </c>
      <c r="R8880" s="21">
        <v>0</v>
      </c>
      <c r="S8880" s="21">
        <v>0</v>
      </c>
      <c r="T8880" s="21">
        <v>0</v>
      </c>
      <c r="U8880" s="21">
        <v>0</v>
      </c>
      <c r="V8880" s="21">
        <v>0</v>
      </c>
      <c r="W8880" s="21">
        <v>0</v>
      </c>
      <c r="X8880" s="21">
        <v>1</v>
      </c>
      <c r="Y8880" s="21">
        <v>0</v>
      </c>
      <c r="Z8880" s="21">
        <v>0</v>
      </c>
      <c r="AA8880" s="21">
        <v>0</v>
      </c>
      <c r="AB8880" s="21">
        <v>0</v>
      </c>
      <c r="AC8880" s="21">
        <v>0</v>
      </c>
      <c r="AD8880" s="21">
        <v>0</v>
      </c>
      <c r="AE8880" s="21">
        <v>0</v>
      </c>
      <c r="AF8880" s="21">
        <v>0</v>
      </c>
      <c r="AG8880" s="21">
        <v>0</v>
      </c>
      <c r="AH8880" s="21">
        <f t="shared" si="184"/>
        <v>0</v>
      </c>
      <c r="AI8880" s="21"/>
      <c r="AJ8880" s="21" t="s">
        <v>51</v>
      </c>
      <c r="AK8880" s="21" t="s">
        <v>95</v>
      </c>
      <c r="AL8880" s="21"/>
      <c r="AM8880" s="21" t="s">
        <v>5786</v>
      </c>
      <c r="AN8880" s="21">
        <v>-122.396048716667</v>
      </c>
      <c r="AO8880" s="21">
        <v>37.776384516666702</v>
      </c>
      <c r="AP8880" s="21" t="s">
        <v>541</v>
      </c>
    </row>
    <row r="8881" spans="1:42">
      <c r="A8881" s="22">
        <v>43879</v>
      </c>
      <c r="B8881" s="21">
        <v>2</v>
      </c>
      <c r="C8881" s="21">
        <v>815</v>
      </c>
      <c r="D8881" s="21">
        <v>14654</v>
      </c>
      <c r="E8881" s="21" t="s">
        <v>649</v>
      </c>
      <c r="F8881" s="21" t="s">
        <v>436</v>
      </c>
      <c r="G8881" s="23">
        <v>2</v>
      </c>
      <c r="H8881" s="21">
        <v>84</v>
      </c>
      <c r="I8881" s="23" t="s">
        <v>5787</v>
      </c>
      <c r="J8881" s="21"/>
      <c r="K8881" s="21" t="s">
        <v>381</v>
      </c>
      <c r="L8881" s="21" t="s">
        <v>114</v>
      </c>
      <c r="M8881" s="21" t="s">
        <v>52</v>
      </c>
      <c r="N8881" s="21" t="s">
        <v>40</v>
      </c>
      <c r="O8881" s="21">
        <v>10</v>
      </c>
      <c r="P8881" s="21"/>
      <c r="Q8881" s="21">
        <f t="shared" si="183"/>
        <v>1</v>
      </c>
      <c r="R8881" s="21">
        <v>0</v>
      </c>
      <c r="S8881" s="21">
        <v>0</v>
      </c>
      <c r="T8881" s="21">
        <v>0</v>
      </c>
      <c r="U8881" s="21">
        <v>0</v>
      </c>
      <c r="V8881" s="21">
        <v>0</v>
      </c>
      <c r="W8881" s="21">
        <v>0</v>
      </c>
      <c r="X8881" s="21">
        <v>1</v>
      </c>
      <c r="Y8881" s="21">
        <v>0</v>
      </c>
      <c r="Z8881" s="21">
        <v>0</v>
      </c>
      <c r="AA8881" s="21">
        <v>0</v>
      </c>
      <c r="AB8881" s="21">
        <v>0</v>
      </c>
      <c r="AC8881" s="21">
        <v>0</v>
      </c>
      <c r="AD8881" s="21">
        <v>0</v>
      </c>
      <c r="AE8881" s="21">
        <v>0</v>
      </c>
      <c r="AF8881" s="21">
        <v>0</v>
      </c>
      <c r="AG8881" s="21">
        <v>0</v>
      </c>
      <c r="AH8881" s="21">
        <f t="shared" si="184"/>
        <v>0</v>
      </c>
      <c r="AI8881" s="21"/>
      <c r="AJ8881" s="21" t="s">
        <v>51</v>
      </c>
      <c r="AK8881" s="21" t="s">
        <v>95</v>
      </c>
      <c r="AL8881" s="21"/>
      <c r="AM8881" s="21" t="s">
        <v>5788</v>
      </c>
      <c r="AN8881" s="21">
        <v>-122.397171566667</v>
      </c>
      <c r="AO8881" s="21">
        <v>37.775534100000002</v>
      </c>
      <c r="AP8881" s="21" t="s">
        <v>541</v>
      </c>
    </row>
    <row r="8882" spans="1:42">
      <c r="A8882" s="20">
        <v>43888</v>
      </c>
      <c r="B8882" s="21">
        <v>4</v>
      </c>
      <c r="C8882" s="21">
        <v>574</v>
      </c>
      <c r="D8882" s="21">
        <v>11441</v>
      </c>
      <c r="E8882" t="s">
        <v>377</v>
      </c>
      <c r="F8882" s="21" t="s">
        <v>436</v>
      </c>
      <c r="G8882" s="21">
        <v>1</v>
      </c>
      <c r="H8882" s="21">
        <v>1</v>
      </c>
      <c r="I8882" s="23" t="s">
        <v>3214</v>
      </c>
      <c r="J8882" s="21"/>
      <c r="K8882" t="s">
        <v>431</v>
      </c>
      <c r="L8882" s="21"/>
      <c r="M8882" s="21"/>
      <c r="N8882" s="21" t="s">
        <v>40</v>
      </c>
      <c r="O8882" s="21">
        <f>120+45</f>
        <v>165</v>
      </c>
      <c r="P8882" s="21"/>
      <c r="Q8882" s="21">
        <f>SUM(S8882:AE8882)</f>
        <v>1</v>
      </c>
      <c r="R8882" s="21">
        <v>1</v>
      </c>
      <c r="S8882" s="21">
        <v>0</v>
      </c>
      <c r="T8882" s="21">
        <v>0</v>
      </c>
      <c r="U8882" s="21">
        <v>0</v>
      </c>
      <c r="V8882" s="21">
        <v>0</v>
      </c>
      <c r="W8882" s="21">
        <v>0</v>
      </c>
      <c r="X8882" s="21">
        <v>0</v>
      </c>
      <c r="Y8882" s="21">
        <v>0</v>
      </c>
      <c r="Z8882" s="21">
        <v>0</v>
      </c>
      <c r="AA8882" s="21">
        <v>0</v>
      </c>
      <c r="AB8882" s="21">
        <v>0</v>
      </c>
      <c r="AC8882" s="21">
        <v>1</v>
      </c>
      <c r="AD8882" s="21">
        <v>0</v>
      </c>
      <c r="AE8882" s="21">
        <v>0</v>
      </c>
      <c r="AF8882" s="21">
        <v>0</v>
      </c>
      <c r="AG8882" s="21">
        <v>0</v>
      </c>
      <c r="AH8882" s="21"/>
      <c r="AI8882" s="21"/>
      <c r="AJ8882" s="21" t="s">
        <v>51</v>
      </c>
      <c r="AK8882" s="21" t="s">
        <v>95</v>
      </c>
      <c r="AL8882" s="21" t="s">
        <v>3681</v>
      </c>
      <c r="AM8882" s="21" t="s">
        <v>5789</v>
      </c>
      <c r="AN8882" s="21">
        <v>-122.41594928333301</v>
      </c>
      <c r="AO8882" s="21">
        <v>37.780633266666598</v>
      </c>
      <c r="AP8882" s="21" t="s">
        <v>1915</v>
      </c>
    </row>
    <row r="8883" spans="1:42">
      <c r="A8883" s="20">
        <v>43888</v>
      </c>
      <c r="B8883" s="21">
        <v>4</v>
      </c>
      <c r="C8883" s="21">
        <v>574</v>
      </c>
      <c r="D8883" s="21">
        <v>11441</v>
      </c>
      <c r="E8883" t="s">
        <v>377</v>
      </c>
      <c r="F8883" s="21" t="s">
        <v>436</v>
      </c>
      <c r="G8883" s="21">
        <v>1</v>
      </c>
      <c r="H8883" s="21">
        <v>2</v>
      </c>
      <c r="I8883" s="23" t="s">
        <v>4249</v>
      </c>
      <c r="J8883" s="21"/>
      <c r="K8883" t="s">
        <v>431</v>
      </c>
      <c r="L8883" s="21"/>
      <c r="M8883" s="21"/>
      <c r="N8883" s="21" t="s">
        <v>40</v>
      </c>
      <c r="O8883" s="21">
        <f>60+19</f>
        <v>79</v>
      </c>
      <c r="P8883" s="21"/>
      <c r="Q8883" s="21">
        <f t="shared" ref="Q8883:Q8946" si="185">SUM(S8883:AE8883)</f>
        <v>1</v>
      </c>
      <c r="R8883" s="21">
        <v>1</v>
      </c>
      <c r="S8883" s="21">
        <v>0</v>
      </c>
      <c r="T8883" s="21">
        <v>0</v>
      </c>
      <c r="U8883" s="21">
        <v>0</v>
      </c>
      <c r="V8883" s="21">
        <v>0</v>
      </c>
      <c r="W8883" s="21">
        <v>0</v>
      </c>
      <c r="X8883" s="21">
        <v>0</v>
      </c>
      <c r="Y8883" s="21">
        <v>1</v>
      </c>
      <c r="Z8883" s="21">
        <v>0</v>
      </c>
      <c r="AA8883" s="21">
        <v>0</v>
      </c>
      <c r="AB8883" s="21">
        <v>0</v>
      </c>
      <c r="AC8883" s="21">
        <v>0</v>
      </c>
      <c r="AD8883" s="21">
        <v>0</v>
      </c>
      <c r="AE8883" s="21">
        <v>0</v>
      </c>
      <c r="AF8883" s="21">
        <v>0</v>
      </c>
      <c r="AG8883" s="21">
        <v>0</v>
      </c>
      <c r="AH8883" s="21"/>
      <c r="AI8883" s="21"/>
      <c r="AJ8883" s="21" t="s">
        <v>51</v>
      </c>
      <c r="AK8883" s="21" t="s">
        <v>95</v>
      </c>
      <c r="AL8883" s="21" t="s">
        <v>5790</v>
      </c>
      <c r="AM8883" s="21" t="s">
        <v>5791</v>
      </c>
      <c r="AN8883" s="21">
        <v>-122.418407783333</v>
      </c>
      <c r="AO8883" s="21">
        <v>37.780198083333303</v>
      </c>
      <c r="AP8883" s="21" t="s">
        <v>1915</v>
      </c>
    </row>
    <row r="8884" spans="1:42">
      <c r="A8884" s="20">
        <v>43888</v>
      </c>
      <c r="B8884" s="21">
        <v>4</v>
      </c>
      <c r="C8884" s="21">
        <v>574</v>
      </c>
      <c r="D8884" s="21">
        <v>11441</v>
      </c>
      <c r="E8884" t="s">
        <v>377</v>
      </c>
      <c r="F8884" s="21" t="s">
        <v>436</v>
      </c>
      <c r="G8884" s="21">
        <v>1</v>
      </c>
      <c r="H8884" s="21">
        <v>3</v>
      </c>
      <c r="I8884" s="23" t="s">
        <v>4296</v>
      </c>
      <c r="J8884" s="21"/>
      <c r="K8884" t="s">
        <v>431</v>
      </c>
      <c r="L8884" s="21"/>
      <c r="M8884" s="21"/>
      <c r="N8884" s="21" t="s">
        <v>40</v>
      </c>
      <c r="O8884" s="21">
        <v>129</v>
      </c>
      <c r="P8884" s="21"/>
      <c r="Q8884" s="21">
        <f t="shared" si="185"/>
        <v>1</v>
      </c>
      <c r="R8884" s="21">
        <v>1</v>
      </c>
      <c r="S8884" s="21">
        <v>0</v>
      </c>
      <c r="T8884" s="21">
        <v>0</v>
      </c>
      <c r="U8884" s="21">
        <v>0</v>
      </c>
      <c r="V8884" s="21">
        <v>0</v>
      </c>
      <c r="W8884" s="21">
        <v>0</v>
      </c>
      <c r="X8884" s="21">
        <v>0</v>
      </c>
      <c r="Y8884" s="21">
        <v>0</v>
      </c>
      <c r="Z8884" s="21">
        <v>0</v>
      </c>
      <c r="AA8884" s="21">
        <v>0</v>
      </c>
      <c r="AB8884" s="21">
        <v>1</v>
      </c>
      <c r="AC8884" s="21">
        <v>0</v>
      </c>
      <c r="AD8884" s="21">
        <v>0</v>
      </c>
      <c r="AE8884" s="21">
        <v>0</v>
      </c>
      <c r="AF8884" s="21">
        <v>0</v>
      </c>
      <c r="AG8884" s="21">
        <v>0</v>
      </c>
      <c r="AH8884" s="21"/>
      <c r="AI8884" s="21"/>
      <c r="AJ8884" s="21" t="s">
        <v>51</v>
      </c>
      <c r="AK8884" s="21" t="s">
        <v>95</v>
      </c>
      <c r="AL8884" s="21" t="s">
        <v>2087</v>
      </c>
      <c r="AM8884" s="21" t="s">
        <v>5792</v>
      </c>
      <c r="AN8884" s="21">
        <v>-122.419313016667</v>
      </c>
      <c r="AO8884" s="21">
        <v>37.780959416666597</v>
      </c>
      <c r="AP8884" s="21" t="s">
        <v>1915</v>
      </c>
    </row>
    <row r="8885" spans="1:42">
      <c r="A8885" s="20">
        <v>43888</v>
      </c>
      <c r="B8885" s="21">
        <v>4</v>
      </c>
      <c r="C8885" s="21">
        <v>574</v>
      </c>
      <c r="D8885" s="21">
        <v>11441</v>
      </c>
      <c r="E8885" t="s">
        <v>377</v>
      </c>
      <c r="F8885" s="21" t="s">
        <v>436</v>
      </c>
      <c r="G8885" s="21">
        <v>1</v>
      </c>
      <c r="H8885" s="21">
        <v>4</v>
      </c>
      <c r="I8885" s="23" t="s">
        <v>3417</v>
      </c>
      <c r="J8885" s="21"/>
      <c r="K8885" s="21" t="s">
        <v>417</v>
      </c>
      <c r="L8885" s="21"/>
      <c r="M8885" s="21"/>
      <c r="N8885" s="21" t="s">
        <v>40</v>
      </c>
      <c r="O8885" s="21">
        <f>60+29</f>
        <v>89</v>
      </c>
      <c r="P8885" s="21"/>
      <c r="Q8885" s="21">
        <f t="shared" si="185"/>
        <v>1</v>
      </c>
      <c r="R8885" s="21">
        <v>1</v>
      </c>
      <c r="S8885" s="21">
        <v>0</v>
      </c>
      <c r="T8885" s="21">
        <v>0</v>
      </c>
      <c r="U8885" s="21">
        <v>0</v>
      </c>
      <c r="V8885" s="21">
        <v>0</v>
      </c>
      <c r="W8885" s="21">
        <v>0</v>
      </c>
      <c r="X8885" s="21">
        <v>0</v>
      </c>
      <c r="Y8885" s="21">
        <v>0</v>
      </c>
      <c r="Z8885" s="21">
        <v>0</v>
      </c>
      <c r="AA8885" s="21">
        <v>0</v>
      </c>
      <c r="AB8885" s="21">
        <v>0</v>
      </c>
      <c r="AC8885" s="21">
        <v>1</v>
      </c>
      <c r="AD8885" s="21">
        <v>0</v>
      </c>
      <c r="AE8885" s="21">
        <v>0</v>
      </c>
      <c r="AF8885" s="21">
        <v>0</v>
      </c>
      <c r="AG8885" s="21">
        <v>0</v>
      </c>
      <c r="AH8885" s="21"/>
      <c r="AI8885" s="21"/>
      <c r="AJ8885" s="21" t="s">
        <v>51</v>
      </c>
      <c r="AK8885" s="21" t="s">
        <v>95</v>
      </c>
      <c r="AL8885" s="21" t="s">
        <v>1979</v>
      </c>
      <c r="AM8885" s="21" t="s">
        <v>5793</v>
      </c>
      <c r="AN8885" s="21">
        <v>-122.41936955</v>
      </c>
      <c r="AO8885" s="21">
        <v>37.781115683333297</v>
      </c>
      <c r="AP8885" s="21" t="s">
        <v>1915</v>
      </c>
    </row>
    <row r="8886" spans="1:42">
      <c r="A8886" s="20">
        <v>43888</v>
      </c>
      <c r="B8886" s="21">
        <v>4</v>
      </c>
      <c r="C8886" s="21">
        <v>574</v>
      </c>
      <c r="D8886" s="21">
        <v>11441</v>
      </c>
      <c r="E8886" t="s">
        <v>377</v>
      </c>
      <c r="F8886" s="21" t="s">
        <v>436</v>
      </c>
      <c r="G8886" s="21">
        <v>1</v>
      </c>
      <c r="H8886" s="21">
        <v>5</v>
      </c>
      <c r="I8886" s="23" t="s">
        <v>3230</v>
      </c>
      <c r="J8886" s="21"/>
      <c r="K8886" s="21" t="s">
        <v>415</v>
      </c>
      <c r="L8886" s="21"/>
      <c r="M8886" s="21"/>
      <c r="N8886" s="21" t="s">
        <v>40</v>
      </c>
      <c r="O8886" s="21">
        <v>125</v>
      </c>
      <c r="P8886" s="21"/>
      <c r="Q8886" s="21">
        <f t="shared" si="185"/>
        <v>1</v>
      </c>
      <c r="R8886" s="21">
        <v>1</v>
      </c>
      <c r="S8886" s="21">
        <v>0</v>
      </c>
      <c r="T8886" s="21">
        <v>0</v>
      </c>
      <c r="U8886" s="21">
        <v>0</v>
      </c>
      <c r="V8886" s="21">
        <v>0</v>
      </c>
      <c r="W8886" s="21">
        <v>0</v>
      </c>
      <c r="X8886" s="21">
        <v>0</v>
      </c>
      <c r="Y8886" s="21">
        <v>0</v>
      </c>
      <c r="Z8886" s="21">
        <v>0</v>
      </c>
      <c r="AA8886" s="21">
        <v>0</v>
      </c>
      <c r="AB8886" s="21">
        <v>1</v>
      </c>
      <c r="AC8886" s="21">
        <v>0</v>
      </c>
      <c r="AD8886" s="21">
        <v>0</v>
      </c>
      <c r="AE8886" s="21">
        <v>0</v>
      </c>
      <c r="AF8886" s="21">
        <v>0</v>
      </c>
      <c r="AG8886" s="21">
        <v>0</v>
      </c>
      <c r="AH8886" s="21"/>
      <c r="AI8886" s="21"/>
      <c r="AJ8886" s="21" t="s">
        <v>54</v>
      </c>
      <c r="AK8886" s="21" t="s">
        <v>95</v>
      </c>
      <c r="AL8886" s="21" t="s">
        <v>5794</v>
      </c>
      <c r="AM8886" s="21" t="s">
        <v>5795</v>
      </c>
      <c r="AN8886" s="21">
        <v>-122.42081761666699</v>
      </c>
      <c r="AO8886" s="21">
        <v>37.785925566666698</v>
      </c>
      <c r="AP8886" s="21" t="s">
        <v>1915</v>
      </c>
    </row>
    <row r="8887" spans="1:42">
      <c r="A8887" s="20">
        <v>43888</v>
      </c>
      <c r="B8887" s="21">
        <v>4</v>
      </c>
      <c r="C8887" s="21">
        <v>574</v>
      </c>
      <c r="D8887" s="21">
        <v>11441</v>
      </c>
      <c r="E8887" t="s">
        <v>377</v>
      </c>
      <c r="F8887" s="21" t="s">
        <v>436</v>
      </c>
      <c r="G8887" s="21">
        <v>1</v>
      </c>
      <c r="H8887" s="21">
        <v>6</v>
      </c>
      <c r="I8887" s="23" t="s">
        <v>3823</v>
      </c>
      <c r="J8887" s="21"/>
      <c r="K8887" s="21" t="s">
        <v>631</v>
      </c>
      <c r="L8887" s="21"/>
      <c r="M8887" s="21"/>
      <c r="N8887" s="21" t="s">
        <v>40</v>
      </c>
      <c r="O8887" s="21">
        <f>120+120+3</f>
        <v>243</v>
      </c>
      <c r="P8887" s="21"/>
      <c r="Q8887" s="21">
        <f t="shared" si="185"/>
        <v>1</v>
      </c>
      <c r="R8887" s="21">
        <v>1</v>
      </c>
      <c r="S8887" s="21">
        <v>0</v>
      </c>
      <c r="T8887" s="21">
        <v>0</v>
      </c>
      <c r="U8887" s="21">
        <v>0</v>
      </c>
      <c r="V8887" s="21">
        <v>0</v>
      </c>
      <c r="W8887" s="21">
        <v>0</v>
      </c>
      <c r="X8887" s="21">
        <v>0</v>
      </c>
      <c r="Y8887" s="21">
        <v>0</v>
      </c>
      <c r="Z8887" s="21">
        <v>0</v>
      </c>
      <c r="AA8887" s="21">
        <v>1</v>
      </c>
      <c r="AB8887" s="21">
        <v>0</v>
      </c>
      <c r="AC8887" s="21">
        <v>0</v>
      </c>
      <c r="AD8887" s="21">
        <v>0</v>
      </c>
      <c r="AE8887" s="21">
        <v>0</v>
      </c>
      <c r="AF8887" s="21">
        <v>0</v>
      </c>
      <c r="AG8887" s="21">
        <v>0</v>
      </c>
      <c r="AH8887" s="21"/>
      <c r="AI8887" s="21"/>
      <c r="AJ8887" s="21" t="s">
        <v>54</v>
      </c>
      <c r="AK8887" s="21" t="s">
        <v>95</v>
      </c>
      <c r="AL8887" s="21" t="s">
        <v>5796</v>
      </c>
      <c r="AM8887" s="21" t="s">
        <v>5797</v>
      </c>
      <c r="AN8887" s="21">
        <v>-122.42241711666701</v>
      </c>
      <c r="AO8887" s="21">
        <v>37.785133383333303</v>
      </c>
      <c r="AP8887" s="21" t="s">
        <v>1915</v>
      </c>
    </row>
    <row r="8888" spans="1:42">
      <c r="A8888" s="20">
        <v>43888</v>
      </c>
      <c r="B8888" s="21">
        <v>4</v>
      </c>
      <c r="C8888" s="21">
        <v>574</v>
      </c>
      <c r="D8888" s="21">
        <v>11441</v>
      </c>
      <c r="E8888" t="s">
        <v>377</v>
      </c>
      <c r="F8888" s="21" t="s">
        <v>436</v>
      </c>
      <c r="G8888" s="21">
        <v>1</v>
      </c>
      <c r="H8888" s="21">
        <v>7</v>
      </c>
      <c r="I8888" s="23" t="s">
        <v>3720</v>
      </c>
      <c r="J8888" s="21"/>
      <c r="K8888" s="21" t="s">
        <v>631</v>
      </c>
      <c r="L8888" s="21"/>
      <c r="M8888" s="21"/>
      <c r="N8888" s="21" t="s">
        <v>40</v>
      </c>
      <c r="O8888" s="21">
        <f>120+60+41</f>
        <v>221</v>
      </c>
      <c r="P8888" s="21"/>
      <c r="Q8888" s="21">
        <f t="shared" si="185"/>
        <v>1</v>
      </c>
      <c r="R8888" s="21">
        <v>1</v>
      </c>
      <c r="S8888" s="21">
        <v>0</v>
      </c>
      <c r="T8888" s="21">
        <v>0</v>
      </c>
      <c r="U8888" s="21">
        <v>0</v>
      </c>
      <c r="V8888" s="21">
        <v>0</v>
      </c>
      <c r="W8888" s="21">
        <v>0</v>
      </c>
      <c r="X8888" s="21">
        <v>0</v>
      </c>
      <c r="Y8888" s="21">
        <v>0</v>
      </c>
      <c r="Z8888" s="21">
        <v>0</v>
      </c>
      <c r="AA8888" s="21">
        <v>0</v>
      </c>
      <c r="AB8888" s="21">
        <v>1</v>
      </c>
      <c r="AC8888" s="21">
        <v>0</v>
      </c>
      <c r="AD8888" s="21">
        <v>0</v>
      </c>
      <c r="AE8888" s="21">
        <v>0</v>
      </c>
      <c r="AF8888" s="21">
        <v>0</v>
      </c>
      <c r="AG8888" s="21">
        <v>0</v>
      </c>
      <c r="AH8888" s="21"/>
      <c r="AI8888" s="21"/>
      <c r="AJ8888" s="21" t="s">
        <v>51</v>
      </c>
      <c r="AK8888" s="21" t="s">
        <v>95</v>
      </c>
      <c r="AL8888" s="21" t="s">
        <v>5798</v>
      </c>
      <c r="AM8888" s="21" t="s">
        <v>5799</v>
      </c>
      <c r="AN8888" s="21">
        <v>-122.43229933333301</v>
      </c>
      <c r="AO8888" s="21">
        <v>37.784622066666699</v>
      </c>
      <c r="AP8888" s="21" t="s">
        <v>1915</v>
      </c>
    </row>
    <row r="8889" spans="1:42">
      <c r="A8889" s="20">
        <v>43888</v>
      </c>
      <c r="B8889" s="21">
        <v>4</v>
      </c>
      <c r="C8889" s="21">
        <v>574</v>
      </c>
      <c r="D8889" s="21">
        <v>11441</v>
      </c>
      <c r="E8889" t="s">
        <v>377</v>
      </c>
      <c r="F8889" s="21" t="s">
        <v>436</v>
      </c>
      <c r="G8889" s="21">
        <v>1</v>
      </c>
      <c r="H8889" s="21">
        <v>8</v>
      </c>
      <c r="I8889" s="23" t="s">
        <v>3259</v>
      </c>
      <c r="J8889" s="21"/>
      <c r="K8889" s="21" t="s">
        <v>631</v>
      </c>
      <c r="L8889" s="21"/>
      <c r="M8889" s="21"/>
      <c r="N8889" s="21" t="s">
        <v>40</v>
      </c>
      <c r="O8889" s="21">
        <v>59</v>
      </c>
      <c r="P8889" s="21"/>
      <c r="Q8889" s="21">
        <f t="shared" si="185"/>
        <v>1</v>
      </c>
      <c r="R8889" s="21">
        <v>1</v>
      </c>
      <c r="S8889" s="21">
        <v>0</v>
      </c>
      <c r="T8889" s="21">
        <v>0</v>
      </c>
      <c r="U8889" s="21">
        <v>0</v>
      </c>
      <c r="V8889" s="21">
        <v>0</v>
      </c>
      <c r="W8889" s="21">
        <v>0</v>
      </c>
      <c r="X8889" s="21">
        <v>0</v>
      </c>
      <c r="Y8889" s="21">
        <v>0</v>
      </c>
      <c r="Z8889" s="21">
        <v>0</v>
      </c>
      <c r="AA8889" s="21">
        <v>0</v>
      </c>
      <c r="AB8889" s="21">
        <v>0</v>
      </c>
      <c r="AC8889" s="21">
        <v>1</v>
      </c>
      <c r="AD8889" s="21">
        <v>0</v>
      </c>
      <c r="AE8889" s="21">
        <v>0</v>
      </c>
      <c r="AF8889" s="21">
        <v>0</v>
      </c>
      <c r="AG8889" s="21">
        <v>0</v>
      </c>
      <c r="AH8889" s="21"/>
      <c r="AI8889" s="21"/>
      <c r="AJ8889" s="21" t="s">
        <v>51</v>
      </c>
      <c r="AK8889" s="21" t="s">
        <v>95</v>
      </c>
      <c r="AL8889" s="21"/>
      <c r="AM8889" s="21" t="s">
        <v>5800</v>
      </c>
      <c r="AN8889" s="21">
        <v>-122.42344041666701</v>
      </c>
      <c r="AO8889" s="21">
        <v>37.788150766666703</v>
      </c>
      <c r="AP8889" s="21" t="s">
        <v>1915</v>
      </c>
    </row>
    <row r="8890" spans="1:42">
      <c r="A8890" s="20">
        <v>43888</v>
      </c>
      <c r="B8890" s="21">
        <v>4</v>
      </c>
      <c r="C8890" s="21">
        <v>574</v>
      </c>
      <c r="D8890" s="21">
        <v>11441</v>
      </c>
      <c r="E8890" t="s">
        <v>377</v>
      </c>
      <c r="F8890" s="21" t="s">
        <v>436</v>
      </c>
      <c r="G8890" s="21">
        <v>1</v>
      </c>
      <c r="H8890" s="21">
        <v>9</v>
      </c>
      <c r="I8890" s="23" t="s">
        <v>4330</v>
      </c>
      <c r="J8890" s="21"/>
      <c r="K8890" s="21" t="s">
        <v>46</v>
      </c>
      <c r="L8890" s="21"/>
      <c r="M8890" s="21"/>
      <c r="N8890" s="21" t="s">
        <v>44</v>
      </c>
      <c r="O8890" s="21">
        <f>120+44</f>
        <v>164</v>
      </c>
      <c r="P8890" s="21"/>
      <c r="Q8890" s="21">
        <f t="shared" si="185"/>
        <v>1</v>
      </c>
      <c r="R8890" s="21">
        <v>1</v>
      </c>
      <c r="S8890" s="21">
        <v>0</v>
      </c>
      <c r="T8890" s="21">
        <v>0</v>
      </c>
      <c r="U8890" s="21">
        <v>0</v>
      </c>
      <c r="V8890" s="21">
        <v>0</v>
      </c>
      <c r="W8890" s="21">
        <v>0</v>
      </c>
      <c r="X8890" s="21">
        <v>0</v>
      </c>
      <c r="Y8890" s="21">
        <v>0</v>
      </c>
      <c r="Z8890" s="21">
        <v>0</v>
      </c>
      <c r="AA8890" s="21">
        <v>1</v>
      </c>
      <c r="AB8890" s="21">
        <v>0</v>
      </c>
      <c r="AC8890" s="21">
        <v>0</v>
      </c>
      <c r="AD8890" s="21">
        <v>0</v>
      </c>
      <c r="AE8890" s="21">
        <v>0</v>
      </c>
      <c r="AF8890" s="21">
        <v>0</v>
      </c>
      <c r="AG8890" s="21">
        <v>0</v>
      </c>
      <c r="AH8890" s="21"/>
      <c r="AI8890" s="21"/>
      <c r="AJ8890" s="21" t="s">
        <v>51</v>
      </c>
      <c r="AK8890" s="21" t="s">
        <v>95</v>
      </c>
      <c r="AL8890" s="21" t="s">
        <v>5801</v>
      </c>
      <c r="AM8890" s="21" t="s">
        <v>5802</v>
      </c>
      <c r="AN8890" s="21">
        <v>-122.419293833333</v>
      </c>
      <c r="AO8890" s="21">
        <v>37.789218066666699</v>
      </c>
      <c r="AP8890" s="21" t="s">
        <v>1915</v>
      </c>
    </row>
    <row r="8891" spans="1:42">
      <c r="A8891" s="20">
        <v>43888</v>
      </c>
      <c r="B8891" s="21">
        <v>4</v>
      </c>
      <c r="C8891" s="21">
        <v>574</v>
      </c>
      <c r="D8891" s="21">
        <v>11441</v>
      </c>
      <c r="E8891" t="s">
        <v>377</v>
      </c>
      <c r="F8891" s="21" t="s">
        <v>436</v>
      </c>
      <c r="G8891" s="21">
        <v>1</v>
      </c>
      <c r="H8891" s="21">
        <v>10</v>
      </c>
      <c r="I8891" s="23" t="s">
        <v>3623</v>
      </c>
      <c r="J8891" s="21"/>
      <c r="K8891" s="21" t="s">
        <v>415</v>
      </c>
      <c r="L8891" s="21"/>
      <c r="M8891" s="21"/>
      <c r="N8891" s="21" t="s">
        <v>40</v>
      </c>
      <c r="O8891" s="21">
        <f>60+34</f>
        <v>94</v>
      </c>
      <c r="P8891" s="21"/>
      <c r="Q8891" s="21">
        <f t="shared" si="185"/>
        <v>1</v>
      </c>
      <c r="R8891" s="21">
        <v>1</v>
      </c>
      <c r="S8891" s="21">
        <v>0</v>
      </c>
      <c r="T8891" s="21">
        <v>0</v>
      </c>
      <c r="U8891" s="21">
        <v>0</v>
      </c>
      <c r="V8891" s="21">
        <v>0</v>
      </c>
      <c r="W8891" s="21">
        <v>0</v>
      </c>
      <c r="X8891" s="21">
        <v>0</v>
      </c>
      <c r="Y8891" s="21">
        <v>1</v>
      </c>
      <c r="Z8891" s="21">
        <v>0</v>
      </c>
      <c r="AA8891" s="21">
        <v>0</v>
      </c>
      <c r="AB8891" s="21">
        <v>0</v>
      </c>
      <c r="AC8891" s="21">
        <v>0</v>
      </c>
      <c r="AD8891" s="21">
        <v>0</v>
      </c>
      <c r="AE8891" s="21">
        <v>0</v>
      </c>
      <c r="AF8891" s="21">
        <v>0</v>
      </c>
      <c r="AG8891" s="21">
        <v>0</v>
      </c>
      <c r="AH8891" s="21"/>
      <c r="AI8891" s="21"/>
      <c r="AJ8891" s="21" t="s">
        <v>51</v>
      </c>
      <c r="AK8891" s="21" t="s">
        <v>95</v>
      </c>
      <c r="AL8891" s="21" t="s">
        <v>5803</v>
      </c>
      <c r="AM8891" s="21" t="s">
        <v>5804</v>
      </c>
      <c r="AN8891" s="21">
        <v>-122.422158766667</v>
      </c>
      <c r="AO8891" s="21">
        <v>37.789788566666701</v>
      </c>
      <c r="AP8891" s="21" t="s">
        <v>1915</v>
      </c>
    </row>
    <row r="8892" spans="1:42">
      <c r="A8892" s="20">
        <v>43888</v>
      </c>
      <c r="B8892" s="21">
        <v>4</v>
      </c>
      <c r="C8892" s="21">
        <v>574</v>
      </c>
      <c r="D8892" s="21">
        <v>11441</v>
      </c>
      <c r="E8892" t="s">
        <v>377</v>
      </c>
      <c r="F8892" s="21" t="s">
        <v>436</v>
      </c>
      <c r="G8892" s="21">
        <v>1</v>
      </c>
      <c r="H8892" s="21">
        <v>11</v>
      </c>
      <c r="I8892" s="23" t="s">
        <v>3651</v>
      </c>
      <c r="J8892" s="21"/>
      <c r="K8892" s="21" t="s">
        <v>415</v>
      </c>
      <c r="L8892" s="21"/>
      <c r="M8892" s="21"/>
      <c r="N8892" s="21" t="s">
        <v>40</v>
      </c>
      <c r="O8892" s="21">
        <v>52</v>
      </c>
      <c r="P8892" s="21"/>
      <c r="Q8892" s="21">
        <f t="shared" si="185"/>
        <v>1</v>
      </c>
      <c r="R8892" s="21">
        <v>1</v>
      </c>
      <c r="S8892" s="21">
        <v>0</v>
      </c>
      <c r="T8892" s="21">
        <v>0</v>
      </c>
      <c r="U8892" s="21">
        <v>0</v>
      </c>
      <c r="V8892" s="21">
        <v>0</v>
      </c>
      <c r="W8892" s="21">
        <v>0</v>
      </c>
      <c r="X8892" s="21">
        <v>0</v>
      </c>
      <c r="Y8892" s="21">
        <v>0</v>
      </c>
      <c r="Z8892" s="21">
        <v>0</v>
      </c>
      <c r="AA8892" s="21">
        <v>0</v>
      </c>
      <c r="AB8892" s="21">
        <v>0</v>
      </c>
      <c r="AC8892" s="21">
        <v>1</v>
      </c>
      <c r="AD8892" s="21">
        <v>0</v>
      </c>
      <c r="AE8892" s="21">
        <v>0</v>
      </c>
      <c r="AF8892" s="21">
        <v>0</v>
      </c>
      <c r="AG8892" s="21">
        <v>0</v>
      </c>
      <c r="AH8892" s="21"/>
      <c r="AI8892" s="21"/>
      <c r="AJ8892" s="21" t="s">
        <v>51</v>
      </c>
      <c r="AK8892" s="21"/>
      <c r="AL8892" s="21"/>
      <c r="AM8892" s="21" t="s">
        <v>5805</v>
      </c>
      <c r="AN8892" s="21">
        <v>-122.42273443333301</v>
      </c>
      <c r="AO8892" s="21">
        <v>37.789663433333303</v>
      </c>
      <c r="AP8892" s="21" t="s">
        <v>1915</v>
      </c>
    </row>
    <row r="8893" spans="1:42">
      <c r="A8893" s="20">
        <v>43888</v>
      </c>
      <c r="B8893" s="21">
        <v>4</v>
      </c>
      <c r="C8893" s="21">
        <v>574</v>
      </c>
      <c r="D8893" s="21">
        <v>11441</v>
      </c>
      <c r="E8893" t="s">
        <v>377</v>
      </c>
      <c r="F8893" s="21" t="s">
        <v>436</v>
      </c>
      <c r="G8893" s="21">
        <v>1</v>
      </c>
      <c r="H8893" s="21">
        <v>12</v>
      </c>
      <c r="I8893" s="23" t="s">
        <v>3058</v>
      </c>
      <c r="J8893" s="21"/>
      <c r="K8893" s="21" t="s">
        <v>862</v>
      </c>
      <c r="L8893" s="21"/>
      <c r="M8893" s="21"/>
      <c r="N8893" s="21" t="s">
        <v>44</v>
      </c>
      <c r="O8893" s="21">
        <f>120+60+7</f>
        <v>187</v>
      </c>
      <c r="P8893" s="21"/>
      <c r="Q8893" s="21">
        <f t="shared" si="185"/>
        <v>1</v>
      </c>
      <c r="R8893" s="21">
        <v>1</v>
      </c>
      <c r="S8893" s="21">
        <v>0</v>
      </c>
      <c r="T8893" s="21">
        <v>0</v>
      </c>
      <c r="U8893" s="21">
        <v>0</v>
      </c>
      <c r="V8893" s="21">
        <v>0</v>
      </c>
      <c r="W8893" s="21">
        <v>0</v>
      </c>
      <c r="X8893" s="21">
        <v>0</v>
      </c>
      <c r="Y8893" s="21">
        <v>0</v>
      </c>
      <c r="Z8893" s="21">
        <v>0</v>
      </c>
      <c r="AA8893" s="21">
        <v>0</v>
      </c>
      <c r="AB8893" s="21">
        <v>0</v>
      </c>
      <c r="AC8893" s="21">
        <v>0</v>
      </c>
      <c r="AD8893" s="21">
        <v>0</v>
      </c>
      <c r="AE8893" s="21">
        <v>1</v>
      </c>
      <c r="AF8893" s="21">
        <v>0</v>
      </c>
      <c r="AG8893" s="21">
        <v>0</v>
      </c>
      <c r="AH8893" s="21"/>
      <c r="AI8893" s="21"/>
      <c r="AJ8893" s="21"/>
      <c r="AK8893" s="21"/>
      <c r="AL8893" s="21" t="s">
        <v>5806</v>
      </c>
      <c r="AM8893" s="21" t="s">
        <v>5807</v>
      </c>
      <c r="AN8893" s="21">
        <v>-122.42423384999999</v>
      </c>
      <c r="AO8893" s="21">
        <v>37.804210433333303</v>
      </c>
      <c r="AP8893" s="21" t="s">
        <v>1915</v>
      </c>
    </row>
    <row r="8894" spans="1:42">
      <c r="A8894" s="20">
        <v>43888</v>
      </c>
      <c r="B8894" s="21">
        <v>4</v>
      </c>
      <c r="C8894" s="21">
        <v>574</v>
      </c>
      <c r="D8894" s="21">
        <v>11441</v>
      </c>
      <c r="E8894" t="s">
        <v>377</v>
      </c>
      <c r="F8894" s="21" t="s">
        <v>436</v>
      </c>
      <c r="G8894" s="21">
        <v>1</v>
      </c>
      <c r="H8894" s="21">
        <v>13</v>
      </c>
      <c r="I8894" s="23" t="s">
        <v>5808</v>
      </c>
      <c r="J8894" s="21"/>
      <c r="K8894" s="21" t="s">
        <v>906</v>
      </c>
      <c r="L8894" s="21"/>
      <c r="M8894" s="21"/>
      <c r="N8894" s="21" t="s">
        <v>44</v>
      </c>
      <c r="O8894" s="21">
        <f>120+60+48</f>
        <v>228</v>
      </c>
      <c r="P8894" s="21"/>
      <c r="Q8894" s="21">
        <f t="shared" si="185"/>
        <v>1</v>
      </c>
      <c r="R8894" s="21">
        <v>1</v>
      </c>
      <c r="S8894" s="21">
        <v>0</v>
      </c>
      <c r="T8894" s="21">
        <v>0</v>
      </c>
      <c r="U8894" s="21">
        <v>0</v>
      </c>
      <c r="V8894" s="21">
        <v>0</v>
      </c>
      <c r="W8894" s="21">
        <v>0</v>
      </c>
      <c r="X8894" s="21">
        <v>0</v>
      </c>
      <c r="Y8894" s="21">
        <v>0</v>
      </c>
      <c r="Z8894" s="21">
        <v>0</v>
      </c>
      <c r="AA8894" s="21">
        <v>0</v>
      </c>
      <c r="AB8894" s="21">
        <v>1</v>
      </c>
      <c r="AC8894" s="21">
        <v>0</v>
      </c>
      <c r="AD8894" s="21">
        <v>0</v>
      </c>
      <c r="AE8894" s="21">
        <v>0</v>
      </c>
      <c r="AF8894" s="21">
        <v>0</v>
      </c>
      <c r="AG8894" s="21">
        <v>0</v>
      </c>
      <c r="AH8894" s="21"/>
      <c r="AI8894" s="21"/>
      <c r="AJ8894" s="21" t="s">
        <v>51</v>
      </c>
      <c r="AK8894" s="21" t="s">
        <v>95</v>
      </c>
      <c r="AL8894" s="21" t="s">
        <v>5809</v>
      </c>
      <c r="AM8894" s="21" t="s">
        <v>5810</v>
      </c>
      <c r="AN8894" s="21">
        <v>-122.421213466667</v>
      </c>
      <c r="AO8894" s="21">
        <v>37.806490833333299</v>
      </c>
      <c r="AP8894" s="21" t="s">
        <v>1915</v>
      </c>
    </row>
    <row r="8895" spans="1:42">
      <c r="A8895" s="20">
        <v>43888</v>
      </c>
      <c r="B8895" s="21">
        <v>4</v>
      </c>
      <c r="C8895" s="21">
        <v>574</v>
      </c>
      <c r="D8895" s="21">
        <v>11441</v>
      </c>
      <c r="E8895" t="s">
        <v>377</v>
      </c>
      <c r="F8895" s="21" t="s">
        <v>436</v>
      </c>
      <c r="G8895" s="21">
        <v>1</v>
      </c>
      <c r="H8895" s="21">
        <v>14</v>
      </c>
      <c r="I8895" s="23" t="s">
        <v>5192</v>
      </c>
      <c r="J8895" s="21"/>
      <c r="K8895" s="21" t="s">
        <v>415</v>
      </c>
      <c r="L8895" s="21"/>
      <c r="M8895" s="21"/>
      <c r="N8895" s="21" t="s">
        <v>44</v>
      </c>
      <c r="O8895" s="21">
        <f>120+120+37</f>
        <v>277</v>
      </c>
      <c r="P8895" s="21"/>
      <c r="Q8895" s="21">
        <f t="shared" si="185"/>
        <v>2</v>
      </c>
      <c r="R8895" s="21">
        <v>1</v>
      </c>
      <c r="S8895" s="21">
        <v>0</v>
      </c>
      <c r="T8895" s="21">
        <v>0</v>
      </c>
      <c r="U8895" s="21">
        <v>0</v>
      </c>
      <c r="V8895" s="21">
        <v>0</v>
      </c>
      <c r="W8895" s="21">
        <v>0</v>
      </c>
      <c r="X8895" s="21">
        <v>0</v>
      </c>
      <c r="Y8895" s="21">
        <v>0</v>
      </c>
      <c r="Z8895" s="21">
        <v>0</v>
      </c>
      <c r="AA8895" s="21">
        <v>0</v>
      </c>
      <c r="AB8895" s="21">
        <v>0</v>
      </c>
      <c r="AC8895" s="21">
        <v>2</v>
      </c>
      <c r="AD8895" s="21">
        <v>0</v>
      </c>
      <c r="AE8895" s="21">
        <v>0</v>
      </c>
      <c r="AF8895" s="21">
        <v>0</v>
      </c>
      <c r="AG8895" s="21">
        <v>0</v>
      </c>
      <c r="AH8895" s="21"/>
      <c r="AI8895" s="21"/>
      <c r="AJ8895" s="21" t="s">
        <v>51</v>
      </c>
      <c r="AK8895" s="21" t="s">
        <v>95</v>
      </c>
      <c r="AL8895" s="21" t="s">
        <v>5811</v>
      </c>
      <c r="AM8895" s="21" t="s">
        <v>5812</v>
      </c>
      <c r="AN8895" s="21">
        <v>-122.424424599297</v>
      </c>
      <c r="AO8895" s="21">
        <v>37.806184868204198</v>
      </c>
      <c r="AP8895" s="21" t="s">
        <v>1915</v>
      </c>
    </row>
    <row r="8896" spans="1:42">
      <c r="A8896" s="20">
        <v>43888</v>
      </c>
      <c r="B8896" s="21">
        <v>4</v>
      </c>
      <c r="C8896" s="21">
        <v>574</v>
      </c>
      <c r="D8896" s="21">
        <v>11441</v>
      </c>
      <c r="E8896" t="s">
        <v>377</v>
      </c>
      <c r="F8896" s="21" t="s">
        <v>436</v>
      </c>
      <c r="G8896" s="21">
        <v>1</v>
      </c>
      <c r="H8896" s="21">
        <v>15</v>
      </c>
      <c r="I8896" s="23" t="s">
        <v>5813</v>
      </c>
      <c r="J8896" s="21"/>
      <c r="K8896" s="21"/>
      <c r="L8896" s="21"/>
      <c r="M8896" s="21"/>
      <c r="N8896" s="21" t="s">
        <v>44</v>
      </c>
      <c r="O8896" s="21">
        <v>37</v>
      </c>
      <c r="P8896" s="21"/>
      <c r="Q8896" s="21">
        <f t="shared" si="185"/>
        <v>1</v>
      </c>
      <c r="R8896" s="21">
        <v>1</v>
      </c>
      <c r="S8896" s="21">
        <v>0</v>
      </c>
      <c r="T8896" s="21">
        <v>0</v>
      </c>
      <c r="U8896" s="21">
        <v>0</v>
      </c>
      <c r="V8896" s="21">
        <v>0</v>
      </c>
      <c r="W8896" s="21">
        <v>0</v>
      </c>
      <c r="X8896" s="21">
        <v>0</v>
      </c>
      <c r="Y8896" s="21">
        <v>0</v>
      </c>
      <c r="Z8896" s="21">
        <v>0</v>
      </c>
      <c r="AA8896" s="21">
        <v>0</v>
      </c>
      <c r="AB8896" s="21">
        <v>0</v>
      </c>
      <c r="AC8896" s="21">
        <v>1</v>
      </c>
      <c r="AD8896" s="21">
        <v>0</v>
      </c>
      <c r="AE8896" s="21">
        <v>0</v>
      </c>
      <c r="AF8896" s="21">
        <v>0</v>
      </c>
      <c r="AG8896" s="21">
        <v>0</v>
      </c>
      <c r="AH8896" s="21"/>
      <c r="AI8896" s="21"/>
      <c r="AJ8896" s="21" t="s">
        <v>51</v>
      </c>
      <c r="AK8896" s="21" t="s">
        <v>95</v>
      </c>
      <c r="AL8896" s="21"/>
      <c r="AM8896" s="21" t="s">
        <v>5814</v>
      </c>
      <c r="AN8896" s="21">
        <v>-122.428878966667</v>
      </c>
      <c r="AO8896" s="21">
        <v>37.8069511666667</v>
      </c>
      <c r="AP8896" s="21" t="s">
        <v>1915</v>
      </c>
    </row>
    <row r="8897" spans="1:42">
      <c r="A8897" s="20">
        <v>43888</v>
      </c>
      <c r="B8897" s="21">
        <v>4</v>
      </c>
      <c r="C8897" s="21">
        <v>574</v>
      </c>
      <c r="D8897" s="21">
        <v>11441</v>
      </c>
      <c r="E8897" t="s">
        <v>377</v>
      </c>
      <c r="F8897" s="21" t="s">
        <v>436</v>
      </c>
      <c r="G8897" s="21">
        <v>1</v>
      </c>
      <c r="H8897" s="21">
        <v>16</v>
      </c>
      <c r="I8897" s="23" t="s">
        <v>5813</v>
      </c>
      <c r="J8897" s="21"/>
      <c r="K8897" s="21"/>
      <c r="L8897" s="21"/>
      <c r="M8897" s="21"/>
      <c r="N8897" s="21" t="s">
        <v>40</v>
      </c>
      <c r="O8897" s="21">
        <f>60+50</f>
        <v>110</v>
      </c>
      <c r="P8897" s="21"/>
      <c r="Q8897" s="21">
        <f t="shared" si="185"/>
        <v>1</v>
      </c>
      <c r="R8897" s="21">
        <v>1</v>
      </c>
      <c r="S8897" s="21">
        <v>0</v>
      </c>
      <c r="T8897" s="21">
        <v>0</v>
      </c>
      <c r="U8897" s="21">
        <v>0</v>
      </c>
      <c r="V8897" s="21">
        <v>0</v>
      </c>
      <c r="W8897" s="21">
        <v>0</v>
      </c>
      <c r="X8897" s="21">
        <v>0</v>
      </c>
      <c r="Y8897" s="21">
        <v>0</v>
      </c>
      <c r="Z8897" s="21">
        <v>0</v>
      </c>
      <c r="AA8897" s="21">
        <v>1</v>
      </c>
      <c r="AB8897" s="21">
        <v>0</v>
      </c>
      <c r="AC8897" s="21">
        <v>0</v>
      </c>
      <c r="AD8897" s="21">
        <v>0</v>
      </c>
      <c r="AE8897" s="21">
        <v>0</v>
      </c>
      <c r="AF8897" s="21">
        <v>0</v>
      </c>
      <c r="AG8897" s="21">
        <v>0</v>
      </c>
      <c r="AH8897" s="21"/>
      <c r="AI8897" s="21"/>
      <c r="AJ8897" s="21" t="s">
        <v>51</v>
      </c>
      <c r="AK8897" s="21"/>
      <c r="AL8897" s="21"/>
      <c r="AM8897" s="21" t="s">
        <v>5815</v>
      </c>
      <c r="AN8897" s="21">
        <v>-122.428268616667</v>
      </c>
      <c r="AO8897" s="21">
        <v>37.805745866666598</v>
      </c>
      <c r="AP8897" s="21" t="s">
        <v>1915</v>
      </c>
    </row>
    <row r="8898" spans="1:42">
      <c r="A8898" s="20">
        <v>43888</v>
      </c>
      <c r="B8898" s="21">
        <v>4</v>
      </c>
      <c r="C8898" s="21">
        <v>574</v>
      </c>
      <c r="D8898" s="21">
        <v>11441</v>
      </c>
      <c r="E8898" t="s">
        <v>377</v>
      </c>
      <c r="F8898" s="21" t="s">
        <v>436</v>
      </c>
      <c r="G8898" s="21">
        <v>1</v>
      </c>
      <c r="H8898" s="21">
        <v>17</v>
      </c>
      <c r="I8898" s="23" t="s">
        <v>5813</v>
      </c>
      <c r="J8898" s="21"/>
      <c r="K8898" s="21"/>
      <c r="L8898" s="21"/>
      <c r="M8898" s="21"/>
      <c r="N8898" s="21" t="s">
        <v>40</v>
      </c>
      <c r="O8898" s="21">
        <f>60+28</f>
        <v>88</v>
      </c>
      <c r="P8898" s="21"/>
      <c r="Q8898" s="21">
        <f t="shared" si="185"/>
        <v>2</v>
      </c>
      <c r="R8898" s="21">
        <v>1</v>
      </c>
      <c r="S8898" s="21">
        <v>0</v>
      </c>
      <c r="T8898" s="21">
        <v>0</v>
      </c>
      <c r="U8898" s="21">
        <v>0</v>
      </c>
      <c r="V8898" s="21">
        <v>0</v>
      </c>
      <c r="W8898" s="21">
        <v>0</v>
      </c>
      <c r="X8898" s="21">
        <v>0</v>
      </c>
      <c r="Y8898" s="21">
        <v>0</v>
      </c>
      <c r="Z8898" s="21">
        <v>0</v>
      </c>
      <c r="AA8898" s="21">
        <v>0</v>
      </c>
      <c r="AB8898" s="21">
        <v>1</v>
      </c>
      <c r="AC8898" s="21">
        <v>1</v>
      </c>
      <c r="AD8898" s="21">
        <v>0</v>
      </c>
      <c r="AE8898" s="21">
        <v>0</v>
      </c>
      <c r="AF8898" s="21">
        <v>0</v>
      </c>
      <c r="AG8898" s="21">
        <v>0</v>
      </c>
      <c r="AH8898" s="21"/>
      <c r="AI8898" s="21"/>
      <c r="AJ8898" s="21" t="s">
        <v>51</v>
      </c>
      <c r="AK8898" s="21" t="s">
        <v>95</v>
      </c>
      <c r="AL8898" s="21"/>
      <c r="AM8898" s="21" t="s">
        <v>5816</v>
      </c>
      <c r="AN8898" s="21">
        <v>-122.429242433333</v>
      </c>
      <c r="AO8898" s="21">
        <v>37.804444783333302</v>
      </c>
      <c r="AP8898" s="21" t="s">
        <v>1915</v>
      </c>
    </row>
    <row r="8899" spans="1:42">
      <c r="A8899" s="20">
        <v>43888</v>
      </c>
      <c r="B8899" s="21">
        <v>4</v>
      </c>
      <c r="C8899" s="21">
        <v>574</v>
      </c>
      <c r="D8899" s="21">
        <v>11441</v>
      </c>
      <c r="E8899" t="s">
        <v>377</v>
      </c>
      <c r="F8899" s="21" t="s">
        <v>436</v>
      </c>
      <c r="G8899" s="21">
        <v>1</v>
      </c>
      <c r="H8899" s="21">
        <v>18</v>
      </c>
      <c r="I8899" s="23" t="s">
        <v>5817</v>
      </c>
      <c r="J8899" s="21"/>
      <c r="K8899" s="21"/>
      <c r="L8899" s="21"/>
      <c r="M8899" s="21"/>
      <c r="N8899" s="21" t="s">
        <v>44</v>
      </c>
      <c r="O8899" s="21">
        <v>65</v>
      </c>
      <c r="P8899" s="21"/>
      <c r="Q8899" s="21">
        <f t="shared" si="185"/>
        <v>1</v>
      </c>
      <c r="R8899" s="21">
        <v>1</v>
      </c>
      <c r="S8899" s="21">
        <v>0</v>
      </c>
      <c r="T8899" s="21">
        <v>0</v>
      </c>
      <c r="U8899" s="21">
        <v>0</v>
      </c>
      <c r="V8899" s="21">
        <v>0</v>
      </c>
      <c r="W8899" s="21">
        <v>0</v>
      </c>
      <c r="X8899" s="21">
        <v>0</v>
      </c>
      <c r="Y8899" s="21">
        <v>0</v>
      </c>
      <c r="Z8899" s="21">
        <v>0</v>
      </c>
      <c r="AA8899" s="21">
        <v>0</v>
      </c>
      <c r="AB8899" s="21">
        <v>0</v>
      </c>
      <c r="AC8899" s="21">
        <v>1</v>
      </c>
      <c r="AD8899" s="21">
        <v>0</v>
      </c>
      <c r="AE8899" s="21">
        <v>0</v>
      </c>
      <c r="AF8899" s="21">
        <v>0</v>
      </c>
      <c r="AG8899" s="21">
        <v>0</v>
      </c>
      <c r="AH8899" s="21"/>
      <c r="AI8899" s="21"/>
      <c r="AJ8899" s="21" t="s">
        <v>51</v>
      </c>
      <c r="AK8899" s="21"/>
      <c r="AL8899" s="21"/>
      <c r="AM8899" s="21" t="s">
        <v>5818</v>
      </c>
      <c r="AN8899" s="21">
        <v>-122.432359616667</v>
      </c>
      <c r="AO8899" s="21">
        <v>37.807477749999997</v>
      </c>
      <c r="AP8899" s="21" t="s">
        <v>1915</v>
      </c>
    </row>
    <row r="8900" spans="1:42">
      <c r="A8900" s="20">
        <v>43888</v>
      </c>
      <c r="B8900" s="21">
        <v>4</v>
      </c>
      <c r="C8900" s="21">
        <v>574</v>
      </c>
      <c r="D8900" s="21">
        <v>11441</v>
      </c>
      <c r="E8900" t="s">
        <v>377</v>
      </c>
      <c r="F8900" s="21" t="s">
        <v>436</v>
      </c>
      <c r="G8900" s="21">
        <v>1</v>
      </c>
      <c r="H8900" s="21">
        <v>19</v>
      </c>
      <c r="I8900" s="23" t="s">
        <v>3305</v>
      </c>
      <c r="J8900" s="21"/>
      <c r="K8900" s="21" t="s">
        <v>210</v>
      </c>
      <c r="L8900" s="21"/>
      <c r="M8900" s="21"/>
      <c r="N8900" s="21" t="s">
        <v>40</v>
      </c>
      <c r="O8900" s="21">
        <v>56</v>
      </c>
      <c r="P8900" s="21"/>
      <c r="Q8900" s="21">
        <f t="shared" si="185"/>
        <v>1</v>
      </c>
      <c r="R8900" s="21">
        <v>1</v>
      </c>
      <c r="S8900" s="21">
        <v>0</v>
      </c>
      <c r="T8900" s="21">
        <v>0</v>
      </c>
      <c r="U8900" s="21">
        <v>0</v>
      </c>
      <c r="V8900" s="21">
        <v>0</v>
      </c>
      <c r="W8900" s="21">
        <v>0</v>
      </c>
      <c r="X8900" s="21">
        <v>0</v>
      </c>
      <c r="Y8900" s="21">
        <v>0</v>
      </c>
      <c r="Z8900" s="21">
        <v>0</v>
      </c>
      <c r="AA8900" s="21">
        <v>0</v>
      </c>
      <c r="AB8900" s="21">
        <v>1</v>
      </c>
      <c r="AC8900" s="21">
        <v>0</v>
      </c>
      <c r="AD8900" s="21">
        <v>0</v>
      </c>
      <c r="AE8900" s="21">
        <v>0</v>
      </c>
      <c r="AF8900" s="21">
        <v>0</v>
      </c>
      <c r="AG8900" s="21">
        <v>0</v>
      </c>
      <c r="AH8900" s="21"/>
      <c r="AI8900" s="21"/>
      <c r="AJ8900" s="21"/>
      <c r="AK8900" s="21"/>
      <c r="AL8900" s="21"/>
      <c r="AM8900" s="21" t="s">
        <v>5819</v>
      </c>
      <c r="AN8900" s="21">
        <v>-122.4315807</v>
      </c>
      <c r="AO8900" s="21">
        <v>37.800644216666697</v>
      </c>
      <c r="AP8900" s="21" t="s">
        <v>1915</v>
      </c>
    </row>
    <row r="8901" spans="1:42">
      <c r="A8901" s="20">
        <v>43888</v>
      </c>
      <c r="B8901" s="21">
        <v>4</v>
      </c>
      <c r="C8901" s="21">
        <v>574</v>
      </c>
      <c r="D8901" s="21">
        <v>11441</v>
      </c>
      <c r="E8901" t="s">
        <v>377</v>
      </c>
      <c r="F8901" s="21" t="s">
        <v>436</v>
      </c>
      <c r="G8901" s="21">
        <v>1</v>
      </c>
      <c r="H8901" s="21">
        <v>20</v>
      </c>
      <c r="I8901" s="23" t="s">
        <v>3450</v>
      </c>
      <c r="J8901" s="21"/>
      <c r="K8901" s="21" t="s">
        <v>548</v>
      </c>
      <c r="L8901" s="21"/>
      <c r="M8901" s="21"/>
      <c r="N8901" s="21" t="s">
        <v>40</v>
      </c>
      <c r="O8901" s="21">
        <v>35</v>
      </c>
      <c r="P8901" s="21"/>
      <c r="Q8901" s="21">
        <f t="shared" si="185"/>
        <v>1</v>
      </c>
      <c r="R8901" s="21">
        <v>1</v>
      </c>
      <c r="S8901" s="21">
        <v>0</v>
      </c>
      <c r="T8901" s="21">
        <v>0</v>
      </c>
      <c r="U8901" s="21">
        <v>0</v>
      </c>
      <c r="V8901" s="21">
        <v>0</v>
      </c>
      <c r="W8901" s="21">
        <v>0</v>
      </c>
      <c r="X8901" s="21">
        <v>0</v>
      </c>
      <c r="Y8901" s="21">
        <v>0</v>
      </c>
      <c r="Z8901" s="21">
        <v>0</v>
      </c>
      <c r="AA8901" s="21">
        <v>0</v>
      </c>
      <c r="AB8901" s="21">
        <v>1</v>
      </c>
      <c r="AC8901" s="21">
        <v>0</v>
      </c>
      <c r="AD8901" s="21">
        <v>0</v>
      </c>
      <c r="AE8901" s="21">
        <v>0</v>
      </c>
      <c r="AF8901" s="21">
        <v>0</v>
      </c>
      <c r="AG8901" s="21">
        <v>0</v>
      </c>
      <c r="AH8901" s="21"/>
      <c r="AI8901" s="21"/>
      <c r="AJ8901" s="21" t="s">
        <v>51</v>
      </c>
      <c r="AK8901" s="21"/>
      <c r="AL8901" s="21" t="s">
        <v>5820</v>
      </c>
      <c r="AM8901" s="21" t="s">
        <v>5821</v>
      </c>
      <c r="AN8901" s="21">
        <v>-122.44657775</v>
      </c>
      <c r="AO8901" s="21">
        <v>37.806983883333302</v>
      </c>
      <c r="AP8901" s="21" t="s">
        <v>1915</v>
      </c>
    </row>
    <row r="8902" spans="1:42">
      <c r="A8902" s="20">
        <v>43888</v>
      </c>
      <c r="B8902" s="21">
        <v>4</v>
      </c>
      <c r="C8902" s="21">
        <v>574</v>
      </c>
      <c r="D8902" s="21">
        <v>11441</v>
      </c>
      <c r="E8902" t="s">
        <v>377</v>
      </c>
      <c r="F8902" s="21" t="s">
        <v>436</v>
      </c>
      <c r="G8902" s="21">
        <v>1</v>
      </c>
      <c r="H8902" s="21">
        <v>21</v>
      </c>
      <c r="I8902" s="23" t="s">
        <v>3227</v>
      </c>
      <c r="J8902" s="21"/>
      <c r="K8902" s="21" t="s">
        <v>5822</v>
      </c>
      <c r="L8902" s="21"/>
      <c r="M8902" s="21"/>
      <c r="N8902" s="21" t="s">
        <v>40</v>
      </c>
      <c r="O8902" s="21">
        <v>37</v>
      </c>
      <c r="P8902" s="21"/>
      <c r="Q8902" s="21">
        <f t="shared" si="185"/>
        <v>1</v>
      </c>
      <c r="R8902" s="21">
        <v>1</v>
      </c>
      <c r="S8902" s="21">
        <v>0</v>
      </c>
      <c r="T8902" s="21">
        <v>0</v>
      </c>
      <c r="U8902" s="21">
        <v>0</v>
      </c>
      <c r="V8902" s="21">
        <v>0</v>
      </c>
      <c r="W8902" s="21">
        <v>0</v>
      </c>
      <c r="X8902" s="21">
        <v>0</v>
      </c>
      <c r="Y8902" s="21">
        <v>0</v>
      </c>
      <c r="Z8902" s="21">
        <v>0</v>
      </c>
      <c r="AA8902" s="21">
        <v>0</v>
      </c>
      <c r="AB8902" s="21">
        <v>0</v>
      </c>
      <c r="AC8902" s="21">
        <v>1</v>
      </c>
      <c r="AD8902" s="21">
        <v>0</v>
      </c>
      <c r="AE8902" s="21">
        <v>0</v>
      </c>
      <c r="AF8902" s="21">
        <v>0</v>
      </c>
      <c r="AG8902" s="21">
        <v>0</v>
      </c>
      <c r="AH8902" s="21"/>
      <c r="AI8902" s="21"/>
      <c r="AJ8902" s="21" t="s">
        <v>51</v>
      </c>
      <c r="AK8902" s="21"/>
      <c r="AL8902" s="21" t="s">
        <v>3582</v>
      </c>
      <c r="AM8902" s="21" t="s">
        <v>5823</v>
      </c>
      <c r="AN8902" s="21">
        <v>-122.453326483333</v>
      </c>
      <c r="AO8902" s="21">
        <v>37.802600083333303</v>
      </c>
      <c r="AP8902" s="21" t="s">
        <v>1915</v>
      </c>
    </row>
    <row r="8903" spans="1:42">
      <c r="A8903" s="20">
        <v>43888</v>
      </c>
      <c r="B8903" s="21">
        <v>4</v>
      </c>
      <c r="C8903" s="21">
        <v>574</v>
      </c>
      <c r="D8903" s="21">
        <v>11441</v>
      </c>
      <c r="E8903" t="s">
        <v>377</v>
      </c>
      <c r="F8903" s="21" t="s">
        <v>436</v>
      </c>
      <c r="G8903" s="21">
        <v>1</v>
      </c>
      <c r="H8903" s="21">
        <v>22</v>
      </c>
      <c r="I8903" s="23" t="s">
        <v>3448</v>
      </c>
      <c r="J8903" s="21"/>
      <c r="K8903" s="21" t="s">
        <v>1255</v>
      </c>
      <c r="L8903" s="21"/>
      <c r="M8903" s="21"/>
      <c r="N8903" s="21" t="s">
        <v>40</v>
      </c>
      <c r="O8903" s="21">
        <f>120+11</f>
        <v>131</v>
      </c>
      <c r="P8903" s="21"/>
      <c r="Q8903" s="21">
        <f t="shared" si="185"/>
        <v>2</v>
      </c>
      <c r="R8903" s="21">
        <v>1</v>
      </c>
      <c r="S8903" s="21">
        <v>0</v>
      </c>
      <c r="T8903" s="21">
        <v>0</v>
      </c>
      <c r="U8903" s="21">
        <v>0</v>
      </c>
      <c r="V8903" s="21">
        <v>0</v>
      </c>
      <c r="W8903" s="21">
        <v>0</v>
      </c>
      <c r="X8903" s="21">
        <v>0</v>
      </c>
      <c r="Y8903" s="21">
        <v>0</v>
      </c>
      <c r="Z8903" s="21">
        <v>0</v>
      </c>
      <c r="AA8903" s="21">
        <v>0</v>
      </c>
      <c r="AB8903" s="21">
        <v>1</v>
      </c>
      <c r="AC8903" s="21">
        <v>1</v>
      </c>
      <c r="AD8903" s="21">
        <v>0</v>
      </c>
      <c r="AE8903" s="21">
        <v>0</v>
      </c>
      <c r="AF8903" s="21">
        <v>0</v>
      </c>
      <c r="AG8903" s="21">
        <v>0</v>
      </c>
      <c r="AH8903" s="21"/>
      <c r="AI8903" s="21"/>
      <c r="AJ8903" s="21"/>
      <c r="AK8903" s="21"/>
      <c r="AL8903" s="21"/>
      <c r="AM8903" s="21" t="s">
        <v>5824</v>
      </c>
      <c r="AN8903" s="21">
        <v>-122.44989285</v>
      </c>
      <c r="AO8903" s="21">
        <v>37.800884833333299</v>
      </c>
      <c r="AP8903" s="21" t="s">
        <v>1915</v>
      </c>
    </row>
    <row r="8904" spans="1:42">
      <c r="A8904" s="20">
        <v>43888</v>
      </c>
      <c r="B8904" s="21">
        <v>4</v>
      </c>
      <c r="C8904" s="21">
        <v>574</v>
      </c>
      <c r="D8904" s="21">
        <v>11441</v>
      </c>
      <c r="E8904" t="s">
        <v>377</v>
      </c>
      <c r="F8904" s="21" t="s">
        <v>436</v>
      </c>
      <c r="G8904" s="21">
        <v>1</v>
      </c>
      <c r="H8904" s="21">
        <v>23</v>
      </c>
      <c r="I8904" s="23" t="s">
        <v>4364</v>
      </c>
      <c r="J8904" s="21"/>
      <c r="K8904" s="21" t="s">
        <v>5822</v>
      </c>
      <c r="L8904" s="21"/>
      <c r="M8904" s="21"/>
      <c r="N8904" s="21" t="s">
        <v>40</v>
      </c>
      <c r="O8904" s="21">
        <v>38</v>
      </c>
      <c r="P8904" s="21"/>
      <c r="Q8904" s="21">
        <f t="shared" si="185"/>
        <v>1</v>
      </c>
      <c r="R8904" s="21">
        <v>1</v>
      </c>
      <c r="S8904" s="21">
        <v>0</v>
      </c>
      <c r="T8904" s="21">
        <v>0</v>
      </c>
      <c r="U8904" s="21">
        <v>0</v>
      </c>
      <c r="V8904" s="21">
        <v>0</v>
      </c>
      <c r="W8904" s="21">
        <v>0</v>
      </c>
      <c r="X8904" s="21">
        <v>0</v>
      </c>
      <c r="Y8904" s="21">
        <v>1</v>
      </c>
      <c r="Z8904" s="21">
        <v>0</v>
      </c>
      <c r="AA8904" s="21">
        <v>0</v>
      </c>
      <c r="AB8904" s="21">
        <v>0</v>
      </c>
      <c r="AC8904" s="21">
        <v>0</v>
      </c>
      <c r="AD8904" s="21">
        <v>0</v>
      </c>
      <c r="AE8904" s="21">
        <v>0</v>
      </c>
      <c r="AF8904" s="21">
        <v>0</v>
      </c>
      <c r="AG8904" s="21">
        <v>0</v>
      </c>
      <c r="AH8904" s="21"/>
      <c r="AI8904" s="21"/>
      <c r="AJ8904" s="21"/>
      <c r="AK8904" s="21"/>
      <c r="AL8904" s="21" t="s">
        <v>5825</v>
      </c>
      <c r="AM8904" s="21" t="s">
        <v>5826</v>
      </c>
      <c r="AN8904" s="21">
        <v>-122.453399566667</v>
      </c>
      <c r="AO8904" s="21">
        <v>37.8018461666666</v>
      </c>
      <c r="AP8904" s="21" t="s">
        <v>1915</v>
      </c>
    </row>
    <row r="8905" spans="1:42">
      <c r="A8905" s="20">
        <v>43888</v>
      </c>
      <c r="B8905" s="21">
        <v>4</v>
      </c>
      <c r="C8905" s="21">
        <v>574</v>
      </c>
      <c r="D8905" s="21">
        <v>11441</v>
      </c>
      <c r="E8905" t="s">
        <v>377</v>
      </c>
      <c r="F8905" s="21" t="s">
        <v>436</v>
      </c>
      <c r="G8905" s="21">
        <v>1</v>
      </c>
      <c r="H8905" s="21">
        <v>24</v>
      </c>
      <c r="I8905" s="23" t="s">
        <v>4206</v>
      </c>
      <c r="J8905" s="21"/>
      <c r="K8905" t="s">
        <v>102</v>
      </c>
      <c r="L8905" s="21"/>
      <c r="M8905" s="21"/>
      <c r="N8905" s="21" t="s">
        <v>44</v>
      </c>
      <c r="O8905" s="21">
        <f>120+120+19</f>
        <v>259</v>
      </c>
      <c r="P8905" s="21"/>
      <c r="Q8905" s="21">
        <f t="shared" si="185"/>
        <v>2</v>
      </c>
      <c r="R8905" s="21">
        <v>1</v>
      </c>
      <c r="S8905" s="21">
        <v>0</v>
      </c>
      <c r="T8905" s="21">
        <v>0</v>
      </c>
      <c r="U8905" s="21">
        <v>0</v>
      </c>
      <c r="V8905" s="21">
        <v>0</v>
      </c>
      <c r="W8905" s="21">
        <v>0</v>
      </c>
      <c r="X8905" s="21">
        <v>0</v>
      </c>
      <c r="Y8905" s="21">
        <v>0</v>
      </c>
      <c r="Z8905" s="21">
        <v>0</v>
      </c>
      <c r="AA8905" s="21">
        <v>0</v>
      </c>
      <c r="AB8905" s="21">
        <v>0</v>
      </c>
      <c r="AC8905" s="21">
        <v>2</v>
      </c>
      <c r="AD8905" s="21">
        <v>0</v>
      </c>
      <c r="AE8905" s="21">
        <v>0</v>
      </c>
      <c r="AF8905" s="21">
        <v>0</v>
      </c>
      <c r="AG8905" s="21">
        <v>0</v>
      </c>
      <c r="AH8905" s="21"/>
      <c r="AI8905" s="21"/>
      <c r="AJ8905" s="21" t="s">
        <v>51</v>
      </c>
      <c r="AK8905" s="21" t="s">
        <v>95</v>
      </c>
      <c r="AL8905" s="21" t="s">
        <v>5827</v>
      </c>
      <c r="AM8905" s="21" t="s">
        <v>5828</v>
      </c>
      <c r="AN8905" s="21">
        <v>-122.46018915000001</v>
      </c>
      <c r="AO8905" s="21">
        <v>37.803173950000001</v>
      </c>
      <c r="AP8905" s="21" t="s">
        <v>1915</v>
      </c>
    </row>
    <row r="8906" spans="1:42">
      <c r="A8906" s="20">
        <v>43888</v>
      </c>
      <c r="B8906" s="21">
        <v>4</v>
      </c>
      <c r="C8906" s="21">
        <v>574</v>
      </c>
      <c r="D8906" s="21">
        <v>11441</v>
      </c>
      <c r="E8906" t="s">
        <v>377</v>
      </c>
      <c r="F8906" s="21" t="s">
        <v>436</v>
      </c>
      <c r="G8906" s="21">
        <v>1</v>
      </c>
      <c r="H8906" s="21">
        <v>25</v>
      </c>
      <c r="I8906" s="23" t="s">
        <v>5500</v>
      </c>
      <c r="J8906" s="21"/>
      <c r="K8906" t="s">
        <v>102</v>
      </c>
      <c r="L8906" s="21"/>
      <c r="M8906" s="21"/>
      <c r="N8906" s="21" t="s">
        <v>44</v>
      </c>
      <c r="O8906" s="21">
        <v>123</v>
      </c>
      <c r="P8906" s="21"/>
      <c r="Q8906" s="21">
        <f t="shared" si="185"/>
        <v>1</v>
      </c>
      <c r="R8906" s="21">
        <v>1</v>
      </c>
      <c r="S8906" s="21">
        <v>0</v>
      </c>
      <c r="T8906" s="21">
        <v>0</v>
      </c>
      <c r="U8906" s="21">
        <v>0</v>
      </c>
      <c r="V8906" s="21">
        <v>0</v>
      </c>
      <c r="W8906" s="21">
        <v>0</v>
      </c>
      <c r="X8906" s="21">
        <v>0</v>
      </c>
      <c r="Y8906" s="21">
        <v>0</v>
      </c>
      <c r="Z8906" s="21">
        <v>0</v>
      </c>
      <c r="AA8906" s="21">
        <v>0</v>
      </c>
      <c r="AB8906" s="21">
        <v>0</v>
      </c>
      <c r="AC8906" s="21">
        <v>1</v>
      </c>
      <c r="AD8906" s="21">
        <v>0</v>
      </c>
      <c r="AE8906" s="21">
        <v>0</v>
      </c>
      <c r="AF8906" s="21">
        <v>0</v>
      </c>
      <c r="AG8906" s="21">
        <v>0</v>
      </c>
      <c r="AH8906" s="21"/>
      <c r="AI8906" s="21"/>
      <c r="AJ8906" s="21" t="s">
        <v>51</v>
      </c>
      <c r="AK8906" s="21"/>
      <c r="AL8906" s="21" t="s">
        <v>5829</v>
      </c>
      <c r="AM8906" s="21" t="s">
        <v>5830</v>
      </c>
      <c r="AN8906" s="21">
        <v>-122.46832055</v>
      </c>
      <c r="AO8906" s="21">
        <v>37.803923966666702</v>
      </c>
      <c r="AP8906" s="21" t="s">
        <v>1915</v>
      </c>
    </row>
    <row r="8907" spans="1:42">
      <c r="A8907" s="20">
        <v>43888</v>
      </c>
      <c r="B8907" s="21">
        <v>4</v>
      </c>
      <c r="C8907" s="21">
        <v>574</v>
      </c>
      <c r="D8907" s="21">
        <v>11441</v>
      </c>
      <c r="E8907" t="s">
        <v>377</v>
      </c>
      <c r="F8907" s="21" t="s">
        <v>436</v>
      </c>
      <c r="G8907" s="21">
        <v>1</v>
      </c>
      <c r="H8907" s="21">
        <v>26</v>
      </c>
      <c r="I8907" s="23" t="s">
        <v>5500</v>
      </c>
      <c r="J8907" s="21"/>
      <c r="K8907" t="s">
        <v>102</v>
      </c>
      <c r="L8907" s="21"/>
      <c r="M8907" s="21"/>
      <c r="N8907" s="21" t="s">
        <v>40</v>
      </c>
      <c r="O8907" s="21">
        <f>120+14</f>
        <v>134</v>
      </c>
      <c r="P8907" s="21"/>
      <c r="Q8907" s="21">
        <f t="shared" si="185"/>
        <v>1</v>
      </c>
      <c r="R8907" s="21">
        <v>1</v>
      </c>
      <c r="S8907" s="21">
        <v>0</v>
      </c>
      <c r="T8907" s="21">
        <v>0</v>
      </c>
      <c r="U8907" s="21">
        <v>0</v>
      </c>
      <c r="V8907" s="21">
        <v>0</v>
      </c>
      <c r="W8907" s="21">
        <v>0</v>
      </c>
      <c r="X8907" s="21">
        <v>0</v>
      </c>
      <c r="Y8907" s="21">
        <v>0</v>
      </c>
      <c r="Z8907" s="21">
        <v>0</v>
      </c>
      <c r="AA8907" s="21">
        <v>0</v>
      </c>
      <c r="AB8907" s="21">
        <v>0</v>
      </c>
      <c r="AC8907" s="21">
        <v>1</v>
      </c>
      <c r="AD8907" s="21">
        <v>0</v>
      </c>
      <c r="AE8907" s="21">
        <v>0</v>
      </c>
      <c r="AF8907" s="21">
        <v>0</v>
      </c>
      <c r="AG8907" s="21">
        <v>0</v>
      </c>
      <c r="AH8907" s="21"/>
      <c r="AI8907" s="21"/>
      <c r="AJ8907" s="21" t="s">
        <v>51</v>
      </c>
      <c r="AK8907" s="21"/>
      <c r="AL8907" s="21" t="s">
        <v>5831</v>
      </c>
      <c r="AM8907" s="21" t="s">
        <v>5832</v>
      </c>
      <c r="AN8907" s="21">
        <v>-122.46883801666699</v>
      </c>
      <c r="AO8907" s="21">
        <v>37.804577583333298</v>
      </c>
      <c r="AP8907" s="21" t="s">
        <v>1915</v>
      </c>
    </row>
    <row r="8908" spans="1:42">
      <c r="A8908" s="20">
        <v>43888</v>
      </c>
      <c r="B8908" s="21">
        <v>4</v>
      </c>
      <c r="C8908" s="21">
        <v>574</v>
      </c>
      <c r="D8908" s="21">
        <v>11441</v>
      </c>
      <c r="E8908" t="s">
        <v>377</v>
      </c>
      <c r="F8908" s="21" t="s">
        <v>436</v>
      </c>
      <c r="G8908" s="21">
        <v>1</v>
      </c>
      <c r="H8908" s="21">
        <v>27</v>
      </c>
      <c r="I8908" s="23" t="s">
        <v>5833</v>
      </c>
      <c r="J8908" s="21"/>
      <c r="K8908" s="21"/>
      <c r="L8908" s="21"/>
      <c r="M8908" s="21"/>
      <c r="N8908" s="21" t="s">
        <v>44</v>
      </c>
      <c r="O8908" s="21">
        <f>120+60+51</f>
        <v>231</v>
      </c>
      <c r="P8908" s="21"/>
      <c r="Q8908" s="21">
        <f t="shared" si="185"/>
        <v>1</v>
      </c>
      <c r="R8908" s="21">
        <v>1</v>
      </c>
      <c r="S8908" s="21">
        <v>0</v>
      </c>
      <c r="T8908" s="21">
        <v>0</v>
      </c>
      <c r="U8908" s="21">
        <v>0</v>
      </c>
      <c r="V8908" s="21">
        <v>0</v>
      </c>
      <c r="W8908" s="21">
        <v>0</v>
      </c>
      <c r="X8908" s="21">
        <v>0</v>
      </c>
      <c r="Y8908" s="21">
        <v>0</v>
      </c>
      <c r="Z8908" s="21">
        <v>0</v>
      </c>
      <c r="AA8908" s="21">
        <v>0</v>
      </c>
      <c r="AB8908" s="21">
        <v>1</v>
      </c>
      <c r="AC8908" s="21">
        <v>0</v>
      </c>
      <c r="AD8908" s="21">
        <v>0</v>
      </c>
      <c r="AE8908" s="21">
        <v>0</v>
      </c>
      <c r="AF8908" s="21">
        <v>0</v>
      </c>
      <c r="AG8908" s="21">
        <v>0</v>
      </c>
      <c r="AH8908" s="21"/>
      <c r="AI8908" s="21"/>
      <c r="AJ8908" s="21" t="s">
        <v>51</v>
      </c>
      <c r="AK8908" s="21"/>
      <c r="AL8908" s="21" t="s">
        <v>5834</v>
      </c>
      <c r="AM8908" s="21" t="s">
        <v>5835</v>
      </c>
      <c r="AN8908" s="21">
        <v>-122.4692057</v>
      </c>
      <c r="AO8908" s="21">
        <v>37.805127266666702</v>
      </c>
      <c r="AP8908" s="21" t="s">
        <v>1915</v>
      </c>
    </row>
    <row r="8909" spans="1:42">
      <c r="A8909" s="20">
        <v>43888</v>
      </c>
      <c r="B8909" s="21">
        <v>4</v>
      </c>
      <c r="C8909" s="21">
        <v>574</v>
      </c>
      <c r="D8909" s="21">
        <v>11441</v>
      </c>
      <c r="E8909" t="s">
        <v>377</v>
      </c>
      <c r="F8909" s="21" t="s">
        <v>436</v>
      </c>
      <c r="G8909" s="21">
        <v>1</v>
      </c>
      <c r="H8909" s="21">
        <v>28</v>
      </c>
      <c r="I8909" s="23"/>
      <c r="J8909" s="21"/>
      <c r="K8909" s="21"/>
      <c r="L8909" s="21"/>
      <c r="M8909" s="21"/>
      <c r="N8909" s="21" t="s">
        <v>44</v>
      </c>
      <c r="O8909" s="21">
        <f>120+60+31</f>
        <v>211</v>
      </c>
      <c r="P8909" s="21"/>
      <c r="Q8909" s="21">
        <f t="shared" si="185"/>
        <v>1</v>
      </c>
      <c r="R8909" s="21">
        <v>1</v>
      </c>
      <c r="S8909" s="21">
        <v>0</v>
      </c>
      <c r="T8909" s="21">
        <v>0</v>
      </c>
      <c r="U8909" s="21">
        <v>0</v>
      </c>
      <c r="V8909" s="21">
        <v>0</v>
      </c>
      <c r="W8909" s="21">
        <v>0</v>
      </c>
      <c r="X8909" s="21">
        <v>0</v>
      </c>
      <c r="Y8909" s="21">
        <v>0</v>
      </c>
      <c r="Z8909" s="21">
        <v>0</v>
      </c>
      <c r="AA8909" s="21">
        <v>0</v>
      </c>
      <c r="AB8909" s="21">
        <v>1</v>
      </c>
      <c r="AC8909" s="21">
        <v>0</v>
      </c>
      <c r="AD8909" s="21">
        <v>0</v>
      </c>
      <c r="AE8909" s="21">
        <v>0</v>
      </c>
      <c r="AF8909" s="21">
        <v>0</v>
      </c>
      <c r="AG8909" s="21">
        <v>0</v>
      </c>
      <c r="AH8909" s="21"/>
      <c r="AI8909" s="21"/>
      <c r="AJ8909" s="21" t="s">
        <v>51</v>
      </c>
      <c r="AK8909" s="21"/>
      <c r="AL8909" s="21" t="s">
        <v>5836</v>
      </c>
      <c r="AM8909" s="21" t="s">
        <v>5837</v>
      </c>
      <c r="AN8909" s="21">
        <v>-122.470958716667</v>
      </c>
      <c r="AO8909" s="21">
        <v>37.808139066666598</v>
      </c>
      <c r="AP8909" s="21" t="s">
        <v>1915</v>
      </c>
    </row>
    <row r="8910" spans="1:42">
      <c r="A8910" s="20">
        <v>43888</v>
      </c>
      <c r="B8910" s="21">
        <v>4</v>
      </c>
      <c r="C8910" s="21">
        <v>574</v>
      </c>
      <c r="D8910" s="21">
        <v>11441</v>
      </c>
      <c r="E8910" t="s">
        <v>377</v>
      </c>
      <c r="F8910" s="21" t="s">
        <v>436</v>
      </c>
      <c r="G8910" s="21">
        <v>1</v>
      </c>
      <c r="H8910" s="21">
        <v>29</v>
      </c>
      <c r="I8910" s="23" t="s">
        <v>3442</v>
      </c>
      <c r="J8910" s="21"/>
      <c r="K8910" s="21" t="s">
        <v>3403</v>
      </c>
      <c r="L8910" s="21"/>
      <c r="M8910" s="21"/>
      <c r="N8910" s="21" t="s">
        <v>44</v>
      </c>
      <c r="O8910" s="21">
        <f>120+32</f>
        <v>152</v>
      </c>
      <c r="P8910" s="21"/>
      <c r="Q8910" s="21">
        <f t="shared" si="185"/>
        <v>1</v>
      </c>
      <c r="R8910" s="21">
        <v>1</v>
      </c>
      <c r="S8910" s="21">
        <v>0</v>
      </c>
      <c r="T8910" s="21">
        <v>0</v>
      </c>
      <c r="U8910" s="21">
        <v>0</v>
      </c>
      <c r="V8910" s="21">
        <v>0</v>
      </c>
      <c r="W8910" s="21">
        <v>0</v>
      </c>
      <c r="X8910" s="21">
        <v>0</v>
      </c>
      <c r="Y8910" s="21">
        <v>0</v>
      </c>
      <c r="Z8910" s="21">
        <v>0</v>
      </c>
      <c r="AA8910" s="21">
        <v>0</v>
      </c>
      <c r="AB8910" s="21">
        <v>0</v>
      </c>
      <c r="AC8910" s="21">
        <v>1</v>
      </c>
      <c r="AD8910" s="21">
        <v>0</v>
      </c>
      <c r="AE8910" s="21">
        <v>0</v>
      </c>
      <c r="AF8910" s="21">
        <v>0</v>
      </c>
      <c r="AG8910" s="21">
        <v>0</v>
      </c>
      <c r="AH8910" s="21"/>
      <c r="AI8910" s="21"/>
      <c r="AJ8910" s="21" t="s">
        <v>51</v>
      </c>
      <c r="AK8910" s="21"/>
      <c r="AL8910" s="21" t="s">
        <v>5838</v>
      </c>
      <c r="AM8910" s="21" t="s">
        <v>5839</v>
      </c>
      <c r="AN8910" s="21">
        <v>-122.460070433333</v>
      </c>
      <c r="AO8910" s="21">
        <v>37.8002185</v>
      </c>
      <c r="AP8910" s="21" t="s">
        <v>1915</v>
      </c>
    </row>
    <row r="8911" spans="1:42">
      <c r="A8911" s="20">
        <v>43888</v>
      </c>
      <c r="B8911" s="21">
        <v>4</v>
      </c>
      <c r="C8911" s="21">
        <v>574</v>
      </c>
      <c r="D8911" s="21">
        <v>11441</v>
      </c>
      <c r="E8911" t="s">
        <v>377</v>
      </c>
      <c r="F8911" s="21" t="s">
        <v>436</v>
      </c>
      <c r="G8911" s="21">
        <v>1</v>
      </c>
      <c r="H8911" s="21">
        <v>30</v>
      </c>
      <c r="I8911" s="23" t="s">
        <v>4130</v>
      </c>
      <c r="J8911" s="21"/>
      <c r="K8911" s="21" t="s">
        <v>1277</v>
      </c>
      <c r="L8911" s="21"/>
      <c r="M8911" s="21"/>
      <c r="N8911" s="21" t="s">
        <v>40</v>
      </c>
      <c r="O8911" s="21">
        <f>60+38</f>
        <v>98</v>
      </c>
      <c r="P8911" s="21"/>
      <c r="Q8911" s="21">
        <f t="shared" si="185"/>
        <v>1</v>
      </c>
      <c r="R8911" s="21">
        <v>1</v>
      </c>
      <c r="S8911" s="21">
        <v>0</v>
      </c>
      <c r="T8911" s="21">
        <v>0</v>
      </c>
      <c r="U8911" s="21">
        <v>0</v>
      </c>
      <c r="V8911" s="21">
        <v>0</v>
      </c>
      <c r="W8911" s="21">
        <v>0</v>
      </c>
      <c r="X8911" s="21">
        <v>0</v>
      </c>
      <c r="Y8911" s="21">
        <v>0</v>
      </c>
      <c r="Z8911" s="21">
        <v>0</v>
      </c>
      <c r="AA8911" s="21">
        <v>0</v>
      </c>
      <c r="AB8911" s="21">
        <v>1</v>
      </c>
      <c r="AC8911" s="21">
        <v>0</v>
      </c>
      <c r="AD8911" s="21">
        <v>0</v>
      </c>
      <c r="AE8911" s="21">
        <v>0</v>
      </c>
      <c r="AF8911" s="21">
        <v>0</v>
      </c>
      <c r="AG8911" s="21">
        <v>0</v>
      </c>
      <c r="AH8911" s="21"/>
      <c r="AI8911" s="21"/>
      <c r="AJ8911" s="21" t="s">
        <v>51</v>
      </c>
      <c r="AK8911" s="21"/>
      <c r="AL8911" s="21" t="s">
        <v>5840</v>
      </c>
      <c r="AM8911" s="21" t="s">
        <v>5841</v>
      </c>
      <c r="AN8911" s="21">
        <v>-122.46104325</v>
      </c>
      <c r="AO8911" s="21">
        <v>37.800021433333299</v>
      </c>
      <c r="AP8911" s="21" t="s">
        <v>1915</v>
      </c>
    </row>
    <row r="8912" spans="1:42">
      <c r="A8912" s="20">
        <v>43888</v>
      </c>
      <c r="B8912" s="21">
        <v>4</v>
      </c>
      <c r="C8912" s="21">
        <v>574</v>
      </c>
      <c r="D8912" s="21">
        <v>11441</v>
      </c>
      <c r="E8912" t="s">
        <v>377</v>
      </c>
      <c r="F8912" s="21" t="s">
        <v>436</v>
      </c>
      <c r="G8912" s="21">
        <v>1</v>
      </c>
      <c r="H8912" s="21">
        <v>31</v>
      </c>
      <c r="I8912" s="23" t="s">
        <v>4130</v>
      </c>
      <c r="J8912" s="21"/>
      <c r="K8912" s="21" t="s">
        <v>1277</v>
      </c>
      <c r="L8912" s="21"/>
      <c r="M8912" s="21"/>
      <c r="N8912" s="21" t="s">
        <v>40</v>
      </c>
      <c r="O8912" s="21">
        <v>32</v>
      </c>
      <c r="P8912" s="21"/>
      <c r="Q8912" s="21">
        <f t="shared" si="185"/>
        <v>1</v>
      </c>
      <c r="R8912" s="21">
        <v>1</v>
      </c>
      <c r="S8912" s="21">
        <v>0</v>
      </c>
      <c r="T8912" s="21">
        <v>0</v>
      </c>
      <c r="U8912" s="21">
        <v>0</v>
      </c>
      <c r="V8912" s="21">
        <v>0</v>
      </c>
      <c r="W8912" s="21">
        <v>0</v>
      </c>
      <c r="X8912" s="21">
        <v>0</v>
      </c>
      <c r="Y8912" s="21">
        <v>0</v>
      </c>
      <c r="Z8912" s="21">
        <v>0</v>
      </c>
      <c r="AA8912" s="21">
        <v>0</v>
      </c>
      <c r="AB8912" s="21">
        <v>0</v>
      </c>
      <c r="AC8912" s="21">
        <v>1</v>
      </c>
      <c r="AD8912" s="21">
        <v>0</v>
      </c>
      <c r="AE8912" s="21">
        <v>0</v>
      </c>
      <c r="AF8912" s="21">
        <v>0</v>
      </c>
      <c r="AG8912" s="21">
        <v>0</v>
      </c>
      <c r="AH8912" s="21"/>
      <c r="AI8912" s="21"/>
      <c r="AJ8912" s="21" t="s">
        <v>51</v>
      </c>
      <c r="AK8912" s="21"/>
      <c r="AL8912" s="21" t="s">
        <v>5820</v>
      </c>
      <c r="AM8912" s="21" t="s">
        <v>5842</v>
      </c>
      <c r="AN8912" s="21">
        <v>-122.46285431666701</v>
      </c>
      <c r="AO8912" s="21">
        <v>37.799717549999997</v>
      </c>
      <c r="AP8912" s="21" t="s">
        <v>1915</v>
      </c>
    </row>
    <row r="8913" spans="1:42">
      <c r="A8913" s="20">
        <v>43888</v>
      </c>
      <c r="B8913" s="21">
        <v>4</v>
      </c>
      <c r="C8913" s="21">
        <v>574</v>
      </c>
      <c r="D8913" s="21">
        <v>11441</v>
      </c>
      <c r="E8913" t="s">
        <v>377</v>
      </c>
      <c r="F8913" s="21" t="s">
        <v>436</v>
      </c>
      <c r="G8913" s="21">
        <v>1</v>
      </c>
      <c r="H8913" s="21">
        <v>32</v>
      </c>
      <c r="I8913" s="23" t="s">
        <v>3747</v>
      </c>
      <c r="J8913" s="21"/>
      <c r="K8913" s="21" t="s">
        <v>3551</v>
      </c>
      <c r="L8913" s="21"/>
      <c r="M8913" s="21"/>
      <c r="N8913" s="21" t="s">
        <v>40</v>
      </c>
      <c r="O8913" s="21">
        <v>33</v>
      </c>
      <c r="P8913" s="21"/>
      <c r="Q8913" s="21">
        <f t="shared" si="185"/>
        <v>1</v>
      </c>
      <c r="R8913" s="21">
        <v>1</v>
      </c>
      <c r="S8913" s="21">
        <v>0</v>
      </c>
      <c r="T8913" s="21">
        <v>0</v>
      </c>
      <c r="U8913" s="21">
        <v>0</v>
      </c>
      <c r="V8913" s="21">
        <v>0</v>
      </c>
      <c r="W8913" s="21">
        <v>0</v>
      </c>
      <c r="X8913" s="21">
        <v>0</v>
      </c>
      <c r="Y8913" s="21">
        <v>0</v>
      </c>
      <c r="Z8913" s="21">
        <v>0</v>
      </c>
      <c r="AA8913" s="21">
        <v>0</v>
      </c>
      <c r="AB8913" s="21">
        <v>0</v>
      </c>
      <c r="AC8913" s="21">
        <v>1</v>
      </c>
      <c r="AD8913" s="21">
        <v>0</v>
      </c>
      <c r="AE8913" s="21">
        <v>0</v>
      </c>
      <c r="AF8913" s="21">
        <v>0</v>
      </c>
      <c r="AG8913" s="21">
        <v>0</v>
      </c>
      <c r="AH8913" s="21"/>
      <c r="AI8913" s="21"/>
      <c r="AJ8913" s="21" t="s">
        <v>51</v>
      </c>
      <c r="AK8913" s="21"/>
      <c r="AL8913" s="21"/>
      <c r="AM8913" s="21" t="s">
        <v>5843</v>
      </c>
      <c r="AN8913" s="21">
        <v>-122.459610666667</v>
      </c>
      <c r="AO8913" s="21">
        <v>37.798721483333303</v>
      </c>
      <c r="AP8913" s="21" t="s">
        <v>1915</v>
      </c>
    </row>
    <row r="8914" spans="1:42">
      <c r="A8914" s="20">
        <v>43888</v>
      </c>
      <c r="B8914" s="21">
        <v>4</v>
      </c>
      <c r="C8914" s="21">
        <v>574</v>
      </c>
      <c r="D8914" s="21">
        <v>11441</v>
      </c>
      <c r="E8914" t="s">
        <v>377</v>
      </c>
      <c r="F8914" s="21" t="s">
        <v>436</v>
      </c>
      <c r="G8914" s="21">
        <v>1</v>
      </c>
      <c r="H8914" s="21">
        <v>33</v>
      </c>
      <c r="I8914" s="23" t="s">
        <v>3752</v>
      </c>
      <c r="J8914" s="21"/>
      <c r="K8914" s="21" t="s">
        <v>3753</v>
      </c>
      <c r="L8914" s="21"/>
      <c r="M8914" s="21"/>
      <c r="N8914" s="21" t="s">
        <v>40</v>
      </c>
      <c r="O8914" s="21">
        <v>61</v>
      </c>
      <c r="P8914" s="21"/>
      <c r="Q8914" s="21">
        <f t="shared" si="185"/>
        <v>1</v>
      </c>
      <c r="R8914" s="21">
        <v>1</v>
      </c>
      <c r="S8914" s="21">
        <v>0</v>
      </c>
      <c r="T8914" s="21">
        <v>0</v>
      </c>
      <c r="U8914" s="21">
        <v>0</v>
      </c>
      <c r="V8914" s="21">
        <v>0</v>
      </c>
      <c r="W8914" s="21">
        <v>0</v>
      </c>
      <c r="X8914" s="21">
        <v>0</v>
      </c>
      <c r="Y8914" s="21">
        <v>0</v>
      </c>
      <c r="Z8914" s="21">
        <v>0</v>
      </c>
      <c r="AA8914" s="21">
        <v>0</v>
      </c>
      <c r="AB8914" s="21">
        <v>1</v>
      </c>
      <c r="AC8914" s="21">
        <v>0</v>
      </c>
      <c r="AD8914" s="21">
        <v>0</v>
      </c>
      <c r="AE8914" s="21">
        <v>0</v>
      </c>
      <c r="AF8914" s="21">
        <v>0</v>
      </c>
      <c r="AG8914" s="21">
        <v>0</v>
      </c>
      <c r="AH8914" s="21"/>
      <c r="AI8914" s="21"/>
      <c r="AJ8914" s="21" t="s">
        <v>51</v>
      </c>
      <c r="AK8914" s="21"/>
      <c r="AL8914" s="21" t="s">
        <v>3452</v>
      </c>
      <c r="AM8914" s="21" t="s">
        <v>5844</v>
      </c>
      <c r="AN8914" s="21">
        <v>-122.45957041666701</v>
      </c>
      <c r="AO8914" s="21">
        <v>37.791001116666699</v>
      </c>
      <c r="AP8914" s="21" t="s">
        <v>1915</v>
      </c>
    </row>
    <row r="8915" spans="1:42">
      <c r="A8915" s="20">
        <v>43888</v>
      </c>
      <c r="B8915" s="21">
        <v>4</v>
      </c>
      <c r="C8915" s="21">
        <v>574</v>
      </c>
      <c r="D8915" s="21">
        <v>11441</v>
      </c>
      <c r="E8915" t="s">
        <v>377</v>
      </c>
      <c r="F8915" s="21" t="s">
        <v>436</v>
      </c>
      <c r="G8915" s="21">
        <v>1</v>
      </c>
      <c r="H8915" s="21">
        <v>34</v>
      </c>
      <c r="I8915" s="23" t="s">
        <v>5845</v>
      </c>
      <c r="J8915" s="21"/>
      <c r="K8915" s="21" t="s">
        <v>53</v>
      </c>
      <c r="L8915" s="21"/>
      <c r="M8915" s="21"/>
      <c r="N8915" s="21" t="s">
        <v>40</v>
      </c>
      <c r="O8915" s="21">
        <f>120+120+13</f>
        <v>253</v>
      </c>
      <c r="P8915" s="21"/>
      <c r="Q8915" s="21">
        <f t="shared" si="185"/>
        <v>1</v>
      </c>
      <c r="R8915" s="21">
        <v>1</v>
      </c>
      <c r="S8915" s="21">
        <v>0</v>
      </c>
      <c r="T8915" s="21">
        <v>0</v>
      </c>
      <c r="U8915" s="21">
        <v>0</v>
      </c>
      <c r="V8915" s="21">
        <v>0</v>
      </c>
      <c r="W8915" s="21">
        <v>0</v>
      </c>
      <c r="X8915" s="21">
        <v>0</v>
      </c>
      <c r="Y8915" s="21">
        <v>0</v>
      </c>
      <c r="Z8915" s="21">
        <v>0</v>
      </c>
      <c r="AA8915" s="21">
        <v>1</v>
      </c>
      <c r="AB8915" s="21">
        <v>0</v>
      </c>
      <c r="AC8915" s="21">
        <v>0</v>
      </c>
      <c r="AD8915" s="21">
        <v>0</v>
      </c>
      <c r="AE8915" s="21">
        <v>0</v>
      </c>
      <c r="AF8915" s="21">
        <v>0</v>
      </c>
      <c r="AG8915" s="21">
        <v>0</v>
      </c>
      <c r="AH8915" s="21"/>
      <c r="AI8915" s="21"/>
      <c r="AJ8915" s="21" t="s">
        <v>51</v>
      </c>
      <c r="AK8915" s="21"/>
      <c r="AL8915" s="21" t="s">
        <v>5846</v>
      </c>
      <c r="AM8915" s="21" t="s">
        <v>5847</v>
      </c>
      <c r="AN8915" s="21">
        <v>-122.431275016667</v>
      </c>
      <c r="AO8915" s="21">
        <v>37.785897566666698</v>
      </c>
      <c r="AP8915" s="21" t="s">
        <v>1915</v>
      </c>
    </row>
    <row r="8916" spans="1:42">
      <c r="A8916" s="20">
        <v>43888</v>
      </c>
      <c r="B8916" s="21">
        <v>4</v>
      </c>
      <c r="C8916" s="21">
        <v>574</v>
      </c>
      <c r="D8916" s="21">
        <v>11441</v>
      </c>
      <c r="E8916" t="s">
        <v>377</v>
      </c>
      <c r="F8916" s="21" t="s">
        <v>436</v>
      </c>
      <c r="G8916" s="21">
        <v>1</v>
      </c>
      <c r="H8916" s="21">
        <v>35</v>
      </c>
      <c r="I8916" s="23" t="s">
        <v>5848</v>
      </c>
      <c r="J8916" s="21"/>
      <c r="K8916" s="21" t="s">
        <v>415</v>
      </c>
      <c r="L8916" s="21"/>
      <c r="M8916" s="21"/>
      <c r="N8916" s="21" t="s">
        <v>40</v>
      </c>
      <c r="O8916" s="21">
        <v>93</v>
      </c>
      <c r="P8916" s="21"/>
      <c r="Q8916" s="21">
        <f t="shared" si="185"/>
        <v>1</v>
      </c>
      <c r="R8916" s="21">
        <v>1</v>
      </c>
      <c r="S8916" s="21">
        <v>0</v>
      </c>
      <c r="T8916" s="21">
        <v>0</v>
      </c>
      <c r="U8916" s="21">
        <v>0</v>
      </c>
      <c r="V8916" s="21">
        <v>0</v>
      </c>
      <c r="W8916" s="21">
        <v>0</v>
      </c>
      <c r="X8916" s="21">
        <v>0</v>
      </c>
      <c r="Y8916" s="21">
        <v>0</v>
      </c>
      <c r="Z8916" s="21">
        <v>0</v>
      </c>
      <c r="AA8916" s="21">
        <v>0</v>
      </c>
      <c r="AB8916" s="21">
        <v>0</v>
      </c>
      <c r="AC8916" s="21">
        <v>1</v>
      </c>
      <c r="AD8916" s="21">
        <v>0</v>
      </c>
      <c r="AE8916" s="21">
        <v>0</v>
      </c>
      <c r="AF8916" s="21">
        <v>0</v>
      </c>
      <c r="AG8916" s="21">
        <v>0</v>
      </c>
      <c r="AH8916" s="21"/>
      <c r="AI8916" s="21"/>
      <c r="AJ8916" s="21" t="s">
        <v>54</v>
      </c>
      <c r="AK8916" s="21" t="s">
        <v>95</v>
      </c>
      <c r="AL8916" s="21" t="s">
        <v>5849</v>
      </c>
      <c r="AM8916" s="21" t="s">
        <v>5850</v>
      </c>
      <c r="AN8916" s="21">
        <v>-122.421862083333</v>
      </c>
      <c r="AO8916" s="21">
        <v>37.784253233333303</v>
      </c>
      <c r="AP8916" s="21" t="s">
        <v>1915</v>
      </c>
    </row>
    <row r="8917" spans="1:42">
      <c r="A8917" s="20">
        <v>43888</v>
      </c>
      <c r="B8917" s="21">
        <v>4</v>
      </c>
      <c r="C8917" s="21">
        <v>574</v>
      </c>
      <c r="D8917" s="21">
        <v>11441</v>
      </c>
      <c r="E8917" t="s">
        <v>377</v>
      </c>
      <c r="F8917" s="21" t="s">
        <v>436</v>
      </c>
      <c r="G8917" s="21">
        <v>1</v>
      </c>
      <c r="H8917" s="21">
        <v>36</v>
      </c>
      <c r="I8917" s="23" t="s">
        <v>3707</v>
      </c>
      <c r="J8917" s="21"/>
      <c r="K8917" s="21" t="s">
        <v>415</v>
      </c>
      <c r="L8917" s="21"/>
      <c r="M8917" s="21"/>
      <c r="N8917" s="21" t="s">
        <v>40</v>
      </c>
      <c r="O8917" s="21">
        <f>120+28</f>
        <v>148</v>
      </c>
      <c r="P8917" s="21"/>
      <c r="Q8917" s="21">
        <f t="shared" si="185"/>
        <v>1</v>
      </c>
      <c r="R8917" s="21">
        <v>1</v>
      </c>
      <c r="S8917" s="21">
        <v>0</v>
      </c>
      <c r="T8917" s="21">
        <v>0</v>
      </c>
      <c r="U8917" s="21">
        <v>0</v>
      </c>
      <c r="V8917" s="21">
        <v>0</v>
      </c>
      <c r="W8917" s="21">
        <v>0</v>
      </c>
      <c r="X8917" s="21">
        <v>0</v>
      </c>
      <c r="Y8917" s="21">
        <v>0</v>
      </c>
      <c r="Z8917" s="21">
        <v>0</v>
      </c>
      <c r="AA8917" s="21">
        <v>0</v>
      </c>
      <c r="AB8917" s="21">
        <v>0</v>
      </c>
      <c r="AC8917" s="21">
        <v>1</v>
      </c>
      <c r="AD8917" s="21">
        <v>0</v>
      </c>
      <c r="AE8917" s="21">
        <v>0</v>
      </c>
      <c r="AF8917" s="21">
        <v>0</v>
      </c>
      <c r="AG8917" s="21">
        <v>0</v>
      </c>
      <c r="AH8917" s="21"/>
      <c r="AI8917" s="21"/>
      <c r="AJ8917" s="21" t="s">
        <v>51</v>
      </c>
      <c r="AK8917" s="21"/>
      <c r="AL8917" s="21" t="s">
        <v>5851</v>
      </c>
      <c r="AM8917" s="21" t="s">
        <v>5852</v>
      </c>
      <c r="AN8917" s="21">
        <v>-122.41992493333299</v>
      </c>
      <c r="AO8917" s="21">
        <v>37.775851466666701</v>
      </c>
      <c r="AP8917" s="21" t="s">
        <v>1915</v>
      </c>
    </row>
    <row r="8918" spans="1:42">
      <c r="A8918" s="20">
        <v>43888</v>
      </c>
      <c r="B8918" s="21">
        <v>4</v>
      </c>
      <c r="C8918" s="21">
        <v>574</v>
      </c>
      <c r="D8918" s="21">
        <v>11441</v>
      </c>
      <c r="E8918" t="s">
        <v>377</v>
      </c>
      <c r="F8918" s="21" t="s">
        <v>436</v>
      </c>
      <c r="G8918" s="21">
        <v>1</v>
      </c>
      <c r="H8918" s="21">
        <v>37</v>
      </c>
      <c r="I8918" s="23" t="s">
        <v>5853</v>
      </c>
      <c r="J8918" s="21"/>
      <c r="K8918" s="21" t="s">
        <v>828</v>
      </c>
      <c r="L8918" s="21"/>
      <c r="M8918" s="21"/>
      <c r="N8918" s="21" t="s">
        <v>40</v>
      </c>
      <c r="O8918" s="21">
        <f>120+15</f>
        <v>135</v>
      </c>
      <c r="P8918" s="21"/>
      <c r="Q8918" s="21">
        <f t="shared" si="185"/>
        <v>2</v>
      </c>
      <c r="R8918" s="21">
        <v>1</v>
      </c>
      <c r="S8918" s="21">
        <v>0</v>
      </c>
      <c r="T8918" s="21">
        <v>0</v>
      </c>
      <c r="U8918" s="21">
        <v>0</v>
      </c>
      <c r="V8918" s="21">
        <v>0</v>
      </c>
      <c r="W8918" s="21">
        <v>0</v>
      </c>
      <c r="X8918" s="21">
        <v>0</v>
      </c>
      <c r="Y8918" s="21">
        <v>0</v>
      </c>
      <c r="Z8918" s="21">
        <v>0</v>
      </c>
      <c r="AA8918" s="21">
        <v>0</v>
      </c>
      <c r="AB8918" s="21">
        <v>0</v>
      </c>
      <c r="AC8918" s="21">
        <v>2</v>
      </c>
      <c r="AD8918" s="21">
        <v>0</v>
      </c>
      <c r="AE8918" s="21">
        <v>0</v>
      </c>
      <c r="AF8918" s="21">
        <v>0</v>
      </c>
      <c r="AG8918" s="21">
        <v>0</v>
      </c>
      <c r="AH8918" s="21"/>
      <c r="AI8918" s="21"/>
      <c r="AJ8918" s="21" t="s">
        <v>54</v>
      </c>
      <c r="AK8918" s="21" t="s">
        <v>95</v>
      </c>
      <c r="AL8918" s="21" t="s">
        <v>5854</v>
      </c>
      <c r="AM8918" s="21" t="s">
        <v>5855</v>
      </c>
      <c r="AN8918" s="21">
        <v>-122.418217383333</v>
      </c>
      <c r="AO8918" s="21">
        <v>37.790812616666699</v>
      </c>
      <c r="AP8918" s="21" t="s">
        <v>1915</v>
      </c>
    </row>
    <row r="8919" spans="1:42">
      <c r="A8919" s="20">
        <v>43888</v>
      </c>
      <c r="B8919" s="21">
        <v>4</v>
      </c>
      <c r="C8919" s="21">
        <v>574</v>
      </c>
      <c r="D8919" s="21">
        <v>11441</v>
      </c>
      <c r="E8919" t="s">
        <v>377</v>
      </c>
      <c r="F8919" s="21" t="s">
        <v>436</v>
      </c>
      <c r="G8919" s="21">
        <v>1</v>
      </c>
      <c r="H8919" s="21">
        <v>38</v>
      </c>
      <c r="I8919" s="23" t="s">
        <v>4377</v>
      </c>
      <c r="J8919" s="21"/>
      <c r="K8919" s="21" t="s">
        <v>56</v>
      </c>
      <c r="L8919" s="21"/>
      <c r="M8919" s="21"/>
      <c r="N8919" s="21" t="s">
        <v>44</v>
      </c>
      <c r="O8919" s="21">
        <f>60+27</f>
        <v>87</v>
      </c>
      <c r="P8919" s="21"/>
      <c r="Q8919" s="21">
        <f t="shared" si="185"/>
        <v>1</v>
      </c>
      <c r="R8919" s="21">
        <v>1</v>
      </c>
      <c r="S8919" s="21">
        <v>0</v>
      </c>
      <c r="T8919" s="21">
        <v>0</v>
      </c>
      <c r="U8919" s="21">
        <v>0</v>
      </c>
      <c r="V8919" s="21">
        <v>0</v>
      </c>
      <c r="W8919" s="21">
        <v>0</v>
      </c>
      <c r="X8919" s="21">
        <v>0</v>
      </c>
      <c r="Y8919" s="21">
        <v>0</v>
      </c>
      <c r="Z8919" s="21">
        <v>0</v>
      </c>
      <c r="AA8919" s="21">
        <v>0</v>
      </c>
      <c r="AB8919" s="21">
        <v>0</v>
      </c>
      <c r="AC8919" s="21">
        <v>1</v>
      </c>
      <c r="AD8919" s="21">
        <v>0</v>
      </c>
      <c r="AE8919" s="21">
        <v>0</v>
      </c>
      <c r="AF8919" s="21">
        <v>0</v>
      </c>
      <c r="AG8919" s="21">
        <v>0</v>
      </c>
      <c r="AH8919" s="21"/>
      <c r="AI8919" s="21"/>
      <c r="AJ8919" s="21" t="s">
        <v>54</v>
      </c>
      <c r="AK8919" s="21"/>
      <c r="AL8919" s="21" t="s">
        <v>5856</v>
      </c>
      <c r="AM8919" s="21" t="s">
        <v>5857</v>
      </c>
      <c r="AN8919" s="21">
        <v>-122.4230821</v>
      </c>
      <c r="AO8919" s="21">
        <v>37.790299083333302</v>
      </c>
      <c r="AP8919" s="21" t="s">
        <v>1915</v>
      </c>
    </row>
    <row r="8920" spans="1:42">
      <c r="A8920" s="20">
        <v>43888</v>
      </c>
      <c r="B8920" s="21">
        <v>4</v>
      </c>
      <c r="C8920" s="21">
        <v>574</v>
      </c>
      <c r="D8920" s="21">
        <v>11441</v>
      </c>
      <c r="E8920" t="s">
        <v>377</v>
      </c>
      <c r="F8920" s="21" t="s">
        <v>436</v>
      </c>
      <c r="G8920" s="21">
        <v>1</v>
      </c>
      <c r="H8920" s="21">
        <v>39</v>
      </c>
      <c r="I8920" s="23" t="s">
        <v>5227</v>
      </c>
      <c r="J8920" s="21"/>
      <c r="K8920" s="21" t="s">
        <v>71</v>
      </c>
      <c r="L8920" s="21"/>
      <c r="M8920" s="21"/>
      <c r="N8920" s="21" t="s">
        <v>40</v>
      </c>
      <c r="O8920" s="21">
        <v>68</v>
      </c>
      <c r="P8920" s="21"/>
      <c r="Q8920" s="21">
        <f t="shared" si="185"/>
        <v>1</v>
      </c>
      <c r="R8920" s="21">
        <v>1</v>
      </c>
      <c r="S8920" s="21">
        <v>0</v>
      </c>
      <c r="T8920" s="21">
        <v>0</v>
      </c>
      <c r="U8920" s="21">
        <v>0</v>
      </c>
      <c r="V8920" s="21">
        <v>0</v>
      </c>
      <c r="W8920" s="21">
        <v>0</v>
      </c>
      <c r="X8920" s="21">
        <v>0</v>
      </c>
      <c r="Y8920" s="21">
        <v>0</v>
      </c>
      <c r="Z8920" s="21">
        <v>0</v>
      </c>
      <c r="AA8920" s="21">
        <v>0</v>
      </c>
      <c r="AB8920" s="21">
        <v>1</v>
      </c>
      <c r="AC8920" s="21">
        <v>0</v>
      </c>
      <c r="AD8920" s="21">
        <v>0</v>
      </c>
      <c r="AE8920" s="21">
        <v>0</v>
      </c>
      <c r="AF8920" s="21">
        <v>0</v>
      </c>
      <c r="AG8920" s="21">
        <v>0</v>
      </c>
      <c r="AH8920" s="21"/>
      <c r="AI8920" s="21"/>
      <c r="AJ8920" s="21" t="s">
        <v>51</v>
      </c>
      <c r="AK8920" s="21" t="s">
        <v>95</v>
      </c>
      <c r="AL8920" s="21"/>
      <c r="AM8920" s="21" t="s">
        <v>5858</v>
      </c>
      <c r="AN8920" s="21">
        <v>-122.405298616667</v>
      </c>
      <c r="AO8920" s="21">
        <v>37.805032183333303</v>
      </c>
      <c r="AP8920" s="21" t="s">
        <v>1915</v>
      </c>
    </row>
    <row r="8921" spans="1:42">
      <c r="A8921" s="20">
        <v>43888</v>
      </c>
      <c r="B8921" s="21">
        <v>4</v>
      </c>
      <c r="C8921" s="21">
        <v>574</v>
      </c>
      <c r="D8921" s="21">
        <v>11441</v>
      </c>
      <c r="E8921" t="s">
        <v>377</v>
      </c>
      <c r="F8921" s="21" t="s">
        <v>436</v>
      </c>
      <c r="G8921" s="21">
        <v>1</v>
      </c>
      <c r="H8921" s="21">
        <v>40</v>
      </c>
      <c r="I8921" s="23" t="s">
        <v>5859</v>
      </c>
      <c r="J8921" s="21"/>
      <c r="K8921" s="21" t="s">
        <v>210</v>
      </c>
      <c r="L8921" s="21"/>
      <c r="M8921" s="21"/>
      <c r="N8921" s="21" t="s">
        <v>40</v>
      </c>
      <c r="O8921" s="21">
        <f>60+15</f>
        <v>75</v>
      </c>
      <c r="P8921" s="21"/>
      <c r="Q8921" s="21">
        <f t="shared" si="185"/>
        <v>1</v>
      </c>
      <c r="R8921" s="21">
        <v>1</v>
      </c>
      <c r="S8921" s="21">
        <v>0</v>
      </c>
      <c r="T8921" s="21">
        <v>0</v>
      </c>
      <c r="U8921" s="21">
        <v>0</v>
      </c>
      <c r="V8921" s="21">
        <v>0</v>
      </c>
      <c r="W8921" s="21">
        <v>0</v>
      </c>
      <c r="X8921" s="21">
        <v>0</v>
      </c>
      <c r="Y8921" s="21">
        <v>0</v>
      </c>
      <c r="Z8921" s="21">
        <v>0</v>
      </c>
      <c r="AA8921" s="21">
        <v>0</v>
      </c>
      <c r="AB8921" s="21">
        <v>0</v>
      </c>
      <c r="AC8921" s="21">
        <v>1</v>
      </c>
      <c r="AD8921" s="21">
        <v>0</v>
      </c>
      <c r="AE8921" s="21">
        <v>0</v>
      </c>
      <c r="AF8921" s="21">
        <v>0</v>
      </c>
      <c r="AG8921" s="21">
        <v>0</v>
      </c>
      <c r="AH8921" s="21"/>
      <c r="AI8921" s="21"/>
      <c r="AJ8921" s="21" t="s">
        <v>51</v>
      </c>
      <c r="AK8921" s="21"/>
      <c r="AL8921" s="21" t="s">
        <v>5860</v>
      </c>
      <c r="AM8921" s="21" t="s">
        <v>5861</v>
      </c>
      <c r="AN8921" s="21">
        <v>-122.43106256666699</v>
      </c>
      <c r="AO8921" s="21">
        <v>37.800872200000001</v>
      </c>
      <c r="AP8921" s="21" t="s">
        <v>1915</v>
      </c>
    </row>
    <row r="8922" spans="1:42">
      <c r="A8922" s="20">
        <v>43888</v>
      </c>
      <c r="B8922" s="21">
        <v>4</v>
      </c>
      <c r="C8922" s="21">
        <v>574</v>
      </c>
      <c r="D8922" s="21">
        <v>11441</v>
      </c>
      <c r="E8922" t="s">
        <v>377</v>
      </c>
      <c r="F8922" s="21" t="s">
        <v>436</v>
      </c>
      <c r="G8922" s="21">
        <v>1</v>
      </c>
      <c r="H8922" s="21">
        <v>41</v>
      </c>
      <c r="I8922" s="23" t="s">
        <v>5862</v>
      </c>
      <c r="J8922" s="21"/>
      <c r="K8922" t="s">
        <v>102</v>
      </c>
      <c r="L8922" s="21"/>
      <c r="M8922" s="21"/>
      <c r="N8922" s="21" t="s">
        <v>40</v>
      </c>
      <c r="O8922" s="21">
        <v>36</v>
      </c>
      <c r="P8922" s="21"/>
      <c r="Q8922" s="21">
        <f t="shared" si="185"/>
        <v>1</v>
      </c>
      <c r="R8922" s="21">
        <v>1</v>
      </c>
      <c r="S8922" s="21">
        <v>0</v>
      </c>
      <c r="T8922" s="21">
        <v>0</v>
      </c>
      <c r="U8922" s="21">
        <v>0</v>
      </c>
      <c r="V8922" s="21">
        <v>0</v>
      </c>
      <c r="W8922" s="21">
        <v>0</v>
      </c>
      <c r="X8922" s="21">
        <v>0</v>
      </c>
      <c r="Y8922" s="21">
        <v>0</v>
      </c>
      <c r="Z8922" s="21">
        <v>0</v>
      </c>
      <c r="AA8922" s="21">
        <v>0</v>
      </c>
      <c r="AB8922" s="21">
        <v>0</v>
      </c>
      <c r="AC8922" s="21">
        <v>1</v>
      </c>
      <c r="AD8922" s="21">
        <v>0</v>
      </c>
      <c r="AE8922" s="21">
        <v>0</v>
      </c>
      <c r="AF8922" s="21">
        <v>0</v>
      </c>
      <c r="AG8922" s="21">
        <v>0</v>
      </c>
      <c r="AH8922" s="21"/>
      <c r="AI8922" s="21"/>
      <c r="AJ8922" s="21" t="s">
        <v>51</v>
      </c>
      <c r="AK8922" s="21" t="s">
        <v>95</v>
      </c>
      <c r="AL8922" s="21" t="s">
        <v>3600</v>
      </c>
      <c r="AM8922" s="21" t="s">
        <v>5863</v>
      </c>
      <c r="AN8922" s="21">
        <v>-122.45235081666701</v>
      </c>
      <c r="AO8922" s="21">
        <v>37.805442749999997</v>
      </c>
      <c r="AP8922" s="21" t="s">
        <v>1915</v>
      </c>
    </row>
    <row r="8923" spans="1:42">
      <c r="A8923" s="20">
        <v>43888</v>
      </c>
      <c r="B8923" s="21">
        <v>4</v>
      </c>
      <c r="C8923" s="21">
        <v>574</v>
      </c>
      <c r="D8923" s="21">
        <v>11441</v>
      </c>
      <c r="E8923" t="s">
        <v>377</v>
      </c>
      <c r="F8923" s="21" t="s">
        <v>436</v>
      </c>
      <c r="G8923" s="21">
        <v>1</v>
      </c>
      <c r="H8923" s="21">
        <v>42</v>
      </c>
      <c r="I8923" s="23"/>
      <c r="J8923" s="21"/>
      <c r="K8923" s="21" t="s">
        <v>5864</v>
      </c>
      <c r="L8923" s="21"/>
      <c r="M8923" s="21"/>
      <c r="N8923" s="21" t="s">
        <v>44</v>
      </c>
      <c r="O8923" s="21">
        <f>120+60+39</f>
        <v>219</v>
      </c>
      <c r="P8923" s="21"/>
      <c r="Q8923" s="21">
        <f t="shared" si="185"/>
        <v>1</v>
      </c>
      <c r="R8923" s="21">
        <v>1</v>
      </c>
      <c r="S8923" s="21">
        <v>0</v>
      </c>
      <c r="T8923" s="21">
        <v>0</v>
      </c>
      <c r="U8923" s="21">
        <v>0</v>
      </c>
      <c r="V8923" s="21">
        <v>0</v>
      </c>
      <c r="W8923" s="21">
        <v>0</v>
      </c>
      <c r="X8923" s="21">
        <v>0</v>
      </c>
      <c r="Y8923" s="21">
        <v>0</v>
      </c>
      <c r="Z8923" s="21">
        <v>0</v>
      </c>
      <c r="AA8923" s="21">
        <v>0</v>
      </c>
      <c r="AB8923" s="21">
        <v>0</v>
      </c>
      <c r="AC8923" s="21">
        <v>1</v>
      </c>
      <c r="AD8923" s="21">
        <v>0</v>
      </c>
      <c r="AE8923" s="21">
        <v>0</v>
      </c>
      <c r="AF8923" s="21">
        <v>0</v>
      </c>
      <c r="AG8923" s="21">
        <v>0</v>
      </c>
      <c r="AH8923" s="21"/>
      <c r="AI8923" s="21"/>
      <c r="AJ8923" s="21" t="s">
        <v>51</v>
      </c>
      <c r="AK8923" s="21" t="s">
        <v>95</v>
      </c>
      <c r="AL8923" s="21" t="s">
        <v>5865</v>
      </c>
      <c r="AM8923" s="21" t="s">
        <v>5866</v>
      </c>
      <c r="AN8923" s="21">
        <v>-122.448987166667</v>
      </c>
      <c r="AO8923" s="21">
        <v>37.8062236833333</v>
      </c>
      <c r="AP8923" s="21" t="s">
        <v>1915</v>
      </c>
    </row>
    <row r="8924" spans="1:42">
      <c r="A8924" s="20">
        <v>43888</v>
      </c>
      <c r="B8924" s="21">
        <v>4</v>
      </c>
      <c r="C8924" s="21">
        <v>574</v>
      </c>
      <c r="D8924" s="21">
        <v>11441</v>
      </c>
      <c r="E8924" t="s">
        <v>377</v>
      </c>
      <c r="F8924" s="21" t="s">
        <v>436</v>
      </c>
      <c r="G8924" s="21">
        <v>1</v>
      </c>
      <c r="H8924" s="21">
        <v>43</v>
      </c>
      <c r="I8924" s="23"/>
      <c r="J8924" s="21"/>
      <c r="K8924" s="21" t="s">
        <v>5867</v>
      </c>
      <c r="L8924" s="21"/>
      <c r="M8924" s="21"/>
      <c r="N8924" s="21" t="s">
        <v>44</v>
      </c>
      <c r="O8924" s="21">
        <f>120+60+39</f>
        <v>219</v>
      </c>
      <c r="P8924" s="21"/>
      <c r="Q8924" s="21">
        <f t="shared" si="185"/>
        <v>1</v>
      </c>
      <c r="R8924" s="21">
        <v>1</v>
      </c>
      <c r="S8924" s="21">
        <v>0</v>
      </c>
      <c r="T8924" s="21">
        <v>0</v>
      </c>
      <c r="U8924" s="21">
        <v>0</v>
      </c>
      <c r="V8924" s="21">
        <v>0</v>
      </c>
      <c r="W8924" s="21">
        <v>0</v>
      </c>
      <c r="X8924" s="21">
        <v>0</v>
      </c>
      <c r="Y8924" s="21">
        <v>0</v>
      </c>
      <c r="Z8924" s="21">
        <v>0</v>
      </c>
      <c r="AA8924" s="21">
        <v>0</v>
      </c>
      <c r="AB8924" s="21">
        <v>0</v>
      </c>
      <c r="AC8924" s="21">
        <v>1</v>
      </c>
      <c r="AD8924" s="21">
        <v>0</v>
      </c>
      <c r="AE8924" s="21">
        <v>0</v>
      </c>
      <c r="AF8924" s="21">
        <v>0</v>
      </c>
      <c r="AG8924" s="21">
        <v>0</v>
      </c>
      <c r="AH8924" s="21"/>
      <c r="AI8924" s="21"/>
      <c r="AJ8924" s="21" t="s">
        <v>51</v>
      </c>
      <c r="AK8924" s="21"/>
      <c r="AL8924" s="21" t="s">
        <v>5868</v>
      </c>
      <c r="AM8924" s="21" t="s">
        <v>5869</v>
      </c>
      <c r="AN8924" s="21">
        <v>-122.473879933333</v>
      </c>
      <c r="AO8924" s="21">
        <v>37.807309266666699</v>
      </c>
      <c r="AP8924" s="21" t="s">
        <v>1915</v>
      </c>
    </row>
    <row r="8925" spans="1:42">
      <c r="A8925" s="20">
        <v>43888</v>
      </c>
      <c r="B8925" s="21">
        <v>4</v>
      </c>
      <c r="C8925" s="21">
        <v>574</v>
      </c>
      <c r="D8925" s="21">
        <v>11441</v>
      </c>
      <c r="E8925" t="s">
        <v>377</v>
      </c>
      <c r="F8925" s="21" t="s">
        <v>436</v>
      </c>
      <c r="G8925" s="21">
        <v>1</v>
      </c>
      <c r="H8925" s="21">
        <v>44</v>
      </c>
      <c r="I8925" s="23" t="s">
        <v>5870</v>
      </c>
      <c r="J8925" s="21"/>
      <c r="K8925" s="21" t="s">
        <v>417</v>
      </c>
      <c r="L8925" s="21"/>
      <c r="M8925" s="21"/>
      <c r="N8925" s="21" t="s">
        <v>44</v>
      </c>
      <c r="O8925" s="21">
        <f>60+35</f>
        <v>95</v>
      </c>
      <c r="P8925" s="21"/>
      <c r="Q8925" s="21">
        <f t="shared" si="185"/>
        <v>1</v>
      </c>
      <c r="R8925" s="21">
        <v>1</v>
      </c>
      <c r="S8925" s="21">
        <v>0</v>
      </c>
      <c r="T8925" s="21">
        <v>0</v>
      </c>
      <c r="U8925" s="21">
        <v>0</v>
      </c>
      <c r="V8925" s="21">
        <v>0</v>
      </c>
      <c r="W8925" s="21">
        <v>0</v>
      </c>
      <c r="X8925" s="21">
        <v>0</v>
      </c>
      <c r="Y8925" s="21">
        <v>0</v>
      </c>
      <c r="Z8925" s="21">
        <v>0</v>
      </c>
      <c r="AA8925" s="21">
        <v>0</v>
      </c>
      <c r="AB8925" s="21">
        <v>0</v>
      </c>
      <c r="AC8925" s="21">
        <v>1</v>
      </c>
      <c r="AD8925" s="21">
        <v>0</v>
      </c>
      <c r="AE8925" s="21">
        <v>0</v>
      </c>
      <c r="AF8925" s="21">
        <v>0</v>
      </c>
      <c r="AG8925" s="21">
        <v>0</v>
      </c>
      <c r="AH8925" s="21"/>
      <c r="AI8925" s="21"/>
      <c r="AJ8925" s="21" t="s">
        <v>51</v>
      </c>
      <c r="AK8925" s="21"/>
      <c r="AL8925" s="21" t="s">
        <v>5871</v>
      </c>
      <c r="AM8925" s="21" t="s">
        <v>5872</v>
      </c>
      <c r="AN8925" s="21">
        <v>-122.47635025</v>
      </c>
      <c r="AO8925" s="21">
        <v>37.807010466666597</v>
      </c>
      <c r="AP8925" s="21" t="s">
        <v>1915</v>
      </c>
    </row>
    <row r="8926" spans="1:42">
      <c r="A8926" s="20">
        <v>43888</v>
      </c>
      <c r="B8926" s="21">
        <v>4</v>
      </c>
      <c r="C8926" s="21">
        <v>574</v>
      </c>
      <c r="D8926" s="21">
        <v>11441</v>
      </c>
      <c r="E8926" t="s">
        <v>377</v>
      </c>
      <c r="F8926" s="21" t="s">
        <v>436</v>
      </c>
      <c r="G8926" s="21">
        <v>1</v>
      </c>
      <c r="H8926" s="21">
        <v>45</v>
      </c>
      <c r="I8926" s="23" t="s">
        <v>5873</v>
      </c>
      <c r="J8926" s="21"/>
      <c r="K8926" s="21" t="s">
        <v>2101</v>
      </c>
      <c r="L8926" s="21"/>
      <c r="M8926" s="21"/>
      <c r="N8926" s="21" t="s">
        <v>44</v>
      </c>
      <c r="O8926" s="21">
        <f>120+20</f>
        <v>140</v>
      </c>
      <c r="P8926" s="21"/>
      <c r="Q8926" s="21">
        <f t="shared" si="185"/>
        <v>1</v>
      </c>
      <c r="R8926" s="21">
        <v>1</v>
      </c>
      <c r="S8926" s="21">
        <v>0</v>
      </c>
      <c r="T8926" s="21">
        <v>0</v>
      </c>
      <c r="U8926" s="21">
        <v>0</v>
      </c>
      <c r="V8926" s="21">
        <v>0</v>
      </c>
      <c r="W8926" s="21">
        <v>0</v>
      </c>
      <c r="X8926" s="21">
        <v>0</v>
      </c>
      <c r="Y8926" s="21">
        <v>0</v>
      </c>
      <c r="Z8926" s="21">
        <v>0</v>
      </c>
      <c r="AA8926" s="21">
        <v>0</v>
      </c>
      <c r="AB8926" s="21">
        <v>1</v>
      </c>
      <c r="AC8926" s="21">
        <v>0</v>
      </c>
      <c r="AD8926" s="21">
        <v>0</v>
      </c>
      <c r="AE8926" s="21">
        <v>0</v>
      </c>
      <c r="AF8926" s="21">
        <v>0</v>
      </c>
      <c r="AG8926" s="21">
        <v>0</v>
      </c>
      <c r="AH8926" s="21"/>
      <c r="AI8926" s="21"/>
      <c r="AJ8926" s="21" t="s">
        <v>51</v>
      </c>
      <c r="AK8926" s="21"/>
      <c r="AL8926" s="21" t="s">
        <v>5874</v>
      </c>
      <c r="AM8926" s="21" t="s">
        <v>5875</v>
      </c>
      <c r="AN8926" s="21">
        <v>-122.47563441666701</v>
      </c>
      <c r="AO8926" s="21">
        <v>37.800623716666699</v>
      </c>
      <c r="AP8926" s="21" t="s">
        <v>1915</v>
      </c>
    </row>
    <row r="8927" spans="1:42">
      <c r="A8927" s="20">
        <v>43888</v>
      </c>
      <c r="B8927" s="21">
        <v>4</v>
      </c>
      <c r="C8927" s="21">
        <v>574</v>
      </c>
      <c r="D8927" s="21">
        <v>11441</v>
      </c>
      <c r="E8927" t="s">
        <v>377</v>
      </c>
      <c r="F8927" s="21" t="s">
        <v>436</v>
      </c>
      <c r="G8927" s="21">
        <v>1</v>
      </c>
      <c r="H8927" s="21">
        <v>46</v>
      </c>
      <c r="I8927" s="23" t="s">
        <v>3596</v>
      </c>
      <c r="J8927" s="21"/>
      <c r="K8927" s="21" t="s">
        <v>2099</v>
      </c>
      <c r="L8927" s="21"/>
      <c r="M8927" s="21"/>
      <c r="N8927" s="21" t="s">
        <v>40</v>
      </c>
      <c r="O8927" s="21">
        <v>54</v>
      </c>
      <c r="P8927" s="21"/>
      <c r="Q8927" s="21">
        <f t="shared" si="185"/>
        <v>0</v>
      </c>
      <c r="R8927" s="21">
        <v>1</v>
      </c>
      <c r="S8927" s="21">
        <v>0</v>
      </c>
      <c r="T8927" s="21">
        <v>0</v>
      </c>
      <c r="U8927" s="21">
        <v>0</v>
      </c>
      <c r="V8927" s="21">
        <v>0</v>
      </c>
      <c r="W8927" s="21">
        <v>0</v>
      </c>
      <c r="X8927" s="21">
        <v>0</v>
      </c>
      <c r="Y8927" s="21">
        <v>0</v>
      </c>
      <c r="Z8927" s="21">
        <v>0</v>
      </c>
      <c r="AA8927" s="21">
        <v>0</v>
      </c>
      <c r="AB8927" s="21">
        <v>0</v>
      </c>
      <c r="AC8927" s="21">
        <v>0</v>
      </c>
      <c r="AD8927" s="21">
        <v>0</v>
      </c>
      <c r="AE8927" s="21">
        <v>0</v>
      </c>
      <c r="AF8927" s="21">
        <v>0</v>
      </c>
      <c r="AG8927" s="21">
        <v>0</v>
      </c>
      <c r="AH8927" s="21"/>
      <c r="AI8927" s="21"/>
      <c r="AJ8927" s="21" t="s">
        <v>54</v>
      </c>
      <c r="AK8927" s="21"/>
      <c r="AL8927" s="21" t="s">
        <v>5876</v>
      </c>
      <c r="AM8927" s="21" t="s">
        <v>5877</v>
      </c>
      <c r="AN8927" s="21">
        <v>-122.479565216667</v>
      </c>
      <c r="AO8927" s="21">
        <v>37.793710366666602</v>
      </c>
      <c r="AP8927" s="21" t="s">
        <v>1915</v>
      </c>
    </row>
    <row r="8928" spans="1:42">
      <c r="A8928" s="20">
        <v>43888</v>
      </c>
      <c r="B8928" s="21">
        <v>4</v>
      </c>
      <c r="C8928" s="21">
        <v>574</v>
      </c>
      <c r="D8928" s="21">
        <v>11441</v>
      </c>
      <c r="E8928" t="s">
        <v>377</v>
      </c>
      <c r="F8928" s="21" t="s">
        <v>436</v>
      </c>
      <c r="G8928" s="21">
        <v>1</v>
      </c>
      <c r="H8928" s="21">
        <v>47</v>
      </c>
      <c r="I8928" s="23" t="s">
        <v>3599</v>
      </c>
      <c r="J8928" s="21"/>
      <c r="K8928" s="21" t="s">
        <v>2099</v>
      </c>
      <c r="L8928" s="21"/>
      <c r="M8928" s="21"/>
      <c r="N8928" s="21" t="s">
        <v>44</v>
      </c>
      <c r="O8928" s="21">
        <v>63</v>
      </c>
      <c r="P8928" s="21"/>
      <c r="Q8928" s="21">
        <f t="shared" si="185"/>
        <v>1</v>
      </c>
      <c r="R8928" s="21">
        <v>1</v>
      </c>
      <c r="S8928" s="21">
        <v>0</v>
      </c>
      <c r="T8928" s="21">
        <v>0</v>
      </c>
      <c r="U8928" s="21">
        <v>0</v>
      </c>
      <c r="V8928" s="21">
        <v>0</v>
      </c>
      <c r="W8928" s="21">
        <v>0</v>
      </c>
      <c r="X8928" s="21">
        <v>0</v>
      </c>
      <c r="Y8928" s="21">
        <v>0</v>
      </c>
      <c r="Z8928" s="21">
        <v>0</v>
      </c>
      <c r="AA8928" s="21">
        <v>0</v>
      </c>
      <c r="AB8928" s="21">
        <v>1</v>
      </c>
      <c r="AC8928" s="21">
        <v>0</v>
      </c>
      <c r="AD8928" s="21">
        <v>0</v>
      </c>
      <c r="AE8928" s="21">
        <v>0</v>
      </c>
      <c r="AF8928" s="21">
        <v>0</v>
      </c>
      <c r="AG8928" s="21">
        <v>0</v>
      </c>
      <c r="AH8928" s="21"/>
      <c r="AI8928" s="21"/>
      <c r="AJ8928" s="21"/>
      <c r="AK8928" s="21"/>
      <c r="AL8928" s="21" t="s">
        <v>5878</v>
      </c>
      <c r="AM8928" s="21" t="s">
        <v>5879</v>
      </c>
      <c r="AN8928" s="21">
        <v>-122.47842215</v>
      </c>
      <c r="AO8928" s="21">
        <v>37.793500933333299</v>
      </c>
      <c r="AP8928" s="21" t="s">
        <v>1915</v>
      </c>
    </row>
    <row r="8929" spans="1:42">
      <c r="A8929" s="20">
        <v>43888</v>
      </c>
      <c r="B8929" s="21">
        <v>4</v>
      </c>
      <c r="C8929" s="21">
        <v>574</v>
      </c>
      <c r="D8929" s="21">
        <v>11441</v>
      </c>
      <c r="E8929" t="s">
        <v>377</v>
      </c>
      <c r="F8929" s="21" t="s">
        <v>436</v>
      </c>
      <c r="G8929" s="21">
        <v>1</v>
      </c>
      <c r="H8929" s="21">
        <v>48</v>
      </c>
      <c r="I8929" s="23" t="s">
        <v>3530</v>
      </c>
      <c r="J8929" s="21"/>
      <c r="K8929" s="21" t="s">
        <v>2099</v>
      </c>
      <c r="L8929" s="21"/>
      <c r="M8929" s="21"/>
      <c r="N8929" s="21" t="s">
        <v>44</v>
      </c>
      <c r="O8929" s="21">
        <f>60+47</f>
        <v>107</v>
      </c>
      <c r="P8929" s="21"/>
      <c r="Q8929" s="21">
        <f t="shared" si="185"/>
        <v>1</v>
      </c>
      <c r="R8929" s="21">
        <v>1</v>
      </c>
      <c r="S8929" s="21">
        <v>0</v>
      </c>
      <c r="T8929" s="21">
        <v>0</v>
      </c>
      <c r="U8929" s="21">
        <v>0</v>
      </c>
      <c r="V8929" s="21">
        <v>0</v>
      </c>
      <c r="W8929" s="21">
        <v>0</v>
      </c>
      <c r="X8929" s="21">
        <v>0</v>
      </c>
      <c r="Y8929" s="21">
        <v>0</v>
      </c>
      <c r="Z8929" s="21">
        <v>0</v>
      </c>
      <c r="AA8929" s="21">
        <v>0</v>
      </c>
      <c r="AB8929" s="21">
        <v>0</v>
      </c>
      <c r="AC8929" s="21">
        <v>1</v>
      </c>
      <c r="AD8929" s="21">
        <v>0</v>
      </c>
      <c r="AE8929" s="21">
        <v>0</v>
      </c>
      <c r="AF8929" s="21">
        <v>0</v>
      </c>
      <c r="AG8929" s="21">
        <v>0</v>
      </c>
      <c r="AH8929" s="21"/>
      <c r="AI8929" s="21"/>
      <c r="AJ8929" s="21" t="s">
        <v>54</v>
      </c>
      <c r="AK8929" s="21"/>
      <c r="AL8929" s="21" t="s">
        <v>5880</v>
      </c>
      <c r="AM8929" s="21" t="s">
        <v>5881</v>
      </c>
      <c r="AN8929" s="21">
        <v>-122.478189183333</v>
      </c>
      <c r="AO8929" s="21">
        <v>37.793118249999999</v>
      </c>
      <c r="AP8929" s="21" t="s">
        <v>1915</v>
      </c>
    </row>
    <row r="8930" spans="1:42">
      <c r="A8930" s="20">
        <v>43888</v>
      </c>
      <c r="B8930" s="21">
        <v>4</v>
      </c>
      <c r="C8930" s="21">
        <v>574</v>
      </c>
      <c r="D8930" s="21">
        <v>11441</v>
      </c>
      <c r="E8930" t="s">
        <v>377</v>
      </c>
      <c r="F8930" s="21" t="s">
        <v>436</v>
      </c>
      <c r="G8930" s="21">
        <v>1</v>
      </c>
      <c r="H8930" s="21">
        <v>49</v>
      </c>
      <c r="I8930" s="23" t="s">
        <v>5882</v>
      </c>
      <c r="J8930" s="21"/>
      <c r="K8930" s="21" t="s">
        <v>2099</v>
      </c>
      <c r="L8930" s="21"/>
      <c r="M8930" s="21"/>
      <c r="N8930" s="21" t="s">
        <v>44</v>
      </c>
      <c r="O8930" s="21">
        <f>60+21</f>
        <v>81</v>
      </c>
      <c r="P8930" s="21"/>
      <c r="Q8930" s="21">
        <f t="shared" si="185"/>
        <v>1</v>
      </c>
      <c r="R8930" s="21">
        <v>1</v>
      </c>
      <c r="S8930" s="21">
        <v>0</v>
      </c>
      <c r="T8930" s="21">
        <v>0</v>
      </c>
      <c r="U8930" s="21">
        <v>0</v>
      </c>
      <c r="V8930" s="21">
        <v>0</v>
      </c>
      <c r="W8930" s="21">
        <v>0</v>
      </c>
      <c r="X8930" s="21">
        <v>0</v>
      </c>
      <c r="Y8930" s="21">
        <v>0</v>
      </c>
      <c r="Z8930" s="21">
        <v>0</v>
      </c>
      <c r="AA8930" s="21">
        <v>0</v>
      </c>
      <c r="AB8930" s="21">
        <v>0</v>
      </c>
      <c r="AC8930" s="21">
        <v>1</v>
      </c>
      <c r="AD8930" s="21">
        <v>0</v>
      </c>
      <c r="AE8930" s="21">
        <v>0</v>
      </c>
      <c r="AF8930" s="21">
        <v>0</v>
      </c>
      <c r="AG8930" s="21">
        <v>0</v>
      </c>
      <c r="AH8930" s="21"/>
      <c r="AI8930" s="21"/>
      <c r="AJ8930" s="21" t="s">
        <v>54</v>
      </c>
      <c r="AK8930" s="21"/>
      <c r="AL8930" s="21" t="s">
        <v>5883</v>
      </c>
      <c r="AM8930" s="21" t="s">
        <v>5884</v>
      </c>
      <c r="AN8930" s="21">
        <v>-122.47810561666699</v>
      </c>
      <c r="AO8930" s="21">
        <v>37.793781350000003</v>
      </c>
      <c r="AP8930" s="21" t="s">
        <v>1915</v>
      </c>
    </row>
    <row r="8931" spans="1:42">
      <c r="A8931" s="20">
        <v>43888</v>
      </c>
      <c r="B8931" s="21">
        <v>4</v>
      </c>
      <c r="C8931" s="21">
        <v>574</v>
      </c>
      <c r="D8931" s="21">
        <v>11441</v>
      </c>
      <c r="E8931" t="s">
        <v>377</v>
      </c>
      <c r="F8931" s="21" t="s">
        <v>436</v>
      </c>
      <c r="G8931" s="21">
        <v>1</v>
      </c>
      <c r="H8931" s="21">
        <v>50</v>
      </c>
      <c r="I8931" s="23" t="s">
        <v>3317</v>
      </c>
      <c r="J8931" s="21"/>
      <c r="K8931" s="21" t="s">
        <v>2099</v>
      </c>
      <c r="L8931" s="21"/>
      <c r="M8931" s="21"/>
      <c r="N8931" s="21" t="s">
        <v>44</v>
      </c>
      <c r="O8931" s="21">
        <f>60+26</f>
        <v>86</v>
      </c>
      <c r="P8931" s="21"/>
      <c r="Q8931" s="21">
        <f t="shared" si="185"/>
        <v>1</v>
      </c>
      <c r="R8931" s="21">
        <v>1</v>
      </c>
      <c r="S8931" s="21">
        <v>0</v>
      </c>
      <c r="T8931" s="21">
        <v>0</v>
      </c>
      <c r="U8931" s="21">
        <v>0</v>
      </c>
      <c r="V8931" s="21">
        <v>0</v>
      </c>
      <c r="W8931" s="21">
        <v>0</v>
      </c>
      <c r="X8931" s="21">
        <v>0</v>
      </c>
      <c r="Y8931" s="21">
        <v>0</v>
      </c>
      <c r="Z8931" s="21">
        <v>0</v>
      </c>
      <c r="AA8931" s="21">
        <v>0</v>
      </c>
      <c r="AB8931" s="21">
        <v>1</v>
      </c>
      <c r="AC8931" s="21">
        <v>0</v>
      </c>
      <c r="AD8931" s="21">
        <v>0</v>
      </c>
      <c r="AE8931" s="21">
        <v>0</v>
      </c>
      <c r="AF8931" s="21">
        <v>0</v>
      </c>
      <c r="AG8931" s="21">
        <v>0</v>
      </c>
      <c r="AH8931" s="21"/>
      <c r="AI8931" s="21"/>
      <c r="AJ8931" s="21" t="s">
        <v>54</v>
      </c>
      <c r="AK8931" s="21"/>
      <c r="AL8931" s="21" t="s">
        <v>5883</v>
      </c>
      <c r="AM8931" s="21" t="s">
        <v>5885</v>
      </c>
      <c r="AN8931" s="21">
        <v>-122.476469033333</v>
      </c>
      <c r="AO8931" s="21">
        <v>37.791764283333301</v>
      </c>
      <c r="AP8931" s="21" t="s">
        <v>1915</v>
      </c>
    </row>
    <row r="8932" spans="1:42">
      <c r="A8932" s="20">
        <v>43888</v>
      </c>
      <c r="B8932" s="21">
        <v>4</v>
      </c>
      <c r="C8932" s="21">
        <v>574</v>
      </c>
      <c r="D8932" s="21">
        <v>11441</v>
      </c>
      <c r="E8932" t="s">
        <v>377</v>
      </c>
      <c r="F8932" s="21" t="s">
        <v>436</v>
      </c>
      <c r="G8932" s="21">
        <v>1</v>
      </c>
      <c r="H8932" s="21">
        <v>51</v>
      </c>
      <c r="I8932" s="23" t="s">
        <v>4793</v>
      </c>
      <c r="J8932" s="21"/>
      <c r="K8932" s="21" t="s">
        <v>2099</v>
      </c>
      <c r="L8932" s="21"/>
      <c r="M8932" s="21"/>
      <c r="N8932" s="21" t="s">
        <v>44</v>
      </c>
      <c r="O8932" s="21">
        <v>71</v>
      </c>
      <c r="P8932" s="21"/>
      <c r="Q8932" s="21">
        <f t="shared" si="185"/>
        <v>1</v>
      </c>
      <c r="R8932" s="21">
        <v>1</v>
      </c>
      <c r="S8932" s="21">
        <v>0</v>
      </c>
      <c r="T8932" s="21">
        <v>0</v>
      </c>
      <c r="U8932" s="21">
        <v>0</v>
      </c>
      <c r="V8932" s="21">
        <v>0</v>
      </c>
      <c r="W8932" s="21">
        <v>0</v>
      </c>
      <c r="X8932" s="21">
        <v>0</v>
      </c>
      <c r="Y8932" s="21">
        <v>0</v>
      </c>
      <c r="Z8932" s="21">
        <v>0</v>
      </c>
      <c r="AA8932" s="21">
        <v>0</v>
      </c>
      <c r="AB8932" s="21">
        <v>1</v>
      </c>
      <c r="AC8932" s="21">
        <v>0</v>
      </c>
      <c r="AD8932" s="21">
        <v>0</v>
      </c>
      <c r="AE8932" s="21">
        <v>0</v>
      </c>
      <c r="AF8932" s="21">
        <v>0</v>
      </c>
      <c r="AG8932" s="21">
        <v>0</v>
      </c>
      <c r="AH8932" s="21"/>
      <c r="AI8932" s="21"/>
      <c r="AJ8932" s="21" t="s">
        <v>54</v>
      </c>
      <c r="AK8932" s="21"/>
      <c r="AL8932" s="21" t="s">
        <v>5883</v>
      </c>
      <c r="AM8932" s="21" t="s">
        <v>5886</v>
      </c>
      <c r="AN8932" s="21">
        <v>-122.47681198333299</v>
      </c>
      <c r="AO8932" s="21">
        <v>37.792600183333299</v>
      </c>
      <c r="AP8932" s="21" t="s">
        <v>1915</v>
      </c>
    </row>
    <row r="8933" spans="1:42">
      <c r="A8933" s="20">
        <v>43888</v>
      </c>
      <c r="B8933" s="21">
        <v>4</v>
      </c>
      <c r="C8933" s="21">
        <v>574</v>
      </c>
      <c r="D8933" s="21">
        <v>11441</v>
      </c>
      <c r="E8933" t="s">
        <v>377</v>
      </c>
      <c r="F8933" s="21" t="s">
        <v>436</v>
      </c>
      <c r="G8933" s="21">
        <v>1</v>
      </c>
      <c r="H8933" s="21">
        <v>52</v>
      </c>
      <c r="I8933" s="23" t="s">
        <v>3603</v>
      </c>
      <c r="J8933" s="21"/>
      <c r="K8933" s="21" t="s">
        <v>2099</v>
      </c>
      <c r="L8933" s="21"/>
      <c r="M8933" s="21"/>
      <c r="N8933" s="21" t="s">
        <v>44</v>
      </c>
      <c r="O8933" s="21">
        <v>62</v>
      </c>
      <c r="P8933" s="21"/>
      <c r="Q8933" s="21">
        <f t="shared" si="185"/>
        <v>1</v>
      </c>
      <c r="R8933" s="21">
        <v>1</v>
      </c>
      <c r="S8933" s="21">
        <v>0</v>
      </c>
      <c r="T8933" s="21">
        <v>0</v>
      </c>
      <c r="U8933" s="21">
        <v>0</v>
      </c>
      <c r="V8933" s="21">
        <v>0</v>
      </c>
      <c r="W8933" s="21">
        <v>0</v>
      </c>
      <c r="X8933" s="21">
        <v>0</v>
      </c>
      <c r="Y8933" s="21">
        <v>0</v>
      </c>
      <c r="Z8933" s="21">
        <v>0</v>
      </c>
      <c r="AA8933" s="21">
        <v>0</v>
      </c>
      <c r="AB8933" s="21">
        <v>1</v>
      </c>
      <c r="AC8933" s="21">
        <v>0</v>
      </c>
      <c r="AD8933" s="21">
        <v>0</v>
      </c>
      <c r="AE8933" s="21">
        <v>0</v>
      </c>
      <c r="AF8933" s="21">
        <v>0</v>
      </c>
      <c r="AG8933" s="21">
        <v>0</v>
      </c>
      <c r="AH8933" s="21"/>
      <c r="AI8933" s="21"/>
      <c r="AJ8933" s="21" t="s">
        <v>54</v>
      </c>
      <c r="AK8933" s="21"/>
      <c r="AL8933" s="21" t="s">
        <v>5883</v>
      </c>
      <c r="AM8933" s="21" t="s">
        <v>5887</v>
      </c>
      <c r="AN8933" s="21">
        <v>-122.47725611666699</v>
      </c>
      <c r="AO8933" s="21">
        <v>37.792340600000003</v>
      </c>
      <c r="AP8933" s="21" t="s">
        <v>1915</v>
      </c>
    </row>
    <row r="8934" spans="1:42">
      <c r="A8934" s="20">
        <v>43888</v>
      </c>
      <c r="B8934" s="21">
        <v>4</v>
      </c>
      <c r="C8934" s="21">
        <v>574</v>
      </c>
      <c r="D8934" s="21">
        <v>11441</v>
      </c>
      <c r="E8934" t="s">
        <v>377</v>
      </c>
      <c r="F8934" s="21" t="s">
        <v>436</v>
      </c>
      <c r="G8934" s="21">
        <v>1</v>
      </c>
      <c r="H8934" s="21">
        <v>53</v>
      </c>
      <c r="I8934" s="23" t="s">
        <v>4421</v>
      </c>
      <c r="J8934" s="21"/>
      <c r="K8934" s="21" t="s">
        <v>2099</v>
      </c>
      <c r="L8934" s="21"/>
      <c r="M8934" s="21"/>
      <c r="N8934" s="21" t="s">
        <v>44</v>
      </c>
      <c r="O8934" s="21">
        <f>60+25</f>
        <v>85</v>
      </c>
      <c r="P8934" s="21"/>
      <c r="Q8934" s="21">
        <f t="shared" si="185"/>
        <v>1</v>
      </c>
      <c r="R8934" s="21">
        <v>1</v>
      </c>
      <c r="S8934" s="21">
        <v>0</v>
      </c>
      <c r="T8934" s="21">
        <v>0</v>
      </c>
      <c r="U8934" s="21">
        <v>0</v>
      </c>
      <c r="V8934" s="21">
        <v>0</v>
      </c>
      <c r="W8934" s="21">
        <v>0</v>
      </c>
      <c r="X8934" s="21">
        <v>0</v>
      </c>
      <c r="Y8934" s="21">
        <v>0</v>
      </c>
      <c r="Z8934" s="21">
        <v>0</v>
      </c>
      <c r="AA8934" s="21">
        <v>0</v>
      </c>
      <c r="AB8934" s="21">
        <v>1</v>
      </c>
      <c r="AC8934" s="21">
        <v>0</v>
      </c>
      <c r="AD8934" s="21">
        <v>0</v>
      </c>
      <c r="AE8934" s="21">
        <v>0</v>
      </c>
      <c r="AF8934" s="21">
        <v>0</v>
      </c>
      <c r="AG8934" s="21">
        <v>0</v>
      </c>
      <c r="AH8934" s="21"/>
      <c r="AI8934" s="21"/>
      <c r="AJ8934" s="21" t="s">
        <v>54</v>
      </c>
      <c r="AK8934" s="21"/>
      <c r="AL8934" s="21" t="s">
        <v>5883</v>
      </c>
      <c r="AM8934" s="21" t="s">
        <v>5888</v>
      </c>
      <c r="AN8934" s="21">
        <v>-122.477650916667</v>
      </c>
      <c r="AO8934" s="21">
        <v>37.7921220333333</v>
      </c>
      <c r="AP8934" s="21" t="s">
        <v>1915</v>
      </c>
    </row>
    <row r="8935" spans="1:42">
      <c r="A8935" s="20">
        <v>43888</v>
      </c>
      <c r="B8935" s="21">
        <v>4</v>
      </c>
      <c r="C8935" s="21">
        <v>574</v>
      </c>
      <c r="D8935" s="21">
        <v>11441</v>
      </c>
      <c r="E8935" t="s">
        <v>377</v>
      </c>
      <c r="F8935" s="21" t="s">
        <v>436</v>
      </c>
      <c r="G8935" s="21">
        <v>1</v>
      </c>
      <c r="H8935" s="21">
        <v>54</v>
      </c>
      <c r="I8935" s="23" t="s">
        <v>3605</v>
      </c>
      <c r="J8935" s="21"/>
      <c r="K8935" s="21" t="s">
        <v>2099</v>
      </c>
      <c r="L8935" s="21"/>
      <c r="M8935" s="21"/>
      <c r="N8935" s="21" t="s">
        <v>44</v>
      </c>
      <c r="O8935" s="21">
        <f>60+42</f>
        <v>102</v>
      </c>
      <c r="P8935" s="21"/>
      <c r="Q8935" s="21">
        <f t="shared" si="185"/>
        <v>1</v>
      </c>
      <c r="R8935" s="21">
        <v>1</v>
      </c>
      <c r="S8935" s="21">
        <v>0</v>
      </c>
      <c r="T8935" s="21">
        <v>0</v>
      </c>
      <c r="U8935" s="21">
        <v>0</v>
      </c>
      <c r="V8935" s="21">
        <v>0</v>
      </c>
      <c r="W8935" s="21">
        <v>0</v>
      </c>
      <c r="X8935" s="21">
        <v>0</v>
      </c>
      <c r="Y8935" s="21">
        <v>0</v>
      </c>
      <c r="Z8935" s="21">
        <v>0</v>
      </c>
      <c r="AA8935" s="21">
        <v>0</v>
      </c>
      <c r="AB8935" s="21">
        <v>0</v>
      </c>
      <c r="AC8935" s="21">
        <v>1</v>
      </c>
      <c r="AD8935" s="21">
        <v>0</v>
      </c>
      <c r="AE8935" s="21">
        <v>0</v>
      </c>
      <c r="AF8935" s="21">
        <v>0</v>
      </c>
      <c r="AG8935" s="21">
        <v>0</v>
      </c>
      <c r="AH8935" s="21"/>
      <c r="AI8935" s="21"/>
      <c r="AJ8935" s="21" t="s">
        <v>54</v>
      </c>
      <c r="AK8935" s="21"/>
      <c r="AL8935" s="21" t="s">
        <v>5883</v>
      </c>
      <c r="AM8935" s="21" t="s">
        <v>5889</v>
      </c>
      <c r="AN8935" s="21">
        <v>-122.477247916667</v>
      </c>
      <c r="AO8935" s="21">
        <v>37.791350933333298</v>
      </c>
      <c r="AP8935" s="21" t="s">
        <v>1915</v>
      </c>
    </row>
    <row r="8936" spans="1:42">
      <c r="A8936" s="20">
        <v>43888</v>
      </c>
      <c r="B8936" s="21">
        <v>4</v>
      </c>
      <c r="C8936" s="21">
        <v>574</v>
      </c>
      <c r="D8936" s="21">
        <v>11441</v>
      </c>
      <c r="E8936" t="s">
        <v>377</v>
      </c>
      <c r="F8936" s="21" t="s">
        <v>436</v>
      </c>
      <c r="G8936" s="21">
        <v>1</v>
      </c>
      <c r="H8936" s="21">
        <v>55</v>
      </c>
      <c r="I8936" s="23" t="s">
        <v>3608</v>
      </c>
      <c r="J8936" s="21"/>
      <c r="K8936" s="21" t="s">
        <v>3641</v>
      </c>
      <c r="L8936" s="21"/>
      <c r="M8936" s="21"/>
      <c r="N8936" s="21" t="s">
        <v>44</v>
      </c>
      <c r="O8936" s="21">
        <v>55</v>
      </c>
      <c r="P8936" s="21"/>
      <c r="Q8936" s="21">
        <f t="shared" si="185"/>
        <v>1</v>
      </c>
      <c r="R8936" s="21">
        <v>1</v>
      </c>
      <c r="S8936" s="21">
        <v>0</v>
      </c>
      <c r="T8936" s="21">
        <v>0</v>
      </c>
      <c r="U8936" s="21">
        <v>0</v>
      </c>
      <c r="V8936" s="21">
        <v>0</v>
      </c>
      <c r="W8936" s="21">
        <v>0</v>
      </c>
      <c r="X8936" s="21">
        <v>0</v>
      </c>
      <c r="Y8936" s="21">
        <v>0</v>
      </c>
      <c r="Z8936" s="21">
        <v>0</v>
      </c>
      <c r="AA8936" s="21">
        <v>0</v>
      </c>
      <c r="AB8936" s="21">
        <v>1</v>
      </c>
      <c r="AC8936" s="21">
        <v>0</v>
      </c>
      <c r="AD8936" s="21">
        <v>0</v>
      </c>
      <c r="AE8936" s="21">
        <v>0</v>
      </c>
      <c r="AF8936" s="21">
        <v>0</v>
      </c>
      <c r="AG8936" s="21">
        <v>0</v>
      </c>
      <c r="AH8936" s="21"/>
      <c r="AI8936" s="21"/>
      <c r="AJ8936" s="21" t="s">
        <v>54</v>
      </c>
      <c r="AK8936" s="21"/>
      <c r="AL8936" s="21" t="s">
        <v>5883</v>
      </c>
      <c r="AM8936" s="21" t="s">
        <v>5890</v>
      </c>
      <c r="AN8936" s="21">
        <v>-122.477623266667</v>
      </c>
      <c r="AO8936" s="21">
        <v>37.791043766666697</v>
      </c>
      <c r="AP8936" s="21" t="s">
        <v>1915</v>
      </c>
    </row>
    <row r="8937" spans="1:42">
      <c r="A8937" s="20">
        <v>43888</v>
      </c>
      <c r="B8937" s="21">
        <v>4</v>
      </c>
      <c r="C8937" s="21">
        <v>574</v>
      </c>
      <c r="D8937" s="21">
        <v>11441</v>
      </c>
      <c r="E8937" t="s">
        <v>377</v>
      </c>
      <c r="F8937" s="21" t="s">
        <v>436</v>
      </c>
      <c r="G8937" s="21">
        <v>1</v>
      </c>
      <c r="H8937" s="21">
        <v>56</v>
      </c>
      <c r="I8937" s="23" t="s">
        <v>3611</v>
      </c>
      <c r="J8937" s="21"/>
      <c r="K8937" s="21" t="s">
        <v>2099</v>
      </c>
      <c r="L8937" s="21"/>
      <c r="M8937" s="21"/>
      <c r="N8937" s="21" t="s">
        <v>44</v>
      </c>
      <c r="O8937" s="21">
        <v>53</v>
      </c>
      <c r="P8937" s="21"/>
      <c r="Q8937" s="21">
        <f t="shared" si="185"/>
        <v>1</v>
      </c>
      <c r="R8937" s="21">
        <v>1</v>
      </c>
      <c r="S8937" s="21">
        <v>0</v>
      </c>
      <c r="T8937" s="21">
        <v>0</v>
      </c>
      <c r="U8937" s="21">
        <v>0</v>
      </c>
      <c r="V8937" s="21">
        <v>0</v>
      </c>
      <c r="W8937" s="21">
        <v>0</v>
      </c>
      <c r="X8937" s="21">
        <v>0</v>
      </c>
      <c r="Y8937" s="21">
        <v>0</v>
      </c>
      <c r="Z8937" s="21">
        <v>0</v>
      </c>
      <c r="AA8937" s="21">
        <v>1</v>
      </c>
      <c r="AB8937" s="21">
        <v>0</v>
      </c>
      <c r="AC8937" s="21">
        <v>0</v>
      </c>
      <c r="AD8937" s="21">
        <v>0</v>
      </c>
      <c r="AE8937" s="21">
        <v>0</v>
      </c>
      <c r="AF8937" s="21">
        <v>0</v>
      </c>
      <c r="AG8937" s="21">
        <v>0</v>
      </c>
      <c r="AH8937" s="21"/>
      <c r="AI8937" s="21"/>
      <c r="AJ8937" s="21"/>
      <c r="AK8937" s="21"/>
      <c r="AL8937" s="21"/>
      <c r="AM8937" s="21" t="s">
        <v>5891</v>
      </c>
      <c r="AN8937" s="21">
        <v>-122.477628166667</v>
      </c>
      <c r="AO8937" s="21">
        <v>37.7915547333333</v>
      </c>
      <c r="AP8937" s="21" t="s">
        <v>1915</v>
      </c>
    </row>
    <row r="8938" spans="1:42">
      <c r="A8938" s="20">
        <v>43888</v>
      </c>
      <c r="B8938" s="21">
        <v>4</v>
      </c>
      <c r="C8938" s="21">
        <v>574</v>
      </c>
      <c r="D8938" s="21">
        <v>11441</v>
      </c>
      <c r="E8938" t="s">
        <v>377</v>
      </c>
      <c r="F8938" s="21" t="s">
        <v>436</v>
      </c>
      <c r="G8938" s="21">
        <v>1</v>
      </c>
      <c r="H8938" s="21">
        <v>57</v>
      </c>
      <c r="I8938" s="23" t="s">
        <v>3614</v>
      </c>
      <c r="J8938" s="21"/>
      <c r="K8938" s="21" t="s">
        <v>2099</v>
      </c>
      <c r="L8938" s="21"/>
      <c r="M8938" s="21"/>
      <c r="N8938" s="21" t="s">
        <v>44</v>
      </c>
      <c r="O8938" s="21">
        <v>49</v>
      </c>
      <c r="P8938" s="21"/>
      <c r="Q8938" s="21">
        <f t="shared" si="185"/>
        <v>1</v>
      </c>
      <c r="R8938" s="21">
        <v>1</v>
      </c>
      <c r="S8938" s="21">
        <v>0</v>
      </c>
      <c r="T8938" s="21">
        <v>0</v>
      </c>
      <c r="U8938" s="21">
        <v>0</v>
      </c>
      <c r="V8938" s="21">
        <v>0</v>
      </c>
      <c r="W8938" s="21">
        <v>0</v>
      </c>
      <c r="X8938" s="21">
        <v>0</v>
      </c>
      <c r="Y8938" s="21">
        <v>0</v>
      </c>
      <c r="Z8938" s="21">
        <v>0</v>
      </c>
      <c r="AA8938" s="21">
        <v>0</v>
      </c>
      <c r="AB8938" s="21">
        <v>1</v>
      </c>
      <c r="AC8938" s="21">
        <v>0</v>
      </c>
      <c r="AD8938" s="21">
        <v>0</v>
      </c>
      <c r="AE8938" s="21">
        <v>0</v>
      </c>
      <c r="AF8938" s="21">
        <v>0</v>
      </c>
      <c r="AG8938" s="21">
        <v>0</v>
      </c>
      <c r="AH8938" s="21"/>
      <c r="AI8938" s="21"/>
      <c r="AJ8938" s="21" t="s">
        <v>54</v>
      </c>
      <c r="AK8938" s="21"/>
      <c r="AL8938" s="21" t="s">
        <v>5883</v>
      </c>
      <c r="AM8938" s="21" t="s">
        <v>5892</v>
      </c>
      <c r="AN8938" s="21">
        <v>-122.477392333792</v>
      </c>
      <c r="AO8938" s="21">
        <v>37.790112269519803</v>
      </c>
      <c r="AP8938" s="21" t="s">
        <v>1915</v>
      </c>
    </row>
    <row r="8939" spans="1:42">
      <c r="A8939" s="20">
        <v>43888</v>
      </c>
      <c r="B8939" s="21">
        <v>4</v>
      </c>
      <c r="C8939" s="21">
        <v>574</v>
      </c>
      <c r="D8939" s="21">
        <v>11441</v>
      </c>
      <c r="E8939" t="s">
        <v>377</v>
      </c>
      <c r="F8939" s="21" t="s">
        <v>436</v>
      </c>
      <c r="G8939" s="21">
        <v>1</v>
      </c>
      <c r="H8939" s="21">
        <v>58</v>
      </c>
      <c r="I8939" s="23" t="s">
        <v>3337</v>
      </c>
      <c r="J8939" s="21"/>
      <c r="K8939" s="21" t="s">
        <v>2099</v>
      </c>
      <c r="L8939" s="21"/>
      <c r="M8939" s="21"/>
      <c r="N8939" s="21" t="s">
        <v>44</v>
      </c>
      <c r="O8939" s="21">
        <v>69</v>
      </c>
      <c r="P8939" s="21"/>
      <c r="Q8939" s="21">
        <f t="shared" si="185"/>
        <v>1</v>
      </c>
      <c r="R8939" s="21">
        <v>1</v>
      </c>
      <c r="S8939" s="21">
        <v>0</v>
      </c>
      <c r="T8939" s="21">
        <v>0</v>
      </c>
      <c r="U8939" s="21">
        <v>0</v>
      </c>
      <c r="V8939" s="21">
        <v>0</v>
      </c>
      <c r="W8939" s="21">
        <v>0</v>
      </c>
      <c r="X8939" s="21">
        <v>0</v>
      </c>
      <c r="Y8939" s="21">
        <v>0</v>
      </c>
      <c r="Z8939" s="21">
        <v>0</v>
      </c>
      <c r="AA8939" s="21">
        <v>0</v>
      </c>
      <c r="AB8939" s="21">
        <v>1</v>
      </c>
      <c r="AC8939" s="21">
        <v>0</v>
      </c>
      <c r="AD8939" s="21">
        <v>0</v>
      </c>
      <c r="AE8939" s="21">
        <v>0</v>
      </c>
      <c r="AF8939" s="21">
        <v>0</v>
      </c>
      <c r="AG8939" s="21">
        <v>0</v>
      </c>
      <c r="AH8939" s="21"/>
      <c r="AI8939" s="21"/>
      <c r="AJ8939" s="21" t="s">
        <v>54</v>
      </c>
      <c r="AK8939" s="21"/>
      <c r="AL8939" s="21" t="s">
        <v>5883</v>
      </c>
      <c r="AM8939" s="21" t="s">
        <v>5893</v>
      </c>
      <c r="AN8939" s="21">
        <v>-122.477805183333</v>
      </c>
      <c r="AO8939" s="21">
        <v>37.791929133333298</v>
      </c>
      <c r="AP8939" s="21" t="s">
        <v>1915</v>
      </c>
    </row>
    <row r="8940" spans="1:42">
      <c r="A8940" s="20">
        <v>43888</v>
      </c>
      <c r="B8940" s="21">
        <v>4</v>
      </c>
      <c r="C8940" s="21">
        <v>574</v>
      </c>
      <c r="D8940" s="21">
        <v>11441</v>
      </c>
      <c r="E8940" t="s">
        <v>377</v>
      </c>
      <c r="F8940" s="21" t="s">
        <v>436</v>
      </c>
      <c r="G8940" s="21">
        <v>1</v>
      </c>
      <c r="H8940" s="21">
        <v>59</v>
      </c>
      <c r="I8940" s="23" t="s">
        <v>3618</v>
      </c>
      <c r="J8940" s="21"/>
      <c r="K8940" s="21" t="s">
        <v>3626</v>
      </c>
      <c r="L8940" s="21"/>
      <c r="M8940" s="21"/>
      <c r="N8940" s="21" t="s">
        <v>44</v>
      </c>
      <c r="O8940" s="21">
        <v>69</v>
      </c>
      <c r="P8940" s="21"/>
      <c r="Q8940" s="21">
        <f t="shared" si="185"/>
        <v>1</v>
      </c>
      <c r="R8940" s="21">
        <v>1</v>
      </c>
      <c r="S8940" s="21">
        <v>0</v>
      </c>
      <c r="T8940" s="21">
        <v>0</v>
      </c>
      <c r="U8940" s="21">
        <v>0</v>
      </c>
      <c r="V8940" s="21">
        <v>0</v>
      </c>
      <c r="W8940" s="21">
        <v>0</v>
      </c>
      <c r="X8940" s="21">
        <v>0</v>
      </c>
      <c r="Y8940" s="21">
        <v>0</v>
      </c>
      <c r="Z8940" s="21">
        <v>0</v>
      </c>
      <c r="AA8940" s="21">
        <v>0</v>
      </c>
      <c r="AB8940" s="21">
        <v>1</v>
      </c>
      <c r="AC8940" s="21">
        <v>0</v>
      </c>
      <c r="AD8940" s="21">
        <v>0</v>
      </c>
      <c r="AE8940" s="21">
        <v>0</v>
      </c>
      <c r="AF8940" s="21">
        <v>0</v>
      </c>
      <c r="AG8940" s="21">
        <v>0</v>
      </c>
      <c r="AH8940" s="21"/>
      <c r="AI8940" s="21"/>
      <c r="AJ8940" s="21" t="s">
        <v>54</v>
      </c>
      <c r="AK8940" s="21"/>
      <c r="AL8940" s="21" t="s">
        <v>5883</v>
      </c>
      <c r="AM8940" s="21" t="s">
        <v>5894</v>
      </c>
      <c r="AN8940" s="21">
        <v>-122.47838108333301</v>
      </c>
      <c r="AO8940" s="21">
        <v>37.791335383333298</v>
      </c>
      <c r="AP8940" s="21" t="s">
        <v>1915</v>
      </c>
    </row>
    <row r="8941" spans="1:42">
      <c r="A8941" s="20">
        <v>43888</v>
      </c>
      <c r="B8941" s="21">
        <v>4</v>
      </c>
      <c r="C8941" s="21">
        <v>574</v>
      </c>
      <c r="D8941" s="21">
        <v>11441</v>
      </c>
      <c r="E8941" t="s">
        <v>377</v>
      </c>
      <c r="F8941" s="21" t="s">
        <v>436</v>
      </c>
      <c r="G8941" s="21">
        <v>1</v>
      </c>
      <c r="H8941" s="21">
        <v>60</v>
      </c>
      <c r="I8941" s="23" t="s">
        <v>5895</v>
      </c>
      <c r="J8941" s="21"/>
      <c r="K8941" s="21" t="s">
        <v>3626</v>
      </c>
      <c r="L8941" s="21"/>
      <c r="M8941" s="21"/>
      <c r="N8941" s="21" t="s">
        <v>44</v>
      </c>
      <c r="O8941" s="21">
        <v>68</v>
      </c>
      <c r="P8941" s="21"/>
      <c r="Q8941" s="21">
        <f t="shared" si="185"/>
        <v>1</v>
      </c>
      <c r="R8941" s="21">
        <v>1</v>
      </c>
      <c r="S8941" s="21">
        <v>0</v>
      </c>
      <c r="T8941" s="21">
        <v>0</v>
      </c>
      <c r="U8941" s="21">
        <v>0</v>
      </c>
      <c r="V8941" s="21">
        <v>0</v>
      </c>
      <c r="W8941" s="21">
        <v>0</v>
      </c>
      <c r="X8941" s="21">
        <v>0</v>
      </c>
      <c r="Y8941" s="21">
        <v>0</v>
      </c>
      <c r="Z8941" s="21">
        <v>0</v>
      </c>
      <c r="AA8941" s="21">
        <v>0</v>
      </c>
      <c r="AB8941" s="21">
        <v>0</v>
      </c>
      <c r="AC8941" s="21">
        <v>1</v>
      </c>
      <c r="AD8941" s="21">
        <v>0</v>
      </c>
      <c r="AE8941" s="21">
        <v>0</v>
      </c>
      <c r="AF8941" s="21">
        <v>0</v>
      </c>
      <c r="AG8941" s="21">
        <v>0</v>
      </c>
      <c r="AH8941" s="21"/>
      <c r="AI8941" s="21"/>
      <c r="AJ8941" s="21" t="s">
        <v>54</v>
      </c>
      <c r="AK8941" s="21"/>
      <c r="AL8941" s="21" t="s">
        <v>5883</v>
      </c>
      <c r="AM8941" s="21" t="s">
        <v>5896</v>
      </c>
      <c r="AN8941" s="21">
        <v>-122.4789732</v>
      </c>
      <c r="AO8941" s="21">
        <v>37.792925716666701</v>
      </c>
      <c r="AP8941" s="21" t="s">
        <v>1915</v>
      </c>
    </row>
    <row r="8942" spans="1:42">
      <c r="A8942" s="20">
        <v>43888</v>
      </c>
      <c r="B8942" s="21">
        <v>4</v>
      </c>
      <c r="C8942" s="21">
        <v>574</v>
      </c>
      <c r="D8942" s="21">
        <v>11441</v>
      </c>
      <c r="E8942" t="s">
        <v>377</v>
      </c>
      <c r="F8942" s="21" t="s">
        <v>436</v>
      </c>
      <c r="G8942" s="21">
        <v>1</v>
      </c>
      <c r="H8942" s="21">
        <v>61</v>
      </c>
      <c r="I8942" s="23" t="s">
        <v>3635</v>
      </c>
      <c r="J8942" s="21"/>
      <c r="K8942" s="21" t="s">
        <v>3626</v>
      </c>
      <c r="L8942" s="21"/>
      <c r="M8942" s="21"/>
      <c r="N8942" s="21" t="s">
        <v>44</v>
      </c>
      <c r="O8942" s="21">
        <v>93</v>
      </c>
      <c r="P8942" s="21"/>
      <c r="Q8942" s="21">
        <f t="shared" si="185"/>
        <v>1</v>
      </c>
      <c r="R8942" s="21">
        <v>1</v>
      </c>
      <c r="S8942" s="21">
        <v>0</v>
      </c>
      <c r="T8942" s="21">
        <v>0</v>
      </c>
      <c r="U8942" s="21">
        <v>0</v>
      </c>
      <c r="V8942" s="21">
        <v>0</v>
      </c>
      <c r="W8942" s="21">
        <v>0</v>
      </c>
      <c r="X8942" s="21">
        <v>0</v>
      </c>
      <c r="Y8942" s="21">
        <v>0</v>
      </c>
      <c r="Z8942" s="21">
        <v>0</v>
      </c>
      <c r="AA8942" s="21">
        <v>0</v>
      </c>
      <c r="AB8942" s="21">
        <v>0</v>
      </c>
      <c r="AC8942" s="21">
        <v>1</v>
      </c>
      <c r="AD8942" s="21">
        <v>0</v>
      </c>
      <c r="AE8942" s="21">
        <v>0</v>
      </c>
      <c r="AF8942" s="21">
        <v>0</v>
      </c>
      <c r="AG8942" s="21">
        <v>0</v>
      </c>
      <c r="AH8942" s="21"/>
      <c r="AI8942" s="21"/>
      <c r="AJ8942" s="21"/>
      <c r="AK8942" s="21"/>
      <c r="AL8942" s="21"/>
      <c r="AM8942" s="21" t="s">
        <v>5897</v>
      </c>
      <c r="AN8942" s="21">
        <v>-122.48026666503701</v>
      </c>
      <c r="AO8942" s="21">
        <v>37.794786254140803</v>
      </c>
      <c r="AP8942" s="21" t="s">
        <v>1915</v>
      </c>
    </row>
    <row r="8943" spans="1:42">
      <c r="A8943" s="20">
        <v>43888</v>
      </c>
      <c r="B8943" s="21">
        <v>4</v>
      </c>
      <c r="C8943" s="21">
        <v>574</v>
      </c>
      <c r="D8943" s="21">
        <v>11441</v>
      </c>
      <c r="E8943" t="s">
        <v>377</v>
      </c>
      <c r="F8943" s="21" t="s">
        <v>436</v>
      </c>
      <c r="G8943" s="21">
        <v>1</v>
      </c>
      <c r="H8943" s="21">
        <v>62</v>
      </c>
      <c r="I8943" s="23" t="s">
        <v>3638</v>
      </c>
      <c r="J8943" s="21"/>
      <c r="K8943" s="21" t="s">
        <v>3626</v>
      </c>
      <c r="L8943" s="21" t="s">
        <v>141</v>
      </c>
      <c r="M8943" s="21"/>
      <c r="N8943" s="21" t="s">
        <v>44</v>
      </c>
      <c r="O8943" s="21">
        <v>129</v>
      </c>
      <c r="P8943" s="21"/>
      <c r="Q8943" s="21">
        <f t="shared" si="185"/>
        <v>1</v>
      </c>
      <c r="R8943" s="21">
        <v>1</v>
      </c>
      <c r="S8943" s="21">
        <v>0</v>
      </c>
      <c r="T8943" s="21">
        <v>0</v>
      </c>
      <c r="U8943" s="21">
        <v>0</v>
      </c>
      <c r="V8943" s="21">
        <v>0</v>
      </c>
      <c r="W8943" s="21">
        <v>0</v>
      </c>
      <c r="X8943" s="21">
        <v>0</v>
      </c>
      <c r="Y8943" s="21">
        <v>0</v>
      </c>
      <c r="Z8943" s="21">
        <v>0</v>
      </c>
      <c r="AA8943" s="21">
        <v>0</v>
      </c>
      <c r="AB8943" s="21">
        <v>1</v>
      </c>
      <c r="AC8943" s="21">
        <v>0</v>
      </c>
      <c r="AD8943" s="21">
        <v>0</v>
      </c>
      <c r="AE8943" s="21">
        <v>0</v>
      </c>
      <c r="AF8943" s="21">
        <v>0</v>
      </c>
      <c r="AG8943" s="21">
        <v>0</v>
      </c>
      <c r="AH8943" s="21"/>
      <c r="AI8943" s="21"/>
      <c r="AJ8943" s="21" t="s">
        <v>54</v>
      </c>
      <c r="AK8943" s="21"/>
      <c r="AL8943" s="21" t="s">
        <v>5883</v>
      </c>
      <c r="AM8943" s="21" t="s">
        <v>5898</v>
      </c>
      <c r="AN8943" s="21">
        <v>-122.479719316667</v>
      </c>
      <c r="AO8943" s="21">
        <v>37.793458233333297</v>
      </c>
      <c r="AP8943" s="21" t="s">
        <v>1915</v>
      </c>
    </row>
    <row r="8944" spans="1:42">
      <c r="A8944" s="20">
        <v>43888</v>
      </c>
      <c r="B8944" s="21">
        <v>4</v>
      </c>
      <c r="C8944" s="21">
        <v>574</v>
      </c>
      <c r="D8944" s="21">
        <v>11441</v>
      </c>
      <c r="E8944" t="s">
        <v>377</v>
      </c>
      <c r="F8944" s="21" t="s">
        <v>436</v>
      </c>
      <c r="G8944" s="21">
        <v>1</v>
      </c>
      <c r="H8944" s="21">
        <v>63</v>
      </c>
      <c r="I8944" s="23" t="s">
        <v>3633</v>
      </c>
      <c r="J8944" s="21"/>
      <c r="K8944" s="21" t="s">
        <v>3626</v>
      </c>
      <c r="L8944" s="21"/>
      <c r="M8944" s="21"/>
      <c r="N8944" s="21" t="s">
        <v>44</v>
      </c>
      <c r="O8944" s="21">
        <v>71</v>
      </c>
      <c r="P8944" s="21"/>
      <c r="Q8944" s="21">
        <f t="shared" si="185"/>
        <v>1</v>
      </c>
      <c r="R8944" s="21">
        <v>1</v>
      </c>
      <c r="S8944" s="21">
        <v>0</v>
      </c>
      <c r="T8944" s="21">
        <v>0</v>
      </c>
      <c r="U8944" s="21">
        <v>0</v>
      </c>
      <c r="V8944" s="21">
        <v>0</v>
      </c>
      <c r="W8944" s="21">
        <v>0</v>
      </c>
      <c r="X8944" s="21">
        <v>0</v>
      </c>
      <c r="Y8944" s="21">
        <v>0</v>
      </c>
      <c r="Z8944" s="21">
        <v>0</v>
      </c>
      <c r="AA8944" s="21">
        <v>0</v>
      </c>
      <c r="AB8944" s="21">
        <v>1</v>
      </c>
      <c r="AC8944" s="21">
        <v>0</v>
      </c>
      <c r="AD8944" s="21">
        <v>0</v>
      </c>
      <c r="AE8944" s="21">
        <v>0</v>
      </c>
      <c r="AF8944" s="21">
        <v>0</v>
      </c>
      <c r="AG8944" s="21">
        <v>0</v>
      </c>
      <c r="AH8944" s="21"/>
      <c r="AI8944" s="21"/>
      <c r="AJ8944" s="21" t="s">
        <v>54</v>
      </c>
      <c r="AK8944" s="21"/>
      <c r="AL8944" s="21" t="s">
        <v>5883</v>
      </c>
      <c r="AM8944" s="21" t="s">
        <v>5899</v>
      </c>
      <c r="AN8944" s="21">
        <v>-122.48043148333301</v>
      </c>
      <c r="AO8944" s="21">
        <v>37.793038500000002</v>
      </c>
      <c r="AP8944" s="21" t="s">
        <v>1915</v>
      </c>
    </row>
    <row r="8945" spans="1:42">
      <c r="A8945" s="20">
        <v>43888</v>
      </c>
      <c r="B8945" s="21">
        <v>4</v>
      </c>
      <c r="C8945" s="21">
        <v>574</v>
      </c>
      <c r="D8945" s="21">
        <v>11441</v>
      </c>
      <c r="E8945" t="s">
        <v>377</v>
      </c>
      <c r="F8945" s="21" t="s">
        <v>436</v>
      </c>
      <c r="G8945" s="21">
        <v>1</v>
      </c>
      <c r="H8945" s="21">
        <v>64</v>
      </c>
      <c r="I8945" s="23" t="s">
        <v>3635</v>
      </c>
      <c r="J8945" s="21"/>
      <c r="K8945" s="21" t="s">
        <v>3626</v>
      </c>
      <c r="L8945" s="21"/>
      <c r="M8945" s="21"/>
      <c r="N8945" s="21" t="s">
        <v>44</v>
      </c>
      <c r="O8945" s="21">
        <f>60+43</f>
        <v>103</v>
      </c>
      <c r="P8945" s="21"/>
      <c r="Q8945" s="21">
        <f t="shared" si="185"/>
        <v>1</v>
      </c>
      <c r="R8945" s="21">
        <v>1</v>
      </c>
      <c r="S8945" s="21">
        <v>0</v>
      </c>
      <c r="T8945" s="21">
        <v>0</v>
      </c>
      <c r="U8945" s="21">
        <v>0</v>
      </c>
      <c r="V8945" s="21">
        <v>0</v>
      </c>
      <c r="W8945" s="21">
        <v>0</v>
      </c>
      <c r="X8945" s="21">
        <v>0</v>
      </c>
      <c r="Y8945" s="21">
        <v>0</v>
      </c>
      <c r="Z8945" s="21">
        <v>0</v>
      </c>
      <c r="AA8945" s="21">
        <v>0</v>
      </c>
      <c r="AB8945" s="21">
        <v>0</v>
      </c>
      <c r="AC8945" s="21">
        <v>1</v>
      </c>
      <c r="AD8945" s="21">
        <v>0</v>
      </c>
      <c r="AE8945" s="21">
        <v>0</v>
      </c>
      <c r="AF8945" s="21">
        <v>0</v>
      </c>
      <c r="AG8945" s="21">
        <v>0</v>
      </c>
      <c r="AH8945" s="21"/>
      <c r="AI8945" s="21"/>
      <c r="AJ8945" s="21" t="s">
        <v>54</v>
      </c>
      <c r="AK8945" s="21"/>
      <c r="AL8945" s="21"/>
      <c r="AM8945" s="21" t="s">
        <v>5900</v>
      </c>
      <c r="AN8945" s="21">
        <v>-122.479979266667</v>
      </c>
      <c r="AO8945" s="21">
        <v>37.792636233333297</v>
      </c>
      <c r="AP8945" s="21" t="s">
        <v>1915</v>
      </c>
    </row>
    <row r="8946" spans="1:42">
      <c r="A8946" s="20">
        <v>43888</v>
      </c>
      <c r="B8946" s="21">
        <v>4</v>
      </c>
      <c r="C8946" s="21">
        <v>574</v>
      </c>
      <c r="D8946" s="21">
        <v>11441</v>
      </c>
      <c r="E8946" t="s">
        <v>377</v>
      </c>
      <c r="F8946" s="21" t="s">
        <v>436</v>
      </c>
      <c r="G8946" s="21">
        <v>1</v>
      </c>
      <c r="H8946" s="21">
        <v>65</v>
      </c>
      <c r="I8946" s="23" t="s">
        <v>5901</v>
      </c>
      <c r="J8946" s="21"/>
      <c r="K8946" s="21" t="s">
        <v>2099</v>
      </c>
      <c r="L8946" s="21"/>
      <c r="M8946" s="21"/>
      <c r="N8946" s="21" t="s">
        <v>44</v>
      </c>
      <c r="O8946" s="21">
        <v>56</v>
      </c>
      <c r="P8946" s="21"/>
      <c r="Q8946" s="21">
        <f t="shared" si="185"/>
        <v>1</v>
      </c>
      <c r="R8946" s="21">
        <v>1</v>
      </c>
      <c r="S8946" s="21">
        <v>0</v>
      </c>
      <c r="T8946" s="21">
        <v>0</v>
      </c>
      <c r="U8946" s="21">
        <v>0</v>
      </c>
      <c r="V8946" s="21">
        <v>0</v>
      </c>
      <c r="W8946" s="21">
        <v>0</v>
      </c>
      <c r="X8946" s="21">
        <v>0</v>
      </c>
      <c r="Y8946" s="21">
        <v>0</v>
      </c>
      <c r="Z8946" s="21">
        <v>0</v>
      </c>
      <c r="AA8946" s="21">
        <v>0</v>
      </c>
      <c r="AB8946" s="21">
        <v>0</v>
      </c>
      <c r="AC8946" s="21">
        <v>1</v>
      </c>
      <c r="AD8946" s="21">
        <v>0</v>
      </c>
      <c r="AE8946" s="21">
        <v>0</v>
      </c>
      <c r="AF8946" s="21">
        <v>0</v>
      </c>
      <c r="AG8946" s="21">
        <v>0</v>
      </c>
      <c r="AH8946" s="21"/>
      <c r="AI8946" s="21"/>
      <c r="AJ8946" s="21"/>
      <c r="AK8946" s="21"/>
      <c r="AL8946" s="21"/>
      <c r="AM8946" s="21" t="s">
        <v>5902</v>
      </c>
      <c r="AN8946" s="21">
        <v>-122.478751883333</v>
      </c>
      <c r="AO8946" s="21">
        <v>37.792196766666699</v>
      </c>
      <c r="AP8946" s="21" t="s">
        <v>1915</v>
      </c>
    </row>
    <row r="8947" spans="1:42">
      <c r="A8947" s="20">
        <v>43888</v>
      </c>
      <c r="B8947" s="21">
        <v>4</v>
      </c>
      <c r="C8947" s="21">
        <v>574</v>
      </c>
      <c r="D8947" s="21">
        <v>11441</v>
      </c>
      <c r="E8947" t="s">
        <v>377</v>
      </c>
      <c r="F8947" s="21" t="s">
        <v>436</v>
      </c>
      <c r="G8947" s="21">
        <v>1</v>
      </c>
      <c r="H8947" s="21">
        <v>66</v>
      </c>
      <c r="I8947" s="23" t="s">
        <v>3643</v>
      </c>
      <c r="J8947" s="21"/>
      <c r="K8947" s="21" t="s">
        <v>2099</v>
      </c>
      <c r="L8947" s="21"/>
      <c r="M8947" s="21"/>
      <c r="N8947" s="21" t="s">
        <v>44</v>
      </c>
      <c r="O8947" s="21">
        <v>71</v>
      </c>
      <c r="P8947" s="21"/>
      <c r="Q8947" s="21">
        <f t="shared" ref="Q8947:Q8956" si="186">SUM(S8947:AE8947)</f>
        <v>1</v>
      </c>
      <c r="R8947" s="21">
        <v>1</v>
      </c>
      <c r="S8947" s="21">
        <v>0</v>
      </c>
      <c r="T8947" s="21">
        <v>0</v>
      </c>
      <c r="U8947" s="21">
        <v>0</v>
      </c>
      <c r="V8947" s="21">
        <v>0</v>
      </c>
      <c r="W8947" s="21">
        <v>0</v>
      </c>
      <c r="X8947" s="21">
        <v>0</v>
      </c>
      <c r="Y8947" s="21">
        <v>0</v>
      </c>
      <c r="Z8947" s="21">
        <v>0</v>
      </c>
      <c r="AA8947" s="21">
        <v>0</v>
      </c>
      <c r="AB8947" s="21">
        <v>1</v>
      </c>
      <c r="AC8947" s="21">
        <v>0</v>
      </c>
      <c r="AD8947" s="21">
        <v>0</v>
      </c>
      <c r="AE8947" s="21">
        <v>0</v>
      </c>
      <c r="AF8947" s="21">
        <v>0</v>
      </c>
      <c r="AG8947" s="21">
        <v>0</v>
      </c>
      <c r="AH8947" s="21"/>
      <c r="AI8947" s="21"/>
      <c r="AJ8947" s="21" t="s">
        <v>54</v>
      </c>
      <c r="AK8947" s="21"/>
      <c r="AL8947" s="21" t="s">
        <v>5883</v>
      </c>
      <c r="AM8947" s="21" t="s">
        <v>5903</v>
      </c>
      <c r="AN8947" s="21">
        <v>-122.478947083333</v>
      </c>
      <c r="AO8947" s="21">
        <v>37.7910993666667</v>
      </c>
      <c r="AP8947" s="21" t="s">
        <v>1915</v>
      </c>
    </row>
    <row r="8948" spans="1:42">
      <c r="A8948" s="20">
        <v>43888</v>
      </c>
      <c r="B8948" s="21">
        <v>4</v>
      </c>
      <c r="C8948" s="21">
        <v>574</v>
      </c>
      <c r="D8948" s="21">
        <v>11441</v>
      </c>
      <c r="E8948" t="s">
        <v>377</v>
      </c>
      <c r="F8948" s="21" t="s">
        <v>436</v>
      </c>
      <c r="G8948" s="21">
        <v>1</v>
      </c>
      <c r="H8948" s="21">
        <v>67</v>
      </c>
      <c r="I8948" s="23" t="s">
        <v>3643</v>
      </c>
      <c r="J8948" s="21"/>
      <c r="K8948" s="21" t="s">
        <v>2099</v>
      </c>
      <c r="L8948" s="21"/>
      <c r="M8948" s="21"/>
      <c r="N8948" s="21" t="s">
        <v>44</v>
      </c>
      <c r="O8948" s="21">
        <v>62</v>
      </c>
      <c r="P8948" s="21"/>
      <c r="Q8948" s="21">
        <f t="shared" si="186"/>
        <v>1</v>
      </c>
      <c r="R8948" s="21">
        <v>1</v>
      </c>
      <c r="S8948" s="21">
        <v>0</v>
      </c>
      <c r="T8948" s="21">
        <v>0</v>
      </c>
      <c r="U8948" s="21">
        <v>0</v>
      </c>
      <c r="V8948" s="21">
        <v>0</v>
      </c>
      <c r="W8948" s="21">
        <v>0</v>
      </c>
      <c r="X8948" s="21">
        <v>0</v>
      </c>
      <c r="Y8948" s="21">
        <v>0</v>
      </c>
      <c r="Z8948" s="21">
        <v>0</v>
      </c>
      <c r="AA8948" s="21">
        <v>0</v>
      </c>
      <c r="AB8948" s="21">
        <v>1</v>
      </c>
      <c r="AC8948" s="21">
        <v>0</v>
      </c>
      <c r="AD8948" s="21">
        <v>0</v>
      </c>
      <c r="AE8948" s="21">
        <v>0</v>
      </c>
      <c r="AF8948" s="21">
        <v>0</v>
      </c>
      <c r="AG8948" s="21">
        <v>0</v>
      </c>
      <c r="AH8948" s="21"/>
      <c r="AI8948" s="21"/>
      <c r="AJ8948" s="21"/>
      <c r="AK8948" s="21"/>
      <c r="AL8948" s="21"/>
      <c r="AM8948" s="21" t="s">
        <v>5904</v>
      </c>
      <c r="AN8948" s="21">
        <v>-122.479258733333</v>
      </c>
      <c r="AO8948" s="21">
        <v>37.792177133333297</v>
      </c>
      <c r="AP8948" s="21" t="s">
        <v>1915</v>
      </c>
    </row>
    <row r="8949" spans="1:42">
      <c r="A8949" s="20">
        <v>43888</v>
      </c>
      <c r="B8949" s="21">
        <v>4</v>
      </c>
      <c r="C8949" s="21">
        <v>574</v>
      </c>
      <c r="D8949" s="21">
        <v>11441</v>
      </c>
      <c r="E8949" t="s">
        <v>377</v>
      </c>
      <c r="F8949" s="21" t="s">
        <v>436</v>
      </c>
      <c r="G8949" s="21">
        <v>1</v>
      </c>
      <c r="H8949" s="21">
        <v>68</v>
      </c>
      <c r="I8949" s="23" t="s">
        <v>3645</v>
      </c>
      <c r="J8949" s="21"/>
      <c r="K8949" s="21" t="s">
        <v>2099</v>
      </c>
      <c r="L8949" s="21"/>
      <c r="M8949" s="21"/>
      <c r="N8949" s="21" t="s">
        <v>44</v>
      </c>
      <c r="O8949" s="21">
        <v>66</v>
      </c>
      <c r="P8949" s="21"/>
      <c r="Q8949" s="21">
        <f t="shared" si="186"/>
        <v>1</v>
      </c>
      <c r="R8949" s="21">
        <v>1</v>
      </c>
      <c r="S8949" s="21">
        <v>0</v>
      </c>
      <c r="T8949" s="21">
        <v>0</v>
      </c>
      <c r="U8949" s="21">
        <v>0</v>
      </c>
      <c r="V8949" s="21">
        <v>0</v>
      </c>
      <c r="W8949" s="21">
        <v>0</v>
      </c>
      <c r="X8949" s="21">
        <v>0</v>
      </c>
      <c r="Y8949" s="21">
        <v>0</v>
      </c>
      <c r="Z8949" s="21">
        <v>0</v>
      </c>
      <c r="AA8949" s="21">
        <v>0</v>
      </c>
      <c r="AB8949" s="21">
        <v>1</v>
      </c>
      <c r="AC8949" s="21">
        <v>0</v>
      </c>
      <c r="AD8949" s="21">
        <v>0</v>
      </c>
      <c r="AE8949" s="21">
        <v>0</v>
      </c>
      <c r="AF8949" s="21">
        <v>0</v>
      </c>
      <c r="AG8949" s="21">
        <v>0</v>
      </c>
      <c r="AH8949" s="21"/>
      <c r="AI8949" s="21"/>
      <c r="AJ8949" s="21"/>
      <c r="AK8949" s="21"/>
      <c r="AL8949" s="21" t="s">
        <v>5883</v>
      </c>
      <c r="AM8949" s="21" t="s">
        <v>5905</v>
      </c>
      <c r="AN8949" s="21">
        <v>-122.479627033333</v>
      </c>
      <c r="AO8949" s="21">
        <v>37.791324316666703</v>
      </c>
      <c r="AP8949" s="21" t="s">
        <v>1915</v>
      </c>
    </row>
    <row r="8950" spans="1:42">
      <c r="A8950" s="20">
        <v>43888</v>
      </c>
      <c r="B8950" s="21">
        <v>4</v>
      </c>
      <c r="C8950" s="21">
        <v>574</v>
      </c>
      <c r="D8950" s="21">
        <v>11441</v>
      </c>
      <c r="E8950" t="s">
        <v>377</v>
      </c>
      <c r="F8950" s="21" t="s">
        <v>436</v>
      </c>
      <c r="G8950" s="21">
        <v>1</v>
      </c>
      <c r="H8950" s="21">
        <v>69</v>
      </c>
      <c r="I8950" s="23" t="s">
        <v>3649</v>
      </c>
      <c r="J8950" s="21"/>
      <c r="K8950" s="21" t="s">
        <v>2099</v>
      </c>
      <c r="L8950" s="21"/>
      <c r="M8950" s="21"/>
      <c r="N8950" s="21" t="s">
        <v>44</v>
      </c>
      <c r="O8950" s="21">
        <v>68</v>
      </c>
      <c r="P8950" s="21"/>
      <c r="Q8950" s="21">
        <f t="shared" si="186"/>
        <v>1</v>
      </c>
      <c r="R8950" s="21">
        <v>1</v>
      </c>
      <c r="S8950" s="21">
        <v>0</v>
      </c>
      <c r="T8950" s="21">
        <v>0</v>
      </c>
      <c r="U8950" s="21">
        <v>0</v>
      </c>
      <c r="V8950" s="21">
        <v>0</v>
      </c>
      <c r="W8950" s="21">
        <v>0</v>
      </c>
      <c r="X8950" s="21">
        <v>0</v>
      </c>
      <c r="Y8950" s="21">
        <v>0</v>
      </c>
      <c r="Z8950" s="21">
        <v>0</v>
      </c>
      <c r="AA8950" s="21">
        <v>1</v>
      </c>
      <c r="AB8950" s="21">
        <v>0</v>
      </c>
      <c r="AC8950" s="21">
        <v>0</v>
      </c>
      <c r="AD8950" s="21">
        <v>0</v>
      </c>
      <c r="AE8950" s="21">
        <v>0</v>
      </c>
      <c r="AF8950" s="21">
        <v>0</v>
      </c>
      <c r="AG8950" s="21">
        <v>0</v>
      </c>
      <c r="AH8950" s="21"/>
      <c r="AI8950" s="21"/>
      <c r="AJ8950" s="21" t="s">
        <v>54</v>
      </c>
      <c r="AK8950" s="21"/>
      <c r="AL8950" s="21" t="s">
        <v>5883</v>
      </c>
      <c r="AM8950" s="21" t="s">
        <v>5906</v>
      </c>
      <c r="AN8950" s="21">
        <v>-122.48011325</v>
      </c>
      <c r="AO8950" s="21">
        <v>37.791907899999998</v>
      </c>
      <c r="AP8950" s="21" t="s">
        <v>1915</v>
      </c>
    </row>
    <row r="8951" spans="1:42">
      <c r="A8951" s="20">
        <v>43888</v>
      </c>
      <c r="B8951" s="21">
        <v>4</v>
      </c>
      <c r="C8951" s="21">
        <v>574</v>
      </c>
      <c r="D8951" s="21">
        <v>11441</v>
      </c>
      <c r="E8951" t="s">
        <v>377</v>
      </c>
      <c r="F8951" s="21" t="s">
        <v>436</v>
      </c>
      <c r="G8951" s="21">
        <v>1</v>
      </c>
      <c r="H8951" s="21">
        <v>70</v>
      </c>
      <c r="I8951" s="23" t="s">
        <v>3915</v>
      </c>
      <c r="J8951" s="21"/>
      <c r="K8951" s="21" t="s">
        <v>2099</v>
      </c>
      <c r="L8951" s="21"/>
      <c r="M8951" s="21"/>
      <c r="N8951" s="21" t="s">
        <v>44</v>
      </c>
      <c r="O8951" s="21">
        <v>77</v>
      </c>
      <c r="P8951" s="21"/>
      <c r="Q8951" s="21">
        <f t="shared" si="186"/>
        <v>1</v>
      </c>
      <c r="R8951" s="21">
        <v>1</v>
      </c>
      <c r="S8951" s="21">
        <v>0</v>
      </c>
      <c r="T8951" s="21">
        <v>0</v>
      </c>
      <c r="U8951" s="21">
        <v>0</v>
      </c>
      <c r="V8951" s="21">
        <v>0</v>
      </c>
      <c r="W8951" s="21">
        <v>0</v>
      </c>
      <c r="X8951" s="21">
        <v>0</v>
      </c>
      <c r="Y8951" s="21">
        <v>0</v>
      </c>
      <c r="Z8951" s="21">
        <v>0</v>
      </c>
      <c r="AA8951" s="21">
        <v>0</v>
      </c>
      <c r="AB8951" s="21">
        <v>1</v>
      </c>
      <c r="AC8951" s="21">
        <v>0</v>
      </c>
      <c r="AD8951" s="21">
        <v>0</v>
      </c>
      <c r="AE8951" s="21">
        <v>0</v>
      </c>
      <c r="AF8951" s="21">
        <v>0</v>
      </c>
      <c r="AG8951" s="21">
        <v>0</v>
      </c>
      <c r="AH8951" s="21"/>
      <c r="AI8951" s="21"/>
      <c r="AJ8951" s="21" t="s">
        <v>54</v>
      </c>
      <c r="AK8951" s="21"/>
      <c r="AL8951" s="21" t="s">
        <v>5883</v>
      </c>
      <c r="AM8951" s="21" t="s">
        <v>5907</v>
      </c>
      <c r="AN8951" s="21">
        <v>-122.48005713333301</v>
      </c>
      <c r="AO8951" s="21">
        <v>37.7916168333333</v>
      </c>
      <c r="AP8951" s="21" t="s">
        <v>1915</v>
      </c>
    </row>
    <row r="8952" spans="1:42">
      <c r="A8952" s="20">
        <v>43888</v>
      </c>
      <c r="B8952" s="21">
        <v>4</v>
      </c>
      <c r="C8952" s="21">
        <v>574</v>
      </c>
      <c r="D8952" s="21">
        <v>11441</v>
      </c>
      <c r="E8952" t="s">
        <v>377</v>
      </c>
      <c r="F8952" s="21" t="s">
        <v>436</v>
      </c>
      <c r="G8952" s="21">
        <v>1</v>
      </c>
      <c r="H8952" s="21">
        <v>71</v>
      </c>
      <c r="I8952" s="23" t="s">
        <v>3647</v>
      </c>
      <c r="J8952" s="21"/>
      <c r="K8952" s="21" t="s">
        <v>2099</v>
      </c>
      <c r="L8952" s="21"/>
      <c r="M8952" s="21"/>
      <c r="N8952" s="21" t="s">
        <v>44</v>
      </c>
      <c r="O8952" s="21">
        <v>69</v>
      </c>
      <c r="P8952" s="21"/>
      <c r="Q8952" s="21">
        <f t="shared" si="186"/>
        <v>1</v>
      </c>
      <c r="R8952" s="21">
        <v>1</v>
      </c>
      <c r="S8952" s="21">
        <v>0</v>
      </c>
      <c r="T8952" s="21">
        <v>0</v>
      </c>
      <c r="U8952" s="21">
        <v>0</v>
      </c>
      <c r="V8952" s="21">
        <v>0</v>
      </c>
      <c r="W8952" s="21">
        <v>0</v>
      </c>
      <c r="X8952" s="21">
        <v>0</v>
      </c>
      <c r="Y8952" s="21">
        <v>0</v>
      </c>
      <c r="Z8952" s="21">
        <v>0</v>
      </c>
      <c r="AA8952" s="21">
        <v>0</v>
      </c>
      <c r="AB8952" s="21">
        <v>0</v>
      </c>
      <c r="AC8952" s="21">
        <v>1</v>
      </c>
      <c r="AD8952" s="21">
        <v>0</v>
      </c>
      <c r="AE8952" s="21">
        <v>0</v>
      </c>
      <c r="AF8952" s="21">
        <v>0</v>
      </c>
      <c r="AG8952" s="21">
        <v>0</v>
      </c>
      <c r="AH8952" s="21"/>
      <c r="AI8952" s="21"/>
      <c r="AJ8952" s="21" t="s">
        <v>54</v>
      </c>
      <c r="AK8952" s="21"/>
      <c r="AL8952" s="21" t="s">
        <v>5883</v>
      </c>
      <c r="AM8952" s="21" t="s">
        <v>5908</v>
      </c>
      <c r="AN8952" s="21">
        <v>-122.479792516667</v>
      </c>
      <c r="AO8952" s="21">
        <v>37.792135333333299</v>
      </c>
      <c r="AP8952" s="21" t="s">
        <v>1915</v>
      </c>
    </row>
    <row r="8953" spans="1:42">
      <c r="A8953" s="20">
        <v>43888</v>
      </c>
      <c r="B8953" s="21">
        <v>4</v>
      </c>
      <c r="C8953" s="21">
        <v>574</v>
      </c>
      <c r="D8953" s="21">
        <v>11441</v>
      </c>
      <c r="E8953" t="s">
        <v>377</v>
      </c>
      <c r="F8953" s="21" t="s">
        <v>436</v>
      </c>
      <c r="G8953" s="21">
        <v>1</v>
      </c>
      <c r="H8953" s="21">
        <v>72</v>
      </c>
      <c r="I8953" s="23" t="s">
        <v>3651</v>
      </c>
      <c r="J8953" s="21"/>
      <c r="K8953" s="21" t="s">
        <v>2099</v>
      </c>
      <c r="L8953" s="21"/>
      <c r="M8953" s="21"/>
      <c r="N8953" s="21" t="s">
        <v>44</v>
      </c>
      <c r="O8953" s="21">
        <v>71</v>
      </c>
      <c r="P8953" s="21"/>
      <c r="Q8953" s="21">
        <f t="shared" si="186"/>
        <v>1</v>
      </c>
      <c r="R8953" s="21">
        <v>1</v>
      </c>
      <c r="S8953" s="21">
        <v>0</v>
      </c>
      <c r="T8953" s="21">
        <v>0</v>
      </c>
      <c r="U8953" s="21">
        <v>0</v>
      </c>
      <c r="V8953" s="21">
        <v>0</v>
      </c>
      <c r="W8953" s="21">
        <v>0</v>
      </c>
      <c r="X8953" s="21">
        <v>0</v>
      </c>
      <c r="Y8953" s="21">
        <v>0</v>
      </c>
      <c r="Z8953" s="21">
        <v>0</v>
      </c>
      <c r="AA8953" s="21">
        <v>0</v>
      </c>
      <c r="AB8953" s="21">
        <v>0</v>
      </c>
      <c r="AC8953" s="21">
        <v>1</v>
      </c>
      <c r="AD8953" s="21">
        <v>0</v>
      </c>
      <c r="AE8953" s="21">
        <v>0</v>
      </c>
      <c r="AF8953" s="21">
        <v>0</v>
      </c>
      <c r="AG8953" s="21">
        <v>0</v>
      </c>
      <c r="AH8953" s="21"/>
      <c r="AI8953" s="21"/>
      <c r="AJ8953" s="21" t="s">
        <v>54</v>
      </c>
      <c r="AK8953" s="21"/>
      <c r="AL8953" s="21" t="s">
        <v>5883</v>
      </c>
      <c r="AM8953" s="21" t="s">
        <v>5909</v>
      </c>
      <c r="AN8953" s="21">
        <v>-122.480813516667</v>
      </c>
      <c r="AO8953" s="21">
        <v>37.792158483333303</v>
      </c>
      <c r="AP8953" s="21" t="s">
        <v>1915</v>
      </c>
    </row>
    <row r="8954" spans="1:42">
      <c r="A8954" s="20">
        <v>43888</v>
      </c>
      <c r="B8954" s="21">
        <v>4</v>
      </c>
      <c r="C8954" s="21">
        <v>574</v>
      </c>
      <c r="D8954" s="21">
        <v>11441</v>
      </c>
      <c r="E8954" t="s">
        <v>377</v>
      </c>
      <c r="F8954" s="21" t="s">
        <v>436</v>
      </c>
      <c r="G8954" s="21">
        <v>1</v>
      </c>
      <c r="H8954" s="21">
        <v>73</v>
      </c>
      <c r="I8954" s="23" t="s">
        <v>3653</v>
      </c>
      <c r="J8954" s="21"/>
      <c r="K8954" s="21" t="s">
        <v>2099</v>
      </c>
      <c r="L8954" s="21"/>
      <c r="M8954" s="21"/>
      <c r="N8954" s="21" t="s">
        <v>44</v>
      </c>
      <c r="O8954" s="21">
        <f>120+60+24</f>
        <v>204</v>
      </c>
      <c r="P8954" s="21"/>
      <c r="Q8954" s="21">
        <f t="shared" si="186"/>
        <v>2</v>
      </c>
      <c r="R8954" s="21">
        <v>1</v>
      </c>
      <c r="S8954" s="21">
        <v>0</v>
      </c>
      <c r="T8954" s="21">
        <v>0</v>
      </c>
      <c r="U8954" s="21">
        <v>0</v>
      </c>
      <c r="V8954" s="21">
        <v>0</v>
      </c>
      <c r="W8954" s="21">
        <v>0</v>
      </c>
      <c r="X8954" s="21">
        <v>0</v>
      </c>
      <c r="Y8954" s="21">
        <v>0</v>
      </c>
      <c r="Z8954" s="21">
        <v>0</v>
      </c>
      <c r="AA8954" s="21">
        <v>0</v>
      </c>
      <c r="AB8954" s="21">
        <v>1</v>
      </c>
      <c r="AC8954" s="21">
        <v>1</v>
      </c>
      <c r="AD8954" s="21">
        <v>0</v>
      </c>
      <c r="AE8954" s="21">
        <v>0</v>
      </c>
      <c r="AF8954" s="21">
        <v>0</v>
      </c>
      <c r="AG8954" s="21">
        <v>0</v>
      </c>
      <c r="AH8954" s="21"/>
      <c r="AI8954" s="21"/>
      <c r="AJ8954" s="21" t="s">
        <v>54</v>
      </c>
      <c r="AK8954" s="21"/>
      <c r="AL8954" s="21" t="s">
        <v>5910</v>
      </c>
      <c r="AM8954" s="21" t="s">
        <v>5911</v>
      </c>
      <c r="AN8954" s="21">
        <v>-122.480311116667</v>
      </c>
      <c r="AO8954" s="21">
        <v>37.79084245</v>
      </c>
      <c r="AP8954" s="21" t="s">
        <v>1915</v>
      </c>
    </row>
    <row r="8955" spans="1:42">
      <c r="A8955" s="20">
        <v>43888</v>
      </c>
      <c r="B8955" s="21">
        <v>4</v>
      </c>
      <c r="C8955" s="21">
        <v>574</v>
      </c>
      <c r="D8955" s="21">
        <v>11441</v>
      </c>
      <c r="E8955" t="s">
        <v>377</v>
      </c>
      <c r="F8955" s="21" t="s">
        <v>436</v>
      </c>
      <c r="G8955" s="21">
        <v>1</v>
      </c>
      <c r="H8955" s="21">
        <v>74</v>
      </c>
      <c r="I8955" s="23" t="s">
        <v>3657</v>
      </c>
      <c r="J8955" s="21"/>
      <c r="K8955" s="21" t="s">
        <v>329</v>
      </c>
      <c r="L8955" s="21"/>
      <c r="M8955" s="21"/>
      <c r="N8955" s="21" t="s">
        <v>44</v>
      </c>
      <c r="O8955" s="21">
        <v>46</v>
      </c>
      <c r="P8955" s="21"/>
      <c r="Q8955" s="21">
        <f t="shared" si="186"/>
        <v>1</v>
      </c>
      <c r="R8955" s="21">
        <v>1</v>
      </c>
      <c r="S8955" s="21">
        <v>0</v>
      </c>
      <c r="T8955" s="21">
        <v>0</v>
      </c>
      <c r="U8955" s="21">
        <v>0</v>
      </c>
      <c r="V8955" s="21">
        <v>0</v>
      </c>
      <c r="W8955" s="21">
        <v>0</v>
      </c>
      <c r="X8955" s="21">
        <v>0</v>
      </c>
      <c r="Y8955" s="21">
        <v>0</v>
      </c>
      <c r="Z8955" s="21">
        <v>0</v>
      </c>
      <c r="AA8955" s="21">
        <v>0</v>
      </c>
      <c r="AB8955" s="21">
        <v>0</v>
      </c>
      <c r="AC8955" s="21">
        <v>1</v>
      </c>
      <c r="AD8955" s="21">
        <v>0</v>
      </c>
      <c r="AE8955" s="21">
        <v>0</v>
      </c>
      <c r="AF8955" s="21">
        <v>0</v>
      </c>
      <c r="AG8955" s="21">
        <v>0</v>
      </c>
      <c r="AH8955" s="21"/>
      <c r="AI8955" s="21"/>
      <c r="AJ8955" s="21" t="s">
        <v>51</v>
      </c>
      <c r="AK8955" s="21"/>
      <c r="AL8955" s="21"/>
      <c r="AM8955" s="21" t="s">
        <v>5912</v>
      </c>
      <c r="AN8955" s="21">
        <v>-122.48089235</v>
      </c>
      <c r="AO8955" s="21">
        <v>37.790049666666597</v>
      </c>
      <c r="AP8955" s="21" t="s">
        <v>1915</v>
      </c>
    </row>
    <row r="8956" spans="1:42">
      <c r="A8956" s="20">
        <v>43888</v>
      </c>
      <c r="B8956" s="21">
        <v>4</v>
      </c>
      <c r="C8956" s="21">
        <v>574</v>
      </c>
      <c r="D8956" s="21">
        <v>11441</v>
      </c>
      <c r="E8956" t="s">
        <v>377</v>
      </c>
      <c r="F8956" s="21" t="s">
        <v>436</v>
      </c>
      <c r="G8956" s="21">
        <v>1</v>
      </c>
      <c r="H8956" s="21">
        <v>76</v>
      </c>
      <c r="I8956" s="23" t="s">
        <v>3667</v>
      </c>
      <c r="J8956" s="21"/>
      <c r="K8956" s="21" t="s">
        <v>4445</v>
      </c>
      <c r="L8956" s="21"/>
      <c r="M8956" s="21"/>
      <c r="N8956" s="21" t="s">
        <v>44</v>
      </c>
      <c r="O8956" s="21">
        <f>120+56</f>
        <v>176</v>
      </c>
      <c r="P8956" s="21"/>
      <c r="Q8956" s="21">
        <f t="shared" si="186"/>
        <v>2</v>
      </c>
      <c r="R8956" s="21">
        <v>1</v>
      </c>
      <c r="S8956" s="21">
        <v>0</v>
      </c>
      <c r="T8956" s="21">
        <v>0</v>
      </c>
      <c r="U8956" s="21">
        <v>0</v>
      </c>
      <c r="V8956" s="21">
        <v>0</v>
      </c>
      <c r="W8956" s="21">
        <v>0</v>
      </c>
      <c r="X8956" s="21">
        <v>0</v>
      </c>
      <c r="Y8956" s="21">
        <v>1</v>
      </c>
      <c r="Z8956" s="21">
        <v>0</v>
      </c>
      <c r="AA8956" s="21">
        <v>0</v>
      </c>
      <c r="AB8956" s="21">
        <v>0</v>
      </c>
      <c r="AC8956" s="21">
        <v>1</v>
      </c>
      <c r="AD8956" s="21">
        <v>0</v>
      </c>
      <c r="AE8956" s="21">
        <v>0</v>
      </c>
      <c r="AF8956" s="21">
        <v>0</v>
      </c>
      <c r="AG8956" s="21">
        <v>0</v>
      </c>
      <c r="AH8956" s="21"/>
      <c r="AI8956" s="21"/>
      <c r="AJ8956" s="21" t="s">
        <v>51</v>
      </c>
      <c r="AK8956" s="21"/>
      <c r="AL8956" s="21" t="s">
        <v>5913</v>
      </c>
      <c r="AM8956" s="21" t="s">
        <v>5914</v>
      </c>
      <c r="AN8956" s="21">
        <v>-122.480514266667</v>
      </c>
      <c r="AO8956" s="21">
        <v>37.788801900000003</v>
      </c>
      <c r="AP8956" s="21" t="s">
        <v>1915</v>
      </c>
    </row>
    <row r="8957" spans="1:42">
      <c r="A8957" s="20">
        <v>43875</v>
      </c>
      <c r="B8957" s="21">
        <v>5</v>
      </c>
      <c r="C8957" s="21">
        <v>231</v>
      </c>
      <c r="D8957" s="21">
        <v>10521</v>
      </c>
      <c r="E8957" t="s">
        <v>112</v>
      </c>
      <c r="F8957" s="21" t="s">
        <v>104</v>
      </c>
      <c r="G8957" s="21">
        <v>4</v>
      </c>
      <c r="H8957" s="21">
        <v>1</v>
      </c>
      <c r="I8957" s="23" t="s">
        <v>5915</v>
      </c>
      <c r="J8957" s="21"/>
      <c r="K8957" s="21" t="s">
        <v>414</v>
      </c>
      <c r="L8957" s="21"/>
      <c r="M8957" s="21" t="s">
        <v>95</v>
      </c>
      <c r="N8957" s="21" t="s">
        <v>40</v>
      </c>
      <c r="O8957" s="21">
        <f>60+51</f>
        <v>111</v>
      </c>
      <c r="P8957" s="21"/>
      <c r="Q8957" s="21">
        <f>SUM(S8957:AE8957)</f>
        <v>4</v>
      </c>
      <c r="R8957" s="21">
        <v>1</v>
      </c>
      <c r="S8957" s="21">
        <v>0</v>
      </c>
      <c r="T8957" s="21">
        <v>0</v>
      </c>
      <c r="U8957" s="21">
        <v>1</v>
      </c>
      <c r="V8957" s="21">
        <v>2</v>
      </c>
      <c r="W8957" s="21">
        <v>0</v>
      </c>
      <c r="X8957" s="21">
        <v>1</v>
      </c>
      <c r="Y8957" s="21">
        <v>0</v>
      </c>
      <c r="Z8957" s="21">
        <v>0</v>
      </c>
      <c r="AA8957" s="21">
        <v>0</v>
      </c>
      <c r="AB8957" s="21">
        <v>0</v>
      </c>
      <c r="AC8957" s="21">
        <v>0</v>
      </c>
      <c r="AD8957" s="21">
        <v>0</v>
      </c>
      <c r="AE8957" s="21">
        <v>0</v>
      </c>
      <c r="AF8957" s="21">
        <v>0</v>
      </c>
      <c r="AG8957" s="21">
        <v>0</v>
      </c>
      <c r="AH8957" s="21">
        <f>(S8957*16)+(T8957*20)+(U8957*32)+(V8957*64)+(W8957*96)</f>
        <v>160</v>
      </c>
      <c r="AI8957" s="21"/>
      <c r="AJ8957" s="21" t="s">
        <v>51</v>
      </c>
      <c r="AK8957" s="21" t="s">
        <v>95</v>
      </c>
      <c r="AL8957" s="21" t="s">
        <v>5916</v>
      </c>
      <c r="AM8957" s="21" t="s">
        <v>5917</v>
      </c>
      <c r="AN8957" s="21">
        <v>-122.42005488333299</v>
      </c>
      <c r="AO8957" s="21">
        <v>37.787067433333299</v>
      </c>
      <c r="AP8957" s="21" t="s">
        <v>1915</v>
      </c>
    </row>
    <row r="8958" spans="1:42">
      <c r="A8958" s="20">
        <v>43875</v>
      </c>
      <c r="B8958" s="21">
        <v>5</v>
      </c>
      <c r="C8958" s="21">
        <v>231</v>
      </c>
      <c r="D8958" s="21">
        <v>10521</v>
      </c>
      <c r="E8958" t="s">
        <v>112</v>
      </c>
      <c r="F8958" s="21" t="s">
        <v>104</v>
      </c>
      <c r="G8958" s="21">
        <v>4</v>
      </c>
      <c r="H8958" s="21">
        <v>2</v>
      </c>
      <c r="I8958" s="23" t="s">
        <v>3541</v>
      </c>
      <c r="J8958" s="21"/>
      <c r="K8958" s="21" t="s">
        <v>414</v>
      </c>
      <c r="L8958" s="21"/>
      <c r="M8958" s="21"/>
      <c r="N8958" s="21" t="s">
        <v>40</v>
      </c>
      <c r="O8958" s="21">
        <f>60+32</f>
        <v>92</v>
      </c>
      <c r="P8958" s="21"/>
      <c r="Q8958" s="21">
        <f t="shared" ref="Q8958:Q9021" si="187">SUM(S8958:AE8958)</f>
        <v>1</v>
      </c>
      <c r="R8958" s="21">
        <v>1</v>
      </c>
      <c r="S8958" s="21">
        <v>0</v>
      </c>
      <c r="T8958" s="21">
        <v>0</v>
      </c>
      <c r="U8958" s="21">
        <v>0</v>
      </c>
      <c r="V8958" s="21">
        <v>0</v>
      </c>
      <c r="W8958" s="21">
        <v>1</v>
      </c>
      <c r="X8958" s="21">
        <v>0</v>
      </c>
      <c r="Y8958" s="21">
        <v>0</v>
      </c>
      <c r="Z8958" s="21">
        <v>0</v>
      </c>
      <c r="AA8958" s="21">
        <v>0</v>
      </c>
      <c r="AB8958" s="21">
        <v>0</v>
      </c>
      <c r="AC8958" s="21">
        <v>0</v>
      </c>
      <c r="AD8958" s="21">
        <v>0</v>
      </c>
      <c r="AE8958" s="21">
        <v>0</v>
      </c>
      <c r="AF8958" s="21">
        <v>0</v>
      </c>
      <c r="AG8958" s="21">
        <v>0</v>
      </c>
      <c r="AH8958" s="21">
        <f t="shared" ref="AH8958:AH9021" si="188">(S8958*16)+(T8958*20)+(U8958*32)+(V8958*64)+(W8958*96)</f>
        <v>96</v>
      </c>
      <c r="AI8958" s="21"/>
      <c r="AJ8958" s="21" t="s">
        <v>51</v>
      </c>
      <c r="AK8958" s="21" t="s">
        <v>95</v>
      </c>
      <c r="AL8958" s="21" t="s">
        <v>5918</v>
      </c>
      <c r="AM8958" s="21" t="s">
        <v>5919</v>
      </c>
      <c r="AN8958" s="21">
        <v>-122.4201398</v>
      </c>
      <c r="AO8958" s="21">
        <v>37.787674133333297</v>
      </c>
      <c r="AP8958" s="21" t="s">
        <v>1915</v>
      </c>
    </row>
    <row r="8959" spans="1:42">
      <c r="A8959" s="20">
        <v>43875</v>
      </c>
      <c r="B8959" s="21">
        <v>5</v>
      </c>
      <c r="C8959" s="21">
        <v>231</v>
      </c>
      <c r="D8959" s="21">
        <v>10521</v>
      </c>
      <c r="E8959" t="s">
        <v>112</v>
      </c>
      <c r="F8959" s="21" t="s">
        <v>104</v>
      </c>
      <c r="G8959" s="21">
        <v>4</v>
      </c>
      <c r="H8959" s="21">
        <v>3</v>
      </c>
      <c r="I8959" s="23" t="s">
        <v>3005</v>
      </c>
      <c r="J8959" s="21"/>
      <c r="K8959" s="21" t="s">
        <v>414</v>
      </c>
      <c r="L8959" s="21"/>
      <c r="M8959" s="21"/>
      <c r="N8959" s="21" t="s">
        <v>40</v>
      </c>
      <c r="O8959" s="21">
        <v>122</v>
      </c>
      <c r="P8959" s="21"/>
      <c r="Q8959" s="21">
        <f t="shared" si="187"/>
        <v>3</v>
      </c>
      <c r="R8959" s="21">
        <v>1</v>
      </c>
      <c r="S8959" s="21">
        <v>0</v>
      </c>
      <c r="T8959" s="21">
        <v>0</v>
      </c>
      <c r="U8959" s="21">
        <v>1</v>
      </c>
      <c r="V8959" s="21">
        <v>0</v>
      </c>
      <c r="W8959" s="21">
        <v>1</v>
      </c>
      <c r="X8959" s="21">
        <v>1</v>
      </c>
      <c r="Y8959" s="21">
        <v>0</v>
      </c>
      <c r="Z8959" s="21">
        <v>0</v>
      </c>
      <c r="AA8959" s="21">
        <v>0</v>
      </c>
      <c r="AB8959" s="21">
        <v>0</v>
      </c>
      <c r="AC8959" s="21">
        <v>0</v>
      </c>
      <c r="AD8959" s="21">
        <v>0</v>
      </c>
      <c r="AE8959" s="21">
        <v>0</v>
      </c>
      <c r="AF8959" s="21">
        <v>0</v>
      </c>
      <c r="AG8959" s="21">
        <v>0</v>
      </c>
      <c r="AH8959" s="21">
        <f t="shared" si="188"/>
        <v>128</v>
      </c>
      <c r="AI8959" s="21"/>
      <c r="AJ8959" s="21" t="s">
        <v>51</v>
      </c>
      <c r="AK8959" s="21" t="s">
        <v>95</v>
      </c>
      <c r="AL8959" s="21" t="s">
        <v>470</v>
      </c>
      <c r="AM8959" s="21" t="s">
        <v>5920</v>
      </c>
      <c r="AN8959" s="21">
        <v>-122.42014141666699</v>
      </c>
      <c r="AO8959" s="21">
        <v>37.787897483333303</v>
      </c>
      <c r="AP8959" s="21" t="s">
        <v>1915</v>
      </c>
    </row>
    <row r="8960" spans="1:42">
      <c r="A8960" s="20">
        <v>43875</v>
      </c>
      <c r="B8960" s="21">
        <v>5</v>
      </c>
      <c r="C8960" s="21">
        <v>231</v>
      </c>
      <c r="D8960" s="21">
        <v>10521</v>
      </c>
      <c r="E8960" t="s">
        <v>112</v>
      </c>
      <c r="F8960" s="21" t="s">
        <v>104</v>
      </c>
      <c r="G8960" s="21">
        <v>4</v>
      </c>
      <c r="H8960" s="21">
        <v>4</v>
      </c>
      <c r="I8960" s="23" t="s">
        <v>5921</v>
      </c>
      <c r="J8960" s="21"/>
      <c r="K8960" s="21" t="s">
        <v>414</v>
      </c>
      <c r="L8960" s="21"/>
      <c r="M8960" s="21"/>
      <c r="N8960" s="21" t="s">
        <v>40</v>
      </c>
      <c r="O8960" s="21">
        <v>71</v>
      </c>
      <c r="P8960" s="21"/>
      <c r="Q8960" s="21">
        <f t="shared" si="187"/>
        <v>2</v>
      </c>
      <c r="R8960" s="21">
        <v>1</v>
      </c>
      <c r="S8960" s="21">
        <v>0</v>
      </c>
      <c r="T8960" s="21">
        <v>0</v>
      </c>
      <c r="U8960" s="21">
        <v>0</v>
      </c>
      <c r="V8960" s="21">
        <v>2</v>
      </c>
      <c r="W8960" s="21">
        <v>0</v>
      </c>
      <c r="X8960" s="21">
        <v>0</v>
      </c>
      <c r="Y8960" s="21">
        <v>0</v>
      </c>
      <c r="Z8960" s="21">
        <v>0</v>
      </c>
      <c r="AA8960" s="21">
        <v>0</v>
      </c>
      <c r="AB8960" s="21">
        <v>0</v>
      </c>
      <c r="AC8960" s="21">
        <v>0</v>
      </c>
      <c r="AD8960" s="21">
        <v>0</v>
      </c>
      <c r="AE8960" s="21">
        <v>0</v>
      </c>
      <c r="AF8960" s="21">
        <v>0</v>
      </c>
      <c r="AG8960" s="21">
        <v>0</v>
      </c>
      <c r="AH8960" s="21">
        <f t="shared" si="188"/>
        <v>128</v>
      </c>
      <c r="AI8960" s="21"/>
      <c r="AJ8960" s="21" t="s">
        <v>51</v>
      </c>
      <c r="AK8960" s="21" t="s">
        <v>95</v>
      </c>
      <c r="AL8960" s="21" t="s">
        <v>5922</v>
      </c>
      <c r="AM8960" s="21" t="s">
        <v>5923</v>
      </c>
      <c r="AN8960" s="21">
        <v>-122.420267833333</v>
      </c>
      <c r="AO8960" s="21">
        <v>37.788272183333298</v>
      </c>
      <c r="AP8960" s="21" t="s">
        <v>1915</v>
      </c>
    </row>
    <row r="8961" spans="1:42">
      <c r="A8961" s="20">
        <v>43875</v>
      </c>
      <c r="B8961" s="21">
        <v>5</v>
      </c>
      <c r="C8961" s="21">
        <v>231</v>
      </c>
      <c r="D8961" s="21">
        <v>10521</v>
      </c>
      <c r="E8961" t="s">
        <v>112</v>
      </c>
      <c r="F8961" s="21" t="s">
        <v>104</v>
      </c>
      <c r="G8961" s="21">
        <v>4</v>
      </c>
      <c r="H8961" s="21">
        <v>5</v>
      </c>
      <c r="I8961" s="23">
        <v>1200</v>
      </c>
      <c r="J8961" s="21"/>
      <c r="K8961" s="21" t="s">
        <v>414</v>
      </c>
      <c r="L8961" s="21"/>
      <c r="M8961" s="21"/>
      <c r="N8961" s="21" t="s">
        <v>40</v>
      </c>
      <c r="O8961" s="21">
        <v>20</v>
      </c>
      <c r="P8961" s="21"/>
      <c r="Q8961" s="21">
        <f t="shared" si="187"/>
        <v>2</v>
      </c>
      <c r="R8961" s="21">
        <v>1</v>
      </c>
      <c r="S8961" s="21">
        <v>0</v>
      </c>
      <c r="T8961" s="21">
        <v>0</v>
      </c>
      <c r="U8961" s="21">
        <v>1</v>
      </c>
      <c r="V8961" s="21">
        <v>0</v>
      </c>
      <c r="W8961" s="21">
        <v>0</v>
      </c>
      <c r="X8961" s="21">
        <v>1</v>
      </c>
      <c r="Y8961" s="21">
        <v>0</v>
      </c>
      <c r="Z8961" s="21">
        <v>0</v>
      </c>
      <c r="AA8961" s="21">
        <v>0</v>
      </c>
      <c r="AB8961" s="21">
        <v>0</v>
      </c>
      <c r="AC8961" s="21">
        <v>0</v>
      </c>
      <c r="AD8961" s="21">
        <v>0</v>
      </c>
      <c r="AE8961" s="21">
        <v>0</v>
      </c>
      <c r="AF8961" s="21">
        <v>0</v>
      </c>
      <c r="AG8961" s="21">
        <v>0</v>
      </c>
      <c r="AH8961" s="21">
        <f t="shared" si="188"/>
        <v>32</v>
      </c>
      <c r="AI8961" s="21"/>
      <c r="AJ8961" s="21" t="s">
        <v>51</v>
      </c>
      <c r="AK8961" s="21" t="s">
        <v>95</v>
      </c>
      <c r="AL8961" s="21" t="s">
        <v>456</v>
      </c>
      <c r="AM8961" s="21" t="s">
        <v>5924</v>
      </c>
      <c r="AN8961" s="21">
        <v>-122.420407966667</v>
      </c>
      <c r="AO8961" s="21">
        <v>37.788952283333302</v>
      </c>
      <c r="AP8961" s="21" t="s">
        <v>1915</v>
      </c>
    </row>
    <row r="8962" spans="1:42">
      <c r="A8962" s="20">
        <v>43875</v>
      </c>
      <c r="B8962" s="21">
        <v>5</v>
      </c>
      <c r="C8962" s="21">
        <v>231</v>
      </c>
      <c r="D8962" s="21">
        <v>10521</v>
      </c>
      <c r="E8962" t="s">
        <v>112</v>
      </c>
      <c r="F8962" s="21" t="s">
        <v>104</v>
      </c>
      <c r="G8962" s="21">
        <v>4</v>
      </c>
      <c r="H8962" s="21">
        <v>6</v>
      </c>
      <c r="I8962" s="23" t="s">
        <v>5925</v>
      </c>
      <c r="J8962" s="21"/>
      <c r="K8962" s="21" t="s">
        <v>414</v>
      </c>
      <c r="L8962" s="21"/>
      <c r="M8962" s="21"/>
      <c r="N8962" s="21" t="s">
        <v>40</v>
      </c>
      <c r="O8962" s="21">
        <f>60+46</f>
        <v>106</v>
      </c>
      <c r="P8962" s="21"/>
      <c r="Q8962" s="21">
        <f t="shared" si="187"/>
        <v>4</v>
      </c>
      <c r="R8962" s="21">
        <v>1</v>
      </c>
      <c r="S8962" s="21">
        <v>0</v>
      </c>
      <c r="T8962" s="21">
        <v>0</v>
      </c>
      <c r="U8962" s="21">
        <v>0</v>
      </c>
      <c r="V8962" s="21">
        <v>3</v>
      </c>
      <c r="W8962" s="21">
        <v>1</v>
      </c>
      <c r="X8962" s="21">
        <v>0</v>
      </c>
      <c r="Y8962" s="21">
        <v>0</v>
      </c>
      <c r="Z8962" s="21">
        <v>0</v>
      </c>
      <c r="AA8962" s="21">
        <v>0</v>
      </c>
      <c r="AB8962" s="21">
        <v>0</v>
      </c>
      <c r="AC8962" s="21">
        <v>0</v>
      </c>
      <c r="AD8962" s="21">
        <v>0</v>
      </c>
      <c r="AE8962" s="21">
        <v>0</v>
      </c>
      <c r="AF8962" s="21">
        <v>0</v>
      </c>
      <c r="AG8962" s="21">
        <v>0</v>
      </c>
      <c r="AH8962" s="21">
        <f t="shared" si="188"/>
        <v>288</v>
      </c>
      <c r="AI8962" s="21"/>
      <c r="AJ8962" s="21" t="s">
        <v>51</v>
      </c>
      <c r="AK8962" s="21" t="s">
        <v>95</v>
      </c>
      <c r="AL8962" s="21" t="s">
        <v>5926</v>
      </c>
      <c r="AM8962" s="21" t="s">
        <v>5927</v>
      </c>
      <c r="AN8962" s="21">
        <v>-122.420531133333</v>
      </c>
      <c r="AO8962" s="21">
        <v>37.789356933333302</v>
      </c>
      <c r="AP8962" s="21" t="s">
        <v>1915</v>
      </c>
    </row>
    <row r="8963" spans="1:42">
      <c r="A8963" s="20">
        <v>43875</v>
      </c>
      <c r="B8963" s="21">
        <v>5</v>
      </c>
      <c r="C8963" s="21">
        <v>231</v>
      </c>
      <c r="D8963" s="21">
        <v>10521</v>
      </c>
      <c r="E8963" t="s">
        <v>112</v>
      </c>
      <c r="F8963" s="21" t="s">
        <v>104</v>
      </c>
      <c r="G8963" s="21">
        <v>4</v>
      </c>
      <c r="H8963" s="21">
        <v>7</v>
      </c>
      <c r="I8963" s="23" t="s">
        <v>5928</v>
      </c>
      <c r="J8963" s="21"/>
      <c r="K8963" s="21" t="s">
        <v>414</v>
      </c>
      <c r="L8963" s="21"/>
      <c r="M8963" s="21"/>
      <c r="N8963" s="21"/>
      <c r="O8963" s="21">
        <v>126</v>
      </c>
      <c r="P8963" s="21"/>
      <c r="Q8963" s="21">
        <f t="shared" si="187"/>
        <v>2</v>
      </c>
      <c r="R8963" s="21">
        <v>1</v>
      </c>
      <c r="S8963" s="21">
        <v>0</v>
      </c>
      <c r="T8963" s="21">
        <v>0</v>
      </c>
      <c r="U8963" s="21">
        <v>2</v>
      </c>
      <c r="V8963" s="21">
        <v>0</v>
      </c>
      <c r="W8963" s="21">
        <v>0</v>
      </c>
      <c r="X8963" s="21">
        <v>0</v>
      </c>
      <c r="Y8963" s="21">
        <v>0</v>
      </c>
      <c r="Z8963" s="21">
        <v>0</v>
      </c>
      <c r="AA8963" s="21">
        <v>0</v>
      </c>
      <c r="AB8963" s="21">
        <v>0</v>
      </c>
      <c r="AC8963" s="21">
        <v>0</v>
      </c>
      <c r="AD8963" s="21">
        <v>0</v>
      </c>
      <c r="AE8963" s="21">
        <v>0</v>
      </c>
      <c r="AF8963" s="21">
        <v>0</v>
      </c>
      <c r="AG8963" s="21">
        <v>0</v>
      </c>
      <c r="AH8963" s="21">
        <f t="shared" si="188"/>
        <v>64</v>
      </c>
      <c r="AI8963" s="21"/>
      <c r="AJ8963" s="21"/>
      <c r="AK8963" s="21"/>
      <c r="AL8963" s="21"/>
      <c r="AM8963" s="21" t="s">
        <v>5929</v>
      </c>
      <c r="AN8963" s="21">
        <v>-122.42051865000001</v>
      </c>
      <c r="AO8963" s="21">
        <v>37.789813233333298</v>
      </c>
      <c r="AP8963" s="21" t="s">
        <v>1915</v>
      </c>
    </row>
    <row r="8964" spans="1:42">
      <c r="A8964" s="20">
        <v>43875</v>
      </c>
      <c r="B8964" s="21">
        <v>5</v>
      </c>
      <c r="C8964" s="21">
        <v>231</v>
      </c>
      <c r="D8964" s="21">
        <v>10521</v>
      </c>
      <c r="E8964" t="s">
        <v>112</v>
      </c>
      <c r="F8964" s="21" t="s">
        <v>104</v>
      </c>
      <c r="G8964" s="21">
        <v>4</v>
      </c>
      <c r="H8964" s="21">
        <v>8</v>
      </c>
      <c r="I8964" s="23" t="s">
        <v>3918</v>
      </c>
      <c r="J8964" s="21"/>
      <c r="K8964" s="21" t="s">
        <v>414</v>
      </c>
      <c r="L8964" s="21"/>
      <c r="M8964" s="21"/>
      <c r="N8964" s="21" t="s">
        <v>40</v>
      </c>
      <c r="O8964" s="21">
        <v>55</v>
      </c>
      <c r="P8964" s="21"/>
      <c r="Q8964" s="21">
        <f t="shared" si="187"/>
        <v>2</v>
      </c>
      <c r="R8964" s="21">
        <v>1</v>
      </c>
      <c r="S8964" s="21">
        <v>0</v>
      </c>
      <c r="T8964" s="21">
        <v>0</v>
      </c>
      <c r="U8964" s="21">
        <v>0</v>
      </c>
      <c r="V8964" s="21">
        <v>2</v>
      </c>
      <c r="W8964" s="21">
        <v>0</v>
      </c>
      <c r="X8964" s="21">
        <v>0</v>
      </c>
      <c r="Y8964" s="21">
        <v>0</v>
      </c>
      <c r="Z8964" s="21">
        <v>0</v>
      </c>
      <c r="AA8964" s="21">
        <v>0</v>
      </c>
      <c r="AB8964" s="21">
        <v>0</v>
      </c>
      <c r="AC8964" s="21">
        <v>0</v>
      </c>
      <c r="AD8964" s="21">
        <v>0</v>
      </c>
      <c r="AE8964" s="21">
        <v>0</v>
      </c>
      <c r="AF8964" s="21">
        <v>0</v>
      </c>
      <c r="AG8964" s="21">
        <v>0</v>
      </c>
      <c r="AH8964" s="21">
        <f t="shared" si="188"/>
        <v>128</v>
      </c>
      <c r="AI8964" s="21"/>
      <c r="AJ8964" s="21" t="s">
        <v>51</v>
      </c>
      <c r="AK8964" s="21" t="s">
        <v>95</v>
      </c>
      <c r="AL8964" s="21"/>
      <c r="AM8964" s="21" t="s">
        <v>5930</v>
      </c>
      <c r="AN8964" s="21">
        <v>-122.420540166667</v>
      </c>
      <c r="AO8964" s="21">
        <v>37.789933066666698</v>
      </c>
      <c r="AP8964" s="21" t="s">
        <v>1915</v>
      </c>
    </row>
    <row r="8965" spans="1:42">
      <c r="A8965" s="20">
        <v>43875</v>
      </c>
      <c r="B8965" s="21">
        <v>5</v>
      </c>
      <c r="C8965" s="21">
        <v>231</v>
      </c>
      <c r="D8965" s="21">
        <v>10521</v>
      </c>
      <c r="E8965" t="s">
        <v>112</v>
      </c>
      <c r="F8965" s="21" t="s">
        <v>104</v>
      </c>
      <c r="G8965" s="21">
        <v>4</v>
      </c>
      <c r="H8965" s="21">
        <v>9</v>
      </c>
      <c r="I8965" s="23">
        <v>1400</v>
      </c>
      <c r="J8965" s="21"/>
      <c r="K8965" s="21" t="s">
        <v>414</v>
      </c>
      <c r="L8965" s="21"/>
      <c r="M8965" s="21"/>
      <c r="N8965" s="21" t="s">
        <v>40</v>
      </c>
      <c r="O8965" s="21">
        <v>77</v>
      </c>
      <c r="P8965" s="21"/>
      <c r="Q8965" s="21">
        <f t="shared" si="187"/>
        <v>2</v>
      </c>
      <c r="R8965" s="21">
        <v>1</v>
      </c>
      <c r="S8965" s="21">
        <v>0</v>
      </c>
      <c r="T8965" s="21">
        <v>0</v>
      </c>
      <c r="U8965" s="21">
        <v>0</v>
      </c>
      <c r="V8965" s="21">
        <v>2</v>
      </c>
      <c r="W8965" s="21">
        <v>0</v>
      </c>
      <c r="X8965" s="21">
        <v>0</v>
      </c>
      <c r="Y8965" s="21">
        <v>0</v>
      </c>
      <c r="Z8965" s="21">
        <v>0</v>
      </c>
      <c r="AA8965" s="21">
        <v>0</v>
      </c>
      <c r="AB8965" s="21">
        <v>0</v>
      </c>
      <c r="AC8965" s="21">
        <v>0</v>
      </c>
      <c r="AD8965" s="21">
        <v>0</v>
      </c>
      <c r="AE8965" s="21">
        <v>0</v>
      </c>
      <c r="AF8965" s="21">
        <v>0</v>
      </c>
      <c r="AG8965" s="21">
        <v>0</v>
      </c>
      <c r="AH8965" s="21">
        <f t="shared" si="188"/>
        <v>128</v>
      </c>
      <c r="AI8965" s="21"/>
      <c r="AJ8965" s="21" t="s">
        <v>51</v>
      </c>
      <c r="AK8965" s="21" t="s">
        <v>95</v>
      </c>
      <c r="AL8965" s="21"/>
      <c r="AM8965" s="21" t="s">
        <v>5931</v>
      </c>
      <c r="AN8965" s="21">
        <v>-122.420612216667</v>
      </c>
      <c r="AO8965" s="21">
        <v>37.790073583333303</v>
      </c>
      <c r="AP8965" s="21" t="s">
        <v>1915</v>
      </c>
    </row>
    <row r="8966" spans="1:42">
      <c r="A8966" s="20">
        <v>43875</v>
      </c>
      <c r="B8966" s="21">
        <v>5</v>
      </c>
      <c r="C8966" s="21">
        <v>231</v>
      </c>
      <c r="D8966" s="21">
        <v>10521</v>
      </c>
      <c r="E8966" t="s">
        <v>112</v>
      </c>
      <c r="F8966" s="21" t="s">
        <v>104</v>
      </c>
      <c r="G8966" s="21">
        <v>4</v>
      </c>
      <c r="H8966" s="21">
        <v>10</v>
      </c>
      <c r="I8966" s="23" t="s">
        <v>3834</v>
      </c>
      <c r="J8966" s="21"/>
      <c r="K8966" s="21" t="s">
        <v>414</v>
      </c>
      <c r="L8966" s="21"/>
      <c r="M8966" s="21"/>
      <c r="N8966" s="21" t="s">
        <v>40</v>
      </c>
      <c r="O8966" s="21">
        <v>12</v>
      </c>
      <c r="P8966" s="21"/>
      <c r="Q8966" s="21">
        <f t="shared" si="187"/>
        <v>2</v>
      </c>
      <c r="R8966" s="21">
        <v>1</v>
      </c>
      <c r="S8966" s="21">
        <v>0</v>
      </c>
      <c r="T8966" s="21">
        <v>0</v>
      </c>
      <c r="U8966" s="21">
        <v>1</v>
      </c>
      <c r="V8966" s="21">
        <v>0</v>
      </c>
      <c r="W8966" s="21">
        <v>0</v>
      </c>
      <c r="X8966" s="21">
        <v>1</v>
      </c>
      <c r="Y8966" s="21">
        <v>0</v>
      </c>
      <c r="Z8966" s="21">
        <v>0</v>
      </c>
      <c r="AA8966" s="21">
        <v>0</v>
      </c>
      <c r="AB8966" s="21">
        <v>0</v>
      </c>
      <c r="AC8966" s="21">
        <v>0</v>
      </c>
      <c r="AD8966" s="21">
        <v>0</v>
      </c>
      <c r="AE8966" s="21">
        <v>0</v>
      </c>
      <c r="AF8966" s="21">
        <v>0</v>
      </c>
      <c r="AG8966" s="21">
        <v>0</v>
      </c>
      <c r="AH8966" s="21">
        <f t="shared" si="188"/>
        <v>32</v>
      </c>
      <c r="AI8966" s="21"/>
      <c r="AJ8966" s="21"/>
      <c r="AK8966" s="21"/>
      <c r="AL8966" s="21" t="s">
        <v>5932</v>
      </c>
      <c r="AM8966" s="21" t="s">
        <v>5933</v>
      </c>
      <c r="AN8966" s="21">
        <v>-122.420624533333</v>
      </c>
      <c r="AO8966" s="21">
        <v>37.790498616666703</v>
      </c>
      <c r="AP8966" s="21" t="s">
        <v>1915</v>
      </c>
    </row>
    <row r="8967" spans="1:42">
      <c r="A8967" s="20">
        <v>43875</v>
      </c>
      <c r="B8967" s="21">
        <v>5</v>
      </c>
      <c r="C8967" s="21">
        <v>231</v>
      </c>
      <c r="D8967" s="21">
        <v>10521</v>
      </c>
      <c r="E8967" t="s">
        <v>112</v>
      </c>
      <c r="F8967" s="21" t="s">
        <v>104</v>
      </c>
      <c r="G8967" s="21">
        <v>4</v>
      </c>
      <c r="H8967" s="21">
        <v>11</v>
      </c>
      <c r="I8967" s="23">
        <v>1500</v>
      </c>
      <c r="J8967" s="21"/>
      <c r="K8967" s="21" t="s">
        <v>414</v>
      </c>
      <c r="L8967" s="21"/>
      <c r="M8967" s="21"/>
      <c r="N8967" s="21" t="s">
        <v>40</v>
      </c>
      <c r="O8967" s="21">
        <v>54</v>
      </c>
      <c r="P8967" s="21"/>
      <c r="Q8967" s="21">
        <f t="shared" si="187"/>
        <v>2</v>
      </c>
      <c r="R8967" s="21">
        <v>1</v>
      </c>
      <c r="S8967" s="21">
        <v>0</v>
      </c>
      <c r="T8967" s="21">
        <v>0</v>
      </c>
      <c r="U8967" s="21">
        <v>1</v>
      </c>
      <c r="V8967" s="21">
        <v>0</v>
      </c>
      <c r="W8967" s="21">
        <v>0</v>
      </c>
      <c r="X8967" s="21">
        <v>1</v>
      </c>
      <c r="Y8967" s="21">
        <v>0</v>
      </c>
      <c r="Z8967" s="21">
        <v>0</v>
      </c>
      <c r="AA8967" s="21">
        <v>0</v>
      </c>
      <c r="AB8967" s="21">
        <v>0</v>
      </c>
      <c r="AC8967" s="21">
        <v>0</v>
      </c>
      <c r="AD8967" s="21">
        <v>0</v>
      </c>
      <c r="AE8967" s="21">
        <v>0</v>
      </c>
      <c r="AF8967" s="21">
        <v>0</v>
      </c>
      <c r="AG8967" s="21">
        <v>0</v>
      </c>
      <c r="AH8967" s="21">
        <f t="shared" si="188"/>
        <v>32</v>
      </c>
      <c r="AI8967" s="21"/>
      <c r="AJ8967" s="21" t="s">
        <v>51</v>
      </c>
      <c r="AK8967" s="21" t="s">
        <v>95</v>
      </c>
      <c r="AL8967" s="21" t="s">
        <v>470</v>
      </c>
      <c r="AM8967" s="21" t="s">
        <v>5934</v>
      </c>
      <c r="AN8967" s="21">
        <v>-122.42071636666699</v>
      </c>
      <c r="AO8967" s="21">
        <v>37.790784383333303</v>
      </c>
      <c r="AP8967" s="21" t="s">
        <v>1915</v>
      </c>
    </row>
    <row r="8968" spans="1:42">
      <c r="A8968" s="20">
        <v>43875</v>
      </c>
      <c r="B8968" s="21">
        <v>5</v>
      </c>
      <c r="C8968" s="21">
        <v>231</v>
      </c>
      <c r="D8968" s="21">
        <v>10521</v>
      </c>
      <c r="E8968" t="s">
        <v>112</v>
      </c>
      <c r="F8968" s="21" t="s">
        <v>104</v>
      </c>
      <c r="G8968" s="21">
        <v>4</v>
      </c>
      <c r="H8968" s="21">
        <v>12</v>
      </c>
      <c r="I8968" s="23" t="s">
        <v>3611</v>
      </c>
      <c r="J8968" s="21"/>
      <c r="K8968" s="21" t="s">
        <v>414</v>
      </c>
      <c r="L8968" s="21"/>
      <c r="M8968" s="21"/>
      <c r="N8968" s="21" t="s">
        <v>40</v>
      </c>
      <c r="O8968" s="21">
        <v>58</v>
      </c>
      <c r="P8968" s="21"/>
      <c r="Q8968" s="21">
        <f t="shared" si="187"/>
        <v>1</v>
      </c>
      <c r="R8968" s="21">
        <v>1</v>
      </c>
      <c r="S8968" s="21">
        <v>0</v>
      </c>
      <c r="T8968" s="21">
        <v>0</v>
      </c>
      <c r="U8968" s="21">
        <v>0</v>
      </c>
      <c r="V8968" s="21">
        <v>1</v>
      </c>
      <c r="W8968" s="21">
        <v>0</v>
      </c>
      <c r="X8968" s="21">
        <v>0</v>
      </c>
      <c r="Y8968" s="21">
        <v>0</v>
      </c>
      <c r="Z8968" s="21">
        <v>0</v>
      </c>
      <c r="AA8968" s="21">
        <v>0</v>
      </c>
      <c r="AB8968" s="21">
        <v>0</v>
      </c>
      <c r="AC8968" s="21">
        <v>0</v>
      </c>
      <c r="AD8968" s="21">
        <v>0</v>
      </c>
      <c r="AE8968" s="21">
        <v>0</v>
      </c>
      <c r="AF8968" s="21">
        <v>0</v>
      </c>
      <c r="AG8968" s="21">
        <v>0</v>
      </c>
      <c r="AH8968" s="21">
        <f t="shared" si="188"/>
        <v>64</v>
      </c>
      <c r="AI8968" s="21"/>
      <c r="AJ8968" s="21" t="s">
        <v>51</v>
      </c>
      <c r="AK8968" s="21" t="s">
        <v>95</v>
      </c>
      <c r="AL8968" s="21" t="s">
        <v>5935</v>
      </c>
      <c r="AM8968" s="21" t="s">
        <v>5936</v>
      </c>
      <c r="AN8968" s="21">
        <v>-122.420833483333</v>
      </c>
      <c r="AO8968" s="21">
        <v>37.791043416666703</v>
      </c>
      <c r="AP8968" s="21" t="s">
        <v>1915</v>
      </c>
    </row>
    <row r="8969" spans="1:42">
      <c r="A8969" s="20">
        <v>43875</v>
      </c>
      <c r="B8969" s="21">
        <v>5</v>
      </c>
      <c r="C8969" s="21">
        <v>231</v>
      </c>
      <c r="D8969" s="21">
        <v>10521</v>
      </c>
      <c r="E8969" t="s">
        <v>112</v>
      </c>
      <c r="F8969" s="21" t="s">
        <v>104</v>
      </c>
      <c r="G8969" s="21">
        <v>4</v>
      </c>
      <c r="H8969" s="21">
        <v>13</v>
      </c>
      <c r="I8969" s="23" t="s">
        <v>4797</v>
      </c>
      <c r="J8969" s="21"/>
      <c r="K8969" s="21" t="s">
        <v>414</v>
      </c>
      <c r="L8969" s="21"/>
      <c r="M8969" s="21"/>
      <c r="N8969" s="21" t="s">
        <v>40</v>
      </c>
      <c r="O8969" s="21">
        <v>46</v>
      </c>
      <c r="P8969" s="21"/>
      <c r="Q8969" s="21">
        <f t="shared" si="187"/>
        <v>2</v>
      </c>
      <c r="R8969" s="21">
        <v>1</v>
      </c>
      <c r="S8969" s="21">
        <v>1</v>
      </c>
      <c r="T8969" s="21">
        <v>0</v>
      </c>
      <c r="U8969" s="21">
        <v>1</v>
      </c>
      <c r="V8969" s="21">
        <v>0</v>
      </c>
      <c r="W8969" s="21">
        <v>0</v>
      </c>
      <c r="X8969" s="21">
        <v>0</v>
      </c>
      <c r="Y8969" s="21">
        <v>0</v>
      </c>
      <c r="Z8969" s="21">
        <v>0</v>
      </c>
      <c r="AA8969" s="21">
        <v>0</v>
      </c>
      <c r="AB8969" s="21">
        <v>0</v>
      </c>
      <c r="AC8969" s="21">
        <v>0</v>
      </c>
      <c r="AD8969" s="21">
        <v>0</v>
      </c>
      <c r="AE8969" s="21">
        <v>0</v>
      </c>
      <c r="AF8969" s="21">
        <v>0</v>
      </c>
      <c r="AG8969" s="21">
        <v>0</v>
      </c>
      <c r="AH8969" s="21">
        <f t="shared" si="188"/>
        <v>48</v>
      </c>
      <c r="AI8969" s="21"/>
      <c r="AJ8969" s="21" t="s">
        <v>51</v>
      </c>
      <c r="AK8969" s="21" t="s">
        <v>95</v>
      </c>
      <c r="AL8969" s="21"/>
      <c r="AM8969" s="21" t="s">
        <v>5937</v>
      </c>
      <c r="AN8969" s="21">
        <v>-122.420837733333</v>
      </c>
      <c r="AO8969" s="21">
        <v>37.791179249999999</v>
      </c>
      <c r="AP8969" s="21" t="s">
        <v>1915</v>
      </c>
    </row>
    <row r="8970" spans="1:42">
      <c r="A8970" s="20">
        <v>43875</v>
      </c>
      <c r="B8970" s="21">
        <v>5</v>
      </c>
      <c r="C8970" s="21">
        <v>231</v>
      </c>
      <c r="D8970" s="21">
        <v>10521</v>
      </c>
      <c r="E8970" t="s">
        <v>112</v>
      </c>
      <c r="F8970" s="21" t="s">
        <v>104</v>
      </c>
      <c r="G8970" s="21">
        <v>4</v>
      </c>
      <c r="H8970" s="21">
        <v>14</v>
      </c>
      <c r="I8970" s="23" t="s">
        <v>4797</v>
      </c>
      <c r="J8970" s="21"/>
      <c r="K8970" s="21" t="s">
        <v>414</v>
      </c>
      <c r="L8970" s="21"/>
      <c r="M8970" s="21"/>
      <c r="N8970" s="21" t="s">
        <v>44</v>
      </c>
      <c r="O8970" s="21">
        <f>120+60+36</f>
        <v>216</v>
      </c>
      <c r="P8970" s="21"/>
      <c r="Q8970" s="21">
        <f t="shared" si="187"/>
        <v>2</v>
      </c>
      <c r="R8970" s="21">
        <v>1</v>
      </c>
      <c r="S8970" s="21">
        <v>0</v>
      </c>
      <c r="T8970" s="21">
        <v>0</v>
      </c>
      <c r="U8970" s="21">
        <v>0</v>
      </c>
      <c r="V8970" s="21">
        <v>1</v>
      </c>
      <c r="W8970" s="21">
        <v>1</v>
      </c>
      <c r="X8970" s="21">
        <v>0</v>
      </c>
      <c r="Y8970" s="21">
        <v>0</v>
      </c>
      <c r="Z8970" s="21">
        <v>0</v>
      </c>
      <c r="AA8970" s="21">
        <v>0</v>
      </c>
      <c r="AB8970" s="21">
        <v>0</v>
      </c>
      <c r="AC8970" s="21">
        <v>0</v>
      </c>
      <c r="AD8970" s="21">
        <v>0</v>
      </c>
      <c r="AE8970" s="21">
        <v>0</v>
      </c>
      <c r="AF8970" s="21">
        <v>0</v>
      </c>
      <c r="AG8970" s="21">
        <v>0</v>
      </c>
      <c r="AH8970" s="21">
        <f t="shared" si="188"/>
        <v>160</v>
      </c>
      <c r="AI8970" s="21"/>
      <c r="AJ8970" s="21" t="s">
        <v>51</v>
      </c>
      <c r="AK8970" s="21" t="s">
        <v>95</v>
      </c>
      <c r="AL8970" s="21" t="s">
        <v>5938</v>
      </c>
      <c r="AM8970" s="21" t="s">
        <v>5939</v>
      </c>
      <c r="AN8970" s="21">
        <v>-122.420837583333</v>
      </c>
      <c r="AO8970" s="21">
        <v>37.791315283333297</v>
      </c>
      <c r="AP8970" s="21" t="s">
        <v>1915</v>
      </c>
    </row>
    <row r="8971" spans="1:42">
      <c r="A8971" s="20">
        <v>43875</v>
      </c>
      <c r="B8971" s="21">
        <v>5</v>
      </c>
      <c r="C8971" s="21">
        <v>231</v>
      </c>
      <c r="D8971" s="21">
        <v>10521</v>
      </c>
      <c r="E8971" t="s">
        <v>112</v>
      </c>
      <c r="F8971" s="21" t="s">
        <v>104</v>
      </c>
      <c r="G8971" s="21">
        <v>4</v>
      </c>
      <c r="H8971" s="21">
        <v>15</v>
      </c>
      <c r="I8971" s="23" t="s">
        <v>5882</v>
      </c>
      <c r="J8971" s="21"/>
      <c r="K8971" s="21" t="s">
        <v>414</v>
      </c>
      <c r="L8971" s="21"/>
      <c r="M8971" s="21"/>
      <c r="N8971" s="21" t="s">
        <v>40</v>
      </c>
      <c r="O8971" s="21">
        <v>38</v>
      </c>
      <c r="P8971" s="21"/>
      <c r="Q8971" s="21">
        <f t="shared" si="187"/>
        <v>1</v>
      </c>
      <c r="R8971" s="21">
        <v>1</v>
      </c>
      <c r="S8971" s="21">
        <v>0</v>
      </c>
      <c r="T8971" s="21">
        <v>0</v>
      </c>
      <c r="U8971" s="21">
        <v>1</v>
      </c>
      <c r="V8971" s="21">
        <v>0</v>
      </c>
      <c r="W8971" s="21">
        <v>0</v>
      </c>
      <c r="X8971" s="21">
        <v>0</v>
      </c>
      <c r="Y8971" s="21">
        <v>0</v>
      </c>
      <c r="Z8971" s="21">
        <v>0</v>
      </c>
      <c r="AA8971" s="21">
        <v>0</v>
      </c>
      <c r="AB8971" s="21">
        <v>0</v>
      </c>
      <c r="AC8971" s="21">
        <v>0</v>
      </c>
      <c r="AD8971" s="21">
        <v>0</v>
      </c>
      <c r="AE8971" s="21">
        <v>0</v>
      </c>
      <c r="AF8971" s="21">
        <v>0</v>
      </c>
      <c r="AG8971" s="21">
        <v>0</v>
      </c>
      <c r="AH8971" s="21">
        <f t="shared" si="188"/>
        <v>32</v>
      </c>
      <c r="AI8971" s="21"/>
      <c r="AJ8971" s="21" t="s">
        <v>51</v>
      </c>
      <c r="AK8971" s="21" t="s">
        <v>95</v>
      </c>
      <c r="AL8971" s="21"/>
      <c r="AM8971" s="21" t="s">
        <v>5940</v>
      </c>
      <c r="AN8971" s="21">
        <v>-122.420867633333</v>
      </c>
      <c r="AO8971" s="21">
        <v>37.791424966666703</v>
      </c>
      <c r="AP8971" s="21" t="s">
        <v>1915</v>
      </c>
    </row>
    <row r="8972" spans="1:42">
      <c r="A8972" s="20">
        <v>43875</v>
      </c>
      <c r="B8972" s="21">
        <v>5</v>
      </c>
      <c r="C8972" s="21">
        <v>231</v>
      </c>
      <c r="D8972" s="21">
        <v>10521</v>
      </c>
      <c r="E8972" t="s">
        <v>112</v>
      </c>
      <c r="F8972" s="21" t="s">
        <v>104</v>
      </c>
      <c r="G8972" s="21">
        <v>4</v>
      </c>
      <c r="H8972" s="21">
        <v>16</v>
      </c>
      <c r="I8972" s="23" t="s">
        <v>4421</v>
      </c>
      <c r="J8972" s="21"/>
      <c r="K8972" s="21" t="s">
        <v>414</v>
      </c>
      <c r="L8972" s="21"/>
      <c r="M8972" s="21"/>
      <c r="N8972" s="21" t="s">
        <v>40</v>
      </c>
      <c r="O8972" s="21">
        <v>50</v>
      </c>
      <c r="P8972" s="21"/>
      <c r="Q8972" s="21">
        <f t="shared" si="187"/>
        <v>1</v>
      </c>
      <c r="R8972" s="21">
        <v>1</v>
      </c>
      <c r="S8972" s="21">
        <v>0</v>
      </c>
      <c r="T8972" s="21">
        <v>0</v>
      </c>
      <c r="U8972" s="21">
        <v>0</v>
      </c>
      <c r="V8972" s="21">
        <v>1</v>
      </c>
      <c r="W8972" s="21">
        <v>0</v>
      </c>
      <c r="X8972" s="21">
        <v>0</v>
      </c>
      <c r="Y8972" s="21">
        <v>0</v>
      </c>
      <c r="Z8972" s="21">
        <v>0</v>
      </c>
      <c r="AA8972" s="21">
        <v>0</v>
      </c>
      <c r="AB8972" s="21">
        <v>0</v>
      </c>
      <c r="AC8972" s="21">
        <v>0</v>
      </c>
      <c r="AD8972" s="21">
        <v>0</v>
      </c>
      <c r="AE8972" s="21">
        <v>0</v>
      </c>
      <c r="AF8972" s="21">
        <v>0</v>
      </c>
      <c r="AG8972" s="21">
        <v>0</v>
      </c>
      <c r="AH8972" s="21">
        <f t="shared" si="188"/>
        <v>64</v>
      </c>
      <c r="AI8972" s="21"/>
      <c r="AJ8972" s="21" t="s">
        <v>51</v>
      </c>
      <c r="AK8972" s="21" t="s">
        <v>95</v>
      </c>
      <c r="AL8972" s="21" t="s">
        <v>5941</v>
      </c>
      <c r="AM8972" s="21" t="s">
        <v>5942</v>
      </c>
      <c r="AN8972" s="21">
        <v>-122.420821433333</v>
      </c>
      <c r="AO8972" s="21">
        <v>37.7912346166666</v>
      </c>
      <c r="AP8972" s="21" t="s">
        <v>1915</v>
      </c>
    </row>
    <row r="8973" spans="1:42">
      <c r="A8973" s="20">
        <v>43875</v>
      </c>
      <c r="B8973" s="21">
        <v>5</v>
      </c>
      <c r="C8973" s="21">
        <v>231</v>
      </c>
      <c r="D8973" s="21">
        <v>10521</v>
      </c>
      <c r="E8973" t="s">
        <v>112</v>
      </c>
      <c r="F8973" s="21" t="s">
        <v>104</v>
      </c>
      <c r="G8973" s="21">
        <v>4</v>
      </c>
      <c r="H8973" s="21">
        <v>17</v>
      </c>
      <c r="I8973" s="23" t="s">
        <v>3171</v>
      </c>
      <c r="J8973" s="21"/>
      <c r="K8973" s="21" t="s">
        <v>414</v>
      </c>
      <c r="L8973" s="21"/>
      <c r="M8973" s="21"/>
      <c r="N8973" s="21" t="s">
        <v>40</v>
      </c>
      <c r="O8973" s="21">
        <f>120+38</f>
        <v>158</v>
      </c>
      <c r="P8973" s="21"/>
      <c r="Q8973" s="21">
        <f t="shared" si="187"/>
        <v>4</v>
      </c>
      <c r="R8973" s="21">
        <v>1</v>
      </c>
      <c r="S8973" s="21">
        <v>0</v>
      </c>
      <c r="T8973" s="21">
        <v>0</v>
      </c>
      <c r="U8973" s="21">
        <v>1</v>
      </c>
      <c r="V8973" s="21">
        <v>3</v>
      </c>
      <c r="W8973" s="21">
        <v>0</v>
      </c>
      <c r="X8973" s="21">
        <v>0</v>
      </c>
      <c r="Y8973" s="21">
        <v>0</v>
      </c>
      <c r="Z8973" s="21">
        <v>0</v>
      </c>
      <c r="AA8973" s="21">
        <v>0</v>
      </c>
      <c r="AB8973" s="21">
        <v>0</v>
      </c>
      <c r="AC8973" s="21">
        <v>0</v>
      </c>
      <c r="AD8973" s="21">
        <v>0</v>
      </c>
      <c r="AE8973" s="21">
        <v>0</v>
      </c>
      <c r="AF8973" s="21">
        <v>0</v>
      </c>
      <c r="AG8973" s="21">
        <v>0</v>
      </c>
      <c r="AH8973" s="21">
        <f t="shared" si="188"/>
        <v>224</v>
      </c>
      <c r="AI8973" s="21"/>
      <c r="AJ8973" s="21" t="s">
        <v>51</v>
      </c>
      <c r="AK8973" s="21" t="s">
        <v>95</v>
      </c>
      <c r="AL8973" s="21" t="s">
        <v>5943</v>
      </c>
      <c r="AM8973" s="21" t="s">
        <v>5944</v>
      </c>
      <c r="AN8973" s="21">
        <v>-122.42075743333299</v>
      </c>
      <c r="AO8973" s="21">
        <v>37.790934183333299</v>
      </c>
      <c r="AP8973" s="21" t="s">
        <v>1915</v>
      </c>
    </row>
    <row r="8974" spans="1:42">
      <c r="A8974" s="20">
        <v>43875</v>
      </c>
      <c r="B8974" s="21">
        <v>5</v>
      </c>
      <c r="C8974" s="21">
        <v>231</v>
      </c>
      <c r="D8974" s="21">
        <v>10521</v>
      </c>
      <c r="E8974" t="s">
        <v>112</v>
      </c>
      <c r="F8974" s="21" t="s">
        <v>104</v>
      </c>
      <c r="G8974" s="21">
        <v>4</v>
      </c>
      <c r="H8974" s="21">
        <v>18</v>
      </c>
      <c r="I8974" s="23" t="s">
        <v>5945</v>
      </c>
      <c r="J8974" s="21"/>
      <c r="K8974" s="21" t="s">
        <v>414</v>
      </c>
      <c r="L8974" s="21"/>
      <c r="M8974" s="21"/>
      <c r="N8974" s="21" t="s">
        <v>40</v>
      </c>
      <c r="O8974" s="21">
        <v>26</v>
      </c>
      <c r="P8974" s="21"/>
      <c r="Q8974" s="21">
        <f t="shared" si="187"/>
        <v>2</v>
      </c>
      <c r="R8974" s="21">
        <v>1</v>
      </c>
      <c r="S8974" s="21">
        <v>0</v>
      </c>
      <c r="T8974" s="21">
        <v>0</v>
      </c>
      <c r="U8974" s="21">
        <v>1</v>
      </c>
      <c r="V8974" s="21">
        <v>0</v>
      </c>
      <c r="W8974" s="21">
        <v>0</v>
      </c>
      <c r="X8974" s="21">
        <v>1</v>
      </c>
      <c r="Y8974" s="21">
        <v>0</v>
      </c>
      <c r="Z8974" s="21">
        <v>0</v>
      </c>
      <c r="AA8974" s="21">
        <v>0</v>
      </c>
      <c r="AB8974" s="21">
        <v>0</v>
      </c>
      <c r="AC8974" s="21">
        <v>0</v>
      </c>
      <c r="AD8974" s="21">
        <v>0</v>
      </c>
      <c r="AE8974" s="21">
        <v>0</v>
      </c>
      <c r="AF8974" s="21">
        <v>0</v>
      </c>
      <c r="AG8974" s="21">
        <v>0</v>
      </c>
      <c r="AH8974" s="21">
        <f t="shared" si="188"/>
        <v>32</v>
      </c>
      <c r="AI8974" s="21"/>
      <c r="AJ8974" s="21" t="s">
        <v>51</v>
      </c>
      <c r="AK8974" s="21" t="s">
        <v>95</v>
      </c>
      <c r="AL8974" s="21" t="s">
        <v>5946</v>
      </c>
      <c r="AM8974" s="21" t="s">
        <v>5947</v>
      </c>
      <c r="AN8974" s="21">
        <v>-122.420766016667</v>
      </c>
      <c r="AO8974" s="21">
        <v>37.790716216666702</v>
      </c>
      <c r="AP8974" s="21" t="s">
        <v>1915</v>
      </c>
    </row>
    <row r="8975" spans="1:42">
      <c r="A8975" s="20">
        <v>43875</v>
      </c>
      <c r="B8975" s="21">
        <v>5</v>
      </c>
      <c r="C8975" s="21">
        <v>231</v>
      </c>
      <c r="D8975" s="21">
        <v>10521</v>
      </c>
      <c r="E8975" t="s">
        <v>112</v>
      </c>
      <c r="F8975" s="21" t="s">
        <v>104</v>
      </c>
      <c r="G8975" s="21">
        <v>4</v>
      </c>
      <c r="H8975" s="21">
        <v>19</v>
      </c>
      <c r="I8975" s="23" t="s">
        <v>5948</v>
      </c>
      <c r="J8975" s="21"/>
      <c r="K8975" s="21" t="s">
        <v>414</v>
      </c>
      <c r="L8975" s="21"/>
      <c r="M8975" s="21"/>
      <c r="N8975" s="21" t="s">
        <v>40</v>
      </c>
      <c r="O8975" s="21">
        <v>32</v>
      </c>
      <c r="P8975" s="21"/>
      <c r="Q8975" s="21">
        <f t="shared" si="187"/>
        <v>1</v>
      </c>
      <c r="R8975" s="21">
        <v>1</v>
      </c>
      <c r="S8975" s="21">
        <v>0</v>
      </c>
      <c r="T8975" s="21">
        <v>0</v>
      </c>
      <c r="U8975" s="21">
        <v>1</v>
      </c>
      <c r="V8975" s="21">
        <v>0</v>
      </c>
      <c r="W8975" s="21">
        <v>0</v>
      </c>
      <c r="X8975" s="21">
        <v>0</v>
      </c>
      <c r="Y8975" s="21">
        <v>0</v>
      </c>
      <c r="Z8975" s="21">
        <v>0</v>
      </c>
      <c r="AA8975" s="21">
        <v>0</v>
      </c>
      <c r="AB8975" s="21">
        <v>0</v>
      </c>
      <c r="AC8975" s="21">
        <v>0</v>
      </c>
      <c r="AD8975" s="21">
        <v>0</v>
      </c>
      <c r="AE8975" s="21">
        <v>0</v>
      </c>
      <c r="AF8975" s="21">
        <v>0</v>
      </c>
      <c r="AG8975" s="21">
        <v>0</v>
      </c>
      <c r="AH8975" s="21">
        <f t="shared" si="188"/>
        <v>32</v>
      </c>
      <c r="AI8975" s="21"/>
      <c r="AJ8975" s="21" t="s">
        <v>51</v>
      </c>
      <c r="AK8975" s="21" t="s">
        <v>95</v>
      </c>
      <c r="AL8975" s="21"/>
      <c r="AM8975" s="21" t="s">
        <v>5949</v>
      </c>
      <c r="AN8975" s="21">
        <v>-122.42077075</v>
      </c>
      <c r="AO8975" s="21">
        <v>37.790726566666599</v>
      </c>
      <c r="AP8975" s="21" t="s">
        <v>1915</v>
      </c>
    </row>
    <row r="8976" spans="1:42">
      <c r="A8976" s="20">
        <v>43875</v>
      </c>
      <c r="B8976" s="21">
        <v>5</v>
      </c>
      <c r="C8976" s="21">
        <v>231</v>
      </c>
      <c r="D8976" s="21">
        <v>10521</v>
      </c>
      <c r="E8976" t="s">
        <v>112</v>
      </c>
      <c r="F8976" s="21" t="s">
        <v>104</v>
      </c>
      <c r="G8976" s="21">
        <v>4</v>
      </c>
      <c r="H8976" s="21">
        <v>20</v>
      </c>
      <c r="I8976" s="23" t="s">
        <v>5950</v>
      </c>
      <c r="J8976" s="21"/>
      <c r="K8976" s="21" t="s">
        <v>414</v>
      </c>
      <c r="L8976" s="21"/>
      <c r="M8976" s="21"/>
      <c r="N8976" s="21" t="s">
        <v>40</v>
      </c>
      <c r="O8976" s="21">
        <f>60+52</f>
        <v>112</v>
      </c>
      <c r="P8976" s="21"/>
      <c r="Q8976" s="21">
        <f t="shared" si="187"/>
        <v>5</v>
      </c>
      <c r="R8976" s="21">
        <v>1</v>
      </c>
      <c r="S8976" s="21">
        <v>0</v>
      </c>
      <c r="T8976" s="21">
        <v>0</v>
      </c>
      <c r="U8976" s="21">
        <v>1</v>
      </c>
      <c r="V8976" s="21">
        <v>4</v>
      </c>
      <c r="W8976" s="21">
        <v>0</v>
      </c>
      <c r="X8976" s="21">
        <v>0</v>
      </c>
      <c r="Y8976" s="21">
        <v>0</v>
      </c>
      <c r="Z8976" s="21">
        <v>0</v>
      </c>
      <c r="AA8976" s="21">
        <v>0</v>
      </c>
      <c r="AB8976" s="21">
        <v>0</v>
      </c>
      <c r="AC8976" s="21">
        <v>0</v>
      </c>
      <c r="AD8976" s="21">
        <v>0</v>
      </c>
      <c r="AE8976" s="21">
        <v>0</v>
      </c>
      <c r="AF8976" s="21">
        <v>0</v>
      </c>
      <c r="AG8976" s="21">
        <v>0</v>
      </c>
      <c r="AH8976" s="21">
        <f t="shared" si="188"/>
        <v>288</v>
      </c>
      <c r="AI8976" s="21"/>
      <c r="AJ8976" s="21" t="s">
        <v>51</v>
      </c>
      <c r="AK8976" s="21" t="s">
        <v>95</v>
      </c>
      <c r="AL8976" s="21"/>
      <c r="AM8976" s="21" t="s">
        <v>5951</v>
      </c>
      <c r="AN8976" s="21">
        <v>-122.420702683333</v>
      </c>
      <c r="AO8976" s="21">
        <v>37.790264716666599</v>
      </c>
      <c r="AP8976" s="21" t="s">
        <v>1915</v>
      </c>
    </row>
    <row r="8977" spans="1:42">
      <c r="A8977" s="20">
        <v>43875</v>
      </c>
      <c r="B8977" s="21">
        <v>5</v>
      </c>
      <c r="C8977" s="21">
        <v>231</v>
      </c>
      <c r="D8977" s="21">
        <v>10521</v>
      </c>
      <c r="E8977" t="s">
        <v>112</v>
      </c>
      <c r="F8977" s="21" t="s">
        <v>104</v>
      </c>
      <c r="G8977" s="21">
        <v>4</v>
      </c>
      <c r="H8977" s="21">
        <v>21</v>
      </c>
      <c r="I8977" s="23" t="s">
        <v>5952</v>
      </c>
      <c r="J8977" s="21"/>
      <c r="K8977" s="21" t="s">
        <v>414</v>
      </c>
      <c r="L8977" s="21"/>
      <c r="M8977" s="21"/>
      <c r="N8977" s="21" t="s">
        <v>40</v>
      </c>
      <c r="O8977" s="21">
        <f>120+36</f>
        <v>156</v>
      </c>
      <c r="P8977" s="21"/>
      <c r="Q8977" s="21">
        <f t="shared" si="187"/>
        <v>3</v>
      </c>
      <c r="R8977" s="21">
        <v>1</v>
      </c>
      <c r="S8977" s="21">
        <v>0</v>
      </c>
      <c r="T8977" s="21">
        <v>0</v>
      </c>
      <c r="U8977" s="21">
        <v>2</v>
      </c>
      <c r="V8977" s="21">
        <v>1</v>
      </c>
      <c r="W8977" s="21">
        <v>0</v>
      </c>
      <c r="X8977" s="21">
        <v>0</v>
      </c>
      <c r="Y8977" s="21">
        <v>0</v>
      </c>
      <c r="Z8977" s="21">
        <v>0</v>
      </c>
      <c r="AA8977" s="21">
        <v>0</v>
      </c>
      <c r="AB8977" s="21">
        <v>0</v>
      </c>
      <c r="AC8977" s="21">
        <v>0</v>
      </c>
      <c r="AD8977" s="21">
        <v>0</v>
      </c>
      <c r="AE8977" s="21">
        <v>0</v>
      </c>
      <c r="AF8977" s="21">
        <v>0</v>
      </c>
      <c r="AG8977" s="21">
        <v>0</v>
      </c>
      <c r="AH8977" s="21">
        <f t="shared" si="188"/>
        <v>128</v>
      </c>
      <c r="AI8977" s="21"/>
      <c r="AJ8977" s="21" t="s">
        <v>51</v>
      </c>
      <c r="AK8977" s="21" t="s">
        <v>95</v>
      </c>
      <c r="AL8977" s="21"/>
      <c r="AM8977" s="21" t="s">
        <v>5953</v>
      </c>
      <c r="AN8977" s="21">
        <v>-122.42071867607601</v>
      </c>
      <c r="AO8977" s="21">
        <v>37.788652986655698</v>
      </c>
      <c r="AP8977" s="21" t="s">
        <v>1915</v>
      </c>
    </row>
    <row r="8978" spans="1:42">
      <c r="A8978" s="20">
        <v>43875</v>
      </c>
      <c r="B8978" s="21">
        <v>5</v>
      </c>
      <c r="C8978" s="21">
        <v>231</v>
      </c>
      <c r="D8978" s="21">
        <v>10521</v>
      </c>
      <c r="E8978" t="s">
        <v>112</v>
      </c>
      <c r="F8978" s="21" t="s">
        <v>104</v>
      </c>
      <c r="G8978" s="21">
        <v>4</v>
      </c>
      <c r="H8978" s="21">
        <v>22</v>
      </c>
      <c r="I8978" s="23" t="s">
        <v>5954</v>
      </c>
      <c r="J8978" s="21"/>
      <c r="K8978" s="21" t="s">
        <v>414</v>
      </c>
      <c r="L8978" s="21"/>
      <c r="M8978" s="21"/>
      <c r="N8978" s="21" t="s">
        <v>40</v>
      </c>
      <c r="O8978" s="21">
        <f>60+29</f>
        <v>89</v>
      </c>
      <c r="P8978" s="21"/>
      <c r="Q8978" s="21">
        <f t="shared" si="187"/>
        <v>1</v>
      </c>
      <c r="R8978" s="21">
        <v>1</v>
      </c>
      <c r="S8978" s="21">
        <v>0</v>
      </c>
      <c r="T8978" s="21">
        <v>0</v>
      </c>
      <c r="U8978" s="21">
        <v>1</v>
      </c>
      <c r="V8978" s="21">
        <v>0</v>
      </c>
      <c r="W8978" s="21">
        <v>0</v>
      </c>
      <c r="X8978" s="21">
        <v>0</v>
      </c>
      <c r="Y8978" s="21">
        <v>0</v>
      </c>
      <c r="Z8978" s="21">
        <v>0</v>
      </c>
      <c r="AA8978" s="21">
        <v>0</v>
      </c>
      <c r="AB8978" s="21">
        <v>0</v>
      </c>
      <c r="AC8978" s="21">
        <v>0</v>
      </c>
      <c r="AD8978" s="21">
        <v>0</v>
      </c>
      <c r="AE8978" s="21">
        <v>0</v>
      </c>
      <c r="AF8978" s="21">
        <v>0</v>
      </c>
      <c r="AG8978" s="21">
        <v>0</v>
      </c>
      <c r="AH8978" s="21">
        <f t="shared" si="188"/>
        <v>32</v>
      </c>
      <c r="AI8978" s="21"/>
      <c r="AJ8978" s="21" t="s">
        <v>51</v>
      </c>
      <c r="AK8978" s="21" t="s">
        <v>95</v>
      </c>
      <c r="AL8978" s="21"/>
      <c r="AM8978" s="21" t="s">
        <v>5955</v>
      </c>
      <c r="AN8978" s="21">
        <v>-122.420698283333</v>
      </c>
      <c r="AO8978" s="21">
        <v>37.790143550000003</v>
      </c>
      <c r="AP8978" s="21" t="s">
        <v>1915</v>
      </c>
    </row>
    <row r="8979" spans="1:42">
      <c r="A8979" s="20">
        <v>43875</v>
      </c>
      <c r="B8979" s="21">
        <v>5</v>
      </c>
      <c r="C8979" s="21">
        <v>231</v>
      </c>
      <c r="D8979" s="21">
        <v>10521</v>
      </c>
      <c r="E8979" t="s">
        <v>112</v>
      </c>
      <c r="F8979" s="21" t="s">
        <v>104</v>
      </c>
      <c r="G8979" s="21">
        <v>4</v>
      </c>
      <c r="H8979" s="21">
        <v>23</v>
      </c>
      <c r="I8979" s="23" t="s">
        <v>5956</v>
      </c>
      <c r="J8979" s="21"/>
      <c r="K8979" s="21" t="s">
        <v>414</v>
      </c>
      <c r="L8979" s="21"/>
      <c r="M8979" s="21"/>
      <c r="N8979" s="21" t="s">
        <v>40</v>
      </c>
      <c r="O8979" s="21">
        <v>42</v>
      </c>
      <c r="P8979" s="21"/>
      <c r="Q8979" s="21">
        <f t="shared" si="187"/>
        <v>1</v>
      </c>
      <c r="R8979" s="21">
        <v>1</v>
      </c>
      <c r="S8979" s="21">
        <v>0</v>
      </c>
      <c r="T8979" s="21">
        <v>0</v>
      </c>
      <c r="U8979" s="21">
        <v>0</v>
      </c>
      <c r="V8979" s="21">
        <v>1</v>
      </c>
      <c r="W8979" s="21">
        <v>0</v>
      </c>
      <c r="X8979" s="21">
        <v>0</v>
      </c>
      <c r="Y8979" s="21">
        <v>0</v>
      </c>
      <c r="Z8979" s="21">
        <v>0</v>
      </c>
      <c r="AA8979" s="21">
        <v>0</v>
      </c>
      <c r="AB8979" s="21">
        <v>0</v>
      </c>
      <c r="AC8979" s="21">
        <v>0</v>
      </c>
      <c r="AD8979" s="21">
        <v>0</v>
      </c>
      <c r="AE8979" s="21">
        <v>0</v>
      </c>
      <c r="AF8979" s="21">
        <v>0</v>
      </c>
      <c r="AG8979" s="21">
        <v>0</v>
      </c>
      <c r="AH8979" s="21">
        <f t="shared" si="188"/>
        <v>64</v>
      </c>
      <c r="AI8979" s="21"/>
      <c r="AJ8979" s="21"/>
      <c r="AK8979" s="21"/>
      <c r="AL8979" s="21"/>
      <c r="AM8979" s="21" t="s">
        <v>5957</v>
      </c>
      <c r="AN8979" s="21">
        <v>-122.421236903368</v>
      </c>
      <c r="AO8979" s="21">
        <v>37.7903462120846</v>
      </c>
      <c r="AP8979" s="21" t="s">
        <v>1915</v>
      </c>
    </row>
    <row r="8980" spans="1:42">
      <c r="A8980" s="20">
        <v>43875</v>
      </c>
      <c r="B8980" s="21">
        <v>5</v>
      </c>
      <c r="C8980" s="21">
        <v>231</v>
      </c>
      <c r="D8980" s="21">
        <v>10521</v>
      </c>
      <c r="E8980" t="s">
        <v>112</v>
      </c>
      <c r="F8980" s="21" t="s">
        <v>104</v>
      </c>
      <c r="G8980" s="21">
        <v>4</v>
      </c>
      <c r="H8980" s="21">
        <v>24</v>
      </c>
      <c r="I8980" s="23" t="s">
        <v>5958</v>
      </c>
      <c r="J8980" s="21"/>
      <c r="K8980" s="21" t="s">
        <v>414</v>
      </c>
      <c r="L8980" s="21"/>
      <c r="M8980" s="21"/>
      <c r="N8980" s="21" t="s">
        <v>40</v>
      </c>
      <c r="O8980" s="21">
        <v>124</v>
      </c>
      <c r="P8980" s="21"/>
      <c r="Q8980" s="21">
        <f t="shared" si="187"/>
        <v>4</v>
      </c>
      <c r="R8980" s="21">
        <v>1</v>
      </c>
      <c r="S8980" s="21">
        <v>0</v>
      </c>
      <c r="T8980" s="21">
        <v>0</v>
      </c>
      <c r="U8980" s="21">
        <v>2</v>
      </c>
      <c r="V8980" s="21">
        <v>2</v>
      </c>
      <c r="W8980" s="21">
        <v>0</v>
      </c>
      <c r="X8980" s="21">
        <v>0</v>
      </c>
      <c r="Y8980" s="21">
        <v>0</v>
      </c>
      <c r="Z8980" s="21">
        <v>0</v>
      </c>
      <c r="AA8980" s="21">
        <v>0</v>
      </c>
      <c r="AB8980" s="21">
        <v>0</v>
      </c>
      <c r="AC8980" s="21">
        <v>0</v>
      </c>
      <c r="AD8980" s="21">
        <v>0</v>
      </c>
      <c r="AE8980" s="21">
        <v>0</v>
      </c>
      <c r="AF8980" s="21">
        <v>0</v>
      </c>
      <c r="AG8980" s="21">
        <v>0</v>
      </c>
      <c r="AH8980" s="21">
        <f t="shared" si="188"/>
        <v>192</v>
      </c>
      <c r="AI8980" s="21"/>
      <c r="AJ8980" s="21"/>
      <c r="AK8980" s="21"/>
      <c r="AL8980" s="21"/>
      <c r="AM8980" s="21" t="s">
        <v>5959</v>
      </c>
      <c r="AN8980" s="21">
        <v>-122.420643883333</v>
      </c>
      <c r="AO8980" s="21">
        <v>37.7897926666666</v>
      </c>
      <c r="AP8980" s="21" t="s">
        <v>1915</v>
      </c>
    </row>
    <row r="8981" spans="1:42">
      <c r="A8981" s="20">
        <v>43875</v>
      </c>
      <c r="B8981" s="21">
        <v>5</v>
      </c>
      <c r="C8981" s="21">
        <v>231</v>
      </c>
      <c r="D8981" s="21">
        <v>10521</v>
      </c>
      <c r="E8981" t="s">
        <v>112</v>
      </c>
      <c r="F8981" s="21" t="s">
        <v>104</v>
      </c>
      <c r="G8981" s="21">
        <v>4</v>
      </c>
      <c r="H8981" s="21">
        <v>25</v>
      </c>
      <c r="I8981" s="23" t="s">
        <v>3277</v>
      </c>
      <c r="J8981" s="21"/>
      <c r="K8981" s="21" t="s">
        <v>414</v>
      </c>
      <c r="L8981" s="21"/>
      <c r="M8981" s="21"/>
      <c r="N8981" s="21" t="s">
        <v>40</v>
      </c>
      <c r="O8981" s="21">
        <v>71</v>
      </c>
      <c r="P8981" s="21"/>
      <c r="Q8981" s="21">
        <f t="shared" si="187"/>
        <v>3</v>
      </c>
      <c r="R8981" s="21">
        <v>1</v>
      </c>
      <c r="S8981" s="21">
        <v>0</v>
      </c>
      <c r="T8981" s="21">
        <v>0</v>
      </c>
      <c r="U8981" s="21">
        <v>1</v>
      </c>
      <c r="V8981" s="21">
        <v>1</v>
      </c>
      <c r="W8981" s="21">
        <v>0</v>
      </c>
      <c r="X8981" s="21">
        <v>1</v>
      </c>
      <c r="Y8981" s="21">
        <v>0</v>
      </c>
      <c r="Z8981" s="21">
        <v>0</v>
      </c>
      <c r="AA8981" s="21">
        <v>0</v>
      </c>
      <c r="AB8981" s="21">
        <v>0</v>
      </c>
      <c r="AC8981" s="21">
        <v>0</v>
      </c>
      <c r="AD8981" s="21">
        <v>0</v>
      </c>
      <c r="AE8981" s="21">
        <v>0</v>
      </c>
      <c r="AF8981" s="21">
        <v>0</v>
      </c>
      <c r="AG8981" s="21">
        <v>0</v>
      </c>
      <c r="AH8981" s="21">
        <f t="shared" si="188"/>
        <v>96</v>
      </c>
      <c r="AI8981" s="21"/>
      <c r="AJ8981" s="21"/>
      <c r="AK8981" s="21"/>
      <c r="AL8981" s="21" t="s">
        <v>456</v>
      </c>
      <c r="AM8981" s="21" t="s">
        <v>5960</v>
      </c>
      <c r="AN8981" s="21">
        <v>-122.420607416667</v>
      </c>
      <c r="AO8981" s="21">
        <v>37.789733583333302</v>
      </c>
      <c r="AP8981" s="21" t="s">
        <v>1915</v>
      </c>
    </row>
    <row r="8982" spans="1:42">
      <c r="A8982" s="20">
        <v>43875</v>
      </c>
      <c r="B8982" s="21">
        <v>5</v>
      </c>
      <c r="C8982" s="21">
        <v>231</v>
      </c>
      <c r="D8982" s="21">
        <v>10521</v>
      </c>
      <c r="E8982" t="s">
        <v>112</v>
      </c>
      <c r="F8982" s="21" t="s">
        <v>104</v>
      </c>
      <c r="G8982" s="21">
        <v>4</v>
      </c>
      <c r="H8982" s="21">
        <v>26</v>
      </c>
      <c r="I8982" s="23">
        <v>1303</v>
      </c>
      <c r="J8982" s="21"/>
      <c r="K8982" s="21" t="s">
        <v>414</v>
      </c>
      <c r="L8982" s="21"/>
      <c r="M8982" s="21"/>
      <c r="N8982" s="21" t="s">
        <v>40</v>
      </c>
      <c r="O8982" s="21">
        <v>69</v>
      </c>
      <c r="P8982" s="21"/>
      <c r="Q8982" s="21">
        <f t="shared" si="187"/>
        <v>3</v>
      </c>
      <c r="R8982" s="21">
        <v>1</v>
      </c>
      <c r="S8982" s="21">
        <v>0</v>
      </c>
      <c r="T8982" s="21">
        <v>0</v>
      </c>
      <c r="U8982" s="21">
        <v>1</v>
      </c>
      <c r="V8982" s="21">
        <v>1</v>
      </c>
      <c r="W8982" s="21">
        <v>0</v>
      </c>
      <c r="X8982" s="21">
        <v>1</v>
      </c>
      <c r="Y8982" s="21">
        <v>0</v>
      </c>
      <c r="Z8982" s="21">
        <v>0</v>
      </c>
      <c r="AA8982" s="21">
        <v>0</v>
      </c>
      <c r="AB8982" s="21">
        <v>0</v>
      </c>
      <c r="AC8982" s="21">
        <v>0</v>
      </c>
      <c r="AD8982" s="21">
        <v>0</v>
      </c>
      <c r="AE8982" s="21">
        <v>0</v>
      </c>
      <c r="AF8982" s="21">
        <v>0</v>
      </c>
      <c r="AG8982" s="21">
        <v>0</v>
      </c>
      <c r="AH8982" s="21">
        <f t="shared" si="188"/>
        <v>96</v>
      </c>
      <c r="AI8982" s="21"/>
      <c r="AJ8982" s="21" t="s">
        <v>51</v>
      </c>
      <c r="AK8982" s="21" t="s">
        <v>95</v>
      </c>
      <c r="AL8982" s="21" t="s">
        <v>5961</v>
      </c>
      <c r="AM8982" s="21" t="s">
        <v>5962</v>
      </c>
      <c r="AN8982" s="21">
        <v>-122.42057681666699</v>
      </c>
      <c r="AO8982" s="21">
        <v>37.789473933333298</v>
      </c>
      <c r="AP8982" s="21" t="s">
        <v>1915</v>
      </c>
    </row>
    <row r="8983" spans="1:42">
      <c r="A8983" s="20">
        <v>43875</v>
      </c>
      <c r="B8983" s="21">
        <v>5</v>
      </c>
      <c r="C8983" s="21">
        <v>231</v>
      </c>
      <c r="D8983" s="21">
        <v>10521</v>
      </c>
      <c r="E8983" t="s">
        <v>112</v>
      </c>
      <c r="F8983" s="21" t="s">
        <v>104</v>
      </c>
      <c r="G8983" s="21">
        <v>4</v>
      </c>
      <c r="H8983" s="21">
        <v>27</v>
      </c>
      <c r="I8983" s="23">
        <v>1331</v>
      </c>
      <c r="J8983" s="21"/>
      <c r="K8983" s="21" t="s">
        <v>414</v>
      </c>
      <c r="L8983" s="21"/>
      <c r="M8983" s="21"/>
      <c r="N8983" s="21" t="s">
        <v>40</v>
      </c>
      <c r="O8983" s="21">
        <v>71</v>
      </c>
      <c r="P8983" s="21"/>
      <c r="Q8983" s="21">
        <f t="shared" si="187"/>
        <v>4</v>
      </c>
      <c r="R8983" s="21">
        <v>1</v>
      </c>
      <c r="S8983" s="21">
        <v>0</v>
      </c>
      <c r="T8983" s="21">
        <v>0</v>
      </c>
      <c r="U8983" s="21">
        <v>2</v>
      </c>
      <c r="V8983" s="21">
        <v>0</v>
      </c>
      <c r="W8983" s="21">
        <v>0</v>
      </c>
      <c r="X8983" s="21">
        <v>2</v>
      </c>
      <c r="Y8983" s="21">
        <v>0</v>
      </c>
      <c r="Z8983" s="21">
        <v>0</v>
      </c>
      <c r="AA8983" s="21">
        <v>0</v>
      </c>
      <c r="AB8983" s="21">
        <v>0</v>
      </c>
      <c r="AC8983" s="21">
        <v>0</v>
      </c>
      <c r="AD8983" s="21">
        <v>0</v>
      </c>
      <c r="AE8983" s="21">
        <v>0</v>
      </c>
      <c r="AF8983" s="21">
        <v>0</v>
      </c>
      <c r="AG8983" s="21">
        <v>0</v>
      </c>
      <c r="AH8983" s="21">
        <f t="shared" si="188"/>
        <v>64</v>
      </c>
      <c r="AI8983" s="21"/>
      <c r="AJ8983" s="21" t="s">
        <v>51</v>
      </c>
      <c r="AK8983" s="21" t="s">
        <v>95</v>
      </c>
      <c r="AL8983" s="21" t="s">
        <v>5963</v>
      </c>
      <c r="AM8983" s="21" t="s">
        <v>5964</v>
      </c>
      <c r="AN8983" s="21">
        <v>-122.418787916667</v>
      </c>
      <c r="AO8983" s="21">
        <v>37.788915549999999</v>
      </c>
      <c r="AP8983" s="21" t="s">
        <v>1915</v>
      </c>
    </row>
    <row r="8984" spans="1:42">
      <c r="A8984" s="20">
        <v>43875</v>
      </c>
      <c r="B8984" s="21">
        <v>5</v>
      </c>
      <c r="C8984" s="21">
        <v>231</v>
      </c>
      <c r="D8984" s="21">
        <v>10521</v>
      </c>
      <c r="E8984" t="s">
        <v>112</v>
      </c>
      <c r="F8984" s="21" t="s">
        <v>104</v>
      </c>
      <c r="G8984" s="21">
        <v>4</v>
      </c>
      <c r="H8984" s="21">
        <v>28</v>
      </c>
      <c r="I8984" s="23">
        <v>1336</v>
      </c>
      <c r="J8984" s="21"/>
      <c r="K8984" s="21" t="s">
        <v>414</v>
      </c>
      <c r="L8984" s="21"/>
      <c r="M8984" s="21"/>
      <c r="N8984" s="21" t="s">
        <v>40</v>
      </c>
      <c r="O8984" s="21">
        <f>60+32</f>
        <v>92</v>
      </c>
      <c r="P8984" s="21"/>
      <c r="Q8984" s="21">
        <f t="shared" si="187"/>
        <v>1</v>
      </c>
      <c r="R8984" s="21">
        <v>1</v>
      </c>
      <c r="S8984" s="21">
        <v>0</v>
      </c>
      <c r="T8984" s="21">
        <v>0</v>
      </c>
      <c r="U8984" s="21">
        <v>0</v>
      </c>
      <c r="V8984" s="21">
        <v>0</v>
      </c>
      <c r="W8984" s="21">
        <v>1</v>
      </c>
      <c r="X8984" s="21">
        <v>0</v>
      </c>
      <c r="Y8984" s="21">
        <v>0</v>
      </c>
      <c r="Z8984" s="21">
        <v>0</v>
      </c>
      <c r="AA8984" s="21">
        <v>0</v>
      </c>
      <c r="AB8984" s="21">
        <v>0</v>
      </c>
      <c r="AC8984" s="21">
        <v>0</v>
      </c>
      <c r="AD8984" s="21">
        <v>0</v>
      </c>
      <c r="AE8984" s="21">
        <v>0</v>
      </c>
      <c r="AF8984" s="21">
        <v>0</v>
      </c>
      <c r="AG8984" s="21">
        <v>0</v>
      </c>
      <c r="AH8984" s="21">
        <f t="shared" si="188"/>
        <v>96</v>
      </c>
      <c r="AI8984" s="21"/>
      <c r="AJ8984" s="21" t="s">
        <v>51</v>
      </c>
      <c r="AK8984" s="21" t="s">
        <v>95</v>
      </c>
      <c r="AL8984" s="21" t="s">
        <v>5965</v>
      </c>
      <c r="AM8984" s="21" t="s">
        <v>5966</v>
      </c>
      <c r="AN8984" s="21">
        <v>-122.419090133333</v>
      </c>
      <c r="AO8984" s="21">
        <v>37.789335666666602</v>
      </c>
      <c r="AP8984" s="21" t="s">
        <v>1915</v>
      </c>
    </row>
    <row r="8985" spans="1:42">
      <c r="A8985" s="20">
        <v>43875</v>
      </c>
      <c r="B8985" s="21">
        <v>5</v>
      </c>
      <c r="C8985" s="21">
        <v>231</v>
      </c>
      <c r="D8985" s="21">
        <v>10521</v>
      </c>
      <c r="E8985" t="s">
        <v>112</v>
      </c>
      <c r="F8985" s="21" t="s">
        <v>104</v>
      </c>
      <c r="G8985" s="21">
        <v>4</v>
      </c>
      <c r="H8985" s="21">
        <v>29</v>
      </c>
      <c r="I8985" s="23" t="s">
        <v>5967</v>
      </c>
      <c r="J8985" s="21"/>
      <c r="K8985" s="21" t="s">
        <v>414</v>
      </c>
      <c r="L8985" s="21"/>
      <c r="M8985" s="21"/>
      <c r="N8985" s="21" t="s">
        <v>40</v>
      </c>
      <c r="O8985" s="21">
        <v>45</v>
      </c>
      <c r="P8985" s="21"/>
      <c r="Q8985" s="21">
        <f t="shared" si="187"/>
        <v>4</v>
      </c>
      <c r="R8985" s="21">
        <v>1</v>
      </c>
      <c r="S8985" s="21">
        <v>0</v>
      </c>
      <c r="T8985" s="21">
        <v>0</v>
      </c>
      <c r="U8985" s="21">
        <v>3</v>
      </c>
      <c r="V8985" s="21">
        <v>0</v>
      </c>
      <c r="W8985" s="21">
        <v>0</v>
      </c>
      <c r="X8985" s="21">
        <v>1</v>
      </c>
      <c r="Y8985" s="21">
        <v>0</v>
      </c>
      <c r="Z8985" s="21">
        <v>0</v>
      </c>
      <c r="AA8985" s="21">
        <v>0</v>
      </c>
      <c r="AB8985" s="21">
        <v>0</v>
      </c>
      <c r="AC8985" s="21">
        <v>0</v>
      </c>
      <c r="AD8985" s="21">
        <v>0</v>
      </c>
      <c r="AE8985" s="21">
        <v>0</v>
      </c>
      <c r="AF8985" s="21">
        <v>0</v>
      </c>
      <c r="AG8985" s="21">
        <v>0</v>
      </c>
      <c r="AH8985" s="21">
        <f t="shared" si="188"/>
        <v>96</v>
      </c>
      <c r="AI8985" s="21"/>
      <c r="AJ8985" s="21" t="s">
        <v>51</v>
      </c>
      <c r="AK8985" s="21" t="s">
        <v>95</v>
      </c>
      <c r="AL8985" s="21" t="s">
        <v>5968</v>
      </c>
      <c r="AM8985" s="21" t="s">
        <v>5969</v>
      </c>
      <c r="AN8985" s="21">
        <v>-122.420436466667</v>
      </c>
      <c r="AO8985" s="21">
        <v>37.788857866666703</v>
      </c>
      <c r="AP8985" s="21" t="s">
        <v>1915</v>
      </c>
    </row>
    <row r="8986" spans="1:42">
      <c r="A8986" s="20">
        <v>43875</v>
      </c>
      <c r="B8986" s="21">
        <v>5</v>
      </c>
      <c r="C8986" s="21">
        <v>231</v>
      </c>
      <c r="D8986" s="21">
        <v>10521</v>
      </c>
      <c r="E8986" t="s">
        <v>112</v>
      </c>
      <c r="F8986" s="21" t="s">
        <v>104</v>
      </c>
      <c r="G8986" s="21">
        <v>4</v>
      </c>
      <c r="H8986" s="21">
        <v>30</v>
      </c>
      <c r="I8986" s="23" t="s">
        <v>5970</v>
      </c>
      <c r="J8986" s="21"/>
      <c r="K8986" s="21" t="s">
        <v>414</v>
      </c>
      <c r="L8986" s="21"/>
      <c r="M8986" s="21"/>
      <c r="N8986" s="21" t="s">
        <v>40</v>
      </c>
      <c r="O8986" s="21">
        <f>120+60+47</f>
        <v>227</v>
      </c>
      <c r="P8986" s="21"/>
      <c r="Q8986" s="21">
        <f t="shared" si="187"/>
        <v>6</v>
      </c>
      <c r="R8986" s="21">
        <v>1</v>
      </c>
      <c r="S8986" s="21">
        <v>0</v>
      </c>
      <c r="T8986" s="21">
        <v>0</v>
      </c>
      <c r="U8986" s="21">
        <v>3</v>
      </c>
      <c r="V8986" s="21">
        <v>2</v>
      </c>
      <c r="W8986" s="21">
        <v>1</v>
      </c>
      <c r="X8986" s="21">
        <v>0</v>
      </c>
      <c r="Y8986" s="21">
        <v>0</v>
      </c>
      <c r="Z8986" s="21">
        <v>0</v>
      </c>
      <c r="AA8986" s="21">
        <v>0</v>
      </c>
      <c r="AB8986" s="21">
        <v>0</v>
      </c>
      <c r="AC8986" s="21">
        <v>0</v>
      </c>
      <c r="AD8986" s="21">
        <v>0</v>
      </c>
      <c r="AE8986" s="21">
        <v>0</v>
      </c>
      <c r="AF8986" s="21">
        <v>0</v>
      </c>
      <c r="AG8986" s="21">
        <v>0</v>
      </c>
      <c r="AH8986" s="21">
        <f t="shared" si="188"/>
        <v>320</v>
      </c>
      <c r="AI8986" s="21"/>
      <c r="AJ8986" s="21" t="s">
        <v>51</v>
      </c>
      <c r="AK8986" s="21" t="s">
        <v>95</v>
      </c>
      <c r="AL8986" s="21" t="s">
        <v>5971</v>
      </c>
      <c r="AM8986" s="21" t="s">
        <v>5972</v>
      </c>
      <c r="AN8986" s="21">
        <v>-122.420320933333</v>
      </c>
      <c r="AO8986" s="21">
        <v>37.788467916666598</v>
      </c>
      <c r="AP8986" s="21" t="s">
        <v>1915</v>
      </c>
    </row>
    <row r="8987" spans="1:42">
      <c r="A8987" s="20">
        <v>43875</v>
      </c>
      <c r="B8987" s="21">
        <v>5</v>
      </c>
      <c r="C8987" s="21">
        <v>231</v>
      </c>
      <c r="D8987" s="21">
        <v>10521</v>
      </c>
      <c r="E8987" t="s">
        <v>112</v>
      </c>
      <c r="F8987" s="21" t="s">
        <v>104</v>
      </c>
      <c r="G8987" s="21">
        <v>4</v>
      </c>
      <c r="H8987" s="21">
        <v>31</v>
      </c>
      <c r="I8987" s="23" t="s">
        <v>5973</v>
      </c>
      <c r="J8987" s="21"/>
      <c r="K8987" s="21" t="s">
        <v>414</v>
      </c>
      <c r="L8987" s="21"/>
      <c r="M8987" s="21"/>
      <c r="N8987" s="21" t="s">
        <v>40</v>
      </c>
      <c r="O8987" s="21">
        <v>36</v>
      </c>
      <c r="P8987" s="21"/>
      <c r="Q8987" s="21">
        <f t="shared" si="187"/>
        <v>1</v>
      </c>
      <c r="R8987" s="21">
        <v>1</v>
      </c>
      <c r="S8987" s="21">
        <v>0</v>
      </c>
      <c r="T8987" s="21">
        <v>0</v>
      </c>
      <c r="U8987" s="21">
        <v>0</v>
      </c>
      <c r="V8987" s="21">
        <v>1</v>
      </c>
      <c r="W8987" s="21">
        <v>0</v>
      </c>
      <c r="X8987" s="21">
        <v>0</v>
      </c>
      <c r="Y8987" s="21">
        <v>0</v>
      </c>
      <c r="Z8987" s="21">
        <v>0</v>
      </c>
      <c r="AA8987" s="21">
        <v>0</v>
      </c>
      <c r="AB8987" s="21">
        <v>0</v>
      </c>
      <c r="AC8987" s="21">
        <v>0</v>
      </c>
      <c r="AD8987" s="21">
        <v>0</v>
      </c>
      <c r="AE8987" s="21">
        <v>0</v>
      </c>
      <c r="AF8987" s="21">
        <v>0</v>
      </c>
      <c r="AG8987" s="21">
        <v>0</v>
      </c>
      <c r="AH8987" s="21">
        <f t="shared" si="188"/>
        <v>64</v>
      </c>
      <c r="AI8987" s="21"/>
      <c r="AJ8987" s="21"/>
      <c r="AK8987" s="21"/>
      <c r="AL8987" s="21" t="s">
        <v>5974</v>
      </c>
      <c r="AM8987" s="21" t="s">
        <v>5975</v>
      </c>
      <c r="AN8987" s="21">
        <v>-122.420382883333</v>
      </c>
      <c r="AO8987" s="21">
        <v>37.788428033333297</v>
      </c>
      <c r="AP8987" s="21" t="s">
        <v>1915</v>
      </c>
    </row>
    <row r="8988" spans="1:42">
      <c r="A8988" s="20">
        <v>43875</v>
      </c>
      <c r="B8988" s="21">
        <v>5</v>
      </c>
      <c r="C8988" s="21">
        <v>231</v>
      </c>
      <c r="D8988" s="21">
        <v>10521</v>
      </c>
      <c r="E8988" t="s">
        <v>112</v>
      </c>
      <c r="F8988" s="21" t="s">
        <v>104</v>
      </c>
      <c r="G8988" s="21">
        <v>4</v>
      </c>
      <c r="H8988" s="21">
        <v>32</v>
      </c>
      <c r="I8988" s="23" t="s">
        <v>5976</v>
      </c>
      <c r="J8988" s="21"/>
      <c r="K8988" s="21" t="s">
        <v>414</v>
      </c>
      <c r="L8988" s="21"/>
      <c r="M8988" s="21"/>
      <c r="N8988" s="21" t="s">
        <v>40</v>
      </c>
      <c r="O8988" s="21">
        <v>26</v>
      </c>
      <c r="P8988" s="21"/>
      <c r="Q8988" s="21">
        <f t="shared" si="187"/>
        <v>2</v>
      </c>
      <c r="R8988" s="21">
        <v>1</v>
      </c>
      <c r="S8988" s="21">
        <v>0</v>
      </c>
      <c r="T8988" s="21">
        <v>0</v>
      </c>
      <c r="U8988" s="21">
        <v>1</v>
      </c>
      <c r="V8988" s="21">
        <v>0</v>
      </c>
      <c r="W8988" s="21">
        <v>0</v>
      </c>
      <c r="X8988" s="21">
        <v>1</v>
      </c>
      <c r="Y8988" s="21">
        <v>0</v>
      </c>
      <c r="Z8988" s="21">
        <v>0</v>
      </c>
      <c r="AA8988" s="21">
        <v>0</v>
      </c>
      <c r="AB8988" s="21">
        <v>0</v>
      </c>
      <c r="AC8988" s="21">
        <v>0</v>
      </c>
      <c r="AD8988" s="21">
        <v>0</v>
      </c>
      <c r="AE8988" s="21">
        <v>0</v>
      </c>
      <c r="AF8988" s="21">
        <v>0</v>
      </c>
      <c r="AG8988" s="21">
        <v>0</v>
      </c>
      <c r="AH8988" s="21">
        <f t="shared" si="188"/>
        <v>32</v>
      </c>
      <c r="AI8988" s="21"/>
      <c r="AJ8988" s="21" t="s">
        <v>51</v>
      </c>
      <c r="AK8988" s="21" t="s">
        <v>95</v>
      </c>
      <c r="AL8988" s="21" t="s">
        <v>4983</v>
      </c>
      <c r="AM8988" s="21" t="s">
        <v>5977</v>
      </c>
      <c r="AN8988" s="21">
        <v>-122.420197233333</v>
      </c>
      <c r="AO8988" s="21">
        <v>37.787944583333299</v>
      </c>
      <c r="AP8988" s="21" t="s">
        <v>1915</v>
      </c>
    </row>
    <row r="8989" spans="1:42">
      <c r="A8989" s="20">
        <v>43875</v>
      </c>
      <c r="B8989" s="21">
        <v>5</v>
      </c>
      <c r="C8989" s="21">
        <v>231</v>
      </c>
      <c r="D8989" s="21">
        <v>10521</v>
      </c>
      <c r="E8989" t="s">
        <v>112</v>
      </c>
      <c r="F8989" s="21" t="s">
        <v>104</v>
      </c>
      <c r="G8989" s="21">
        <v>4</v>
      </c>
      <c r="H8989" s="21">
        <v>33</v>
      </c>
      <c r="I8989" s="23" t="s">
        <v>5873</v>
      </c>
      <c r="J8989" s="21"/>
      <c r="K8989" s="21" t="s">
        <v>49</v>
      </c>
      <c r="L8989" s="21"/>
      <c r="M8989" s="21"/>
      <c r="N8989" s="21" t="s">
        <v>40</v>
      </c>
      <c r="O8989" s="21">
        <v>48</v>
      </c>
      <c r="P8989" s="21"/>
      <c r="Q8989" s="21">
        <f t="shared" si="187"/>
        <v>2</v>
      </c>
      <c r="R8989" s="21">
        <v>1</v>
      </c>
      <c r="S8989" s="21">
        <v>0</v>
      </c>
      <c r="T8989" s="21">
        <v>0</v>
      </c>
      <c r="U8989" s="21">
        <v>2</v>
      </c>
      <c r="V8989" s="21">
        <v>0</v>
      </c>
      <c r="W8989" s="21">
        <v>0</v>
      </c>
      <c r="X8989" s="21">
        <v>0</v>
      </c>
      <c r="Y8989" s="21">
        <v>0</v>
      </c>
      <c r="Z8989" s="21">
        <v>0</v>
      </c>
      <c r="AA8989" s="21">
        <v>0</v>
      </c>
      <c r="AB8989" s="21">
        <v>0</v>
      </c>
      <c r="AC8989" s="21">
        <v>0</v>
      </c>
      <c r="AD8989" s="21">
        <v>0</v>
      </c>
      <c r="AE8989" s="21">
        <v>0</v>
      </c>
      <c r="AF8989" s="21">
        <v>0</v>
      </c>
      <c r="AG8989" s="21">
        <v>0</v>
      </c>
      <c r="AH8989" s="21">
        <f t="shared" si="188"/>
        <v>64</v>
      </c>
      <c r="AI8989" s="21"/>
      <c r="AJ8989" s="21" t="s">
        <v>54</v>
      </c>
      <c r="AK8989" s="21" t="s">
        <v>95</v>
      </c>
      <c r="AL8989" s="21"/>
      <c r="AM8989" s="21" t="s">
        <v>5978</v>
      </c>
      <c r="AN8989" s="21">
        <v>-122.42040969999999</v>
      </c>
      <c r="AO8989" s="21">
        <v>37.787743166666601</v>
      </c>
      <c r="AP8989" s="21" t="s">
        <v>1915</v>
      </c>
    </row>
    <row r="8990" spans="1:42">
      <c r="A8990" s="20">
        <v>43875</v>
      </c>
      <c r="B8990" s="21">
        <v>5</v>
      </c>
      <c r="C8990" s="21">
        <v>231</v>
      </c>
      <c r="D8990" s="21">
        <v>10521</v>
      </c>
      <c r="E8990" t="s">
        <v>112</v>
      </c>
      <c r="F8990" s="21" t="s">
        <v>104</v>
      </c>
      <c r="G8990" s="21">
        <v>4</v>
      </c>
      <c r="H8990" s="21">
        <v>34</v>
      </c>
      <c r="I8990" s="23" t="s">
        <v>5979</v>
      </c>
      <c r="J8990" s="21"/>
      <c r="K8990" s="21" t="s">
        <v>49</v>
      </c>
      <c r="L8990" s="21"/>
      <c r="M8990" s="21"/>
      <c r="N8990" s="21" t="s">
        <v>40</v>
      </c>
      <c r="O8990" s="21">
        <v>33</v>
      </c>
      <c r="P8990" s="21"/>
      <c r="Q8990" s="21">
        <f t="shared" si="187"/>
        <v>2</v>
      </c>
      <c r="R8990" s="21">
        <v>1</v>
      </c>
      <c r="S8990" s="21">
        <v>0</v>
      </c>
      <c r="T8990" s="21">
        <v>0</v>
      </c>
      <c r="U8990" s="21">
        <v>1</v>
      </c>
      <c r="V8990" s="21">
        <v>0</v>
      </c>
      <c r="W8990" s="21">
        <v>0</v>
      </c>
      <c r="X8990" s="21">
        <v>1</v>
      </c>
      <c r="Y8990" s="21">
        <v>0</v>
      </c>
      <c r="Z8990" s="21">
        <v>0</v>
      </c>
      <c r="AA8990" s="21">
        <v>0</v>
      </c>
      <c r="AB8990" s="21">
        <v>0</v>
      </c>
      <c r="AC8990" s="21">
        <v>0</v>
      </c>
      <c r="AD8990" s="21">
        <v>0</v>
      </c>
      <c r="AE8990" s="21">
        <v>0</v>
      </c>
      <c r="AF8990" s="21">
        <v>0</v>
      </c>
      <c r="AG8990" s="21">
        <v>0</v>
      </c>
      <c r="AH8990" s="21">
        <f t="shared" si="188"/>
        <v>32</v>
      </c>
      <c r="AI8990" s="21"/>
      <c r="AJ8990" s="21" t="s">
        <v>54</v>
      </c>
      <c r="AK8990" s="21" t="s">
        <v>95</v>
      </c>
      <c r="AL8990" s="21" t="s">
        <v>3006</v>
      </c>
      <c r="AM8990" s="21" t="s">
        <v>5980</v>
      </c>
      <c r="AN8990" s="21">
        <v>-122.421480983333</v>
      </c>
      <c r="AO8990" s="21">
        <v>37.7876145166667</v>
      </c>
      <c r="AP8990" s="21" t="s">
        <v>1915</v>
      </c>
    </row>
    <row r="8991" spans="1:42">
      <c r="A8991" s="20">
        <v>43875</v>
      </c>
      <c r="B8991" s="21">
        <v>5</v>
      </c>
      <c r="C8991" s="21">
        <v>231</v>
      </c>
      <c r="D8991" s="21">
        <v>10521</v>
      </c>
      <c r="E8991" t="s">
        <v>112</v>
      </c>
      <c r="F8991" s="21" t="s">
        <v>104</v>
      </c>
      <c r="G8991" s="21">
        <v>4</v>
      </c>
      <c r="H8991" s="21">
        <v>35</v>
      </c>
      <c r="I8991" s="23" t="s">
        <v>4927</v>
      </c>
      <c r="J8991" s="21"/>
      <c r="K8991" s="21" t="s">
        <v>415</v>
      </c>
      <c r="L8991" s="21"/>
      <c r="M8991" s="21"/>
      <c r="N8991" s="21" t="s">
        <v>40</v>
      </c>
      <c r="O8991" s="21">
        <v>82</v>
      </c>
      <c r="P8991" s="21"/>
      <c r="Q8991" s="21">
        <f t="shared" si="187"/>
        <v>3</v>
      </c>
      <c r="R8991" s="21">
        <v>1</v>
      </c>
      <c r="S8991" s="21">
        <v>0</v>
      </c>
      <c r="T8991" s="21">
        <v>0</v>
      </c>
      <c r="U8991" s="21">
        <v>0</v>
      </c>
      <c r="V8991" s="21">
        <v>3</v>
      </c>
      <c r="W8991" s="21">
        <v>0</v>
      </c>
      <c r="X8991" s="21">
        <v>0</v>
      </c>
      <c r="Y8991" s="21">
        <v>0</v>
      </c>
      <c r="Z8991" s="21">
        <v>0</v>
      </c>
      <c r="AA8991" s="21">
        <v>0</v>
      </c>
      <c r="AB8991" s="21">
        <v>0</v>
      </c>
      <c r="AC8991" s="21">
        <v>0</v>
      </c>
      <c r="AD8991" s="21">
        <v>0</v>
      </c>
      <c r="AE8991" s="21">
        <v>0</v>
      </c>
      <c r="AF8991" s="21">
        <v>0</v>
      </c>
      <c r="AG8991" s="21">
        <v>0</v>
      </c>
      <c r="AH8991" s="21">
        <f t="shared" si="188"/>
        <v>192</v>
      </c>
      <c r="AI8991" s="21"/>
      <c r="AJ8991" s="21" t="s">
        <v>54</v>
      </c>
      <c r="AK8991" s="21" t="s">
        <v>95</v>
      </c>
      <c r="AL8991" s="21"/>
      <c r="AM8991" s="21" t="s">
        <v>5981</v>
      </c>
      <c r="AN8991" s="21">
        <v>-122.42162373333301</v>
      </c>
      <c r="AO8991" s="21">
        <v>37.78803095</v>
      </c>
      <c r="AP8991" s="21" t="s">
        <v>1915</v>
      </c>
    </row>
    <row r="8992" spans="1:42">
      <c r="A8992" s="20">
        <v>43875</v>
      </c>
      <c r="B8992" s="21">
        <v>5</v>
      </c>
      <c r="C8992" s="21">
        <v>231</v>
      </c>
      <c r="D8992" s="21">
        <v>10521</v>
      </c>
      <c r="E8992" t="s">
        <v>112</v>
      </c>
      <c r="F8992" s="21" t="s">
        <v>104</v>
      </c>
      <c r="G8992" s="21">
        <v>4</v>
      </c>
      <c r="H8992" s="21">
        <v>36</v>
      </c>
      <c r="I8992" s="23" t="s">
        <v>4962</v>
      </c>
      <c r="J8992" s="21"/>
      <c r="K8992" s="21" t="s">
        <v>70</v>
      </c>
      <c r="L8992" s="21"/>
      <c r="M8992" s="21"/>
      <c r="N8992" s="21" t="s">
        <v>1703</v>
      </c>
      <c r="O8992" s="21">
        <v>66</v>
      </c>
      <c r="P8992" s="21"/>
      <c r="Q8992" s="21">
        <f t="shared" si="187"/>
        <v>2</v>
      </c>
      <c r="R8992" s="21">
        <v>1</v>
      </c>
      <c r="S8992" s="21">
        <v>0</v>
      </c>
      <c r="T8992" s="21">
        <v>0</v>
      </c>
      <c r="U8992" s="21">
        <v>1</v>
      </c>
      <c r="V8992" s="21">
        <v>1</v>
      </c>
      <c r="W8992" s="21">
        <v>0</v>
      </c>
      <c r="X8992" s="21">
        <v>0</v>
      </c>
      <c r="Y8992" s="21">
        <v>0</v>
      </c>
      <c r="Z8992" s="21">
        <v>0</v>
      </c>
      <c r="AA8992" s="21">
        <v>0</v>
      </c>
      <c r="AB8992" s="21">
        <v>0</v>
      </c>
      <c r="AC8992" s="21">
        <v>0</v>
      </c>
      <c r="AD8992" s="21">
        <v>0</v>
      </c>
      <c r="AE8992" s="21">
        <v>0</v>
      </c>
      <c r="AF8992" s="21">
        <v>0</v>
      </c>
      <c r="AG8992" s="21">
        <v>0</v>
      </c>
      <c r="AH8992" s="21">
        <f t="shared" si="188"/>
        <v>96</v>
      </c>
      <c r="AI8992" s="21"/>
      <c r="AJ8992" s="21" t="s">
        <v>54</v>
      </c>
      <c r="AK8992" s="21" t="s">
        <v>95</v>
      </c>
      <c r="AL8992" s="21" t="s">
        <v>3113</v>
      </c>
      <c r="AM8992" s="21" t="s">
        <v>5982</v>
      </c>
      <c r="AN8992" s="21">
        <v>-122.421190433333</v>
      </c>
      <c r="AO8992" s="21">
        <v>37.7881666166667</v>
      </c>
      <c r="AP8992" s="21" t="s">
        <v>1915</v>
      </c>
    </row>
    <row r="8993" spans="1:42">
      <c r="A8993" s="20">
        <v>43875</v>
      </c>
      <c r="B8993" s="21">
        <v>5</v>
      </c>
      <c r="C8993" s="21">
        <v>231</v>
      </c>
      <c r="D8993" s="21">
        <v>10521</v>
      </c>
      <c r="E8993" t="s">
        <v>112</v>
      </c>
      <c r="F8993" s="21" t="s">
        <v>104</v>
      </c>
      <c r="G8993" s="21">
        <v>4</v>
      </c>
      <c r="H8993" s="21">
        <v>37</v>
      </c>
      <c r="I8993" s="23">
        <v>1300</v>
      </c>
      <c r="J8993" s="21"/>
      <c r="K8993" s="21" t="s">
        <v>46</v>
      </c>
      <c r="L8993" s="21"/>
      <c r="M8993" s="21"/>
      <c r="N8993" s="21" t="s">
        <v>40</v>
      </c>
      <c r="O8993" s="21">
        <f>60+29</f>
        <v>89</v>
      </c>
      <c r="P8993" s="21"/>
      <c r="Q8993" s="21">
        <f t="shared" si="187"/>
        <v>3</v>
      </c>
      <c r="R8993" s="21">
        <v>1</v>
      </c>
      <c r="S8993" s="21">
        <v>0</v>
      </c>
      <c r="T8993" s="21">
        <v>0</v>
      </c>
      <c r="U8993" s="21">
        <v>1</v>
      </c>
      <c r="V8993" s="21">
        <v>2</v>
      </c>
      <c r="W8993" s="21">
        <v>0</v>
      </c>
      <c r="X8993" s="21">
        <v>0</v>
      </c>
      <c r="Y8993" s="21">
        <v>0</v>
      </c>
      <c r="Z8993" s="21">
        <v>0</v>
      </c>
      <c r="AA8993" s="21">
        <v>0</v>
      </c>
      <c r="AB8993" s="21">
        <v>0</v>
      </c>
      <c r="AC8993" s="21">
        <v>0</v>
      </c>
      <c r="AD8993" s="21">
        <v>0</v>
      </c>
      <c r="AE8993" s="21">
        <v>0</v>
      </c>
      <c r="AF8993" s="21">
        <v>0</v>
      </c>
      <c r="AG8993" s="21">
        <v>0</v>
      </c>
      <c r="AH8993" s="21">
        <f t="shared" si="188"/>
        <v>160</v>
      </c>
      <c r="AI8993" s="21"/>
      <c r="AJ8993" s="21" t="s">
        <v>51</v>
      </c>
      <c r="AK8993" s="21" t="s">
        <v>95</v>
      </c>
      <c r="AL8993" s="21"/>
      <c r="AM8993" s="21" t="s">
        <v>5983</v>
      </c>
      <c r="AN8993" s="21">
        <v>-122.421073333333</v>
      </c>
      <c r="AO8993" s="21">
        <v>37.788176083333298</v>
      </c>
      <c r="AP8993" s="21" t="s">
        <v>1915</v>
      </c>
    </row>
    <row r="8994" spans="1:42">
      <c r="A8994" s="20">
        <v>43875</v>
      </c>
      <c r="B8994" s="21">
        <v>5</v>
      </c>
      <c r="C8994" s="21">
        <v>231</v>
      </c>
      <c r="D8994" s="21">
        <v>10521</v>
      </c>
      <c r="E8994" t="s">
        <v>112</v>
      </c>
      <c r="F8994" s="21" t="s">
        <v>104</v>
      </c>
      <c r="G8994" s="21">
        <v>4</v>
      </c>
      <c r="H8994" s="21">
        <v>38</v>
      </c>
      <c r="I8994" s="23" t="s">
        <v>4861</v>
      </c>
      <c r="J8994" s="21"/>
      <c r="K8994" s="21" t="s">
        <v>46</v>
      </c>
      <c r="L8994" s="21"/>
      <c r="M8994" s="21"/>
      <c r="N8994" s="21" t="s">
        <v>44</v>
      </c>
      <c r="O8994" s="21">
        <v>2</v>
      </c>
      <c r="P8994" s="21"/>
      <c r="Q8994" s="21">
        <f t="shared" si="187"/>
        <v>1</v>
      </c>
      <c r="R8994" s="21">
        <v>1</v>
      </c>
      <c r="S8994" s="21">
        <v>0</v>
      </c>
      <c r="T8994" s="21">
        <v>0</v>
      </c>
      <c r="U8994" s="21">
        <v>0</v>
      </c>
      <c r="V8994" s="21">
        <v>0</v>
      </c>
      <c r="W8994" s="21">
        <v>1</v>
      </c>
      <c r="X8994" s="21">
        <v>0</v>
      </c>
      <c r="Y8994" s="21">
        <v>0</v>
      </c>
      <c r="Z8994" s="21">
        <v>0</v>
      </c>
      <c r="AA8994" s="21">
        <v>0</v>
      </c>
      <c r="AB8994" s="21">
        <v>0</v>
      </c>
      <c r="AC8994" s="21">
        <v>0</v>
      </c>
      <c r="AD8994" s="21">
        <v>0</v>
      </c>
      <c r="AE8994" s="21">
        <v>0</v>
      </c>
      <c r="AF8994" s="21">
        <v>0</v>
      </c>
      <c r="AG8994" s="21">
        <v>0</v>
      </c>
      <c r="AH8994" s="21">
        <f t="shared" si="188"/>
        <v>96</v>
      </c>
      <c r="AI8994" s="21"/>
      <c r="AJ8994" s="21" t="s">
        <v>54</v>
      </c>
      <c r="AK8994" s="21" t="s">
        <v>95</v>
      </c>
      <c r="AL8994" s="21" t="s">
        <v>5984</v>
      </c>
      <c r="AM8994" s="21" t="s">
        <v>5985</v>
      </c>
      <c r="AN8994" s="21">
        <v>-122.4207526</v>
      </c>
      <c r="AO8994" s="21">
        <v>37.788244483333301</v>
      </c>
      <c r="AP8994" s="21" t="s">
        <v>1915</v>
      </c>
    </row>
    <row r="8995" spans="1:42">
      <c r="A8995" s="20">
        <v>43875</v>
      </c>
      <c r="B8995" s="21">
        <v>5</v>
      </c>
      <c r="C8995" s="21">
        <v>231</v>
      </c>
      <c r="D8995" s="21">
        <v>10521</v>
      </c>
      <c r="E8995" t="s">
        <v>112</v>
      </c>
      <c r="F8995" s="21" t="s">
        <v>104</v>
      </c>
      <c r="G8995" s="21">
        <v>4</v>
      </c>
      <c r="H8995" s="21">
        <v>39</v>
      </c>
      <c r="I8995" s="23" t="s">
        <v>3068</v>
      </c>
      <c r="J8995" s="21"/>
      <c r="K8995" s="21" t="s">
        <v>49</v>
      </c>
      <c r="L8995" s="21"/>
      <c r="M8995" s="21"/>
      <c r="N8995" s="21" t="s">
        <v>40</v>
      </c>
      <c r="O8995" s="21">
        <f>120+36</f>
        <v>156</v>
      </c>
      <c r="P8995" s="21"/>
      <c r="Q8995" s="21">
        <f t="shared" si="187"/>
        <v>5</v>
      </c>
      <c r="R8995" s="21">
        <v>1</v>
      </c>
      <c r="S8995" s="21">
        <v>0</v>
      </c>
      <c r="T8995" s="21">
        <v>0</v>
      </c>
      <c r="U8995" s="21">
        <v>0</v>
      </c>
      <c r="V8995" s="21">
        <v>1</v>
      </c>
      <c r="W8995" s="21">
        <v>4</v>
      </c>
      <c r="X8995" s="21">
        <v>0</v>
      </c>
      <c r="Y8995" s="21">
        <v>0</v>
      </c>
      <c r="Z8995" s="21">
        <v>0</v>
      </c>
      <c r="AA8995" s="21">
        <v>0</v>
      </c>
      <c r="AB8995" s="21">
        <v>0</v>
      </c>
      <c r="AC8995" s="21">
        <v>0</v>
      </c>
      <c r="AD8995" s="21">
        <v>0</v>
      </c>
      <c r="AE8995" s="21">
        <v>0</v>
      </c>
      <c r="AF8995" s="21">
        <v>0</v>
      </c>
      <c r="AG8995" s="21">
        <v>0</v>
      </c>
      <c r="AH8995" s="21">
        <f t="shared" si="188"/>
        <v>448</v>
      </c>
      <c r="AI8995" s="21"/>
      <c r="AJ8995" s="21"/>
      <c r="AK8995" s="21"/>
      <c r="AL8995" s="21"/>
      <c r="AM8995" s="21" t="s">
        <v>5986</v>
      </c>
      <c r="AN8995" s="21">
        <v>-122.41875039999999</v>
      </c>
      <c r="AO8995" s="21">
        <v>37.787986533333303</v>
      </c>
      <c r="AP8995" s="21" t="s">
        <v>1915</v>
      </c>
    </row>
    <row r="8996" spans="1:42">
      <c r="A8996" s="20">
        <v>43875</v>
      </c>
      <c r="B8996" s="21">
        <v>5</v>
      </c>
      <c r="C8996" s="21">
        <v>231</v>
      </c>
      <c r="D8996" s="21">
        <v>10521</v>
      </c>
      <c r="E8996" t="s">
        <v>112</v>
      </c>
      <c r="F8996" s="21" t="s">
        <v>104</v>
      </c>
      <c r="G8996" s="21">
        <v>4</v>
      </c>
      <c r="H8996" s="21">
        <v>40</v>
      </c>
      <c r="I8996" s="23" t="s">
        <v>5987</v>
      </c>
      <c r="J8996" s="21"/>
      <c r="K8996" s="21" t="s">
        <v>49</v>
      </c>
      <c r="L8996" s="21"/>
      <c r="M8996" s="21"/>
      <c r="N8996" s="21" t="s">
        <v>44</v>
      </c>
      <c r="O8996" s="21">
        <v>1.2</v>
      </c>
      <c r="P8996" s="21"/>
      <c r="Q8996" s="21">
        <f t="shared" si="187"/>
        <v>1</v>
      </c>
      <c r="R8996" s="21">
        <v>1</v>
      </c>
      <c r="S8996" s="21">
        <v>0</v>
      </c>
      <c r="T8996" s="21">
        <v>0</v>
      </c>
      <c r="U8996" s="21">
        <v>0</v>
      </c>
      <c r="V8996" s="21">
        <v>0</v>
      </c>
      <c r="W8996" s="21">
        <v>1</v>
      </c>
      <c r="X8996" s="21">
        <v>0</v>
      </c>
      <c r="Y8996" s="21">
        <v>0</v>
      </c>
      <c r="Z8996" s="21">
        <v>0</v>
      </c>
      <c r="AA8996" s="21">
        <v>0</v>
      </c>
      <c r="AB8996" s="21">
        <v>0</v>
      </c>
      <c r="AC8996" s="21">
        <v>0</v>
      </c>
      <c r="AD8996" s="21">
        <v>0</v>
      </c>
      <c r="AE8996" s="21">
        <v>0</v>
      </c>
      <c r="AF8996" s="21">
        <v>0</v>
      </c>
      <c r="AG8996" s="21">
        <v>0</v>
      </c>
      <c r="AH8996" s="21">
        <f t="shared" si="188"/>
        <v>96</v>
      </c>
      <c r="AI8996" s="21"/>
      <c r="AJ8996" s="21" t="s">
        <v>51</v>
      </c>
      <c r="AK8996" s="21" t="s">
        <v>52</v>
      </c>
      <c r="AL8996" s="21"/>
      <c r="AM8996" s="21" t="s">
        <v>5988</v>
      </c>
      <c r="AN8996" s="21">
        <v>-122.41895345</v>
      </c>
      <c r="AO8996" s="21">
        <v>37.787986416666698</v>
      </c>
      <c r="AP8996" s="21" t="s">
        <v>1915</v>
      </c>
    </row>
    <row r="8997" spans="1:42">
      <c r="A8997" s="20">
        <v>43875</v>
      </c>
      <c r="B8997" s="21">
        <v>5</v>
      </c>
      <c r="C8997" s="21">
        <v>231</v>
      </c>
      <c r="D8997" s="21">
        <v>10521</v>
      </c>
      <c r="E8997" t="s">
        <v>112</v>
      </c>
      <c r="F8997" s="21" t="s">
        <v>104</v>
      </c>
      <c r="G8997" s="21">
        <v>4</v>
      </c>
      <c r="H8997" s="21">
        <v>41</v>
      </c>
      <c r="I8997" s="23" t="s">
        <v>5989</v>
      </c>
      <c r="J8997" s="21"/>
      <c r="K8997" s="21" t="s">
        <v>49</v>
      </c>
      <c r="L8997" s="21"/>
      <c r="M8997" s="21"/>
      <c r="N8997" s="21" t="s">
        <v>40</v>
      </c>
      <c r="O8997" s="21">
        <v>69</v>
      </c>
      <c r="P8997" s="21"/>
      <c r="Q8997" s="21">
        <f t="shared" si="187"/>
        <v>2</v>
      </c>
      <c r="R8997" s="21">
        <v>1</v>
      </c>
      <c r="S8997" s="21">
        <v>0</v>
      </c>
      <c r="T8997" s="21">
        <v>0</v>
      </c>
      <c r="U8997" s="21">
        <v>1</v>
      </c>
      <c r="V8997" s="21">
        <v>1</v>
      </c>
      <c r="W8997" s="21">
        <v>0</v>
      </c>
      <c r="X8997" s="21">
        <v>0</v>
      </c>
      <c r="Y8997" s="21">
        <v>0</v>
      </c>
      <c r="Z8997" s="21">
        <v>0</v>
      </c>
      <c r="AA8997" s="21">
        <v>0</v>
      </c>
      <c r="AB8997" s="21">
        <v>0</v>
      </c>
      <c r="AC8997" s="21">
        <v>0</v>
      </c>
      <c r="AD8997" s="21">
        <v>0</v>
      </c>
      <c r="AE8997" s="21">
        <v>0</v>
      </c>
      <c r="AF8997" s="21">
        <v>0</v>
      </c>
      <c r="AG8997" s="21">
        <v>0</v>
      </c>
      <c r="AH8997" s="21">
        <f t="shared" si="188"/>
        <v>96</v>
      </c>
      <c r="AI8997" s="21"/>
      <c r="AJ8997" s="21" t="s">
        <v>51</v>
      </c>
      <c r="AK8997" s="21" t="s">
        <v>52</v>
      </c>
      <c r="AL8997" s="21"/>
      <c r="AM8997" s="21" t="s">
        <v>5990</v>
      </c>
      <c r="AN8997" s="21">
        <v>-122.419285483333</v>
      </c>
      <c r="AO8997" s="21">
        <v>37.7879358333333</v>
      </c>
      <c r="AP8997" s="21" t="s">
        <v>1915</v>
      </c>
    </row>
    <row r="8998" spans="1:42">
      <c r="A8998" s="20">
        <v>43875</v>
      </c>
      <c r="B8998" s="21">
        <v>5</v>
      </c>
      <c r="C8998" s="21">
        <v>231</v>
      </c>
      <c r="D8998" s="21">
        <v>10521</v>
      </c>
      <c r="E8998" t="s">
        <v>112</v>
      </c>
      <c r="F8998" s="21" t="s">
        <v>104</v>
      </c>
      <c r="G8998" s="21">
        <v>4</v>
      </c>
      <c r="H8998" s="21">
        <v>42</v>
      </c>
      <c r="I8998" s="23"/>
      <c r="J8998" s="21"/>
      <c r="K8998" s="21" t="s">
        <v>420</v>
      </c>
      <c r="L8998" s="21"/>
      <c r="M8998" s="21"/>
      <c r="N8998" s="21" t="s">
        <v>40</v>
      </c>
      <c r="O8998" s="21">
        <v>48</v>
      </c>
      <c r="P8998" s="21"/>
      <c r="Q8998" s="21">
        <f t="shared" si="187"/>
        <v>2</v>
      </c>
      <c r="R8998" s="21">
        <v>1</v>
      </c>
      <c r="S8998" s="21">
        <v>0</v>
      </c>
      <c r="T8998" s="21">
        <v>0</v>
      </c>
      <c r="U8998" s="21">
        <v>1</v>
      </c>
      <c r="V8998" s="21">
        <v>0</v>
      </c>
      <c r="W8998" s="21">
        <v>0</v>
      </c>
      <c r="X8998" s="21">
        <v>1</v>
      </c>
      <c r="Y8998" s="21">
        <v>0</v>
      </c>
      <c r="Z8998" s="21">
        <v>0</v>
      </c>
      <c r="AA8998" s="21">
        <v>0</v>
      </c>
      <c r="AB8998" s="21">
        <v>0</v>
      </c>
      <c r="AC8998" s="21">
        <v>0</v>
      </c>
      <c r="AD8998" s="21">
        <v>0</v>
      </c>
      <c r="AE8998" s="21">
        <v>0</v>
      </c>
      <c r="AF8998" s="21">
        <v>0</v>
      </c>
      <c r="AG8998" s="21">
        <v>0</v>
      </c>
      <c r="AH8998" s="21">
        <f t="shared" si="188"/>
        <v>32</v>
      </c>
      <c r="AI8998" s="21"/>
      <c r="AJ8998" s="21" t="s">
        <v>51</v>
      </c>
      <c r="AK8998" s="21" t="s">
        <v>95</v>
      </c>
      <c r="AL8998" s="21" t="s">
        <v>470</v>
      </c>
      <c r="AM8998" s="21" t="s">
        <v>5991</v>
      </c>
      <c r="AN8998" s="21">
        <v>-122.418506892579</v>
      </c>
      <c r="AO8998" s="21">
        <v>37.789744765361498</v>
      </c>
      <c r="AP8998" s="21" t="s">
        <v>1915</v>
      </c>
    </row>
    <row r="8999" spans="1:42">
      <c r="A8999" s="20">
        <v>43875</v>
      </c>
      <c r="B8999" s="21">
        <v>5</v>
      </c>
      <c r="C8999" s="21">
        <v>231</v>
      </c>
      <c r="D8999" s="21">
        <v>10521</v>
      </c>
      <c r="E8999" t="s">
        <v>112</v>
      </c>
      <c r="F8999" s="21" t="s">
        <v>104</v>
      </c>
      <c r="G8999" s="21">
        <v>4</v>
      </c>
      <c r="H8999" s="21">
        <v>43</v>
      </c>
      <c r="I8999" s="23" t="s">
        <v>3862</v>
      </c>
      <c r="J8999" s="21"/>
      <c r="K8999" s="21" t="s">
        <v>69</v>
      </c>
      <c r="L8999" s="21"/>
      <c r="M8999" s="21"/>
      <c r="N8999" s="21" t="s">
        <v>44</v>
      </c>
      <c r="O8999" s="21">
        <f>120+40</f>
        <v>160</v>
      </c>
      <c r="P8999" s="21"/>
      <c r="Q8999" s="21">
        <f t="shared" si="187"/>
        <v>2</v>
      </c>
      <c r="R8999" s="21">
        <v>1</v>
      </c>
      <c r="S8999" s="21">
        <v>0</v>
      </c>
      <c r="T8999" s="21">
        <v>0</v>
      </c>
      <c r="U8999" s="21">
        <v>0</v>
      </c>
      <c r="V8999" s="21">
        <v>0</v>
      </c>
      <c r="W8999" s="21">
        <v>2</v>
      </c>
      <c r="X8999" s="21">
        <v>0</v>
      </c>
      <c r="Y8999" s="21">
        <v>0</v>
      </c>
      <c r="Z8999" s="21">
        <v>0</v>
      </c>
      <c r="AA8999" s="21">
        <v>0</v>
      </c>
      <c r="AB8999" s="21">
        <v>0</v>
      </c>
      <c r="AC8999" s="21">
        <v>0</v>
      </c>
      <c r="AD8999" s="21">
        <v>0</v>
      </c>
      <c r="AE8999" s="21">
        <v>0</v>
      </c>
      <c r="AF8999" s="21">
        <v>0</v>
      </c>
      <c r="AG8999" s="21">
        <v>0</v>
      </c>
      <c r="AH8999" s="21">
        <f t="shared" si="188"/>
        <v>192</v>
      </c>
      <c r="AI8999" s="21"/>
      <c r="AJ8999" s="21" t="s">
        <v>51</v>
      </c>
      <c r="AK8999" s="21" t="s">
        <v>95</v>
      </c>
      <c r="AL8999" s="21" t="s">
        <v>5992</v>
      </c>
      <c r="AM8999" s="21" t="s">
        <v>5993</v>
      </c>
      <c r="AN8999" s="21">
        <v>-122.418835933333</v>
      </c>
      <c r="AO8999" s="21">
        <v>37.789928083333301</v>
      </c>
      <c r="AP8999" s="21" t="s">
        <v>1915</v>
      </c>
    </row>
    <row r="9000" spans="1:42">
      <c r="A9000" s="20">
        <v>43875</v>
      </c>
      <c r="B9000" s="21">
        <v>5</v>
      </c>
      <c r="C9000" s="21">
        <v>231</v>
      </c>
      <c r="D9000" s="21">
        <v>10521</v>
      </c>
      <c r="E9000" t="s">
        <v>112</v>
      </c>
      <c r="F9000" s="21" t="s">
        <v>104</v>
      </c>
      <c r="G9000" s="21">
        <v>4</v>
      </c>
      <c r="H9000" s="21">
        <v>44</v>
      </c>
      <c r="I9000" s="23" t="s">
        <v>3013</v>
      </c>
      <c r="J9000" s="21"/>
      <c r="K9000" s="21" t="s">
        <v>69</v>
      </c>
      <c r="L9000" s="21"/>
      <c r="M9000" s="21"/>
      <c r="N9000" s="21" t="s">
        <v>40</v>
      </c>
      <c r="O9000" s="21">
        <v>48</v>
      </c>
      <c r="P9000" s="21"/>
      <c r="Q9000" s="21">
        <f t="shared" si="187"/>
        <v>2</v>
      </c>
      <c r="R9000" s="21">
        <v>1</v>
      </c>
      <c r="S9000" s="21">
        <v>0</v>
      </c>
      <c r="T9000" s="21">
        <v>0</v>
      </c>
      <c r="U9000" s="21">
        <v>1</v>
      </c>
      <c r="V9000" s="21">
        <v>1</v>
      </c>
      <c r="W9000" s="21">
        <v>0</v>
      </c>
      <c r="X9000" s="21">
        <v>0</v>
      </c>
      <c r="Y9000" s="21">
        <v>0</v>
      </c>
      <c r="Z9000" s="21">
        <v>0</v>
      </c>
      <c r="AA9000" s="21">
        <v>0</v>
      </c>
      <c r="AB9000" s="21">
        <v>0</v>
      </c>
      <c r="AC9000" s="21">
        <v>0</v>
      </c>
      <c r="AD9000" s="21">
        <v>0</v>
      </c>
      <c r="AE9000" s="21">
        <v>0</v>
      </c>
      <c r="AF9000" s="21">
        <v>0</v>
      </c>
      <c r="AG9000" s="21">
        <v>0</v>
      </c>
      <c r="AH9000" s="21">
        <f t="shared" si="188"/>
        <v>96</v>
      </c>
      <c r="AI9000" s="21"/>
      <c r="AJ9000" s="21" t="s">
        <v>51</v>
      </c>
      <c r="AK9000" s="21" t="s">
        <v>95</v>
      </c>
      <c r="AL9000" s="21" t="s">
        <v>5994</v>
      </c>
      <c r="AM9000" s="21" t="s">
        <v>5995</v>
      </c>
      <c r="AN9000" s="21">
        <v>-122.42024164999999</v>
      </c>
      <c r="AO9000" s="21">
        <v>37.789685583333302</v>
      </c>
      <c r="AP9000" s="21" t="s">
        <v>1915</v>
      </c>
    </row>
    <row r="9001" spans="1:42">
      <c r="A9001" s="20">
        <v>43875</v>
      </c>
      <c r="B9001" s="21">
        <v>5</v>
      </c>
      <c r="C9001" s="21">
        <v>231</v>
      </c>
      <c r="D9001" s="21">
        <v>10521</v>
      </c>
      <c r="E9001" t="s">
        <v>112</v>
      </c>
      <c r="F9001" s="21" t="s">
        <v>104</v>
      </c>
      <c r="G9001" s="21">
        <v>4</v>
      </c>
      <c r="H9001" s="21">
        <v>45</v>
      </c>
      <c r="I9001" s="23" t="s">
        <v>5996</v>
      </c>
      <c r="J9001" s="21"/>
      <c r="K9001" s="21" t="s">
        <v>69</v>
      </c>
      <c r="L9001" s="21"/>
      <c r="M9001" s="21"/>
      <c r="N9001" s="21" t="s">
        <v>40</v>
      </c>
      <c r="O9001" s="21">
        <v>61</v>
      </c>
      <c r="P9001" s="21"/>
      <c r="Q9001" s="21">
        <f t="shared" si="187"/>
        <v>2</v>
      </c>
      <c r="R9001" s="21">
        <v>1</v>
      </c>
      <c r="S9001" s="21">
        <v>0</v>
      </c>
      <c r="T9001" s="21">
        <v>0</v>
      </c>
      <c r="U9001" s="21">
        <v>0</v>
      </c>
      <c r="V9001" s="21">
        <v>2</v>
      </c>
      <c r="W9001" s="21">
        <v>0</v>
      </c>
      <c r="X9001" s="21">
        <v>0</v>
      </c>
      <c r="Y9001" s="21">
        <v>0</v>
      </c>
      <c r="Z9001" s="21">
        <v>0</v>
      </c>
      <c r="AA9001" s="21">
        <v>0</v>
      </c>
      <c r="AB9001" s="21">
        <v>0</v>
      </c>
      <c r="AC9001" s="21">
        <v>0</v>
      </c>
      <c r="AD9001" s="21">
        <v>0</v>
      </c>
      <c r="AE9001" s="21">
        <v>0</v>
      </c>
      <c r="AF9001" s="21">
        <v>0</v>
      </c>
      <c r="AG9001" s="21">
        <v>0</v>
      </c>
      <c r="AH9001" s="21">
        <f t="shared" si="188"/>
        <v>128</v>
      </c>
      <c r="AI9001" s="21"/>
      <c r="AJ9001" s="21"/>
      <c r="AK9001" s="21"/>
      <c r="AL9001" s="21"/>
      <c r="AM9001" s="21" t="s">
        <v>5997</v>
      </c>
      <c r="AN9001" s="21">
        <v>-122.420282266667</v>
      </c>
      <c r="AO9001" s="21">
        <v>37.7896832666666</v>
      </c>
      <c r="AP9001" s="21" t="s">
        <v>1915</v>
      </c>
    </row>
    <row r="9002" spans="1:42">
      <c r="A9002" s="20">
        <v>43875</v>
      </c>
      <c r="B9002" s="21">
        <v>5</v>
      </c>
      <c r="C9002" s="21">
        <v>231</v>
      </c>
      <c r="D9002" s="21">
        <v>10521</v>
      </c>
      <c r="E9002" t="s">
        <v>112</v>
      </c>
      <c r="F9002" s="21" t="s">
        <v>104</v>
      </c>
      <c r="G9002" s="21">
        <v>4</v>
      </c>
      <c r="H9002" s="21">
        <v>46</v>
      </c>
      <c r="I9002" s="23"/>
      <c r="J9002" s="21"/>
      <c r="K9002" s="21" t="s">
        <v>69</v>
      </c>
      <c r="L9002" s="21"/>
      <c r="M9002" s="21"/>
      <c r="N9002" s="21" t="s">
        <v>44</v>
      </c>
      <c r="O9002" s="21">
        <f>120+58</f>
        <v>178</v>
      </c>
      <c r="P9002" s="21"/>
      <c r="Q9002" s="21">
        <f t="shared" si="187"/>
        <v>2</v>
      </c>
      <c r="R9002" s="21">
        <v>1</v>
      </c>
      <c r="S9002" s="21">
        <v>0</v>
      </c>
      <c r="T9002" s="21">
        <v>0</v>
      </c>
      <c r="U9002" s="21">
        <v>0</v>
      </c>
      <c r="V9002" s="21">
        <v>1</v>
      </c>
      <c r="W9002" s="21">
        <v>1</v>
      </c>
      <c r="X9002" s="21">
        <v>0</v>
      </c>
      <c r="Y9002" s="21">
        <v>0</v>
      </c>
      <c r="Z9002" s="21">
        <v>0</v>
      </c>
      <c r="AA9002" s="21">
        <v>0</v>
      </c>
      <c r="AB9002" s="21">
        <v>0</v>
      </c>
      <c r="AC9002" s="21">
        <v>0</v>
      </c>
      <c r="AD9002" s="21">
        <v>0</v>
      </c>
      <c r="AE9002" s="21">
        <v>0</v>
      </c>
      <c r="AF9002" s="21">
        <v>0</v>
      </c>
      <c r="AG9002" s="21">
        <v>0</v>
      </c>
      <c r="AH9002" s="21">
        <f t="shared" si="188"/>
        <v>160</v>
      </c>
      <c r="AI9002" s="21"/>
      <c r="AJ9002" s="21" t="s">
        <v>54</v>
      </c>
      <c r="AK9002" s="21" t="s">
        <v>95</v>
      </c>
      <c r="AL9002" s="21" t="s">
        <v>5998</v>
      </c>
      <c r="AM9002" s="21" t="s">
        <v>5999</v>
      </c>
      <c r="AN9002" s="21">
        <v>-122.42102483333299</v>
      </c>
      <c r="AO9002" s="21">
        <v>37.789231100000002</v>
      </c>
      <c r="AP9002" s="21" t="s">
        <v>1915</v>
      </c>
    </row>
    <row r="9003" spans="1:42">
      <c r="A9003" s="20">
        <v>43875</v>
      </c>
      <c r="B9003" s="21">
        <v>5</v>
      </c>
      <c r="C9003" s="21">
        <v>231</v>
      </c>
      <c r="D9003" s="21">
        <v>10521</v>
      </c>
      <c r="E9003" t="s">
        <v>112</v>
      </c>
      <c r="F9003" s="21" t="s">
        <v>104</v>
      </c>
      <c r="G9003" s="21">
        <v>4</v>
      </c>
      <c r="H9003" s="21">
        <v>47</v>
      </c>
      <c r="I9003" s="23">
        <v>1517</v>
      </c>
      <c r="J9003" s="21"/>
      <c r="K9003" s="21" t="s">
        <v>69</v>
      </c>
      <c r="L9003" s="21"/>
      <c r="M9003" s="21"/>
      <c r="N9003" s="21" t="s">
        <v>44</v>
      </c>
      <c r="O9003" s="21"/>
      <c r="P9003" s="21"/>
      <c r="Q9003" s="21">
        <f t="shared" si="187"/>
        <v>2</v>
      </c>
      <c r="R9003" s="21">
        <v>1</v>
      </c>
      <c r="S9003" s="21">
        <v>0</v>
      </c>
      <c r="T9003" s="21">
        <v>0</v>
      </c>
      <c r="U9003" s="21">
        <v>1</v>
      </c>
      <c r="V9003" s="21">
        <v>1</v>
      </c>
      <c r="W9003" s="21">
        <v>0</v>
      </c>
      <c r="X9003" s="21">
        <v>0</v>
      </c>
      <c r="Y9003" s="21">
        <v>0</v>
      </c>
      <c r="Z9003" s="21">
        <v>0</v>
      </c>
      <c r="AA9003" s="21">
        <v>0</v>
      </c>
      <c r="AB9003" s="21">
        <v>0</v>
      </c>
      <c r="AC9003" s="21">
        <v>0</v>
      </c>
      <c r="AD9003" s="21">
        <v>0</v>
      </c>
      <c r="AE9003" s="21">
        <v>0</v>
      </c>
      <c r="AF9003" s="21">
        <v>0</v>
      </c>
      <c r="AG9003" s="21">
        <v>0</v>
      </c>
      <c r="AH9003" s="21">
        <f t="shared" si="188"/>
        <v>96</v>
      </c>
      <c r="AI9003" s="21"/>
      <c r="AJ9003" s="21" t="s">
        <v>54</v>
      </c>
      <c r="AK9003" s="21" t="s">
        <v>95</v>
      </c>
      <c r="AL9003" s="21" t="s">
        <v>6000</v>
      </c>
      <c r="AM9003" s="21" t="s">
        <v>6001</v>
      </c>
      <c r="AN9003" s="21">
        <v>-122.42148178333299</v>
      </c>
      <c r="AO9003" s="21">
        <v>37.789459716666599</v>
      </c>
      <c r="AP9003" s="21" t="s">
        <v>1915</v>
      </c>
    </row>
    <row r="9004" spans="1:42">
      <c r="A9004" s="20">
        <v>43875</v>
      </c>
      <c r="B9004" s="21">
        <v>5</v>
      </c>
      <c r="C9004" s="21">
        <v>231</v>
      </c>
      <c r="D9004" s="21">
        <v>10521</v>
      </c>
      <c r="E9004" t="s">
        <v>112</v>
      </c>
      <c r="F9004" s="21" t="s">
        <v>104</v>
      </c>
      <c r="G9004" s="21">
        <v>4</v>
      </c>
      <c r="H9004" s="21">
        <v>48</v>
      </c>
      <c r="I9004" s="23" t="s">
        <v>3043</v>
      </c>
      <c r="J9004" s="21"/>
      <c r="K9004" s="21" t="s">
        <v>46</v>
      </c>
      <c r="L9004" s="21"/>
      <c r="M9004" s="21"/>
      <c r="N9004" s="21" t="s">
        <v>44</v>
      </c>
      <c r="O9004" s="21">
        <v>122</v>
      </c>
      <c r="P9004" s="21"/>
      <c r="Q9004" s="21">
        <f t="shared" si="187"/>
        <v>3</v>
      </c>
      <c r="R9004" s="21">
        <v>1</v>
      </c>
      <c r="S9004" s="21">
        <v>0</v>
      </c>
      <c r="T9004" s="21">
        <v>0</v>
      </c>
      <c r="U9004" s="21">
        <v>0</v>
      </c>
      <c r="V9004" s="21">
        <v>1</v>
      </c>
      <c r="W9004" s="21">
        <v>2</v>
      </c>
      <c r="X9004" s="21">
        <v>0</v>
      </c>
      <c r="Y9004" s="21">
        <v>0</v>
      </c>
      <c r="Z9004" s="21">
        <v>0</v>
      </c>
      <c r="AA9004" s="21">
        <v>0</v>
      </c>
      <c r="AB9004" s="21">
        <v>0</v>
      </c>
      <c r="AC9004" s="21">
        <v>0</v>
      </c>
      <c r="AD9004" s="21">
        <v>0</v>
      </c>
      <c r="AE9004" s="21">
        <v>0</v>
      </c>
      <c r="AF9004" s="21">
        <v>0</v>
      </c>
      <c r="AG9004" s="21">
        <v>0</v>
      </c>
      <c r="AH9004" s="21">
        <f t="shared" si="188"/>
        <v>256</v>
      </c>
      <c r="AI9004" s="21"/>
      <c r="AJ9004" s="21" t="s">
        <v>54</v>
      </c>
      <c r="AK9004" s="21" t="s">
        <v>52</v>
      </c>
      <c r="AL9004" s="21" t="s">
        <v>6002</v>
      </c>
      <c r="AM9004" s="21" t="s">
        <v>6003</v>
      </c>
      <c r="AN9004" s="21">
        <v>-122.421618883333</v>
      </c>
      <c r="AO9004" s="21">
        <v>37.788522083333298</v>
      </c>
      <c r="AP9004" s="21" t="s">
        <v>1915</v>
      </c>
    </row>
    <row r="9005" spans="1:42">
      <c r="A9005" s="20">
        <v>43875</v>
      </c>
      <c r="B9005" s="21">
        <v>5</v>
      </c>
      <c r="C9005" s="21">
        <v>231</v>
      </c>
      <c r="D9005" s="21">
        <v>10521</v>
      </c>
      <c r="E9005" t="s">
        <v>112</v>
      </c>
      <c r="F9005" s="21" t="s">
        <v>104</v>
      </c>
      <c r="G9005" s="21">
        <v>4</v>
      </c>
      <c r="H9005" s="21">
        <v>49</v>
      </c>
      <c r="I9005" s="23" t="s">
        <v>4849</v>
      </c>
      <c r="J9005" s="21"/>
      <c r="K9005" s="21" t="s">
        <v>46</v>
      </c>
      <c r="L9005" s="21"/>
      <c r="M9005" s="21"/>
      <c r="N9005" s="21" t="s">
        <v>40</v>
      </c>
      <c r="O9005" s="21">
        <v>46</v>
      </c>
      <c r="P9005" s="21"/>
      <c r="Q9005" s="21">
        <f t="shared" si="187"/>
        <v>1</v>
      </c>
      <c r="R9005" s="21">
        <v>1</v>
      </c>
      <c r="S9005" s="21">
        <v>0</v>
      </c>
      <c r="T9005" s="21">
        <v>0</v>
      </c>
      <c r="U9005" s="21">
        <v>0</v>
      </c>
      <c r="V9005" s="21">
        <v>1</v>
      </c>
      <c r="W9005" s="21">
        <v>0</v>
      </c>
      <c r="X9005" s="21">
        <v>0</v>
      </c>
      <c r="Y9005" s="21">
        <v>0</v>
      </c>
      <c r="Z9005" s="21">
        <v>0</v>
      </c>
      <c r="AA9005" s="21">
        <v>0</v>
      </c>
      <c r="AB9005" s="21">
        <v>0</v>
      </c>
      <c r="AC9005" s="21">
        <v>0</v>
      </c>
      <c r="AD9005" s="21">
        <v>0</v>
      </c>
      <c r="AE9005" s="21">
        <v>0</v>
      </c>
      <c r="AF9005" s="21">
        <v>0</v>
      </c>
      <c r="AG9005" s="21">
        <v>0</v>
      </c>
      <c r="AH9005" s="21">
        <f t="shared" si="188"/>
        <v>64</v>
      </c>
      <c r="AI9005" s="21"/>
      <c r="AJ9005" s="21" t="s">
        <v>54</v>
      </c>
      <c r="AK9005" s="21" t="s">
        <v>95</v>
      </c>
      <c r="AL9005" s="21"/>
      <c r="AM9005" s="21" t="s">
        <v>6004</v>
      </c>
      <c r="AN9005" s="21">
        <v>-122.421456116667</v>
      </c>
      <c r="AO9005" s="21">
        <v>37.7884735833333</v>
      </c>
      <c r="AP9005" s="21" t="s">
        <v>1915</v>
      </c>
    </row>
    <row r="9006" spans="1:42">
      <c r="A9006" s="20">
        <v>43875</v>
      </c>
      <c r="B9006" s="21">
        <v>5</v>
      </c>
      <c r="C9006" s="21">
        <v>231</v>
      </c>
      <c r="D9006" s="21">
        <v>10521</v>
      </c>
      <c r="E9006" t="s">
        <v>112</v>
      </c>
      <c r="F9006" s="21" t="s">
        <v>104</v>
      </c>
      <c r="G9006" s="21">
        <v>4</v>
      </c>
      <c r="H9006" s="21">
        <v>50</v>
      </c>
      <c r="I9006" s="23" t="s">
        <v>3013</v>
      </c>
      <c r="J9006" s="21"/>
      <c r="K9006" s="21" t="s">
        <v>69</v>
      </c>
      <c r="L9006" s="21"/>
      <c r="M9006" s="21"/>
      <c r="N9006" s="21" t="s">
        <v>44</v>
      </c>
      <c r="O9006" s="21">
        <f>120+120+43</f>
        <v>283</v>
      </c>
      <c r="P9006" s="21"/>
      <c r="Q9006" s="21">
        <f t="shared" si="187"/>
        <v>5</v>
      </c>
      <c r="R9006" s="21">
        <v>1</v>
      </c>
      <c r="S9006" s="21">
        <v>0</v>
      </c>
      <c r="T9006" s="21">
        <v>0</v>
      </c>
      <c r="U9006" s="21">
        <v>0</v>
      </c>
      <c r="V9006" s="21">
        <v>2</v>
      </c>
      <c r="W9006" s="21">
        <v>3</v>
      </c>
      <c r="X9006" s="21">
        <v>0</v>
      </c>
      <c r="Y9006" s="21">
        <v>0</v>
      </c>
      <c r="Z9006" s="21">
        <v>0</v>
      </c>
      <c r="AA9006" s="21">
        <v>0</v>
      </c>
      <c r="AB9006" s="21">
        <v>0</v>
      </c>
      <c r="AC9006" s="21">
        <v>0</v>
      </c>
      <c r="AD9006" s="21">
        <v>0</v>
      </c>
      <c r="AE9006" s="21">
        <v>0</v>
      </c>
      <c r="AF9006" s="21">
        <v>0</v>
      </c>
      <c r="AG9006" s="21">
        <v>0</v>
      </c>
      <c r="AH9006" s="21">
        <f t="shared" si="188"/>
        <v>416</v>
      </c>
      <c r="AI9006" s="21"/>
      <c r="AJ9006" s="21" t="s">
        <v>54</v>
      </c>
      <c r="AK9006" s="21" t="s">
        <v>52</v>
      </c>
      <c r="AL9006" s="21"/>
      <c r="AM9006" s="21" t="s">
        <v>6005</v>
      </c>
      <c r="AN9006" s="21">
        <v>-122.41914545</v>
      </c>
      <c r="AO9006" s="21">
        <v>37.79021195</v>
      </c>
      <c r="AP9006" s="21" t="s">
        <v>1915</v>
      </c>
    </row>
    <row r="9007" spans="1:42">
      <c r="A9007" s="20">
        <v>43875</v>
      </c>
      <c r="B9007" s="21">
        <v>5</v>
      </c>
      <c r="C9007" s="21">
        <v>231</v>
      </c>
      <c r="D9007" s="21">
        <v>10521</v>
      </c>
      <c r="E9007" t="s">
        <v>112</v>
      </c>
      <c r="F9007" s="21" t="s">
        <v>104</v>
      </c>
      <c r="G9007" s="21">
        <v>4</v>
      </c>
      <c r="H9007" s="21">
        <v>51</v>
      </c>
      <c r="I9007" s="23" t="s">
        <v>3013</v>
      </c>
      <c r="J9007" s="21"/>
      <c r="K9007" s="21" t="s">
        <v>2125</v>
      </c>
      <c r="L9007" s="21"/>
      <c r="M9007" s="21"/>
      <c r="N9007" s="21" t="s">
        <v>40</v>
      </c>
      <c r="O9007" s="21">
        <v>32</v>
      </c>
      <c r="P9007" s="21"/>
      <c r="Q9007" s="21">
        <f t="shared" si="187"/>
        <v>2</v>
      </c>
      <c r="R9007" s="21">
        <v>1</v>
      </c>
      <c r="S9007" s="21">
        <v>0</v>
      </c>
      <c r="T9007" s="21">
        <v>0</v>
      </c>
      <c r="U9007" s="21">
        <v>1</v>
      </c>
      <c r="V9007" s="21">
        <v>0</v>
      </c>
      <c r="W9007" s="21">
        <v>0</v>
      </c>
      <c r="X9007" s="21">
        <v>1</v>
      </c>
      <c r="Y9007" s="21">
        <v>0</v>
      </c>
      <c r="Z9007" s="21">
        <v>0</v>
      </c>
      <c r="AA9007" s="21">
        <v>0</v>
      </c>
      <c r="AB9007" s="21">
        <v>0</v>
      </c>
      <c r="AC9007" s="21">
        <v>0</v>
      </c>
      <c r="AD9007" s="21">
        <v>0</v>
      </c>
      <c r="AE9007" s="21">
        <v>0</v>
      </c>
      <c r="AF9007" s="21">
        <v>0</v>
      </c>
      <c r="AG9007" s="21">
        <v>0</v>
      </c>
      <c r="AH9007" s="21">
        <f t="shared" si="188"/>
        <v>32</v>
      </c>
      <c r="AI9007" s="21"/>
      <c r="AJ9007" s="21" t="s">
        <v>54</v>
      </c>
      <c r="AK9007" s="21" t="s">
        <v>52</v>
      </c>
      <c r="AL9007" s="21" t="s">
        <v>470</v>
      </c>
      <c r="AM9007" s="21" t="s">
        <v>6006</v>
      </c>
      <c r="AN9007" s="21">
        <v>-122.417626583333</v>
      </c>
      <c r="AO9007" s="21">
        <v>37.790993666666701</v>
      </c>
      <c r="AP9007" s="21" t="s">
        <v>1915</v>
      </c>
    </row>
    <row r="9008" spans="1:42">
      <c r="A9008" s="20">
        <v>43875</v>
      </c>
      <c r="B9008" s="21">
        <v>5</v>
      </c>
      <c r="C9008" s="21">
        <v>231</v>
      </c>
      <c r="D9008" s="21">
        <v>10521</v>
      </c>
      <c r="E9008" t="s">
        <v>112</v>
      </c>
      <c r="F9008" s="21" t="s">
        <v>104</v>
      </c>
      <c r="G9008" s="21">
        <v>4</v>
      </c>
      <c r="H9008" s="21">
        <v>52</v>
      </c>
      <c r="I9008" s="23" t="s">
        <v>3083</v>
      </c>
      <c r="J9008" s="21"/>
      <c r="K9008" s="21" t="s">
        <v>2125</v>
      </c>
      <c r="L9008" s="21"/>
      <c r="M9008" s="21"/>
      <c r="N9008" s="21" t="s">
        <v>44</v>
      </c>
      <c r="O9008" s="21">
        <f>120+67</f>
        <v>187</v>
      </c>
      <c r="P9008" s="21"/>
      <c r="Q9008" s="21">
        <f t="shared" si="187"/>
        <v>2</v>
      </c>
      <c r="R9008" s="21">
        <v>1</v>
      </c>
      <c r="S9008" s="21">
        <v>0</v>
      </c>
      <c r="T9008" s="21">
        <v>0</v>
      </c>
      <c r="U9008" s="21">
        <v>0</v>
      </c>
      <c r="V9008" s="21">
        <v>0</v>
      </c>
      <c r="W9008" s="21">
        <v>2</v>
      </c>
      <c r="X9008" s="21">
        <v>0</v>
      </c>
      <c r="Y9008" s="21">
        <v>0</v>
      </c>
      <c r="Z9008" s="21">
        <v>0</v>
      </c>
      <c r="AA9008" s="21">
        <v>0</v>
      </c>
      <c r="AB9008" s="21">
        <v>0</v>
      </c>
      <c r="AC9008" s="21">
        <v>0</v>
      </c>
      <c r="AD9008" s="21">
        <v>0</v>
      </c>
      <c r="AE9008" s="21">
        <v>0</v>
      </c>
      <c r="AF9008" s="21">
        <v>0</v>
      </c>
      <c r="AG9008" s="21">
        <v>0</v>
      </c>
      <c r="AH9008" s="21">
        <f t="shared" si="188"/>
        <v>192</v>
      </c>
      <c r="AI9008" s="21"/>
      <c r="AJ9008" s="21" t="s">
        <v>54</v>
      </c>
      <c r="AK9008" s="21" t="s">
        <v>52</v>
      </c>
      <c r="AL9008" s="21"/>
      <c r="AM9008" s="21" t="s">
        <v>6007</v>
      </c>
      <c r="AN9008" s="21">
        <v>-122.417505416667</v>
      </c>
      <c r="AO9008" s="21">
        <v>37.791107283333297</v>
      </c>
      <c r="AP9008" s="21" t="s">
        <v>1915</v>
      </c>
    </row>
    <row r="9009" spans="1:42">
      <c r="A9009" s="20">
        <v>43875</v>
      </c>
      <c r="B9009" s="21">
        <v>5</v>
      </c>
      <c r="C9009" s="21">
        <v>231</v>
      </c>
      <c r="D9009" s="21">
        <v>10521</v>
      </c>
      <c r="E9009" t="s">
        <v>112</v>
      </c>
      <c r="F9009" s="21" t="s">
        <v>104</v>
      </c>
      <c r="G9009" s="21">
        <v>4</v>
      </c>
      <c r="H9009" s="21">
        <v>53</v>
      </c>
      <c r="I9009" s="23" t="s">
        <v>6008</v>
      </c>
      <c r="J9009" s="21"/>
      <c r="K9009" s="21" t="s">
        <v>2125</v>
      </c>
      <c r="L9009" s="21"/>
      <c r="M9009" s="21"/>
      <c r="N9009" s="21" t="s">
        <v>40</v>
      </c>
      <c r="O9009" s="21">
        <v>58</v>
      </c>
      <c r="P9009" s="21"/>
      <c r="Q9009" s="21">
        <f t="shared" si="187"/>
        <v>2</v>
      </c>
      <c r="R9009" s="21">
        <v>1</v>
      </c>
      <c r="S9009" s="21">
        <v>0</v>
      </c>
      <c r="T9009" s="21">
        <v>0</v>
      </c>
      <c r="U9009" s="21">
        <v>1</v>
      </c>
      <c r="V9009" s="21">
        <v>1</v>
      </c>
      <c r="W9009" s="21">
        <v>0</v>
      </c>
      <c r="X9009" s="21">
        <v>0</v>
      </c>
      <c r="Y9009" s="21">
        <v>0</v>
      </c>
      <c r="Z9009" s="21">
        <v>0</v>
      </c>
      <c r="AA9009" s="21">
        <v>0</v>
      </c>
      <c r="AB9009" s="21">
        <v>0</v>
      </c>
      <c r="AC9009" s="21">
        <v>0</v>
      </c>
      <c r="AD9009" s="21">
        <v>0</v>
      </c>
      <c r="AE9009" s="21">
        <v>0</v>
      </c>
      <c r="AF9009" s="21">
        <v>0</v>
      </c>
      <c r="AG9009" s="21">
        <v>0</v>
      </c>
      <c r="AH9009" s="21">
        <f t="shared" si="188"/>
        <v>96</v>
      </c>
      <c r="AI9009" s="21"/>
      <c r="AJ9009" s="21" t="s">
        <v>54</v>
      </c>
      <c r="AK9009" s="21" t="s">
        <v>52</v>
      </c>
      <c r="AL9009" s="21"/>
      <c r="AM9009" s="21" t="s">
        <v>6009</v>
      </c>
      <c r="AN9009" s="21">
        <v>-122.41799306666699</v>
      </c>
      <c r="AO9009" s="21">
        <v>37.790988916666699</v>
      </c>
      <c r="AP9009" s="21" t="s">
        <v>1915</v>
      </c>
    </row>
    <row r="9010" spans="1:42">
      <c r="A9010" s="20">
        <v>43875</v>
      </c>
      <c r="B9010" s="21">
        <v>5</v>
      </c>
      <c r="C9010" s="21">
        <v>231</v>
      </c>
      <c r="D9010" s="21">
        <v>10521</v>
      </c>
      <c r="E9010" t="s">
        <v>112</v>
      </c>
      <c r="F9010" s="21" t="s">
        <v>104</v>
      </c>
      <c r="G9010" s="21">
        <v>4</v>
      </c>
      <c r="H9010" s="21">
        <v>54</v>
      </c>
      <c r="I9010" s="23" t="s">
        <v>3085</v>
      </c>
      <c r="J9010" s="21"/>
      <c r="K9010" s="21" t="s">
        <v>2125</v>
      </c>
      <c r="L9010" s="21"/>
      <c r="M9010" s="21"/>
      <c r="N9010" s="21" t="s">
        <v>44</v>
      </c>
      <c r="O9010" s="21">
        <v>4</v>
      </c>
      <c r="P9010" s="21"/>
      <c r="Q9010" s="21">
        <f t="shared" si="187"/>
        <v>2</v>
      </c>
      <c r="R9010" s="21">
        <v>1</v>
      </c>
      <c r="S9010" s="21">
        <v>0</v>
      </c>
      <c r="T9010" s="21">
        <v>0</v>
      </c>
      <c r="U9010" s="21">
        <v>0</v>
      </c>
      <c r="V9010" s="21">
        <v>0</v>
      </c>
      <c r="W9010" s="21">
        <v>2</v>
      </c>
      <c r="X9010" s="21">
        <v>0</v>
      </c>
      <c r="Y9010" s="21">
        <v>0</v>
      </c>
      <c r="Z9010" s="21">
        <v>0</v>
      </c>
      <c r="AA9010" s="21">
        <v>0</v>
      </c>
      <c r="AB9010" s="21">
        <v>0</v>
      </c>
      <c r="AC9010" s="21">
        <v>0</v>
      </c>
      <c r="AD9010" s="21">
        <v>0</v>
      </c>
      <c r="AE9010" s="21">
        <v>0</v>
      </c>
      <c r="AF9010" s="21">
        <v>0</v>
      </c>
      <c r="AG9010" s="21">
        <v>0</v>
      </c>
      <c r="AH9010" s="21">
        <f t="shared" si="188"/>
        <v>192</v>
      </c>
      <c r="AI9010" s="21"/>
      <c r="AJ9010" s="21" t="s">
        <v>54</v>
      </c>
      <c r="AK9010" s="21" t="s">
        <v>52</v>
      </c>
      <c r="AL9010" s="21"/>
      <c r="AM9010" s="21" t="s">
        <v>6010</v>
      </c>
      <c r="AN9010" s="21">
        <v>-122.418090866667</v>
      </c>
      <c r="AO9010" s="21">
        <v>37.790966983333398</v>
      </c>
      <c r="AP9010" s="21" t="s">
        <v>1915</v>
      </c>
    </row>
    <row r="9011" spans="1:42">
      <c r="A9011" s="20">
        <v>43875</v>
      </c>
      <c r="B9011" s="21">
        <v>5</v>
      </c>
      <c r="C9011" s="21">
        <v>231</v>
      </c>
      <c r="D9011" s="21">
        <v>10521</v>
      </c>
      <c r="E9011" t="s">
        <v>112</v>
      </c>
      <c r="F9011" s="21" t="s">
        <v>104</v>
      </c>
      <c r="G9011" s="21">
        <v>4</v>
      </c>
      <c r="H9011" s="21">
        <v>55</v>
      </c>
      <c r="I9011" s="23" t="s">
        <v>3852</v>
      </c>
      <c r="J9011" s="21"/>
      <c r="K9011" s="21" t="s">
        <v>2125</v>
      </c>
      <c r="L9011" s="21"/>
      <c r="M9011" s="21"/>
      <c r="N9011" s="21" t="s">
        <v>44</v>
      </c>
      <c r="O9011" s="21">
        <f>60+26</f>
        <v>86</v>
      </c>
      <c r="P9011" s="21"/>
      <c r="Q9011" s="21">
        <f t="shared" si="187"/>
        <v>1</v>
      </c>
      <c r="R9011" s="21">
        <v>1</v>
      </c>
      <c r="S9011" s="21">
        <v>0</v>
      </c>
      <c r="T9011" s="21">
        <v>0</v>
      </c>
      <c r="U9011" s="21">
        <v>0</v>
      </c>
      <c r="V9011" s="21">
        <v>0</v>
      </c>
      <c r="W9011" s="21">
        <v>1</v>
      </c>
      <c r="X9011" s="21">
        <v>0</v>
      </c>
      <c r="Y9011" s="21">
        <v>0</v>
      </c>
      <c r="Z9011" s="21">
        <v>0</v>
      </c>
      <c r="AA9011" s="21">
        <v>0</v>
      </c>
      <c r="AB9011" s="21">
        <v>0</v>
      </c>
      <c r="AC9011" s="21">
        <v>0</v>
      </c>
      <c r="AD9011" s="21">
        <v>0</v>
      </c>
      <c r="AE9011" s="21">
        <v>0</v>
      </c>
      <c r="AF9011" s="21">
        <v>0</v>
      </c>
      <c r="AG9011" s="21">
        <v>0</v>
      </c>
      <c r="AH9011" s="21">
        <f t="shared" si="188"/>
        <v>96</v>
      </c>
      <c r="AI9011" s="21"/>
      <c r="AJ9011" s="21" t="s">
        <v>54</v>
      </c>
      <c r="AK9011" s="21"/>
      <c r="AL9011" s="21"/>
      <c r="AM9011" s="21" t="s">
        <v>6011</v>
      </c>
      <c r="AN9011" s="21">
        <v>-122.418309383333</v>
      </c>
      <c r="AO9011" s="21">
        <v>37.790956850000001</v>
      </c>
      <c r="AP9011" s="21" t="s">
        <v>1915</v>
      </c>
    </row>
    <row r="9012" spans="1:42">
      <c r="A9012" s="20">
        <v>43875</v>
      </c>
      <c r="B9012" s="21">
        <v>5</v>
      </c>
      <c r="C9012" s="21">
        <v>231</v>
      </c>
      <c r="D9012" s="21">
        <v>10521</v>
      </c>
      <c r="E9012" t="s">
        <v>112</v>
      </c>
      <c r="F9012" s="21" t="s">
        <v>104</v>
      </c>
      <c r="G9012" s="21">
        <v>4</v>
      </c>
      <c r="H9012" s="21">
        <v>56</v>
      </c>
      <c r="I9012" s="23" t="s">
        <v>6012</v>
      </c>
      <c r="J9012" s="21"/>
      <c r="K9012" s="21" t="s">
        <v>2125</v>
      </c>
      <c r="L9012" s="21"/>
      <c r="M9012" s="21"/>
      <c r="N9012" s="21" t="s">
        <v>44</v>
      </c>
      <c r="O9012" s="21">
        <v>129</v>
      </c>
      <c r="P9012" s="21"/>
      <c r="Q9012" s="21">
        <f t="shared" si="187"/>
        <v>1</v>
      </c>
      <c r="R9012" s="21">
        <v>1</v>
      </c>
      <c r="S9012" s="21">
        <v>0</v>
      </c>
      <c r="T9012" s="21">
        <v>0</v>
      </c>
      <c r="U9012" s="21">
        <v>0</v>
      </c>
      <c r="V9012" s="21">
        <v>0</v>
      </c>
      <c r="W9012" s="21">
        <v>1</v>
      </c>
      <c r="X9012" s="21">
        <v>0</v>
      </c>
      <c r="Y9012" s="21">
        <v>0</v>
      </c>
      <c r="Z9012" s="21">
        <v>0</v>
      </c>
      <c r="AA9012" s="21">
        <v>0</v>
      </c>
      <c r="AB9012" s="21">
        <v>0</v>
      </c>
      <c r="AC9012" s="21">
        <v>0</v>
      </c>
      <c r="AD9012" s="21">
        <v>0</v>
      </c>
      <c r="AE9012" s="21">
        <v>0</v>
      </c>
      <c r="AF9012" s="21">
        <v>0</v>
      </c>
      <c r="AG9012" s="21">
        <v>0</v>
      </c>
      <c r="AH9012" s="21">
        <f t="shared" si="188"/>
        <v>96</v>
      </c>
      <c r="AI9012" s="21"/>
      <c r="AJ9012" s="21" t="s">
        <v>54</v>
      </c>
      <c r="AK9012" s="21" t="s">
        <v>52</v>
      </c>
      <c r="AL9012" s="21" t="s">
        <v>3089</v>
      </c>
      <c r="AM9012" s="21" t="s">
        <v>6013</v>
      </c>
      <c r="AN9012" s="21">
        <v>-122.418496366667</v>
      </c>
      <c r="AO9012" s="21">
        <v>37.790915633333299</v>
      </c>
      <c r="AP9012" s="21" t="s">
        <v>1915</v>
      </c>
    </row>
    <row r="9013" spans="1:42">
      <c r="A9013" s="20">
        <v>43875</v>
      </c>
      <c r="B9013" s="21">
        <v>5</v>
      </c>
      <c r="C9013" s="21">
        <v>231</v>
      </c>
      <c r="D9013" s="21">
        <v>10521</v>
      </c>
      <c r="E9013" t="s">
        <v>112</v>
      </c>
      <c r="F9013" s="21" t="s">
        <v>104</v>
      </c>
      <c r="G9013" s="21">
        <v>4</v>
      </c>
      <c r="H9013" s="21">
        <v>57</v>
      </c>
      <c r="I9013" s="23" t="s">
        <v>3274</v>
      </c>
      <c r="J9013" s="21"/>
      <c r="K9013" s="21" t="s">
        <v>2125</v>
      </c>
      <c r="L9013" s="21"/>
      <c r="M9013" s="21"/>
      <c r="N9013" s="21" t="s">
        <v>44</v>
      </c>
      <c r="O9013" s="21">
        <f>120+60+41</f>
        <v>221</v>
      </c>
      <c r="P9013" s="21"/>
      <c r="Q9013" s="21">
        <f t="shared" si="187"/>
        <v>1</v>
      </c>
      <c r="R9013" s="21">
        <v>1</v>
      </c>
      <c r="S9013" s="21">
        <v>0</v>
      </c>
      <c r="T9013" s="21">
        <v>0</v>
      </c>
      <c r="U9013" s="21">
        <v>0</v>
      </c>
      <c r="V9013" s="21">
        <v>0</v>
      </c>
      <c r="W9013" s="21">
        <v>1</v>
      </c>
      <c r="X9013" s="21">
        <v>0</v>
      </c>
      <c r="Y9013" s="21">
        <v>0</v>
      </c>
      <c r="Z9013" s="21">
        <v>0</v>
      </c>
      <c r="AA9013" s="21">
        <v>0</v>
      </c>
      <c r="AB9013" s="21">
        <v>0</v>
      </c>
      <c r="AC9013" s="21">
        <v>0</v>
      </c>
      <c r="AD9013" s="21">
        <v>0</v>
      </c>
      <c r="AE9013" s="21">
        <v>0</v>
      </c>
      <c r="AF9013" s="21">
        <v>0</v>
      </c>
      <c r="AG9013" s="21">
        <v>0</v>
      </c>
      <c r="AH9013" s="21">
        <f t="shared" si="188"/>
        <v>96</v>
      </c>
      <c r="AI9013" s="21"/>
      <c r="AJ9013" s="21" t="s">
        <v>54</v>
      </c>
      <c r="AK9013" s="21" t="s">
        <v>52</v>
      </c>
      <c r="AL9013" s="21"/>
      <c r="AM9013" s="21" t="s">
        <v>6014</v>
      </c>
      <c r="AN9013" s="21">
        <v>-122.418512483333</v>
      </c>
      <c r="AO9013" s="21">
        <v>37.790919616666699</v>
      </c>
      <c r="AP9013" s="21" t="s">
        <v>1915</v>
      </c>
    </row>
    <row r="9014" spans="1:42">
      <c r="A9014" s="20">
        <v>43875</v>
      </c>
      <c r="B9014" s="21">
        <v>5</v>
      </c>
      <c r="C9014" s="21">
        <v>231</v>
      </c>
      <c r="D9014" s="21">
        <v>10521</v>
      </c>
      <c r="E9014" t="s">
        <v>112</v>
      </c>
      <c r="F9014" s="21" t="s">
        <v>104</v>
      </c>
      <c r="G9014" s="21">
        <v>4</v>
      </c>
      <c r="H9014" s="21">
        <v>58</v>
      </c>
      <c r="I9014" s="23" t="s">
        <v>3013</v>
      </c>
      <c r="J9014" s="21"/>
      <c r="K9014" s="21" t="s">
        <v>2125</v>
      </c>
      <c r="L9014" s="21"/>
      <c r="M9014" s="21"/>
      <c r="N9014" s="21" t="s">
        <v>40</v>
      </c>
      <c r="O9014" s="21">
        <v>28</v>
      </c>
      <c r="P9014" s="21"/>
      <c r="Q9014" s="21">
        <f t="shared" si="187"/>
        <v>1</v>
      </c>
      <c r="R9014" s="21">
        <v>1</v>
      </c>
      <c r="S9014" s="21">
        <v>0</v>
      </c>
      <c r="T9014" s="21">
        <v>0</v>
      </c>
      <c r="U9014" s="21">
        <v>0</v>
      </c>
      <c r="V9014" s="21">
        <v>1</v>
      </c>
      <c r="W9014" s="21">
        <v>0</v>
      </c>
      <c r="X9014" s="21">
        <v>0</v>
      </c>
      <c r="Y9014" s="21">
        <v>0</v>
      </c>
      <c r="Z9014" s="21">
        <v>0</v>
      </c>
      <c r="AA9014" s="21">
        <v>0</v>
      </c>
      <c r="AB9014" s="21">
        <v>0</v>
      </c>
      <c r="AC9014" s="21">
        <v>0</v>
      </c>
      <c r="AD9014" s="21">
        <v>0</v>
      </c>
      <c r="AE9014" s="21">
        <v>0</v>
      </c>
      <c r="AF9014" s="21">
        <v>0</v>
      </c>
      <c r="AG9014" s="21">
        <v>0</v>
      </c>
      <c r="AH9014" s="21">
        <f t="shared" si="188"/>
        <v>64</v>
      </c>
      <c r="AI9014" s="21"/>
      <c r="AJ9014" s="21"/>
      <c r="AK9014" s="21"/>
      <c r="AL9014" s="21"/>
      <c r="AM9014" s="21" t="s">
        <v>6015</v>
      </c>
      <c r="AN9014" s="21">
        <v>-122.419001283333</v>
      </c>
      <c r="AO9014" s="21">
        <v>37.790809549999999</v>
      </c>
      <c r="AP9014" s="21" t="s">
        <v>1915</v>
      </c>
    </row>
    <row r="9015" spans="1:42">
      <c r="A9015" s="20">
        <v>43875</v>
      </c>
      <c r="B9015" s="21">
        <v>5</v>
      </c>
      <c r="C9015" s="21">
        <v>231</v>
      </c>
      <c r="D9015" s="21">
        <v>10521</v>
      </c>
      <c r="E9015" t="s">
        <v>112</v>
      </c>
      <c r="F9015" s="21" t="s">
        <v>104</v>
      </c>
      <c r="G9015" s="21">
        <v>4</v>
      </c>
      <c r="H9015" s="21">
        <v>59</v>
      </c>
      <c r="I9015" s="23" t="s">
        <v>3096</v>
      </c>
      <c r="J9015" s="21"/>
      <c r="K9015" s="21" t="s">
        <v>2125</v>
      </c>
      <c r="L9015" s="21"/>
      <c r="M9015" s="21"/>
      <c r="N9015" s="21" t="s">
        <v>40</v>
      </c>
      <c r="O9015" s="21">
        <f>60+29</f>
        <v>89</v>
      </c>
      <c r="P9015" s="21"/>
      <c r="Q9015" s="21">
        <f t="shared" si="187"/>
        <v>2</v>
      </c>
      <c r="R9015" s="21">
        <v>1</v>
      </c>
      <c r="S9015" s="21">
        <v>0</v>
      </c>
      <c r="T9015" s="21">
        <v>0</v>
      </c>
      <c r="U9015" s="21">
        <v>0</v>
      </c>
      <c r="V9015" s="21">
        <v>2</v>
      </c>
      <c r="W9015" s="21">
        <v>0</v>
      </c>
      <c r="X9015" s="21">
        <v>0</v>
      </c>
      <c r="Y9015" s="21">
        <v>0</v>
      </c>
      <c r="Z9015" s="21">
        <v>0</v>
      </c>
      <c r="AA9015" s="21">
        <v>0</v>
      </c>
      <c r="AB9015" s="21">
        <v>0</v>
      </c>
      <c r="AC9015" s="21">
        <v>0</v>
      </c>
      <c r="AD9015" s="21">
        <v>0</v>
      </c>
      <c r="AE9015" s="21">
        <v>0</v>
      </c>
      <c r="AF9015" s="21">
        <v>0</v>
      </c>
      <c r="AG9015" s="21">
        <v>0</v>
      </c>
      <c r="AH9015" s="21">
        <f t="shared" si="188"/>
        <v>128</v>
      </c>
      <c r="AI9015" s="21"/>
      <c r="AJ9015" s="21" t="s">
        <v>54</v>
      </c>
      <c r="AK9015" s="21" t="s">
        <v>52</v>
      </c>
      <c r="AL9015" s="21"/>
      <c r="AM9015" s="21" t="s">
        <v>6016</v>
      </c>
      <c r="AN9015" s="21">
        <v>-122.419380183333</v>
      </c>
      <c r="AO9015" s="21">
        <v>37.7908038333333</v>
      </c>
      <c r="AP9015" s="21" t="s">
        <v>1915</v>
      </c>
    </row>
    <row r="9016" spans="1:42">
      <c r="A9016" s="20">
        <v>43875</v>
      </c>
      <c r="B9016" s="21">
        <v>5</v>
      </c>
      <c r="C9016" s="21">
        <v>231</v>
      </c>
      <c r="D9016" s="21">
        <v>10521</v>
      </c>
      <c r="E9016" t="s">
        <v>112</v>
      </c>
      <c r="F9016" s="21" t="s">
        <v>104</v>
      </c>
      <c r="G9016" s="21">
        <v>4</v>
      </c>
      <c r="H9016" s="21">
        <v>60</v>
      </c>
      <c r="I9016" s="23" t="s">
        <v>6017</v>
      </c>
      <c r="J9016" s="21"/>
      <c r="K9016" s="21" t="s">
        <v>2125</v>
      </c>
      <c r="L9016" s="21"/>
      <c r="M9016" s="21"/>
      <c r="N9016" s="21" t="s">
        <v>40</v>
      </c>
      <c r="O9016" s="21">
        <f>60+51</f>
        <v>111</v>
      </c>
      <c r="P9016" s="21"/>
      <c r="Q9016" s="21">
        <f t="shared" si="187"/>
        <v>4</v>
      </c>
      <c r="R9016" s="21">
        <v>1</v>
      </c>
      <c r="S9016" s="21">
        <v>0</v>
      </c>
      <c r="T9016" s="21">
        <v>0</v>
      </c>
      <c r="U9016" s="21">
        <v>1</v>
      </c>
      <c r="V9016" s="21">
        <v>3</v>
      </c>
      <c r="W9016" s="21">
        <v>0</v>
      </c>
      <c r="X9016" s="21">
        <v>0</v>
      </c>
      <c r="Y9016" s="21">
        <v>0</v>
      </c>
      <c r="Z9016" s="21">
        <v>0</v>
      </c>
      <c r="AA9016" s="21">
        <v>0</v>
      </c>
      <c r="AB9016" s="21">
        <v>0</v>
      </c>
      <c r="AC9016" s="21">
        <v>0</v>
      </c>
      <c r="AD9016" s="21">
        <v>0</v>
      </c>
      <c r="AE9016" s="21">
        <v>0</v>
      </c>
      <c r="AF9016" s="21">
        <v>0</v>
      </c>
      <c r="AG9016" s="21">
        <v>0</v>
      </c>
      <c r="AH9016" s="21">
        <f t="shared" si="188"/>
        <v>224</v>
      </c>
      <c r="AI9016" s="21"/>
      <c r="AJ9016" s="21" t="s">
        <v>54</v>
      </c>
      <c r="AK9016" s="21" t="s">
        <v>52</v>
      </c>
      <c r="AL9016" s="21"/>
      <c r="AM9016" s="21" t="s">
        <v>6018</v>
      </c>
      <c r="AN9016" s="21">
        <v>-122.42001733333301</v>
      </c>
      <c r="AO9016" s="21">
        <v>37.790711516666597</v>
      </c>
      <c r="AP9016" s="21" t="s">
        <v>1915</v>
      </c>
    </row>
    <row r="9017" spans="1:42">
      <c r="A9017" s="20">
        <v>43875</v>
      </c>
      <c r="B9017" s="21">
        <v>5</v>
      </c>
      <c r="C9017" s="21">
        <v>231</v>
      </c>
      <c r="D9017" s="21">
        <v>10521</v>
      </c>
      <c r="E9017" t="s">
        <v>112</v>
      </c>
      <c r="F9017" s="21" t="s">
        <v>104</v>
      </c>
      <c r="G9017" s="21">
        <v>4</v>
      </c>
      <c r="H9017" s="21">
        <v>61</v>
      </c>
      <c r="I9017" s="23" t="s">
        <v>6019</v>
      </c>
      <c r="J9017" s="21"/>
      <c r="K9017" s="21" t="s">
        <v>2125</v>
      </c>
      <c r="L9017" s="21"/>
      <c r="M9017" s="21"/>
      <c r="N9017" s="21" t="s">
        <v>44</v>
      </c>
      <c r="O9017" s="21">
        <v>67</v>
      </c>
      <c r="P9017" s="21"/>
      <c r="Q9017" s="21">
        <f t="shared" si="187"/>
        <v>1</v>
      </c>
      <c r="R9017" s="21">
        <v>1</v>
      </c>
      <c r="S9017" s="21">
        <v>0</v>
      </c>
      <c r="T9017" s="21">
        <v>0</v>
      </c>
      <c r="U9017" s="21">
        <v>0</v>
      </c>
      <c r="V9017" s="21">
        <v>0</v>
      </c>
      <c r="W9017" s="21">
        <v>1</v>
      </c>
      <c r="X9017" s="21">
        <v>0</v>
      </c>
      <c r="Y9017" s="21">
        <v>0</v>
      </c>
      <c r="Z9017" s="21">
        <v>0</v>
      </c>
      <c r="AA9017" s="21">
        <v>0</v>
      </c>
      <c r="AB9017" s="21">
        <v>0</v>
      </c>
      <c r="AC9017" s="21">
        <v>0</v>
      </c>
      <c r="AD9017" s="21">
        <v>0</v>
      </c>
      <c r="AE9017" s="21">
        <v>0</v>
      </c>
      <c r="AF9017" s="21">
        <v>0</v>
      </c>
      <c r="AG9017" s="21">
        <v>0</v>
      </c>
      <c r="AH9017" s="21">
        <f t="shared" si="188"/>
        <v>96</v>
      </c>
      <c r="AI9017" s="21"/>
      <c r="AJ9017" s="21" t="s">
        <v>54</v>
      </c>
      <c r="AK9017" s="21" t="s">
        <v>52</v>
      </c>
      <c r="AL9017" s="21"/>
      <c r="AM9017" s="21" t="s">
        <v>6020</v>
      </c>
      <c r="AN9017" s="21">
        <v>-122.42019088333301</v>
      </c>
      <c r="AO9017" s="21">
        <v>37.790690783333297</v>
      </c>
      <c r="AP9017" s="21" t="s">
        <v>1915</v>
      </c>
    </row>
    <row r="9018" spans="1:42">
      <c r="A9018" s="20">
        <v>43875</v>
      </c>
      <c r="B9018" s="21">
        <v>5</v>
      </c>
      <c r="C9018" s="21">
        <v>231</v>
      </c>
      <c r="D9018" s="21">
        <v>10521</v>
      </c>
      <c r="E9018" t="s">
        <v>112</v>
      </c>
      <c r="F9018" s="21" t="s">
        <v>104</v>
      </c>
      <c r="G9018" s="21">
        <v>4</v>
      </c>
      <c r="H9018" s="21">
        <v>62</v>
      </c>
      <c r="I9018" s="23" t="s">
        <v>3096</v>
      </c>
      <c r="J9018" s="21"/>
      <c r="K9018" s="21" t="s">
        <v>2125</v>
      </c>
      <c r="L9018" s="21"/>
      <c r="M9018" s="21"/>
      <c r="N9018" s="21" t="s">
        <v>40</v>
      </c>
      <c r="O9018" s="21">
        <v>43</v>
      </c>
      <c r="P9018" s="21"/>
      <c r="Q9018" s="21">
        <f t="shared" si="187"/>
        <v>2</v>
      </c>
      <c r="R9018" s="21">
        <v>1</v>
      </c>
      <c r="S9018" s="21">
        <v>0</v>
      </c>
      <c r="T9018" s="21">
        <v>0</v>
      </c>
      <c r="U9018" s="21">
        <v>2</v>
      </c>
      <c r="V9018" s="21">
        <v>0</v>
      </c>
      <c r="W9018" s="21">
        <v>0</v>
      </c>
      <c r="X9018" s="21">
        <v>0</v>
      </c>
      <c r="Y9018" s="21">
        <v>0</v>
      </c>
      <c r="Z9018" s="21">
        <v>0</v>
      </c>
      <c r="AA9018" s="21">
        <v>0</v>
      </c>
      <c r="AB9018" s="21">
        <v>0</v>
      </c>
      <c r="AC9018" s="21">
        <v>0</v>
      </c>
      <c r="AD9018" s="21">
        <v>0</v>
      </c>
      <c r="AE9018" s="21">
        <v>0</v>
      </c>
      <c r="AF9018" s="21">
        <v>0</v>
      </c>
      <c r="AG9018" s="21">
        <v>0</v>
      </c>
      <c r="AH9018" s="21">
        <f t="shared" si="188"/>
        <v>64</v>
      </c>
      <c r="AI9018" s="21"/>
      <c r="AJ9018" s="21"/>
      <c r="AK9018" s="21"/>
      <c r="AL9018" s="21"/>
      <c r="AM9018" s="21" t="s">
        <v>6021</v>
      </c>
      <c r="AN9018" s="21">
        <v>-122.42033485</v>
      </c>
      <c r="AO9018" s="21">
        <v>37.790660633333303</v>
      </c>
      <c r="AP9018" s="21" t="s">
        <v>1915</v>
      </c>
    </row>
    <row r="9019" spans="1:42">
      <c r="A9019" s="20">
        <v>43875</v>
      </c>
      <c r="B9019" s="21">
        <v>5</v>
      </c>
      <c r="C9019" s="21">
        <v>231</v>
      </c>
      <c r="D9019" s="21">
        <v>10521</v>
      </c>
      <c r="E9019" t="s">
        <v>112</v>
      </c>
      <c r="F9019" s="21" t="s">
        <v>104</v>
      </c>
      <c r="G9019" s="21">
        <v>4</v>
      </c>
      <c r="H9019" s="21">
        <v>63</v>
      </c>
      <c r="I9019" s="23" t="s">
        <v>3100</v>
      </c>
      <c r="J9019" s="21"/>
      <c r="K9019" s="21" t="s">
        <v>2125</v>
      </c>
      <c r="L9019" s="21"/>
      <c r="M9019" s="21"/>
      <c r="N9019" s="21" t="s">
        <v>1703</v>
      </c>
      <c r="O9019" s="21">
        <v>60</v>
      </c>
      <c r="P9019" s="21"/>
      <c r="Q9019" s="21">
        <f t="shared" si="187"/>
        <v>2</v>
      </c>
      <c r="R9019" s="21">
        <v>1</v>
      </c>
      <c r="S9019" s="21">
        <v>0</v>
      </c>
      <c r="T9019" s="21">
        <v>0</v>
      </c>
      <c r="U9019" s="21">
        <v>0</v>
      </c>
      <c r="V9019" s="21">
        <v>0</v>
      </c>
      <c r="W9019" s="21">
        <v>2</v>
      </c>
      <c r="X9019" s="21">
        <v>0</v>
      </c>
      <c r="Y9019" s="21">
        <v>0</v>
      </c>
      <c r="Z9019" s="21">
        <v>0</v>
      </c>
      <c r="AA9019" s="21">
        <v>0</v>
      </c>
      <c r="AB9019" s="21">
        <v>0</v>
      </c>
      <c r="AC9019" s="21">
        <v>0</v>
      </c>
      <c r="AD9019" s="21">
        <v>0</v>
      </c>
      <c r="AE9019" s="21">
        <v>0</v>
      </c>
      <c r="AF9019" s="21">
        <v>0</v>
      </c>
      <c r="AG9019" s="21">
        <v>0</v>
      </c>
      <c r="AH9019" s="21">
        <f t="shared" si="188"/>
        <v>192</v>
      </c>
      <c r="AI9019" s="21"/>
      <c r="AJ9019" s="21" t="s">
        <v>54</v>
      </c>
      <c r="AK9019" s="21" t="s">
        <v>52</v>
      </c>
      <c r="AL9019" s="21" t="s">
        <v>1998</v>
      </c>
      <c r="AM9019" s="21" t="s">
        <v>6022</v>
      </c>
      <c r="AN9019" s="21">
        <v>-122.42101813333301</v>
      </c>
      <c r="AO9019" s="21">
        <v>37.790574416666701</v>
      </c>
      <c r="AP9019" s="21" t="s">
        <v>1915</v>
      </c>
    </row>
    <row r="9020" spans="1:42">
      <c r="A9020" s="20">
        <v>43875</v>
      </c>
      <c r="B9020" s="21">
        <v>5</v>
      </c>
      <c r="C9020" s="21">
        <v>231</v>
      </c>
      <c r="D9020" s="21">
        <v>10521</v>
      </c>
      <c r="E9020" t="s">
        <v>112</v>
      </c>
      <c r="F9020" s="21" t="s">
        <v>104</v>
      </c>
      <c r="G9020" s="21">
        <v>4</v>
      </c>
      <c r="H9020" s="21">
        <v>64</v>
      </c>
      <c r="I9020" s="23" t="s">
        <v>6023</v>
      </c>
      <c r="J9020" s="21"/>
      <c r="K9020" s="21" t="s">
        <v>2125</v>
      </c>
      <c r="L9020" s="21"/>
      <c r="M9020" s="21"/>
      <c r="N9020" s="21" t="s">
        <v>1703</v>
      </c>
      <c r="O9020" s="21">
        <v>43</v>
      </c>
      <c r="P9020" s="21"/>
      <c r="Q9020" s="21">
        <f t="shared" si="187"/>
        <v>1</v>
      </c>
      <c r="R9020" s="21">
        <v>1</v>
      </c>
      <c r="S9020" s="21">
        <v>0</v>
      </c>
      <c r="T9020" s="21">
        <v>0</v>
      </c>
      <c r="U9020" s="21">
        <v>0</v>
      </c>
      <c r="V9020" s="21">
        <v>1</v>
      </c>
      <c r="W9020" s="21">
        <v>0</v>
      </c>
      <c r="X9020" s="21">
        <v>0</v>
      </c>
      <c r="Y9020" s="21">
        <v>0</v>
      </c>
      <c r="Z9020" s="21">
        <v>0</v>
      </c>
      <c r="AA9020" s="21">
        <v>0</v>
      </c>
      <c r="AB9020" s="21">
        <v>0</v>
      </c>
      <c r="AC9020" s="21">
        <v>0</v>
      </c>
      <c r="AD9020" s="21">
        <v>0</v>
      </c>
      <c r="AE9020" s="21">
        <v>0</v>
      </c>
      <c r="AF9020" s="21">
        <v>0</v>
      </c>
      <c r="AG9020" s="21">
        <v>0</v>
      </c>
      <c r="AH9020" s="21">
        <f t="shared" si="188"/>
        <v>64</v>
      </c>
      <c r="AI9020" s="21"/>
      <c r="AJ9020" s="21" t="s">
        <v>54</v>
      </c>
      <c r="AK9020" s="21" t="s">
        <v>52</v>
      </c>
      <c r="AL9020" s="21" t="s">
        <v>1950</v>
      </c>
      <c r="AM9020" s="21" t="s">
        <v>6024</v>
      </c>
      <c r="AN9020" s="21">
        <v>-122.421124316667</v>
      </c>
      <c r="AO9020" s="21">
        <v>37.790554783333299</v>
      </c>
      <c r="AP9020" s="21" t="s">
        <v>1915</v>
      </c>
    </row>
    <row r="9021" spans="1:42">
      <c r="A9021" s="20">
        <v>43875</v>
      </c>
      <c r="B9021" s="21">
        <v>5</v>
      </c>
      <c r="C9021" s="21">
        <v>231</v>
      </c>
      <c r="D9021" s="21">
        <v>10521</v>
      </c>
      <c r="E9021" t="s">
        <v>112</v>
      </c>
      <c r="F9021" s="21" t="s">
        <v>104</v>
      </c>
      <c r="G9021" s="21">
        <v>4</v>
      </c>
      <c r="H9021" s="21">
        <v>65</v>
      </c>
      <c r="I9021" s="23" t="s">
        <v>3910</v>
      </c>
      <c r="J9021" s="21"/>
      <c r="K9021" s="21" t="s">
        <v>2125</v>
      </c>
      <c r="L9021" s="21"/>
      <c r="M9021" s="21"/>
      <c r="N9021" s="21" t="s">
        <v>40</v>
      </c>
      <c r="O9021" s="21">
        <f>60+44</f>
        <v>104</v>
      </c>
      <c r="P9021" s="21"/>
      <c r="Q9021" s="21">
        <f t="shared" si="187"/>
        <v>3</v>
      </c>
      <c r="R9021" s="21">
        <v>1</v>
      </c>
      <c r="S9021" s="21">
        <v>0</v>
      </c>
      <c r="T9021" s="21">
        <v>0</v>
      </c>
      <c r="U9021" s="21">
        <v>2</v>
      </c>
      <c r="V9021" s="21">
        <v>1</v>
      </c>
      <c r="W9021" s="21">
        <v>0</v>
      </c>
      <c r="X9021" s="21">
        <v>0</v>
      </c>
      <c r="Y9021" s="21">
        <v>0</v>
      </c>
      <c r="Z9021" s="21">
        <v>0</v>
      </c>
      <c r="AA9021" s="21">
        <v>0</v>
      </c>
      <c r="AB9021" s="21">
        <v>0</v>
      </c>
      <c r="AC9021" s="21">
        <v>0</v>
      </c>
      <c r="AD9021" s="21">
        <v>0</v>
      </c>
      <c r="AE9021" s="21">
        <v>0</v>
      </c>
      <c r="AF9021" s="21">
        <v>0</v>
      </c>
      <c r="AG9021" s="21">
        <v>0</v>
      </c>
      <c r="AH9021" s="21">
        <f t="shared" si="188"/>
        <v>128</v>
      </c>
      <c r="AI9021" s="21"/>
      <c r="AJ9021" s="21"/>
      <c r="AK9021" s="21"/>
      <c r="AL9021" s="21"/>
      <c r="AM9021" s="21" t="s">
        <v>6025</v>
      </c>
      <c r="AN9021" s="21">
        <v>-122.42196330069901</v>
      </c>
      <c r="AO9021" s="21">
        <v>37.790949574325303</v>
      </c>
      <c r="AP9021" s="21" t="s">
        <v>1915</v>
      </c>
    </row>
    <row r="9022" spans="1:42">
      <c r="A9022" s="20">
        <v>43875</v>
      </c>
      <c r="B9022" s="21">
        <v>5</v>
      </c>
      <c r="C9022" s="21">
        <v>231</v>
      </c>
      <c r="D9022" s="21">
        <v>10521</v>
      </c>
      <c r="E9022" t="s">
        <v>112</v>
      </c>
      <c r="F9022" s="21" t="s">
        <v>104</v>
      </c>
      <c r="G9022" s="21">
        <v>4</v>
      </c>
      <c r="H9022" s="21">
        <v>66</v>
      </c>
      <c r="I9022" s="23" t="s">
        <v>3910</v>
      </c>
      <c r="J9022" s="21"/>
      <c r="K9022" s="21" t="s">
        <v>2125</v>
      </c>
      <c r="L9022" s="21"/>
      <c r="M9022" s="21"/>
      <c r="N9022" s="21" t="s">
        <v>40</v>
      </c>
      <c r="O9022" s="21">
        <v>31</v>
      </c>
      <c r="P9022" s="21"/>
      <c r="Q9022" s="21">
        <f t="shared" ref="Q9022:Q9059" si="189">SUM(S9022:AE9022)</f>
        <v>1</v>
      </c>
      <c r="R9022" s="21">
        <v>1</v>
      </c>
      <c r="S9022" s="21">
        <v>0</v>
      </c>
      <c r="T9022" s="21">
        <v>0</v>
      </c>
      <c r="U9022" s="21">
        <v>1</v>
      </c>
      <c r="V9022" s="21">
        <v>0</v>
      </c>
      <c r="W9022" s="21">
        <v>0</v>
      </c>
      <c r="X9022" s="21">
        <v>0</v>
      </c>
      <c r="Y9022" s="21">
        <v>0</v>
      </c>
      <c r="Z9022" s="21">
        <v>0</v>
      </c>
      <c r="AA9022" s="21">
        <v>0</v>
      </c>
      <c r="AB9022" s="21">
        <v>0</v>
      </c>
      <c r="AC9022" s="21">
        <v>0</v>
      </c>
      <c r="AD9022" s="21">
        <v>0</v>
      </c>
      <c r="AE9022" s="21">
        <v>0</v>
      </c>
      <c r="AF9022" s="21">
        <v>0</v>
      </c>
      <c r="AG9022" s="21">
        <v>0</v>
      </c>
      <c r="AH9022" s="21">
        <f t="shared" ref="AH9022:AH9059" si="190">(S9022*16)+(T9022*20)+(U9022*32)+(V9022*64)+(W9022*96)</f>
        <v>32</v>
      </c>
      <c r="AI9022" s="21"/>
      <c r="AJ9022" s="21" t="s">
        <v>54</v>
      </c>
      <c r="AK9022" s="21" t="s">
        <v>95</v>
      </c>
      <c r="AL9022" s="21"/>
      <c r="AM9022" s="21" t="s">
        <v>6026</v>
      </c>
      <c r="AN9022" s="21">
        <v>-122.42148178333299</v>
      </c>
      <c r="AO9022" s="21">
        <v>37.7904804666667</v>
      </c>
      <c r="AP9022" s="21" t="s">
        <v>1915</v>
      </c>
    </row>
    <row r="9023" spans="1:42">
      <c r="A9023" s="20">
        <v>43875</v>
      </c>
      <c r="B9023" s="21">
        <v>5</v>
      </c>
      <c r="C9023" s="21">
        <v>231</v>
      </c>
      <c r="D9023" s="21">
        <v>10521</v>
      </c>
      <c r="E9023" t="s">
        <v>112</v>
      </c>
      <c r="F9023" s="21" t="s">
        <v>104</v>
      </c>
      <c r="G9023" s="21">
        <v>4</v>
      </c>
      <c r="H9023" s="21">
        <v>67</v>
      </c>
      <c r="I9023" s="23" t="s">
        <v>3311</v>
      </c>
      <c r="J9023" s="21"/>
      <c r="K9023" s="21" t="s">
        <v>2125</v>
      </c>
      <c r="L9023" s="21"/>
      <c r="M9023" s="21"/>
      <c r="N9023" s="21" t="s">
        <v>40</v>
      </c>
      <c r="O9023" s="21">
        <v>59</v>
      </c>
      <c r="P9023" s="21"/>
      <c r="Q9023" s="21">
        <f t="shared" si="189"/>
        <v>2</v>
      </c>
      <c r="R9023" s="21">
        <v>1</v>
      </c>
      <c r="S9023" s="21">
        <v>0</v>
      </c>
      <c r="T9023" s="21">
        <v>0</v>
      </c>
      <c r="U9023" s="21">
        <v>0</v>
      </c>
      <c r="V9023" s="21">
        <v>2</v>
      </c>
      <c r="W9023" s="21">
        <v>0</v>
      </c>
      <c r="X9023" s="21">
        <v>0</v>
      </c>
      <c r="Y9023" s="21">
        <v>0</v>
      </c>
      <c r="Z9023" s="21">
        <v>0</v>
      </c>
      <c r="AA9023" s="21">
        <v>0</v>
      </c>
      <c r="AB9023" s="21">
        <v>0</v>
      </c>
      <c r="AC9023" s="21">
        <v>0</v>
      </c>
      <c r="AD9023" s="21">
        <v>0</v>
      </c>
      <c r="AE9023" s="21">
        <v>0</v>
      </c>
      <c r="AF9023" s="21">
        <v>0</v>
      </c>
      <c r="AG9023" s="21">
        <v>0</v>
      </c>
      <c r="AH9023" s="21">
        <f t="shared" si="190"/>
        <v>128</v>
      </c>
      <c r="AI9023" s="21"/>
      <c r="AJ9023" s="21" t="s">
        <v>54</v>
      </c>
      <c r="AK9023" s="21" t="s">
        <v>95</v>
      </c>
      <c r="AL9023" s="21"/>
      <c r="AM9023" s="21" t="s">
        <v>6027</v>
      </c>
      <c r="AN9023" s="21">
        <v>-122.421691833333</v>
      </c>
      <c r="AO9023" s="21">
        <v>37.790471133333298</v>
      </c>
      <c r="AP9023" s="21" t="s">
        <v>1915</v>
      </c>
    </row>
    <row r="9024" spans="1:42">
      <c r="A9024" s="20">
        <v>43875</v>
      </c>
      <c r="B9024" s="21">
        <v>5</v>
      </c>
      <c r="C9024" s="21">
        <v>231</v>
      </c>
      <c r="D9024" s="21">
        <v>10521</v>
      </c>
      <c r="E9024" t="s">
        <v>112</v>
      </c>
      <c r="F9024" s="21" t="s">
        <v>104</v>
      </c>
      <c r="G9024" s="21">
        <v>4</v>
      </c>
      <c r="H9024" s="21">
        <v>69</v>
      </c>
      <c r="I9024" s="23">
        <v>1720</v>
      </c>
      <c r="J9024" s="21"/>
      <c r="K9024" s="21" t="s">
        <v>68</v>
      </c>
      <c r="L9024" s="21"/>
      <c r="M9024" s="21"/>
      <c r="N9024" s="21" t="s">
        <v>40</v>
      </c>
      <c r="O9024" s="21">
        <v>41</v>
      </c>
      <c r="P9024" s="21"/>
      <c r="Q9024" s="21">
        <f t="shared" si="189"/>
        <v>1</v>
      </c>
      <c r="R9024" s="21">
        <v>1</v>
      </c>
      <c r="S9024" s="21">
        <v>0</v>
      </c>
      <c r="T9024" s="21">
        <v>0</v>
      </c>
      <c r="U9024" s="21">
        <v>0</v>
      </c>
      <c r="V9024" s="21">
        <v>0</v>
      </c>
      <c r="W9024" s="21">
        <v>1</v>
      </c>
      <c r="X9024" s="21">
        <v>0</v>
      </c>
      <c r="Y9024" s="21">
        <v>0</v>
      </c>
      <c r="Z9024" s="21">
        <v>0</v>
      </c>
      <c r="AA9024" s="21">
        <v>0</v>
      </c>
      <c r="AB9024" s="21">
        <v>0</v>
      </c>
      <c r="AC9024" s="21">
        <v>0</v>
      </c>
      <c r="AD9024" s="21">
        <v>0</v>
      </c>
      <c r="AE9024" s="21">
        <v>0</v>
      </c>
      <c r="AF9024" s="21">
        <v>0</v>
      </c>
      <c r="AG9024" s="21">
        <v>0</v>
      </c>
      <c r="AH9024" s="21">
        <f t="shared" si="190"/>
        <v>96</v>
      </c>
      <c r="AI9024" s="21"/>
      <c r="AJ9024" s="21" t="s">
        <v>54</v>
      </c>
      <c r="AK9024" s="21" t="s">
        <v>52</v>
      </c>
      <c r="AL9024" s="21"/>
      <c r="AM9024" s="21" t="s">
        <v>6028</v>
      </c>
      <c r="AN9024" s="21">
        <v>-122.421909216667</v>
      </c>
      <c r="AO9024" s="21">
        <v>37.792266716666603</v>
      </c>
      <c r="AP9024" s="21" t="s">
        <v>1915</v>
      </c>
    </row>
    <row r="9025" spans="1:42">
      <c r="A9025" s="20">
        <v>43875</v>
      </c>
      <c r="B9025" s="21">
        <v>5</v>
      </c>
      <c r="C9025" s="21">
        <v>231</v>
      </c>
      <c r="D9025" s="21">
        <v>10521</v>
      </c>
      <c r="E9025" t="s">
        <v>112</v>
      </c>
      <c r="F9025" s="21" t="s">
        <v>104</v>
      </c>
      <c r="G9025" s="21">
        <v>4</v>
      </c>
      <c r="H9025" s="21">
        <v>70</v>
      </c>
      <c r="I9025" s="23" t="s">
        <v>5417</v>
      </c>
      <c r="J9025" s="21"/>
      <c r="K9025" s="21" t="s">
        <v>68</v>
      </c>
      <c r="L9025" s="21"/>
      <c r="M9025" s="21"/>
      <c r="N9025" s="21" t="s">
        <v>40</v>
      </c>
      <c r="O9025" s="21">
        <v>39</v>
      </c>
      <c r="P9025" s="21"/>
      <c r="Q9025" s="21">
        <f t="shared" si="189"/>
        <v>1</v>
      </c>
      <c r="R9025" s="21">
        <v>1</v>
      </c>
      <c r="S9025" s="21">
        <v>0</v>
      </c>
      <c r="T9025" s="21">
        <v>0</v>
      </c>
      <c r="U9025" s="21">
        <v>0</v>
      </c>
      <c r="V9025" s="21">
        <v>1</v>
      </c>
      <c r="W9025" s="21">
        <v>0</v>
      </c>
      <c r="X9025" s="21">
        <v>0</v>
      </c>
      <c r="Y9025" s="21">
        <v>0</v>
      </c>
      <c r="Z9025" s="21">
        <v>0</v>
      </c>
      <c r="AA9025" s="21">
        <v>0</v>
      </c>
      <c r="AB9025" s="21">
        <v>0</v>
      </c>
      <c r="AC9025" s="21">
        <v>0</v>
      </c>
      <c r="AD9025" s="21">
        <v>0</v>
      </c>
      <c r="AE9025" s="21">
        <v>0</v>
      </c>
      <c r="AF9025" s="21">
        <v>0</v>
      </c>
      <c r="AG9025" s="21">
        <v>0</v>
      </c>
      <c r="AH9025" s="21">
        <f t="shared" si="190"/>
        <v>64</v>
      </c>
      <c r="AI9025" s="21"/>
      <c r="AJ9025" s="21"/>
      <c r="AK9025" s="21"/>
      <c r="AL9025" s="21"/>
      <c r="AM9025" s="21" t="s">
        <v>6029</v>
      </c>
      <c r="AN9025" s="21">
        <v>-122.421914183333</v>
      </c>
      <c r="AO9025" s="21">
        <v>37.792276666666602</v>
      </c>
      <c r="AP9025" s="21" t="s">
        <v>1915</v>
      </c>
    </row>
    <row r="9026" spans="1:42">
      <c r="A9026" s="20">
        <v>43875</v>
      </c>
      <c r="B9026" s="21">
        <v>5</v>
      </c>
      <c r="C9026" s="21">
        <v>231</v>
      </c>
      <c r="D9026" s="21">
        <v>10521</v>
      </c>
      <c r="E9026" t="s">
        <v>112</v>
      </c>
      <c r="F9026" s="21" t="s">
        <v>104</v>
      </c>
      <c r="G9026" s="21">
        <v>4</v>
      </c>
      <c r="H9026" s="21">
        <v>71</v>
      </c>
      <c r="I9026" s="23" t="s">
        <v>6030</v>
      </c>
      <c r="J9026" s="21"/>
      <c r="K9026" s="21" t="s">
        <v>62</v>
      </c>
      <c r="L9026" s="21"/>
      <c r="M9026" s="21"/>
      <c r="N9026" s="21" t="s">
        <v>40</v>
      </c>
      <c r="O9026" s="21">
        <f>60+45</f>
        <v>105</v>
      </c>
      <c r="P9026" s="21"/>
      <c r="Q9026" s="21">
        <f t="shared" si="189"/>
        <v>4</v>
      </c>
      <c r="R9026" s="21">
        <v>1</v>
      </c>
      <c r="S9026" s="21">
        <v>0</v>
      </c>
      <c r="T9026" s="21">
        <v>0</v>
      </c>
      <c r="U9026" s="21">
        <v>2</v>
      </c>
      <c r="V9026" s="21">
        <v>1</v>
      </c>
      <c r="W9026" s="21">
        <v>0</v>
      </c>
      <c r="X9026" s="21">
        <v>1</v>
      </c>
      <c r="Y9026" s="21">
        <v>0</v>
      </c>
      <c r="Z9026" s="21">
        <v>0</v>
      </c>
      <c r="AA9026" s="21">
        <v>0</v>
      </c>
      <c r="AB9026" s="21">
        <v>0</v>
      </c>
      <c r="AC9026" s="21">
        <v>0</v>
      </c>
      <c r="AD9026" s="21">
        <v>0</v>
      </c>
      <c r="AE9026" s="21">
        <v>0</v>
      </c>
      <c r="AF9026" s="21">
        <v>0</v>
      </c>
      <c r="AG9026" s="21">
        <v>0</v>
      </c>
      <c r="AH9026" s="21">
        <f t="shared" si="190"/>
        <v>128</v>
      </c>
      <c r="AI9026" s="21"/>
      <c r="AJ9026" s="21" t="s">
        <v>54</v>
      </c>
      <c r="AK9026" s="21" t="s">
        <v>95</v>
      </c>
      <c r="AL9026" s="21" t="s">
        <v>456</v>
      </c>
      <c r="AM9026" s="21" t="s">
        <v>6031</v>
      </c>
      <c r="AN9026" s="21">
        <v>-122.42112348333301</v>
      </c>
      <c r="AO9026" s="21">
        <v>37.791498650000001</v>
      </c>
      <c r="AP9026" s="21" t="s">
        <v>1915</v>
      </c>
    </row>
    <row r="9027" spans="1:42">
      <c r="A9027" s="20">
        <v>43875</v>
      </c>
      <c r="B9027" s="21">
        <v>5</v>
      </c>
      <c r="C9027" s="21">
        <v>231</v>
      </c>
      <c r="D9027" s="21">
        <v>10521</v>
      </c>
      <c r="E9027" t="s">
        <v>112</v>
      </c>
      <c r="F9027" s="21" t="s">
        <v>104</v>
      </c>
      <c r="G9027" s="21">
        <v>4</v>
      </c>
      <c r="H9027" s="21">
        <v>72</v>
      </c>
      <c r="I9027" s="23" t="s">
        <v>6032</v>
      </c>
      <c r="J9027" s="21"/>
      <c r="K9027" s="21" t="s">
        <v>62</v>
      </c>
      <c r="L9027" s="21"/>
      <c r="M9027" s="21"/>
      <c r="N9027" s="21" t="s">
        <v>40</v>
      </c>
      <c r="O9027" s="21">
        <v>70</v>
      </c>
      <c r="P9027" s="21"/>
      <c r="Q9027" s="21">
        <f t="shared" si="189"/>
        <v>2</v>
      </c>
      <c r="R9027" s="21">
        <v>1</v>
      </c>
      <c r="S9027" s="21">
        <v>0</v>
      </c>
      <c r="T9027" s="21">
        <v>0</v>
      </c>
      <c r="U9027" s="21">
        <v>0</v>
      </c>
      <c r="V9027" s="21">
        <v>2</v>
      </c>
      <c r="W9027" s="21">
        <v>0</v>
      </c>
      <c r="X9027" s="21">
        <v>0</v>
      </c>
      <c r="Y9027" s="21">
        <v>0</v>
      </c>
      <c r="Z9027" s="21">
        <v>0</v>
      </c>
      <c r="AA9027" s="21">
        <v>0</v>
      </c>
      <c r="AB9027" s="21">
        <v>0</v>
      </c>
      <c r="AC9027" s="21">
        <v>0</v>
      </c>
      <c r="AD9027" s="21">
        <v>0</v>
      </c>
      <c r="AE9027" s="21">
        <v>0</v>
      </c>
      <c r="AF9027" s="21">
        <v>0</v>
      </c>
      <c r="AG9027" s="21">
        <v>0</v>
      </c>
      <c r="AH9027" s="21">
        <f t="shared" si="190"/>
        <v>128</v>
      </c>
      <c r="AI9027" s="21"/>
      <c r="AJ9027" s="21" t="s">
        <v>54</v>
      </c>
      <c r="AK9027" s="21" t="s">
        <v>52</v>
      </c>
      <c r="AL9027" s="21"/>
      <c r="AM9027" s="21" t="s">
        <v>6033</v>
      </c>
      <c r="AN9027" s="21">
        <v>-122.421439583333</v>
      </c>
      <c r="AO9027" s="21">
        <v>37.791473166666698</v>
      </c>
      <c r="AP9027" s="21" t="s">
        <v>1915</v>
      </c>
    </row>
    <row r="9028" spans="1:42">
      <c r="A9028" s="20">
        <v>43875</v>
      </c>
      <c r="B9028" s="21">
        <v>5</v>
      </c>
      <c r="C9028" s="21">
        <v>231</v>
      </c>
      <c r="D9028" s="21">
        <v>10521</v>
      </c>
      <c r="E9028" t="s">
        <v>112</v>
      </c>
      <c r="F9028" s="21" t="s">
        <v>104</v>
      </c>
      <c r="G9028" s="21">
        <v>4</v>
      </c>
      <c r="H9028" s="21">
        <v>73</v>
      </c>
      <c r="I9028" s="23" t="s">
        <v>3356</v>
      </c>
      <c r="J9028" s="21"/>
      <c r="K9028" s="21" t="s">
        <v>62</v>
      </c>
      <c r="L9028" s="21"/>
      <c r="M9028" s="21"/>
      <c r="N9028" s="21" t="s">
        <v>44</v>
      </c>
      <c r="O9028" s="21">
        <f>120+65</f>
        <v>185</v>
      </c>
      <c r="P9028" s="21"/>
      <c r="Q9028" s="21">
        <f t="shared" si="189"/>
        <v>1</v>
      </c>
      <c r="R9028" s="21">
        <v>1</v>
      </c>
      <c r="S9028" s="21">
        <v>0</v>
      </c>
      <c r="T9028" s="21">
        <v>0</v>
      </c>
      <c r="U9028" s="21">
        <v>0</v>
      </c>
      <c r="V9028" s="21">
        <v>1</v>
      </c>
      <c r="W9028" s="21">
        <v>0</v>
      </c>
      <c r="X9028" s="21">
        <v>0</v>
      </c>
      <c r="Y9028" s="21">
        <v>0</v>
      </c>
      <c r="Z9028" s="21">
        <v>0</v>
      </c>
      <c r="AA9028" s="21">
        <v>0</v>
      </c>
      <c r="AB9028" s="21">
        <v>0</v>
      </c>
      <c r="AC9028" s="21">
        <v>0</v>
      </c>
      <c r="AD9028" s="21">
        <v>0</v>
      </c>
      <c r="AE9028" s="21">
        <v>0</v>
      </c>
      <c r="AF9028" s="21">
        <v>0</v>
      </c>
      <c r="AG9028" s="21">
        <v>0</v>
      </c>
      <c r="AH9028" s="21">
        <f t="shared" si="190"/>
        <v>64</v>
      </c>
      <c r="AI9028" s="21"/>
      <c r="AJ9028" s="21"/>
      <c r="AK9028" s="21"/>
      <c r="AL9028" s="21"/>
      <c r="AM9028" s="21" t="s">
        <v>6034</v>
      </c>
      <c r="AN9028" s="21">
        <v>-122.42142388333301</v>
      </c>
      <c r="AO9028" s="21">
        <v>37.791491183333299</v>
      </c>
      <c r="AP9028" s="21" t="s">
        <v>1915</v>
      </c>
    </row>
    <row r="9029" spans="1:42">
      <c r="A9029" s="20">
        <v>43875</v>
      </c>
      <c r="B9029" s="21">
        <v>5</v>
      </c>
      <c r="C9029" s="21">
        <v>231</v>
      </c>
      <c r="D9029" s="21">
        <v>10521</v>
      </c>
      <c r="E9029" t="s">
        <v>112</v>
      </c>
      <c r="F9029" s="21" t="s">
        <v>104</v>
      </c>
      <c r="G9029" s="21">
        <v>4</v>
      </c>
      <c r="H9029" s="21">
        <v>74</v>
      </c>
      <c r="I9029" s="23" t="s">
        <v>6035</v>
      </c>
      <c r="J9029" s="21"/>
      <c r="K9029" s="21" t="s">
        <v>2125</v>
      </c>
      <c r="L9029" s="21"/>
      <c r="M9029" s="21"/>
      <c r="N9029" s="21" t="s">
        <v>40</v>
      </c>
      <c r="O9029" s="21">
        <v>65</v>
      </c>
      <c r="P9029" s="21"/>
      <c r="Q9029" s="21">
        <f t="shared" si="189"/>
        <v>2</v>
      </c>
      <c r="R9029" s="21">
        <v>1</v>
      </c>
      <c r="S9029" s="21">
        <v>0</v>
      </c>
      <c r="T9029" s="21">
        <v>0</v>
      </c>
      <c r="U9029" s="21">
        <v>0</v>
      </c>
      <c r="V9029" s="21">
        <v>0</v>
      </c>
      <c r="W9029" s="21">
        <v>2</v>
      </c>
      <c r="X9029" s="21">
        <v>0</v>
      </c>
      <c r="Y9029" s="21">
        <v>0</v>
      </c>
      <c r="Z9029" s="21">
        <v>0</v>
      </c>
      <c r="AA9029" s="21">
        <v>0</v>
      </c>
      <c r="AB9029" s="21">
        <v>0</v>
      </c>
      <c r="AC9029" s="21">
        <v>0</v>
      </c>
      <c r="AD9029" s="21">
        <v>0</v>
      </c>
      <c r="AE9029" s="21">
        <v>0</v>
      </c>
      <c r="AF9029" s="21">
        <v>0</v>
      </c>
      <c r="AG9029" s="21">
        <v>0</v>
      </c>
      <c r="AH9029" s="21">
        <f t="shared" si="190"/>
        <v>192</v>
      </c>
      <c r="AI9029" s="21"/>
      <c r="AJ9029" s="21"/>
      <c r="AK9029" s="21"/>
      <c r="AL9029" s="21"/>
      <c r="AM9029" s="21" t="s">
        <v>6036</v>
      </c>
      <c r="AN9029" s="21">
        <v>-122.42163961666699</v>
      </c>
      <c r="AO9029" s="21">
        <v>37.790435333333299</v>
      </c>
      <c r="AP9029" s="21" t="s">
        <v>1915</v>
      </c>
    </row>
    <row r="9030" spans="1:42">
      <c r="A9030" s="20">
        <v>43875</v>
      </c>
      <c r="B9030" s="21">
        <v>5</v>
      </c>
      <c r="C9030" s="21">
        <v>231</v>
      </c>
      <c r="D9030" s="21">
        <v>10521</v>
      </c>
      <c r="E9030" t="s">
        <v>112</v>
      </c>
      <c r="F9030" s="21" t="s">
        <v>104</v>
      </c>
      <c r="G9030" s="21">
        <v>4</v>
      </c>
      <c r="H9030" s="21">
        <v>75</v>
      </c>
      <c r="I9030" s="23" t="s">
        <v>5901</v>
      </c>
      <c r="J9030" s="21"/>
      <c r="K9030" s="21" t="s">
        <v>2125</v>
      </c>
      <c r="L9030" s="21"/>
      <c r="M9030" s="21"/>
      <c r="N9030" s="21" t="s">
        <v>44</v>
      </c>
      <c r="O9030" s="21">
        <f>120+63</f>
        <v>183</v>
      </c>
      <c r="P9030" s="21"/>
      <c r="Q9030" s="21">
        <f t="shared" si="189"/>
        <v>2</v>
      </c>
      <c r="R9030" s="21">
        <v>1</v>
      </c>
      <c r="S9030" s="21">
        <v>0</v>
      </c>
      <c r="T9030" s="21">
        <v>0</v>
      </c>
      <c r="U9030" s="21">
        <v>0</v>
      </c>
      <c r="V9030" s="21">
        <v>0</v>
      </c>
      <c r="W9030" s="21">
        <v>2</v>
      </c>
      <c r="X9030" s="21">
        <v>0</v>
      </c>
      <c r="Y9030" s="21">
        <v>0</v>
      </c>
      <c r="Z9030" s="21">
        <v>0</v>
      </c>
      <c r="AA9030" s="21">
        <v>0</v>
      </c>
      <c r="AB9030" s="21">
        <v>0</v>
      </c>
      <c r="AC9030" s="21">
        <v>0</v>
      </c>
      <c r="AD9030" s="21">
        <v>0</v>
      </c>
      <c r="AE9030" s="21">
        <v>0</v>
      </c>
      <c r="AF9030" s="21">
        <v>0</v>
      </c>
      <c r="AG9030" s="21">
        <v>0</v>
      </c>
      <c r="AH9030" s="21">
        <f t="shared" si="190"/>
        <v>192</v>
      </c>
      <c r="AI9030" s="21"/>
      <c r="AJ9030" s="21" t="s">
        <v>54</v>
      </c>
      <c r="AK9030" s="21" t="s">
        <v>52</v>
      </c>
      <c r="AL9030" s="21"/>
      <c r="AM9030" s="21" t="s">
        <v>6037</v>
      </c>
      <c r="AN9030" s="21">
        <v>-122.41973356666701</v>
      </c>
      <c r="AO9030" s="21">
        <v>37.790746149999997</v>
      </c>
      <c r="AP9030" s="21" t="s">
        <v>1915</v>
      </c>
    </row>
    <row r="9031" spans="1:42">
      <c r="A9031" s="20">
        <v>43875</v>
      </c>
      <c r="B9031" s="21">
        <v>5</v>
      </c>
      <c r="C9031" s="21">
        <v>231</v>
      </c>
      <c r="D9031" s="21">
        <v>10521</v>
      </c>
      <c r="E9031" t="s">
        <v>112</v>
      </c>
      <c r="F9031" s="21" t="s">
        <v>104</v>
      </c>
      <c r="G9031" s="21">
        <v>4</v>
      </c>
      <c r="H9031" s="21">
        <v>76</v>
      </c>
      <c r="I9031" s="23" t="s">
        <v>6038</v>
      </c>
      <c r="J9031" s="21"/>
      <c r="K9031" s="21" t="s">
        <v>828</v>
      </c>
      <c r="L9031" s="21"/>
      <c r="M9031" s="21"/>
      <c r="N9031" s="21" t="s">
        <v>44</v>
      </c>
      <c r="O9031" s="21">
        <f>60+50</f>
        <v>110</v>
      </c>
      <c r="P9031" s="21"/>
      <c r="Q9031" s="21">
        <f t="shared" si="189"/>
        <v>1</v>
      </c>
      <c r="R9031" s="21">
        <v>1</v>
      </c>
      <c r="S9031" s="21">
        <v>0</v>
      </c>
      <c r="T9031" s="21">
        <v>0</v>
      </c>
      <c r="U9031" s="21">
        <v>0</v>
      </c>
      <c r="V9031" s="21">
        <v>0</v>
      </c>
      <c r="W9031" s="21">
        <v>1</v>
      </c>
      <c r="X9031" s="21">
        <v>0</v>
      </c>
      <c r="Y9031" s="21">
        <v>0</v>
      </c>
      <c r="Z9031" s="21">
        <v>0</v>
      </c>
      <c r="AA9031" s="21">
        <v>0</v>
      </c>
      <c r="AB9031" s="21">
        <v>0</v>
      </c>
      <c r="AC9031" s="21">
        <v>0</v>
      </c>
      <c r="AD9031" s="21">
        <v>0</v>
      </c>
      <c r="AE9031" s="21">
        <v>0</v>
      </c>
      <c r="AF9031" s="21">
        <v>0</v>
      </c>
      <c r="AG9031" s="21">
        <v>0</v>
      </c>
      <c r="AH9031" s="21">
        <f t="shared" si="190"/>
        <v>96</v>
      </c>
      <c r="AI9031" s="21"/>
      <c r="AJ9031" s="21" t="s">
        <v>51</v>
      </c>
      <c r="AK9031" s="21" t="s">
        <v>52</v>
      </c>
      <c r="AL9031" s="21"/>
      <c r="AM9031" s="21" t="s">
        <v>6039</v>
      </c>
      <c r="AN9031" s="21">
        <v>-122.417329916667</v>
      </c>
      <c r="AO9031" s="21">
        <v>37.790667200000001</v>
      </c>
      <c r="AP9031" s="21" t="s">
        <v>1915</v>
      </c>
    </row>
    <row r="9032" spans="1:42">
      <c r="A9032" s="20">
        <v>43875</v>
      </c>
      <c r="B9032" s="21">
        <v>5</v>
      </c>
      <c r="C9032" s="21">
        <v>231</v>
      </c>
      <c r="D9032" s="21">
        <v>10521</v>
      </c>
      <c r="E9032" t="s">
        <v>112</v>
      </c>
      <c r="F9032" s="21" t="s">
        <v>104</v>
      </c>
      <c r="G9032" s="21">
        <v>4</v>
      </c>
      <c r="H9032" s="21">
        <v>77</v>
      </c>
      <c r="I9032" s="23" t="s">
        <v>6040</v>
      </c>
      <c r="J9032" s="21"/>
      <c r="K9032" s="21" t="s">
        <v>828</v>
      </c>
      <c r="L9032" s="21"/>
      <c r="M9032" s="21"/>
      <c r="N9032" s="21" t="s">
        <v>44</v>
      </c>
      <c r="O9032" s="21">
        <v>2</v>
      </c>
      <c r="P9032" s="21"/>
      <c r="Q9032" s="21">
        <f t="shared" si="189"/>
        <v>1</v>
      </c>
      <c r="R9032" s="21">
        <v>1</v>
      </c>
      <c r="S9032" s="21">
        <v>0</v>
      </c>
      <c r="T9032" s="21">
        <v>0</v>
      </c>
      <c r="U9032" s="21">
        <v>0</v>
      </c>
      <c r="V9032" s="21">
        <v>0</v>
      </c>
      <c r="W9032" s="21">
        <v>1</v>
      </c>
      <c r="X9032" s="21">
        <v>0</v>
      </c>
      <c r="Y9032" s="21">
        <v>0</v>
      </c>
      <c r="Z9032" s="21">
        <v>0</v>
      </c>
      <c r="AA9032" s="21">
        <v>0</v>
      </c>
      <c r="AB9032" s="21">
        <v>0</v>
      </c>
      <c r="AC9032" s="21">
        <v>0</v>
      </c>
      <c r="AD9032" s="21">
        <v>0</v>
      </c>
      <c r="AE9032" s="21">
        <v>0</v>
      </c>
      <c r="AF9032" s="21">
        <v>0</v>
      </c>
      <c r="AG9032" s="21">
        <v>0</v>
      </c>
      <c r="AH9032" s="21">
        <f t="shared" si="190"/>
        <v>96</v>
      </c>
      <c r="AI9032" s="21"/>
      <c r="AJ9032" s="21" t="s">
        <v>51</v>
      </c>
      <c r="AK9032" s="21" t="s">
        <v>52</v>
      </c>
      <c r="AL9032" s="21" t="s">
        <v>6041</v>
      </c>
      <c r="AM9032" s="21" t="s">
        <v>6042</v>
      </c>
      <c r="AN9032" s="21">
        <v>-122.418113616322</v>
      </c>
      <c r="AO9032" s="21">
        <v>37.789590047538503</v>
      </c>
      <c r="AP9032" s="21" t="s">
        <v>1915</v>
      </c>
    </row>
    <row r="9033" spans="1:42">
      <c r="A9033" s="20">
        <v>43875</v>
      </c>
      <c r="B9033" s="21">
        <v>5</v>
      </c>
      <c r="C9033" s="21">
        <v>231</v>
      </c>
      <c r="D9033" s="21">
        <v>10521</v>
      </c>
      <c r="E9033" t="s">
        <v>112</v>
      </c>
      <c r="F9033" s="21" t="s">
        <v>104</v>
      </c>
      <c r="G9033" s="21">
        <v>4</v>
      </c>
      <c r="H9033" s="21">
        <v>78</v>
      </c>
      <c r="I9033" s="23" t="s">
        <v>6038</v>
      </c>
      <c r="J9033" s="21"/>
      <c r="K9033" s="21" t="s">
        <v>828</v>
      </c>
      <c r="L9033" s="21"/>
      <c r="M9033" s="21"/>
      <c r="N9033" s="21" t="s">
        <v>44</v>
      </c>
      <c r="O9033" s="21">
        <f>120+23</f>
        <v>143</v>
      </c>
      <c r="P9033" s="21"/>
      <c r="Q9033" s="21">
        <f t="shared" si="189"/>
        <v>2</v>
      </c>
      <c r="R9033" s="21">
        <v>1</v>
      </c>
      <c r="S9033" s="21">
        <v>0</v>
      </c>
      <c r="T9033" s="21">
        <v>0</v>
      </c>
      <c r="U9033" s="21">
        <v>0</v>
      </c>
      <c r="V9033" s="21">
        <v>1</v>
      </c>
      <c r="W9033" s="21">
        <v>1</v>
      </c>
      <c r="X9033" s="21">
        <v>0</v>
      </c>
      <c r="Y9033" s="21">
        <v>0</v>
      </c>
      <c r="Z9033" s="21">
        <v>0</v>
      </c>
      <c r="AA9033" s="21">
        <v>0</v>
      </c>
      <c r="AB9033" s="21">
        <v>0</v>
      </c>
      <c r="AC9033" s="21">
        <v>0</v>
      </c>
      <c r="AD9033" s="21">
        <v>0</v>
      </c>
      <c r="AE9033" s="21">
        <v>0</v>
      </c>
      <c r="AF9033" s="21">
        <v>0</v>
      </c>
      <c r="AG9033" s="21">
        <v>0</v>
      </c>
      <c r="AH9033" s="21">
        <f t="shared" si="190"/>
        <v>160</v>
      </c>
      <c r="AI9033" s="21"/>
      <c r="AJ9033" s="21" t="s">
        <v>51</v>
      </c>
      <c r="AK9033" s="21" t="s">
        <v>52</v>
      </c>
      <c r="AL9033" s="21" t="s">
        <v>6043</v>
      </c>
      <c r="AM9033" s="21" t="s">
        <v>6044</v>
      </c>
      <c r="AN9033" s="21">
        <v>-122.417748546018</v>
      </c>
      <c r="AO9033" s="21">
        <v>37.790524404872897</v>
      </c>
      <c r="AP9033" s="21" t="s">
        <v>1915</v>
      </c>
    </row>
    <row r="9034" spans="1:42">
      <c r="A9034" s="20">
        <v>43875</v>
      </c>
      <c r="B9034" s="21">
        <v>5</v>
      </c>
      <c r="C9034" s="21">
        <v>231</v>
      </c>
      <c r="D9034" s="21">
        <v>10521</v>
      </c>
      <c r="E9034" t="s">
        <v>112</v>
      </c>
      <c r="F9034" s="21" t="s">
        <v>104</v>
      </c>
      <c r="G9034" s="21">
        <v>4</v>
      </c>
      <c r="H9034" s="21">
        <v>79</v>
      </c>
      <c r="I9034" s="23" t="s">
        <v>6045</v>
      </c>
      <c r="J9034" s="21"/>
      <c r="K9034" s="21" t="s">
        <v>828</v>
      </c>
      <c r="L9034" s="21"/>
      <c r="M9034" s="21"/>
      <c r="N9034" s="21" t="s">
        <v>44</v>
      </c>
      <c r="O9034" s="21">
        <f>120+51</f>
        <v>171</v>
      </c>
      <c r="P9034" s="21"/>
      <c r="Q9034" s="21">
        <f t="shared" si="189"/>
        <v>4</v>
      </c>
      <c r="R9034" s="21">
        <v>1</v>
      </c>
      <c r="S9034" s="21">
        <v>0</v>
      </c>
      <c r="T9034" s="21">
        <v>0</v>
      </c>
      <c r="U9034" s="21">
        <v>0</v>
      </c>
      <c r="V9034" s="21">
        <v>0</v>
      </c>
      <c r="W9034" s="21">
        <v>4</v>
      </c>
      <c r="X9034" s="21">
        <v>0</v>
      </c>
      <c r="Y9034" s="21">
        <v>0</v>
      </c>
      <c r="Z9034" s="21">
        <v>0</v>
      </c>
      <c r="AA9034" s="21">
        <v>0</v>
      </c>
      <c r="AB9034" s="21">
        <v>0</v>
      </c>
      <c r="AC9034" s="21">
        <v>0</v>
      </c>
      <c r="AD9034" s="21">
        <v>0</v>
      </c>
      <c r="AE9034" s="21">
        <v>0</v>
      </c>
      <c r="AF9034" s="21">
        <v>0</v>
      </c>
      <c r="AG9034" s="21">
        <v>0</v>
      </c>
      <c r="AH9034" s="21">
        <f t="shared" si="190"/>
        <v>384</v>
      </c>
      <c r="AI9034" s="21"/>
      <c r="AJ9034" s="21" t="s">
        <v>54</v>
      </c>
      <c r="AK9034" s="21" t="s">
        <v>52</v>
      </c>
      <c r="AL9034" s="21" t="s">
        <v>6046</v>
      </c>
      <c r="AM9034" s="21" t="s">
        <v>6047</v>
      </c>
      <c r="AN9034" s="21">
        <v>-122.4167987</v>
      </c>
      <c r="AO9034" s="21">
        <v>37.7887566666666</v>
      </c>
      <c r="AP9034" s="21" t="s">
        <v>1915</v>
      </c>
    </row>
    <row r="9035" spans="1:42">
      <c r="A9035" s="20">
        <v>43875</v>
      </c>
      <c r="B9035" s="21">
        <v>5</v>
      </c>
      <c r="C9035" s="21">
        <v>231</v>
      </c>
      <c r="D9035" s="21">
        <v>10521</v>
      </c>
      <c r="E9035" t="s">
        <v>112</v>
      </c>
      <c r="F9035" s="21" t="s">
        <v>104</v>
      </c>
      <c r="G9035" s="21">
        <v>4</v>
      </c>
      <c r="H9035" s="21">
        <v>80</v>
      </c>
      <c r="I9035" s="23" t="s">
        <v>6048</v>
      </c>
      <c r="J9035" s="21"/>
      <c r="K9035" s="21" t="s">
        <v>828</v>
      </c>
      <c r="L9035" s="21"/>
      <c r="M9035" s="21"/>
      <c r="N9035" s="21" t="s">
        <v>44</v>
      </c>
      <c r="O9035" s="21">
        <f>120+25</f>
        <v>145</v>
      </c>
      <c r="P9035" s="21"/>
      <c r="Q9035" s="21">
        <f t="shared" si="189"/>
        <v>1</v>
      </c>
      <c r="R9035" s="21">
        <v>1</v>
      </c>
      <c r="S9035" s="21">
        <v>0</v>
      </c>
      <c r="T9035" s="21">
        <v>0</v>
      </c>
      <c r="U9035" s="21">
        <v>0</v>
      </c>
      <c r="V9035" s="21">
        <v>0</v>
      </c>
      <c r="W9035" s="21">
        <v>1</v>
      </c>
      <c r="X9035" s="21">
        <v>0</v>
      </c>
      <c r="Y9035" s="21">
        <v>0</v>
      </c>
      <c r="Z9035" s="21">
        <v>0</v>
      </c>
      <c r="AA9035" s="21">
        <v>0</v>
      </c>
      <c r="AB9035" s="21">
        <v>0</v>
      </c>
      <c r="AC9035" s="21">
        <v>0</v>
      </c>
      <c r="AD9035" s="21">
        <v>0</v>
      </c>
      <c r="AE9035" s="21">
        <v>0</v>
      </c>
      <c r="AF9035" s="21">
        <v>0</v>
      </c>
      <c r="AG9035" s="21">
        <v>0</v>
      </c>
      <c r="AH9035" s="21">
        <f t="shared" si="190"/>
        <v>96</v>
      </c>
      <c r="AI9035" s="21"/>
      <c r="AJ9035" s="21" t="s">
        <v>54</v>
      </c>
      <c r="AK9035" s="21" t="s">
        <v>52</v>
      </c>
      <c r="AL9035" s="21" t="s">
        <v>6049</v>
      </c>
      <c r="AM9035" s="21" t="s">
        <v>6050</v>
      </c>
      <c r="AN9035" s="21">
        <v>-122.416950233333</v>
      </c>
      <c r="AO9035" s="21">
        <v>37.788610333333303</v>
      </c>
      <c r="AP9035" s="21" t="s">
        <v>1915</v>
      </c>
    </row>
    <row r="9036" spans="1:42">
      <c r="A9036" s="20">
        <v>43875</v>
      </c>
      <c r="B9036" s="21">
        <v>5</v>
      </c>
      <c r="C9036" s="21">
        <v>231</v>
      </c>
      <c r="D9036" s="21">
        <v>10521</v>
      </c>
      <c r="E9036" t="s">
        <v>112</v>
      </c>
      <c r="F9036" s="21" t="s">
        <v>104</v>
      </c>
      <c r="G9036" s="21">
        <v>4</v>
      </c>
      <c r="H9036" s="21">
        <v>81</v>
      </c>
      <c r="I9036" s="23" t="s">
        <v>3223</v>
      </c>
      <c r="J9036" s="21"/>
      <c r="K9036" s="21" t="s">
        <v>828</v>
      </c>
      <c r="L9036" s="21"/>
      <c r="M9036" s="21"/>
      <c r="N9036" s="21" t="s">
        <v>40</v>
      </c>
      <c r="O9036" s="21">
        <v>37</v>
      </c>
      <c r="P9036" s="21"/>
      <c r="Q9036" s="21">
        <f t="shared" si="189"/>
        <v>1</v>
      </c>
      <c r="R9036" s="21">
        <v>1</v>
      </c>
      <c r="S9036" s="21">
        <v>0</v>
      </c>
      <c r="T9036" s="21">
        <v>0</v>
      </c>
      <c r="U9036" s="21">
        <v>0</v>
      </c>
      <c r="V9036" s="21">
        <v>1</v>
      </c>
      <c r="W9036" s="21">
        <v>0</v>
      </c>
      <c r="X9036" s="21">
        <v>0</v>
      </c>
      <c r="Y9036" s="21">
        <v>0</v>
      </c>
      <c r="Z9036" s="21">
        <v>0</v>
      </c>
      <c r="AA9036" s="21">
        <v>0</v>
      </c>
      <c r="AB9036" s="21">
        <v>0</v>
      </c>
      <c r="AC9036" s="21">
        <v>0</v>
      </c>
      <c r="AD9036" s="21">
        <v>0</v>
      </c>
      <c r="AE9036" s="21">
        <v>0</v>
      </c>
      <c r="AF9036" s="21">
        <v>0</v>
      </c>
      <c r="AG9036" s="21">
        <v>0</v>
      </c>
      <c r="AH9036" s="21">
        <f t="shared" si="190"/>
        <v>64</v>
      </c>
      <c r="AI9036" s="21"/>
      <c r="AJ9036" s="21"/>
      <c r="AK9036" s="21"/>
      <c r="AL9036" s="21"/>
      <c r="AM9036" s="21" t="s">
        <v>6051</v>
      </c>
      <c r="AN9036" s="21">
        <v>-122.416913483333</v>
      </c>
      <c r="AO9036" s="21">
        <v>37.7885258833333</v>
      </c>
      <c r="AP9036" s="21" t="s">
        <v>1915</v>
      </c>
    </row>
    <row r="9037" spans="1:42">
      <c r="A9037" s="20">
        <v>43875</v>
      </c>
      <c r="B9037" s="21">
        <v>5</v>
      </c>
      <c r="C9037" s="21">
        <v>231</v>
      </c>
      <c r="D9037" s="21">
        <v>10521</v>
      </c>
      <c r="E9037" t="s">
        <v>112</v>
      </c>
      <c r="F9037" s="21" t="s">
        <v>104</v>
      </c>
      <c r="G9037" s="21">
        <v>4</v>
      </c>
      <c r="H9037" s="21">
        <v>82</v>
      </c>
      <c r="I9037" s="23" t="s">
        <v>3221</v>
      </c>
      <c r="J9037" s="21"/>
      <c r="K9037" s="21" t="s">
        <v>828</v>
      </c>
      <c r="L9037" s="21"/>
      <c r="M9037" s="21"/>
      <c r="N9037" s="21" t="s">
        <v>44</v>
      </c>
      <c r="O9037" s="21">
        <f>120+37</f>
        <v>157</v>
      </c>
      <c r="P9037" s="21"/>
      <c r="Q9037" s="21">
        <f t="shared" si="189"/>
        <v>3</v>
      </c>
      <c r="R9037" s="21">
        <v>1</v>
      </c>
      <c r="S9037" s="21">
        <v>0</v>
      </c>
      <c r="T9037" s="21">
        <v>0</v>
      </c>
      <c r="U9037" s="21">
        <v>0</v>
      </c>
      <c r="V9037" s="21">
        <v>0</v>
      </c>
      <c r="W9037" s="21">
        <v>3</v>
      </c>
      <c r="X9037" s="21">
        <v>0</v>
      </c>
      <c r="Y9037" s="21">
        <v>0</v>
      </c>
      <c r="Z9037" s="21">
        <v>0</v>
      </c>
      <c r="AA9037" s="21">
        <v>0</v>
      </c>
      <c r="AB9037" s="21">
        <v>0</v>
      </c>
      <c r="AC9037" s="21">
        <v>0</v>
      </c>
      <c r="AD9037" s="21">
        <v>0</v>
      </c>
      <c r="AE9037" s="21">
        <v>0</v>
      </c>
      <c r="AF9037" s="21">
        <v>0</v>
      </c>
      <c r="AG9037" s="21">
        <v>0</v>
      </c>
      <c r="AH9037" s="21">
        <f t="shared" si="190"/>
        <v>288</v>
      </c>
      <c r="AI9037" s="21"/>
      <c r="AJ9037" s="21" t="s">
        <v>54</v>
      </c>
      <c r="AK9037" s="21" t="s">
        <v>52</v>
      </c>
      <c r="AL9037" s="21"/>
      <c r="AM9037" s="21" t="s">
        <v>6052</v>
      </c>
      <c r="AN9037" s="21">
        <v>-122.41678096666701</v>
      </c>
      <c r="AO9037" s="21">
        <v>37.788373033333301</v>
      </c>
      <c r="AP9037" s="21" t="s">
        <v>1915</v>
      </c>
    </row>
    <row r="9038" spans="1:42">
      <c r="A9038" s="20">
        <v>43875</v>
      </c>
      <c r="B9038" s="21">
        <v>5</v>
      </c>
      <c r="C9038" s="21">
        <v>231</v>
      </c>
      <c r="D9038" s="21">
        <v>10521</v>
      </c>
      <c r="E9038" t="s">
        <v>112</v>
      </c>
      <c r="F9038" s="21" t="s">
        <v>104</v>
      </c>
      <c r="G9038" s="21">
        <v>4</v>
      </c>
      <c r="H9038" s="21">
        <v>83</v>
      </c>
      <c r="I9038" s="23"/>
      <c r="J9038" s="21"/>
      <c r="K9038" s="21" t="s">
        <v>49</v>
      </c>
      <c r="L9038" s="21"/>
      <c r="M9038" s="21"/>
      <c r="N9038" s="21" t="s">
        <v>44</v>
      </c>
      <c r="O9038" s="21">
        <f>60+52</f>
        <v>112</v>
      </c>
      <c r="P9038" s="21"/>
      <c r="Q9038" s="21">
        <f t="shared" si="189"/>
        <v>1</v>
      </c>
      <c r="R9038" s="21">
        <v>1</v>
      </c>
      <c r="S9038" s="21">
        <v>0</v>
      </c>
      <c r="T9038" s="21">
        <v>0</v>
      </c>
      <c r="U9038" s="21">
        <v>0</v>
      </c>
      <c r="V9038" s="21">
        <v>0</v>
      </c>
      <c r="W9038" s="21">
        <v>1</v>
      </c>
      <c r="X9038" s="21">
        <v>0</v>
      </c>
      <c r="Y9038" s="21">
        <v>0</v>
      </c>
      <c r="Z9038" s="21">
        <v>0</v>
      </c>
      <c r="AA9038" s="21">
        <v>0</v>
      </c>
      <c r="AB9038" s="21">
        <v>0</v>
      </c>
      <c r="AC9038" s="21">
        <v>0</v>
      </c>
      <c r="AD9038" s="21">
        <v>0</v>
      </c>
      <c r="AE9038" s="21">
        <v>0</v>
      </c>
      <c r="AF9038" s="21">
        <v>0</v>
      </c>
      <c r="AG9038" s="21">
        <v>0</v>
      </c>
      <c r="AH9038" s="21">
        <f t="shared" si="190"/>
        <v>96</v>
      </c>
      <c r="AI9038" s="21"/>
      <c r="AJ9038" s="21" t="s">
        <v>54</v>
      </c>
      <c r="AK9038" s="21" t="s">
        <v>52</v>
      </c>
      <c r="AL9038" s="21" t="s">
        <v>6053</v>
      </c>
      <c r="AM9038" s="21" t="s">
        <v>6054</v>
      </c>
      <c r="AN9038" s="21">
        <v>-122.416789016667</v>
      </c>
      <c r="AO9038" s="21">
        <v>37.788366133333298</v>
      </c>
      <c r="AP9038" s="21" t="s">
        <v>1915</v>
      </c>
    </row>
    <row r="9039" spans="1:42">
      <c r="A9039" s="20">
        <v>43875</v>
      </c>
      <c r="B9039" s="21">
        <v>5</v>
      </c>
      <c r="C9039" s="21">
        <v>231</v>
      </c>
      <c r="D9039" s="21">
        <v>10521</v>
      </c>
      <c r="E9039" t="s">
        <v>112</v>
      </c>
      <c r="F9039" s="21" t="s">
        <v>104</v>
      </c>
      <c r="G9039" s="21">
        <v>4</v>
      </c>
      <c r="H9039" s="21">
        <v>84</v>
      </c>
      <c r="I9039" s="23" t="s">
        <v>3144</v>
      </c>
      <c r="J9039" s="21"/>
      <c r="K9039" s="21" t="s">
        <v>46</v>
      </c>
      <c r="L9039" s="21"/>
      <c r="M9039" s="21"/>
      <c r="N9039" s="21" t="s">
        <v>44</v>
      </c>
      <c r="O9039" s="21">
        <f>120+24</f>
        <v>144</v>
      </c>
      <c r="P9039" s="21"/>
      <c r="Q9039" s="21">
        <f t="shared" si="189"/>
        <v>1</v>
      </c>
      <c r="R9039" s="21">
        <v>1</v>
      </c>
      <c r="S9039" s="21">
        <v>0</v>
      </c>
      <c r="T9039" s="21">
        <v>0</v>
      </c>
      <c r="U9039" s="21">
        <v>0</v>
      </c>
      <c r="V9039" s="21">
        <v>1</v>
      </c>
      <c r="W9039" s="21">
        <v>0</v>
      </c>
      <c r="X9039" s="21">
        <v>0</v>
      </c>
      <c r="Y9039" s="21">
        <v>0</v>
      </c>
      <c r="Z9039" s="21">
        <v>0</v>
      </c>
      <c r="AA9039" s="21">
        <v>0</v>
      </c>
      <c r="AB9039" s="21">
        <v>0</v>
      </c>
      <c r="AC9039" s="21">
        <v>0</v>
      </c>
      <c r="AD9039" s="21">
        <v>0</v>
      </c>
      <c r="AE9039" s="21">
        <v>0</v>
      </c>
      <c r="AF9039" s="21">
        <v>0</v>
      </c>
      <c r="AG9039" s="21">
        <v>0</v>
      </c>
      <c r="AH9039" s="21">
        <f t="shared" si="190"/>
        <v>64</v>
      </c>
      <c r="AI9039" s="21"/>
      <c r="AJ9039" s="21" t="s">
        <v>54</v>
      </c>
      <c r="AK9039" s="21" t="s">
        <v>95</v>
      </c>
      <c r="AL9039" s="21"/>
      <c r="AM9039" s="21" t="s">
        <v>6055</v>
      </c>
      <c r="AN9039" s="21">
        <v>-122.41829695</v>
      </c>
      <c r="AO9039" s="21">
        <v>37.788880450000001</v>
      </c>
      <c r="AP9039" s="21" t="s">
        <v>1915</v>
      </c>
    </row>
    <row r="9040" spans="1:42">
      <c r="A9040" s="20">
        <v>43875</v>
      </c>
      <c r="B9040" s="21">
        <v>5</v>
      </c>
      <c r="C9040" s="21">
        <v>231</v>
      </c>
      <c r="D9040" s="21">
        <v>10521</v>
      </c>
      <c r="E9040" t="s">
        <v>112</v>
      </c>
      <c r="F9040" s="21" t="s">
        <v>104</v>
      </c>
      <c r="G9040" s="21">
        <v>4</v>
      </c>
      <c r="H9040" s="21">
        <v>85</v>
      </c>
      <c r="I9040" s="23" t="s">
        <v>6056</v>
      </c>
      <c r="J9040" s="21"/>
      <c r="K9040" s="21" t="s">
        <v>46</v>
      </c>
      <c r="L9040" s="21"/>
      <c r="M9040" s="21"/>
      <c r="N9040" s="21" t="s">
        <v>44</v>
      </c>
      <c r="O9040" s="21">
        <f>120+18</f>
        <v>138</v>
      </c>
      <c r="P9040" s="21"/>
      <c r="Q9040" s="21">
        <f t="shared" si="189"/>
        <v>2</v>
      </c>
      <c r="R9040" s="21">
        <v>1</v>
      </c>
      <c r="S9040" s="21">
        <v>0</v>
      </c>
      <c r="T9040" s="21">
        <v>0</v>
      </c>
      <c r="U9040" s="21">
        <v>0</v>
      </c>
      <c r="V9040" s="21">
        <v>0</v>
      </c>
      <c r="W9040" s="21">
        <v>2</v>
      </c>
      <c r="X9040" s="21">
        <v>0</v>
      </c>
      <c r="Y9040" s="21">
        <v>0</v>
      </c>
      <c r="Z9040" s="21">
        <v>0</v>
      </c>
      <c r="AA9040" s="21">
        <v>0</v>
      </c>
      <c r="AB9040" s="21">
        <v>0</v>
      </c>
      <c r="AC9040" s="21">
        <v>0</v>
      </c>
      <c r="AD9040" s="21">
        <v>0</v>
      </c>
      <c r="AE9040" s="21">
        <v>0</v>
      </c>
      <c r="AF9040" s="21">
        <v>0</v>
      </c>
      <c r="AG9040" s="21">
        <v>0</v>
      </c>
      <c r="AH9040" s="21">
        <f t="shared" si="190"/>
        <v>192</v>
      </c>
      <c r="AI9040" s="21"/>
      <c r="AJ9040" s="21" t="s">
        <v>54</v>
      </c>
      <c r="AK9040" s="21" t="s">
        <v>52</v>
      </c>
      <c r="AL9040" s="21"/>
      <c r="AM9040" s="21" t="s">
        <v>6057</v>
      </c>
      <c r="AN9040" s="21">
        <v>-122.41784135</v>
      </c>
      <c r="AO9040" s="21">
        <v>37.788968283333297</v>
      </c>
      <c r="AP9040" s="21" t="s">
        <v>1915</v>
      </c>
    </row>
    <row r="9041" spans="1:42">
      <c r="A9041" s="20">
        <v>43875</v>
      </c>
      <c r="B9041" s="21">
        <v>5</v>
      </c>
      <c r="C9041" s="21">
        <v>231</v>
      </c>
      <c r="D9041" s="21">
        <v>10521</v>
      </c>
      <c r="E9041" t="s">
        <v>112</v>
      </c>
      <c r="F9041" s="21" t="s">
        <v>104</v>
      </c>
      <c r="G9041" s="21">
        <v>4</v>
      </c>
      <c r="H9041" s="21">
        <v>86</v>
      </c>
      <c r="I9041" s="23" t="s">
        <v>3150</v>
      </c>
      <c r="J9041" s="21"/>
      <c r="K9041" s="21" t="s">
        <v>46</v>
      </c>
      <c r="L9041" s="21"/>
      <c r="M9041" s="21"/>
      <c r="N9041" s="21" t="s">
        <v>44</v>
      </c>
      <c r="O9041" s="21">
        <f>60+27</f>
        <v>87</v>
      </c>
      <c r="P9041" s="21"/>
      <c r="Q9041" s="21">
        <f t="shared" si="189"/>
        <v>1</v>
      </c>
      <c r="R9041" s="21">
        <v>1</v>
      </c>
      <c r="S9041" s="21">
        <v>0</v>
      </c>
      <c r="T9041" s="21">
        <v>0</v>
      </c>
      <c r="U9041" s="21">
        <v>0</v>
      </c>
      <c r="V9041" s="21">
        <v>0</v>
      </c>
      <c r="W9041" s="21">
        <v>1</v>
      </c>
      <c r="X9041" s="21">
        <v>0</v>
      </c>
      <c r="Y9041" s="21">
        <v>0</v>
      </c>
      <c r="Z9041" s="21">
        <v>0</v>
      </c>
      <c r="AA9041" s="21">
        <v>0</v>
      </c>
      <c r="AB9041" s="21">
        <v>0</v>
      </c>
      <c r="AC9041" s="21">
        <v>0</v>
      </c>
      <c r="AD9041" s="21">
        <v>0</v>
      </c>
      <c r="AE9041" s="21">
        <v>0</v>
      </c>
      <c r="AF9041" s="21">
        <v>0</v>
      </c>
      <c r="AG9041" s="21">
        <v>0</v>
      </c>
      <c r="AH9041" s="21">
        <f t="shared" si="190"/>
        <v>96</v>
      </c>
      <c r="AI9041" s="21"/>
      <c r="AJ9041" s="21"/>
      <c r="AK9041" s="21"/>
      <c r="AL9041" s="21"/>
      <c r="AM9041" s="21" t="s">
        <v>6058</v>
      </c>
      <c r="AN9041" s="21">
        <v>-122.41768810000001</v>
      </c>
      <c r="AO9041" s="21">
        <v>37.7889394166667</v>
      </c>
      <c r="AP9041" s="21" t="s">
        <v>1915</v>
      </c>
    </row>
    <row r="9042" spans="1:42">
      <c r="A9042" s="20">
        <v>43875</v>
      </c>
      <c r="B9042" s="21">
        <v>5</v>
      </c>
      <c r="C9042" s="21">
        <v>231</v>
      </c>
      <c r="D9042" s="21">
        <v>10521</v>
      </c>
      <c r="E9042" t="s">
        <v>112</v>
      </c>
      <c r="F9042" s="21" t="s">
        <v>104</v>
      </c>
      <c r="G9042" s="21">
        <v>4</v>
      </c>
      <c r="H9042" s="21">
        <v>87</v>
      </c>
      <c r="I9042" s="23" t="s">
        <v>3074</v>
      </c>
      <c r="J9042" s="21"/>
      <c r="K9042" s="21" t="s">
        <v>69</v>
      </c>
      <c r="L9042" s="21"/>
      <c r="M9042" s="21"/>
      <c r="N9042" s="21" t="s">
        <v>44</v>
      </c>
      <c r="O9042" s="21">
        <v>58</v>
      </c>
      <c r="P9042" s="21"/>
      <c r="Q9042" s="21">
        <f t="shared" si="189"/>
        <v>1</v>
      </c>
      <c r="R9042" s="21">
        <v>1</v>
      </c>
      <c r="S9042" s="21">
        <v>0</v>
      </c>
      <c r="T9042" s="21">
        <v>0</v>
      </c>
      <c r="U9042" s="21">
        <v>0</v>
      </c>
      <c r="V9042" s="21">
        <v>0</v>
      </c>
      <c r="W9042" s="21">
        <v>1</v>
      </c>
      <c r="X9042" s="21">
        <v>0</v>
      </c>
      <c r="Y9042" s="21">
        <v>0</v>
      </c>
      <c r="Z9042" s="21">
        <v>0</v>
      </c>
      <c r="AA9042" s="21">
        <v>0</v>
      </c>
      <c r="AB9042" s="21">
        <v>0</v>
      </c>
      <c r="AC9042" s="21">
        <v>0</v>
      </c>
      <c r="AD9042" s="21">
        <v>0</v>
      </c>
      <c r="AE9042" s="21">
        <v>0</v>
      </c>
      <c r="AF9042" s="21">
        <v>0</v>
      </c>
      <c r="AG9042" s="21">
        <v>0</v>
      </c>
      <c r="AH9042" s="21">
        <f t="shared" si="190"/>
        <v>96</v>
      </c>
      <c r="AI9042" s="21"/>
      <c r="AJ9042" s="21"/>
      <c r="AK9042" s="21"/>
      <c r="AL9042" s="21"/>
      <c r="AM9042" s="21" t="s">
        <v>6059</v>
      </c>
      <c r="AN9042" s="21">
        <v>-122.419095044752</v>
      </c>
      <c r="AO9042" s="21">
        <v>37.790343978808799</v>
      </c>
      <c r="AP9042" s="21" t="s">
        <v>1915</v>
      </c>
    </row>
    <row r="9043" spans="1:42">
      <c r="A9043" s="20">
        <v>43875</v>
      </c>
      <c r="B9043" s="21">
        <v>5</v>
      </c>
      <c r="C9043" s="21">
        <v>231</v>
      </c>
      <c r="D9043" s="21">
        <v>10521</v>
      </c>
      <c r="E9043" t="s">
        <v>112</v>
      </c>
      <c r="F9043" s="21" t="s">
        <v>104</v>
      </c>
      <c r="G9043" s="21">
        <v>4</v>
      </c>
      <c r="H9043" s="21">
        <v>88</v>
      </c>
      <c r="I9043" s="23" t="s">
        <v>5319</v>
      </c>
      <c r="J9043" s="21"/>
      <c r="K9043" s="21"/>
      <c r="L9043" s="21"/>
      <c r="M9043" s="21"/>
      <c r="N9043" s="21" t="s">
        <v>44</v>
      </c>
      <c r="O9043" s="21">
        <f>60+28</f>
        <v>88</v>
      </c>
      <c r="P9043" s="21"/>
      <c r="Q9043" s="21">
        <f t="shared" si="189"/>
        <v>1</v>
      </c>
      <c r="R9043" s="21">
        <v>1</v>
      </c>
      <c r="S9043" s="21">
        <v>0</v>
      </c>
      <c r="T9043" s="21">
        <v>0</v>
      </c>
      <c r="U9043" s="21">
        <v>0</v>
      </c>
      <c r="V9043" s="21">
        <v>0</v>
      </c>
      <c r="W9043" s="21">
        <v>1</v>
      </c>
      <c r="X9043" s="21">
        <v>0</v>
      </c>
      <c r="Y9043" s="21">
        <v>0</v>
      </c>
      <c r="Z9043" s="21">
        <v>0</v>
      </c>
      <c r="AA9043" s="21">
        <v>0</v>
      </c>
      <c r="AB9043" s="21">
        <v>0</v>
      </c>
      <c r="AC9043" s="21">
        <v>0</v>
      </c>
      <c r="AD9043" s="21">
        <v>0</v>
      </c>
      <c r="AE9043" s="21">
        <v>0</v>
      </c>
      <c r="AF9043" s="21">
        <v>0</v>
      </c>
      <c r="AG9043" s="21">
        <v>0</v>
      </c>
      <c r="AH9043" s="21">
        <f t="shared" si="190"/>
        <v>96</v>
      </c>
      <c r="AI9043" s="21"/>
      <c r="AJ9043" s="21" t="s">
        <v>54</v>
      </c>
      <c r="AK9043" s="21" t="s">
        <v>52</v>
      </c>
      <c r="AL9043" s="21"/>
      <c r="AM9043" s="21" t="s">
        <v>6060</v>
      </c>
      <c r="AN9043" s="21">
        <v>-122.417527616667</v>
      </c>
      <c r="AO9043" s="21">
        <v>37.789068350000001</v>
      </c>
      <c r="AP9043" s="21" t="s">
        <v>1915</v>
      </c>
    </row>
    <row r="9044" spans="1:42">
      <c r="A9044" s="20">
        <v>43875</v>
      </c>
      <c r="B9044" s="21">
        <v>5</v>
      </c>
      <c r="C9044" s="21">
        <v>231</v>
      </c>
      <c r="D9044" s="21">
        <v>10521</v>
      </c>
      <c r="E9044" t="s">
        <v>112</v>
      </c>
      <c r="F9044" s="21" t="s">
        <v>104</v>
      </c>
      <c r="G9044" s="21">
        <v>4</v>
      </c>
      <c r="H9044" s="21">
        <v>89</v>
      </c>
      <c r="I9044" s="23" t="s">
        <v>3154</v>
      </c>
      <c r="J9044" s="21"/>
      <c r="K9044" s="21" t="s">
        <v>46</v>
      </c>
      <c r="L9044" s="21"/>
      <c r="M9044" s="21"/>
      <c r="N9044" s="21" t="s">
        <v>44</v>
      </c>
      <c r="O9044" s="21">
        <f>60+55</f>
        <v>115</v>
      </c>
      <c r="P9044" s="21"/>
      <c r="Q9044" s="21">
        <f t="shared" si="189"/>
        <v>1</v>
      </c>
      <c r="R9044" s="21">
        <v>1</v>
      </c>
      <c r="S9044" s="21">
        <v>0</v>
      </c>
      <c r="T9044" s="21">
        <v>0</v>
      </c>
      <c r="U9044" s="21">
        <v>0</v>
      </c>
      <c r="V9044" s="21">
        <v>0</v>
      </c>
      <c r="W9044" s="21">
        <v>1</v>
      </c>
      <c r="X9044" s="21">
        <v>0</v>
      </c>
      <c r="Y9044" s="21">
        <v>0</v>
      </c>
      <c r="Z9044" s="21">
        <v>0</v>
      </c>
      <c r="AA9044" s="21">
        <v>0</v>
      </c>
      <c r="AB9044" s="21">
        <v>0</v>
      </c>
      <c r="AC9044" s="21">
        <v>0</v>
      </c>
      <c r="AD9044" s="21">
        <v>0</v>
      </c>
      <c r="AE9044" s="21">
        <v>0</v>
      </c>
      <c r="AF9044" s="21">
        <v>0</v>
      </c>
      <c r="AG9044" s="21">
        <v>0</v>
      </c>
      <c r="AH9044" s="21">
        <f t="shared" si="190"/>
        <v>96</v>
      </c>
      <c r="AI9044" s="21"/>
      <c r="AJ9044" s="21"/>
      <c r="AK9044" s="21"/>
      <c r="AL9044" s="21"/>
      <c r="AM9044" s="21" t="s">
        <v>6061</v>
      </c>
      <c r="AN9044" s="21">
        <v>-122.417237833333</v>
      </c>
      <c r="AO9044" s="21">
        <v>37.789076266666697</v>
      </c>
      <c r="AP9044" s="21" t="s">
        <v>1915</v>
      </c>
    </row>
    <row r="9045" spans="1:42">
      <c r="A9045" s="20">
        <v>43875</v>
      </c>
      <c r="B9045" s="21">
        <v>5</v>
      </c>
      <c r="C9045" s="21">
        <v>231</v>
      </c>
      <c r="D9045" s="21">
        <v>10521</v>
      </c>
      <c r="E9045" t="s">
        <v>112</v>
      </c>
      <c r="F9045" s="21" t="s">
        <v>104</v>
      </c>
      <c r="G9045" s="21">
        <v>4</v>
      </c>
      <c r="H9045" s="21">
        <v>90</v>
      </c>
      <c r="I9045" s="23" t="s">
        <v>6062</v>
      </c>
      <c r="J9045" s="21"/>
      <c r="K9045" s="21" t="s">
        <v>46</v>
      </c>
      <c r="L9045" s="21"/>
      <c r="M9045" s="21"/>
      <c r="N9045" s="21" t="s">
        <v>40</v>
      </c>
      <c r="O9045" s="21">
        <v>96</v>
      </c>
      <c r="P9045" s="21"/>
      <c r="Q9045" s="21">
        <f t="shared" si="189"/>
        <v>3</v>
      </c>
      <c r="R9045" s="21">
        <v>1</v>
      </c>
      <c r="S9045" s="21">
        <v>0</v>
      </c>
      <c r="T9045" s="21">
        <v>0</v>
      </c>
      <c r="U9045" s="21">
        <v>0</v>
      </c>
      <c r="V9045" s="21">
        <v>3</v>
      </c>
      <c r="W9045" s="21">
        <v>0</v>
      </c>
      <c r="X9045" s="21">
        <v>0</v>
      </c>
      <c r="Y9045" s="21">
        <v>0</v>
      </c>
      <c r="Z9045" s="21">
        <v>0</v>
      </c>
      <c r="AA9045" s="21">
        <v>0</v>
      </c>
      <c r="AB9045" s="21">
        <v>0</v>
      </c>
      <c r="AC9045" s="21">
        <v>0</v>
      </c>
      <c r="AD9045" s="21">
        <v>0</v>
      </c>
      <c r="AE9045" s="21">
        <v>0</v>
      </c>
      <c r="AF9045" s="21">
        <v>0</v>
      </c>
      <c r="AG9045" s="21">
        <v>0</v>
      </c>
      <c r="AH9045" s="21">
        <f t="shared" si="190"/>
        <v>192</v>
      </c>
      <c r="AI9045" s="21"/>
      <c r="AJ9045" s="21"/>
      <c r="AK9045" s="21"/>
      <c r="AL9045" s="21"/>
      <c r="AM9045" s="21" t="s">
        <v>6063</v>
      </c>
      <c r="AN9045" s="21">
        <v>-122.416204133333</v>
      </c>
      <c r="AO9045" s="21">
        <v>37.789229999999897</v>
      </c>
      <c r="AP9045" s="21" t="s">
        <v>1915</v>
      </c>
    </row>
    <row r="9046" spans="1:42">
      <c r="A9046" s="20">
        <v>43875</v>
      </c>
      <c r="B9046" s="21">
        <v>5</v>
      </c>
      <c r="C9046" s="21">
        <v>231</v>
      </c>
      <c r="D9046" s="21">
        <v>10521</v>
      </c>
      <c r="E9046" t="s">
        <v>112</v>
      </c>
      <c r="F9046" s="21" t="s">
        <v>104</v>
      </c>
      <c r="G9046" s="21">
        <v>4</v>
      </c>
      <c r="H9046" s="21">
        <v>91</v>
      </c>
      <c r="I9046" s="23" t="s">
        <v>3157</v>
      </c>
      <c r="J9046" s="21"/>
      <c r="K9046" s="21" t="s">
        <v>46</v>
      </c>
      <c r="L9046" s="21"/>
      <c r="M9046" s="21"/>
      <c r="N9046" s="21" t="s">
        <v>44</v>
      </c>
      <c r="O9046" s="21">
        <f>120+16</f>
        <v>136</v>
      </c>
      <c r="P9046" s="21"/>
      <c r="Q9046" s="21">
        <f t="shared" si="189"/>
        <v>1</v>
      </c>
      <c r="R9046" s="21">
        <v>1</v>
      </c>
      <c r="S9046" s="21">
        <v>0</v>
      </c>
      <c r="T9046" s="21">
        <v>0</v>
      </c>
      <c r="U9046" s="21">
        <v>0</v>
      </c>
      <c r="V9046" s="21">
        <v>0</v>
      </c>
      <c r="W9046" s="21">
        <v>1</v>
      </c>
      <c r="X9046" s="21">
        <v>0</v>
      </c>
      <c r="Y9046" s="21">
        <v>0</v>
      </c>
      <c r="Z9046" s="21">
        <v>0</v>
      </c>
      <c r="AA9046" s="21">
        <v>0</v>
      </c>
      <c r="AB9046" s="21">
        <v>0</v>
      </c>
      <c r="AC9046" s="21">
        <v>0</v>
      </c>
      <c r="AD9046" s="21">
        <v>0</v>
      </c>
      <c r="AE9046" s="21">
        <v>0</v>
      </c>
      <c r="AF9046" s="21">
        <v>0</v>
      </c>
      <c r="AG9046" s="21">
        <v>0</v>
      </c>
      <c r="AH9046" s="21">
        <f t="shared" si="190"/>
        <v>96</v>
      </c>
      <c r="AI9046" s="21"/>
      <c r="AJ9046" s="21" t="s">
        <v>51</v>
      </c>
      <c r="AK9046" s="21" t="s">
        <v>52</v>
      </c>
      <c r="AL9046" s="21"/>
      <c r="AM9046" s="21" t="s">
        <v>6064</v>
      </c>
      <c r="AN9046" s="21">
        <v>-122.415893833333</v>
      </c>
      <c r="AO9046" s="21">
        <v>37.789252083333302</v>
      </c>
      <c r="AP9046" s="21" t="s">
        <v>1915</v>
      </c>
    </row>
    <row r="9047" spans="1:42">
      <c r="A9047" s="20">
        <v>43875</v>
      </c>
      <c r="B9047" s="21">
        <v>5</v>
      </c>
      <c r="C9047" s="21">
        <v>231</v>
      </c>
      <c r="D9047" s="21">
        <v>10521</v>
      </c>
      <c r="E9047" t="s">
        <v>112</v>
      </c>
      <c r="F9047" s="21" t="s">
        <v>104</v>
      </c>
      <c r="G9047" s="21">
        <v>4</v>
      </c>
      <c r="H9047" s="21">
        <v>92</v>
      </c>
      <c r="I9047" s="23" t="s">
        <v>6065</v>
      </c>
      <c r="J9047" s="21"/>
      <c r="K9047" s="21" t="s">
        <v>46</v>
      </c>
      <c r="L9047" s="21"/>
      <c r="M9047" s="21"/>
      <c r="N9047" s="21" t="s">
        <v>44</v>
      </c>
      <c r="O9047" s="21">
        <f>120+43</f>
        <v>163</v>
      </c>
      <c r="P9047" s="21"/>
      <c r="Q9047" s="21">
        <f t="shared" si="189"/>
        <v>1</v>
      </c>
      <c r="R9047" s="21">
        <v>1</v>
      </c>
      <c r="S9047" s="21">
        <v>0</v>
      </c>
      <c r="T9047" s="21">
        <v>0</v>
      </c>
      <c r="U9047" s="21">
        <v>0</v>
      </c>
      <c r="V9047" s="21">
        <v>0</v>
      </c>
      <c r="W9047" s="21">
        <v>1</v>
      </c>
      <c r="X9047" s="21">
        <v>0</v>
      </c>
      <c r="Y9047" s="21">
        <v>0</v>
      </c>
      <c r="Z9047" s="21">
        <v>0</v>
      </c>
      <c r="AA9047" s="21">
        <v>0</v>
      </c>
      <c r="AB9047" s="21">
        <v>0</v>
      </c>
      <c r="AC9047" s="21">
        <v>0</v>
      </c>
      <c r="AD9047" s="21">
        <v>0</v>
      </c>
      <c r="AE9047" s="21">
        <v>0</v>
      </c>
      <c r="AF9047" s="21">
        <v>0</v>
      </c>
      <c r="AG9047" s="21">
        <v>0</v>
      </c>
      <c r="AH9047" s="21">
        <f t="shared" si="190"/>
        <v>96</v>
      </c>
      <c r="AI9047" s="21"/>
      <c r="AJ9047" s="21" t="s">
        <v>51</v>
      </c>
      <c r="AK9047" s="21" t="s">
        <v>52</v>
      </c>
      <c r="AL9047" s="21"/>
      <c r="AM9047" s="21" t="s">
        <v>6066</v>
      </c>
      <c r="AN9047" s="21">
        <v>-122.41589025</v>
      </c>
      <c r="AO9047" s="21">
        <v>37.789247783333302</v>
      </c>
      <c r="AP9047" s="21" t="s">
        <v>1915</v>
      </c>
    </row>
    <row r="9048" spans="1:42">
      <c r="A9048" s="20">
        <v>43875</v>
      </c>
      <c r="B9048" s="21">
        <v>5</v>
      </c>
      <c r="C9048" s="21">
        <v>231</v>
      </c>
      <c r="D9048" s="21">
        <v>10521</v>
      </c>
      <c r="E9048" t="s">
        <v>112</v>
      </c>
      <c r="F9048" s="21" t="s">
        <v>104</v>
      </c>
      <c r="G9048" s="21">
        <v>4</v>
      </c>
      <c r="H9048" s="21">
        <v>93</v>
      </c>
      <c r="I9048" s="23" t="s">
        <v>3159</v>
      </c>
      <c r="J9048" s="21"/>
      <c r="K9048" s="21" t="s">
        <v>2829</v>
      </c>
      <c r="L9048" s="21"/>
      <c r="M9048" s="21"/>
      <c r="N9048" s="21" t="s">
        <v>44</v>
      </c>
      <c r="O9048" s="21">
        <f>60+38</f>
        <v>98</v>
      </c>
      <c r="P9048" s="21"/>
      <c r="Q9048" s="21">
        <f t="shared" si="189"/>
        <v>1</v>
      </c>
      <c r="R9048" s="21">
        <v>1</v>
      </c>
      <c r="S9048" s="21">
        <v>0</v>
      </c>
      <c r="T9048" s="21">
        <v>0</v>
      </c>
      <c r="U9048" s="21">
        <v>0</v>
      </c>
      <c r="V9048" s="21">
        <v>0</v>
      </c>
      <c r="W9048" s="21">
        <v>1</v>
      </c>
      <c r="X9048" s="21">
        <v>0</v>
      </c>
      <c r="Y9048" s="21">
        <v>0</v>
      </c>
      <c r="Z9048" s="21">
        <v>0</v>
      </c>
      <c r="AA9048" s="21">
        <v>0</v>
      </c>
      <c r="AB9048" s="21">
        <v>0</v>
      </c>
      <c r="AC9048" s="21">
        <v>0</v>
      </c>
      <c r="AD9048" s="21">
        <v>0</v>
      </c>
      <c r="AE9048" s="21">
        <v>0</v>
      </c>
      <c r="AF9048" s="21">
        <v>0</v>
      </c>
      <c r="AG9048" s="21">
        <v>0</v>
      </c>
      <c r="AH9048" s="21">
        <f t="shared" si="190"/>
        <v>96</v>
      </c>
      <c r="AI9048" s="21"/>
      <c r="AJ9048" s="21" t="s">
        <v>54</v>
      </c>
      <c r="AK9048" s="21" t="s">
        <v>52</v>
      </c>
      <c r="AL9048" s="21"/>
      <c r="AM9048" s="21" t="s">
        <v>6067</v>
      </c>
      <c r="AN9048" s="21">
        <v>-122.416027633333</v>
      </c>
      <c r="AO9048" s="21">
        <v>37.790255033333302</v>
      </c>
      <c r="AP9048" s="21" t="s">
        <v>1915</v>
      </c>
    </row>
    <row r="9049" spans="1:42">
      <c r="A9049" s="20">
        <v>43875</v>
      </c>
      <c r="B9049" s="21">
        <v>5</v>
      </c>
      <c r="C9049" s="21">
        <v>231</v>
      </c>
      <c r="D9049" s="21">
        <v>10521</v>
      </c>
      <c r="E9049" t="s">
        <v>112</v>
      </c>
      <c r="F9049" s="21" t="s">
        <v>104</v>
      </c>
      <c r="G9049" s="21">
        <v>4</v>
      </c>
      <c r="H9049" s="21">
        <v>94</v>
      </c>
      <c r="I9049" s="23" t="s">
        <v>6068</v>
      </c>
      <c r="J9049" s="21"/>
      <c r="K9049" s="21" t="s">
        <v>69</v>
      </c>
      <c r="L9049" s="21"/>
      <c r="M9049" s="21"/>
      <c r="N9049" s="21" t="s">
        <v>44</v>
      </c>
      <c r="O9049" s="21">
        <f>120+19</f>
        <v>139</v>
      </c>
      <c r="P9049" s="21"/>
      <c r="Q9049" s="21">
        <f t="shared" si="189"/>
        <v>2</v>
      </c>
      <c r="R9049" s="21">
        <v>1</v>
      </c>
      <c r="S9049" s="21">
        <v>0</v>
      </c>
      <c r="T9049" s="21">
        <v>0</v>
      </c>
      <c r="U9049" s="21">
        <v>0</v>
      </c>
      <c r="V9049" s="21">
        <v>0</v>
      </c>
      <c r="W9049" s="21">
        <v>2</v>
      </c>
      <c r="X9049" s="21">
        <v>0</v>
      </c>
      <c r="Y9049" s="21">
        <v>0</v>
      </c>
      <c r="Z9049" s="21">
        <v>0</v>
      </c>
      <c r="AA9049" s="21">
        <v>0</v>
      </c>
      <c r="AB9049" s="21">
        <v>0</v>
      </c>
      <c r="AC9049" s="21">
        <v>0</v>
      </c>
      <c r="AD9049" s="21">
        <v>0</v>
      </c>
      <c r="AE9049" s="21">
        <v>0</v>
      </c>
      <c r="AF9049" s="21">
        <v>0</v>
      </c>
      <c r="AG9049" s="21">
        <v>0</v>
      </c>
      <c r="AH9049" s="21">
        <f t="shared" si="190"/>
        <v>192</v>
      </c>
      <c r="AI9049" s="21"/>
      <c r="AJ9049" s="21" t="s">
        <v>54</v>
      </c>
      <c r="AK9049" s="21" t="s">
        <v>52</v>
      </c>
      <c r="AL9049" s="21" t="s">
        <v>2292</v>
      </c>
      <c r="AM9049" s="21" t="s">
        <v>6069</v>
      </c>
      <c r="AN9049" s="21">
        <v>-122.416059083333</v>
      </c>
      <c r="AO9049" s="21">
        <v>37.790212699999998</v>
      </c>
      <c r="AP9049" s="21" t="s">
        <v>1915</v>
      </c>
    </row>
    <row r="9050" spans="1:42">
      <c r="A9050" s="20">
        <v>43875</v>
      </c>
      <c r="B9050" s="21">
        <v>5</v>
      </c>
      <c r="C9050" s="21">
        <v>231</v>
      </c>
      <c r="D9050" s="21">
        <v>10521</v>
      </c>
      <c r="E9050" t="s">
        <v>112</v>
      </c>
      <c r="F9050" s="21" t="s">
        <v>104</v>
      </c>
      <c r="G9050" s="21">
        <v>4</v>
      </c>
      <c r="H9050" s="21">
        <v>95</v>
      </c>
      <c r="I9050" s="23" t="s">
        <v>5346</v>
      </c>
      <c r="J9050" s="21"/>
      <c r="K9050" s="21" t="s">
        <v>69</v>
      </c>
      <c r="L9050" s="21"/>
      <c r="M9050" s="21"/>
      <c r="N9050" s="21" t="s">
        <v>44</v>
      </c>
      <c r="O9050" s="21">
        <f>120+120+120+37</f>
        <v>397</v>
      </c>
      <c r="P9050" s="21"/>
      <c r="Q9050" s="21">
        <f t="shared" si="189"/>
        <v>6</v>
      </c>
      <c r="R9050" s="21">
        <v>1</v>
      </c>
      <c r="S9050" s="21">
        <v>0</v>
      </c>
      <c r="T9050" s="21">
        <v>0</v>
      </c>
      <c r="U9050" s="21">
        <v>0</v>
      </c>
      <c r="V9050" s="21">
        <v>4</v>
      </c>
      <c r="W9050" s="21">
        <v>2</v>
      </c>
      <c r="X9050" s="21">
        <v>0</v>
      </c>
      <c r="Y9050" s="21">
        <v>0</v>
      </c>
      <c r="Z9050" s="21">
        <v>0</v>
      </c>
      <c r="AA9050" s="21">
        <v>0</v>
      </c>
      <c r="AB9050" s="21">
        <v>0</v>
      </c>
      <c r="AC9050" s="21">
        <v>0</v>
      </c>
      <c r="AD9050" s="21">
        <v>0</v>
      </c>
      <c r="AE9050" s="21">
        <v>0</v>
      </c>
      <c r="AF9050" s="21">
        <v>0</v>
      </c>
      <c r="AG9050" s="21">
        <v>0</v>
      </c>
      <c r="AH9050" s="21">
        <f t="shared" si="190"/>
        <v>448</v>
      </c>
      <c r="AI9050" s="21"/>
      <c r="AJ9050" s="21" t="s">
        <v>54</v>
      </c>
      <c r="AK9050" s="21" t="s">
        <v>52</v>
      </c>
      <c r="AL9050" s="21" t="s">
        <v>6070</v>
      </c>
      <c r="AM9050" s="21" t="s">
        <v>6071</v>
      </c>
      <c r="AN9050" s="21">
        <v>-122.41664401666699</v>
      </c>
      <c r="AO9050" s="21">
        <v>37.790116500000003</v>
      </c>
      <c r="AP9050" s="21" t="s">
        <v>1915</v>
      </c>
    </row>
    <row r="9051" spans="1:42">
      <c r="A9051" s="20">
        <v>43875</v>
      </c>
      <c r="B9051" s="21">
        <v>5</v>
      </c>
      <c r="C9051" s="21">
        <v>231</v>
      </c>
      <c r="D9051" s="21">
        <v>10521</v>
      </c>
      <c r="E9051" t="s">
        <v>112</v>
      </c>
      <c r="F9051" s="21" t="s">
        <v>104</v>
      </c>
      <c r="G9051" s="21">
        <v>4</v>
      </c>
      <c r="H9051" s="21">
        <v>96</v>
      </c>
      <c r="I9051" s="23" t="s">
        <v>6072</v>
      </c>
      <c r="J9051" s="21"/>
      <c r="K9051" s="21" t="s">
        <v>69</v>
      </c>
      <c r="L9051" s="21"/>
      <c r="M9051" s="21"/>
      <c r="N9051" s="21" t="s">
        <v>42</v>
      </c>
      <c r="O9051" s="21">
        <f>120+120+120+58</f>
        <v>418</v>
      </c>
      <c r="P9051" s="21"/>
      <c r="Q9051" s="21">
        <f t="shared" si="189"/>
        <v>3</v>
      </c>
      <c r="R9051" s="21">
        <v>1</v>
      </c>
      <c r="S9051" s="21">
        <v>0</v>
      </c>
      <c r="T9051" s="21">
        <v>0</v>
      </c>
      <c r="U9051" s="21">
        <v>0</v>
      </c>
      <c r="V9051" s="21">
        <v>0</v>
      </c>
      <c r="W9051" s="21">
        <v>3</v>
      </c>
      <c r="X9051" s="21">
        <v>0</v>
      </c>
      <c r="Y9051" s="21">
        <v>0</v>
      </c>
      <c r="Z9051" s="21">
        <v>0</v>
      </c>
      <c r="AA9051" s="21">
        <v>0</v>
      </c>
      <c r="AB9051" s="21">
        <v>0</v>
      </c>
      <c r="AC9051" s="21">
        <v>0</v>
      </c>
      <c r="AD9051" s="21">
        <v>0</v>
      </c>
      <c r="AE9051" s="21">
        <v>0</v>
      </c>
      <c r="AF9051" s="21">
        <v>0</v>
      </c>
      <c r="AG9051" s="21">
        <v>0</v>
      </c>
      <c r="AH9051" s="21">
        <f t="shared" si="190"/>
        <v>288</v>
      </c>
      <c r="AI9051" s="21"/>
      <c r="AJ9051" s="21" t="s">
        <v>54</v>
      </c>
      <c r="AK9051" s="21" t="s">
        <v>52</v>
      </c>
      <c r="AL9051" s="21" t="s">
        <v>6073</v>
      </c>
      <c r="AM9051" s="21" t="s">
        <v>6074</v>
      </c>
      <c r="AN9051" s="21">
        <v>-122.416891283333</v>
      </c>
      <c r="AO9051" s="21">
        <v>37.7901423666667</v>
      </c>
      <c r="AP9051" s="21" t="s">
        <v>1915</v>
      </c>
    </row>
    <row r="9052" spans="1:42">
      <c r="A9052" s="20">
        <v>43875</v>
      </c>
      <c r="B9052" s="21">
        <v>5</v>
      </c>
      <c r="C9052" s="21">
        <v>231</v>
      </c>
      <c r="D9052" s="21">
        <v>10521</v>
      </c>
      <c r="E9052" t="s">
        <v>112</v>
      </c>
      <c r="F9052" s="21" t="s">
        <v>104</v>
      </c>
      <c r="G9052" s="21">
        <v>4</v>
      </c>
      <c r="H9052" s="21">
        <v>97</v>
      </c>
      <c r="I9052" s="23" t="s">
        <v>4330</v>
      </c>
      <c r="J9052" s="21"/>
      <c r="K9052" s="21" t="s">
        <v>69</v>
      </c>
      <c r="L9052" s="21"/>
      <c r="M9052" s="21"/>
      <c r="N9052" s="21" t="s">
        <v>44</v>
      </c>
      <c r="O9052" s="21">
        <f>120+26</f>
        <v>146</v>
      </c>
      <c r="P9052" s="21"/>
      <c r="Q9052" s="21">
        <f t="shared" si="189"/>
        <v>1</v>
      </c>
      <c r="R9052" s="21">
        <v>1</v>
      </c>
      <c r="S9052" s="21">
        <v>0</v>
      </c>
      <c r="T9052" s="21">
        <v>0</v>
      </c>
      <c r="U9052" s="21">
        <v>0</v>
      </c>
      <c r="V9052" s="21">
        <v>0</v>
      </c>
      <c r="W9052" s="21">
        <v>1</v>
      </c>
      <c r="X9052" s="21">
        <v>0</v>
      </c>
      <c r="Y9052" s="21">
        <v>0</v>
      </c>
      <c r="Z9052" s="21">
        <v>0</v>
      </c>
      <c r="AA9052" s="21">
        <v>0</v>
      </c>
      <c r="AB9052" s="21">
        <v>0</v>
      </c>
      <c r="AC9052" s="21">
        <v>0</v>
      </c>
      <c r="AD9052" s="21">
        <v>0</v>
      </c>
      <c r="AE9052" s="21">
        <v>0</v>
      </c>
      <c r="AF9052" s="21">
        <v>0</v>
      </c>
      <c r="AG9052" s="21">
        <v>0</v>
      </c>
      <c r="AH9052" s="21">
        <f t="shared" si="190"/>
        <v>96</v>
      </c>
      <c r="AI9052" s="21"/>
      <c r="AJ9052" s="21" t="s">
        <v>54</v>
      </c>
      <c r="AK9052" s="21" t="s">
        <v>52</v>
      </c>
      <c r="AL9052" s="21" t="s">
        <v>6075</v>
      </c>
      <c r="AM9052" s="21" t="s">
        <v>6076</v>
      </c>
      <c r="AN9052" s="21">
        <v>-122.41774031666699</v>
      </c>
      <c r="AO9052" s="21">
        <v>37.790061916666701</v>
      </c>
      <c r="AP9052" s="21" t="s">
        <v>1915</v>
      </c>
    </row>
    <row r="9053" spans="1:42">
      <c r="A9053" s="20">
        <v>43875</v>
      </c>
      <c r="B9053" s="21">
        <v>5</v>
      </c>
      <c r="C9053" s="21">
        <v>231</v>
      </c>
      <c r="D9053" s="21">
        <v>10521</v>
      </c>
      <c r="E9053" t="s">
        <v>112</v>
      </c>
      <c r="F9053" s="21" t="s">
        <v>104</v>
      </c>
      <c r="G9053" s="21">
        <v>4</v>
      </c>
      <c r="H9053" s="21">
        <v>98</v>
      </c>
      <c r="I9053" s="23" t="s">
        <v>6077</v>
      </c>
      <c r="J9053" s="21"/>
      <c r="K9053" s="21" t="s">
        <v>69</v>
      </c>
      <c r="L9053" s="21"/>
      <c r="M9053" s="21"/>
      <c r="N9053" s="21" t="s">
        <v>44</v>
      </c>
      <c r="O9053" s="21">
        <f>60+49</f>
        <v>109</v>
      </c>
      <c r="P9053" s="21"/>
      <c r="Q9053" s="21">
        <f t="shared" si="189"/>
        <v>1</v>
      </c>
      <c r="R9053" s="21">
        <v>1</v>
      </c>
      <c r="S9053" s="21">
        <v>0</v>
      </c>
      <c r="T9053" s="21">
        <v>0</v>
      </c>
      <c r="U9053" s="21">
        <v>0</v>
      </c>
      <c r="V9053" s="21">
        <v>0</v>
      </c>
      <c r="W9053" s="21">
        <v>1</v>
      </c>
      <c r="X9053" s="21">
        <v>0</v>
      </c>
      <c r="Y9053" s="21">
        <v>0</v>
      </c>
      <c r="Z9053" s="21">
        <v>0</v>
      </c>
      <c r="AA9053" s="21">
        <v>0</v>
      </c>
      <c r="AB9053" s="21">
        <v>0</v>
      </c>
      <c r="AC9053" s="21">
        <v>0</v>
      </c>
      <c r="AD9053" s="21">
        <v>0</v>
      </c>
      <c r="AE9053" s="21">
        <v>0</v>
      </c>
      <c r="AF9053" s="21">
        <v>0</v>
      </c>
      <c r="AG9053" s="21">
        <v>0</v>
      </c>
      <c r="AH9053" s="21">
        <f t="shared" si="190"/>
        <v>96</v>
      </c>
      <c r="AI9053" s="21"/>
      <c r="AJ9053" s="21" t="s">
        <v>54</v>
      </c>
      <c r="AK9053" s="21" t="s">
        <v>52</v>
      </c>
      <c r="AL9053" s="21"/>
      <c r="AM9053" s="21" t="s">
        <v>6078</v>
      </c>
      <c r="AN9053" s="21">
        <v>-122.418005866667</v>
      </c>
      <c r="AO9053" s="21">
        <v>37.790023216666697</v>
      </c>
      <c r="AP9053" s="21" t="s">
        <v>1915</v>
      </c>
    </row>
    <row r="9054" spans="1:42">
      <c r="A9054" s="20">
        <v>43875</v>
      </c>
      <c r="B9054" s="21">
        <v>5</v>
      </c>
      <c r="C9054" s="21">
        <v>231</v>
      </c>
      <c r="D9054" s="21">
        <v>10521</v>
      </c>
      <c r="E9054" t="s">
        <v>112</v>
      </c>
      <c r="F9054" s="21" t="s">
        <v>104</v>
      </c>
      <c r="G9054" s="21">
        <v>4</v>
      </c>
      <c r="H9054" s="21">
        <v>99</v>
      </c>
      <c r="I9054" s="23" t="s">
        <v>3862</v>
      </c>
      <c r="J9054" s="21"/>
      <c r="K9054" s="21" t="s">
        <v>69</v>
      </c>
      <c r="L9054" s="21"/>
      <c r="M9054" s="21"/>
      <c r="N9054" s="21" t="s">
        <v>44</v>
      </c>
      <c r="O9054" s="21">
        <f>120+25</f>
        <v>145</v>
      </c>
      <c r="P9054" s="21"/>
      <c r="Q9054" s="21">
        <f t="shared" si="189"/>
        <v>1</v>
      </c>
      <c r="R9054" s="21">
        <v>1</v>
      </c>
      <c r="S9054" s="21">
        <v>0</v>
      </c>
      <c r="T9054" s="21">
        <v>0</v>
      </c>
      <c r="U9054" s="21">
        <v>0</v>
      </c>
      <c r="V9054" s="21">
        <v>0</v>
      </c>
      <c r="W9054" s="21">
        <v>1</v>
      </c>
      <c r="X9054" s="21">
        <v>0</v>
      </c>
      <c r="Y9054" s="21">
        <v>0</v>
      </c>
      <c r="Z9054" s="21">
        <v>0</v>
      </c>
      <c r="AA9054" s="21">
        <v>0</v>
      </c>
      <c r="AB9054" s="21">
        <v>0</v>
      </c>
      <c r="AC9054" s="21">
        <v>0</v>
      </c>
      <c r="AD9054" s="21">
        <v>0</v>
      </c>
      <c r="AE9054" s="21">
        <v>0</v>
      </c>
      <c r="AF9054" s="21">
        <v>0</v>
      </c>
      <c r="AG9054" s="21">
        <v>0</v>
      </c>
      <c r="AH9054" s="21">
        <f t="shared" si="190"/>
        <v>96</v>
      </c>
      <c r="AI9054" s="21"/>
      <c r="AJ9054" s="21" t="s">
        <v>54</v>
      </c>
      <c r="AK9054" s="21" t="s">
        <v>52</v>
      </c>
      <c r="AL9054" s="21" t="s">
        <v>6079</v>
      </c>
      <c r="AM9054" s="21" t="s">
        <v>6080</v>
      </c>
      <c r="AN9054" s="21">
        <v>-122.418103366667</v>
      </c>
      <c r="AO9054" s="21">
        <v>37.789889783333301</v>
      </c>
      <c r="AP9054" s="21" t="s">
        <v>1915</v>
      </c>
    </row>
    <row r="9055" spans="1:42">
      <c r="A9055" s="20">
        <v>43875</v>
      </c>
      <c r="B9055" s="21">
        <v>5</v>
      </c>
      <c r="C9055" s="21">
        <v>231</v>
      </c>
      <c r="D9055" s="21">
        <v>10521</v>
      </c>
      <c r="E9055" t="s">
        <v>112</v>
      </c>
      <c r="F9055" s="21" t="s">
        <v>104</v>
      </c>
      <c r="G9055" s="21">
        <v>4</v>
      </c>
      <c r="H9055" s="21">
        <v>100</v>
      </c>
      <c r="I9055" s="23" t="s">
        <v>4832</v>
      </c>
      <c r="J9055" s="21"/>
      <c r="K9055" s="21" t="s">
        <v>69</v>
      </c>
      <c r="L9055" s="21"/>
      <c r="M9055" s="21"/>
      <c r="N9055" s="21" t="s">
        <v>44</v>
      </c>
      <c r="O9055" s="21">
        <f>120+48</f>
        <v>168</v>
      </c>
      <c r="P9055" s="21"/>
      <c r="Q9055" s="21">
        <f t="shared" si="189"/>
        <v>1</v>
      </c>
      <c r="R9055" s="21">
        <v>1</v>
      </c>
      <c r="S9055" s="21">
        <v>0</v>
      </c>
      <c r="T9055" s="21">
        <v>0</v>
      </c>
      <c r="U9055" s="21">
        <v>0</v>
      </c>
      <c r="V9055" s="21">
        <v>0</v>
      </c>
      <c r="W9055" s="21">
        <v>1</v>
      </c>
      <c r="X9055" s="21">
        <v>0</v>
      </c>
      <c r="Y9055" s="21">
        <v>0</v>
      </c>
      <c r="Z9055" s="21">
        <v>0</v>
      </c>
      <c r="AA9055" s="21">
        <v>0</v>
      </c>
      <c r="AB9055" s="21">
        <v>0</v>
      </c>
      <c r="AC9055" s="21">
        <v>0</v>
      </c>
      <c r="AD9055" s="21">
        <v>0</v>
      </c>
      <c r="AE9055" s="21">
        <v>0</v>
      </c>
      <c r="AF9055" s="21">
        <v>0</v>
      </c>
      <c r="AG9055" s="21">
        <v>0</v>
      </c>
      <c r="AH9055" s="21">
        <f t="shared" si="190"/>
        <v>96</v>
      </c>
      <c r="AI9055" s="21"/>
      <c r="AJ9055" s="21" t="s">
        <v>54</v>
      </c>
      <c r="AK9055" s="21" t="s">
        <v>52</v>
      </c>
      <c r="AL9055" s="21"/>
      <c r="AM9055" s="21" t="s">
        <v>6081</v>
      </c>
      <c r="AN9055" s="21">
        <v>-122.41843355</v>
      </c>
      <c r="AO9055" s="21">
        <v>37.789844466666601</v>
      </c>
      <c r="AP9055" s="21" t="s">
        <v>1915</v>
      </c>
    </row>
    <row r="9056" spans="1:42">
      <c r="A9056" s="20">
        <v>43875</v>
      </c>
      <c r="B9056" s="21">
        <v>5</v>
      </c>
      <c r="C9056" s="21">
        <v>231</v>
      </c>
      <c r="D9056" s="21">
        <v>10521</v>
      </c>
      <c r="E9056" t="s">
        <v>112</v>
      </c>
      <c r="F9056" s="21" t="s">
        <v>104</v>
      </c>
      <c r="G9056" s="21">
        <v>4</v>
      </c>
      <c r="H9056" s="21">
        <v>101</v>
      </c>
      <c r="I9056" s="23">
        <v>1300</v>
      </c>
      <c r="J9056" s="21"/>
      <c r="K9056" s="21" t="s">
        <v>69</v>
      </c>
      <c r="L9056" s="21"/>
      <c r="M9056" s="21"/>
      <c r="N9056" s="21" t="s">
        <v>1703</v>
      </c>
      <c r="O9056" s="21">
        <v>69</v>
      </c>
      <c r="P9056" s="21"/>
      <c r="Q9056" s="21">
        <f t="shared" si="189"/>
        <v>2</v>
      </c>
      <c r="R9056" s="21">
        <v>1</v>
      </c>
      <c r="S9056" s="21">
        <v>0</v>
      </c>
      <c r="T9056" s="21">
        <v>0</v>
      </c>
      <c r="U9056" s="21">
        <v>1</v>
      </c>
      <c r="V9056" s="21">
        <v>0</v>
      </c>
      <c r="W9056" s="21">
        <v>1</v>
      </c>
      <c r="X9056" s="21">
        <v>0</v>
      </c>
      <c r="Y9056" s="21">
        <v>0</v>
      </c>
      <c r="Z9056" s="21">
        <v>0</v>
      </c>
      <c r="AA9056" s="21">
        <v>0</v>
      </c>
      <c r="AB9056" s="21">
        <v>0</v>
      </c>
      <c r="AC9056" s="21">
        <v>0</v>
      </c>
      <c r="AD9056" s="21">
        <v>0</v>
      </c>
      <c r="AE9056" s="21">
        <v>0</v>
      </c>
      <c r="AF9056" s="21">
        <v>0</v>
      </c>
      <c r="AG9056" s="21">
        <v>0</v>
      </c>
      <c r="AH9056" s="21">
        <f t="shared" si="190"/>
        <v>128</v>
      </c>
      <c r="AI9056" s="21"/>
      <c r="AJ9056" s="21" t="s">
        <v>54</v>
      </c>
      <c r="AK9056" s="21" t="s">
        <v>95</v>
      </c>
      <c r="AL9056" s="21" t="s">
        <v>6082</v>
      </c>
      <c r="AM9056" s="21" t="s">
        <v>6083</v>
      </c>
      <c r="AN9056" s="21">
        <v>-122.421783033333</v>
      </c>
      <c r="AO9056" s="21">
        <v>37.789174516666698</v>
      </c>
      <c r="AP9056" s="21" t="s">
        <v>1915</v>
      </c>
    </row>
    <row r="9057" spans="1:42">
      <c r="A9057" s="20">
        <v>43875</v>
      </c>
      <c r="B9057" s="21">
        <v>5</v>
      </c>
      <c r="C9057" s="21">
        <v>231</v>
      </c>
      <c r="D9057" s="21">
        <v>10521</v>
      </c>
      <c r="E9057" t="s">
        <v>112</v>
      </c>
      <c r="F9057" s="21" t="s">
        <v>104</v>
      </c>
      <c r="G9057" s="21">
        <v>4</v>
      </c>
      <c r="H9057" s="21">
        <v>102</v>
      </c>
      <c r="I9057" s="23" t="s">
        <v>6084</v>
      </c>
      <c r="J9057" s="21"/>
      <c r="K9057" s="21" t="s">
        <v>46</v>
      </c>
      <c r="L9057" s="21"/>
      <c r="M9057" s="21"/>
      <c r="N9057" s="21" t="s">
        <v>44</v>
      </c>
      <c r="O9057" s="21">
        <f>120+29</f>
        <v>149</v>
      </c>
      <c r="P9057" s="21"/>
      <c r="Q9057" s="21">
        <f t="shared" si="189"/>
        <v>2</v>
      </c>
      <c r="R9057" s="21">
        <v>1</v>
      </c>
      <c r="S9057" s="21">
        <v>0</v>
      </c>
      <c r="T9057" s="21">
        <v>0</v>
      </c>
      <c r="U9057" s="21">
        <v>0</v>
      </c>
      <c r="V9057" s="21">
        <v>0</v>
      </c>
      <c r="W9057" s="21">
        <v>2</v>
      </c>
      <c r="X9057" s="21">
        <v>0</v>
      </c>
      <c r="Y9057" s="21">
        <v>0</v>
      </c>
      <c r="Z9057" s="21">
        <v>0</v>
      </c>
      <c r="AA9057" s="21">
        <v>0</v>
      </c>
      <c r="AB9057" s="21">
        <v>0</v>
      </c>
      <c r="AC9057" s="21">
        <v>0</v>
      </c>
      <c r="AD9057" s="21">
        <v>0</v>
      </c>
      <c r="AE9057" s="21">
        <v>0</v>
      </c>
      <c r="AF9057" s="21">
        <v>0</v>
      </c>
      <c r="AG9057" s="21">
        <v>0</v>
      </c>
      <c r="AH9057" s="21">
        <f t="shared" si="190"/>
        <v>192</v>
      </c>
      <c r="AI9057" s="21"/>
      <c r="AJ9057" s="21"/>
      <c r="AK9057" s="21"/>
      <c r="AL9057" s="21"/>
      <c r="AM9057" s="21" t="s">
        <v>6085</v>
      </c>
      <c r="AN9057" s="21">
        <v>-122.421371833333</v>
      </c>
      <c r="AO9057" s="21">
        <v>37.788899666666701</v>
      </c>
      <c r="AP9057" s="21" t="s">
        <v>1915</v>
      </c>
    </row>
    <row r="9058" spans="1:42">
      <c r="A9058" s="20">
        <v>43875</v>
      </c>
      <c r="B9058" s="21">
        <v>5</v>
      </c>
      <c r="C9058" s="21">
        <v>231</v>
      </c>
      <c r="D9058" s="21">
        <v>10521</v>
      </c>
      <c r="E9058" t="s">
        <v>112</v>
      </c>
      <c r="F9058" s="21" t="s">
        <v>104</v>
      </c>
      <c r="G9058" s="21">
        <v>4</v>
      </c>
      <c r="H9058" s="21">
        <v>103</v>
      </c>
      <c r="I9058" s="23">
        <v>1545</v>
      </c>
      <c r="J9058" s="21"/>
      <c r="K9058" s="21" t="s">
        <v>69</v>
      </c>
      <c r="L9058" s="21"/>
      <c r="M9058" s="21"/>
      <c r="N9058" s="21" t="s">
        <v>1703</v>
      </c>
      <c r="O9058" s="21">
        <v>38</v>
      </c>
      <c r="P9058" s="21"/>
      <c r="Q9058" s="21">
        <f t="shared" si="189"/>
        <v>1</v>
      </c>
      <c r="R9058" s="21">
        <v>1</v>
      </c>
      <c r="S9058" s="21">
        <v>0</v>
      </c>
      <c r="T9058" s="21">
        <v>0</v>
      </c>
      <c r="U9058" s="21">
        <v>0</v>
      </c>
      <c r="V9058" s="21">
        <v>1</v>
      </c>
      <c r="W9058" s="21">
        <v>0</v>
      </c>
      <c r="X9058" s="21">
        <v>0</v>
      </c>
      <c r="Y9058" s="21">
        <v>0</v>
      </c>
      <c r="Z9058" s="21">
        <v>0</v>
      </c>
      <c r="AA9058" s="21">
        <v>0</v>
      </c>
      <c r="AB9058" s="21">
        <v>0</v>
      </c>
      <c r="AC9058" s="21">
        <v>0</v>
      </c>
      <c r="AD9058" s="21">
        <v>0</v>
      </c>
      <c r="AE9058" s="21">
        <v>0</v>
      </c>
      <c r="AF9058" s="21">
        <v>0</v>
      </c>
      <c r="AG9058" s="21">
        <v>0</v>
      </c>
      <c r="AH9058" s="21">
        <f t="shared" si="190"/>
        <v>64</v>
      </c>
      <c r="AI9058" s="21"/>
      <c r="AJ9058" s="21" t="s">
        <v>54</v>
      </c>
      <c r="AK9058" s="21" t="s">
        <v>52</v>
      </c>
      <c r="AL9058" s="21" t="s">
        <v>1998</v>
      </c>
      <c r="AM9058" s="21" t="s">
        <v>6086</v>
      </c>
      <c r="AN9058" s="21">
        <v>-122.4212169</v>
      </c>
      <c r="AO9058" s="21">
        <v>37.7889931666667</v>
      </c>
      <c r="AP9058" s="21" t="s">
        <v>1915</v>
      </c>
    </row>
    <row r="9059" spans="1:42">
      <c r="A9059" s="20">
        <v>43875</v>
      </c>
      <c r="B9059" s="21">
        <v>5</v>
      </c>
      <c r="C9059" s="21">
        <v>231</v>
      </c>
      <c r="D9059" s="21">
        <v>10521</v>
      </c>
      <c r="E9059" t="s">
        <v>112</v>
      </c>
      <c r="F9059" s="21" t="s">
        <v>104</v>
      </c>
      <c r="G9059" s="21">
        <v>4</v>
      </c>
      <c r="H9059" s="21">
        <v>104</v>
      </c>
      <c r="I9059" s="23" t="s">
        <v>6087</v>
      </c>
      <c r="J9059" s="21"/>
      <c r="K9059" s="21" t="s">
        <v>69</v>
      </c>
      <c r="L9059" s="21"/>
      <c r="M9059" s="21"/>
      <c r="N9059" s="21" t="s">
        <v>44</v>
      </c>
      <c r="O9059" s="21">
        <v>122</v>
      </c>
      <c r="P9059" s="21"/>
      <c r="Q9059" s="21">
        <f t="shared" si="189"/>
        <v>3</v>
      </c>
      <c r="R9059" s="21">
        <v>1</v>
      </c>
      <c r="S9059" s="21">
        <v>0</v>
      </c>
      <c r="T9059" s="21">
        <v>0</v>
      </c>
      <c r="U9059" s="21">
        <v>0</v>
      </c>
      <c r="V9059" s="21">
        <v>0</v>
      </c>
      <c r="W9059" s="21">
        <v>3</v>
      </c>
      <c r="X9059" s="21">
        <v>0</v>
      </c>
      <c r="Y9059" s="21">
        <v>0</v>
      </c>
      <c r="Z9059" s="21">
        <v>0</v>
      </c>
      <c r="AA9059" s="21">
        <v>0</v>
      </c>
      <c r="AB9059" s="21">
        <v>0</v>
      </c>
      <c r="AC9059" s="21">
        <v>0</v>
      </c>
      <c r="AD9059" s="21">
        <v>0</v>
      </c>
      <c r="AE9059" s="21">
        <v>0</v>
      </c>
      <c r="AF9059" s="21">
        <v>0</v>
      </c>
      <c r="AG9059" s="21">
        <v>0</v>
      </c>
      <c r="AH9059" s="21">
        <f t="shared" si="190"/>
        <v>288</v>
      </c>
      <c r="AI9059" s="21"/>
      <c r="AJ9059" s="21" t="s">
        <v>54</v>
      </c>
      <c r="AK9059" s="21" t="s">
        <v>95</v>
      </c>
      <c r="AL9059" s="21"/>
      <c r="AM9059" s="21" t="s">
        <v>6088</v>
      </c>
      <c r="AN9059" s="21">
        <v>-122.4208125</v>
      </c>
      <c r="AO9059" s="21">
        <v>37.789143483333298</v>
      </c>
      <c r="AP9059" s="21" t="s">
        <v>1915</v>
      </c>
    </row>
    <row r="9060" spans="1:42">
      <c r="A9060" s="20">
        <v>43865.500891203701</v>
      </c>
      <c r="B9060" s="21">
        <v>2</v>
      </c>
      <c r="C9060" s="21">
        <v>207</v>
      </c>
      <c r="D9060" s="21">
        <v>14657</v>
      </c>
      <c r="E9060" t="s">
        <v>37</v>
      </c>
      <c r="F9060" s="21" t="s">
        <v>436</v>
      </c>
      <c r="G9060" s="21" t="s">
        <v>4270</v>
      </c>
      <c r="H9060" s="21">
        <v>1</v>
      </c>
      <c r="I9060" s="21" t="s">
        <v>6089</v>
      </c>
      <c r="J9060" s="21"/>
      <c r="K9060" s="21" t="s">
        <v>909</v>
      </c>
      <c r="L9060" s="21" t="s">
        <v>114</v>
      </c>
      <c r="M9060" s="21"/>
      <c r="N9060" s="21" t="s">
        <v>40</v>
      </c>
      <c r="O9060" s="21">
        <v>57</v>
      </c>
      <c r="P9060" s="21"/>
      <c r="Q9060" s="21">
        <f t="shared" ref="Q9060:Q9123" si="191">SUM(S9060:AE9060)</f>
        <v>2</v>
      </c>
      <c r="R9060" s="21">
        <v>1</v>
      </c>
      <c r="S9060" s="21">
        <v>0</v>
      </c>
      <c r="T9060" s="21">
        <v>0</v>
      </c>
      <c r="U9060" s="21">
        <v>0</v>
      </c>
      <c r="V9060" s="21">
        <v>1</v>
      </c>
      <c r="W9060" s="21">
        <v>1</v>
      </c>
      <c r="X9060" s="21">
        <v>0</v>
      </c>
      <c r="Y9060" s="21">
        <v>0</v>
      </c>
      <c r="Z9060" s="21">
        <v>0</v>
      </c>
      <c r="AA9060" s="21">
        <v>0</v>
      </c>
      <c r="AB9060" s="21">
        <v>0</v>
      </c>
      <c r="AC9060" s="21">
        <v>0</v>
      </c>
      <c r="AD9060" s="21">
        <v>0</v>
      </c>
      <c r="AE9060" s="21">
        <v>0</v>
      </c>
      <c r="AF9060" s="21">
        <v>0</v>
      </c>
      <c r="AG9060" s="21">
        <v>0</v>
      </c>
      <c r="AH9060" s="21">
        <v>160</v>
      </c>
      <c r="AI9060" s="21"/>
      <c r="AJ9060" s="21" t="s">
        <v>3023</v>
      </c>
      <c r="AK9060" s="21" t="s">
        <v>95</v>
      </c>
      <c r="AL9060" s="21"/>
      <c r="AM9060" s="21" t="s">
        <v>6090</v>
      </c>
      <c r="AN9060" s="21">
        <v>-122.436082766667</v>
      </c>
      <c r="AO9060" s="21">
        <v>37.800234483333298</v>
      </c>
      <c r="AP9060" s="21" t="s">
        <v>951</v>
      </c>
    </row>
    <row r="9061" spans="1:42">
      <c r="A9061" s="20">
        <v>43865.500891203701</v>
      </c>
      <c r="B9061" s="21">
        <v>2</v>
      </c>
      <c r="C9061" s="21">
        <v>207</v>
      </c>
      <c r="D9061" s="21">
        <v>14657</v>
      </c>
      <c r="E9061" t="s">
        <v>37</v>
      </c>
      <c r="F9061" s="21" t="s">
        <v>436</v>
      </c>
      <c r="G9061" s="21" t="s">
        <v>4270</v>
      </c>
      <c r="H9061" s="21">
        <v>2</v>
      </c>
      <c r="I9061" s="21" t="s">
        <v>4454</v>
      </c>
      <c r="J9061" s="21"/>
      <c r="K9061" s="21" t="s">
        <v>324</v>
      </c>
      <c r="L9061" s="21" t="s">
        <v>114</v>
      </c>
      <c r="M9061" s="21"/>
      <c r="N9061" s="21" t="s">
        <v>40</v>
      </c>
      <c r="O9061" s="21">
        <v>36</v>
      </c>
      <c r="P9061" s="21"/>
      <c r="Q9061" s="21">
        <f t="shared" si="191"/>
        <v>1</v>
      </c>
      <c r="R9061" s="21">
        <v>1</v>
      </c>
      <c r="S9061" s="21">
        <v>0</v>
      </c>
      <c r="T9061" s="21">
        <v>0</v>
      </c>
      <c r="U9061" s="21">
        <v>1</v>
      </c>
      <c r="V9061" s="21">
        <v>0</v>
      </c>
      <c r="W9061" s="21">
        <v>0</v>
      </c>
      <c r="X9061" s="21">
        <v>0</v>
      </c>
      <c r="Y9061" s="21" t="s">
        <v>6091</v>
      </c>
      <c r="Z9061" s="21">
        <v>0</v>
      </c>
      <c r="AA9061" s="21">
        <v>0</v>
      </c>
      <c r="AB9061" s="21">
        <v>0</v>
      </c>
      <c r="AC9061" s="21">
        <v>0</v>
      </c>
      <c r="AD9061" s="21">
        <v>0</v>
      </c>
      <c r="AE9061" s="21">
        <v>0</v>
      </c>
      <c r="AF9061" s="21">
        <v>0</v>
      </c>
      <c r="AG9061" s="21">
        <v>0</v>
      </c>
      <c r="AH9061" s="21">
        <v>32</v>
      </c>
      <c r="AI9061" s="21"/>
      <c r="AJ9061" s="21" t="s">
        <v>51</v>
      </c>
      <c r="AK9061" s="21" t="s">
        <v>95</v>
      </c>
      <c r="AL9061" s="21"/>
      <c r="AM9061" s="21" t="s">
        <v>6092</v>
      </c>
      <c r="AN9061" s="21">
        <v>-122.436284216667</v>
      </c>
      <c r="AO9061" s="21">
        <v>37.800784033333301</v>
      </c>
      <c r="AP9061" s="21" t="s">
        <v>951</v>
      </c>
    </row>
    <row r="9062" spans="1:42">
      <c r="A9062" s="20">
        <v>43865.500891203701</v>
      </c>
      <c r="B9062" s="21">
        <v>2</v>
      </c>
      <c r="C9062" s="21">
        <v>207</v>
      </c>
      <c r="D9062" s="21">
        <v>14657</v>
      </c>
      <c r="E9062" t="s">
        <v>37</v>
      </c>
      <c r="F9062" s="21" t="s">
        <v>436</v>
      </c>
      <c r="G9062" s="21" t="s">
        <v>4270</v>
      </c>
      <c r="H9062" s="21">
        <v>3</v>
      </c>
      <c r="I9062" s="21" t="s">
        <v>3954</v>
      </c>
      <c r="J9062" s="21"/>
      <c r="K9062" s="21" t="s">
        <v>324</v>
      </c>
      <c r="L9062" s="21" t="s">
        <v>114</v>
      </c>
      <c r="M9062" s="21"/>
      <c r="N9062" s="21"/>
      <c r="O9062" s="21">
        <v>23</v>
      </c>
      <c r="P9062" s="21"/>
      <c r="Q9062" s="21">
        <f t="shared" si="191"/>
        <v>1</v>
      </c>
      <c r="R9062" s="21">
        <v>1</v>
      </c>
      <c r="S9062" s="21">
        <v>0</v>
      </c>
      <c r="T9062" s="21">
        <v>0</v>
      </c>
      <c r="U9062" s="21">
        <v>1</v>
      </c>
      <c r="V9062" s="21">
        <v>0</v>
      </c>
      <c r="W9062" s="21">
        <v>0</v>
      </c>
      <c r="X9062" s="21">
        <v>0</v>
      </c>
      <c r="Y9062" s="21">
        <v>0</v>
      </c>
      <c r="Z9062" s="21">
        <v>0</v>
      </c>
      <c r="AA9062" s="21">
        <v>0</v>
      </c>
      <c r="AB9062" s="21">
        <v>0</v>
      </c>
      <c r="AC9062" s="21">
        <v>0</v>
      </c>
      <c r="AD9062" s="21">
        <v>0</v>
      </c>
      <c r="AE9062" s="21">
        <v>0</v>
      </c>
      <c r="AF9062" s="21">
        <v>0</v>
      </c>
      <c r="AG9062" s="21">
        <v>0</v>
      </c>
      <c r="AH9062" s="21">
        <v>32</v>
      </c>
      <c r="AI9062" s="21"/>
      <c r="AJ9062" s="21" t="s">
        <v>51</v>
      </c>
      <c r="AK9062" s="21" t="s">
        <v>95</v>
      </c>
      <c r="AL9062" s="21"/>
      <c r="AM9062" s="21" t="s">
        <v>6093</v>
      </c>
      <c r="AN9062" s="21">
        <v>-122.437300466667</v>
      </c>
      <c r="AO9062" s="21">
        <v>37.800696816666701</v>
      </c>
      <c r="AP9062" s="21" t="s">
        <v>951</v>
      </c>
    </row>
    <row r="9063" spans="1:42">
      <c r="A9063" s="20">
        <v>43865.500891203701</v>
      </c>
      <c r="B9063" s="21">
        <v>2</v>
      </c>
      <c r="C9063" s="21">
        <v>207</v>
      </c>
      <c r="D9063" s="21">
        <v>14657</v>
      </c>
      <c r="E9063" t="s">
        <v>37</v>
      </c>
      <c r="F9063" s="21" t="s">
        <v>436</v>
      </c>
      <c r="G9063" s="21" t="s">
        <v>4270</v>
      </c>
      <c r="H9063" s="21">
        <v>4</v>
      </c>
      <c r="I9063" s="21" t="s">
        <v>4458</v>
      </c>
      <c r="J9063" s="21"/>
      <c r="K9063" s="21" t="s">
        <v>324</v>
      </c>
      <c r="L9063" s="21" t="s">
        <v>114</v>
      </c>
      <c r="M9063" s="21" t="s">
        <v>52</v>
      </c>
      <c r="N9063" s="21" t="s">
        <v>40</v>
      </c>
      <c r="O9063" s="21">
        <v>77</v>
      </c>
      <c r="P9063" s="21"/>
      <c r="Q9063" s="21">
        <f t="shared" si="191"/>
        <v>4</v>
      </c>
      <c r="R9063" s="21">
        <v>1</v>
      </c>
      <c r="S9063" s="21">
        <v>0</v>
      </c>
      <c r="T9063" s="21">
        <v>0</v>
      </c>
      <c r="U9063" s="21">
        <v>2</v>
      </c>
      <c r="V9063" s="21">
        <v>2</v>
      </c>
      <c r="W9063" s="21">
        <v>0</v>
      </c>
      <c r="X9063" s="21">
        <v>0</v>
      </c>
      <c r="Y9063" s="21">
        <v>0</v>
      </c>
      <c r="Z9063" s="21">
        <v>0</v>
      </c>
      <c r="AA9063" s="21">
        <v>0</v>
      </c>
      <c r="AB9063" s="21">
        <v>0</v>
      </c>
      <c r="AC9063" s="21">
        <v>0</v>
      </c>
      <c r="AD9063" s="21">
        <v>0</v>
      </c>
      <c r="AE9063" s="21">
        <v>0</v>
      </c>
      <c r="AF9063" s="21">
        <v>0</v>
      </c>
      <c r="AG9063" s="21">
        <v>0</v>
      </c>
      <c r="AH9063" s="21">
        <v>192</v>
      </c>
      <c r="AI9063" s="21"/>
      <c r="AJ9063" s="21" t="s">
        <v>51</v>
      </c>
      <c r="AK9063" s="21" t="s">
        <v>95</v>
      </c>
      <c r="AL9063" s="21"/>
      <c r="AM9063" s="21" t="s">
        <v>6094</v>
      </c>
      <c r="AN9063" s="21">
        <v>-122.437728966667</v>
      </c>
      <c r="AO9063" s="21">
        <v>37.800664433333303</v>
      </c>
      <c r="AP9063" s="21" t="s">
        <v>951</v>
      </c>
    </row>
    <row r="9064" spans="1:42">
      <c r="A9064" s="20">
        <v>43865.500891203701</v>
      </c>
      <c r="B9064" s="21">
        <v>2</v>
      </c>
      <c r="C9064" s="21">
        <v>207</v>
      </c>
      <c r="D9064" s="21">
        <v>14657</v>
      </c>
      <c r="E9064" t="s">
        <v>37</v>
      </c>
      <c r="F9064" s="21" t="s">
        <v>436</v>
      </c>
      <c r="G9064" s="21" t="s">
        <v>4270</v>
      </c>
      <c r="H9064" s="21">
        <v>5</v>
      </c>
      <c r="I9064" s="21" t="s">
        <v>6095</v>
      </c>
      <c r="J9064" s="21"/>
      <c r="K9064" s="21" t="s">
        <v>324</v>
      </c>
      <c r="L9064" s="21" t="s">
        <v>114</v>
      </c>
      <c r="M9064" s="21"/>
      <c r="N9064" s="21" t="s">
        <v>40</v>
      </c>
      <c r="O9064" s="21"/>
      <c r="P9064" s="21"/>
      <c r="Q9064" s="21">
        <f t="shared" si="191"/>
        <v>4</v>
      </c>
      <c r="R9064" s="21">
        <v>1</v>
      </c>
      <c r="S9064" s="21">
        <v>0</v>
      </c>
      <c r="T9064" s="21">
        <v>0</v>
      </c>
      <c r="U9064" s="21">
        <v>0</v>
      </c>
      <c r="V9064" s="21">
        <v>4</v>
      </c>
      <c r="W9064" s="21">
        <v>0</v>
      </c>
      <c r="X9064" s="21">
        <v>0</v>
      </c>
      <c r="Y9064" s="21">
        <v>0</v>
      </c>
      <c r="Z9064" s="21">
        <v>0</v>
      </c>
      <c r="AA9064" s="21">
        <v>0</v>
      </c>
      <c r="AB9064" s="21">
        <v>0</v>
      </c>
      <c r="AC9064" s="21">
        <v>0</v>
      </c>
      <c r="AD9064" s="21">
        <v>0</v>
      </c>
      <c r="AE9064" s="21">
        <v>0</v>
      </c>
      <c r="AF9064" s="21">
        <v>0</v>
      </c>
      <c r="AG9064" s="21">
        <v>0</v>
      </c>
      <c r="AH9064" s="21">
        <v>256</v>
      </c>
      <c r="AI9064" s="21"/>
      <c r="AJ9064" s="21" t="s">
        <v>51</v>
      </c>
      <c r="AK9064" s="21" t="s">
        <v>95</v>
      </c>
      <c r="AL9064" s="21"/>
      <c r="AM9064" s="21" t="s">
        <v>6096</v>
      </c>
      <c r="AN9064" s="21">
        <v>-122.43796685</v>
      </c>
      <c r="AO9064" s="21">
        <v>37.800647566666697</v>
      </c>
      <c r="AP9064" s="21" t="s">
        <v>951</v>
      </c>
    </row>
    <row r="9065" spans="1:42">
      <c r="A9065" s="20">
        <v>43865.500891203701</v>
      </c>
      <c r="B9065" s="21">
        <v>2</v>
      </c>
      <c r="C9065" s="21">
        <v>207</v>
      </c>
      <c r="D9065" s="21">
        <v>14657</v>
      </c>
      <c r="E9065" t="s">
        <v>37</v>
      </c>
      <c r="F9065" s="21" t="s">
        <v>436</v>
      </c>
      <c r="G9065" s="21" t="s">
        <v>4270</v>
      </c>
      <c r="H9065" s="21">
        <v>6</v>
      </c>
      <c r="I9065" s="21" t="s">
        <v>6097</v>
      </c>
      <c r="J9065" s="21"/>
      <c r="K9065" s="21" t="s">
        <v>2759</v>
      </c>
      <c r="L9065" s="21" t="s">
        <v>114</v>
      </c>
      <c r="M9065" s="21"/>
      <c r="N9065" s="21" t="s">
        <v>40</v>
      </c>
      <c r="O9065" s="21">
        <v>61</v>
      </c>
      <c r="P9065" s="21"/>
      <c r="Q9065" s="21">
        <f t="shared" si="191"/>
        <v>2</v>
      </c>
      <c r="R9065" s="21">
        <v>1</v>
      </c>
      <c r="S9065" s="21">
        <v>0</v>
      </c>
      <c r="T9065" s="21">
        <v>0</v>
      </c>
      <c r="U9065" s="21">
        <v>0</v>
      </c>
      <c r="V9065" s="21">
        <v>2</v>
      </c>
      <c r="W9065" s="21">
        <v>0</v>
      </c>
      <c r="X9065" s="21">
        <v>0</v>
      </c>
      <c r="Y9065" s="21">
        <v>0</v>
      </c>
      <c r="Z9065" s="21">
        <v>0</v>
      </c>
      <c r="AA9065" s="21">
        <v>0</v>
      </c>
      <c r="AB9065" s="21">
        <v>0</v>
      </c>
      <c r="AC9065" s="21">
        <v>0</v>
      </c>
      <c r="AD9065" s="21">
        <v>0</v>
      </c>
      <c r="AE9065" s="21">
        <v>0</v>
      </c>
      <c r="AF9065" s="21">
        <v>0</v>
      </c>
      <c r="AG9065" s="21">
        <v>0</v>
      </c>
      <c r="AH9065" s="21">
        <v>128</v>
      </c>
      <c r="AI9065" s="21"/>
      <c r="AJ9065" s="21" t="s">
        <v>51</v>
      </c>
      <c r="AK9065" s="21" t="s">
        <v>95</v>
      </c>
      <c r="AL9065" s="21"/>
      <c r="AM9065" s="21" t="s">
        <v>6098</v>
      </c>
      <c r="AN9065" s="21">
        <v>-122.4382821</v>
      </c>
      <c r="AO9065" s="21">
        <v>37.8006542166667</v>
      </c>
      <c r="AP9065" s="21" t="s">
        <v>951</v>
      </c>
    </row>
    <row r="9066" spans="1:42">
      <c r="A9066" s="20">
        <v>43865</v>
      </c>
      <c r="B9066" s="21">
        <v>2</v>
      </c>
      <c r="C9066" s="21">
        <v>207</v>
      </c>
      <c r="D9066" s="21">
        <v>14657</v>
      </c>
      <c r="E9066" t="s">
        <v>37</v>
      </c>
      <c r="F9066" s="21" t="s">
        <v>436</v>
      </c>
      <c r="G9066" s="21" t="s">
        <v>4270</v>
      </c>
      <c r="H9066" s="21">
        <v>7</v>
      </c>
      <c r="I9066" s="21" t="s">
        <v>4030</v>
      </c>
      <c r="J9066" s="21"/>
      <c r="K9066" s="21" t="s">
        <v>2759</v>
      </c>
      <c r="L9066" s="21"/>
      <c r="M9066" s="21"/>
      <c r="N9066" s="21" t="s">
        <v>44</v>
      </c>
      <c r="O9066" s="21">
        <v>103</v>
      </c>
      <c r="P9066" s="21"/>
      <c r="Q9066" s="21">
        <f t="shared" si="191"/>
        <v>2</v>
      </c>
      <c r="R9066" s="21">
        <v>1</v>
      </c>
      <c r="S9066" s="21">
        <v>0</v>
      </c>
      <c r="T9066" s="21">
        <v>0</v>
      </c>
      <c r="U9066" s="21">
        <v>0</v>
      </c>
      <c r="V9066" s="21">
        <v>2</v>
      </c>
      <c r="W9066" s="21">
        <v>0</v>
      </c>
      <c r="X9066" s="21">
        <v>0</v>
      </c>
      <c r="Y9066" s="21">
        <v>0</v>
      </c>
      <c r="Z9066" s="21">
        <v>0</v>
      </c>
      <c r="AA9066" s="21">
        <v>0</v>
      </c>
      <c r="AB9066" s="21">
        <v>0</v>
      </c>
      <c r="AC9066" s="21">
        <v>0</v>
      </c>
      <c r="AD9066" s="21">
        <v>0</v>
      </c>
      <c r="AE9066" s="21">
        <v>0</v>
      </c>
      <c r="AF9066" s="21">
        <v>0</v>
      </c>
      <c r="AG9066" s="21">
        <v>0</v>
      </c>
      <c r="AH9066" s="21">
        <v>128</v>
      </c>
      <c r="AI9066" s="21"/>
      <c r="AJ9066" s="21" t="s">
        <v>51</v>
      </c>
      <c r="AK9066" s="21" t="s">
        <v>95</v>
      </c>
      <c r="AL9066" s="21"/>
      <c r="AM9066" s="21" t="s">
        <v>6099</v>
      </c>
      <c r="AN9066" s="21">
        <v>-122.43837038333299</v>
      </c>
      <c r="AO9066" s="21">
        <v>37.800640216666601</v>
      </c>
      <c r="AP9066" s="21" t="s">
        <v>951</v>
      </c>
    </row>
    <row r="9067" spans="1:42">
      <c r="A9067" s="20">
        <v>43865</v>
      </c>
      <c r="B9067" s="21">
        <v>2</v>
      </c>
      <c r="C9067" s="21">
        <v>207</v>
      </c>
      <c r="D9067" s="21">
        <v>14657</v>
      </c>
      <c r="E9067" t="s">
        <v>37</v>
      </c>
      <c r="F9067" s="21" t="s">
        <v>436</v>
      </c>
      <c r="G9067" s="21" t="s">
        <v>4270</v>
      </c>
      <c r="H9067" s="21">
        <v>8</v>
      </c>
      <c r="I9067" s="21" t="s">
        <v>4463</v>
      </c>
      <c r="J9067" s="21"/>
      <c r="K9067" s="21" t="s">
        <v>324</v>
      </c>
      <c r="L9067" s="21" t="s">
        <v>114</v>
      </c>
      <c r="M9067" s="21"/>
      <c r="N9067" s="21" t="s">
        <v>40</v>
      </c>
      <c r="O9067" s="21">
        <v>90</v>
      </c>
      <c r="P9067" s="21"/>
      <c r="Q9067" s="21">
        <f t="shared" si="191"/>
        <v>5</v>
      </c>
      <c r="R9067" s="21">
        <v>1</v>
      </c>
      <c r="S9067" s="21">
        <v>0</v>
      </c>
      <c r="T9067" s="21">
        <v>0</v>
      </c>
      <c r="U9067" s="21">
        <v>1</v>
      </c>
      <c r="V9067" s="21">
        <v>2</v>
      </c>
      <c r="W9067" s="21">
        <v>2</v>
      </c>
      <c r="X9067" s="21">
        <v>0</v>
      </c>
      <c r="Y9067" s="21">
        <v>0</v>
      </c>
      <c r="Z9067" s="21">
        <v>0</v>
      </c>
      <c r="AA9067" s="21">
        <v>0</v>
      </c>
      <c r="AB9067" s="21">
        <v>0</v>
      </c>
      <c r="AC9067" s="21">
        <v>0</v>
      </c>
      <c r="AD9067" s="21">
        <v>0</v>
      </c>
      <c r="AE9067" s="21">
        <v>0</v>
      </c>
      <c r="AF9067" s="21">
        <v>0</v>
      </c>
      <c r="AG9067" s="21">
        <v>0</v>
      </c>
      <c r="AH9067" s="21">
        <v>352</v>
      </c>
      <c r="AI9067" s="21"/>
      <c r="AJ9067" s="21" t="s">
        <v>51</v>
      </c>
      <c r="AK9067" s="21" t="s">
        <v>95</v>
      </c>
      <c r="AL9067" s="21"/>
      <c r="AM9067" s="21" t="s">
        <v>6100</v>
      </c>
      <c r="AN9067" s="21">
        <v>-122.43856143333301</v>
      </c>
      <c r="AO9067" s="21">
        <v>37.800567033333301</v>
      </c>
      <c r="AP9067" s="21" t="s">
        <v>951</v>
      </c>
    </row>
    <row r="9068" spans="1:42">
      <c r="A9068" s="20">
        <v>43865</v>
      </c>
      <c r="B9068" s="21">
        <v>2</v>
      </c>
      <c r="C9068" s="21">
        <v>207</v>
      </c>
      <c r="D9068" s="21">
        <v>14657</v>
      </c>
      <c r="E9068" t="s">
        <v>37</v>
      </c>
      <c r="F9068" s="21" t="s">
        <v>436</v>
      </c>
      <c r="G9068" s="21" t="s">
        <v>4270</v>
      </c>
      <c r="H9068" s="21">
        <v>9</v>
      </c>
      <c r="I9068" s="21" t="s">
        <v>6101</v>
      </c>
      <c r="J9068" s="21"/>
      <c r="K9068" s="21" t="s">
        <v>324</v>
      </c>
      <c r="L9068" s="21" t="s">
        <v>114</v>
      </c>
      <c r="M9068" s="21"/>
      <c r="N9068" s="21" t="s">
        <v>40</v>
      </c>
      <c r="O9068" s="21">
        <v>73</v>
      </c>
      <c r="P9068" s="21"/>
      <c r="Q9068" s="21">
        <f t="shared" si="191"/>
        <v>3</v>
      </c>
      <c r="R9068" s="21">
        <v>1</v>
      </c>
      <c r="S9068" s="21">
        <v>0</v>
      </c>
      <c r="T9068" s="21">
        <v>0</v>
      </c>
      <c r="U9068" s="21">
        <v>3</v>
      </c>
      <c r="V9068" s="21">
        <v>0</v>
      </c>
      <c r="W9068" s="21">
        <v>0</v>
      </c>
      <c r="X9068" s="21">
        <v>0</v>
      </c>
      <c r="Y9068" s="21">
        <v>0</v>
      </c>
      <c r="Z9068" s="21">
        <v>0</v>
      </c>
      <c r="AA9068" s="21">
        <v>0</v>
      </c>
      <c r="AB9068" s="21">
        <v>0</v>
      </c>
      <c r="AC9068" s="21">
        <v>0</v>
      </c>
      <c r="AD9068" s="21">
        <v>0</v>
      </c>
      <c r="AE9068" s="21">
        <v>0</v>
      </c>
      <c r="AF9068" s="21">
        <v>0</v>
      </c>
      <c r="AG9068" s="21">
        <v>0</v>
      </c>
      <c r="AH9068" s="21">
        <v>96</v>
      </c>
      <c r="AI9068" s="21"/>
      <c r="AJ9068" s="21" t="s">
        <v>51</v>
      </c>
      <c r="AK9068" s="21" t="s">
        <v>52</v>
      </c>
      <c r="AL9068" s="21"/>
      <c r="AM9068" s="21" t="s">
        <v>6102</v>
      </c>
      <c r="AN9068" s="21">
        <v>-122.438789066667</v>
      </c>
      <c r="AO9068" s="21">
        <v>37.800569833333299</v>
      </c>
      <c r="AP9068" s="21" t="s">
        <v>951</v>
      </c>
    </row>
    <row r="9069" spans="1:42">
      <c r="A9069" s="20">
        <v>43865</v>
      </c>
      <c r="B9069" s="21">
        <v>2</v>
      </c>
      <c r="C9069" s="21">
        <v>207</v>
      </c>
      <c r="D9069" s="21">
        <v>14657</v>
      </c>
      <c r="E9069" t="s">
        <v>37</v>
      </c>
      <c r="F9069" s="21" t="s">
        <v>436</v>
      </c>
      <c r="G9069" s="21" t="s">
        <v>4270</v>
      </c>
      <c r="H9069" s="21">
        <v>10</v>
      </c>
      <c r="I9069" s="21" t="s">
        <v>6103</v>
      </c>
      <c r="J9069" s="21"/>
      <c r="K9069" s="21" t="s">
        <v>324</v>
      </c>
      <c r="L9069" s="21" t="s">
        <v>114</v>
      </c>
      <c r="M9069" s="21"/>
      <c r="N9069" s="21" t="s">
        <v>40</v>
      </c>
      <c r="O9069" s="21">
        <v>74</v>
      </c>
      <c r="P9069" s="21"/>
      <c r="Q9069" s="21">
        <f t="shared" si="191"/>
        <v>3</v>
      </c>
      <c r="R9069" s="21">
        <v>1</v>
      </c>
      <c r="S9069" s="21">
        <v>0</v>
      </c>
      <c r="T9069" s="21">
        <v>0</v>
      </c>
      <c r="U9069" s="21">
        <v>2</v>
      </c>
      <c r="V9069" s="21">
        <v>1</v>
      </c>
      <c r="W9069" s="21">
        <v>0</v>
      </c>
      <c r="X9069" s="21">
        <v>0</v>
      </c>
      <c r="Y9069" s="21">
        <v>0</v>
      </c>
      <c r="Z9069" s="21">
        <v>0</v>
      </c>
      <c r="AA9069" s="21">
        <v>0</v>
      </c>
      <c r="AB9069" s="21">
        <v>0</v>
      </c>
      <c r="AC9069" s="21">
        <v>0</v>
      </c>
      <c r="AD9069" s="21">
        <v>0</v>
      </c>
      <c r="AE9069" s="21">
        <v>0</v>
      </c>
      <c r="AF9069" s="21">
        <v>0</v>
      </c>
      <c r="AG9069" s="21">
        <v>0</v>
      </c>
      <c r="AH9069" s="21">
        <v>128</v>
      </c>
      <c r="AI9069" s="21"/>
      <c r="AJ9069" s="21" t="s">
        <v>51</v>
      </c>
      <c r="AK9069" s="21" t="s">
        <v>52</v>
      </c>
      <c r="AL9069" s="21"/>
      <c r="AM9069" s="21" t="s">
        <v>6104</v>
      </c>
      <c r="AN9069" s="21">
        <v>-122.438833983333</v>
      </c>
      <c r="AO9069" s="21">
        <v>37.8005061</v>
      </c>
      <c r="AP9069" s="21" t="s">
        <v>951</v>
      </c>
    </row>
    <row r="9070" spans="1:42">
      <c r="A9070" s="20">
        <v>43865</v>
      </c>
      <c r="B9070" s="21">
        <v>2</v>
      </c>
      <c r="C9070" s="21">
        <v>207</v>
      </c>
      <c r="D9070" s="21">
        <v>14657</v>
      </c>
      <c r="E9070" t="s">
        <v>37</v>
      </c>
      <c r="F9070" s="21" t="s">
        <v>436</v>
      </c>
      <c r="G9070" s="21" t="s">
        <v>4270</v>
      </c>
      <c r="H9070" s="21">
        <v>11</v>
      </c>
      <c r="I9070" s="21" t="s">
        <v>6105</v>
      </c>
      <c r="J9070" s="21"/>
      <c r="K9070" s="21" t="s">
        <v>324</v>
      </c>
      <c r="L9070" s="21" t="s">
        <v>114</v>
      </c>
      <c r="M9070" s="21"/>
      <c r="N9070" s="21" t="s">
        <v>40</v>
      </c>
      <c r="O9070" s="21">
        <v>23</v>
      </c>
      <c r="P9070" s="21"/>
      <c r="Q9070" s="21">
        <f t="shared" si="191"/>
        <v>1</v>
      </c>
      <c r="R9070" s="21">
        <v>1</v>
      </c>
      <c r="S9070" s="21">
        <v>0</v>
      </c>
      <c r="T9070" s="21">
        <v>0</v>
      </c>
      <c r="U9070" s="21">
        <v>1</v>
      </c>
      <c r="V9070" s="21">
        <v>0</v>
      </c>
      <c r="W9070" s="21">
        <v>0</v>
      </c>
      <c r="X9070" s="21">
        <v>0</v>
      </c>
      <c r="Y9070" s="21">
        <v>0</v>
      </c>
      <c r="Z9070" s="21">
        <v>0</v>
      </c>
      <c r="AA9070" s="21">
        <v>0</v>
      </c>
      <c r="AB9070" s="21">
        <v>0</v>
      </c>
      <c r="AC9070" s="21">
        <v>0</v>
      </c>
      <c r="AD9070" s="21">
        <v>0</v>
      </c>
      <c r="AE9070" s="21">
        <v>0</v>
      </c>
      <c r="AF9070" s="21">
        <v>0</v>
      </c>
      <c r="AG9070" s="21">
        <v>0</v>
      </c>
      <c r="AH9070" s="21">
        <v>32</v>
      </c>
      <c r="AI9070" s="21"/>
      <c r="AJ9070" s="21" t="s">
        <v>3023</v>
      </c>
      <c r="AK9070" s="21" t="s">
        <v>52</v>
      </c>
      <c r="AL9070" s="21"/>
      <c r="AM9070" s="21" t="s">
        <v>6106</v>
      </c>
      <c r="AN9070" s="21">
        <v>-122.43920488333301</v>
      </c>
      <c r="AO9070" s="21">
        <v>37.800528516666702</v>
      </c>
      <c r="AP9070" s="21" t="s">
        <v>951</v>
      </c>
    </row>
    <row r="9071" spans="1:42">
      <c r="A9071" s="20">
        <v>43865</v>
      </c>
      <c r="B9071" s="21">
        <v>2</v>
      </c>
      <c r="C9071" s="21">
        <v>207</v>
      </c>
      <c r="D9071" s="21">
        <v>14657</v>
      </c>
      <c r="E9071" t="s">
        <v>37</v>
      </c>
      <c r="F9071" s="21" t="s">
        <v>436</v>
      </c>
      <c r="G9071" s="21" t="s">
        <v>4270</v>
      </c>
      <c r="H9071" s="21">
        <v>12</v>
      </c>
      <c r="I9071" s="21" t="s">
        <v>6107</v>
      </c>
      <c r="J9071" s="21"/>
      <c r="K9071" s="21" t="s">
        <v>324</v>
      </c>
      <c r="L9071" s="21" t="s">
        <v>114</v>
      </c>
      <c r="M9071" s="21"/>
      <c r="N9071" s="21" t="s">
        <v>40</v>
      </c>
      <c r="O9071" s="21">
        <v>83</v>
      </c>
      <c r="P9071" s="21"/>
      <c r="Q9071" s="21">
        <f t="shared" si="191"/>
        <v>4</v>
      </c>
      <c r="R9071" s="21">
        <v>1</v>
      </c>
      <c r="S9071" s="21">
        <v>0</v>
      </c>
      <c r="T9071" s="21">
        <v>0</v>
      </c>
      <c r="U9071" s="21">
        <v>4</v>
      </c>
      <c r="V9071" s="21">
        <v>0</v>
      </c>
      <c r="W9071" s="21">
        <v>0</v>
      </c>
      <c r="X9071" s="21">
        <v>0</v>
      </c>
      <c r="Y9071" s="21">
        <v>0</v>
      </c>
      <c r="Z9071" s="21">
        <v>0</v>
      </c>
      <c r="AA9071" s="21">
        <v>0</v>
      </c>
      <c r="AB9071" s="21">
        <v>0</v>
      </c>
      <c r="AC9071" s="21">
        <v>0</v>
      </c>
      <c r="AD9071" s="21">
        <v>0</v>
      </c>
      <c r="AE9071" s="21">
        <v>0</v>
      </c>
      <c r="AF9071" s="21">
        <v>0</v>
      </c>
      <c r="AG9071" s="21">
        <v>0</v>
      </c>
      <c r="AH9071" s="21">
        <v>128</v>
      </c>
      <c r="AI9071" s="21"/>
      <c r="AJ9071" s="21" t="s">
        <v>51</v>
      </c>
      <c r="AK9071" s="21" t="s">
        <v>95</v>
      </c>
      <c r="AL9071" s="21"/>
      <c r="AM9071" s="21" t="s">
        <v>6108</v>
      </c>
      <c r="AN9071" s="21">
        <v>-122.441813832924</v>
      </c>
      <c r="AO9071" s="21">
        <v>37.802321882102099</v>
      </c>
      <c r="AP9071" s="21" t="s">
        <v>951</v>
      </c>
    </row>
    <row r="9072" spans="1:42">
      <c r="A9072" s="20">
        <v>43865</v>
      </c>
      <c r="B9072" s="21">
        <v>2</v>
      </c>
      <c r="C9072" s="21">
        <v>207</v>
      </c>
      <c r="D9072" s="21">
        <v>14657</v>
      </c>
      <c r="E9072" t="s">
        <v>37</v>
      </c>
      <c r="F9072" s="21" t="s">
        <v>436</v>
      </c>
      <c r="G9072" s="21" t="s">
        <v>4270</v>
      </c>
      <c r="H9072" s="21">
        <v>13</v>
      </c>
      <c r="I9072" s="21" t="s">
        <v>4466</v>
      </c>
      <c r="J9072" s="21"/>
      <c r="K9072" s="21" t="s">
        <v>324</v>
      </c>
      <c r="L9072" s="21" t="s">
        <v>114</v>
      </c>
      <c r="M9072" s="21"/>
      <c r="N9072" s="21" t="s">
        <v>40</v>
      </c>
      <c r="O9072" s="21">
        <v>21</v>
      </c>
      <c r="P9072" s="21"/>
      <c r="Q9072" s="21">
        <f t="shared" si="191"/>
        <v>1</v>
      </c>
      <c r="R9072" s="21">
        <v>1</v>
      </c>
      <c r="S9072" s="21">
        <v>0</v>
      </c>
      <c r="T9072" s="21">
        <v>0</v>
      </c>
      <c r="U9072" s="21">
        <v>1</v>
      </c>
      <c r="V9072" s="21">
        <v>0</v>
      </c>
      <c r="W9072" s="21">
        <v>0</v>
      </c>
      <c r="X9072" s="21">
        <v>0</v>
      </c>
      <c r="Y9072" s="21">
        <v>0</v>
      </c>
      <c r="Z9072" s="21">
        <v>0</v>
      </c>
      <c r="AA9072" s="21">
        <v>0</v>
      </c>
      <c r="AB9072" s="21">
        <v>0</v>
      </c>
      <c r="AC9072" s="21">
        <v>0</v>
      </c>
      <c r="AD9072" s="21">
        <v>0</v>
      </c>
      <c r="AE9072" s="21">
        <v>0</v>
      </c>
      <c r="AF9072" s="21">
        <v>0</v>
      </c>
      <c r="AG9072" s="21">
        <v>0</v>
      </c>
      <c r="AH9072" s="21">
        <v>32</v>
      </c>
      <c r="AI9072" s="21"/>
      <c r="AJ9072" s="21" t="s">
        <v>51</v>
      </c>
      <c r="AK9072" s="21" t="s">
        <v>95</v>
      </c>
      <c r="AL9072" s="21"/>
      <c r="AM9072" s="21" t="s">
        <v>6109</v>
      </c>
      <c r="AN9072" s="21">
        <v>-122.440041266667</v>
      </c>
      <c r="AO9072" s="21">
        <v>37.8004128166667</v>
      </c>
      <c r="AP9072" s="21" t="s">
        <v>951</v>
      </c>
    </row>
    <row r="9073" spans="1:42">
      <c r="A9073" s="20">
        <v>43865</v>
      </c>
      <c r="B9073" s="21">
        <v>2</v>
      </c>
      <c r="C9073" s="21">
        <v>207</v>
      </c>
      <c r="D9073" s="21">
        <v>14657</v>
      </c>
      <c r="E9073" t="s">
        <v>37</v>
      </c>
      <c r="F9073" s="21" t="s">
        <v>436</v>
      </c>
      <c r="G9073" s="21" t="s">
        <v>4270</v>
      </c>
      <c r="H9073" s="21">
        <v>14</v>
      </c>
      <c r="I9073" s="21" t="s">
        <v>4980</v>
      </c>
      <c r="J9073" s="21"/>
      <c r="K9073" s="21" t="s">
        <v>324</v>
      </c>
      <c r="L9073" s="21" t="s">
        <v>114</v>
      </c>
      <c r="M9073" s="21"/>
      <c r="N9073" s="21"/>
      <c r="O9073" s="21">
        <v>24</v>
      </c>
      <c r="P9073" s="21"/>
      <c r="Q9073" s="21">
        <f t="shared" si="191"/>
        <v>1</v>
      </c>
      <c r="R9073" s="21">
        <v>1</v>
      </c>
      <c r="S9073" s="21">
        <v>0</v>
      </c>
      <c r="T9073" s="21">
        <v>0</v>
      </c>
      <c r="U9073" s="21">
        <v>1</v>
      </c>
      <c r="V9073" s="21">
        <v>0</v>
      </c>
      <c r="W9073" s="21">
        <v>0</v>
      </c>
      <c r="X9073" s="21">
        <v>0</v>
      </c>
      <c r="Y9073" s="21">
        <v>0</v>
      </c>
      <c r="Z9073" s="21">
        <v>0</v>
      </c>
      <c r="AA9073" s="21">
        <v>0</v>
      </c>
      <c r="AB9073" s="21">
        <v>0</v>
      </c>
      <c r="AC9073" s="21">
        <v>0</v>
      </c>
      <c r="AD9073" s="21">
        <v>0</v>
      </c>
      <c r="AE9073" s="21">
        <v>0</v>
      </c>
      <c r="AF9073" s="21">
        <v>0</v>
      </c>
      <c r="AG9073" s="21">
        <v>0</v>
      </c>
      <c r="AH9073" s="21">
        <v>32</v>
      </c>
      <c r="AI9073" s="21"/>
      <c r="AJ9073" s="21" t="s">
        <v>51</v>
      </c>
      <c r="AK9073" s="21" t="s">
        <v>95</v>
      </c>
      <c r="AL9073" s="21"/>
      <c r="AM9073" s="21" t="s">
        <v>6110</v>
      </c>
      <c r="AN9073" s="21">
        <v>-122.44023060000001</v>
      </c>
      <c r="AO9073" s="21">
        <v>37.800400633333297</v>
      </c>
      <c r="AP9073" s="21" t="s">
        <v>951</v>
      </c>
    </row>
    <row r="9074" spans="1:42">
      <c r="A9074" s="20">
        <v>43865</v>
      </c>
      <c r="B9074" s="21">
        <v>2</v>
      </c>
      <c r="C9074" s="21">
        <v>207</v>
      </c>
      <c r="D9074" s="21">
        <v>14657</v>
      </c>
      <c r="E9074" t="s">
        <v>37</v>
      </c>
      <c r="F9074" s="21" t="s">
        <v>436</v>
      </c>
      <c r="G9074" s="21" t="s">
        <v>4270</v>
      </c>
      <c r="H9074" s="21">
        <v>15</v>
      </c>
      <c r="I9074" s="21" t="s">
        <v>2218</v>
      </c>
      <c r="J9074" s="21"/>
      <c r="K9074" s="21" t="s">
        <v>324</v>
      </c>
      <c r="L9074" s="21" t="s">
        <v>114</v>
      </c>
      <c r="M9074" s="21"/>
      <c r="N9074" s="21" t="s">
        <v>40</v>
      </c>
      <c r="O9074" s="21">
        <v>106</v>
      </c>
      <c r="P9074" s="21"/>
      <c r="Q9074" s="21">
        <f t="shared" si="191"/>
        <v>3</v>
      </c>
      <c r="R9074" s="21">
        <v>1</v>
      </c>
      <c r="S9074" s="21">
        <v>0</v>
      </c>
      <c r="T9074" s="21">
        <v>0</v>
      </c>
      <c r="U9074" s="21">
        <v>0</v>
      </c>
      <c r="V9074" s="21">
        <v>3</v>
      </c>
      <c r="W9074" s="21">
        <v>0</v>
      </c>
      <c r="X9074" s="21">
        <v>0</v>
      </c>
      <c r="Y9074" s="21">
        <v>0</v>
      </c>
      <c r="Z9074" s="21">
        <v>0</v>
      </c>
      <c r="AA9074" s="21">
        <v>0</v>
      </c>
      <c r="AB9074" s="21">
        <v>0</v>
      </c>
      <c r="AC9074" s="21">
        <v>0</v>
      </c>
      <c r="AD9074" s="21">
        <v>0</v>
      </c>
      <c r="AE9074" s="21">
        <v>0</v>
      </c>
      <c r="AF9074" s="21">
        <v>0</v>
      </c>
      <c r="AG9074" s="21">
        <v>0</v>
      </c>
      <c r="AH9074" s="21">
        <v>192</v>
      </c>
      <c r="AI9074" s="21"/>
      <c r="AJ9074" s="21" t="s">
        <v>51</v>
      </c>
      <c r="AK9074" s="21" t="s">
        <v>95</v>
      </c>
      <c r="AL9074" s="21"/>
      <c r="AM9074" s="21" t="s">
        <v>6111</v>
      </c>
      <c r="AN9074" s="21">
        <v>-122.44041798333301</v>
      </c>
      <c r="AO9074" s="21">
        <v>37.800361316666702</v>
      </c>
      <c r="AP9074" s="21" t="s">
        <v>951</v>
      </c>
    </row>
    <row r="9075" spans="1:42">
      <c r="A9075" s="20">
        <v>43865</v>
      </c>
      <c r="B9075" s="21">
        <v>2</v>
      </c>
      <c r="C9075" s="21">
        <v>207</v>
      </c>
      <c r="D9075" s="21">
        <v>14657</v>
      </c>
      <c r="E9075" t="s">
        <v>37</v>
      </c>
      <c r="F9075" s="21" t="s">
        <v>436</v>
      </c>
      <c r="G9075" s="21" t="s">
        <v>4270</v>
      </c>
      <c r="H9075" s="21">
        <v>16</v>
      </c>
      <c r="I9075" s="21" t="s">
        <v>2836</v>
      </c>
      <c r="J9075" s="21"/>
      <c r="K9075" s="21" t="s">
        <v>324</v>
      </c>
      <c r="L9075" s="21" t="s">
        <v>114</v>
      </c>
      <c r="M9075" s="21"/>
      <c r="N9075" s="21" t="s">
        <v>40</v>
      </c>
      <c r="O9075" s="21">
        <v>99</v>
      </c>
      <c r="P9075" s="21"/>
      <c r="Q9075" s="21">
        <f t="shared" si="191"/>
        <v>3</v>
      </c>
      <c r="R9075" s="21">
        <v>1</v>
      </c>
      <c r="S9075" s="21">
        <v>0</v>
      </c>
      <c r="T9075" s="21">
        <v>0</v>
      </c>
      <c r="U9075" s="21">
        <v>3</v>
      </c>
      <c r="V9075" s="21">
        <v>0</v>
      </c>
      <c r="W9075" s="21">
        <v>0</v>
      </c>
      <c r="X9075" s="21">
        <v>0</v>
      </c>
      <c r="Y9075" s="21">
        <v>0</v>
      </c>
      <c r="Z9075" s="21">
        <v>0</v>
      </c>
      <c r="AA9075" s="21">
        <v>0</v>
      </c>
      <c r="AB9075" s="21">
        <v>0</v>
      </c>
      <c r="AC9075" s="21">
        <v>0</v>
      </c>
      <c r="AD9075" s="21">
        <v>0</v>
      </c>
      <c r="AE9075" s="21">
        <v>0</v>
      </c>
      <c r="AF9075" s="21">
        <v>0</v>
      </c>
      <c r="AG9075" s="21">
        <v>0</v>
      </c>
      <c r="AH9075" s="21">
        <v>96</v>
      </c>
      <c r="AI9075" s="21"/>
      <c r="AJ9075" s="21" t="s">
        <v>51</v>
      </c>
      <c r="AK9075" s="21" t="s">
        <v>95</v>
      </c>
      <c r="AL9075" s="21"/>
      <c r="AM9075" s="21" t="s">
        <v>6112</v>
      </c>
      <c r="AN9075" s="21">
        <v>-122.4407229</v>
      </c>
      <c r="AO9075" s="21">
        <v>37.8003938833333</v>
      </c>
      <c r="AP9075" s="21" t="s">
        <v>951</v>
      </c>
    </row>
    <row r="9076" spans="1:42">
      <c r="A9076" s="20">
        <v>43865</v>
      </c>
      <c r="B9076" s="21">
        <v>2</v>
      </c>
      <c r="C9076" s="21">
        <v>207</v>
      </c>
      <c r="D9076" s="21">
        <v>14657</v>
      </c>
      <c r="E9076" t="s">
        <v>37</v>
      </c>
      <c r="F9076" s="21" t="s">
        <v>436</v>
      </c>
      <c r="G9076" s="21" t="s">
        <v>4270</v>
      </c>
      <c r="H9076" s="21">
        <v>17</v>
      </c>
      <c r="I9076" s="21" t="s">
        <v>4471</v>
      </c>
      <c r="J9076" s="21"/>
      <c r="K9076" s="21" t="s">
        <v>324</v>
      </c>
      <c r="L9076" s="21" t="s">
        <v>141</v>
      </c>
      <c r="M9076" s="21"/>
      <c r="N9076" s="21" t="s">
        <v>40</v>
      </c>
      <c r="O9076" s="21">
        <v>80</v>
      </c>
      <c r="P9076" s="21"/>
      <c r="Q9076" s="21">
        <f t="shared" si="191"/>
        <v>2</v>
      </c>
      <c r="R9076" s="21">
        <v>1</v>
      </c>
      <c r="S9076" s="21">
        <v>0</v>
      </c>
      <c r="T9076" s="21">
        <v>0</v>
      </c>
      <c r="U9076" s="21">
        <v>0</v>
      </c>
      <c r="V9076" s="21">
        <v>2</v>
      </c>
      <c r="W9076" s="21">
        <v>0</v>
      </c>
      <c r="X9076" s="21">
        <v>0</v>
      </c>
      <c r="Y9076" s="21">
        <v>0</v>
      </c>
      <c r="Z9076" s="21">
        <v>0</v>
      </c>
      <c r="AA9076" s="21">
        <v>0</v>
      </c>
      <c r="AB9076" s="21">
        <v>0</v>
      </c>
      <c r="AC9076" s="21">
        <v>0</v>
      </c>
      <c r="AD9076" s="21">
        <v>0</v>
      </c>
      <c r="AE9076" s="21">
        <v>0</v>
      </c>
      <c r="AF9076" s="21">
        <v>0</v>
      </c>
      <c r="AG9076" s="21">
        <v>0</v>
      </c>
      <c r="AH9076" s="21">
        <v>128</v>
      </c>
      <c r="AI9076" s="21"/>
      <c r="AJ9076" s="21" t="s">
        <v>51</v>
      </c>
      <c r="AK9076" s="21" t="s">
        <v>95</v>
      </c>
      <c r="AL9076" s="21"/>
      <c r="AM9076" s="21" t="s">
        <v>6113</v>
      </c>
      <c r="AN9076" s="21">
        <v>-122.4406664</v>
      </c>
      <c r="AO9076" s="21">
        <v>37.800232016666698</v>
      </c>
      <c r="AP9076" s="21" t="s">
        <v>951</v>
      </c>
    </row>
    <row r="9077" spans="1:42">
      <c r="A9077" s="20">
        <v>43865</v>
      </c>
      <c r="B9077" s="21">
        <v>2</v>
      </c>
      <c r="C9077" s="21">
        <v>207</v>
      </c>
      <c r="D9077" s="21">
        <v>14657</v>
      </c>
      <c r="E9077" t="s">
        <v>37</v>
      </c>
      <c r="F9077" s="21" t="s">
        <v>436</v>
      </c>
      <c r="G9077" s="21" t="s">
        <v>4270</v>
      </c>
      <c r="H9077" s="21">
        <v>18</v>
      </c>
      <c r="I9077" s="21" t="s">
        <v>2998</v>
      </c>
      <c r="J9077" s="21"/>
      <c r="K9077" s="21" t="s">
        <v>324</v>
      </c>
      <c r="L9077" s="21" t="s">
        <v>141</v>
      </c>
      <c r="M9077" s="21"/>
      <c r="N9077" s="21" t="s">
        <v>40</v>
      </c>
      <c r="O9077" s="21">
        <v>68</v>
      </c>
      <c r="P9077" s="21"/>
      <c r="Q9077" s="21">
        <f t="shared" si="191"/>
        <v>3</v>
      </c>
      <c r="R9077" s="21">
        <v>1</v>
      </c>
      <c r="S9077" s="21">
        <v>0</v>
      </c>
      <c r="T9077" s="21">
        <v>0</v>
      </c>
      <c r="U9077" s="21">
        <v>2</v>
      </c>
      <c r="V9077" s="21">
        <v>1</v>
      </c>
      <c r="W9077" s="21">
        <v>0</v>
      </c>
      <c r="X9077" s="21">
        <v>0</v>
      </c>
      <c r="Y9077" s="21">
        <v>0</v>
      </c>
      <c r="Z9077" s="21">
        <v>0</v>
      </c>
      <c r="AA9077" s="21">
        <v>0</v>
      </c>
      <c r="AB9077" s="21">
        <v>0</v>
      </c>
      <c r="AC9077" s="21">
        <v>0</v>
      </c>
      <c r="AD9077" s="21">
        <v>0</v>
      </c>
      <c r="AE9077" s="21">
        <v>0</v>
      </c>
      <c r="AF9077" s="21">
        <v>0</v>
      </c>
      <c r="AG9077" s="21">
        <v>0</v>
      </c>
      <c r="AH9077" s="21">
        <v>128</v>
      </c>
      <c r="AI9077" s="21"/>
      <c r="AJ9077" s="21" t="s">
        <v>51</v>
      </c>
      <c r="AK9077" s="21" t="s">
        <v>95</v>
      </c>
      <c r="AL9077" s="21"/>
      <c r="AM9077" s="21" t="s">
        <v>6114</v>
      </c>
      <c r="AN9077" s="21">
        <v>-122.440350166667</v>
      </c>
      <c r="AO9077" s="21">
        <v>37.800278483333301</v>
      </c>
      <c r="AP9077" s="21" t="s">
        <v>951</v>
      </c>
    </row>
    <row r="9078" spans="1:42">
      <c r="A9078" s="20">
        <v>43865</v>
      </c>
      <c r="B9078" s="21">
        <v>2</v>
      </c>
      <c r="C9078" s="21">
        <v>207</v>
      </c>
      <c r="D9078" s="21">
        <v>14657</v>
      </c>
      <c r="E9078" t="s">
        <v>37</v>
      </c>
      <c r="F9078" s="21" t="s">
        <v>436</v>
      </c>
      <c r="G9078" s="21" t="s">
        <v>4270</v>
      </c>
      <c r="H9078" s="21">
        <v>19</v>
      </c>
      <c r="I9078" s="21" t="s">
        <v>4002</v>
      </c>
      <c r="J9078" s="21"/>
      <c r="K9078" s="21" t="s">
        <v>324</v>
      </c>
      <c r="L9078" s="21" t="s">
        <v>141</v>
      </c>
      <c r="M9078" s="21"/>
      <c r="N9078" s="21" t="s">
        <v>40</v>
      </c>
      <c r="O9078" s="21">
        <v>64</v>
      </c>
      <c r="P9078" s="21"/>
      <c r="Q9078" s="21">
        <f t="shared" si="191"/>
        <v>1</v>
      </c>
      <c r="R9078" s="21">
        <v>1</v>
      </c>
      <c r="S9078" s="21">
        <v>0</v>
      </c>
      <c r="T9078" s="21">
        <v>0</v>
      </c>
      <c r="U9078" s="21">
        <v>0</v>
      </c>
      <c r="V9078" s="21">
        <v>0</v>
      </c>
      <c r="W9078" s="21">
        <v>1</v>
      </c>
      <c r="X9078" s="21">
        <v>0</v>
      </c>
      <c r="Y9078" s="21">
        <v>0</v>
      </c>
      <c r="Z9078" s="21">
        <v>0</v>
      </c>
      <c r="AA9078" s="21">
        <v>0</v>
      </c>
      <c r="AB9078" s="21">
        <v>0</v>
      </c>
      <c r="AC9078" s="21">
        <v>0</v>
      </c>
      <c r="AD9078" s="21">
        <v>0</v>
      </c>
      <c r="AE9078" s="21">
        <v>0</v>
      </c>
      <c r="AF9078" s="21">
        <v>0</v>
      </c>
      <c r="AG9078" s="21">
        <v>0</v>
      </c>
      <c r="AH9078" s="21">
        <v>96</v>
      </c>
      <c r="AI9078" s="21"/>
      <c r="AJ9078" s="21" t="s">
        <v>51</v>
      </c>
      <c r="AK9078" s="21" t="s">
        <v>95</v>
      </c>
      <c r="AL9078" s="21"/>
      <c r="AM9078" s="21" t="s">
        <v>6115</v>
      </c>
      <c r="AN9078" s="21">
        <v>-122.440227966667</v>
      </c>
      <c r="AO9078" s="21">
        <v>37.800286383333301</v>
      </c>
      <c r="AP9078" s="21" t="s">
        <v>951</v>
      </c>
    </row>
    <row r="9079" spans="1:42">
      <c r="A9079" s="20">
        <v>43865</v>
      </c>
      <c r="B9079" s="21">
        <v>2</v>
      </c>
      <c r="C9079" s="21">
        <v>207</v>
      </c>
      <c r="D9079" s="21">
        <v>14657</v>
      </c>
      <c r="E9079" t="s">
        <v>37</v>
      </c>
      <c r="F9079" s="21" t="s">
        <v>436</v>
      </c>
      <c r="G9079" s="21" t="s">
        <v>4270</v>
      </c>
      <c r="H9079" s="21">
        <v>20</v>
      </c>
      <c r="I9079" s="21" t="s">
        <v>4473</v>
      </c>
      <c r="J9079" s="21"/>
      <c r="K9079" s="21" t="s">
        <v>324</v>
      </c>
      <c r="L9079" s="21" t="s">
        <v>141</v>
      </c>
      <c r="M9079" s="21"/>
      <c r="N9079" s="21" t="s">
        <v>40</v>
      </c>
      <c r="O9079" s="21">
        <v>53</v>
      </c>
      <c r="P9079" s="21"/>
      <c r="Q9079" s="21">
        <f t="shared" si="191"/>
        <v>2</v>
      </c>
      <c r="R9079" s="21">
        <v>1</v>
      </c>
      <c r="S9079" s="21">
        <v>0</v>
      </c>
      <c r="T9079" s="21">
        <v>0</v>
      </c>
      <c r="U9079" s="21">
        <v>0</v>
      </c>
      <c r="V9079" s="21">
        <v>1</v>
      </c>
      <c r="W9079" s="21">
        <v>1</v>
      </c>
      <c r="X9079" s="21">
        <v>0</v>
      </c>
      <c r="Y9079" s="21">
        <v>0</v>
      </c>
      <c r="Z9079" s="21">
        <v>0</v>
      </c>
      <c r="AA9079" s="21">
        <v>0</v>
      </c>
      <c r="AB9079" s="21">
        <v>0</v>
      </c>
      <c r="AC9079" s="21">
        <v>0</v>
      </c>
      <c r="AD9079" s="21">
        <v>0</v>
      </c>
      <c r="AE9079" s="21">
        <v>0</v>
      </c>
      <c r="AF9079" s="21">
        <v>0</v>
      </c>
      <c r="AG9079" s="21">
        <v>0</v>
      </c>
      <c r="AH9079" s="21">
        <v>160</v>
      </c>
      <c r="AI9079" s="21"/>
      <c r="AJ9079" s="21" t="s">
        <v>51</v>
      </c>
      <c r="AK9079" s="21" t="s">
        <v>95</v>
      </c>
      <c r="AL9079" s="21"/>
      <c r="AM9079" s="21" t="s">
        <v>6116</v>
      </c>
      <c r="AN9079" s="21">
        <v>-122.44007683333299</v>
      </c>
      <c r="AO9079" s="21">
        <v>37.800317816666698</v>
      </c>
      <c r="AP9079" s="21" t="s">
        <v>951</v>
      </c>
    </row>
    <row r="9080" spans="1:42">
      <c r="A9080" s="20">
        <v>43865</v>
      </c>
      <c r="B9080" s="21">
        <v>2</v>
      </c>
      <c r="C9080" s="21">
        <v>207</v>
      </c>
      <c r="D9080" s="21">
        <v>14657</v>
      </c>
      <c r="E9080" t="s">
        <v>37</v>
      </c>
      <c r="F9080" s="21" t="s">
        <v>436</v>
      </c>
      <c r="G9080" s="21" t="s">
        <v>4270</v>
      </c>
      <c r="H9080" s="21">
        <v>21</v>
      </c>
      <c r="I9080" s="21" t="s">
        <v>2130</v>
      </c>
      <c r="J9080" s="21"/>
      <c r="K9080" s="21" t="s">
        <v>324</v>
      </c>
      <c r="L9080" s="21" t="s">
        <v>141</v>
      </c>
      <c r="M9080" s="21"/>
      <c r="N9080" s="21" t="s">
        <v>40</v>
      </c>
      <c r="O9080" s="21">
        <v>52</v>
      </c>
      <c r="P9080" s="21"/>
      <c r="Q9080" s="21">
        <f t="shared" si="191"/>
        <v>3</v>
      </c>
      <c r="R9080" s="21">
        <v>1</v>
      </c>
      <c r="S9080" s="21">
        <v>0</v>
      </c>
      <c r="T9080" s="21">
        <v>0</v>
      </c>
      <c r="U9080" s="21">
        <v>2</v>
      </c>
      <c r="V9080" s="21">
        <v>1</v>
      </c>
      <c r="W9080" s="21">
        <v>0</v>
      </c>
      <c r="X9080" s="21">
        <v>0</v>
      </c>
      <c r="Y9080" s="21">
        <v>0</v>
      </c>
      <c r="Z9080" s="21">
        <v>0</v>
      </c>
      <c r="AA9080" s="21">
        <v>0</v>
      </c>
      <c r="AB9080" s="21">
        <v>0</v>
      </c>
      <c r="AC9080" s="21">
        <v>0</v>
      </c>
      <c r="AD9080" s="21">
        <v>0</v>
      </c>
      <c r="AE9080" s="21">
        <v>0</v>
      </c>
      <c r="AF9080" s="21">
        <v>0</v>
      </c>
      <c r="AG9080" s="21">
        <v>0</v>
      </c>
      <c r="AH9080" s="21">
        <v>128</v>
      </c>
      <c r="AI9080" s="21"/>
      <c r="AJ9080" s="21" t="s">
        <v>51</v>
      </c>
      <c r="AK9080" s="21" t="s">
        <v>95</v>
      </c>
      <c r="AL9080" s="21"/>
      <c r="AM9080" s="21" t="s">
        <v>6117</v>
      </c>
      <c r="AN9080" s="21">
        <v>-122.439980316667</v>
      </c>
      <c r="AO9080" s="21">
        <v>37.800309200000001</v>
      </c>
      <c r="AP9080" s="21" t="s">
        <v>951</v>
      </c>
    </row>
    <row r="9081" spans="1:42">
      <c r="A9081" s="20">
        <v>43865</v>
      </c>
      <c r="B9081" s="21">
        <v>2</v>
      </c>
      <c r="C9081" s="21">
        <v>207</v>
      </c>
      <c r="D9081" s="21">
        <v>14657</v>
      </c>
      <c r="E9081" t="s">
        <v>37</v>
      </c>
      <c r="F9081" s="21" t="s">
        <v>436</v>
      </c>
      <c r="G9081" s="21" t="s">
        <v>4270</v>
      </c>
      <c r="H9081" s="21">
        <v>22</v>
      </c>
      <c r="I9081" s="21" t="s">
        <v>4476</v>
      </c>
      <c r="J9081" s="21"/>
      <c r="K9081" s="21" t="s">
        <v>324</v>
      </c>
      <c r="L9081" s="21" t="s">
        <v>141</v>
      </c>
      <c r="M9081" s="21"/>
      <c r="N9081" s="21" t="s">
        <v>40</v>
      </c>
      <c r="O9081" s="21">
        <v>52</v>
      </c>
      <c r="P9081" s="21"/>
      <c r="Q9081" s="21">
        <f t="shared" si="191"/>
        <v>3</v>
      </c>
      <c r="R9081" s="21">
        <v>1</v>
      </c>
      <c r="S9081" s="21">
        <v>0</v>
      </c>
      <c r="T9081" s="21">
        <v>0</v>
      </c>
      <c r="U9081" s="21">
        <v>0</v>
      </c>
      <c r="V9081" s="21">
        <v>3</v>
      </c>
      <c r="W9081" s="21">
        <v>0</v>
      </c>
      <c r="X9081" s="21">
        <v>0</v>
      </c>
      <c r="Y9081" s="21">
        <v>0</v>
      </c>
      <c r="Z9081" s="21">
        <v>0</v>
      </c>
      <c r="AA9081" s="21">
        <v>0</v>
      </c>
      <c r="AB9081" s="21">
        <v>0</v>
      </c>
      <c r="AC9081" s="21">
        <v>0</v>
      </c>
      <c r="AD9081" s="21">
        <v>0</v>
      </c>
      <c r="AE9081" s="21">
        <v>0</v>
      </c>
      <c r="AF9081" s="21">
        <v>0</v>
      </c>
      <c r="AG9081" s="21">
        <v>0</v>
      </c>
      <c r="AH9081" s="21">
        <v>192</v>
      </c>
      <c r="AI9081" s="21"/>
      <c r="AJ9081" s="21" t="s">
        <v>51</v>
      </c>
      <c r="AK9081" s="21" t="s">
        <v>95</v>
      </c>
      <c r="AL9081" s="21"/>
      <c r="AM9081" s="21" t="s">
        <v>6118</v>
      </c>
      <c r="AN9081" s="21">
        <v>-122.439853933333</v>
      </c>
      <c r="AO9081" s="21">
        <v>37.800350883333302</v>
      </c>
      <c r="AP9081" s="21" t="s">
        <v>951</v>
      </c>
    </row>
    <row r="9082" spans="1:42">
      <c r="A9082" s="20">
        <v>43865</v>
      </c>
      <c r="B9082" s="21">
        <v>2</v>
      </c>
      <c r="C9082" s="21">
        <v>207</v>
      </c>
      <c r="D9082" s="21">
        <v>14657</v>
      </c>
      <c r="E9082" t="s">
        <v>37</v>
      </c>
      <c r="F9082" s="21" t="s">
        <v>436</v>
      </c>
      <c r="G9082" s="21" t="s">
        <v>4270</v>
      </c>
      <c r="H9082" s="21">
        <v>23</v>
      </c>
      <c r="I9082" s="21" t="s">
        <v>4480</v>
      </c>
      <c r="J9082" s="21"/>
      <c r="K9082" s="21" t="s">
        <v>324</v>
      </c>
      <c r="L9082" s="21" t="s">
        <v>141</v>
      </c>
      <c r="M9082" s="21"/>
      <c r="N9082" s="21" t="s">
        <v>40</v>
      </c>
      <c r="O9082" s="21">
        <v>56</v>
      </c>
      <c r="P9082" s="21"/>
      <c r="Q9082" s="21">
        <f t="shared" si="191"/>
        <v>2</v>
      </c>
      <c r="R9082" s="21">
        <v>1</v>
      </c>
      <c r="S9082" s="21">
        <v>0</v>
      </c>
      <c r="T9082" s="21">
        <v>0</v>
      </c>
      <c r="U9082" s="21">
        <v>0</v>
      </c>
      <c r="V9082" s="21">
        <v>1</v>
      </c>
      <c r="W9082" s="21">
        <v>1</v>
      </c>
      <c r="X9082" s="21">
        <v>0</v>
      </c>
      <c r="Y9082" s="21">
        <v>0</v>
      </c>
      <c r="Z9082" s="21">
        <v>0</v>
      </c>
      <c r="AA9082" s="21">
        <v>0</v>
      </c>
      <c r="AB9082" s="21">
        <v>0</v>
      </c>
      <c r="AC9082" s="21">
        <v>0</v>
      </c>
      <c r="AD9082" s="21">
        <v>0</v>
      </c>
      <c r="AE9082" s="21">
        <v>0</v>
      </c>
      <c r="AF9082" s="21">
        <v>0</v>
      </c>
      <c r="AG9082" s="21">
        <v>0</v>
      </c>
      <c r="AH9082" s="21">
        <v>160</v>
      </c>
      <c r="AI9082" s="21"/>
      <c r="AJ9082" s="21" t="s">
        <v>51</v>
      </c>
      <c r="AK9082" s="21" t="s">
        <v>95</v>
      </c>
      <c r="AL9082" s="21"/>
      <c r="AM9082" s="21" t="s">
        <v>6119</v>
      </c>
      <c r="AN9082" s="21">
        <v>-122.43914119999999</v>
      </c>
      <c r="AO9082" s="21">
        <v>37.800427083333297</v>
      </c>
      <c r="AP9082" s="21" t="s">
        <v>951</v>
      </c>
    </row>
    <row r="9083" spans="1:42">
      <c r="A9083" s="20">
        <v>43865</v>
      </c>
      <c r="B9083" s="21">
        <v>2</v>
      </c>
      <c r="C9083" s="21">
        <v>207</v>
      </c>
      <c r="D9083" s="21">
        <v>14657</v>
      </c>
      <c r="E9083" t="s">
        <v>37</v>
      </c>
      <c r="F9083" s="21" t="s">
        <v>436</v>
      </c>
      <c r="G9083" s="21" t="s">
        <v>4270</v>
      </c>
      <c r="H9083" s="21">
        <v>24</v>
      </c>
      <c r="I9083" s="21" t="s">
        <v>6120</v>
      </c>
      <c r="J9083" s="21"/>
      <c r="K9083" s="21" t="s">
        <v>324</v>
      </c>
      <c r="L9083" s="21" t="s">
        <v>141</v>
      </c>
      <c r="M9083" s="21"/>
      <c r="N9083" s="21" t="s">
        <v>40</v>
      </c>
      <c r="O9083" s="21">
        <v>98</v>
      </c>
      <c r="P9083" s="21"/>
      <c r="Q9083" s="21">
        <f t="shared" si="191"/>
        <v>4</v>
      </c>
      <c r="R9083" s="21">
        <v>1</v>
      </c>
      <c r="S9083" s="21">
        <v>0</v>
      </c>
      <c r="T9083" s="21">
        <v>0</v>
      </c>
      <c r="U9083" s="21">
        <v>0</v>
      </c>
      <c r="V9083" s="21">
        <v>0</v>
      </c>
      <c r="W9083" s="21">
        <v>4</v>
      </c>
      <c r="X9083" s="21">
        <v>0</v>
      </c>
      <c r="Y9083" s="21">
        <v>0</v>
      </c>
      <c r="Z9083" s="21">
        <v>0</v>
      </c>
      <c r="AA9083" s="21">
        <v>0</v>
      </c>
      <c r="AB9083" s="21">
        <v>0</v>
      </c>
      <c r="AC9083" s="21">
        <v>0</v>
      </c>
      <c r="AD9083" s="21">
        <v>0</v>
      </c>
      <c r="AE9083" s="21">
        <v>0</v>
      </c>
      <c r="AF9083" s="21">
        <v>0</v>
      </c>
      <c r="AG9083" s="21">
        <v>0</v>
      </c>
      <c r="AH9083" s="21">
        <v>384</v>
      </c>
      <c r="AI9083" s="21"/>
      <c r="AJ9083" s="21" t="s">
        <v>6121</v>
      </c>
      <c r="AK9083" s="21" t="s">
        <v>95</v>
      </c>
      <c r="AL9083" s="21"/>
      <c r="AM9083" s="21" t="s">
        <v>6122</v>
      </c>
      <c r="AN9083" s="21">
        <v>-122.438786833333</v>
      </c>
      <c r="AO9083" s="21">
        <v>37.800463216666699</v>
      </c>
      <c r="AP9083" s="21" t="s">
        <v>951</v>
      </c>
    </row>
    <row r="9084" spans="1:42">
      <c r="A9084" s="20">
        <v>43865</v>
      </c>
      <c r="B9084" s="21">
        <v>2</v>
      </c>
      <c r="C9084" s="21">
        <v>207</v>
      </c>
      <c r="D9084" s="21">
        <v>14657</v>
      </c>
      <c r="E9084" t="s">
        <v>37</v>
      </c>
      <c r="F9084" s="21" t="s">
        <v>436</v>
      </c>
      <c r="G9084" s="21" t="s">
        <v>4270</v>
      </c>
      <c r="H9084" s="21">
        <v>25</v>
      </c>
      <c r="I9084" s="21" t="s">
        <v>2192</v>
      </c>
      <c r="J9084" s="21"/>
      <c r="K9084" s="21" t="s">
        <v>324</v>
      </c>
      <c r="L9084" s="21" t="s">
        <v>114</v>
      </c>
      <c r="M9084" s="21"/>
      <c r="N9084" s="21" t="s">
        <v>40</v>
      </c>
      <c r="O9084" s="21">
        <v>87</v>
      </c>
      <c r="P9084" s="21"/>
      <c r="Q9084" s="21">
        <f t="shared" si="191"/>
        <v>4</v>
      </c>
      <c r="R9084" s="21">
        <v>1</v>
      </c>
      <c r="S9084" s="21">
        <v>0</v>
      </c>
      <c r="T9084" s="21">
        <v>0</v>
      </c>
      <c r="U9084" s="21">
        <v>0</v>
      </c>
      <c r="V9084" s="21">
        <v>1</v>
      </c>
      <c r="W9084" s="21">
        <v>3</v>
      </c>
      <c r="X9084" s="21">
        <v>0</v>
      </c>
      <c r="Y9084" s="21">
        <v>0</v>
      </c>
      <c r="Z9084" s="21">
        <v>0</v>
      </c>
      <c r="AA9084" s="21">
        <v>0</v>
      </c>
      <c r="AB9084" s="21">
        <v>0</v>
      </c>
      <c r="AC9084" s="21">
        <v>0</v>
      </c>
      <c r="AD9084" s="21">
        <v>0</v>
      </c>
      <c r="AE9084" s="21">
        <v>0</v>
      </c>
      <c r="AF9084" s="21">
        <v>0</v>
      </c>
      <c r="AG9084" s="21">
        <v>0</v>
      </c>
      <c r="AH9084" s="21">
        <v>352</v>
      </c>
      <c r="AI9084" s="21"/>
      <c r="AJ9084" s="21" t="s">
        <v>51</v>
      </c>
      <c r="AK9084" s="21" t="s">
        <v>95</v>
      </c>
      <c r="AL9084" s="21"/>
      <c r="AM9084" s="21" t="s">
        <v>6123</v>
      </c>
      <c r="AN9084" s="21">
        <v>-122.438496566667</v>
      </c>
      <c r="AO9084" s="21">
        <v>37.800482383333303</v>
      </c>
      <c r="AP9084" s="21" t="s">
        <v>951</v>
      </c>
    </row>
    <row r="9085" spans="1:42">
      <c r="A9085" s="20">
        <v>43865</v>
      </c>
      <c r="B9085" s="21">
        <v>2</v>
      </c>
      <c r="C9085" s="21">
        <v>207</v>
      </c>
      <c r="D9085" s="21">
        <v>14657</v>
      </c>
      <c r="E9085" t="s">
        <v>37</v>
      </c>
      <c r="F9085" s="21" t="s">
        <v>436</v>
      </c>
      <c r="G9085" s="21" t="s">
        <v>4270</v>
      </c>
      <c r="H9085" s="21">
        <v>26</v>
      </c>
      <c r="I9085" s="21" t="s">
        <v>4485</v>
      </c>
      <c r="J9085" s="21"/>
      <c r="K9085" s="21" t="s">
        <v>324</v>
      </c>
      <c r="L9085" s="21" t="s">
        <v>141</v>
      </c>
      <c r="M9085" s="21"/>
      <c r="N9085" s="21" t="s">
        <v>40</v>
      </c>
      <c r="O9085" s="21">
        <v>31</v>
      </c>
      <c r="P9085" s="21"/>
      <c r="Q9085" s="21">
        <f t="shared" si="191"/>
        <v>1</v>
      </c>
      <c r="R9085" s="21">
        <v>1</v>
      </c>
      <c r="S9085" s="21">
        <v>0</v>
      </c>
      <c r="T9085" s="21">
        <v>0</v>
      </c>
      <c r="U9085" s="21">
        <v>0</v>
      </c>
      <c r="V9085" s="21">
        <v>1</v>
      </c>
      <c r="W9085" s="21">
        <v>0</v>
      </c>
      <c r="X9085" s="21">
        <v>0</v>
      </c>
      <c r="Y9085" s="21">
        <v>0</v>
      </c>
      <c r="Z9085" s="21">
        <v>0</v>
      </c>
      <c r="AA9085" s="21">
        <v>0</v>
      </c>
      <c r="AB9085" s="21">
        <v>0</v>
      </c>
      <c r="AC9085" s="21">
        <v>0</v>
      </c>
      <c r="AD9085" s="21">
        <v>0</v>
      </c>
      <c r="AE9085" s="21">
        <v>0</v>
      </c>
      <c r="AF9085" s="21">
        <v>0</v>
      </c>
      <c r="AG9085" s="21">
        <v>0</v>
      </c>
      <c r="AH9085" s="21">
        <v>64</v>
      </c>
      <c r="AI9085" s="21"/>
      <c r="AJ9085" s="21" t="s">
        <v>51</v>
      </c>
      <c r="AK9085" s="21" t="s">
        <v>95</v>
      </c>
      <c r="AL9085" s="21"/>
      <c r="AM9085" s="21" t="s">
        <v>6124</v>
      </c>
      <c r="AN9085" s="21">
        <v>-122.438139366667</v>
      </c>
      <c r="AO9085" s="21">
        <v>37.800600383333297</v>
      </c>
      <c r="AP9085" s="21" t="s">
        <v>951</v>
      </c>
    </row>
    <row r="9086" spans="1:42">
      <c r="A9086" s="20">
        <v>43865</v>
      </c>
      <c r="B9086" s="21">
        <v>2</v>
      </c>
      <c r="C9086" s="21">
        <v>207</v>
      </c>
      <c r="D9086" s="21">
        <v>14657</v>
      </c>
      <c r="E9086" t="s">
        <v>37</v>
      </c>
      <c r="F9086" s="21" t="s">
        <v>436</v>
      </c>
      <c r="G9086" s="21" t="s">
        <v>4270</v>
      </c>
      <c r="H9086" s="21">
        <v>27</v>
      </c>
      <c r="I9086" s="21" t="s">
        <v>4009</v>
      </c>
      <c r="J9086" s="21"/>
      <c r="K9086" s="21" t="s">
        <v>324</v>
      </c>
      <c r="L9086" s="21" t="s">
        <v>141</v>
      </c>
      <c r="M9086" s="21"/>
      <c r="N9086" s="21" t="s">
        <v>40</v>
      </c>
      <c r="O9086" s="21">
        <v>103</v>
      </c>
      <c r="P9086" s="21"/>
      <c r="Q9086" s="21">
        <f t="shared" si="191"/>
        <v>4</v>
      </c>
      <c r="R9086" s="21">
        <v>1</v>
      </c>
      <c r="S9086" s="21">
        <v>0</v>
      </c>
      <c r="T9086" s="21">
        <v>0</v>
      </c>
      <c r="U9086" s="21">
        <v>3</v>
      </c>
      <c r="V9086" s="21">
        <v>0</v>
      </c>
      <c r="W9086" s="21">
        <v>0</v>
      </c>
      <c r="X9086" s="21">
        <v>1</v>
      </c>
      <c r="Y9086" s="21">
        <v>0</v>
      </c>
      <c r="Z9086" s="21">
        <v>0</v>
      </c>
      <c r="AA9086" s="21">
        <v>0</v>
      </c>
      <c r="AB9086" s="21">
        <v>0</v>
      </c>
      <c r="AC9086" s="21">
        <v>0</v>
      </c>
      <c r="AD9086" s="21">
        <v>0</v>
      </c>
      <c r="AE9086" s="21">
        <v>0</v>
      </c>
      <c r="AF9086" s="21">
        <v>0</v>
      </c>
      <c r="AG9086" s="21">
        <v>0</v>
      </c>
      <c r="AH9086" s="21">
        <v>128</v>
      </c>
      <c r="AI9086" s="21"/>
      <c r="AJ9086" s="21" t="s">
        <v>51</v>
      </c>
      <c r="AK9086" s="21" t="s">
        <v>95</v>
      </c>
      <c r="AL9086" s="21"/>
      <c r="AM9086" s="21" t="s">
        <v>6125</v>
      </c>
      <c r="AN9086" s="21">
        <v>-122.437802866667</v>
      </c>
      <c r="AO9086" s="21">
        <v>37.800621766666701</v>
      </c>
      <c r="AP9086" s="21" t="s">
        <v>951</v>
      </c>
    </row>
    <row r="9087" spans="1:42">
      <c r="A9087" s="20">
        <v>43865</v>
      </c>
      <c r="B9087" s="21">
        <v>2</v>
      </c>
      <c r="C9087" s="21">
        <v>207</v>
      </c>
      <c r="D9087" s="21">
        <v>14657</v>
      </c>
      <c r="E9087" t="s">
        <v>37</v>
      </c>
      <c r="F9087" s="21" t="s">
        <v>436</v>
      </c>
      <c r="G9087" s="21" t="s">
        <v>4270</v>
      </c>
      <c r="H9087" s="21">
        <v>28</v>
      </c>
      <c r="I9087" s="21" t="s">
        <v>2892</v>
      </c>
      <c r="J9087" s="21"/>
      <c r="K9087" s="21" t="s">
        <v>324</v>
      </c>
      <c r="L9087" s="21" t="s">
        <v>141</v>
      </c>
      <c r="M9087" s="21"/>
      <c r="N9087" s="21" t="s">
        <v>40</v>
      </c>
      <c r="O9087" s="21">
        <v>94</v>
      </c>
      <c r="P9087" s="21"/>
      <c r="Q9087" s="21">
        <f t="shared" si="191"/>
        <v>4</v>
      </c>
      <c r="R9087" s="21">
        <v>1</v>
      </c>
      <c r="S9087" s="21">
        <v>0</v>
      </c>
      <c r="T9087" s="21">
        <v>0</v>
      </c>
      <c r="U9087" s="21">
        <v>0</v>
      </c>
      <c r="V9087" s="21">
        <v>2</v>
      </c>
      <c r="W9087" s="21">
        <v>2</v>
      </c>
      <c r="X9087" s="21">
        <v>0</v>
      </c>
      <c r="Y9087" s="21">
        <v>0</v>
      </c>
      <c r="Z9087" s="21">
        <v>0</v>
      </c>
      <c r="AA9087" s="21">
        <v>0</v>
      </c>
      <c r="AB9087" s="21">
        <v>0</v>
      </c>
      <c r="AC9087" s="21">
        <v>0</v>
      </c>
      <c r="AD9087" s="21">
        <v>0</v>
      </c>
      <c r="AE9087" s="21">
        <v>0</v>
      </c>
      <c r="AF9087" s="21">
        <v>0</v>
      </c>
      <c r="AG9087" s="21">
        <v>0</v>
      </c>
      <c r="AH9087" s="21">
        <v>320</v>
      </c>
      <c r="AI9087" s="21"/>
      <c r="AJ9087" s="21" t="s">
        <v>51</v>
      </c>
      <c r="AK9087" s="21" t="s">
        <v>95</v>
      </c>
      <c r="AL9087" s="21"/>
      <c r="AM9087" s="21" t="s">
        <v>6126</v>
      </c>
      <c r="AN9087" s="21">
        <v>-122.437504816667</v>
      </c>
      <c r="AO9087" s="21">
        <v>37.800625983333298</v>
      </c>
      <c r="AP9087" s="21" t="s">
        <v>951</v>
      </c>
    </row>
    <row r="9088" spans="1:42">
      <c r="A9088" s="20">
        <v>43865</v>
      </c>
      <c r="B9088" s="21">
        <v>2</v>
      </c>
      <c r="C9088" s="21">
        <v>207</v>
      </c>
      <c r="D9088" s="21">
        <v>14657</v>
      </c>
      <c r="E9088" t="s">
        <v>37</v>
      </c>
      <c r="F9088" s="21" t="s">
        <v>436</v>
      </c>
      <c r="G9088" s="21" t="s">
        <v>4270</v>
      </c>
      <c r="H9088" s="21">
        <v>29</v>
      </c>
      <c r="I9088" s="21" t="s">
        <v>4084</v>
      </c>
      <c r="J9088" s="21"/>
      <c r="K9088" s="21" t="s">
        <v>324</v>
      </c>
      <c r="L9088" s="21" t="s">
        <v>141</v>
      </c>
      <c r="M9088" s="21"/>
      <c r="N9088" s="21" t="s">
        <v>40</v>
      </c>
      <c r="O9088" s="21">
        <v>22</v>
      </c>
      <c r="P9088" s="21"/>
      <c r="Q9088" s="21">
        <f t="shared" si="191"/>
        <v>1</v>
      </c>
      <c r="R9088" s="21">
        <v>1</v>
      </c>
      <c r="S9088" s="21">
        <v>0</v>
      </c>
      <c r="T9088" s="21">
        <v>0</v>
      </c>
      <c r="U9088" s="21">
        <v>0</v>
      </c>
      <c r="V9088" s="21">
        <v>1</v>
      </c>
      <c r="W9088" s="21">
        <v>0</v>
      </c>
      <c r="X9088" s="21">
        <v>0</v>
      </c>
      <c r="Y9088" s="21">
        <v>0</v>
      </c>
      <c r="Z9088" s="21">
        <v>0</v>
      </c>
      <c r="AA9088" s="21">
        <v>0</v>
      </c>
      <c r="AB9088" s="21">
        <v>0</v>
      </c>
      <c r="AC9088" s="21">
        <v>0</v>
      </c>
      <c r="AD9088" s="21">
        <v>0</v>
      </c>
      <c r="AE9088" s="21">
        <v>0</v>
      </c>
      <c r="AF9088" s="21">
        <v>0</v>
      </c>
      <c r="AG9088" s="21">
        <v>0</v>
      </c>
      <c r="AH9088" s="21">
        <v>64</v>
      </c>
      <c r="AI9088" s="21"/>
      <c r="AJ9088" s="21" t="s">
        <v>51</v>
      </c>
      <c r="AK9088" s="21" t="s">
        <v>95</v>
      </c>
      <c r="AL9088" s="21"/>
      <c r="AM9088" s="21" t="s">
        <v>6127</v>
      </c>
      <c r="AN9088" s="21">
        <v>-122.437009683333</v>
      </c>
      <c r="AO9088" s="21">
        <v>37.800750033333301</v>
      </c>
      <c r="AP9088" s="21" t="s">
        <v>951</v>
      </c>
    </row>
    <row r="9089" spans="1:42">
      <c r="A9089" s="20">
        <v>43865</v>
      </c>
      <c r="B9089" s="21">
        <v>2</v>
      </c>
      <c r="C9089" s="21">
        <v>207</v>
      </c>
      <c r="D9089" s="21">
        <v>14657</v>
      </c>
      <c r="E9089" t="s">
        <v>37</v>
      </c>
      <c r="F9089" s="21" t="s">
        <v>436</v>
      </c>
      <c r="G9089" s="21" t="s">
        <v>4270</v>
      </c>
      <c r="H9089" s="21">
        <v>30</v>
      </c>
      <c r="I9089" s="21" t="s">
        <v>4491</v>
      </c>
      <c r="J9089" s="21"/>
      <c r="K9089" s="21" t="s">
        <v>909</v>
      </c>
      <c r="L9089" s="21" t="s">
        <v>141</v>
      </c>
      <c r="M9089" s="21"/>
      <c r="N9089" s="21" t="s">
        <v>40</v>
      </c>
      <c r="O9089" s="21">
        <v>64</v>
      </c>
      <c r="P9089" s="21"/>
      <c r="Q9089" s="21">
        <f t="shared" si="191"/>
        <v>4</v>
      </c>
      <c r="R9089" s="21">
        <v>1</v>
      </c>
      <c r="S9089" s="21">
        <v>0</v>
      </c>
      <c r="T9089" s="21">
        <v>0</v>
      </c>
      <c r="U9089" s="21">
        <v>0</v>
      </c>
      <c r="V9089" s="21">
        <v>3</v>
      </c>
      <c r="W9089" s="21">
        <v>1</v>
      </c>
      <c r="X9089" s="21">
        <v>0</v>
      </c>
      <c r="Y9089" s="21">
        <v>0</v>
      </c>
      <c r="Z9089" s="21">
        <v>0</v>
      </c>
      <c r="AA9089" s="21">
        <v>0</v>
      </c>
      <c r="AB9089" s="21">
        <v>0</v>
      </c>
      <c r="AC9089" s="21">
        <v>0</v>
      </c>
      <c r="AD9089" s="21">
        <v>0</v>
      </c>
      <c r="AE9089" s="21">
        <v>0</v>
      </c>
      <c r="AF9089" s="21">
        <v>0</v>
      </c>
      <c r="AG9089" s="21">
        <v>0</v>
      </c>
      <c r="AH9089" s="21">
        <v>288</v>
      </c>
      <c r="AI9089" s="21"/>
      <c r="AJ9089" s="21" t="s">
        <v>51</v>
      </c>
      <c r="AK9089" s="21" t="s">
        <v>95</v>
      </c>
      <c r="AL9089" s="21"/>
      <c r="AM9089" s="21" t="s">
        <v>6128</v>
      </c>
      <c r="AN9089" s="21">
        <v>-122.436195466667</v>
      </c>
      <c r="AO9089" s="21">
        <v>37.800492033333299</v>
      </c>
      <c r="AP9089" s="21" t="s">
        <v>951</v>
      </c>
    </row>
    <row r="9090" spans="1:42">
      <c r="A9090" s="20">
        <v>43865</v>
      </c>
      <c r="B9090" s="21">
        <v>2</v>
      </c>
      <c r="C9090" s="21">
        <v>207</v>
      </c>
      <c r="D9090" s="21">
        <v>14657</v>
      </c>
      <c r="E9090" t="s">
        <v>37</v>
      </c>
      <c r="F9090" s="21" t="s">
        <v>436</v>
      </c>
      <c r="G9090" s="21" t="s">
        <v>4270</v>
      </c>
      <c r="H9090" s="21">
        <v>31</v>
      </c>
      <c r="I9090" s="21" t="s">
        <v>6089</v>
      </c>
      <c r="J9090" s="21"/>
      <c r="K9090" s="21" t="s">
        <v>113</v>
      </c>
      <c r="L9090" s="21" t="s">
        <v>114</v>
      </c>
      <c r="M9090" s="21"/>
      <c r="N9090" s="21" t="s">
        <v>40</v>
      </c>
      <c r="O9090" s="21">
        <v>57</v>
      </c>
      <c r="P9090" s="21"/>
      <c r="Q9090" s="21">
        <f t="shared" si="191"/>
        <v>3</v>
      </c>
      <c r="R9090" s="21">
        <v>1</v>
      </c>
      <c r="S9090" s="21">
        <v>0</v>
      </c>
      <c r="T9090" s="21">
        <v>0</v>
      </c>
      <c r="U9090" s="21">
        <v>3</v>
      </c>
      <c r="V9090" s="21">
        <v>0</v>
      </c>
      <c r="W9090" s="21">
        <v>0</v>
      </c>
      <c r="X9090" s="21">
        <v>0</v>
      </c>
      <c r="Y9090" s="21">
        <v>0</v>
      </c>
      <c r="Z9090" s="21">
        <v>0</v>
      </c>
      <c r="AA9090" s="21">
        <v>0</v>
      </c>
      <c r="AB9090" s="21">
        <v>0</v>
      </c>
      <c r="AC9090" s="21">
        <v>0</v>
      </c>
      <c r="AD9090" s="21">
        <v>0</v>
      </c>
      <c r="AE9090" s="21">
        <v>0</v>
      </c>
      <c r="AF9090" s="21">
        <v>0</v>
      </c>
      <c r="AG9090" s="21">
        <v>0</v>
      </c>
      <c r="AH9090" s="21">
        <v>96</v>
      </c>
      <c r="AI9090" s="21"/>
      <c r="AJ9090" s="21" t="s">
        <v>51</v>
      </c>
      <c r="AK9090" s="21" t="s">
        <v>95</v>
      </c>
      <c r="AL9090" s="21"/>
      <c r="AM9090" s="21" t="s">
        <v>6129</v>
      </c>
      <c r="AN9090" s="21">
        <v>-122.437857833333</v>
      </c>
      <c r="AO9090" s="21">
        <v>37.800128549999997</v>
      </c>
      <c r="AP9090" s="21" t="s">
        <v>951</v>
      </c>
    </row>
    <row r="9091" spans="1:42">
      <c r="A9091" s="20">
        <v>43865</v>
      </c>
      <c r="B9091" s="21">
        <v>2</v>
      </c>
      <c r="C9091" s="21">
        <v>207</v>
      </c>
      <c r="D9091" s="21">
        <v>14657</v>
      </c>
      <c r="E9091" t="s">
        <v>37</v>
      </c>
      <c r="F9091" s="21" t="s">
        <v>436</v>
      </c>
      <c r="G9091" s="21" t="s">
        <v>4270</v>
      </c>
      <c r="H9091" s="21">
        <v>32</v>
      </c>
      <c r="I9091" s="21" t="s">
        <v>4452</v>
      </c>
      <c r="J9091" s="21"/>
      <c r="K9091" s="21" t="s">
        <v>113</v>
      </c>
      <c r="L9091" s="21" t="s">
        <v>114</v>
      </c>
      <c r="M9091" s="21"/>
      <c r="N9091" s="21" t="s">
        <v>40</v>
      </c>
      <c r="O9091" s="21">
        <v>98</v>
      </c>
      <c r="P9091" s="21"/>
      <c r="Q9091" s="21">
        <f t="shared" si="191"/>
        <v>3</v>
      </c>
      <c r="R9091" s="21">
        <v>1</v>
      </c>
      <c r="S9091" s="21">
        <v>0</v>
      </c>
      <c r="T9091" s="21">
        <v>0</v>
      </c>
      <c r="U9091" s="21">
        <v>0</v>
      </c>
      <c r="V9091" s="21">
        <v>2</v>
      </c>
      <c r="W9091" s="21">
        <v>1</v>
      </c>
      <c r="X9091" s="21">
        <v>0</v>
      </c>
      <c r="Y9091" s="21">
        <v>0</v>
      </c>
      <c r="Z9091" s="21">
        <v>0</v>
      </c>
      <c r="AA9091" s="21">
        <v>0</v>
      </c>
      <c r="AB9091" s="21">
        <v>0</v>
      </c>
      <c r="AC9091" s="21">
        <v>0</v>
      </c>
      <c r="AD9091" s="21">
        <v>0</v>
      </c>
      <c r="AE9091" s="21">
        <v>0</v>
      </c>
      <c r="AF9091" s="21">
        <v>0</v>
      </c>
      <c r="AG9091" s="21">
        <v>0</v>
      </c>
      <c r="AH9091" s="21">
        <v>224</v>
      </c>
      <c r="AI9091" s="21"/>
      <c r="AJ9091" s="21" t="s">
        <v>51</v>
      </c>
      <c r="AK9091" s="21" t="s">
        <v>95</v>
      </c>
      <c r="AL9091" s="21"/>
      <c r="AM9091" s="21" t="s">
        <v>6130</v>
      </c>
      <c r="AN9091" s="21">
        <v>-122.4378103</v>
      </c>
      <c r="AO9091" s="21">
        <v>37.800315266666701</v>
      </c>
      <c r="AP9091" s="21" t="s">
        <v>951</v>
      </c>
    </row>
    <row r="9092" spans="1:42">
      <c r="A9092" s="20">
        <v>43865</v>
      </c>
      <c r="B9092" s="21">
        <v>2</v>
      </c>
      <c r="C9092" s="21">
        <v>207</v>
      </c>
      <c r="D9092" s="21">
        <v>14657</v>
      </c>
      <c r="E9092" t="s">
        <v>37</v>
      </c>
      <c r="F9092" s="21" t="s">
        <v>436</v>
      </c>
      <c r="G9092" s="21" t="s">
        <v>4270</v>
      </c>
      <c r="H9092" s="21">
        <v>33</v>
      </c>
      <c r="I9092" s="21" t="s">
        <v>4505</v>
      </c>
      <c r="J9092" s="21"/>
      <c r="K9092" s="21" t="s">
        <v>113</v>
      </c>
      <c r="L9092" s="21" t="s">
        <v>114</v>
      </c>
      <c r="M9092" s="21"/>
      <c r="N9092" s="21" t="s">
        <v>40</v>
      </c>
      <c r="O9092" s="21">
        <v>33</v>
      </c>
      <c r="P9092" s="21"/>
      <c r="Q9092" s="21">
        <f t="shared" si="191"/>
        <v>2</v>
      </c>
      <c r="R9092" s="21">
        <v>1</v>
      </c>
      <c r="S9092" s="21">
        <v>0</v>
      </c>
      <c r="T9092" s="21">
        <v>0</v>
      </c>
      <c r="U9092" s="21">
        <v>0</v>
      </c>
      <c r="V9092" s="21">
        <v>1</v>
      </c>
      <c r="W9092" s="21">
        <v>1</v>
      </c>
      <c r="X9092" s="21">
        <v>0</v>
      </c>
      <c r="Y9092" s="21">
        <v>0</v>
      </c>
      <c r="Z9092" s="21">
        <v>0</v>
      </c>
      <c r="AA9092" s="21">
        <v>0</v>
      </c>
      <c r="AB9092" s="21">
        <v>0</v>
      </c>
      <c r="AC9092" s="21">
        <v>0</v>
      </c>
      <c r="AD9092" s="21">
        <v>0</v>
      </c>
      <c r="AE9092" s="21">
        <v>0</v>
      </c>
      <c r="AF9092" s="21">
        <v>0</v>
      </c>
      <c r="AG9092" s="21">
        <v>0</v>
      </c>
      <c r="AH9092" s="21">
        <v>160</v>
      </c>
      <c r="AI9092" s="21"/>
      <c r="AJ9092" s="21" t="s">
        <v>51</v>
      </c>
      <c r="AK9092" s="21" t="s">
        <v>95</v>
      </c>
      <c r="AL9092" s="21"/>
      <c r="AM9092" s="21" t="s">
        <v>6131</v>
      </c>
      <c r="AN9092" s="21">
        <v>-122.437838933333</v>
      </c>
      <c r="AO9092" s="21">
        <v>37.8004270333333</v>
      </c>
      <c r="AP9092" s="21" t="s">
        <v>951</v>
      </c>
    </row>
    <row r="9093" spans="1:42">
      <c r="A9093" s="20">
        <v>43865</v>
      </c>
      <c r="B9093" s="21">
        <v>2</v>
      </c>
      <c r="C9093" s="21">
        <v>207</v>
      </c>
      <c r="D9093" s="21">
        <v>14657</v>
      </c>
      <c r="E9093" t="s">
        <v>37</v>
      </c>
      <c r="F9093" s="21" t="s">
        <v>436</v>
      </c>
      <c r="G9093" s="21" t="s">
        <v>4270</v>
      </c>
      <c r="H9093" s="21">
        <v>34</v>
      </c>
      <c r="I9093" s="21" t="s">
        <v>6132</v>
      </c>
      <c r="J9093" s="21"/>
      <c r="K9093" s="21" t="s">
        <v>192</v>
      </c>
      <c r="L9093" s="21" t="s">
        <v>141</v>
      </c>
      <c r="M9093" s="21"/>
      <c r="N9093" s="21" t="s">
        <v>40</v>
      </c>
      <c r="O9093" s="21">
        <v>98</v>
      </c>
      <c r="P9093" s="21"/>
      <c r="Q9093" s="21">
        <f t="shared" si="191"/>
        <v>7</v>
      </c>
      <c r="R9093" s="21">
        <v>1</v>
      </c>
      <c r="S9093" s="21">
        <v>0</v>
      </c>
      <c r="T9093" s="21">
        <v>0</v>
      </c>
      <c r="U9093" s="21">
        <v>7</v>
      </c>
      <c r="V9093" s="21">
        <v>0</v>
      </c>
      <c r="W9093" s="21">
        <v>0</v>
      </c>
      <c r="X9093" s="21">
        <v>0</v>
      </c>
      <c r="Y9093" s="21">
        <v>0</v>
      </c>
      <c r="Z9093" s="21">
        <v>0</v>
      </c>
      <c r="AA9093" s="21">
        <v>0</v>
      </c>
      <c r="AB9093" s="21">
        <v>0</v>
      </c>
      <c r="AC9093" s="21">
        <v>0</v>
      </c>
      <c r="AD9093" s="21">
        <v>0</v>
      </c>
      <c r="AE9093" s="21">
        <v>0</v>
      </c>
      <c r="AF9093" s="21">
        <v>0</v>
      </c>
      <c r="AG9093" s="21">
        <v>0</v>
      </c>
      <c r="AH9093" s="21">
        <v>224</v>
      </c>
      <c r="AI9093" s="21"/>
      <c r="AJ9093" s="21" t="s">
        <v>51</v>
      </c>
      <c r="AK9093" s="21" t="s">
        <v>95</v>
      </c>
      <c r="AL9093" s="21"/>
      <c r="AM9093" s="21" t="s">
        <v>6133</v>
      </c>
      <c r="AN9093" s="21">
        <v>-122.43945813333301</v>
      </c>
      <c r="AO9093" s="21">
        <v>37.799562983333303</v>
      </c>
      <c r="AP9093" s="21" t="s">
        <v>951</v>
      </c>
    </row>
    <row r="9094" spans="1:42">
      <c r="A9094" s="20">
        <v>43865</v>
      </c>
      <c r="B9094" s="21">
        <v>2</v>
      </c>
      <c r="C9094" s="21">
        <v>207</v>
      </c>
      <c r="D9094" s="21">
        <v>14657</v>
      </c>
      <c r="E9094" t="s">
        <v>37</v>
      </c>
      <c r="F9094" s="21" t="s">
        <v>436</v>
      </c>
      <c r="G9094" s="21" t="s">
        <v>4270</v>
      </c>
      <c r="H9094" s="21">
        <v>35</v>
      </c>
      <c r="I9094" s="21" t="s">
        <v>6134</v>
      </c>
      <c r="J9094" s="21"/>
      <c r="K9094" s="21" t="s">
        <v>210</v>
      </c>
      <c r="L9094" s="21" t="s">
        <v>114</v>
      </c>
      <c r="M9094" s="21"/>
      <c r="N9094" s="21" t="s">
        <v>40</v>
      </c>
      <c r="O9094" s="21">
        <v>180</v>
      </c>
      <c r="P9094" s="21"/>
      <c r="Q9094" s="21">
        <f t="shared" si="191"/>
        <v>5</v>
      </c>
      <c r="R9094" s="21">
        <v>1</v>
      </c>
      <c r="S9094" s="21">
        <v>0</v>
      </c>
      <c r="T9094" s="21">
        <v>0</v>
      </c>
      <c r="U9094" s="21">
        <v>1</v>
      </c>
      <c r="V9094" s="21">
        <v>0</v>
      </c>
      <c r="W9094" s="21">
        <v>4</v>
      </c>
      <c r="X9094" s="21">
        <v>0</v>
      </c>
      <c r="Y9094" s="21">
        <v>0</v>
      </c>
      <c r="Z9094" s="21">
        <v>0</v>
      </c>
      <c r="AA9094" s="21">
        <v>0</v>
      </c>
      <c r="AB9094" s="21">
        <v>0</v>
      </c>
      <c r="AC9094" s="21">
        <v>0</v>
      </c>
      <c r="AD9094" s="21">
        <v>0</v>
      </c>
      <c r="AE9094" s="21">
        <v>0</v>
      </c>
      <c r="AF9094" s="21">
        <v>0</v>
      </c>
      <c r="AG9094" s="21">
        <v>0</v>
      </c>
      <c r="AH9094" s="21">
        <v>416</v>
      </c>
      <c r="AI9094" s="21"/>
      <c r="AJ9094" s="21" t="s">
        <v>51</v>
      </c>
      <c r="AK9094" s="21" t="s">
        <v>95</v>
      </c>
      <c r="AL9094" s="21"/>
      <c r="AM9094" s="21" t="s">
        <v>6135</v>
      </c>
      <c r="AN9094" s="21">
        <v>-122.439934666667</v>
      </c>
      <c r="AO9094" s="21">
        <v>37.799426083333302</v>
      </c>
      <c r="AP9094" s="21" t="s">
        <v>951</v>
      </c>
    </row>
    <row r="9095" spans="1:42">
      <c r="A9095" s="20">
        <v>43865</v>
      </c>
      <c r="B9095" s="21">
        <v>2</v>
      </c>
      <c r="C9095" s="21">
        <v>207</v>
      </c>
      <c r="D9095" s="21">
        <v>14657</v>
      </c>
      <c r="E9095" t="s">
        <v>37</v>
      </c>
      <c r="F9095" s="21" t="s">
        <v>436</v>
      </c>
      <c r="G9095" s="21" t="s">
        <v>4270</v>
      </c>
      <c r="H9095" s="21">
        <v>36</v>
      </c>
      <c r="I9095" s="21" t="s">
        <v>5274</v>
      </c>
      <c r="J9095" s="21"/>
      <c r="K9095" s="21" t="s">
        <v>175</v>
      </c>
      <c r="L9095" s="21"/>
      <c r="M9095" s="21"/>
      <c r="N9095" s="21" t="s">
        <v>44</v>
      </c>
      <c r="O9095" s="21">
        <v>90</v>
      </c>
      <c r="P9095" s="21"/>
      <c r="Q9095" s="21">
        <f t="shared" si="191"/>
        <v>1</v>
      </c>
      <c r="R9095" s="21">
        <v>1</v>
      </c>
      <c r="S9095" s="21">
        <v>0</v>
      </c>
      <c r="T9095" s="21">
        <v>0</v>
      </c>
      <c r="U9095" s="21">
        <v>0</v>
      </c>
      <c r="V9095" s="21">
        <v>0</v>
      </c>
      <c r="W9095" s="21">
        <v>1</v>
      </c>
      <c r="X9095" s="21">
        <v>0</v>
      </c>
      <c r="Y9095" s="21">
        <v>0</v>
      </c>
      <c r="Z9095" s="21">
        <v>0</v>
      </c>
      <c r="AA9095" s="21">
        <v>0</v>
      </c>
      <c r="AB9095" s="21">
        <v>0</v>
      </c>
      <c r="AC9095" s="21">
        <v>0</v>
      </c>
      <c r="AD9095" s="21">
        <v>0</v>
      </c>
      <c r="AE9095" s="21">
        <v>0</v>
      </c>
      <c r="AF9095" s="21">
        <v>0</v>
      </c>
      <c r="AG9095" s="21">
        <v>0</v>
      </c>
      <c r="AH9095" s="21">
        <v>96</v>
      </c>
      <c r="AI9095" s="21"/>
      <c r="AJ9095" s="21" t="s">
        <v>51</v>
      </c>
      <c r="AK9095" s="21" t="s">
        <v>95</v>
      </c>
      <c r="AL9095" s="21"/>
      <c r="AM9095" s="21" t="s">
        <v>6136</v>
      </c>
      <c r="AN9095" s="21">
        <v>-122.44040520121</v>
      </c>
      <c r="AO9095" s="21">
        <v>37.799491951255497</v>
      </c>
      <c r="AP9095" s="21" t="s">
        <v>951</v>
      </c>
    </row>
    <row r="9096" spans="1:42">
      <c r="A9096" s="20">
        <v>43865</v>
      </c>
      <c r="B9096" s="21">
        <v>2</v>
      </c>
      <c r="C9096" s="21">
        <v>207</v>
      </c>
      <c r="D9096" s="21">
        <v>14657</v>
      </c>
      <c r="E9096" t="s">
        <v>37</v>
      </c>
      <c r="F9096" s="21" t="s">
        <v>436</v>
      </c>
      <c r="G9096" s="21" t="s">
        <v>4270</v>
      </c>
      <c r="H9096" s="21">
        <v>37</v>
      </c>
      <c r="I9096" s="21" t="s">
        <v>6137</v>
      </c>
      <c r="J9096" s="21"/>
      <c r="K9096" s="21" t="s">
        <v>324</v>
      </c>
      <c r="L9096" s="21" t="s">
        <v>141</v>
      </c>
      <c r="M9096" s="21"/>
      <c r="N9096" s="21" t="s">
        <v>40</v>
      </c>
      <c r="O9096" s="21">
        <v>50</v>
      </c>
      <c r="P9096" s="21"/>
      <c r="Q9096" s="21">
        <f t="shared" si="191"/>
        <v>2</v>
      </c>
      <c r="R9096" s="21">
        <v>1</v>
      </c>
      <c r="S9096" s="21">
        <v>0</v>
      </c>
      <c r="T9096" s="21">
        <v>0</v>
      </c>
      <c r="U9096" s="21">
        <v>0</v>
      </c>
      <c r="V9096" s="21">
        <v>1</v>
      </c>
      <c r="W9096" s="21">
        <v>1</v>
      </c>
      <c r="X9096" s="21">
        <v>0</v>
      </c>
      <c r="Y9096" s="21">
        <v>0</v>
      </c>
      <c r="Z9096" s="21">
        <v>0</v>
      </c>
      <c r="AA9096" s="21">
        <v>0</v>
      </c>
      <c r="AB9096" s="21">
        <v>0</v>
      </c>
      <c r="AC9096" s="21">
        <v>0</v>
      </c>
      <c r="AD9096" s="21">
        <v>0</v>
      </c>
      <c r="AE9096" s="21">
        <v>0</v>
      </c>
      <c r="AF9096" s="21">
        <v>0</v>
      </c>
      <c r="AG9096" s="21">
        <v>0</v>
      </c>
      <c r="AH9096" s="21">
        <v>160</v>
      </c>
      <c r="AI9096" s="21"/>
      <c r="AJ9096" s="21" t="s">
        <v>51</v>
      </c>
      <c r="AK9096" s="21" t="s">
        <v>95</v>
      </c>
      <c r="AL9096" s="21"/>
      <c r="AM9096" s="21" t="s">
        <v>6138</v>
      </c>
      <c r="AN9096" s="21">
        <v>-122.439370766667</v>
      </c>
      <c r="AO9096" s="21">
        <v>37.800378733333297</v>
      </c>
      <c r="AP9096" s="21" t="s">
        <v>951</v>
      </c>
    </row>
    <row r="9097" spans="1:42">
      <c r="A9097" s="20">
        <v>43865</v>
      </c>
      <c r="B9097" s="21">
        <v>2</v>
      </c>
      <c r="C9097" s="21">
        <v>207</v>
      </c>
      <c r="D9097" s="21">
        <v>14657</v>
      </c>
      <c r="E9097" t="s">
        <v>37</v>
      </c>
      <c r="F9097" s="21" t="s">
        <v>436</v>
      </c>
      <c r="G9097" s="21" t="s">
        <v>4270</v>
      </c>
      <c r="H9097" s="21">
        <v>38</v>
      </c>
      <c r="I9097" s="21" t="s">
        <v>6139</v>
      </c>
      <c r="J9097" s="21"/>
      <c r="K9097" s="21" t="s">
        <v>113</v>
      </c>
      <c r="L9097" s="21" t="s">
        <v>141</v>
      </c>
      <c r="M9097" s="21"/>
      <c r="N9097" s="21" t="s">
        <v>40</v>
      </c>
      <c r="O9097" s="21">
        <v>55</v>
      </c>
      <c r="P9097" s="21"/>
      <c r="Q9097" s="21">
        <f t="shared" si="191"/>
        <v>2</v>
      </c>
      <c r="R9097" s="21">
        <v>1</v>
      </c>
      <c r="S9097" s="21">
        <v>0</v>
      </c>
      <c r="T9097" s="21">
        <v>0</v>
      </c>
      <c r="U9097" s="21">
        <v>0</v>
      </c>
      <c r="V9097" s="21">
        <v>2</v>
      </c>
      <c r="W9097" s="21">
        <v>0</v>
      </c>
      <c r="X9097" s="21">
        <v>0</v>
      </c>
      <c r="Y9097" s="21">
        <v>0</v>
      </c>
      <c r="Z9097" s="21">
        <v>0</v>
      </c>
      <c r="AA9097" s="21">
        <v>0</v>
      </c>
      <c r="AB9097" s="21">
        <v>0</v>
      </c>
      <c r="AC9097" s="21">
        <v>0</v>
      </c>
      <c r="AD9097" s="21">
        <v>0</v>
      </c>
      <c r="AE9097" s="21">
        <v>0</v>
      </c>
      <c r="AF9097" s="21">
        <v>0</v>
      </c>
      <c r="AG9097" s="21">
        <v>0</v>
      </c>
      <c r="AH9097" s="21">
        <v>128</v>
      </c>
      <c r="AI9097" s="21"/>
      <c r="AJ9097" s="21" t="s">
        <v>51</v>
      </c>
      <c r="AK9097" s="21" t="s">
        <v>95</v>
      </c>
      <c r="AL9097" s="21"/>
      <c r="AM9097" s="21" t="s">
        <v>6140</v>
      </c>
      <c r="AN9097" s="21">
        <v>-122.43791040000001</v>
      </c>
      <c r="AO9097" s="21">
        <v>37.800217816666603</v>
      </c>
      <c r="AP9097" s="21" t="s">
        <v>951</v>
      </c>
    </row>
    <row r="9098" spans="1:42">
      <c r="A9098" s="20">
        <v>43865</v>
      </c>
      <c r="B9098" s="21">
        <v>2</v>
      </c>
      <c r="C9098" s="21">
        <v>207</v>
      </c>
      <c r="D9098" s="21">
        <v>14657</v>
      </c>
      <c r="E9098" t="s">
        <v>37</v>
      </c>
      <c r="F9098" s="21" t="s">
        <v>436</v>
      </c>
      <c r="G9098" s="21" t="s">
        <v>4270</v>
      </c>
      <c r="H9098" s="21">
        <v>39</v>
      </c>
      <c r="I9098" s="21" t="s">
        <v>6141</v>
      </c>
      <c r="J9098" s="21"/>
      <c r="K9098" s="21" t="s">
        <v>113</v>
      </c>
      <c r="L9098" s="21"/>
      <c r="M9098" s="21"/>
      <c r="N9098" s="21" t="s">
        <v>44</v>
      </c>
      <c r="O9098" s="21">
        <v>150</v>
      </c>
      <c r="P9098" s="21"/>
      <c r="Q9098" s="21">
        <f t="shared" si="191"/>
        <v>1</v>
      </c>
      <c r="R9098" s="21">
        <v>1</v>
      </c>
      <c r="S9098" s="21">
        <v>0</v>
      </c>
      <c r="T9098" s="21">
        <v>0</v>
      </c>
      <c r="U9098" s="21">
        <v>0</v>
      </c>
      <c r="V9098" s="21">
        <v>0</v>
      </c>
      <c r="W9098" s="21">
        <v>1</v>
      </c>
      <c r="X9098" s="21">
        <v>0</v>
      </c>
      <c r="Y9098" s="21">
        <v>0</v>
      </c>
      <c r="Z9098" s="21">
        <v>0</v>
      </c>
      <c r="AA9098" s="21">
        <v>0</v>
      </c>
      <c r="AB9098" s="21">
        <v>0</v>
      </c>
      <c r="AC9098" s="21">
        <v>0</v>
      </c>
      <c r="AD9098" s="21">
        <v>0</v>
      </c>
      <c r="AE9098" s="21">
        <v>0</v>
      </c>
      <c r="AF9098" s="21">
        <v>0</v>
      </c>
      <c r="AG9098" s="21">
        <v>0</v>
      </c>
      <c r="AH9098" s="21">
        <v>96</v>
      </c>
      <c r="AI9098" s="21"/>
      <c r="AJ9098" s="21" t="s">
        <v>51</v>
      </c>
      <c r="AK9098" s="21" t="s">
        <v>95</v>
      </c>
      <c r="AL9098" s="21"/>
      <c r="AM9098" s="21" t="s">
        <v>6142</v>
      </c>
      <c r="AN9098" s="21">
        <v>-122.437715466667</v>
      </c>
      <c r="AO9098" s="21">
        <v>37.800009916666703</v>
      </c>
      <c r="AP9098" s="21" t="s">
        <v>951</v>
      </c>
    </row>
    <row r="9099" spans="1:42">
      <c r="A9099" s="20">
        <v>43865</v>
      </c>
      <c r="B9099" s="21">
        <v>2</v>
      </c>
      <c r="C9099" s="21">
        <v>207</v>
      </c>
      <c r="D9099" s="21">
        <v>14657</v>
      </c>
      <c r="E9099" t="s">
        <v>37</v>
      </c>
      <c r="F9099" s="21" t="s">
        <v>436</v>
      </c>
      <c r="G9099" s="21" t="s">
        <v>4270</v>
      </c>
      <c r="H9099" s="21">
        <v>40</v>
      </c>
      <c r="I9099" s="21" t="s">
        <v>4667</v>
      </c>
      <c r="J9099" s="21"/>
      <c r="K9099" s="21" t="s">
        <v>909</v>
      </c>
      <c r="L9099" s="21"/>
      <c r="M9099" s="21"/>
      <c r="N9099" s="21" t="s">
        <v>44</v>
      </c>
      <c r="O9099" s="21">
        <v>267</v>
      </c>
      <c r="P9099" s="21"/>
      <c r="Q9099" s="21">
        <f t="shared" si="191"/>
        <v>1</v>
      </c>
      <c r="R9099" s="21">
        <v>1</v>
      </c>
      <c r="S9099" s="21">
        <v>0</v>
      </c>
      <c r="T9099" s="21">
        <v>0</v>
      </c>
      <c r="U9099" s="21">
        <v>0</v>
      </c>
      <c r="V9099" s="21">
        <v>0</v>
      </c>
      <c r="W9099" s="21">
        <v>1</v>
      </c>
      <c r="X9099" s="21">
        <v>0</v>
      </c>
      <c r="Y9099" s="21">
        <v>0</v>
      </c>
      <c r="Z9099" s="21">
        <v>0</v>
      </c>
      <c r="AA9099" s="21">
        <v>0</v>
      </c>
      <c r="AB9099" s="21">
        <v>0</v>
      </c>
      <c r="AC9099" s="21">
        <v>0</v>
      </c>
      <c r="AD9099" s="21">
        <v>0</v>
      </c>
      <c r="AE9099" s="21">
        <v>0</v>
      </c>
      <c r="AF9099" s="21">
        <v>0</v>
      </c>
      <c r="AG9099" s="21">
        <v>0</v>
      </c>
      <c r="AH9099" s="21">
        <v>96</v>
      </c>
      <c r="AI9099" s="21"/>
      <c r="AJ9099" s="21" t="s">
        <v>51</v>
      </c>
      <c r="AK9099" s="21" t="s">
        <v>95</v>
      </c>
      <c r="AL9099" s="21"/>
      <c r="AM9099" s="21" t="s">
        <v>6143</v>
      </c>
      <c r="AN9099" s="21">
        <v>-122.439188266667</v>
      </c>
      <c r="AO9099" s="21">
        <v>37.799528266666698</v>
      </c>
      <c r="AP9099" s="21" t="s">
        <v>951</v>
      </c>
    </row>
    <row r="9100" spans="1:42">
      <c r="A9100" s="20">
        <v>43865</v>
      </c>
      <c r="B9100" s="21">
        <v>2</v>
      </c>
      <c r="C9100" s="21">
        <v>207</v>
      </c>
      <c r="D9100" s="21">
        <v>14657</v>
      </c>
      <c r="E9100" t="s">
        <v>37</v>
      </c>
      <c r="F9100" s="21" t="s">
        <v>436</v>
      </c>
      <c r="G9100" s="21" t="s">
        <v>4270</v>
      </c>
      <c r="H9100" s="21">
        <v>41</v>
      </c>
      <c r="I9100" s="21" t="s">
        <v>6144</v>
      </c>
      <c r="J9100" s="21"/>
      <c r="K9100" t="s">
        <v>902</v>
      </c>
      <c r="L9100" s="21" t="s">
        <v>141</v>
      </c>
      <c r="M9100" s="21"/>
      <c r="N9100" s="21" t="s">
        <v>40</v>
      </c>
      <c r="O9100" s="21">
        <v>57</v>
      </c>
      <c r="P9100" s="21"/>
      <c r="Q9100" s="21">
        <f t="shared" si="191"/>
        <v>2</v>
      </c>
      <c r="R9100" s="21">
        <v>1</v>
      </c>
      <c r="S9100" s="21">
        <v>0</v>
      </c>
      <c r="T9100" s="21">
        <v>0</v>
      </c>
      <c r="U9100" s="21">
        <v>0</v>
      </c>
      <c r="V9100" s="21">
        <v>2</v>
      </c>
      <c r="W9100" s="21">
        <v>0</v>
      </c>
      <c r="X9100" s="21">
        <v>0</v>
      </c>
      <c r="Y9100" s="21">
        <v>0</v>
      </c>
      <c r="Z9100" s="21">
        <v>0</v>
      </c>
      <c r="AA9100" s="21">
        <v>0</v>
      </c>
      <c r="AB9100" s="21">
        <v>0</v>
      </c>
      <c r="AC9100" s="21">
        <v>0</v>
      </c>
      <c r="AD9100" s="21">
        <v>0</v>
      </c>
      <c r="AE9100" s="21">
        <v>0</v>
      </c>
      <c r="AF9100" s="21">
        <v>0</v>
      </c>
      <c r="AG9100" s="21">
        <v>0</v>
      </c>
      <c r="AH9100" s="21">
        <v>128</v>
      </c>
      <c r="AI9100" s="21"/>
      <c r="AJ9100" s="21" t="s">
        <v>51</v>
      </c>
      <c r="AK9100" s="21" t="s">
        <v>95</v>
      </c>
      <c r="AL9100" s="21"/>
      <c r="AM9100" s="21" t="s">
        <v>6145</v>
      </c>
      <c r="AN9100" s="21">
        <v>-122.44036438333301</v>
      </c>
      <c r="AO9100" s="21">
        <v>37.804671999999997</v>
      </c>
      <c r="AP9100" s="21" t="s">
        <v>951</v>
      </c>
    </row>
    <row r="9101" spans="1:42">
      <c r="A9101" s="20">
        <v>43865</v>
      </c>
      <c r="B9101" s="21">
        <v>2</v>
      </c>
      <c r="C9101" s="21">
        <v>207</v>
      </c>
      <c r="D9101" s="21">
        <v>14657</v>
      </c>
      <c r="E9101" t="s">
        <v>37</v>
      </c>
      <c r="F9101" s="21" t="s">
        <v>436</v>
      </c>
      <c r="G9101" s="21" t="s">
        <v>4270</v>
      </c>
      <c r="H9101" s="21">
        <v>42</v>
      </c>
      <c r="I9101" s="21" t="s">
        <v>3791</v>
      </c>
      <c r="J9101" s="21"/>
      <c r="K9101" t="s">
        <v>902</v>
      </c>
      <c r="L9101" s="21" t="s">
        <v>141</v>
      </c>
      <c r="M9101" s="21" t="s">
        <v>52</v>
      </c>
      <c r="N9101" s="21" t="s">
        <v>40</v>
      </c>
      <c r="O9101" s="21">
        <v>62</v>
      </c>
      <c r="P9101" s="21"/>
      <c r="Q9101" s="21">
        <f t="shared" si="191"/>
        <v>3</v>
      </c>
      <c r="R9101" s="21">
        <v>1</v>
      </c>
      <c r="S9101" s="21">
        <v>0</v>
      </c>
      <c r="T9101" s="21">
        <v>0</v>
      </c>
      <c r="U9101" s="21">
        <v>3</v>
      </c>
      <c r="V9101" s="21">
        <v>0</v>
      </c>
      <c r="W9101" s="21">
        <v>0</v>
      </c>
      <c r="X9101" s="21">
        <v>0</v>
      </c>
      <c r="Y9101" s="21">
        <v>0</v>
      </c>
      <c r="Z9101" s="21">
        <v>0</v>
      </c>
      <c r="AA9101" s="21">
        <v>0</v>
      </c>
      <c r="AB9101" s="21">
        <v>0</v>
      </c>
      <c r="AC9101" s="21">
        <v>0</v>
      </c>
      <c r="AD9101" s="21">
        <v>0</v>
      </c>
      <c r="AE9101" s="21">
        <v>0</v>
      </c>
      <c r="AF9101" s="21">
        <v>0</v>
      </c>
      <c r="AG9101" s="21">
        <v>0</v>
      </c>
      <c r="AH9101" s="21">
        <v>96</v>
      </c>
      <c r="AI9101" s="21"/>
      <c r="AJ9101" s="21" t="s">
        <v>51</v>
      </c>
      <c r="AK9101" s="21" t="s">
        <v>95</v>
      </c>
      <c r="AL9101" s="21"/>
      <c r="AM9101" s="21" t="s">
        <v>6146</v>
      </c>
      <c r="AN9101" s="21">
        <v>-122.440174516667</v>
      </c>
      <c r="AO9101" s="21">
        <v>37.804630483333298</v>
      </c>
      <c r="AP9101" s="21" t="s">
        <v>951</v>
      </c>
    </row>
    <row r="9102" spans="1:42">
      <c r="A9102" s="20">
        <v>43865</v>
      </c>
      <c r="B9102" s="21">
        <v>2</v>
      </c>
      <c r="C9102" s="21">
        <v>207</v>
      </c>
      <c r="D9102" s="21">
        <v>14657</v>
      </c>
      <c r="E9102" t="s">
        <v>37</v>
      </c>
      <c r="F9102" s="21" t="s">
        <v>436</v>
      </c>
      <c r="G9102" s="21" t="s">
        <v>4270</v>
      </c>
      <c r="H9102" s="21">
        <v>43</v>
      </c>
      <c r="I9102" s="21" t="s">
        <v>6147</v>
      </c>
      <c r="J9102" s="21"/>
      <c r="K9102" t="s">
        <v>902</v>
      </c>
      <c r="L9102" s="21"/>
      <c r="M9102" s="21"/>
      <c r="N9102" s="21" t="s">
        <v>44</v>
      </c>
      <c r="O9102" s="21">
        <v>94</v>
      </c>
      <c r="P9102" s="21"/>
      <c r="Q9102" s="21">
        <f t="shared" si="191"/>
        <v>1</v>
      </c>
      <c r="R9102" s="21">
        <v>1</v>
      </c>
      <c r="S9102" s="21">
        <v>0</v>
      </c>
      <c r="T9102" s="21">
        <v>0</v>
      </c>
      <c r="U9102" s="21">
        <v>0</v>
      </c>
      <c r="V9102" s="21">
        <v>0</v>
      </c>
      <c r="W9102" s="21">
        <v>1</v>
      </c>
      <c r="X9102" s="21">
        <v>0</v>
      </c>
      <c r="Y9102" s="21">
        <v>0</v>
      </c>
      <c r="Z9102" s="21">
        <v>0</v>
      </c>
      <c r="AA9102" s="21">
        <v>0</v>
      </c>
      <c r="AB9102" s="21">
        <v>0</v>
      </c>
      <c r="AC9102" s="21">
        <v>0</v>
      </c>
      <c r="AD9102" s="21">
        <v>0</v>
      </c>
      <c r="AE9102" s="21">
        <v>0</v>
      </c>
      <c r="AF9102" s="21">
        <v>0</v>
      </c>
      <c r="AG9102" s="21">
        <v>0</v>
      </c>
      <c r="AH9102" s="21">
        <v>96</v>
      </c>
      <c r="AI9102" s="21"/>
      <c r="AJ9102" s="21" t="s">
        <v>51</v>
      </c>
      <c r="AK9102" s="21" t="s">
        <v>95</v>
      </c>
      <c r="AL9102" s="21"/>
      <c r="AM9102" s="21" t="s">
        <v>6148</v>
      </c>
      <c r="AN9102" s="21">
        <v>-122.439943516667</v>
      </c>
      <c r="AO9102" s="21">
        <v>37.804423716666697</v>
      </c>
      <c r="AP9102" s="21" t="s">
        <v>951</v>
      </c>
    </row>
    <row r="9103" spans="1:42">
      <c r="A9103" s="20">
        <v>43865</v>
      </c>
      <c r="B9103" s="21">
        <v>2</v>
      </c>
      <c r="C9103" s="21">
        <v>207</v>
      </c>
      <c r="D9103" s="21">
        <v>14657</v>
      </c>
      <c r="E9103" t="s">
        <v>37</v>
      </c>
      <c r="F9103" s="21" t="s">
        <v>436</v>
      </c>
      <c r="G9103" s="21" t="s">
        <v>4270</v>
      </c>
      <c r="H9103" s="21">
        <v>44</v>
      </c>
      <c r="I9103" s="21" t="s">
        <v>4566</v>
      </c>
      <c r="J9103" s="21"/>
      <c r="K9103" s="21" t="s">
        <v>909</v>
      </c>
      <c r="L9103" s="21"/>
      <c r="M9103" s="21"/>
      <c r="N9103" s="21" t="s">
        <v>44</v>
      </c>
      <c r="O9103" s="21">
        <v>63</v>
      </c>
      <c r="P9103" s="21"/>
      <c r="Q9103" s="21">
        <f t="shared" si="191"/>
        <v>1</v>
      </c>
      <c r="R9103" s="21">
        <v>1</v>
      </c>
      <c r="S9103" s="21">
        <v>0</v>
      </c>
      <c r="T9103" s="21">
        <v>0</v>
      </c>
      <c r="U9103" s="21">
        <v>0</v>
      </c>
      <c r="V9103" s="21">
        <v>0</v>
      </c>
      <c r="W9103" s="21">
        <v>1</v>
      </c>
      <c r="X9103" s="21">
        <v>0</v>
      </c>
      <c r="Y9103" s="21">
        <v>0</v>
      </c>
      <c r="Z9103" s="21">
        <v>0</v>
      </c>
      <c r="AA9103" s="21">
        <v>0</v>
      </c>
      <c r="AB9103" s="21">
        <v>0</v>
      </c>
      <c r="AC9103" s="21">
        <v>0</v>
      </c>
      <c r="AD9103" s="21">
        <v>0</v>
      </c>
      <c r="AE9103" s="21">
        <v>0</v>
      </c>
      <c r="AF9103" s="21">
        <v>0</v>
      </c>
      <c r="AG9103" s="21">
        <v>0</v>
      </c>
      <c r="AH9103" s="21">
        <v>96</v>
      </c>
      <c r="AI9103" s="21"/>
      <c r="AJ9103" s="21" t="s">
        <v>51</v>
      </c>
      <c r="AK9103" s="21" t="s">
        <v>95</v>
      </c>
      <c r="AL9103" s="21"/>
      <c r="AM9103" s="21" t="s">
        <v>6149</v>
      </c>
      <c r="AN9103" s="21">
        <v>-122.43682458333301</v>
      </c>
      <c r="AO9103" s="21">
        <v>37.802941183333303</v>
      </c>
      <c r="AP9103" s="21" t="s">
        <v>951</v>
      </c>
    </row>
    <row r="9104" spans="1:42">
      <c r="A9104" s="20">
        <v>43865</v>
      </c>
      <c r="B9104" s="21">
        <v>2</v>
      </c>
      <c r="C9104" s="21">
        <v>207</v>
      </c>
      <c r="D9104" s="21">
        <v>14657</v>
      </c>
      <c r="E9104" t="s">
        <v>37</v>
      </c>
      <c r="F9104" s="21" t="s">
        <v>436</v>
      </c>
      <c r="G9104" s="21" t="s">
        <v>4270</v>
      </c>
      <c r="H9104" s="21">
        <v>45</v>
      </c>
      <c r="I9104" s="21" t="s">
        <v>6150</v>
      </c>
      <c r="J9104" s="21"/>
      <c r="K9104" s="21" t="s">
        <v>909</v>
      </c>
      <c r="L9104" s="21"/>
      <c r="M9104" s="21"/>
      <c r="N9104" s="21" t="s">
        <v>44</v>
      </c>
      <c r="O9104" s="21">
        <v>90</v>
      </c>
      <c r="P9104" s="21"/>
      <c r="Q9104" s="21">
        <f t="shared" si="191"/>
        <v>1</v>
      </c>
      <c r="R9104" s="21">
        <v>1</v>
      </c>
      <c r="S9104" s="21">
        <v>0</v>
      </c>
      <c r="T9104" s="21">
        <v>0</v>
      </c>
      <c r="U9104" s="21">
        <v>0</v>
      </c>
      <c r="V9104" s="21">
        <v>1</v>
      </c>
      <c r="W9104" s="21">
        <v>0</v>
      </c>
      <c r="X9104" s="21">
        <v>0</v>
      </c>
      <c r="Y9104" s="21">
        <v>0</v>
      </c>
      <c r="Z9104" s="21">
        <v>0</v>
      </c>
      <c r="AA9104" s="21">
        <v>0</v>
      </c>
      <c r="AB9104" s="21">
        <v>0</v>
      </c>
      <c r="AC9104" s="21">
        <v>0</v>
      </c>
      <c r="AD9104" s="21">
        <v>0</v>
      </c>
      <c r="AE9104" s="21">
        <v>0</v>
      </c>
      <c r="AF9104" s="21">
        <v>0</v>
      </c>
      <c r="AG9104" s="21">
        <v>0</v>
      </c>
      <c r="AH9104" s="21">
        <v>64</v>
      </c>
      <c r="AI9104" s="21"/>
      <c r="AJ9104" s="21" t="s">
        <v>51</v>
      </c>
      <c r="AK9104" s="21" t="s">
        <v>95</v>
      </c>
      <c r="AL9104" s="21"/>
      <c r="AM9104" s="21" t="s">
        <v>6151</v>
      </c>
      <c r="AN9104" s="21">
        <v>-122.436427216667</v>
      </c>
      <c r="AO9104" s="21">
        <v>37.801338383333302</v>
      </c>
      <c r="AP9104" s="21" t="s">
        <v>951</v>
      </c>
    </row>
    <row r="9105" spans="1:42">
      <c r="A9105" s="20">
        <v>43865</v>
      </c>
      <c r="B9105" s="21">
        <v>2</v>
      </c>
      <c r="C9105" s="21">
        <v>207</v>
      </c>
      <c r="D9105" s="21">
        <v>14657</v>
      </c>
      <c r="E9105" t="s">
        <v>37</v>
      </c>
      <c r="F9105" s="21" t="s">
        <v>436</v>
      </c>
      <c r="G9105" s="21" t="s">
        <v>4270</v>
      </c>
      <c r="H9105" s="21">
        <v>46</v>
      </c>
      <c r="I9105" s="21" t="s">
        <v>4570</v>
      </c>
      <c r="J9105" s="21"/>
      <c r="K9105" s="21" t="s">
        <v>909</v>
      </c>
      <c r="L9105" s="21"/>
      <c r="M9105" s="21"/>
      <c r="N9105" s="21" t="s">
        <v>44</v>
      </c>
      <c r="O9105" s="21">
        <v>175</v>
      </c>
      <c r="P9105" s="21"/>
      <c r="Q9105" s="21">
        <f t="shared" si="191"/>
        <v>2</v>
      </c>
      <c r="R9105" s="21">
        <v>1</v>
      </c>
      <c r="S9105" s="21">
        <v>0</v>
      </c>
      <c r="T9105" s="21">
        <v>0</v>
      </c>
      <c r="U9105" s="21">
        <v>0</v>
      </c>
      <c r="V9105" s="21">
        <v>1</v>
      </c>
      <c r="W9105" s="21">
        <v>1</v>
      </c>
      <c r="X9105" s="21">
        <v>0</v>
      </c>
      <c r="Y9105" s="21">
        <v>0</v>
      </c>
      <c r="Z9105" s="21">
        <v>0</v>
      </c>
      <c r="AA9105" s="21">
        <v>0</v>
      </c>
      <c r="AB9105" s="21">
        <v>0</v>
      </c>
      <c r="AC9105" s="21">
        <v>0</v>
      </c>
      <c r="AD9105" s="21">
        <v>0</v>
      </c>
      <c r="AE9105" s="21">
        <v>0</v>
      </c>
      <c r="AF9105" s="21">
        <v>0</v>
      </c>
      <c r="AG9105" s="21">
        <v>0</v>
      </c>
      <c r="AH9105" s="21">
        <v>160</v>
      </c>
      <c r="AI9105" s="21"/>
      <c r="AJ9105" s="21" t="s">
        <v>51</v>
      </c>
      <c r="AK9105" s="21" t="s">
        <v>95</v>
      </c>
      <c r="AL9105" s="21"/>
      <c r="AM9105" s="21" t="s">
        <v>6152</v>
      </c>
      <c r="AN9105" s="21">
        <v>-122.4363915</v>
      </c>
      <c r="AO9105" s="21">
        <v>37.800979666666699</v>
      </c>
      <c r="AP9105" s="21" t="s">
        <v>951</v>
      </c>
    </row>
    <row r="9106" spans="1:42">
      <c r="A9106" s="20">
        <v>43865</v>
      </c>
      <c r="B9106" s="21">
        <v>2</v>
      </c>
      <c r="C9106" s="21">
        <v>207</v>
      </c>
      <c r="D9106" s="21">
        <v>14657</v>
      </c>
      <c r="E9106" t="s">
        <v>37</v>
      </c>
      <c r="F9106" s="21" t="s">
        <v>436</v>
      </c>
      <c r="G9106" s="21" t="s">
        <v>4270</v>
      </c>
      <c r="H9106" s="21">
        <v>47</v>
      </c>
      <c r="I9106" s="21" t="s">
        <v>2551</v>
      </c>
      <c r="J9106" s="21"/>
      <c r="K9106" s="21" t="s">
        <v>324</v>
      </c>
      <c r="L9106" s="21"/>
      <c r="M9106" s="21"/>
      <c r="N9106" s="21" t="s">
        <v>44</v>
      </c>
      <c r="O9106" s="21">
        <v>251</v>
      </c>
      <c r="P9106" s="21"/>
      <c r="Q9106" s="21">
        <f t="shared" si="191"/>
        <v>3</v>
      </c>
      <c r="R9106" s="21">
        <v>1</v>
      </c>
      <c r="S9106" s="21">
        <v>0</v>
      </c>
      <c r="T9106" s="21">
        <v>0</v>
      </c>
      <c r="U9106" s="21">
        <v>0</v>
      </c>
      <c r="V9106" s="21">
        <v>0</v>
      </c>
      <c r="W9106" s="21">
        <v>3</v>
      </c>
      <c r="X9106" s="21">
        <v>0</v>
      </c>
      <c r="Y9106" s="21">
        <v>0</v>
      </c>
      <c r="Z9106" s="21">
        <v>0</v>
      </c>
      <c r="AA9106" s="21">
        <v>0</v>
      </c>
      <c r="AB9106" s="21">
        <v>0</v>
      </c>
      <c r="AC9106" s="21">
        <v>0</v>
      </c>
      <c r="AD9106" s="21">
        <v>0</v>
      </c>
      <c r="AE9106" s="21">
        <v>0</v>
      </c>
      <c r="AF9106" s="21">
        <v>0</v>
      </c>
      <c r="AG9106" s="21">
        <v>0</v>
      </c>
      <c r="AH9106" s="21">
        <v>288</v>
      </c>
      <c r="AI9106" s="21"/>
      <c r="AJ9106" s="21" t="s">
        <v>51</v>
      </c>
      <c r="AK9106" s="21" t="s">
        <v>95</v>
      </c>
      <c r="AL9106" s="21"/>
      <c r="AM9106" s="21" t="s">
        <v>6153</v>
      </c>
      <c r="AN9106" s="21">
        <v>-122.4364552</v>
      </c>
      <c r="AO9106" s="21">
        <v>37.801009000000001</v>
      </c>
      <c r="AP9106" s="21" t="s">
        <v>951</v>
      </c>
    </row>
    <row r="9107" spans="1:42">
      <c r="A9107" s="20">
        <v>43865</v>
      </c>
      <c r="B9107" s="21">
        <v>2</v>
      </c>
      <c r="C9107" s="21">
        <v>207</v>
      </c>
      <c r="D9107" s="21">
        <v>14657</v>
      </c>
      <c r="E9107" t="s">
        <v>37</v>
      </c>
      <c r="F9107" s="21" t="s">
        <v>436</v>
      </c>
      <c r="G9107" s="21" t="s">
        <v>4270</v>
      </c>
      <c r="H9107" s="21">
        <v>48</v>
      </c>
      <c r="I9107" s="21" t="s">
        <v>3192</v>
      </c>
      <c r="J9107" s="21"/>
      <c r="K9107" s="21" t="s">
        <v>1942</v>
      </c>
      <c r="L9107" s="21" t="s">
        <v>141</v>
      </c>
      <c r="M9107" s="21"/>
      <c r="N9107" s="21" t="s">
        <v>40</v>
      </c>
      <c r="O9107" s="21">
        <v>47</v>
      </c>
      <c r="P9107" s="21"/>
      <c r="Q9107" s="21">
        <f t="shared" si="191"/>
        <v>2</v>
      </c>
      <c r="R9107" s="21">
        <v>1</v>
      </c>
      <c r="S9107" s="21">
        <v>0</v>
      </c>
      <c r="T9107" s="21">
        <v>0</v>
      </c>
      <c r="U9107" s="21">
        <v>1</v>
      </c>
      <c r="V9107" s="21">
        <v>1</v>
      </c>
      <c r="W9107" s="21">
        <v>0</v>
      </c>
      <c r="X9107" s="21">
        <v>0</v>
      </c>
      <c r="Y9107" s="21">
        <v>0</v>
      </c>
      <c r="Z9107" s="21">
        <v>0</v>
      </c>
      <c r="AA9107" s="21">
        <v>0</v>
      </c>
      <c r="AB9107" s="21">
        <v>0</v>
      </c>
      <c r="AC9107" s="21">
        <v>0</v>
      </c>
      <c r="AD9107" s="21">
        <v>0</v>
      </c>
      <c r="AE9107" s="21">
        <v>0</v>
      </c>
      <c r="AF9107" s="21">
        <v>0</v>
      </c>
      <c r="AG9107" s="21">
        <v>0</v>
      </c>
      <c r="AH9107" s="21">
        <v>96</v>
      </c>
      <c r="AI9107" s="21"/>
      <c r="AJ9107" s="21" t="s">
        <v>51</v>
      </c>
      <c r="AK9107" s="21" t="s">
        <v>95</v>
      </c>
      <c r="AL9107" s="21"/>
      <c r="AM9107" s="21" t="s">
        <v>6154</v>
      </c>
      <c r="AN9107" s="21">
        <v>-122.43767491666701</v>
      </c>
      <c r="AO9107" s="21">
        <v>37.802200249999999</v>
      </c>
      <c r="AP9107" s="21" t="s">
        <v>951</v>
      </c>
    </row>
    <row r="9108" spans="1:42">
      <c r="A9108" s="20">
        <v>43865</v>
      </c>
      <c r="B9108" s="21">
        <v>2</v>
      </c>
      <c r="C9108" s="21">
        <v>207</v>
      </c>
      <c r="D9108" s="21">
        <v>14657</v>
      </c>
      <c r="E9108" t="s">
        <v>37</v>
      </c>
      <c r="F9108" s="21" t="s">
        <v>436</v>
      </c>
      <c r="G9108" s="21" t="s">
        <v>4270</v>
      </c>
      <c r="H9108" s="21">
        <v>49</v>
      </c>
      <c r="I9108" s="21" t="s">
        <v>6155</v>
      </c>
      <c r="J9108" s="21"/>
      <c r="K9108" s="21" t="s">
        <v>1942</v>
      </c>
      <c r="L9108" s="21"/>
      <c r="M9108" s="21"/>
      <c r="N9108" s="21" t="s">
        <v>44</v>
      </c>
      <c r="O9108" s="21">
        <v>100</v>
      </c>
      <c r="P9108" s="21"/>
      <c r="Q9108" s="21">
        <f t="shared" si="191"/>
        <v>1</v>
      </c>
      <c r="R9108" s="21">
        <v>1</v>
      </c>
      <c r="S9108" s="21">
        <v>0</v>
      </c>
      <c r="T9108" s="21">
        <v>0</v>
      </c>
      <c r="U9108" s="21">
        <v>0</v>
      </c>
      <c r="V9108" s="21">
        <v>0</v>
      </c>
      <c r="W9108" s="21">
        <v>1</v>
      </c>
      <c r="X9108" s="21">
        <v>0</v>
      </c>
      <c r="Y9108" s="21">
        <v>0</v>
      </c>
      <c r="Z9108" s="21">
        <v>0</v>
      </c>
      <c r="AA9108" s="21">
        <v>0</v>
      </c>
      <c r="AB9108" s="21">
        <v>0</v>
      </c>
      <c r="AC9108" s="21">
        <v>0</v>
      </c>
      <c r="AD9108" s="21">
        <v>0</v>
      </c>
      <c r="AE9108" s="21">
        <v>0</v>
      </c>
      <c r="AF9108" s="21">
        <v>0</v>
      </c>
      <c r="AG9108" s="21">
        <v>0</v>
      </c>
      <c r="AH9108" s="21">
        <v>96</v>
      </c>
      <c r="AI9108" s="21"/>
      <c r="AJ9108" s="21" t="s">
        <v>51</v>
      </c>
      <c r="AK9108" s="21" t="s">
        <v>95</v>
      </c>
      <c r="AL9108" s="21"/>
      <c r="AM9108" s="21" t="s">
        <v>6156</v>
      </c>
      <c r="AN9108" s="21">
        <v>-122.437724816667</v>
      </c>
      <c r="AO9108" s="21">
        <v>37.802161816666697</v>
      </c>
      <c r="AP9108" s="21" t="s">
        <v>951</v>
      </c>
    </row>
    <row r="9109" spans="1:42">
      <c r="A9109" s="20">
        <v>43865</v>
      </c>
      <c r="B9109" s="21">
        <v>2</v>
      </c>
      <c r="C9109" s="21">
        <v>207</v>
      </c>
      <c r="D9109" s="21">
        <v>14657</v>
      </c>
      <c r="E9109" t="s">
        <v>37</v>
      </c>
      <c r="F9109" s="21" t="s">
        <v>436</v>
      </c>
      <c r="G9109" s="21" t="s">
        <v>4270</v>
      </c>
      <c r="H9109" s="21">
        <v>50</v>
      </c>
      <c r="I9109" s="21" t="s">
        <v>6157</v>
      </c>
      <c r="J9109" s="21"/>
      <c r="K9109" s="21" t="s">
        <v>1942</v>
      </c>
      <c r="L9109" s="21" t="s">
        <v>141</v>
      </c>
      <c r="M9109" s="21"/>
      <c r="N9109" s="21" t="s">
        <v>40</v>
      </c>
      <c r="O9109" s="21">
        <v>116</v>
      </c>
      <c r="P9109" s="21"/>
      <c r="Q9109" s="21">
        <f t="shared" si="191"/>
        <v>5</v>
      </c>
      <c r="R9109" s="21">
        <v>1</v>
      </c>
      <c r="S9109" s="21">
        <v>0</v>
      </c>
      <c r="T9109" s="21">
        <v>0</v>
      </c>
      <c r="U9109" s="21">
        <v>5</v>
      </c>
      <c r="V9109" s="21">
        <v>0</v>
      </c>
      <c r="W9109" s="21">
        <v>0</v>
      </c>
      <c r="X9109" s="21">
        <v>0</v>
      </c>
      <c r="Y9109" s="21">
        <v>0</v>
      </c>
      <c r="Z9109" s="21">
        <v>0</v>
      </c>
      <c r="AA9109" s="21">
        <v>0</v>
      </c>
      <c r="AB9109" s="21">
        <v>0</v>
      </c>
      <c r="AC9109" s="21">
        <v>0</v>
      </c>
      <c r="AD9109" s="21">
        <v>0</v>
      </c>
      <c r="AE9109" s="21">
        <v>0</v>
      </c>
      <c r="AF9109" s="21">
        <v>0</v>
      </c>
      <c r="AG9109" s="21">
        <v>0</v>
      </c>
      <c r="AH9109" s="21">
        <v>160</v>
      </c>
      <c r="AI9109" s="21"/>
      <c r="AJ9109" s="21" t="s">
        <v>51</v>
      </c>
      <c r="AK9109" s="21" t="s">
        <v>95</v>
      </c>
      <c r="AL9109" s="21"/>
      <c r="AM9109" s="21" t="s">
        <v>6158</v>
      </c>
      <c r="AN9109" s="21">
        <v>-122.437671333333</v>
      </c>
      <c r="AO9109" s="21">
        <v>37.802045616666597</v>
      </c>
      <c r="AP9109" s="21" t="s">
        <v>951</v>
      </c>
    </row>
    <row r="9110" spans="1:42">
      <c r="A9110" s="20">
        <v>43865</v>
      </c>
      <c r="B9110" s="21">
        <v>2</v>
      </c>
      <c r="C9110" s="21">
        <v>207</v>
      </c>
      <c r="D9110" s="21">
        <v>14657</v>
      </c>
      <c r="E9110" t="s">
        <v>37</v>
      </c>
      <c r="F9110" s="21" t="s">
        <v>436</v>
      </c>
      <c r="G9110" s="21" t="s">
        <v>4270</v>
      </c>
      <c r="H9110" s="21">
        <v>51</v>
      </c>
      <c r="I9110" s="21" t="s">
        <v>6147</v>
      </c>
      <c r="J9110" s="21"/>
      <c r="K9110" s="21" t="s">
        <v>1942</v>
      </c>
      <c r="L9110" s="21" t="s">
        <v>141</v>
      </c>
      <c r="M9110" s="21"/>
      <c r="N9110" s="21" t="s">
        <v>40</v>
      </c>
      <c r="O9110" s="21">
        <v>75</v>
      </c>
      <c r="P9110" s="21"/>
      <c r="Q9110" s="21">
        <f t="shared" si="191"/>
        <v>3</v>
      </c>
      <c r="R9110" s="21">
        <v>1</v>
      </c>
      <c r="S9110" s="21">
        <v>1</v>
      </c>
      <c r="T9110" s="21">
        <v>0</v>
      </c>
      <c r="U9110" s="21">
        <v>2</v>
      </c>
      <c r="V9110" s="21">
        <v>0</v>
      </c>
      <c r="W9110" s="21">
        <v>0</v>
      </c>
      <c r="X9110" s="21">
        <v>0</v>
      </c>
      <c r="Y9110" s="21">
        <v>0</v>
      </c>
      <c r="Z9110" s="21">
        <v>0</v>
      </c>
      <c r="AA9110" s="21">
        <v>0</v>
      </c>
      <c r="AB9110" s="21">
        <v>0</v>
      </c>
      <c r="AC9110" s="21">
        <v>0</v>
      </c>
      <c r="AD9110" s="21">
        <v>0</v>
      </c>
      <c r="AE9110" s="21">
        <v>0</v>
      </c>
      <c r="AF9110" s="21">
        <v>0</v>
      </c>
      <c r="AG9110" s="21">
        <v>0</v>
      </c>
      <c r="AH9110" s="21">
        <v>80</v>
      </c>
      <c r="AI9110" s="21"/>
      <c r="AJ9110" s="21" t="s">
        <v>51</v>
      </c>
      <c r="AK9110" s="21" t="s">
        <v>95</v>
      </c>
      <c r="AL9110" s="21"/>
      <c r="AM9110" s="21" t="s">
        <v>6159</v>
      </c>
      <c r="AN9110" s="21">
        <v>-122.43753251666701</v>
      </c>
      <c r="AO9110" s="21">
        <v>37.801944183333298</v>
      </c>
      <c r="AP9110" s="21" t="s">
        <v>951</v>
      </c>
    </row>
    <row r="9111" spans="1:42">
      <c r="A9111" s="20">
        <v>43865</v>
      </c>
      <c r="B9111" s="21">
        <v>2</v>
      </c>
      <c r="C9111" s="21">
        <v>207</v>
      </c>
      <c r="D9111" s="21">
        <v>14657</v>
      </c>
      <c r="E9111" t="s">
        <v>37</v>
      </c>
      <c r="F9111" s="21" t="s">
        <v>436</v>
      </c>
      <c r="G9111" s="21" t="s">
        <v>4270</v>
      </c>
      <c r="H9111" s="21">
        <v>52</v>
      </c>
      <c r="I9111" s="21" t="s">
        <v>6160</v>
      </c>
      <c r="J9111" s="21"/>
      <c r="K9111" s="21" t="s">
        <v>1942</v>
      </c>
      <c r="L9111" s="21"/>
      <c r="M9111" s="21"/>
      <c r="N9111" s="21" t="s">
        <v>44</v>
      </c>
      <c r="O9111" s="21">
        <v>58</v>
      </c>
      <c r="P9111" s="21"/>
      <c r="Q9111" s="21">
        <f t="shared" si="191"/>
        <v>1</v>
      </c>
      <c r="R9111" s="21">
        <v>1</v>
      </c>
      <c r="S9111" s="21">
        <v>0</v>
      </c>
      <c r="T9111" s="21">
        <v>0</v>
      </c>
      <c r="U9111" s="21">
        <v>0</v>
      </c>
      <c r="V9111" s="21">
        <v>0</v>
      </c>
      <c r="W9111" s="21">
        <v>1</v>
      </c>
      <c r="X9111" s="21">
        <v>0</v>
      </c>
      <c r="Y9111" s="21">
        <v>0</v>
      </c>
      <c r="Z9111" s="21">
        <v>0</v>
      </c>
      <c r="AA9111" s="21">
        <v>0</v>
      </c>
      <c r="AB9111" s="21">
        <v>0</v>
      </c>
      <c r="AC9111" s="21">
        <v>0</v>
      </c>
      <c r="AD9111" s="21">
        <v>0</v>
      </c>
      <c r="AE9111" s="21">
        <v>0</v>
      </c>
      <c r="AF9111" s="21">
        <v>0</v>
      </c>
      <c r="AG9111" s="21">
        <v>0</v>
      </c>
      <c r="AH9111" s="21">
        <v>96</v>
      </c>
      <c r="AI9111" s="21"/>
      <c r="AJ9111" s="21" t="s">
        <v>51</v>
      </c>
      <c r="AK9111" s="21" t="s">
        <v>95</v>
      </c>
      <c r="AL9111" s="21"/>
      <c r="AM9111" s="21" t="s">
        <v>6161</v>
      </c>
      <c r="AN9111" s="21">
        <v>-122.43753511666699</v>
      </c>
      <c r="AO9111" s="21">
        <v>37.801830766666598</v>
      </c>
      <c r="AP9111" s="21" t="s">
        <v>951</v>
      </c>
    </row>
    <row r="9112" spans="1:42">
      <c r="A9112" s="20">
        <v>43865</v>
      </c>
      <c r="B9112" s="21">
        <v>2</v>
      </c>
      <c r="C9112" s="21">
        <v>207</v>
      </c>
      <c r="D9112" s="21">
        <v>14657</v>
      </c>
      <c r="E9112" t="s">
        <v>37</v>
      </c>
      <c r="F9112" s="21" t="s">
        <v>436</v>
      </c>
      <c r="G9112" s="21" t="s">
        <v>4270</v>
      </c>
      <c r="H9112" s="21">
        <v>53</v>
      </c>
      <c r="I9112" s="21" t="s">
        <v>3736</v>
      </c>
      <c r="J9112" s="21"/>
      <c r="K9112" s="21" t="s">
        <v>1942</v>
      </c>
      <c r="L9112" s="21" t="s">
        <v>141</v>
      </c>
      <c r="M9112" s="21"/>
      <c r="N9112" s="21" t="s">
        <v>40</v>
      </c>
      <c r="O9112" s="21">
        <v>42</v>
      </c>
      <c r="P9112" s="21"/>
      <c r="Q9112" s="21">
        <f t="shared" si="191"/>
        <v>2</v>
      </c>
      <c r="R9112" s="21">
        <v>1</v>
      </c>
      <c r="S9112" s="21">
        <v>1</v>
      </c>
      <c r="T9112" s="21">
        <v>0</v>
      </c>
      <c r="U9112" s="21">
        <v>1</v>
      </c>
      <c r="V9112" s="21">
        <v>0</v>
      </c>
      <c r="W9112" s="21">
        <v>0</v>
      </c>
      <c r="X9112" s="21">
        <v>0</v>
      </c>
      <c r="Y9112" s="21">
        <v>0</v>
      </c>
      <c r="Z9112" s="21">
        <v>0</v>
      </c>
      <c r="AA9112" s="21">
        <v>0</v>
      </c>
      <c r="AB9112" s="21">
        <v>0</v>
      </c>
      <c r="AC9112" s="21">
        <v>0</v>
      </c>
      <c r="AD9112" s="21">
        <v>0</v>
      </c>
      <c r="AE9112" s="21">
        <v>0</v>
      </c>
      <c r="AF9112" s="21">
        <v>0</v>
      </c>
      <c r="AG9112" s="21">
        <v>0</v>
      </c>
      <c r="AH9112" s="21">
        <v>48</v>
      </c>
      <c r="AI9112" s="21"/>
      <c r="AJ9112" s="21" t="s">
        <v>51</v>
      </c>
      <c r="AK9112" s="21" t="s">
        <v>95</v>
      </c>
      <c r="AL9112" s="21"/>
      <c r="AM9112" s="21" t="s">
        <v>6162</v>
      </c>
      <c r="AN9112" s="21">
        <v>-122.43744995510001</v>
      </c>
      <c r="AO9112" s="21">
        <v>37.8002432909745</v>
      </c>
      <c r="AP9112" s="21" t="s">
        <v>951</v>
      </c>
    </row>
    <row r="9113" spans="1:42">
      <c r="A9113" s="20">
        <v>43865</v>
      </c>
      <c r="B9113" s="21">
        <v>2</v>
      </c>
      <c r="C9113" s="21">
        <v>207</v>
      </c>
      <c r="D9113" s="21">
        <v>14657</v>
      </c>
      <c r="E9113" t="s">
        <v>37</v>
      </c>
      <c r="F9113" s="21" t="s">
        <v>436</v>
      </c>
      <c r="G9113" s="21" t="s">
        <v>4270</v>
      </c>
      <c r="H9113" s="21">
        <v>54</v>
      </c>
      <c r="I9113" s="21" t="s">
        <v>3448</v>
      </c>
      <c r="J9113" s="21"/>
      <c r="K9113" s="21" t="s">
        <v>4531</v>
      </c>
      <c r="L9113" s="21"/>
      <c r="M9113" s="21"/>
      <c r="N9113" s="21" t="s">
        <v>44</v>
      </c>
      <c r="O9113" s="21">
        <v>164</v>
      </c>
      <c r="P9113" s="21"/>
      <c r="Q9113" s="21">
        <f t="shared" si="191"/>
        <v>2</v>
      </c>
      <c r="R9113" s="21">
        <v>1</v>
      </c>
      <c r="S9113" s="21">
        <v>0</v>
      </c>
      <c r="T9113" s="21">
        <v>0</v>
      </c>
      <c r="U9113" s="21">
        <v>0</v>
      </c>
      <c r="V9113" s="21">
        <v>0</v>
      </c>
      <c r="W9113" s="21">
        <v>2</v>
      </c>
      <c r="X9113" s="21">
        <v>0</v>
      </c>
      <c r="Y9113" s="21">
        <v>0</v>
      </c>
      <c r="Z9113" s="21">
        <v>0</v>
      </c>
      <c r="AA9113" s="21">
        <v>0</v>
      </c>
      <c r="AB9113" s="21">
        <v>0</v>
      </c>
      <c r="AC9113" s="21">
        <v>0</v>
      </c>
      <c r="AD9113" s="21">
        <v>0</v>
      </c>
      <c r="AE9113" s="21">
        <v>0</v>
      </c>
      <c r="AF9113" s="21">
        <v>0</v>
      </c>
      <c r="AG9113" s="21">
        <v>0</v>
      </c>
      <c r="AH9113" s="21">
        <v>192</v>
      </c>
      <c r="AI9113" s="21"/>
      <c r="AJ9113" s="21" t="s">
        <v>51</v>
      </c>
      <c r="AK9113" s="21" t="s">
        <v>52</v>
      </c>
      <c r="AL9113" s="21"/>
      <c r="AM9113" s="21" t="s">
        <v>6163</v>
      </c>
      <c r="AN9113" s="21">
        <v>-122.43742298333299</v>
      </c>
      <c r="AO9113" s="21">
        <v>37.801292949999997</v>
      </c>
      <c r="AP9113" s="21" t="s">
        <v>951</v>
      </c>
    </row>
    <row r="9114" spans="1:42">
      <c r="A9114" s="20">
        <v>43865</v>
      </c>
      <c r="B9114" s="21">
        <v>2</v>
      </c>
      <c r="C9114" s="21">
        <v>207</v>
      </c>
      <c r="D9114" s="21">
        <v>14657</v>
      </c>
      <c r="E9114" t="s">
        <v>37</v>
      </c>
      <c r="F9114" s="21" t="s">
        <v>436</v>
      </c>
      <c r="G9114" s="21" t="s">
        <v>4270</v>
      </c>
      <c r="H9114" s="21">
        <v>55</v>
      </c>
      <c r="I9114" s="21" t="s">
        <v>3448</v>
      </c>
      <c r="J9114" s="21"/>
      <c r="K9114" s="21" t="s">
        <v>1942</v>
      </c>
      <c r="L9114" s="21"/>
      <c r="M9114" s="21"/>
      <c r="N9114" s="21" t="s">
        <v>44</v>
      </c>
      <c r="O9114" s="21">
        <v>82</v>
      </c>
      <c r="P9114" s="21"/>
      <c r="Q9114" s="21">
        <f t="shared" si="191"/>
        <v>1</v>
      </c>
      <c r="R9114" s="21">
        <v>1</v>
      </c>
      <c r="S9114" s="21">
        <v>0</v>
      </c>
      <c r="T9114" s="21">
        <v>0</v>
      </c>
      <c r="U9114" s="21">
        <v>0</v>
      </c>
      <c r="V9114" s="21">
        <v>0</v>
      </c>
      <c r="W9114" s="21">
        <v>1</v>
      </c>
      <c r="X9114" s="21">
        <v>0</v>
      </c>
      <c r="Y9114" s="21">
        <v>0</v>
      </c>
      <c r="Z9114" s="21">
        <v>0</v>
      </c>
      <c r="AA9114" s="21">
        <v>0</v>
      </c>
      <c r="AB9114" s="21">
        <v>0</v>
      </c>
      <c r="AC9114" s="21">
        <v>0</v>
      </c>
      <c r="AD9114" s="21">
        <v>0</v>
      </c>
      <c r="AE9114" s="21">
        <v>0</v>
      </c>
      <c r="AF9114" s="21">
        <v>0</v>
      </c>
      <c r="AG9114" s="21">
        <v>0</v>
      </c>
      <c r="AH9114" s="21">
        <v>96</v>
      </c>
      <c r="AI9114" s="21"/>
      <c r="AJ9114" s="21" t="s">
        <v>51</v>
      </c>
      <c r="AK9114" s="21" t="s">
        <v>52</v>
      </c>
      <c r="AL9114" s="21"/>
      <c r="AM9114" s="21" t="s">
        <v>6164</v>
      </c>
      <c r="AN9114" s="21">
        <v>-122.437356716667</v>
      </c>
      <c r="AO9114" s="21">
        <v>37.800845733333297</v>
      </c>
      <c r="AP9114" s="21" t="s">
        <v>951</v>
      </c>
    </row>
    <row r="9115" spans="1:42">
      <c r="A9115" s="20">
        <v>43865</v>
      </c>
      <c r="B9115" s="21">
        <v>2</v>
      </c>
      <c r="C9115" s="21">
        <v>207</v>
      </c>
      <c r="D9115" s="21">
        <v>14657</v>
      </c>
      <c r="E9115" t="s">
        <v>37</v>
      </c>
      <c r="F9115" s="21" t="s">
        <v>436</v>
      </c>
      <c r="G9115" s="21" t="s">
        <v>4270</v>
      </c>
      <c r="H9115" s="21">
        <v>56</v>
      </c>
      <c r="I9115" s="21" t="s">
        <v>6165</v>
      </c>
      <c r="J9115" s="21"/>
      <c r="K9115" s="21" t="s">
        <v>1942</v>
      </c>
      <c r="L9115" s="21"/>
      <c r="M9115" s="21"/>
      <c r="N9115" s="21" t="s">
        <v>40</v>
      </c>
      <c r="O9115" s="21">
        <v>94</v>
      </c>
      <c r="P9115" s="21"/>
      <c r="Q9115" s="21">
        <f t="shared" si="191"/>
        <v>2</v>
      </c>
      <c r="R9115" s="21">
        <v>1</v>
      </c>
      <c r="S9115" s="21">
        <v>0</v>
      </c>
      <c r="T9115" s="21">
        <v>0</v>
      </c>
      <c r="U9115" s="21">
        <v>1</v>
      </c>
      <c r="V9115" s="21">
        <v>1</v>
      </c>
      <c r="W9115" s="21">
        <v>0</v>
      </c>
      <c r="X9115" s="21">
        <v>0</v>
      </c>
      <c r="Y9115" s="21">
        <v>0</v>
      </c>
      <c r="Z9115" s="21">
        <v>0</v>
      </c>
      <c r="AA9115" s="21">
        <v>0</v>
      </c>
      <c r="AB9115" s="21">
        <v>0</v>
      </c>
      <c r="AC9115" s="21">
        <v>0</v>
      </c>
      <c r="AD9115" s="21">
        <v>0</v>
      </c>
      <c r="AE9115" s="21">
        <v>0</v>
      </c>
      <c r="AF9115" s="21">
        <v>0</v>
      </c>
      <c r="AG9115" s="21">
        <v>0</v>
      </c>
      <c r="AH9115" s="21">
        <v>96</v>
      </c>
      <c r="AI9115" s="21"/>
      <c r="AJ9115" s="21" t="s">
        <v>51</v>
      </c>
      <c r="AK9115" s="21" t="s">
        <v>95</v>
      </c>
      <c r="AL9115" s="21"/>
      <c r="AM9115" s="21" t="s">
        <v>6166</v>
      </c>
      <c r="AN9115" s="21">
        <v>-122.437377133333</v>
      </c>
      <c r="AO9115" s="21">
        <v>37.801097400000003</v>
      </c>
      <c r="AP9115" s="21" t="s">
        <v>951</v>
      </c>
    </row>
    <row r="9116" spans="1:42">
      <c r="A9116" s="20">
        <v>43865</v>
      </c>
      <c r="B9116" s="21">
        <v>2</v>
      </c>
      <c r="C9116" s="21">
        <v>207</v>
      </c>
      <c r="D9116" s="21">
        <v>14657</v>
      </c>
      <c r="E9116" t="s">
        <v>37</v>
      </c>
      <c r="F9116" s="21" t="s">
        <v>436</v>
      </c>
      <c r="G9116" s="21" t="s">
        <v>4270</v>
      </c>
      <c r="H9116" s="21">
        <v>57</v>
      </c>
      <c r="I9116" s="21" t="s">
        <v>5496</v>
      </c>
      <c r="J9116" s="21"/>
      <c r="K9116" s="21" t="s">
        <v>1942</v>
      </c>
      <c r="L9116" s="21" t="s">
        <v>114</v>
      </c>
      <c r="M9116" s="21"/>
      <c r="N9116" s="21" t="s">
        <v>40</v>
      </c>
      <c r="O9116" s="21">
        <v>57</v>
      </c>
      <c r="P9116" s="21"/>
      <c r="Q9116" s="21">
        <f t="shared" si="191"/>
        <v>3</v>
      </c>
      <c r="R9116" s="21">
        <v>1</v>
      </c>
      <c r="S9116" s="21">
        <v>0</v>
      </c>
      <c r="T9116" s="21">
        <v>0</v>
      </c>
      <c r="U9116" s="21">
        <v>2</v>
      </c>
      <c r="V9116" s="21">
        <v>1</v>
      </c>
      <c r="W9116" s="21">
        <v>0</v>
      </c>
      <c r="X9116" s="21">
        <v>0</v>
      </c>
      <c r="Y9116" s="21">
        <v>0</v>
      </c>
      <c r="Z9116" s="21">
        <v>0</v>
      </c>
      <c r="AA9116" s="21">
        <v>0</v>
      </c>
      <c r="AB9116" s="21">
        <v>0</v>
      </c>
      <c r="AC9116" s="21">
        <v>0</v>
      </c>
      <c r="AD9116" s="21">
        <v>0</v>
      </c>
      <c r="AE9116" s="21">
        <v>0</v>
      </c>
      <c r="AF9116" s="21">
        <v>0</v>
      </c>
      <c r="AG9116" s="21">
        <v>0</v>
      </c>
      <c r="AH9116" s="21">
        <v>128</v>
      </c>
      <c r="AI9116" s="21"/>
      <c r="AJ9116" s="21" t="s">
        <v>51</v>
      </c>
      <c r="AK9116" s="21" t="s">
        <v>95</v>
      </c>
      <c r="AL9116" s="21"/>
      <c r="AM9116" s="21" t="s">
        <v>6167</v>
      </c>
      <c r="AN9116" s="21">
        <v>-122.437345216667</v>
      </c>
      <c r="AO9116" s="21">
        <v>37.801149366666699</v>
      </c>
      <c r="AP9116" s="21" t="s">
        <v>951</v>
      </c>
    </row>
    <row r="9117" spans="1:42">
      <c r="A9117" s="20">
        <v>43865</v>
      </c>
      <c r="B9117" s="21">
        <v>2</v>
      </c>
      <c r="C9117" s="21">
        <v>207</v>
      </c>
      <c r="D9117" s="21">
        <v>14657</v>
      </c>
      <c r="E9117" t="s">
        <v>37</v>
      </c>
      <c r="F9117" s="21" t="s">
        <v>436</v>
      </c>
      <c r="G9117" s="21" t="s">
        <v>4270</v>
      </c>
      <c r="H9117" s="21">
        <v>58</v>
      </c>
      <c r="I9117" s="21" t="s">
        <v>3437</v>
      </c>
      <c r="J9117" s="21"/>
      <c r="K9117" s="21" t="s">
        <v>1942</v>
      </c>
      <c r="L9117" s="21" t="s">
        <v>114</v>
      </c>
      <c r="M9117" s="21"/>
      <c r="N9117" s="21" t="s">
        <v>44</v>
      </c>
      <c r="O9117" s="21">
        <v>137</v>
      </c>
      <c r="P9117" s="21"/>
      <c r="Q9117" s="21">
        <f t="shared" si="191"/>
        <v>1</v>
      </c>
      <c r="R9117" s="21">
        <v>1</v>
      </c>
      <c r="S9117" s="21">
        <v>0</v>
      </c>
      <c r="T9117" s="21">
        <v>0</v>
      </c>
      <c r="U9117" s="21">
        <v>0</v>
      </c>
      <c r="V9117" s="21">
        <v>0</v>
      </c>
      <c r="W9117" s="21">
        <v>1</v>
      </c>
      <c r="X9117" s="21">
        <v>0</v>
      </c>
      <c r="Y9117" s="21">
        <v>0</v>
      </c>
      <c r="Z9117" s="21">
        <v>0</v>
      </c>
      <c r="AA9117" s="21">
        <v>0</v>
      </c>
      <c r="AB9117" s="21">
        <v>0</v>
      </c>
      <c r="AC9117" s="21">
        <v>0</v>
      </c>
      <c r="AD9117" s="21">
        <v>0</v>
      </c>
      <c r="AE9117" s="21">
        <v>0</v>
      </c>
      <c r="AF9117" s="21">
        <v>0</v>
      </c>
      <c r="AG9117" s="21">
        <v>0</v>
      </c>
      <c r="AH9117" s="21">
        <v>96</v>
      </c>
      <c r="AI9117" s="21"/>
      <c r="AJ9117" s="21" t="s">
        <v>51</v>
      </c>
      <c r="AK9117" s="21" t="s">
        <v>52</v>
      </c>
      <c r="AL9117" s="21"/>
      <c r="AM9117" s="21" t="s">
        <v>6168</v>
      </c>
      <c r="AN9117" s="21">
        <v>-122.437384633333</v>
      </c>
      <c r="AO9117" s="21">
        <v>37.801480833333301</v>
      </c>
      <c r="AP9117" s="21" t="s">
        <v>951</v>
      </c>
    </row>
    <row r="9118" spans="1:42">
      <c r="A9118" s="20">
        <v>43865</v>
      </c>
      <c r="B9118" s="21">
        <v>2</v>
      </c>
      <c r="C9118" s="21">
        <v>207</v>
      </c>
      <c r="D9118" s="21">
        <v>14657</v>
      </c>
      <c r="E9118" t="s">
        <v>37</v>
      </c>
      <c r="F9118" s="21" t="s">
        <v>436</v>
      </c>
      <c r="G9118" s="21" t="s">
        <v>4270</v>
      </c>
      <c r="H9118" s="21">
        <v>59</v>
      </c>
      <c r="I9118" s="21" t="s">
        <v>6169</v>
      </c>
      <c r="J9118" s="21"/>
      <c r="K9118" s="21" t="s">
        <v>1942</v>
      </c>
      <c r="L9118" s="21"/>
      <c r="M9118" s="21"/>
      <c r="N9118" s="21" t="s">
        <v>44</v>
      </c>
      <c r="O9118" s="21">
        <v>113</v>
      </c>
      <c r="P9118" s="21"/>
      <c r="Q9118" s="21">
        <f t="shared" si="191"/>
        <v>2</v>
      </c>
      <c r="R9118" s="21">
        <v>1</v>
      </c>
      <c r="S9118" s="21">
        <v>0</v>
      </c>
      <c r="T9118" s="21">
        <v>0</v>
      </c>
      <c r="U9118" s="21">
        <v>1</v>
      </c>
      <c r="V9118" s="21">
        <v>0</v>
      </c>
      <c r="W9118" s="21">
        <v>1</v>
      </c>
      <c r="X9118" s="21">
        <v>0</v>
      </c>
      <c r="Y9118" s="21">
        <v>0</v>
      </c>
      <c r="Z9118" s="21">
        <v>0</v>
      </c>
      <c r="AA9118" s="21">
        <v>0</v>
      </c>
      <c r="AB9118" s="21">
        <v>0</v>
      </c>
      <c r="AC9118" s="21">
        <v>0</v>
      </c>
      <c r="AD9118" s="21">
        <v>0</v>
      </c>
      <c r="AE9118" s="21">
        <v>0</v>
      </c>
      <c r="AF9118" s="21">
        <v>0</v>
      </c>
      <c r="AG9118" s="21">
        <v>0</v>
      </c>
      <c r="AH9118" s="21">
        <v>128</v>
      </c>
      <c r="AI9118" s="21"/>
      <c r="AJ9118" s="21" t="s">
        <v>51</v>
      </c>
      <c r="AK9118" s="21" t="s">
        <v>95</v>
      </c>
      <c r="AL9118" s="21"/>
      <c r="AM9118" s="21" t="s">
        <v>6170</v>
      </c>
      <c r="AN9118" s="21">
        <v>-122.437436666667</v>
      </c>
      <c r="AO9118" s="21">
        <v>37.801456600000002</v>
      </c>
      <c r="AP9118" s="21" t="s">
        <v>951</v>
      </c>
    </row>
    <row r="9119" spans="1:42">
      <c r="A9119" s="20">
        <v>43865</v>
      </c>
      <c r="B9119" s="21">
        <v>2</v>
      </c>
      <c r="C9119" s="21">
        <v>207</v>
      </c>
      <c r="D9119" s="21">
        <v>14657</v>
      </c>
      <c r="E9119" t="s">
        <v>37</v>
      </c>
      <c r="F9119" s="21" t="s">
        <v>436</v>
      </c>
      <c r="G9119" s="21" t="s">
        <v>4270</v>
      </c>
      <c r="H9119" s="21">
        <v>60</v>
      </c>
      <c r="I9119" s="21" t="s">
        <v>6171</v>
      </c>
      <c r="J9119" s="21"/>
      <c r="K9119" s="21" t="s">
        <v>1942</v>
      </c>
      <c r="L9119" s="21" t="s">
        <v>114</v>
      </c>
      <c r="M9119" s="21"/>
      <c r="N9119" s="21" t="s">
        <v>40</v>
      </c>
      <c r="O9119" s="21">
        <v>87</v>
      </c>
      <c r="P9119" s="21"/>
      <c r="Q9119" s="21">
        <f t="shared" si="191"/>
        <v>4</v>
      </c>
      <c r="R9119" s="21">
        <v>1</v>
      </c>
      <c r="S9119" s="21">
        <v>1</v>
      </c>
      <c r="T9119" s="21">
        <v>0</v>
      </c>
      <c r="U9119" s="21">
        <v>3</v>
      </c>
      <c r="V9119" s="21">
        <v>0</v>
      </c>
      <c r="W9119" s="21">
        <v>0</v>
      </c>
      <c r="X9119" s="21">
        <v>0</v>
      </c>
      <c r="Y9119" s="21">
        <v>0</v>
      </c>
      <c r="Z9119" s="21">
        <v>0</v>
      </c>
      <c r="AA9119" s="21">
        <v>0</v>
      </c>
      <c r="AB9119" s="21">
        <v>0</v>
      </c>
      <c r="AC9119" s="21">
        <v>0</v>
      </c>
      <c r="AD9119" s="21">
        <v>0</v>
      </c>
      <c r="AE9119" s="21">
        <v>0</v>
      </c>
      <c r="AF9119" s="21">
        <v>0</v>
      </c>
      <c r="AG9119" s="21">
        <v>0</v>
      </c>
      <c r="AH9119" s="21">
        <v>112</v>
      </c>
      <c r="AI9119" s="21"/>
      <c r="AJ9119" s="21" t="s">
        <v>51</v>
      </c>
      <c r="AK9119" s="21" t="s">
        <v>52</v>
      </c>
      <c r="AL9119" s="21"/>
      <c r="AM9119" s="21" t="s">
        <v>6172</v>
      </c>
      <c r="AN9119" s="21">
        <v>-122.43745553333299</v>
      </c>
      <c r="AO9119" s="21">
        <v>37.801464666666703</v>
      </c>
      <c r="AP9119" s="21" t="s">
        <v>951</v>
      </c>
    </row>
    <row r="9120" spans="1:42">
      <c r="A9120" s="20">
        <v>43865</v>
      </c>
      <c r="B9120" s="21">
        <v>2</v>
      </c>
      <c r="C9120" s="21">
        <v>207</v>
      </c>
      <c r="D9120" s="21">
        <v>14657</v>
      </c>
      <c r="E9120" t="s">
        <v>37</v>
      </c>
      <c r="F9120" s="21" t="s">
        <v>436</v>
      </c>
      <c r="G9120" s="21" t="s">
        <v>4270</v>
      </c>
      <c r="H9120" s="21">
        <v>61</v>
      </c>
      <c r="I9120" s="21" t="s">
        <v>6173</v>
      </c>
      <c r="J9120" s="21"/>
      <c r="K9120" s="21" t="s">
        <v>1942</v>
      </c>
      <c r="L9120" s="21" t="s">
        <v>114</v>
      </c>
      <c r="M9120" s="21"/>
      <c r="N9120" s="21" t="s">
        <v>40</v>
      </c>
      <c r="O9120" s="21">
        <v>60</v>
      </c>
      <c r="P9120" s="21"/>
      <c r="Q9120" s="21">
        <f t="shared" si="191"/>
        <v>3</v>
      </c>
      <c r="R9120" s="21">
        <v>1</v>
      </c>
      <c r="S9120" s="21">
        <v>0</v>
      </c>
      <c r="T9120" s="21">
        <v>0</v>
      </c>
      <c r="U9120" s="21">
        <v>2</v>
      </c>
      <c r="V9120" s="21">
        <v>1</v>
      </c>
      <c r="W9120" s="21">
        <v>0</v>
      </c>
      <c r="X9120" s="21">
        <v>0</v>
      </c>
      <c r="Y9120" s="21">
        <v>0</v>
      </c>
      <c r="Z9120" s="21">
        <v>0</v>
      </c>
      <c r="AA9120" s="21">
        <v>0</v>
      </c>
      <c r="AB9120" s="21">
        <v>0</v>
      </c>
      <c r="AC9120" s="21">
        <v>0</v>
      </c>
      <c r="AD9120" s="21">
        <v>0</v>
      </c>
      <c r="AE9120" s="21">
        <v>0</v>
      </c>
      <c r="AF9120" s="21">
        <v>0</v>
      </c>
      <c r="AG9120" s="21">
        <v>0</v>
      </c>
      <c r="AH9120" s="21">
        <v>128</v>
      </c>
      <c r="AI9120" s="21"/>
      <c r="AJ9120" s="21" t="s">
        <v>51</v>
      </c>
      <c r="AK9120" s="21" t="s">
        <v>95</v>
      </c>
      <c r="AL9120" s="21"/>
      <c r="AM9120" s="21" t="s">
        <v>6174</v>
      </c>
      <c r="AN9120" s="21">
        <v>-122.437515583333</v>
      </c>
      <c r="AO9120" s="21">
        <v>37.801690516666703</v>
      </c>
      <c r="AP9120" s="21" t="s">
        <v>951</v>
      </c>
    </row>
    <row r="9121" spans="1:42">
      <c r="A9121" s="20">
        <v>43865</v>
      </c>
      <c r="B9121" s="21">
        <v>2</v>
      </c>
      <c r="C9121" s="21">
        <v>207</v>
      </c>
      <c r="D9121" s="21">
        <v>14657</v>
      </c>
      <c r="E9121" t="s">
        <v>37</v>
      </c>
      <c r="F9121" s="21" t="s">
        <v>436</v>
      </c>
      <c r="G9121" s="21" t="s">
        <v>4270</v>
      </c>
      <c r="H9121" s="21">
        <v>62</v>
      </c>
      <c r="I9121" s="21" t="s">
        <v>6175</v>
      </c>
      <c r="J9121" s="21"/>
      <c r="K9121" s="21" t="s">
        <v>1942</v>
      </c>
      <c r="L9121" s="21" t="s">
        <v>114</v>
      </c>
      <c r="M9121" s="21"/>
      <c r="N9121" s="21" t="s">
        <v>40</v>
      </c>
      <c r="O9121" s="21">
        <v>32</v>
      </c>
      <c r="P9121" s="21"/>
      <c r="Q9121" s="21">
        <f t="shared" si="191"/>
        <v>2</v>
      </c>
      <c r="R9121" s="21">
        <v>1</v>
      </c>
      <c r="S9121" s="21">
        <v>0</v>
      </c>
      <c r="T9121" s="21">
        <v>0</v>
      </c>
      <c r="U9121" s="21">
        <v>0</v>
      </c>
      <c r="V9121" s="21">
        <v>2</v>
      </c>
      <c r="W9121" s="21">
        <v>0</v>
      </c>
      <c r="X9121" s="21">
        <v>0</v>
      </c>
      <c r="Y9121" s="21">
        <v>0</v>
      </c>
      <c r="Z9121" s="21">
        <v>0</v>
      </c>
      <c r="AA9121" s="21">
        <v>0</v>
      </c>
      <c r="AB9121" s="21">
        <v>0</v>
      </c>
      <c r="AC9121" s="21">
        <v>0</v>
      </c>
      <c r="AD9121" s="21">
        <v>0</v>
      </c>
      <c r="AE9121" s="21">
        <v>0</v>
      </c>
      <c r="AF9121" s="21">
        <v>0</v>
      </c>
      <c r="AG9121" s="21">
        <v>0</v>
      </c>
      <c r="AH9121" s="21">
        <v>128</v>
      </c>
      <c r="AI9121" s="21"/>
      <c r="AJ9121" s="21" t="s">
        <v>51</v>
      </c>
      <c r="AK9121" s="21" t="s">
        <v>95</v>
      </c>
      <c r="AL9121" s="21"/>
      <c r="AM9121" s="21" t="s">
        <v>6176</v>
      </c>
      <c r="AN9121" s="21">
        <v>-122.4374754</v>
      </c>
      <c r="AO9121" s="21">
        <v>37.801741516666603</v>
      </c>
      <c r="AP9121" s="21" t="s">
        <v>951</v>
      </c>
    </row>
    <row r="9122" spans="1:42">
      <c r="A9122" s="20">
        <v>43865</v>
      </c>
      <c r="B9122" s="21">
        <v>2</v>
      </c>
      <c r="C9122" s="21">
        <v>207</v>
      </c>
      <c r="D9122" s="21">
        <v>14657</v>
      </c>
      <c r="E9122" t="s">
        <v>37</v>
      </c>
      <c r="F9122" s="21" t="s">
        <v>436</v>
      </c>
      <c r="G9122" s="21" t="s">
        <v>4270</v>
      </c>
      <c r="H9122" s="21">
        <v>63</v>
      </c>
      <c r="I9122" s="21" t="s">
        <v>6177</v>
      </c>
      <c r="J9122" s="21"/>
      <c r="K9122" s="21" t="s">
        <v>1942</v>
      </c>
      <c r="L9122" s="21" t="s">
        <v>114</v>
      </c>
      <c r="M9122" s="21"/>
      <c r="N9122" s="21" t="s">
        <v>40</v>
      </c>
      <c r="O9122" s="21">
        <v>101</v>
      </c>
      <c r="P9122" s="21"/>
      <c r="Q9122" s="21">
        <f t="shared" si="191"/>
        <v>3</v>
      </c>
      <c r="R9122" s="21">
        <v>1</v>
      </c>
      <c r="S9122" s="21">
        <v>0</v>
      </c>
      <c r="T9122" s="21">
        <v>0</v>
      </c>
      <c r="U9122" s="21">
        <v>1</v>
      </c>
      <c r="V9122" s="21">
        <v>2</v>
      </c>
      <c r="W9122" s="21">
        <v>0</v>
      </c>
      <c r="X9122" s="21">
        <v>0</v>
      </c>
      <c r="Y9122" s="21">
        <v>0</v>
      </c>
      <c r="Z9122" s="21">
        <v>0</v>
      </c>
      <c r="AA9122" s="21">
        <v>0</v>
      </c>
      <c r="AB9122" s="21">
        <v>0</v>
      </c>
      <c r="AC9122" s="21">
        <v>0</v>
      </c>
      <c r="AD9122" s="21">
        <v>0</v>
      </c>
      <c r="AE9122" s="21">
        <v>0</v>
      </c>
      <c r="AF9122" s="21">
        <v>0</v>
      </c>
      <c r="AG9122" s="21">
        <v>0</v>
      </c>
      <c r="AH9122" s="21">
        <v>160</v>
      </c>
      <c r="AI9122" s="21"/>
      <c r="AJ9122" s="21" t="s">
        <v>6178</v>
      </c>
      <c r="AK9122" s="21" t="s">
        <v>95</v>
      </c>
      <c r="AL9122" s="21"/>
      <c r="AM9122" s="21" t="s">
        <v>6179</v>
      </c>
      <c r="AN9122" s="21">
        <v>-122.437509483333</v>
      </c>
      <c r="AO9122" s="21">
        <v>37.801818716666702</v>
      </c>
      <c r="AP9122" s="21" t="s">
        <v>951</v>
      </c>
    </row>
    <row r="9123" spans="1:42">
      <c r="A9123" s="20">
        <v>43865</v>
      </c>
      <c r="B9123" s="21">
        <v>2</v>
      </c>
      <c r="C9123" s="21">
        <v>207</v>
      </c>
      <c r="D9123" s="21">
        <v>14657</v>
      </c>
      <c r="E9123" t="s">
        <v>37</v>
      </c>
      <c r="F9123" s="21" t="s">
        <v>436</v>
      </c>
      <c r="G9123" s="21" t="s">
        <v>4270</v>
      </c>
      <c r="H9123" s="21">
        <v>64</v>
      </c>
      <c r="I9123" s="21" t="s">
        <v>6180</v>
      </c>
      <c r="J9123" s="21"/>
      <c r="K9123" s="21" t="s">
        <v>1942</v>
      </c>
      <c r="L9123" s="21" t="s">
        <v>114</v>
      </c>
      <c r="M9123" s="21"/>
      <c r="N9123" s="21" t="s">
        <v>40</v>
      </c>
      <c r="O9123" s="21">
        <v>73</v>
      </c>
      <c r="P9123" s="21"/>
      <c r="Q9123" s="21">
        <f t="shared" si="191"/>
        <v>3</v>
      </c>
      <c r="R9123" s="21">
        <v>1</v>
      </c>
      <c r="S9123" s="21">
        <v>2</v>
      </c>
      <c r="T9123" s="21">
        <v>0</v>
      </c>
      <c r="U9123" s="21">
        <v>1</v>
      </c>
      <c r="V9123" s="21">
        <v>0</v>
      </c>
      <c r="W9123" s="21">
        <v>0</v>
      </c>
      <c r="X9123" s="21">
        <v>0</v>
      </c>
      <c r="Y9123" s="21">
        <v>0</v>
      </c>
      <c r="Z9123" s="21">
        <v>0</v>
      </c>
      <c r="AA9123" s="21">
        <v>0</v>
      </c>
      <c r="AB9123" s="21">
        <v>0</v>
      </c>
      <c r="AC9123" s="21">
        <v>0</v>
      </c>
      <c r="AD9123" s="21">
        <v>0</v>
      </c>
      <c r="AE9123" s="21">
        <v>0</v>
      </c>
      <c r="AF9123" s="21">
        <v>0</v>
      </c>
      <c r="AG9123" s="21">
        <v>0</v>
      </c>
      <c r="AH9123" s="21">
        <v>64</v>
      </c>
      <c r="AI9123" s="21"/>
      <c r="AJ9123" s="21" t="s">
        <v>51</v>
      </c>
      <c r="AK9123" s="21" t="s">
        <v>95</v>
      </c>
      <c r="AL9123" s="21"/>
      <c r="AM9123" s="21" t="s">
        <v>6181</v>
      </c>
      <c r="AN9123" s="21">
        <v>-122.437501466667</v>
      </c>
      <c r="AO9123" s="21">
        <v>37.801935833333303</v>
      </c>
      <c r="AP9123" s="21" t="s">
        <v>951</v>
      </c>
    </row>
    <row r="9124" spans="1:42">
      <c r="A9124" s="20">
        <v>43865</v>
      </c>
      <c r="B9124" s="21">
        <v>2</v>
      </c>
      <c r="C9124" s="21">
        <v>207</v>
      </c>
      <c r="D9124" s="21">
        <v>14657</v>
      </c>
      <c r="E9124" t="s">
        <v>37</v>
      </c>
      <c r="F9124" s="21" t="s">
        <v>436</v>
      </c>
      <c r="G9124" s="21" t="s">
        <v>4270</v>
      </c>
      <c r="H9124" s="21">
        <v>65</v>
      </c>
      <c r="I9124" s="21" t="s">
        <v>6182</v>
      </c>
      <c r="J9124" s="21"/>
      <c r="K9124" s="21" t="s">
        <v>1942</v>
      </c>
      <c r="L9124" s="21" t="s">
        <v>114</v>
      </c>
      <c r="M9124" s="21"/>
      <c r="N9124" s="21" t="s">
        <v>40</v>
      </c>
      <c r="O9124" s="21">
        <v>80</v>
      </c>
      <c r="P9124" s="21"/>
      <c r="Q9124" s="21">
        <f t="shared" ref="Q9124:Q9187" si="192">SUM(S9124:AE9124)</f>
        <v>4</v>
      </c>
      <c r="R9124" s="21">
        <v>1</v>
      </c>
      <c r="S9124" s="21">
        <v>2</v>
      </c>
      <c r="T9124" s="21">
        <v>0</v>
      </c>
      <c r="U9124" s="21">
        <v>2</v>
      </c>
      <c r="V9124" s="21">
        <v>0</v>
      </c>
      <c r="W9124" s="21">
        <v>0</v>
      </c>
      <c r="X9124" s="21">
        <v>0</v>
      </c>
      <c r="Y9124" s="21">
        <v>0</v>
      </c>
      <c r="Z9124" s="21">
        <v>0</v>
      </c>
      <c r="AA9124" s="21">
        <v>0</v>
      </c>
      <c r="AB9124" s="21">
        <v>0</v>
      </c>
      <c r="AC9124" s="21">
        <v>0</v>
      </c>
      <c r="AD9124" s="21">
        <v>0</v>
      </c>
      <c r="AE9124" s="21">
        <v>0</v>
      </c>
      <c r="AF9124" s="21">
        <v>0</v>
      </c>
      <c r="AG9124" s="21">
        <v>0</v>
      </c>
      <c r="AH9124" s="21">
        <v>96</v>
      </c>
      <c r="AI9124" s="21"/>
      <c r="AJ9124" s="21" t="s">
        <v>51</v>
      </c>
      <c r="AK9124" s="21" t="s">
        <v>95</v>
      </c>
      <c r="AL9124" s="21"/>
      <c r="AM9124" s="21" t="s">
        <v>6183</v>
      </c>
      <c r="AN9124" s="21">
        <v>-122.43753305</v>
      </c>
      <c r="AO9124" s="21">
        <v>37.802034366666703</v>
      </c>
      <c r="AP9124" s="21" t="s">
        <v>951</v>
      </c>
    </row>
    <row r="9125" spans="1:42">
      <c r="A9125" s="20">
        <v>43865</v>
      </c>
      <c r="B9125" s="21">
        <v>2</v>
      </c>
      <c r="C9125" s="21">
        <v>207</v>
      </c>
      <c r="D9125" s="21">
        <v>14657</v>
      </c>
      <c r="E9125" t="s">
        <v>37</v>
      </c>
      <c r="F9125" s="21" t="s">
        <v>436</v>
      </c>
      <c r="G9125" s="21" t="s">
        <v>4270</v>
      </c>
      <c r="H9125" s="21">
        <v>66</v>
      </c>
      <c r="I9125" s="21" t="s">
        <v>5110</v>
      </c>
      <c r="J9125" s="21"/>
      <c r="K9125" s="21" t="s">
        <v>1942</v>
      </c>
      <c r="L9125" s="21" t="s">
        <v>114</v>
      </c>
      <c r="M9125" s="21"/>
      <c r="N9125" s="21" t="s">
        <v>44</v>
      </c>
      <c r="O9125" s="21">
        <v>62</v>
      </c>
      <c r="P9125" s="21"/>
      <c r="Q9125" s="21">
        <f t="shared" si="192"/>
        <v>2</v>
      </c>
      <c r="R9125" s="21">
        <v>1</v>
      </c>
      <c r="S9125" s="21">
        <v>0</v>
      </c>
      <c r="T9125" s="21">
        <v>0</v>
      </c>
      <c r="U9125" s="21">
        <v>1</v>
      </c>
      <c r="V9125" s="21">
        <v>0</v>
      </c>
      <c r="W9125" s="21">
        <v>1</v>
      </c>
      <c r="X9125" s="21">
        <v>0</v>
      </c>
      <c r="Y9125" s="21">
        <v>0</v>
      </c>
      <c r="Z9125" s="21">
        <v>0</v>
      </c>
      <c r="AA9125" s="21">
        <v>0</v>
      </c>
      <c r="AB9125" s="21">
        <v>0</v>
      </c>
      <c r="AC9125" s="21">
        <v>0</v>
      </c>
      <c r="AD9125" s="21">
        <v>0</v>
      </c>
      <c r="AE9125" s="21">
        <v>0</v>
      </c>
      <c r="AF9125" s="21">
        <v>0</v>
      </c>
      <c r="AG9125" s="21">
        <v>0</v>
      </c>
      <c r="AH9125" s="21">
        <v>128</v>
      </c>
      <c r="AI9125" s="21"/>
      <c r="AJ9125" s="21" t="s">
        <v>51</v>
      </c>
      <c r="AK9125" s="21" t="s">
        <v>95</v>
      </c>
      <c r="AL9125" s="21"/>
      <c r="AM9125" s="21" t="s">
        <v>6184</v>
      </c>
      <c r="AN9125" s="21">
        <v>-122.437626416667</v>
      </c>
      <c r="AO9125" s="21">
        <v>37.802285849999997</v>
      </c>
      <c r="AP9125" s="21" t="s">
        <v>951</v>
      </c>
    </row>
    <row r="9126" spans="1:42">
      <c r="A9126" s="20">
        <v>43865</v>
      </c>
      <c r="B9126" s="21">
        <v>2</v>
      </c>
      <c r="C9126" s="21">
        <v>207</v>
      </c>
      <c r="D9126" s="21">
        <v>14657</v>
      </c>
      <c r="E9126" t="s">
        <v>37</v>
      </c>
      <c r="F9126" s="21" t="s">
        <v>436</v>
      </c>
      <c r="G9126" s="21" t="s">
        <v>4270</v>
      </c>
      <c r="H9126" s="21">
        <v>67</v>
      </c>
      <c r="I9126" s="21" t="s">
        <v>6185</v>
      </c>
      <c r="J9126" s="21"/>
      <c r="K9126" s="21" t="s">
        <v>1942</v>
      </c>
      <c r="L9126" s="21"/>
      <c r="M9126" s="21"/>
      <c r="N9126" s="21" t="s">
        <v>44</v>
      </c>
      <c r="O9126" s="21">
        <v>98</v>
      </c>
      <c r="P9126" s="21"/>
      <c r="Q9126" s="21">
        <f t="shared" si="192"/>
        <v>2</v>
      </c>
      <c r="R9126" s="21">
        <v>1</v>
      </c>
      <c r="S9126" s="21">
        <v>0</v>
      </c>
      <c r="T9126" s="21">
        <v>0</v>
      </c>
      <c r="U9126" s="21">
        <v>1</v>
      </c>
      <c r="V9126" s="21">
        <v>0</v>
      </c>
      <c r="W9126" s="21">
        <v>1</v>
      </c>
      <c r="X9126" s="21">
        <v>0</v>
      </c>
      <c r="Y9126" s="21">
        <v>0</v>
      </c>
      <c r="Z9126" s="21">
        <v>0</v>
      </c>
      <c r="AA9126" s="21">
        <v>0</v>
      </c>
      <c r="AB9126" s="21">
        <v>0</v>
      </c>
      <c r="AC9126" s="21">
        <v>0</v>
      </c>
      <c r="AD9126" s="21">
        <v>0</v>
      </c>
      <c r="AE9126" s="21">
        <v>0</v>
      </c>
      <c r="AF9126" s="21">
        <v>0</v>
      </c>
      <c r="AG9126" s="21">
        <v>0</v>
      </c>
      <c r="AH9126" s="21">
        <v>128</v>
      </c>
      <c r="AI9126" s="21"/>
      <c r="AJ9126" s="21" t="s">
        <v>51</v>
      </c>
      <c r="AK9126" s="21" t="s">
        <v>95</v>
      </c>
      <c r="AL9126" s="21"/>
      <c r="AM9126" s="21" t="s">
        <v>6186</v>
      </c>
      <c r="AN9126" s="21">
        <v>-122.4376446</v>
      </c>
      <c r="AO9126" s="21">
        <v>37.8023207833333</v>
      </c>
      <c r="AP9126" s="21" t="s">
        <v>951</v>
      </c>
    </row>
    <row r="9127" spans="1:42">
      <c r="A9127" s="20">
        <v>43865</v>
      </c>
      <c r="B9127" s="21">
        <v>2</v>
      </c>
      <c r="C9127" s="21">
        <v>207</v>
      </c>
      <c r="D9127" s="21">
        <v>14657</v>
      </c>
      <c r="E9127" t="s">
        <v>37</v>
      </c>
      <c r="F9127" s="21" t="s">
        <v>436</v>
      </c>
      <c r="G9127" s="21" t="s">
        <v>4270</v>
      </c>
      <c r="H9127" s="21">
        <v>68</v>
      </c>
      <c r="I9127" s="21" t="s">
        <v>6187</v>
      </c>
      <c r="J9127" s="21"/>
      <c r="K9127" s="21" t="s">
        <v>1942</v>
      </c>
      <c r="L9127" s="21" t="s">
        <v>114</v>
      </c>
      <c r="M9127" s="21"/>
      <c r="N9127" s="21" t="s">
        <v>40</v>
      </c>
      <c r="O9127" s="21">
        <v>93</v>
      </c>
      <c r="P9127" s="21"/>
      <c r="Q9127" s="21">
        <f t="shared" si="192"/>
        <v>3</v>
      </c>
      <c r="R9127" s="21">
        <v>1</v>
      </c>
      <c r="S9127" s="21">
        <v>1</v>
      </c>
      <c r="T9127" s="21">
        <v>0</v>
      </c>
      <c r="U9127" s="21">
        <v>0</v>
      </c>
      <c r="V9127" s="21">
        <v>2</v>
      </c>
      <c r="W9127" s="21">
        <v>0</v>
      </c>
      <c r="X9127" s="21">
        <v>0</v>
      </c>
      <c r="Y9127" s="21">
        <v>0</v>
      </c>
      <c r="Z9127" s="21">
        <v>0</v>
      </c>
      <c r="AA9127" s="21">
        <v>0</v>
      </c>
      <c r="AB9127" s="21">
        <v>0</v>
      </c>
      <c r="AC9127" s="21">
        <v>0</v>
      </c>
      <c r="AD9127" s="21">
        <v>0</v>
      </c>
      <c r="AE9127" s="21">
        <v>0</v>
      </c>
      <c r="AF9127" s="21">
        <v>0</v>
      </c>
      <c r="AG9127" s="21">
        <v>0</v>
      </c>
      <c r="AH9127" s="21">
        <v>144</v>
      </c>
      <c r="AI9127" s="21"/>
      <c r="AJ9127" s="21" t="s">
        <v>51</v>
      </c>
      <c r="AK9127" s="21" t="s">
        <v>95</v>
      </c>
      <c r="AL9127" s="21"/>
      <c r="AM9127" s="21" t="s">
        <v>6188</v>
      </c>
      <c r="AN9127" s="21">
        <v>-122.438397916667</v>
      </c>
      <c r="AO9127" s="21">
        <v>37.802727083333302</v>
      </c>
      <c r="AP9127" s="21" t="s">
        <v>951</v>
      </c>
    </row>
    <row r="9128" spans="1:42">
      <c r="A9128" s="20">
        <v>43865</v>
      </c>
      <c r="B9128" s="21">
        <v>2</v>
      </c>
      <c r="C9128" s="21">
        <v>207</v>
      </c>
      <c r="D9128" s="21">
        <v>14657</v>
      </c>
      <c r="E9128" t="s">
        <v>37</v>
      </c>
      <c r="F9128" s="21" t="s">
        <v>436</v>
      </c>
      <c r="G9128" s="21" t="s">
        <v>4270</v>
      </c>
      <c r="H9128" s="21">
        <v>69</v>
      </c>
      <c r="I9128" s="21" t="s">
        <v>5782</v>
      </c>
      <c r="J9128" s="21"/>
      <c r="K9128" s="21" t="s">
        <v>1942</v>
      </c>
      <c r="L9128" s="21" t="s">
        <v>114</v>
      </c>
      <c r="M9128" s="21"/>
      <c r="N9128" s="21" t="s">
        <v>40</v>
      </c>
      <c r="O9128" s="21">
        <v>115</v>
      </c>
      <c r="P9128" s="21"/>
      <c r="Q9128" s="21">
        <f t="shared" si="192"/>
        <v>6</v>
      </c>
      <c r="R9128" s="21">
        <v>1</v>
      </c>
      <c r="S9128" s="21">
        <v>1</v>
      </c>
      <c r="T9128" s="21">
        <v>0</v>
      </c>
      <c r="U9128" s="21">
        <v>3</v>
      </c>
      <c r="V9128" s="21">
        <v>2</v>
      </c>
      <c r="W9128" s="21">
        <v>0</v>
      </c>
      <c r="X9128" s="21">
        <v>0</v>
      </c>
      <c r="Y9128" s="21">
        <v>0</v>
      </c>
      <c r="Z9128" s="21">
        <v>0</v>
      </c>
      <c r="AA9128" s="21">
        <v>0</v>
      </c>
      <c r="AB9128" s="21">
        <v>0</v>
      </c>
      <c r="AC9128" s="21">
        <v>0</v>
      </c>
      <c r="AD9128" s="21">
        <v>0</v>
      </c>
      <c r="AE9128" s="21">
        <v>0</v>
      </c>
      <c r="AF9128" s="21">
        <v>0</v>
      </c>
      <c r="AG9128" s="21">
        <v>0</v>
      </c>
      <c r="AH9128" s="21">
        <v>240</v>
      </c>
      <c r="AI9128" s="21"/>
      <c r="AJ9128" s="21" t="s">
        <v>51</v>
      </c>
      <c r="AK9128" s="21" t="s">
        <v>95</v>
      </c>
      <c r="AL9128" s="21"/>
      <c r="AM9128" s="21" t="s">
        <v>6189</v>
      </c>
      <c r="AN9128" s="21">
        <v>-122.438425916667</v>
      </c>
      <c r="AO9128" s="21">
        <v>37.802829516666598</v>
      </c>
      <c r="AP9128" s="21" t="s">
        <v>951</v>
      </c>
    </row>
    <row r="9129" spans="1:42">
      <c r="A9129" s="20">
        <v>43865</v>
      </c>
      <c r="B9129" s="21">
        <v>2</v>
      </c>
      <c r="C9129" s="21">
        <v>207</v>
      </c>
      <c r="D9129" s="21">
        <v>14657</v>
      </c>
      <c r="E9129" t="s">
        <v>37</v>
      </c>
      <c r="F9129" s="21" t="s">
        <v>436</v>
      </c>
      <c r="G9129" s="21" t="s">
        <v>4270</v>
      </c>
      <c r="H9129" s="21">
        <v>70</v>
      </c>
      <c r="I9129" s="21" t="s">
        <v>6190</v>
      </c>
      <c r="J9129" s="21"/>
      <c r="K9129" s="21" t="s">
        <v>1942</v>
      </c>
      <c r="L9129" s="21" t="s">
        <v>114</v>
      </c>
      <c r="M9129" s="21"/>
      <c r="N9129" s="21" t="s">
        <v>40</v>
      </c>
      <c r="O9129" s="21">
        <v>29</v>
      </c>
      <c r="P9129" s="21"/>
      <c r="Q9129" s="21">
        <f t="shared" si="192"/>
        <v>2</v>
      </c>
      <c r="R9129" s="21">
        <v>1</v>
      </c>
      <c r="S9129" s="21">
        <v>0</v>
      </c>
      <c r="T9129" s="21">
        <v>0</v>
      </c>
      <c r="U9129" s="21">
        <v>2</v>
      </c>
      <c r="V9129" s="21">
        <v>0</v>
      </c>
      <c r="W9129" s="21">
        <v>0</v>
      </c>
      <c r="X9129" s="21">
        <v>0</v>
      </c>
      <c r="Y9129" s="21">
        <v>0</v>
      </c>
      <c r="Z9129" s="21">
        <v>0</v>
      </c>
      <c r="AA9129" s="21">
        <v>0</v>
      </c>
      <c r="AB9129" s="21">
        <v>0</v>
      </c>
      <c r="AC9129" s="21">
        <v>0</v>
      </c>
      <c r="AD9129" s="21">
        <v>0</v>
      </c>
      <c r="AE9129" s="21">
        <v>0</v>
      </c>
      <c r="AF9129" s="21">
        <v>0</v>
      </c>
      <c r="AG9129" s="21">
        <v>0</v>
      </c>
      <c r="AH9129" s="21">
        <v>64</v>
      </c>
      <c r="AI9129" s="21"/>
      <c r="AJ9129" s="21" t="s">
        <v>51</v>
      </c>
      <c r="AK9129" s="21" t="s">
        <v>95</v>
      </c>
      <c r="AL9129" s="21"/>
      <c r="AM9129" s="21" t="s">
        <v>6191</v>
      </c>
      <c r="AN9129" s="21">
        <v>-122.43852505</v>
      </c>
      <c r="AO9129" s="21">
        <v>37.802931366666698</v>
      </c>
      <c r="AP9129" s="21" t="s">
        <v>951</v>
      </c>
    </row>
    <row r="9130" spans="1:42">
      <c r="A9130" s="20">
        <v>43865</v>
      </c>
      <c r="B9130" s="21">
        <v>2</v>
      </c>
      <c r="C9130" s="21">
        <v>207</v>
      </c>
      <c r="D9130" s="21">
        <v>14657</v>
      </c>
      <c r="E9130" t="s">
        <v>37</v>
      </c>
      <c r="F9130" s="21" t="s">
        <v>436</v>
      </c>
      <c r="G9130" s="21" t="s">
        <v>4270</v>
      </c>
      <c r="H9130" s="21">
        <v>71</v>
      </c>
      <c r="I9130" s="21" t="s">
        <v>6192</v>
      </c>
      <c r="J9130" s="21"/>
      <c r="K9130" s="21" t="s">
        <v>1942</v>
      </c>
      <c r="L9130" s="21" t="s">
        <v>114</v>
      </c>
      <c r="M9130" s="21"/>
      <c r="N9130" s="21" t="s">
        <v>40</v>
      </c>
      <c r="O9130" s="21">
        <v>41</v>
      </c>
      <c r="P9130" s="21"/>
      <c r="Q9130" s="21">
        <f t="shared" si="192"/>
        <v>2</v>
      </c>
      <c r="R9130" s="21">
        <v>1</v>
      </c>
      <c r="S9130" s="21">
        <v>0</v>
      </c>
      <c r="T9130" s="21">
        <v>0</v>
      </c>
      <c r="U9130" s="21">
        <v>1</v>
      </c>
      <c r="V9130" s="21">
        <v>1</v>
      </c>
      <c r="W9130" s="21">
        <v>0</v>
      </c>
      <c r="X9130" s="21">
        <v>0</v>
      </c>
      <c r="Y9130" s="21">
        <v>0</v>
      </c>
      <c r="Z9130" s="21">
        <v>0</v>
      </c>
      <c r="AA9130" s="21">
        <v>0</v>
      </c>
      <c r="AB9130" s="21">
        <v>0</v>
      </c>
      <c r="AC9130" s="21">
        <v>0</v>
      </c>
      <c r="AD9130" s="21">
        <v>0</v>
      </c>
      <c r="AE9130" s="21">
        <v>0</v>
      </c>
      <c r="AF9130" s="21">
        <v>0</v>
      </c>
      <c r="AG9130" s="21">
        <v>0</v>
      </c>
      <c r="AH9130" s="21">
        <v>96</v>
      </c>
      <c r="AI9130" s="21"/>
      <c r="AJ9130" s="21" t="s">
        <v>51</v>
      </c>
      <c r="AK9130" s="21" t="s">
        <v>95</v>
      </c>
      <c r="AL9130" s="21"/>
      <c r="AM9130" s="21" t="s">
        <v>6193</v>
      </c>
      <c r="AN9130" s="21">
        <v>-122.438565966667</v>
      </c>
      <c r="AO9130" s="21">
        <v>37.802930916666703</v>
      </c>
      <c r="AP9130" s="21" t="s">
        <v>951</v>
      </c>
    </row>
    <row r="9131" spans="1:42">
      <c r="A9131" s="20">
        <v>43865</v>
      </c>
      <c r="B9131" s="21">
        <v>2</v>
      </c>
      <c r="C9131" s="21">
        <v>207</v>
      </c>
      <c r="D9131" s="21">
        <v>14657</v>
      </c>
      <c r="E9131" t="s">
        <v>37</v>
      </c>
      <c r="F9131" s="21" t="s">
        <v>436</v>
      </c>
      <c r="G9131" s="21" t="s">
        <v>4270</v>
      </c>
      <c r="H9131" s="21">
        <v>72</v>
      </c>
      <c r="I9131" s="21" t="s">
        <v>6194</v>
      </c>
      <c r="J9131" s="21"/>
      <c r="K9131" s="21" t="s">
        <v>1942</v>
      </c>
      <c r="L9131" s="21" t="s">
        <v>114</v>
      </c>
      <c r="M9131" s="21" t="s">
        <v>95</v>
      </c>
      <c r="N9131" s="21" t="s">
        <v>40</v>
      </c>
      <c r="O9131" s="21">
        <v>165</v>
      </c>
      <c r="P9131" s="21"/>
      <c r="Q9131" s="21">
        <f t="shared" si="192"/>
        <v>5</v>
      </c>
      <c r="R9131" s="21">
        <v>1</v>
      </c>
      <c r="S9131" s="21">
        <v>3</v>
      </c>
      <c r="T9131" s="21">
        <v>0</v>
      </c>
      <c r="U9131" s="21">
        <v>2</v>
      </c>
      <c r="V9131" s="21">
        <v>0</v>
      </c>
      <c r="W9131" s="21">
        <v>0</v>
      </c>
      <c r="X9131" s="21">
        <v>0</v>
      </c>
      <c r="Y9131" s="21">
        <v>0</v>
      </c>
      <c r="Z9131" s="21">
        <v>0</v>
      </c>
      <c r="AA9131" s="21">
        <v>0</v>
      </c>
      <c r="AB9131" s="21">
        <v>0</v>
      </c>
      <c r="AC9131" s="21">
        <v>0</v>
      </c>
      <c r="AD9131" s="21">
        <v>0</v>
      </c>
      <c r="AE9131" s="21">
        <v>0</v>
      </c>
      <c r="AF9131" s="21">
        <v>0</v>
      </c>
      <c r="AG9131" s="21">
        <v>0</v>
      </c>
      <c r="AH9131" s="21">
        <v>112</v>
      </c>
      <c r="AI9131" s="21"/>
      <c r="AJ9131" s="21" t="s">
        <v>51</v>
      </c>
      <c r="AK9131" s="21" t="s">
        <v>95</v>
      </c>
      <c r="AL9131" s="21"/>
      <c r="AM9131" s="21" t="s">
        <v>6195</v>
      </c>
      <c r="AN9131" s="21">
        <v>-122.43902641666701</v>
      </c>
      <c r="AO9131" s="21">
        <v>37.803055583333403</v>
      </c>
      <c r="AP9131" s="21" t="s">
        <v>951</v>
      </c>
    </row>
    <row r="9132" spans="1:42">
      <c r="A9132" s="20">
        <v>43865</v>
      </c>
      <c r="B9132" s="21">
        <v>2</v>
      </c>
      <c r="C9132" s="21">
        <v>207</v>
      </c>
      <c r="D9132" s="21">
        <v>14657</v>
      </c>
      <c r="E9132" t="s">
        <v>37</v>
      </c>
      <c r="F9132" s="21" t="s">
        <v>436</v>
      </c>
      <c r="G9132" s="21" t="s">
        <v>4270</v>
      </c>
      <c r="H9132" s="21">
        <v>73</v>
      </c>
      <c r="I9132" s="21" t="s">
        <v>3671</v>
      </c>
      <c r="J9132" s="21"/>
      <c r="K9132" s="21" t="s">
        <v>1942</v>
      </c>
      <c r="L9132" s="21"/>
      <c r="M9132" s="21" t="s">
        <v>95</v>
      </c>
      <c r="N9132" s="21" t="s">
        <v>40</v>
      </c>
      <c r="O9132" s="21">
        <v>101</v>
      </c>
      <c r="P9132" s="21"/>
      <c r="Q9132" s="21">
        <f t="shared" si="192"/>
        <v>3</v>
      </c>
      <c r="R9132" s="21">
        <v>1</v>
      </c>
      <c r="S9132" s="21">
        <v>1</v>
      </c>
      <c r="T9132" s="21">
        <v>0</v>
      </c>
      <c r="U9132" s="21">
        <v>1</v>
      </c>
      <c r="V9132" s="21">
        <v>1</v>
      </c>
      <c r="W9132" s="21">
        <v>0</v>
      </c>
      <c r="X9132" s="21">
        <v>0</v>
      </c>
      <c r="Y9132" s="21">
        <v>0</v>
      </c>
      <c r="Z9132" s="21">
        <v>0</v>
      </c>
      <c r="AA9132" s="21">
        <v>0</v>
      </c>
      <c r="AB9132" s="21">
        <v>0</v>
      </c>
      <c r="AC9132" s="21">
        <v>0</v>
      </c>
      <c r="AD9132" s="21">
        <v>0</v>
      </c>
      <c r="AE9132" s="21">
        <v>0</v>
      </c>
      <c r="AF9132" s="21">
        <v>0</v>
      </c>
      <c r="AG9132" s="21">
        <v>0</v>
      </c>
      <c r="AH9132" s="21">
        <v>112</v>
      </c>
      <c r="AI9132" s="21"/>
      <c r="AJ9132" s="21" t="s">
        <v>51</v>
      </c>
      <c r="AK9132" s="21" t="s">
        <v>52</v>
      </c>
      <c r="AL9132" s="21"/>
      <c r="AM9132" s="21" t="s">
        <v>6196</v>
      </c>
      <c r="AN9132" s="21">
        <v>-122.439217316667</v>
      </c>
      <c r="AO9132" s="21">
        <v>37.803266116666599</v>
      </c>
      <c r="AP9132" s="21" t="s">
        <v>951</v>
      </c>
    </row>
    <row r="9133" spans="1:42">
      <c r="A9133" s="20">
        <v>43865</v>
      </c>
      <c r="B9133" s="21">
        <v>2</v>
      </c>
      <c r="C9133" s="21">
        <v>207</v>
      </c>
      <c r="D9133" s="21">
        <v>14657</v>
      </c>
      <c r="E9133" t="s">
        <v>37</v>
      </c>
      <c r="F9133" s="21" t="s">
        <v>436</v>
      </c>
      <c r="G9133" s="21" t="s">
        <v>4270</v>
      </c>
      <c r="H9133" s="21">
        <v>74</v>
      </c>
      <c r="I9133" s="21" t="s">
        <v>6197</v>
      </c>
      <c r="J9133" s="21"/>
      <c r="K9133" s="21" t="s">
        <v>1942</v>
      </c>
      <c r="L9133" s="21"/>
      <c r="M9133" s="21" t="s">
        <v>95</v>
      </c>
      <c r="N9133" s="21" t="s">
        <v>40</v>
      </c>
      <c r="O9133" s="21"/>
      <c r="P9133" s="21"/>
      <c r="Q9133" s="21">
        <f t="shared" si="192"/>
        <v>5</v>
      </c>
      <c r="R9133" s="21">
        <v>1</v>
      </c>
      <c r="S9133" s="21">
        <v>1</v>
      </c>
      <c r="T9133" s="21">
        <v>0</v>
      </c>
      <c r="U9133" s="21">
        <v>3</v>
      </c>
      <c r="V9133" s="21">
        <v>1</v>
      </c>
      <c r="W9133" s="21">
        <v>0</v>
      </c>
      <c r="X9133" s="21">
        <v>0</v>
      </c>
      <c r="Y9133" s="21">
        <v>0</v>
      </c>
      <c r="Z9133" s="21">
        <v>0</v>
      </c>
      <c r="AA9133" s="21">
        <v>0</v>
      </c>
      <c r="AB9133" s="21">
        <v>0</v>
      </c>
      <c r="AC9133" s="21">
        <v>0</v>
      </c>
      <c r="AD9133" s="21">
        <v>0</v>
      </c>
      <c r="AE9133" s="21">
        <v>0</v>
      </c>
      <c r="AF9133" s="21">
        <v>0</v>
      </c>
      <c r="AG9133" s="21">
        <v>0</v>
      </c>
      <c r="AH9133" s="21">
        <v>176</v>
      </c>
      <c r="AI9133" s="21"/>
      <c r="AJ9133" s="21" t="s">
        <v>51</v>
      </c>
      <c r="AK9133" s="21" t="s">
        <v>52</v>
      </c>
      <c r="AL9133" s="21"/>
      <c r="AM9133" s="21" t="s">
        <v>6198</v>
      </c>
      <c r="AN9133" s="21">
        <v>-122.4392024</v>
      </c>
      <c r="AO9133" s="21">
        <v>37.8034161</v>
      </c>
      <c r="AP9133" s="21" t="s">
        <v>951</v>
      </c>
    </row>
    <row r="9134" spans="1:42">
      <c r="A9134" s="20">
        <v>43865</v>
      </c>
      <c r="B9134" s="21">
        <v>2</v>
      </c>
      <c r="C9134" s="21">
        <v>207</v>
      </c>
      <c r="D9134" s="21">
        <v>14657</v>
      </c>
      <c r="E9134" t="s">
        <v>37</v>
      </c>
      <c r="F9134" s="21" t="s">
        <v>436</v>
      </c>
      <c r="G9134" s="21" t="s">
        <v>4270</v>
      </c>
      <c r="H9134" s="21">
        <v>75</v>
      </c>
      <c r="I9134" s="21" t="s">
        <v>6199</v>
      </c>
      <c r="J9134" s="21"/>
      <c r="K9134" s="21" t="s">
        <v>1942</v>
      </c>
      <c r="L9134" s="21"/>
      <c r="M9134" s="21" t="s">
        <v>95</v>
      </c>
      <c r="N9134" s="21" t="s">
        <v>40</v>
      </c>
      <c r="O9134" s="21">
        <v>164</v>
      </c>
      <c r="P9134" s="21"/>
      <c r="Q9134" s="21">
        <f t="shared" si="192"/>
        <v>6</v>
      </c>
      <c r="R9134" s="21">
        <v>1</v>
      </c>
      <c r="S9134" s="21">
        <v>4</v>
      </c>
      <c r="T9134" s="21">
        <v>0</v>
      </c>
      <c r="U9134" s="21">
        <v>2</v>
      </c>
      <c r="V9134" s="21">
        <v>0</v>
      </c>
      <c r="W9134" s="21">
        <v>0</v>
      </c>
      <c r="X9134" s="21">
        <v>0</v>
      </c>
      <c r="Y9134" s="21">
        <v>0</v>
      </c>
      <c r="Z9134" s="21">
        <v>0</v>
      </c>
      <c r="AA9134" s="21">
        <v>0</v>
      </c>
      <c r="AB9134" s="21">
        <v>0</v>
      </c>
      <c r="AC9134" s="21">
        <v>0</v>
      </c>
      <c r="AD9134" s="21">
        <v>0</v>
      </c>
      <c r="AE9134" s="21">
        <v>0</v>
      </c>
      <c r="AF9134" s="21">
        <v>0</v>
      </c>
      <c r="AG9134" s="21">
        <v>0</v>
      </c>
      <c r="AH9134" s="21">
        <v>128</v>
      </c>
      <c r="AI9134" s="21"/>
      <c r="AJ9134" s="21" t="s">
        <v>51</v>
      </c>
      <c r="AK9134" s="21" t="s">
        <v>52</v>
      </c>
      <c r="AL9134" s="21"/>
      <c r="AM9134" s="21" t="s">
        <v>6200</v>
      </c>
      <c r="AN9134" s="21">
        <v>-122.439331633333</v>
      </c>
      <c r="AO9134" s="21">
        <v>37.803627533333298</v>
      </c>
      <c r="AP9134" s="21" t="s">
        <v>951</v>
      </c>
    </row>
    <row r="9135" spans="1:42">
      <c r="A9135" s="20">
        <v>43865</v>
      </c>
      <c r="B9135" s="21">
        <v>2</v>
      </c>
      <c r="C9135" s="21">
        <v>207</v>
      </c>
      <c r="D9135" s="21">
        <v>14657</v>
      </c>
      <c r="E9135" t="s">
        <v>37</v>
      </c>
      <c r="F9135" s="21" t="s">
        <v>436</v>
      </c>
      <c r="G9135" s="21" t="s">
        <v>4270</v>
      </c>
      <c r="H9135" s="21">
        <v>76</v>
      </c>
      <c r="I9135" s="21" t="s">
        <v>6201</v>
      </c>
      <c r="J9135" s="21"/>
      <c r="K9135" s="21" t="s">
        <v>1942</v>
      </c>
      <c r="L9135" s="21" t="s">
        <v>141</v>
      </c>
      <c r="M9135" s="21"/>
      <c r="N9135" s="21" t="s">
        <v>40</v>
      </c>
      <c r="O9135" s="21">
        <v>167</v>
      </c>
      <c r="P9135" s="21"/>
      <c r="Q9135" s="21">
        <f t="shared" si="192"/>
        <v>6</v>
      </c>
      <c r="R9135" s="21">
        <v>1</v>
      </c>
      <c r="S9135" s="21">
        <v>0</v>
      </c>
      <c r="T9135" s="21">
        <v>0</v>
      </c>
      <c r="U9135" s="21">
        <v>5</v>
      </c>
      <c r="V9135" s="21">
        <v>1</v>
      </c>
      <c r="W9135" s="21">
        <v>0</v>
      </c>
      <c r="X9135" s="21">
        <v>0</v>
      </c>
      <c r="Y9135" s="21">
        <v>0</v>
      </c>
      <c r="Z9135" s="21">
        <v>0</v>
      </c>
      <c r="AA9135" s="21">
        <v>0</v>
      </c>
      <c r="AB9135" s="21">
        <v>0</v>
      </c>
      <c r="AC9135" s="21">
        <v>0</v>
      </c>
      <c r="AD9135" s="21">
        <v>0</v>
      </c>
      <c r="AE9135" s="21">
        <v>0</v>
      </c>
      <c r="AF9135" s="21">
        <v>0</v>
      </c>
      <c r="AG9135" s="21">
        <v>0</v>
      </c>
      <c r="AH9135" s="21">
        <v>224</v>
      </c>
      <c r="AI9135" s="21"/>
      <c r="AJ9135" s="21" t="s">
        <v>51</v>
      </c>
      <c r="AK9135" s="21" t="s">
        <v>52</v>
      </c>
      <c r="AL9135" s="21"/>
      <c r="AM9135" s="21" t="s">
        <v>6202</v>
      </c>
      <c r="AN9135" s="21">
        <v>-122.4393256</v>
      </c>
      <c r="AO9135" s="21">
        <v>37.803763850000003</v>
      </c>
      <c r="AP9135" s="21" t="s">
        <v>951</v>
      </c>
    </row>
    <row r="9136" spans="1:42">
      <c r="A9136" s="20">
        <v>43865</v>
      </c>
      <c r="B9136" s="21">
        <v>2</v>
      </c>
      <c r="C9136" s="21">
        <v>207</v>
      </c>
      <c r="D9136" s="21">
        <v>14657</v>
      </c>
      <c r="E9136" t="s">
        <v>37</v>
      </c>
      <c r="F9136" s="21" t="s">
        <v>436</v>
      </c>
      <c r="G9136" s="21" t="s">
        <v>4270</v>
      </c>
      <c r="H9136" s="21">
        <v>77</v>
      </c>
      <c r="I9136" s="21" t="s">
        <v>6203</v>
      </c>
      <c r="J9136" s="21"/>
      <c r="K9136" t="s">
        <v>902</v>
      </c>
      <c r="L9136" s="21" t="s">
        <v>114</v>
      </c>
      <c r="M9136" s="21"/>
      <c r="N9136" s="21" t="s">
        <v>40</v>
      </c>
      <c r="O9136" s="21">
        <v>107</v>
      </c>
      <c r="P9136" s="21"/>
      <c r="Q9136" s="21">
        <f t="shared" si="192"/>
        <v>4</v>
      </c>
      <c r="R9136" s="21">
        <v>1</v>
      </c>
      <c r="S9136" s="21">
        <v>0</v>
      </c>
      <c r="T9136" s="21">
        <v>0</v>
      </c>
      <c r="U9136" s="21">
        <v>3</v>
      </c>
      <c r="V9136" s="21">
        <v>1</v>
      </c>
      <c r="W9136" s="21">
        <v>0</v>
      </c>
      <c r="X9136" s="21">
        <v>0</v>
      </c>
      <c r="Y9136" s="21">
        <v>0</v>
      </c>
      <c r="Z9136" s="21">
        <v>0</v>
      </c>
      <c r="AA9136" s="21">
        <v>0</v>
      </c>
      <c r="AB9136" s="21">
        <v>0</v>
      </c>
      <c r="AC9136" s="21">
        <v>0</v>
      </c>
      <c r="AD9136" s="21">
        <v>0</v>
      </c>
      <c r="AE9136" s="21">
        <v>0</v>
      </c>
      <c r="AF9136" s="21">
        <v>0</v>
      </c>
      <c r="AG9136" s="21">
        <v>0</v>
      </c>
      <c r="AH9136" s="21">
        <v>160</v>
      </c>
      <c r="AI9136" s="21"/>
      <c r="AJ9136" s="21" t="s">
        <v>51</v>
      </c>
      <c r="AK9136" s="21" t="s">
        <v>95</v>
      </c>
      <c r="AL9136" s="21"/>
      <c r="AM9136" s="21" t="s">
        <v>6204</v>
      </c>
      <c r="AN9136" s="21">
        <v>-122.439529716667</v>
      </c>
      <c r="AO9136" s="21">
        <v>37.804263266666702</v>
      </c>
      <c r="AP9136" s="21" t="s">
        <v>951</v>
      </c>
    </row>
    <row r="9137" spans="1:42">
      <c r="A9137" s="20">
        <v>43865</v>
      </c>
      <c r="B9137" s="21">
        <v>2</v>
      </c>
      <c r="C9137" s="21">
        <v>207</v>
      </c>
      <c r="D9137" s="21">
        <v>14657</v>
      </c>
      <c r="E9137" t="s">
        <v>37</v>
      </c>
      <c r="F9137" s="21" t="s">
        <v>436</v>
      </c>
      <c r="G9137" s="21" t="s">
        <v>4270</v>
      </c>
      <c r="H9137" s="21">
        <v>78</v>
      </c>
      <c r="I9137" s="21" t="s">
        <v>6180</v>
      </c>
      <c r="J9137" s="21"/>
      <c r="K9137" t="s">
        <v>902</v>
      </c>
      <c r="L9137" s="21" t="s">
        <v>114</v>
      </c>
      <c r="M9137" s="21"/>
      <c r="N9137" s="21" t="s">
        <v>40</v>
      </c>
      <c r="O9137" s="21">
        <v>38</v>
      </c>
      <c r="P9137" s="21"/>
      <c r="Q9137" s="21">
        <f t="shared" si="192"/>
        <v>1</v>
      </c>
      <c r="R9137" s="21">
        <v>1</v>
      </c>
      <c r="S9137" s="21">
        <v>0</v>
      </c>
      <c r="T9137" s="21">
        <v>0</v>
      </c>
      <c r="U9137" s="21">
        <v>0</v>
      </c>
      <c r="V9137" s="21">
        <v>1</v>
      </c>
      <c r="W9137" s="21">
        <v>0</v>
      </c>
      <c r="X9137" s="21">
        <v>0</v>
      </c>
      <c r="Y9137" s="21">
        <v>0</v>
      </c>
      <c r="Z9137" s="21">
        <v>0</v>
      </c>
      <c r="AA9137" s="21">
        <v>0</v>
      </c>
      <c r="AB9137" s="21">
        <v>0</v>
      </c>
      <c r="AC9137" s="21">
        <v>0</v>
      </c>
      <c r="AD9137" s="21">
        <v>0</v>
      </c>
      <c r="AE9137" s="21">
        <v>0</v>
      </c>
      <c r="AF9137" s="21">
        <v>0</v>
      </c>
      <c r="AG9137" s="21">
        <v>0</v>
      </c>
      <c r="AH9137" s="21">
        <v>64</v>
      </c>
      <c r="AI9137" s="21"/>
      <c r="AJ9137" s="21" t="s">
        <v>51</v>
      </c>
      <c r="AK9137" s="21" t="s">
        <v>95</v>
      </c>
      <c r="AL9137" s="21"/>
      <c r="AM9137" s="21" t="s">
        <v>6205</v>
      </c>
      <c r="AN9137" s="21">
        <v>-122.439524833333</v>
      </c>
      <c r="AO9137" s="21">
        <v>37.804332933333299</v>
      </c>
      <c r="AP9137" s="21" t="s">
        <v>951</v>
      </c>
    </row>
    <row r="9138" spans="1:42">
      <c r="A9138" s="20">
        <v>43865</v>
      </c>
      <c r="B9138" s="21">
        <v>2</v>
      </c>
      <c r="C9138" s="21">
        <v>207</v>
      </c>
      <c r="D9138" s="21">
        <v>14657</v>
      </c>
      <c r="E9138" t="s">
        <v>37</v>
      </c>
      <c r="F9138" s="21" t="s">
        <v>436</v>
      </c>
      <c r="G9138" s="21" t="s">
        <v>4270</v>
      </c>
      <c r="H9138" s="21">
        <v>79</v>
      </c>
      <c r="I9138" s="21" t="s">
        <v>6206</v>
      </c>
      <c r="J9138" s="21"/>
      <c r="K9138" t="s">
        <v>902</v>
      </c>
      <c r="L9138" s="21" t="s">
        <v>114</v>
      </c>
      <c r="M9138" s="21"/>
      <c r="N9138" s="21" t="s">
        <v>40</v>
      </c>
      <c r="O9138" s="21">
        <v>123</v>
      </c>
      <c r="P9138" s="21"/>
      <c r="Q9138" s="21">
        <f t="shared" si="192"/>
        <v>6</v>
      </c>
      <c r="R9138" s="21">
        <v>1</v>
      </c>
      <c r="S9138" s="21">
        <v>2</v>
      </c>
      <c r="T9138" s="21">
        <v>0</v>
      </c>
      <c r="U9138" s="21">
        <v>4</v>
      </c>
      <c r="V9138" s="21">
        <v>0</v>
      </c>
      <c r="W9138" s="21">
        <v>0</v>
      </c>
      <c r="X9138" s="21">
        <v>0</v>
      </c>
      <c r="Y9138" s="21">
        <v>0</v>
      </c>
      <c r="Z9138" s="21">
        <v>0</v>
      </c>
      <c r="AA9138" s="21">
        <v>0</v>
      </c>
      <c r="AB9138" s="21">
        <v>0</v>
      </c>
      <c r="AC9138" s="21">
        <v>0</v>
      </c>
      <c r="AD9138" s="21">
        <v>0</v>
      </c>
      <c r="AE9138" s="21">
        <v>0</v>
      </c>
      <c r="AF9138" s="21">
        <v>0</v>
      </c>
      <c r="AG9138" s="21">
        <v>0</v>
      </c>
      <c r="AH9138" s="21">
        <v>160</v>
      </c>
      <c r="AI9138" s="21"/>
      <c r="AJ9138" s="21" t="s">
        <v>51</v>
      </c>
      <c r="AK9138" s="21" t="s">
        <v>95</v>
      </c>
      <c r="AL9138" s="21"/>
      <c r="AM9138" s="21" t="s">
        <v>6207</v>
      </c>
      <c r="AN9138" s="21">
        <v>-122.439646</v>
      </c>
      <c r="AO9138" s="21">
        <v>37.804404699999999</v>
      </c>
      <c r="AP9138" s="21" t="s">
        <v>951</v>
      </c>
    </row>
    <row r="9139" spans="1:42">
      <c r="A9139" s="20">
        <v>43865</v>
      </c>
      <c r="B9139" s="21">
        <v>2</v>
      </c>
      <c r="C9139" s="21">
        <v>207</v>
      </c>
      <c r="D9139" s="21">
        <v>14657</v>
      </c>
      <c r="E9139" t="s">
        <v>37</v>
      </c>
      <c r="F9139" s="21" t="s">
        <v>436</v>
      </c>
      <c r="G9139" s="21" t="s">
        <v>4270</v>
      </c>
      <c r="H9139" s="21">
        <v>80</v>
      </c>
      <c r="I9139" s="21" t="s">
        <v>6208</v>
      </c>
      <c r="J9139" s="21"/>
      <c r="K9139" t="s">
        <v>902</v>
      </c>
      <c r="L9139" s="21" t="s">
        <v>114</v>
      </c>
      <c r="M9139" s="21"/>
      <c r="N9139" s="21" t="s">
        <v>40</v>
      </c>
      <c r="O9139" s="21">
        <v>79</v>
      </c>
      <c r="P9139" s="21"/>
      <c r="Q9139" s="21">
        <f t="shared" si="192"/>
        <v>3</v>
      </c>
      <c r="R9139" s="21">
        <v>1</v>
      </c>
      <c r="S9139" s="21">
        <v>0</v>
      </c>
      <c r="T9139" s="21">
        <v>0</v>
      </c>
      <c r="U9139" s="21">
        <v>2</v>
      </c>
      <c r="V9139" s="21">
        <v>1</v>
      </c>
      <c r="W9139" s="21">
        <v>0</v>
      </c>
      <c r="X9139" s="21">
        <v>0</v>
      </c>
      <c r="Y9139" s="21">
        <v>0</v>
      </c>
      <c r="Z9139" s="21">
        <v>0</v>
      </c>
      <c r="AA9139" s="21">
        <v>0</v>
      </c>
      <c r="AB9139" s="21">
        <v>0</v>
      </c>
      <c r="AC9139" s="21">
        <v>0</v>
      </c>
      <c r="AD9139" s="21">
        <v>0</v>
      </c>
      <c r="AE9139" s="21">
        <v>0</v>
      </c>
      <c r="AF9139" s="21">
        <v>0</v>
      </c>
      <c r="AG9139" s="21">
        <v>0</v>
      </c>
      <c r="AH9139" s="21">
        <v>128</v>
      </c>
      <c r="AI9139" s="21"/>
      <c r="AJ9139" s="21" t="s">
        <v>51</v>
      </c>
      <c r="AK9139" s="21" t="s">
        <v>95</v>
      </c>
      <c r="AL9139" s="21"/>
      <c r="AM9139" s="21" t="s">
        <v>6209</v>
      </c>
      <c r="AN9139" s="21">
        <v>-122.439998983333</v>
      </c>
      <c r="AO9139" s="21">
        <v>37.804465716666698</v>
      </c>
      <c r="AP9139" s="21" t="s">
        <v>951</v>
      </c>
    </row>
    <row r="9140" spans="1:42">
      <c r="A9140" s="20">
        <v>43865</v>
      </c>
      <c r="B9140" s="21">
        <v>2</v>
      </c>
      <c r="C9140" s="21">
        <v>207</v>
      </c>
      <c r="D9140" s="21">
        <v>14657</v>
      </c>
      <c r="E9140" t="s">
        <v>37</v>
      </c>
      <c r="F9140" s="21" t="s">
        <v>436</v>
      </c>
      <c r="G9140" s="21" t="s">
        <v>4270</v>
      </c>
      <c r="H9140" s="21">
        <v>81</v>
      </c>
      <c r="I9140" s="21" t="s">
        <v>6210</v>
      </c>
      <c r="J9140" s="21"/>
      <c r="K9140" t="s">
        <v>902</v>
      </c>
      <c r="L9140" s="21" t="s">
        <v>114</v>
      </c>
      <c r="M9140" s="21"/>
      <c r="N9140" s="21" t="s">
        <v>40</v>
      </c>
      <c r="O9140" s="21">
        <v>67</v>
      </c>
      <c r="P9140" s="21"/>
      <c r="Q9140" s="21">
        <f t="shared" si="192"/>
        <v>4</v>
      </c>
      <c r="R9140" s="21">
        <v>1</v>
      </c>
      <c r="S9140" s="21">
        <v>0</v>
      </c>
      <c r="T9140" s="21">
        <v>0</v>
      </c>
      <c r="U9140" s="21">
        <v>4</v>
      </c>
      <c r="V9140" s="21">
        <v>0</v>
      </c>
      <c r="W9140" s="21">
        <v>0</v>
      </c>
      <c r="X9140" s="21">
        <v>0</v>
      </c>
      <c r="Y9140" s="21">
        <v>0</v>
      </c>
      <c r="Z9140" s="21">
        <v>0</v>
      </c>
      <c r="AA9140" s="21">
        <v>0</v>
      </c>
      <c r="AB9140" s="21">
        <v>0</v>
      </c>
      <c r="AC9140" s="21">
        <v>0</v>
      </c>
      <c r="AD9140" s="21">
        <v>0</v>
      </c>
      <c r="AE9140" s="21">
        <v>0</v>
      </c>
      <c r="AF9140" s="21">
        <v>0</v>
      </c>
      <c r="AG9140" s="21">
        <v>0</v>
      </c>
      <c r="AH9140" s="21">
        <v>128</v>
      </c>
      <c r="AI9140" s="21"/>
      <c r="AJ9140" s="21" t="s">
        <v>51</v>
      </c>
      <c r="AK9140" s="21" t="s">
        <v>95</v>
      </c>
      <c r="AL9140" s="21"/>
      <c r="AM9140" s="21" t="s">
        <v>6211</v>
      </c>
      <c r="AN9140" s="21">
        <v>-122.440301283333</v>
      </c>
      <c r="AO9140" s="21">
        <v>37.8046753</v>
      </c>
      <c r="AP9140" s="21" t="s">
        <v>951</v>
      </c>
    </row>
    <row r="9141" spans="1:42">
      <c r="A9141" s="20">
        <v>43865</v>
      </c>
      <c r="B9141" s="21">
        <v>2</v>
      </c>
      <c r="C9141" s="21">
        <v>207</v>
      </c>
      <c r="D9141" s="21">
        <v>14657</v>
      </c>
      <c r="E9141" t="s">
        <v>37</v>
      </c>
      <c r="F9141" s="21" t="s">
        <v>436</v>
      </c>
      <c r="G9141" s="21" t="s">
        <v>4270</v>
      </c>
      <c r="H9141" s="21">
        <v>82</v>
      </c>
      <c r="I9141" s="21" t="s">
        <v>6212</v>
      </c>
      <c r="J9141" s="21"/>
      <c r="K9141" t="s">
        <v>902</v>
      </c>
      <c r="L9141" s="21" t="s">
        <v>114</v>
      </c>
      <c r="M9141" s="21"/>
      <c r="N9141" s="21" t="s">
        <v>42</v>
      </c>
      <c r="O9141" s="21">
        <v>105</v>
      </c>
      <c r="P9141" s="21"/>
      <c r="Q9141" s="21">
        <f t="shared" si="192"/>
        <v>2</v>
      </c>
      <c r="R9141" s="21">
        <v>1</v>
      </c>
      <c r="S9141" s="21">
        <v>1</v>
      </c>
      <c r="T9141" s="21">
        <v>0</v>
      </c>
      <c r="U9141" s="21">
        <v>0</v>
      </c>
      <c r="V9141" s="21">
        <v>1</v>
      </c>
      <c r="W9141" s="21">
        <v>0</v>
      </c>
      <c r="X9141" s="21">
        <v>0</v>
      </c>
      <c r="Y9141" s="21">
        <v>0</v>
      </c>
      <c r="Z9141" s="21">
        <v>0</v>
      </c>
      <c r="AA9141" s="21">
        <v>0</v>
      </c>
      <c r="AB9141" s="21">
        <v>0</v>
      </c>
      <c r="AC9141" s="21">
        <v>0</v>
      </c>
      <c r="AD9141" s="21">
        <v>0</v>
      </c>
      <c r="AE9141" s="21">
        <v>0</v>
      </c>
      <c r="AF9141" s="21">
        <v>0</v>
      </c>
      <c r="AG9141" s="21">
        <v>0</v>
      </c>
      <c r="AH9141" s="21">
        <v>80</v>
      </c>
      <c r="AI9141" s="21"/>
      <c r="AJ9141" s="21" t="s">
        <v>51</v>
      </c>
      <c r="AK9141" s="21" t="s">
        <v>52</v>
      </c>
      <c r="AL9141" s="21"/>
      <c r="AM9141" s="21" t="s">
        <v>6213</v>
      </c>
      <c r="AN9141" s="21">
        <v>-122.440905466667</v>
      </c>
      <c r="AO9141" s="21">
        <v>37.805080716666701</v>
      </c>
      <c r="AP9141" s="21" t="s">
        <v>951</v>
      </c>
    </row>
    <row r="9142" spans="1:42">
      <c r="A9142" s="20">
        <v>43865</v>
      </c>
      <c r="B9142" s="21">
        <v>2</v>
      </c>
      <c r="C9142" s="21">
        <v>207</v>
      </c>
      <c r="D9142" s="21">
        <v>14657</v>
      </c>
      <c r="E9142" t="s">
        <v>37</v>
      </c>
      <c r="F9142" s="21" t="s">
        <v>436</v>
      </c>
      <c r="G9142" s="21" t="s">
        <v>4270</v>
      </c>
      <c r="H9142" s="21">
        <v>83</v>
      </c>
      <c r="I9142" s="21" t="s">
        <v>6214</v>
      </c>
      <c r="J9142" s="21"/>
      <c r="K9142" s="21" t="s">
        <v>1942</v>
      </c>
      <c r="L9142" s="21" t="s">
        <v>114</v>
      </c>
      <c r="M9142" s="21"/>
      <c r="N9142" s="21" t="s">
        <v>40</v>
      </c>
      <c r="O9142" s="21">
        <v>50</v>
      </c>
      <c r="P9142" s="21"/>
      <c r="Q9142" s="21">
        <f t="shared" si="192"/>
        <v>2</v>
      </c>
      <c r="R9142" s="21">
        <v>1</v>
      </c>
      <c r="S9142" s="21">
        <v>0</v>
      </c>
      <c r="T9142" s="21">
        <v>0</v>
      </c>
      <c r="U9142" s="21">
        <v>0</v>
      </c>
      <c r="V9142" s="21">
        <v>2</v>
      </c>
      <c r="W9142" s="21">
        <v>0</v>
      </c>
      <c r="X9142" s="21">
        <v>0</v>
      </c>
      <c r="Y9142" s="21">
        <v>0</v>
      </c>
      <c r="Z9142" s="21">
        <v>0</v>
      </c>
      <c r="AA9142" s="21">
        <v>0</v>
      </c>
      <c r="AB9142" s="21">
        <v>0</v>
      </c>
      <c r="AC9142" s="21">
        <v>0</v>
      </c>
      <c r="AD9142" s="21">
        <v>0</v>
      </c>
      <c r="AE9142" s="21">
        <v>0</v>
      </c>
      <c r="AF9142" s="21">
        <v>0</v>
      </c>
      <c r="AG9142" s="21">
        <v>0</v>
      </c>
      <c r="AH9142" s="21">
        <v>128</v>
      </c>
      <c r="AI9142" s="21"/>
      <c r="AJ9142" s="21" t="s">
        <v>51</v>
      </c>
      <c r="AK9142" s="21" t="s">
        <v>52</v>
      </c>
      <c r="AL9142" s="21"/>
      <c r="AM9142" s="21" t="s">
        <v>6215</v>
      </c>
      <c r="AN9142" s="21">
        <v>-122.44146518333299</v>
      </c>
      <c r="AO9142" s="21">
        <v>37.805256766666702</v>
      </c>
      <c r="AP9142" s="21" t="s">
        <v>951</v>
      </c>
    </row>
    <row r="9143" spans="1:42">
      <c r="A9143" s="20">
        <v>43865</v>
      </c>
      <c r="B9143" s="21">
        <v>2</v>
      </c>
      <c r="C9143" s="21">
        <v>207</v>
      </c>
      <c r="D9143" s="21">
        <v>14657</v>
      </c>
      <c r="E9143" t="s">
        <v>37</v>
      </c>
      <c r="F9143" s="21" t="s">
        <v>436</v>
      </c>
      <c r="G9143" s="21" t="s">
        <v>4270</v>
      </c>
      <c r="H9143" s="21">
        <v>84</v>
      </c>
      <c r="I9143" s="21" t="s">
        <v>4243</v>
      </c>
      <c r="J9143" s="21"/>
      <c r="K9143" s="21" t="s">
        <v>3451</v>
      </c>
      <c r="L9143" s="21" t="s">
        <v>141</v>
      </c>
      <c r="M9143" s="21"/>
      <c r="N9143" s="21" t="s">
        <v>40</v>
      </c>
      <c r="O9143" s="21">
        <v>33</v>
      </c>
      <c r="P9143" s="21"/>
      <c r="Q9143" s="21">
        <f t="shared" si="192"/>
        <v>1</v>
      </c>
      <c r="R9143" s="21">
        <v>1</v>
      </c>
      <c r="S9143" s="21">
        <v>0</v>
      </c>
      <c r="T9143" s="21">
        <v>0</v>
      </c>
      <c r="U9143" s="21">
        <v>0</v>
      </c>
      <c r="V9143" s="21">
        <v>1</v>
      </c>
      <c r="W9143" s="21">
        <v>0</v>
      </c>
      <c r="X9143" s="21">
        <v>0</v>
      </c>
      <c r="Y9143" s="21">
        <v>0</v>
      </c>
      <c r="Z9143" s="21">
        <v>0</v>
      </c>
      <c r="AA9143" s="21">
        <v>0</v>
      </c>
      <c r="AB9143" s="21">
        <v>0</v>
      </c>
      <c r="AC9143" s="21">
        <v>0</v>
      </c>
      <c r="AD9143" s="21">
        <v>0</v>
      </c>
      <c r="AE9143" s="21">
        <v>0</v>
      </c>
      <c r="AF9143" s="21">
        <v>0</v>
      </c>
      <c r="AG9143" s="21">
        <v>0</v>
      </c>
      <c r="AH9143" s="21">
        <v>64</v>
      </c>
      <c r="AI9143" s="21"/>
      <c r="AJ9143" s="21" t="s">
        <v>51</v>
      </c>
      <c r="AK9143" s="21" t="s">
        <v>52</v>
      </c>
      <c r="AL9143" s="21"/>
      <c r="AM9143" s="21" t="s">
        <v>6216</v>
      </c>
      <c r="AN9143" s="21">
        <v>-122.44132501666699</v>
      </c>
      <c r="AO9143" s="21">
        <v>37.805829183333302</v>
      </c>
      <c r="AP9143" s="21" t="s">
        <v>951</v>
      </c>
    </row>
    <row r="9144" spans="1:42">
      <c r="A9144" s="20">
        <v>43865</v>
      </c>
      <c r="B9144" s="21">
        <v>2</v>
      </c>
      <c r="C9144" s="21">
        <v>207</v>
      </c>
      <c r="D9144" s="21">
        <v>14657</v>
      </c>
      <c r="E9144" t="s">
        <v>37</v>
      </c>
      <c r="F9144" s="21" t="s">
        <v>436</v>
      </c>
      <c r="G9144" s="21" t="s">
        <v>4270</v>
      </c>
      <c r="H9144" s="21">
        <v>85</v>
      </c>
      <c r="I9144" s="21" t="s">
        <v>6217</v>
      </c>
      <c r="J9144" s="21"/>
      <c r="K9144" s="21" t="s">
        <v>3451</v>
      </c>
      <c r="L9144" s="21"/>
      <c r="M9144" s="21"/>
      <c r="N9144" s="21"/>
      <c r="O9144" s="21">
        <v>77</v>
      </c>
      <c r="P9144" s="21"/>
      <c r="Q9144" s="21">
        <f t="shared" si="192"/>
        <v>3</v>
      </c>
      <c r="R9144" s="21">
        <v>1</v>
      </c>
      <c r="S9144" s="21">
        <v>0</v>
      </c>
      <c r="T9144" s="21">
        <v>0</v>
      </c>
      <c r="U9144" s="21">
        <v>1</v>
      </c>
      <c r="V9144" s="21">
        <v>1</v>
      </c>
      <c r="W9144" s="21">
        <v>1</v>
      </c>
      <c r="X9144" s="21">
        <v>0</v>
      </c>
      <c r="Y9144" s="21">
        <v>0</v>
      </c>
      <c r="Z9144" s="21">
        <v>0</v>
      </c>
      <c r="AA9144" s="21">
        <v>0</v>
      </c>
      <c r="AB9144" s="21">
        <v>0</v>
      </c>
      <c r="AC9144" s="21">
        <v>0</v>
      </c>
      <c r="AD9144" s="21">
        <v>0</v>
      </c>
      <c r="AE9144" s="21">
        <v>0</v>
      </c>
      <c r="AF9144" s="21">
        <v>0</v>
      </c>
      <c r="AG9144" s="21">
        <v>0</v>
      </c>
      <c r="AH9144" s="21">
        <v>192</v>
      </c>
      <c r="AI9144" s="21"/>
      <c r="AJ9144" s="21" t="s">
        <v>51</v>
      </c>
      <c r="AK9144" s="21" t="s">
        <v>52</v>
      </c>
      <c r="AL9144" s="21"/>
      <c r="AM9144" s="21" t="s">
        <v>6218</v>
      </c>
      <c r="AN9144" s="21">
        <v>-122.441131683333</v>
      </c>
      <c r="AO9144" s="21">
        <v>37.805873599999998</v>
      </c>
      <c r="AP9144" s="21" t="s">
        <v>951</v>
      </c>
    </row>
    <row r="9145" spans="1:42">
      <c r="A9145" s="20">
        <v>43865</v>
      </c>
      <c r="B9145" s="21">
        <v>2</v>
      </c>
      <c r="C9145" s="21">
        <v>207</v>
      </c>
      <c r="D9145" s="21">
        <v>14657</v>
      </c>
      <c r="E9145" t="s">
        <v>37</v>
      </c>
      <c r="F9145" s="21" t="s">
        <v>436</v>
      </c>
      <c r="G9145" s="21" t="s">
        <v>4270</v>
      </c>
      <c r="H9145" s="21">
        <v>86</v>
      </c>
      <c r="I9145" s="21" t="s">
        <v>6219</v>
      </c>
      <c r="J9145" s="21"/>
      <c r="K9145" s="21" t="s">
        <v>3451</v>
      </c>
      <c r="L9145" s="21"/>
      <c r="M9145" s="21"/>
      <c r="N9145" s="21" t="s">
        <v>44</v>
      </c>
      <c r="O9145" s="21">
        <v>71</v>
      </c>
      <c r="P9145" s="21"/>
      <c r="Q9145" s="21">
        <f t="shared" si="192"/>
        <v>2</v>
      </c>
      <c r="R9145" s="21">
        <v>1</v>
      </c>
      <c r="S9145" s="21">
        <v>0</v>
      </c>
      <c r="T9145" s="21">
        <v>0</v>
      </c>
      <c r="U9145" s="21">
        <v>2</v>
      </c>
      <c r="V9145" s="21">
        <v>0</v>
      </c>
      <c r="W9145" s="21">
        <v>0</v>
      </c>
      <c r="X9145" s="21">
        <v>0</v>
      </c>
      <c r="Y9145" s="21">
        <v>0</v>
      </c>
      <c r="Z9145" s="21">
        <v>0</v>
      </c>
      <c r="AA9145" s="21">
        <v>0</v>
      </c>
      <c r="AB9145" s="21">
        <v>0</v>
      </c>
      <c r="AC9145" s="21">
        <v>0</v>
      </c>
      <c r="AD9145" s="21">
        <v>0</v>
      </c>
      <c r="AE9145" s="21">
        <v>0</v>
      </c>
      <c r="AF9145" s="21">
        <v>0</v>
      </c>
      <c r="AG9145" s="21">
        <v>0</v>
      </c>
      <c r="AH9145" s="21">
        <v>64</v>
      </c>
      <c r="AI9145" s="21"/>
      <c r="AJ9145" s="21" t="s">
        <v>51</v>
      </c>
      <c r="AK9145" s="21" t="s">
        <v>95</v>
      </c>
      <c r="AL9145" s="21"/>
      <c r="AM9145" s="21" t="s">
        <v>6220</v>
      </c>
      <c r="AN9145" s="21">
        <v>-122.440720566667</v>
      </c>
      <c r="AO9145" s="21">
        <v>37.805902116666701</v>
      </c>
      <c r="AP9145" s="21" t="s">
        <v>951</v>
      </c>
    </row>
    <row r="9146" spans="1:42">
      <c r="A9146" s="20">
        <v>43865</v>
      </c>
      <c r="B9146" s="21">
        <v>2</v>
      </c>
      <c r="C9146" s="21">
        <v>207</v>
      </c>
      <c r="D9146" s="21">
        <v>14657</v>
      </c>
      <c r="E9146" t="s">
        <v>37</v>
      </c>
      <c r="F9146" s="21" t="s">
        <v>436</v>
      </c>
      <c r="G9146" s="21" t="s">
        <v>4270</v>
      </c>
      <c r="H9146" s="21">
        <v>87</v>
      </c>
      <c r="I9146" s="21" t="s">
        <v>6221</v>
      </c>
      <c r="J9146" s="21"/>
      <c r="K9146" s="21" t="s">
        <v>907</v>
      </c>
      <c r="L9146" s="21"/>
      <c r="M9146" s="21"/>
      <c r="N9146" s="21" t="s">
        <v>44</v>
      </c>
      <c r="O9146" s="21">
        <v>119</v>
      </c>
      <c r="P9146" s="21"/>
      <c r="Q9146" s="21">
        <f t="shared" si="192"/>
        <v>2</v>
      </c>
      <c r="R9146" s="21">
        <v>1</v>
      </c>
      <c r="S9146" s="21">
        <v>0</v>
      </c>
      <c r="T9146" s="21">
        <v>0</v>
      </c>
      <c r="U9146" s="21">
        <v>1</v>
      </c>
      <c r="V9146" s="21">
        <v>0</v>
      </c>
      <c r="W9146" s="21">
        <v>1</v>
      </c>
      <c r="X9146" s="21">
        <v>0</v>
      </c>
      <c r="Y9146" s="21">
        <v>0</v>
      </c>
      <c r="Z9146" s="21">
        <v>0</v>
      </c>
      <c r="AA9146" s="21">
        <v>0</v>
      </c>
      <c r="AB9146" s="21">
        <v>0</v>
      </c>
      <c r="AC9146" s="21">
        <v>0</v>
      </c>
      <c r="AD9146" s="21">
        <v>0</v>
      </c>
      <c r="AE9146" s="21">
        <v>0</v>
      </c>
      <c r="AF9146" s="21">
        <v>0</v>
      </c>
      <c r="AG9146" s="21">
        <v>0</v>
      </c>
      <c r="AH9146" s="21">
        <v>128</v>
      </c>
      <c r="AI9146" s="21"/>
      <c r="AJ9146" s="21" t="s">
        <v>51</v>
      </c>
      <c r="AK9146" s="21" t="s">
        <v>95</v>
      </c>
      <c r="AL9146" s="21"/>
      <c r="AM9146" s="21" t="s">
        <v>6222</v>
      </c>
      <c r="AN9146" s="21">
        <v>-122.44044573333299</v>
      </c>
      <c r="AO9146" s="21">
        <v>37.805379566666701</v>
      </c>
      <c r="AP9146" s="21" t="s">
        <v>951</v>
      </c>
    </row>
    <row r="9147" spans="1:42">
      <c r="A9147" s="20">
        <v>43865</v>
      </c>
      <c r="B9147" s="21">
        <v>2</v>
      </c>
      <c r="C9147" s="21">
        <v>207</v>
      </c>
      <c r="D9147" s="21">
        <v>14657</v>
      </c>
      <c r="E9147" t="s">
        <v>37</v>
      </c>
      <c r="F9147" s="21" t="s">
        <v>436</v>
      </c>
      <c r="G9147" s="21" t="s">
        <v>4270</v>
      </c>
      <c r="H9147" s="21">
        <v>88</v>
      </c>
      <c r="I9147" s="21" t="s">
        <v>6223</v>
      </c>
      <c r="J9147" s="21"/>
      <c r="K9147" s="21" t="s">
        <v>907</v>
      </c>
      <c r="L9147" s="21" t="s">
        <v>141</v>
      </c>
      <c r="M9147" s="21"/>
      <c r="N9147" s="21" t="s">
        <v>40</v>
      </c>
      <c r="O9147" s="21">
        <v>45</v>
      </c>
      <c r="P9147" s="21"/>
      <c r="Q9147" s="21">
        <f t="shared" si="192"/>
        <v>2</v>
      </c>
      <c r="R9147" s="21">
        <v>1</v>
      </c>
      <c r="S9147" s="21">
        <v>0</v>
      </c>
      <c r="T9147" s="21">
        <v>0</v>
      </c>
      <c r="U9147" s="21">
        <v>2</v>
      </c>
      <c r="V9147" s="21">
        <v>0</v>
      </c>
      <c r="W9147" s="21">
        <v>0</v>
      </c>
      <c r="X9147" s="21">
        <v>0</v>
      </c>
      <c r="Y9147" s="21">
        <v>0</v>
      </c>
      <c r="Z9147" s="21">
        <v>0</v>
      </c>
      <c r="AA9147" s="21">
        <v>0</v>
      </c>
      <c r="AB9147" s="21">
        <v>0</v>
      </c>
      <c r="AC9147" s="21">
        <v>0</v>
      </c>
      <c r="AD9147" s="21">
        <v>0</v>
      </c>
      <c r="AE9147" s="21">
        <v>0</v>
      </c>
      <c r="AF9147" s="21">
        <v>0</v>
      </c>
      <c r="AG9147" s="21">
        <v>0</v>
      </c>
      <c r="AH9147" s="21">
        <v>64</v>
      </c>
      <c r="AI9147" s="21"/>
      <c r="AJ9147" s="21" t="s">
        <v>51</v>
      </c>
      <c r="AK9147" s="21" t="s">
        <v>52</v>
      </c>
      <c r="AL9147" s="21"/>
      <c r="AM9147" s="21" t="s">
        <v>6224</v>
      </c>
      <c r="AN9147" s="21">
        <v>-122.440594933333</v>
      </c>
      <c r="AO9147" s="21">
        <v>37.805194616666697</v>
      </c>
      <c r="AP9147" s="21" t="s">
        <v>951</v>
      </c>
    </row>
    <row r="9148" spans="1:42">
      <c r="A9148" s="20">
        <v>43865</v>
      </c>
      <c r="B9148" s="21">
        <v>2</v>
      </c>
      <c r="C9148" s="21">
        <v>207</v>
      </c>
      <c r="D9148" s="21">
        <v>14657</v>
      </c>
      <c r="E9148" t="s">
        <v>37</v>
      </c>
      <c r="F9148" s="21" t="s">
        <v>436</v>
      </c>
      <c r="G9148" s="21" t="s">
        <v>4270</v>
      </c>
      <c r="H9148" s="21">
        <v>89</v>
      </c>
      <c r="I9148" s="21" t="s">
        <v>3214</v>
      </c>
      <c r="J9148" s="21"/>
      <c r="K9148" t="s">
        <v>902</v>
      </c>
      <c r="L9148" s="21" t="s">
        <v>141</v>
      </c>
      <c r="M9148" s="21"/>
      <c r="N9148" s="21" t="s">
        <v>40</v>
      </c>
      <c r="O9148" s="21">
        <v>100</v>
      </c>
      <c r="P9148" s="21"/>
      <c r="Q9148" s="21">
        <f t="shared" si="192"/>
        <v>4</v>
      </c>
      <c r="R9148" s="21">
        <v>1</v>
      </c>
      <c r="S9148" s="21">
        <v>0</v>
      </c>
      <c r="T9148" s="21">
        <v>0</v>
      </c>
      <c r="U9148" s="21">
        <v>2</v>
      </c>
      <c r="V9148" s="21">
        <v>2</v>
      </c>
      <c r="W9148" s="21">
        <v>0</v>
      </c>
      <c r="X9148" s="21">
        <v>0</v>
      </c>
      <c r="Y9148" s="21">
        <v>0</v>
      </c>
      <c r="Z9148" s="21">
        <v>0</v>
      </c>
      <c r="AA9148" s="21">
        <v>0</v>
      </c>
      <c r="AB9148" s="21">
        <v>0</v>
      </c>
      <c r="AC9148" s="21">
        <v>0</v>
      </c>
      <c r="AD9148" s="21">
        <v>0</v>
      </c>
      <c r="AE9148" s="21">
        <v>0</v>
      </c>
      <c r="AF9148" s="21">
        <v>0</v>
      </c>
      <c r="AG9148" s="21">
        <v>0</v>
      </c>
      <c r="AH9148" s="21">
        <v>192</v>
      </c>
      <c r="AI9148" s="21"/>
      <c r="AJ9148" s="21" t="s">
        <v>51</v>
      </c>
      <c r="AK9148" s="21" t="s">
        <v>52</v>
      </c>
      <c r="AL9148" s="21" t="s">
        <v>6225</v>
      </c>
      <c r="AM9148" s="21" t="s">
        <v>6226</v>
      </c>
      <c r="AN9148" s="21">
        <v>-122.440798016667</v>
      </c>
      <c r="AO9148" s="21">
        <v>37.8050426</v>
      </c>
      <c r="AP9148" s="21" t="s">
        <v>951</v>
      </c>
    </row>
    <row r="9149" spans="1:42">
      <c r="A9149" s="20">
        <v>43865</v>
      </c>
      <c r="B9149" s="21">
        <v>2</v>
      </c>
      <c r="C9149" s="21">
        <v>207</v>
      </c>
      <c r="D9149" s="21">
        <v>14657</v>
      </c>
      <c r="E9149" t="s">
        <v>37</v>
      </c>
      <c r="F9149" s="21" t="s">
        <v>436</v>
      </c>
      <c r="G9149" s="21" t="s">
        <v>4270</v>
      </c>
      <c r="H9149" s="21">
        <v>90</v>
      </c>
      <c r="I9149" s="21" t="s">
        <v>6227</v>
      </c>
      <c r="J9149" s="21"/>
      <c r="K9149" t="s">
        <v>902</v>
      </c>
      <c r="L9149" s="21"/>
      <c r="M9149" s="21"/>
      <c r="N9149" s="21" t="s">
        <v>44</v>
      </c>
      <c r="O9149" s="21">
        <v>71</v>
      </c>
      <c r="P9149" s="21"/>
      <c r="Q9149" s="21">
        <f t="shared" si="192"/>
        <v>2</v>
      </c>
      <c r="R9149" s="21">
        <v>1</v>
      </c>
      <c r="S9149" s="21">
        <v>0</v>
      </c>
      <c r="T9149" s="21">
        <v>0</v>
      </c>
      <c r="U9149" s="21">
        <v>1</v>
      </c>
      <c r="V9149" s="21">
        <v>0</v>
      </c>
      <c r="W9149" s="21">
        <v>1</v>
      </c>
      <c r="X9149" s="21">
        <v>0</v>
      </c>
      <c r="Y9149" s="21">
        <v>0</v>
      </c>
      <c r="Z9149" s="21">
        <v>0</v>
      </c>
      <c r="AA9149" s="21">
        <v>0</v>
      </c>
      <c r="AB9149" s="21">
        <v>0</v>
      </c>
      <c r="AC9149" s="21">
        <v>0</v>
      </c>
      <c r="AD9149" s="21">
        <v>0</v>
      </c>
      <c r="AE9149" s="21">
        <v>0</v>
      </c>
      <c r="AF9149" s="21">
        <v>0</v>
      </c>
      <c r="AG9149" s="21">
        <v>0</v>
      </c>
      <c r="AH9149" s="21">
        <v>128</v>
      </c>
      <c r="AI9149" s="21"/>
      <c r="AJ9149" s="21" t="s">
        <v>51</v>
      </c>
      <c r="AK9149" s="21" t="s">
        <v>95</v>
      </c>
      <c r="AL9149" s="21"/>
      <c r="AM9149" s="21" t="s">
        <v>6228</v>
      </c>
      <c r="AN9149" s="21">
        <v>-122.441707383333</v>
      </c>
      <c r="AO9149" s="21">
        <v>37.8054013666667</v>
      </c>
      <c r="AP9149" s="21" t="s">
        <v>951</v>
      </c>
    </row>
    <row r="9150" spans="1:42">
      <c r="A9150" s="20">
        <v>43865</v>
      </c>
      <c r="B9150" s="21">
        <v>2</v>
      </c>
      <c r="C9150" s="21">
        <v>207</v>
      </c>
      <c r="D9150" s="21">
        <v>14657</v>
      </c>
      <c r="E9150" t="s">
        <v>37</v>
      </c>
      <c r="F9150" s="21" t="s">
        <v>436</v>
      </c>
      <c r="G9150" s="21" t="s">
        <v>4270</v>
      </c>
      <c r="H9150" s="21">
        <v>91</v>
      </c>
      <c r="I9150" s="21" t="s">
        <v>6229</v>
      </c>
      <c r="J9150" s="21"/>
      <c r="K9150" t="s">
        <v>902</v>
      </c>
      <c r="L9150" s="21"/>
      <c r="M9150" s="21"/>
      <c r="N9150" s="21" t="s">
        <v>44</v>
      </c>
      <c r="O9150" s="21">
        <v>108</v>
      </c>
      <c r="P9150" s="21"/>
      <c r="Q9150" s="21">
        <f t="shared" si="192"/>
        <v>2</v>
      </c>
      <c r="R9150" s="21">
        <v>1</v>
      </c>
      <c r="S9150" s="21">
        <v>0</v>
      </c>
      <c r="T9150" s="21">
        <v>0</v>
      </c>
      <c r="U9150" s="21">
        <v>0</v>
      </c>
      <c r="V9150" s="21">
        <v>1</v>
      </c>
      <c r="W9150" s="21">
        <v>1</v>
      </c>
      <c r="X9150" s="21">
        <v>0</v>
      </c>
      <c r="Y9150" s="21">
        <v>0</v>
      </c>
      <c r="Z9150" s="21">
        <v>0</v>
      </c>
      <c r="AA9150" s="21">
        <v>0</v>
      </c>
      <c r="AB9150" s="21">
        <v>0</v>
      </c>
      <c r="AC9150" s="21">
        <v>0</v>
      </c>
      <c r="AD9150" s="21">
        <v>0</v>
      </c>
      <c r="AE9150" s="21">
        <v>0</v>
      </c>
      <c r="AF9150" s="21">
        <v>0</v>
      </c>
      <c r="AG9150" s="21">
        <v>0</v>
      </c>
      <c r="AH9150" s="21">
        <v>160</v>
      </c>
      <c r="AI9150" s="21"/>
      <c r="AJ9150" s="21" t="s">
        <v>51</v>
      </c>
      <c r="AK9150" s="21" t="s">
        <v>52</v>
      </c>
      <c r="AL9150" s="21"/>
      <c r="AM9150" s="21" t="s">
        <v>6230</v>
      </c>
      <c r="AN9150" s="21">
        <v>-122.44157635000001</v>
      </c>
      <c r="AO9150" s="21">
        <v>37.805318666666601</v>
      </c>
      <c r="AP9150" s="21" t="s">
        <v>951</v>
      </c>
    </row>
    <row r="9151" spans="1:42">
      <c r="A9151" s="20">
        <v>43865</v>
      </c>
      <c r="B9151" s="21">
        <v>2</v>
      </c>
      <c r="C9151" s="21">
        <v>207</v>
      </c>
      <c r="D9151" s="21">
        <v>14657</v>
      </c>
      <c r="E9151" t="s">
        <v>37</v>
      </c>
      <c r="F9151" s="21" t="s">
        <v>436</v>
      </c>
      <c r="G9151" s="21" t="s">
        <v>4270</v>
      </c>
      <c r="H9151" s="21">
        <v>92</v>
      </c>
      <c r="I9151" s="21" t="s">
        <v>6231</v>
      </c>
      <c r="J9151" s="21"/>
      <c r="K9151" t="s">
        <v>902</v>
      </c>
      <c r="L9151" s="21"/>
      <c r="M9151" s="21"/>
      <c r="N9151" s="21" t="s">
        <v>44</v>
      </c>
      <c r="O9151" s="21">
        <v>241</v>
      </c>
      <c r="P9151" s="21"/>
      <c r="Q9151" s="21">
        <f t="shared" si="192"/>
        <v>2</v>
      </c>
      <c r="R9151" s="21">
        <v>1</v>
      </c>
      <c r="S9151" s="21">
        <v>0</v>
      </c>
      <c r="T9151" s="21">
        <v>0</v>
      </c>
      <c r="U9151" s="21">
        <v>1</v>
      </c>
      <c r="V9151" s="21">
        <v>0</v>
      </c>
      <c r="W9151" s="21">
        <v>1</v>
      </c>
      <c r="X9151" s="21">
        <v>0</v>
      </c>
      <c r="Y9151" s="21">
        <v>0</v>
      </c>
      <c r="Z9151" s="21">
        <v>0</v>
      </c>
      <c r="AA9151" s="21">
        <v>0</v>
      </c>
      <c r="AB9151" s="21">
        <v>0</v>
      </c>
      <c r="AC9151" s="21">
        <v>0</v>
      </c>
      <c r="AD9151" s="21">
        <v>0</v>
      </c>
      <c r="AE9151" s="21">
        <v>0</v>
      </c>
      <c r="AF9151" s="21">
        <v>0</v>
      </c>
      <c r="AG9151" s="21">
        <v>0</v>
      </c>
      <c r="AH9151" s="21">
        <v>128</v>
      </c>
      <c r="AI9151" s="21"/>
      <c r="AJ9151" s="21" t="s">
        <v>51</v>
      </c>
      <c r="AK9151" s="21" t="s">
        <v>95</v>
      </c>
      <c r="AL9151" s="21"/>
      <c r="AM9151" s="21" t="s">
        <v>6232</v>
      </c>
      <c r="AN9151" s="21">
        <v>-122.44129975</v>
      </c>
      <c r="AO9151" s="21">
        <v>37.805184283333297</v>
      </c>
      <c r="AP9151" s="21" t="s">
        <v>951</v>
      </c>
    </row>
    <row r="9152" spans="1:42">
      <c r="A9152" s="20">
        <v>43865</v>
      </c>
      <c r="B9152" s="21">
        <v>2</v>
      </c>
      <c r="C9152" s="21">
        <v>207</v>
      </c>
      <c r="D9152" s="21">
        <v>14657</v>
      </c>
      <c r="E9152" t="s">
        <v>37</v>
      </c>
      <c r="F9152" s="21" t="s">
        <v>436</v>
      </c>
      <c r="G9152" s="21" t="s">
        <v>4270</v>
      </c>
      <c r="H9152" s="21">
        <v>93</v>
      </c>
      <c r="I9152" s="21" t="s">
        <v>6233</v>
      </c>
      <c r="J9152" s="21"/>
      <c r="K9152" s="21" t="s">
        <v>907</v>
      </c>
      <c r="L9152" s="21"/>
      <c r="M9152" s="21"/>
      <c r="N9152" s="21" t="s">
        <v>44</v>
      </c>
      <c r="O9152" s="21">
        <v>90</v>
      </c>
      <c r="P9152" s="21"/>
      <c r="Q9152" s="21">
        <f t="shared" si="192"/>
        <v>2</v>
      </c>
      <c r="R9152" s="21">
        <v>1</v>
      </c>
      <c r="S9152" s="21">
        <v>0</v>
      </c>
      <c r="T9152" s="21">
        <v>0</v>
      </c>
      <c r="U9152" s="21">
        <v>1</v>
      </c>
      <c r="V9152" s="21">
        <v>0</v>
      </c>
      <c r="W9152" s="21">
        <v>1</v>
      </c>
      <c r="X9152" s="21">
        <v>0</v>
      </c>
      <c r="Y9152" s="21">
        <v>0</v>
      </c>
      <c r="Z9152" s="21">
        <v>0</v>
      </c>
      <c r="AA9152" s="21">
        <v>0</v>
      </c>
      <c r="AB9152" s="21">
        <v>0</v>
      </c>
      <c r="AC9152" s="21">
        <v>0</v>
      </c>
      <c r="AD9152" s="21">
        <v>0</v>
      </c>
      <c r="AE9152" s="21">
        <v>0</v>
      </c>
      <c r="AF9152" s="21">
        <v>0</v>
      </c>
      <c r="AG9152" s="21">
        <v>0</v>
      </c>
      <c r="AH9152" s="21">
        <v>128</v>
      </c>
      <c r="AI9152" s="21"/>
      <c r="AJ9152" s="21" t="s">
        <v>51</v>
      </c>
      <c r="AK9152" s="21" t="s">
        <v>95</v>
      </c>
      <c r="AL9152" s="21"/>
      <c r="AM9152" s="21" t="s">
        <v>6234</v>
      </c>
      <c r="AN9152" s="21">
        <v>-122.442330341974</v>
      </c>
      <c r="AO9152" s="21">
        <v>37.807113093893904</v>
      </c>
      <c r="AP9152" s="21" t="s">
        <v>951</v>
      </c>
    </row>
    <row r="9153" spans="1:42">
      <c r="A9153" s="20">
        <v>43865</v>
      </c>
      <c r="B9153" s="21">
        <v>2</v>
      </c>
      <c r="C9153" s="21">
        <v>207</v>
      </c>
      <c r="D9153" s="21">
        <v>14657</v>
      </c>
      <c r="E9153" t="s">
        <v>37</v>
      </c>
      <c r="F9153" s="21" t="s">
        <v>436</v>
      </c>
      <c r="G9153" s="21" t="s">
        <v>4270</v>
      </c>
      <c r="H9153" s="21">
        <v>94</v>
      </c>
      <c r="I9153" s="21" t="s">
        <v>6235</v>
      </c>
      <c r="J9153" s="21"/>
      <c r="K9153" s="21" t="s">
        <v>907</v>
      </c>
      <c r="L9153" s="21"/>
      <c r="M9153" s="21"/>
      <c r="N9153" s="21"/>
      <c r="O9153" s="21">
        <v>35</v>
      </c>
      <c r="P9153" s="21"/>
      <c r="Q9153" s="21">
        <f t="shared" si="192"/>
        <v>2</v>
      </c>
      <c r="R9153" s="21">
        <v>1</v>
      </c>
      <c r="S9153" s="21">
        <v>0</v>
      </c>
      <c r="T9153" s="21">
        <v>0</v>
      </c>
      <c r="U9153" s="21">
        <v>0</v>
      </c>
      <c r="V9153" s="21">
        <v>0</v>
      </c>
      <c r="W9153" s="21">
        <v>2</v>
      </c>
      <c r="X9153" s="21">
        <v>0</v>
      </c>
      <c r="Y9153" s="21">
        <v>0</v>
      </c>
      <c r="Z9153" s="21">
        <v>0</v>
      </c>
      <c r="AA9153" s="21">
        <v>0</v>
      </c>
      <c r="AB9153" s="21">
        <v>0</v>
      </c>
      <c r="AC9153" s="21">
        <v>0</v>
      </c>
      <c r="AD9153" s="21">
        <v>0</v>
      </c>
      <c r="AE9153" s="21">
        <v>0</v>
      </c>
      <c r="AF9153" s="21">
        <v>0</v>
      </c>
      <c r="AG9153" s="21">
        <v>0</v>
      </c>
      <c r="AH9153" s="21">
        <v>192</v>
      </c>
      <c r="AI9153" s="21"/>
      <c r="AJ9153" s="21" t="s">
        <v>51</v>
      </c>
      <c r="AK9153" s="21" t="s">
        <v>95</v>
      </c>
      <c r="AL9153" s="21"/>
      <c r="AM9153" s="21" t="s">
        <v>6236</v>
      </c>
      <c r="AN9153" s="21">
        <v>-122.440153366667</v>
      </c>
      <c r="AO9153" s="21">
        <v>37.805764383333297</v>
      </c>
      <c r="AP9153" s="21" t="s">
        <v>951</v>
      </c>
    </row>
    <row r="9154" spans="1:42">
      <c r="A9154" s="20">
        <v>43865</v>
      </c>
      <c r="B9154" s="21">
        <v>2</v>
      </c>
      <c r="C9154" s="21">
        <v>207</v>
      </c>
      <c r="D9154" s="21">
        <v>14657</v>
      </c>
      <c r="E9154" t="s">
        <v>37</v>
      </c>
      <c r="F9154" s="21" t="s">
        <v>436</v>
      </c>
      <c r="G9154" s="21" t="s">
        <v>4270</v>
      </c>
      <c r="H9154" s="21">
        <v>95</v>
      </c>
      <c r="I9154" s="21" t="s">
        <v>6237</v>
      </c>
      <c r="J9154" s="21"/>
      <c r="K9154" s="21" t="s">
        <v>3451</v>
      </c>
      <c r="L9154" s="21"/>
      <c r="M9154" s="21"/>
      <c r="N9154" s="21" t="s">
        <v>44</v>
      </c>
      <c r="O9154" s="21">
        <v>27</v>
      </c>
      <c r="P9154" s="21"/>
      <c r="Q9154" s="21">
        <f t="shared" si="192"/>
        <v>2</v>
      </c>
      <c r="R9154" s="21">
        <v>1</v>
      </c>
      <c r="S9154" s="21">
        <v>0</v>
      </c>
      <c r="T9154" s="21">
        <v>0</v>
      </c>
      <c r="U9154" s="21">
        <v>1</v>
      </c>
      <c r="V9154" s="21">
        <v>1</v>
      </c>
      <c r="W9154" s="21">
        <v>0</v>
      </c>
      <c r="X9154" s="21">
        <v>0</v>
      </c>
      <c r="Y9154" s="21">
        <v>0</v>
      </c>
      <c r="Z9154" s="21">
        <v>0</v>
      </c>
      <c r="AA9154" s="21">
        <v>0</v>
      </c>
      <c r="AB9154" s="21">
        <v>0</v>
      </c>
      <c r="AC9154" s="21">
        <v>0</v>
      </c>
      <c r="AD9154" s="21">
        <v>0</v>
      </c>
      <c r="AE9154" s="21">
        <v>0</v>
      </c>
      <c r="AF9154" s="21">
        <v>0</v>
      </c>
      <c r="AG9154" s="21">
        <v>0</v>
      </c>
      <c r="AH9154" s="21">
        <v>96</v>
      </c>
      <c r="AI9154" s="21"/>
      <c r="AJ9154" s="21" t="s">
        <v>51</v>
      </c>
      <c r="AK9154" s="21" t="s">
        <v>95</v>
      </c>
      <c r="AL9154" s="21"/>
      <c r="AM9154" s="21" t="s">
        <v>6238</v>
      </c>
      <c r="AN9154" s="21">
        <v>-122.439817616667</v>
      </c>
      <c r="AO9154" s="21">
        <v>37.8059886333333</v>
      </c>
      <c r="AP9154" s="21" t="s">
        <v>951</v>
      </c>
    </row>
    <row r="9155" spans="1:42">
      <c r="A9155" s="20">
        <v>43865</v>
      </c>
      <c r="B9155" s="21">
        <v>2</v>
      </c>
      <c r="C9155" s="21">
        <v>207</v>
      </c>
      <c r="D9155" s="21">
        <v>14657</v>
      </c>
      <c r="E9155" t="s">
        <v>37</v>
      </c>
      <c r="F9155" s="21" t="s">
        <v>436</v>
      </c>
      <c r="G9155" s="21" t="s">
        <v>4270</v>
      </c>
      <c r="H9155" s="21">
        <v>96</v>
      </c>
      <c r="I9155" s="21" t="s">
        <v>4596</v>
      </c>
      <c r="J9155" s="21"/>
      <c r="K9155" t="s">
        <v>910</v>
      </c>
      <c r="L9155" s="21"/>
      <c r="M9155" s="21"/>
      <c r="N9155" s="21" t="s">
        <v>42</v>
      </c>
      <c r="O9155" s="21">
        <v>234</v>
      </c>
      <c r="P9155" s="21"/>
      <c r="Q9155" s="21">
        <f t="shared" si="192"/>
        <v>3</v>
      </c>
      <c r="R9155" s="21">
        <v>1</v>
      </c>
      <c r="S9155" s="21">
        <v>0</v>
      </c>
      <c r="T9155" s="21">
        <v>0</v>
      </c>
      <c r="U9155" s="21">
        <v>1</v>
      </c>
      <c r="V9155" s="21">
        <v>0</v>
      </c>
      <c r="W9155" s="21">
        <v>2</v>
      </c>
      <c r="X9155" s="21">
        <v>0</v>
      </c>
      <c r="Y9155" s="21">
        <v>0</v>
      </c>
      <c r="Z9155" s="21">
        <v>0</v>
      </c>
      <c r="AA9155" s="21">
        <v>0</v>
      </c>
      <c r="AB9155" s="21">
        <v>0</v>
      </c>
      <c r="AC9155" s="21">
        <v>0</v>
      </c>
      <c r="AD9155" s="21">
        <v>0</v>
      </c>
      <c r="AE9155" s="21">
        <v>0</v>
      </c>
      <c r="AF9155" s="21">
        <v>0</v>
      </c>
      <c r="AG9155" s="21">
        <v>0</v>
      </c>
      <c r="AH9155" s="21">
        <v>224</v>
      </c>
      <c r="AI9155" s="21"/>
      <c r="AJ9155" s="21" t="s">
        <v>51</v>
      </c>
      <c r="AK9155" s="21" t="s">
        <v>95</v>
      </c>
      <c r="AL9155" s="21"/>
      <c r="AM9155" s="21" t="s">
        <v>6239</v>
      </c>
      <c r="AN9155" s="21">
        <v>-122.439417566667</v>
      </c>
      <c r="AO9155" s="21">
        <v>37.805752599999998</v>
      </c>
      <c r="AP9155" s="21" t="s">
        <v>951</v>
      </c>
    </row>
    <row r="9156" spans="1:42">
      <c r="A9156" s="20">
        <v>43865</v>
      </c>
      <c r="B9156" s="21">
        <v>2</v>
      </c>
      <c r="C9156" s="21">
        <v>207</v>
      </c>
      <c r="D9156" s="21">
        <v>14657</v>
      </c>
      <c r="E9156" t="s">
        <v>37</v>
      </c>
      <c r="F9156" s="21" t="s">
        <v>436</v>
      </c>
      <c r="G9156" s="21" t="s">
        <v>4270</v>
      </c>
      <c r="H9156" s="21">
        <v>97</v>
      </c>
      <c r="I9156" s="21" t="s">
        <v>6240</v>
      </c>
      <c r="J9156" s="21"/>
      <c r="K9156" t="s">
        <v>910</v>
      </c>
      <c r="L9156" s="21" t="s">
        <v>141</v>
      </c>
      <c r="M9156" s="21"/>
      <c r="N9156" s="21" t="s">
        <v>40</v>
      </c>
      <c r="O9156" s="21">
        <v>40</v>
      </c>
      <c r="P9156" s="21"/>
      <c r="Q9156" s="21">
        <f t="shared" si="192"/>
        <v>2</v>
      </c>
      <c r="R9156" s="21">
        <v>1</v>
      </c>
      <c r="S9156" s="21">
        <v>1</v>
      </c>
      <c r="T9156" s="21">
        <v>0</v>
      </c>
      <c r="U9156" s="21">
        <v>0</v>
      </c>
      <c r="V9156" s="21">
        <v>0</v>
      </c>
      <c r="W9156" s="21">
        <v>1</v>
      </c>
      <c r="X9156" s="21">
        <v>0</v>
      </c>
      <c r="Y9156" s="21">
        <v>0</v>
      </c>
      <c r="Z9156" s="21">
        <v>0</v>
      </c>
      <c r="AA9156" s="21">
        <v>0</v>
      </c>
      <c r="AB9156" s="21">
        <v>0</v>
      </c>
      <c r="AC9156" s="21">
        <v>0</v>
      </c>
      <c r="AD9156" s="21">
        <v>0</v>
      </c>
      <c r="AE9156" s="21">
        <v>0</v>
      </c>
      <c r="AF9156" s="21">
        <v>0</v>
      </c>
      <c r="AG9156" s="21">
        <v>0</v>
      </c>
      <c r="AH9156" s="21">
        <v>112</v>
      </c>
      <c r="AI9156" s="21"/>
      <c r="AJ9156" s="21" t="s">
        <v>51</v>
      </c>
      <c r="AK9156" s="21" t="s">
        <v>95</v>
      </c>
      <c r="AL9156" s="21"/>
      <c r="AM9156" s="21" t="s">
        <v>6241</v>
      </c>
      <c r="AN9156" s="21">
        <v>-122.438998416667</v>
      </c>
      <c r="AO9156" s="21">
        <v>37.805599049999998</v>
      </c>
      <c r="AP9156" s="21" t="s">
        <v>951</v>
      </c>
    </row>
    <row r="9157" spans="1:42">
      <c r="A9157" s="20">
        <v>43865</v>
      </c>
      <c r="B9157" s="21">
        <v>2</v>
      </c>
      <c r="C9157" s="21">
        <v>207</v>
      </c>
      <c r="D9157" s="21">
        <v>14657</v>
      </c>
      <c r="E9157" t="s">
        <v>37</v>
      </c>
      <c r="F9157" s="21" t="s">
        <v>436</v>
      </c>
      <c r="G9157" s="21" t="s">
        <v>4270</v>
      </c>
      <c r="H9157" s="21">
        <v>98</v>
      </c>
      <c r="I9157" s="21" t="s">
        <v>3487</v>
      </c>
      <c r="J9157" s="21"/>
      <c r="K9157" t="s">
        <v>910</v>
      </c>
      <c r="L9157" s="21"/>
      <c r="M9157" s="21"/>
      <c r="N9157" s="21" t="s">
        <v>44</v>
      </c>
      <c r="O9157" s="21">
        <v>86</v>
      </c>
      <c r="P9157" s="21"/>
      <c r="Q9157" s="21">
        <f t="shared" si="192"/>
        <v>2</v>
      </c>
      <c r="R9157" s="21">
        <v>1</v>
      </c>
      <c r="S9157" s="21">
        <v>0</v>
      </c>
      <c r="T9157" s="21">
        <v>0</v>
      </c>
      <c r="U9157" s="21">
        <v>1</v>
      </c>
      <c r="V9157" s="21">
        <v>0</v>
      </c>
      <c r="W9157" s="21">
        <v>1</v>
      </c>
      <c r="X9157" s="21">
        <v>0</v>
      </c>
      <c r="Y9157" s="21">
        <v>0</v>
      </c>
      <c r="Z9157" s="21">
        <v>0</v>
      </c>
      <c r="AA9157" s="21">
        <v>0</v>
      </c>
      <c r="AB9157" s="21">
        <v>0</v>
      </c>
      <c r="AC9157" s="21">
        <v>0</v>
      </c>
      <c r="AD9157" s="21">
        <v>0</v>
      </c>
      <c r="AE9157" s="21">
        <v>0</v>
      </c>
      <c r="AF9157" s="21">
        <v>0</v>
      </c>
      <c r="AG9157" s="21">
        <v>0</v>
      </c>
      <c r="AH9157" s="21">
        <v>128</v>
      </c>
      <c r="AI9157" s="21"/>
      <c r="AJ9157" s="21" t="s">
        <v>51</v>
      </c>
      <c r="AK9157" s="21" t="s">
        <v>95</v>
      </c>
      <c r="AL9157" s="21"/>
      <c r="AM9157" s="21" t="s">
        <v>6242</v>
      </c>
      <c r="AN9157" s="21">
        <v>-122.43901763333299</v>
      </c>
      <c r="AO9157" s="21">
        <v>37.805580533333298</v>
      </c>
      <c r="AP9157" s="21" t="s">
        <v>951</v>
      </c>
    </row>
    <row r="9158" spans="1:42">
      <c r="A9158" s="20">
        <v>43865</v>
      </c>
      <c r="B9158" s="21">
        <v>2</v>
      </c>
      <c r="C9158" s="21">
        <v>207</v>
      </c>
      <c r="D9158" s="21">
        <v>14657</v>
      </c>
      <c r="E9158" t="s">
        <v>37</v>
      </c>
      <c r="F9158" s="21" t="s">
        <v>436</v>
      </c>
      <c r="G9158" s="21" t="s">
        <v>4270</v>
      </c>
      <c r="H9158" s="21">
        <v>99</v>
      </c>
      <c r="I9158" s="21" t="s">
        <v>6243</v>
      </c>
      <c r="J9158" s="21"/>
      <c r="K9158" t="s">
        <v>910</v>
      </c>
      <c r="L9158" s="21" t="s">
        <v>141</v>
      </c>
      <c r="M9158" s="21"/>
      <c r="N9158" s="21" t="s">
        <v>40</v>
      </c>
      <c r="O9158" s="21">
        <v>58</v>
      </c>
      <c r="P9158" s="21"/>
      <c r="Q9158" s="21">
        <f t="shared" si="192"/>
        <v>3</v>
      </c>
      <c r="R9158" s="21">
        <v>1</v>
      </c>
      <c r="S9158" s="21">
        <v>2</v>
      </c>
      <c r="T9158" s="21">
        <v>0</v>
      </c>
      <c r="U9158" s="21">
        <v>1</v>
      </c>
      <c r="V9158" s="21">
        <v>0</v>
      </c>
      <c r="W9158" s="21">
        <v>0</v>
      </c>
      <c r="X9158" s="21">
        <v>0</v>
      </c>
      <c r="Y9158" s="21">
        <v>0</v>
      </c>
      <c r="Z9158" s="21">
        <v>0</v>
      </c>
      <c r="AA9158" s="21">
        <v>0</v>
      </c>
      <c r="AB9158" s="21">
        <v>0</v>
      </c>
      <c r="AC9158" s="21">
        <v>0</v>
      </c>
      <c r="AD9158" s="21">
        <v>0</v>
      </c>
      <c r="AE9158" s="21">
        <v>0</v>
      </c>
      <c r="AF9158" s="21">
        <v>0</v>
      </c>
      <c r="AG9158" s="21">
        <v>0</v>
      </c>
      <c r="AH9158" s="21">
        <v>64</v>
      </c>
      <c r="AI9158" s="21"/>
      <c r="AJ9158" s="21" t="s">
        <v>51</v>
      </c>
      <c r="AK9158" s="21" t="s">
        <v>95</v>
      </c>
      <c r="AL9158" s="21"/>
      <c r="AM9158" s="21" t="s">
        <v>6244</v>
      </c>
      <c r="AN9158" s="21">
        <v>-122.438922233333</v>
      </c>
      <c r="AO9158" s="21">
        <v>37.805518183333298</v>
      </c>
      <c r="AP9158" s="21" t="s">
        <v>951</v>
      </c>
    </row>
    <row r="9159" spans="1:42">
      <c r="A9159" s="20">
        <v>43865</v>
      </c>
      <c r="B9159" s="21">
        <v>2</v>
      </c>
      <c r="C9159" s="21">
        <v>207</v>
      </c>
      <c r="D9159" s="21">
        <v>14657</v>
      </c>
      <c r="E9159" t="s">
        <v>37</v>
      </c>
      <c r="F9159" s="21" t="s">
        <v>436</v>
      </c>
      <c r="G9159" s="21" t="s">
        <v>4270</v>
      </c>
      <c r="H9159" s="21">
        <v>100</v>
      </c>
      <c r="I9159" s="21" t="s">
        <v>4537</v>
      </c>
      <c r="J9159" s="21"/>
      <c r="K9159" t="s">
        <v>910</v>
      </c>
      <c r="L9159" s="21" t="s">
        <v>141</v>
      </c>
      <c r="M9159" s="21"/>
      <c r="N9159" s="21" t="s">
        <v>40</v>
      </c>
      <c r="O9159" s="21">
        <v>61</v>
      </c>
      <c r="P9159" s="21"/>
      <c r="Q9159" s="21">
        <f t="shared" si="192"/>
        <v>4</v>
      </c>
      <c r="R9159" s="21">
        <v>1</v>
      </c>
      <c r="S9159" s="21">
        <v>1</v>
      </c>
      <c r="T9159" s="21">
        <v>0</v>
      </c>
      <c r="U9159" s="21">
        <v>3</v>
      </c>
      <c r="V9159" s="21">
        <v>0</v>
      </c>
      <c r="W9159" s="21">
        <v>0</v>
      </c>
      <c r="X9159" s="21">
        <v>0</v>
      </c>
      <c r="Y9159" s="21">
        <v>0</v>
      </c>
      <c r="Z9159" s="21">
        <v>0</v>
      </c>
      <c r="AA9159" s="21">
        <v>0</v>
      </c>
      <c r="AB9159" s="21">
        <v>0</v>
      </c>
      <c r="AC9159" s="21">
        <v>0</v>
      </c>
      <c r="AD9159" s="21">
        <v>0</v>
      </c>
      <c r="AE9159" s="21">
        <v>0</v>
      </c>
      <c r="AF9159" s="21">
        <v>0</v>
      </c>
      <c r="AG9159" s="21">
        <v>0</v>
      </c>
      <c r="AH9159" s="21">
        <v>112</v>
      </c>
      <c r="AI9159" s="21"/>
      <c r="AJ9159" s="21" t="s">
        <v>51</v>
      </c>
      <c r="AK9159" s="21" t="s">
        <v>95</v>
      </c>
      <c r="AL9159" s="21"/>
      <c r="AM9159" s="21" t="s">
        <v>6245</v>
      </c>
      <c r="AN9159" s="21">
        <v>-122.438848916667</v>
      </c>
      <c r="AO9159" s="21">
        <v>37.805488483333299</v>
      </c>
      <c r="AP9159" s="21" t="s">
        <v>951</v>
      </c>
    </row>
    <row r="9160" spans="1:42">
      <c r="A9160" s="20">
        <v>43865</v>
      </c>
      <c r="B9160" s="21">
        <v>2</v>
      </c>
      <c r="C9160" s="21">
        <v>207</v>
      </c>
      <c r="D9160" s="21">
        <v>14657</v>
      </c>
      <c r="E9160" t="s">
        <v>37</v>
      </c>
      <c r="F9160" s="21" t="s">
        <v>436</v>
      </c>
      <c r="G9160" s="21" t="s">
        <v>4270</v>
      </c>
      <c r="H9160" s="21">
        <v>101</v>
      </c>
      <c r="I9160" s="21" t="s">
        <v>3736</v>
      </c>
      <c r="J9160" s="21"/>
      <c r="K9160" t="s">
        <v>910</v>
      </c>
      <c r="L9160" s="21"/>
      <c r="M9160" s="21"/>
      <c r="N9160" s="21" t="s">
        <v>44</v>
      </c>
      <c r="O9160" s="21">
        <v>128</v>
      </c>
      <c r="P9160" s="21"/>
      <c r="Q9160" s="21">
        <f t="shared" si="192"/>
        <v>1</v>
      </c>
      <c r="R9160" s="21">
        <v>1</v>
      </c>
      <c r="S9160" s="21">
        <v>0</v>
      </c>
      <c r="T9160" s="21">
        <v>0</v>
      </c>
      <c r="U9160" s="21">
        <v>0</v>
      </c>
      <c r="V9160" s="21">
        <v>0</v>
      </c>
      <c r="W9160" s="21">
        <v>1</v>
      </c>
      <c r="X9160" s="21">
        <v>0</v>
      </c>
      <c r="Y9160" s="21">
        <v>0</v>
      </c>
      <c r="Z9160" s="21">
        <v>0</v>
      </c>
      <c r="AA9160" s="21">
        <v>0</v>
      </c>
      <c r="AB9160" s="21">
        <v>0</v>
      </c>
      <c r="AC9160" s="21">
        <v>0</v>
      </c>
      <c r="AD9160" s="21">
        <v>0</v>
      </c>
      <c r="AE9160" s="21">
        <v>0</v>
      </c>
      <c r="AF9160" s="21">
        <v>0</v>
      </c>
      <c r="AG9160" s="21">
        <v>0</v>
      </c>
      <c r="AH9160" s="21">
        <v>96</v>
      </c>
      <c r="AI9160" s="21"/>
      <c r="AJ9160" s="21" t="s">
        <v>51</v>
      </c>
      <c r="AK9160" s="21" t="s">
        <v>95</v>
      </c>
      <c r="AL9160" s="21"/>
      <c r="AM9160" s="21" t="s">
        <v>6246</v>
      </c>
      <c r="AN9160" s="21">
        <v>-122.43874788333299</v>
      </c>
      <c r="AO9160" s="21">
        <v>37.805448583333302</v>
      </c>
      <c r="AP9160" s="21" t="s">
        <v>951</v>
      </c>
    </row>
    <row r="9161" spans="1:42">
      <c r="A9161" s="20">
        <v>43865</v>
      </c>
      <c r="B9161" s="21">
        <v>2</v>
      </c>
      <c r="C9161" s="21">
        <v>207</v>
      </c>
      <c r="D9161" s="21">
        <v>14657</v>
      </c>
      <c r="E9161" t="s">
        <v>37</v>
      </c>
      <c r="F9161" s="21" t="s">
        <v>436</v>
      </c>
      <c r="G9161" s="21" t="s">
        <v>4270</v>
      </c>
      <c r="H9161" s="21">
        <v>102</v>
      </c>
      <c r="I9161" s="21" t="s">
        <v>5706</v>
      </c>
      <c r="J9161" s="21"/>
      <c r="K9161" t="s">
        <v>910</v>
      </c>
      <c r="L9161" s="21" t="s">
        <v>141</v>
      </c>
      <c r="M9161" s="21"/>
      <c r="N9161" s="21" t="s">
        <v>40</v>
      </c>
      <c r="O9161" s="21">
        <v>45</v>
      </c>
      <c r="P9161" s="21"/>
      <c r="Q9161" s="21">
        <f t="shared" si="192"/>
        <v>2</v>
      </c>
      <c r="R9161" s="21">
        <v>1</v>
      </c>
      <c r="S9161" s="21">
        <v>1</v>
      </c>
      <c r="T9161" s="21">
        <v>0</v>
      </c>
      <c r="U9161" s="21">
        <v>1</v>
      </c>
      <c r="V9161" s="21">
        <v>0</v>
      </c>
      <c r="W9161" s="21">
        <v>0</v>
      </c>
      <c r="X9161" s="21">
        <v>0</v>
      </c>
      <c r="Y9161" s="21">
        <v>0</v>
      </c>
      <c r="Z9161" s="21">
        <v>0</v>
      </c>
      <c r="AA9161" s="21">
        <v>0</v>
      </c>
      <c r="AB9161" s="21">
        <v>0</v>
      </c>
      <c r="AC9161" s="21">
        <v>0</v>
      </c>
      <c r="AD9161" s="21">
        <v>0</v>
      </c>
      <c r="AE9161" s="21">
        <v>0</v>
      </c>
      <c r="AF9161" s="21">
        <v>0</v>
      </c>
      <c r="AG9161" s="21">
        <v>0</v>
      </c>
      <c r="AH9161" s="21">
        <v>48</v>
      </c>
      <c r="AI9161" s="21"/>
      <c r="AJ9161" s="21" t="s">
        <v>51</v>
      </c>
      <c r="AK9161" s="21" t="s">
        <v>95</v>
      </c>
      <c r="AL9161" s="21"/>
      <c r="AM9161" s="21" t="s">
        <v>6247</v>
      </c>
      <c r="AN9161" s="21">
        <v>-122.43860144999999</v>
      </c>
      <c r="AO9161" s="21">
        <v>37.805480916666703</v>
      </c>
      <c r="AP9161" s="21" t="s">
        <v>951</v>
      </c>
    </row>
    <row r="9162" spans="1:42">
      <c r="A9162" s="20">
        <v>43865</v>
      </c>
      <c r="B9162" s="21">
        <v>2</v>
      </c>
      <c r="C9162" s="21">
        <v>207</v>
      </c>
      <c r="D9162" s="21">
        <v>14657</v>
      </c>
      <c r="E9162" t="s">
        <v>37</v>
      </c>
      <c r="F9162" s="21" t="s">
        <v>436</v>
      </c>
      <c r="G9162" s="21" t="s">
        <v>4270</v>
      </c>
      <c r="H9162" s="21">
        <v>103</v>
      </c>
      <c r="I9162" s="21" t="s">
        <v>3707</v>
      </c>
      <c r="J9162" s="21"/>
      <c r="K9162" t="s">
        <v>910</v>
      </c>
      <c r="L9162" s="21" t="s">
        <v>141</v>
      </c>
      <c r="M9162" s="21"/>
      <c r="N9162" s="21" t="s">
        <v>40</v>
      </c>
      <c r="O9162" s="21">
        <v>22</v>
      </c>
      <c r="P9162" s="21"/>
      <c r="Q9162" s="21">
        <f t="shared" si="192"/>
        <v>2</v>
      </c>
      <c r="R9162" s="21">
        <v>1</v>
      </c>
      <c r="S9162" s="21">
        <v>0</v>
      </c>
      <c r="T9162" s="21">
        <v>0</v>
      </c>
      <c r="U9162" s="21">
        <v>1</v>
      </c>
      <c r="V9162" s="21">
        <v>1</v>
      </c>
      <c r="W9162" s="21">
        <v>0</v>
      </c>
      <c r="X9162" s="21">
        <v>0</v>
      </c>
      <c r="Y9162" s="21">
        <v>0</v>
      </c>
      <c r="Z9162" s="21">
        <v>0</v>
      </c>
      <c r="AA9162" s="21">
        <v>0</v>
      </c>
      <c r="AB9162" s="21">
        <v>0</v>
      </c>
      <c r="AC9162" s="21">
        <v>0</v>
      </c>
      <c r="AD9162" s="21">
        <v>0</v>
      </c>
      <c r="AE9162" s="21">
        <v>0</v>
      </c>
      <c r="AF9162" s="21">
        <v>0</v>
      </c>
      <c r="AG9162" s="21">
        <v>0</v>
      </c>
      <c r="AH9162" s="21">
        <v>96</v>
      </c>
      <c r="AI9162" s="21"/>
      <c r="AJ9162" s="21" t="s">
        <v>51</v>
      </c>
      <c r="AK9162" s="21" t="s">
        <v>52</v>
      </c>
      <c r="AL9162" s="21"/>
      <c r="AM9162" s="21" t="s">
        <v>6248</v>
      </c>
      <c r="AN9162" s="21">
        <v>-122.438481216667</v>
      </c>
      <c r="AO9162" s="21">
        <v>37.8052699666667</v>
      </c>
      <c r="AP9162" s="21" t="s">
        <v>951</v>
      </c>
    </row>
    <row r="9163" spans="1:42">
      <c r="A9163" s="20">
        <v>43865</v>
      </c>
      <c r="B9163" s="21">
        <v>2</v>
      </c>
      <c r="C9163" s="21">
        <v>207</v>
      </c>
      <c r="D9163" s="21">
        <v>14657</v>
      </c>
      <c r="E9163" t="s">
        <v>37</v>
      </c>
      <c r="F9163" s="21" t="s">
        <v>436</v>
      </c>
      <c r="G9163" s="21" t="s">
        <v>4270</v>
      </c>
      <c r="H9163" s="21">
        <v>104</v>
      </c>
      <c r="I9163" s="21" t="s">
        <v>5700</v>
      </c>
      <c r="J9163" s="21"/>
      <c r="K9163" t="s">
        <v>910</v>
      </c>
      <c r="L9163" s="21"/>
      <c r="M9163" s="21"/>
      <c r="N9163" s="21" t="s">
        <v>44</v>
      </c>
      <c r="O9163" s="21">
        <v>129</v>
      </c>
      <c r="P9163" s="21"/>
      <c r="Q9163" s="21">
        <f t="shared" si="192"/>
        <v>1</v>
      </c>
      <c r="R9163" s="21">
        <v>1</v>
      </c>
      <c r="S9163" s="21">
        <v>0</v>
      </c>
      <c r="T9163" s="21">
        <v>0</v>
      </c>
      <c r="U9163" s="21">
        <v>0</v>
      </c>
      <c r="V9163" s="21">
        <v>0</v>
      </c>
      <c r="W9163" s="21">
        <v>1</v>
      </c>
      <c r="X9163" s="21">
        <v>0</v>
      </c>
      <c r="Y9163" s="21">
        <v>0</v>
      </c>
      <c r="Z9163" s="21">
        <v>0</v>
      </c>
      <c r="AA9163" s="21">
        <v>0</v>
      </c>
      <c r="AB9163" s="21">
        <v>0</v>
      </c>
      <c r="AC9163" s="21">
        <v>0</v>
      </c>
      <c r="AD9163" s="21">
        <v>0</v>
      </c>
      <c r="AE9163" s="21">
        <v>0</v>
      </c>
      <c r="AF9163" s="21">
        <v>0</v>
      </c>
      <c r="AG9163" s="21">
        <v>0</v>
      </c>
      <c r="AH9163" s="21">
        <v>96</v>
      </c>
      <c r="AI9163" s="21"/>
      <c r="AJ9163" s="21" t="s">
        <v>51</v>
      </c>
      <c r="AK9163" s="21" t="s">
        <v>95</v>
      </c>
      <c r="AL9163" s="21"/>
      <c r="AM9163" s="21" t="s">
        <v>6249</v>
      </c>
      <c r="AN9163" s="21">
        <v>-122.438451616667</v>
      </c>
      <c r="AO9163" s="21">
        <v>37.805346550000003</v>
      </c>
      <c r="AP9163" s="21" t="s">
        <v>951</v>
      </c>
    </row>
    <row r="9164" spans="1:42">
      <c r="A9164" s="20">
        <v>43865</v>
      </c>
      <c r="B9164" s="21">
        <v>2</v>
      </c>
      <c r="C9164" s="21">
        <v>207</v>
      </c>
      <c r="D9164" s="21">
        <v>14657</v>
      </c>
      <c r="E9164" t="s">
        <v>37</v>
      </c>
      <c r="F9164" s="21" t="s">
        <v>436</v>
      </c>
      <c r="G9164" s="21" t="s">
        <v>4270</v>
      </c>
      <c r="H9164" s="21">
        <v>105</v>
      </c>
      <c r="I9164" s="21" t="s">
        <v>4541</v>
      </c>
      <c r="J9164" s="21"/>
      <c r="K9164" t="s">
        <v>910</v>
      </c>
      <c r="L9164" s="21" t="s">
        <v>141</v>
      </c>
      <c r="M9164" s="21"/>
      <c r="N9164" s="21" t="s">
        <v>40</v>
      </c>
      <c r="O9164" s="21">
        <v>32</v>
      </c>
      <c r="P9164" s="21"/>
      <c r="Q9164" s="21">
        <f t="shared" si="192"/>
        <v>1</v>
      </c>
      <c r="R9164" s="21">
        <v>1</v>
      </c>
      <c r="S9164" s="21">
        <v>0</v>
      </c>
      <c r="T9164" s="21">
        <v>0</v>
      </c>
      <c r="U9164" s="21">
        <v>1</v>
      </c>
      <c r="V9164" s="21">
        <v>0</v>
      </c>
      <c r="W9164" s="21">
        <v>0</v>
      </c>
      <c r="X9164" s="21">
        <v>0</v>
      </c>
      <c r="Y9164" s="21">
        <v>0</v>
      </c>
      <c r="Z9164" s="21">
        <v>0</v>
      </c>
      <c r="AA9164" s="21">
        <v>0</v>
      </c>
      <c r="AB9164" s="21">
        <v>0</v>
      </c>
      <c r="AC9164" s="21">
        <v>0</v>
      </c>
      <c r="AD9164" s="21">
        <v>0</v>
      </c>
      <c r="AE9164" s="21">
        <v>0</v>
      </c>
      <c r="AF9164" s="21">
        <v>0</v>
      </c>
      <c r="AG9164" s="21">
        <v>0</v>
      </c>
      <c r="AH9164" s="21">
        <v>32</v>
      </c>
      <c r="AI9164" s="21"/>
      <c r="AJ9164" s="21" t="s">
        <v>51</v>
      </c>
      <c r="AK9164" s="21" t="s">
        <v>95</v>
      </c>
      <c r="AL9164" s="21"/>
      <c r="AM9164" s="21" t="s">
        <v>6250</v>
      </c>
      <c r="AN9164" s="21">
        <v>-122.438075966667</v>
      </c>
      <c r="AO9164" s="21">
        <v>37.804683416666698</v>
      </c>
      <c r="AP9164" s="21" t="s">
        <v>951</v>
      </c>
    </row>
    <row r="9165" spans="1:42">
      <c r="A9165" s="20">
        <v>43865</v>
      </c>
      <c r="B9165" s="21">
        <v>2</v>
      </c>
      <c r="C9165" s="21">
        <v>207</v>
      </c>
      <c r="D9165" s="21">
        <v>14657</v>
      </c>
      <c r="E9165" t="s">
        <v>37</v>
      </c>
      <c r="F9165" s="21" t="s">
        <v>436</v>
      </c>
      <c r="G9165" s="21" t="s">
        <v>4270</v>
      </c>
      <c r="H9165" s="21">
        <v>106</v>
      </c>
      <c r="I9165" s="21" t="s">
        <v>4556</v>
      </c>
      <c r="J9165" s="21"/>
      <c r="K9165" t="s">
        <v>910</v>
      </c>
      <c r="L9165" s="21"/>
      <c r="M9165" s="21"/>
      <c r="N9165" s="21"/>
      <c r="O9165" s="21">
        <v>91</v>
      </c>
      <c r="P9165" s="21"/>
      <c r="Q9165" s="21">
        <f t="shared" si="192"/>
        <v>5</v>
      </c>
      <c r="R9165" s="21">
        <v>1</v>
      </c>
      <c r="S9165" s="21">
        <v>0</v>
      </c>
      <c r="T9165" s="21">
        <v>0</v>
      </c>
      <c r="U9165" s="21">
        <v>4</v>
      </c>
      <c r="V9165" s="21">
        <v>1</v>
      </c>
      <c r="W9165" s="21">
        <v>0</v>
      </c>
      <c r="X9165" s="21">
        <v>0</v>
      </c>
      <c r="Y9165" s="21">
        <v>0</v>
      </c>
      <c r="Z9165" s="21">
        <v>0</v>
      </c>
      <c r="AA9165" s="21">
        <v>0</v>
      </c>
      <c r="AB9165" s="21">
        <v>0</v>
      </c>
      <c r="AC9165" s="21">
        <v>0</v>
      </c>
      <c r="AD9165" s="21">
        <v>0</v>
      </c>
      <c r="AE9165" s="21">
        <v>0</v>
      </c>
      <c r="AF9165" s="21">
        <v>0</v>
      </c>
      <c r="AG9165" s="21">
        <v>0</v>
      </c>
      <c r="AH9165" s="21">
        <v>192</v>
      </c>
      <c r="AI9165" s="21"/>
      <c r="AJ9165" s="21" t="s">
        <v>51</v>
      </c>
      <c r="AK9165" s="21" t="s">
        <v>95</v>
      </c>
      <c r="AL9165" s="21"/>
      <c r="AM9165" s="21" t="s">
        <v>6251</v>
      </c>
      <c r="AN9165" s="21">
        <v>-122.437995033333</v>
      </c>
      <c r="AO9165" s="21">
        <v>37.804434333333298</v>
      </c>
      <c r="AP9165" s="21" t="s">
        <v>951</v>
      </c>
    </row>
    <row r="9166" spans="1:42">
      <c r="A9166" s="20">
        <v>43865</v>
      </c>
      <c r="B9166" s="21">
        <v>2</v>
      </c>
      <c r="C9166" s="21">
        <v>207</v>
      </c>
      <c r="D9166" s="21">
        <v>14657</v>
      </c>
      <c r="E9166" t="s">
        <v>37</v>
      </c>
      <c r="F9166" s="21" t="s">
        <v>436</v>
      </c>
      <c r="G9166" s="21" t="s">
        <v>4270</v>
      </c>
      <c r="H9166" s="21">
        <v>107</v>
      </c>
      <c r="I9166" s="21" t="s">
        <v>6252</v>
      </c>
      <c r="J9166" s="21"/>
      <c r="K9166" t="s">
        <v>910</v>
      </c>
      <c r="L9166" s="21" t="s">
        <v>114</v>
      </c>
      <c r="M9166" s="21"/>
      <c r="N9166" s="21" t="s">
        <v>40</v>
      </c>
      <c r="O9166" s="21">
        <v>61</v>
      </c>
      <c r="P9166" s="21"/>
      <c r="Q9166" s="21">
        <f t="shared" si="192"/>
        <v>3</v>
      </c>
      <c r="R9166" s="21">
        <v>1</v>
      </c>
      <c r="S9166" s="21">
        <v>0</v>
      </c>
      <c r="T9166" s="21">
        <v>0</v>
      </c>
      <c r="U9166" s="21">
        <v>2</v>
      </c>
      <c r="V9166" s="21">
        <v>1</v>
      </c>
      <c r="W9166" s="21">
        <v>0</v>
      </c>
      <c r="X9166" s="21">
        <v>0</v>
      </c>
      <c r="Y9166" s="21">
        <v>0</v>
      </c>
      <c r="Z9166" s="21">
        <v>0</v>
      </c>
      <c r="AA9166" s="21">
        <v>0</v>
      </c>
      <c r="AB9166" s="21">
        <v>0</v>
      </c>
      <c r="AC9166" s="21">
        <v>0</v>
      </c>
      <c r="AD9166" s="21">
        <v>0</v>
      </c>
      <c r="AE9166" s="21">
        <v>0</v>
      </c>
      <c r="AF9166" s="21">
        <v>0</v>
      </c>
      <c r="AG9166" s="21">
        <v>0</v>
      </c>
      <c r="AH9166" s="21">
        <v>128</v>
      </c>
      <c r="AI9166" s="21"/>
      <c r="AJ9166" s="21" t="s">
        <v>51</v>
      </c>
      <c r="AK9166" s="21" t="s">
        <v>52</v>
      </c>
      <c r="AL9166" s="21"/>
      <c r="AM9166" s="21" t="s">
        <v>6253</v>
      </c>
      <c r="AN9166" s="21">
        <v>-122.438089533333</v>
      </c>
      <c r="AO9166" s="21">
        <v>37.804615416666699</v>
      </c>
      <c r="AP9166" s="21" t="s">
        <v>951</v>
      </c>
    </row>
    <row r="9167" spans="1:42">
      <c r="A9167" s="20">
        <v>43865</v>
      </c>
      <c r="B9167" s="21">
        <v>2</v>
      </c>
      <c r="C9167" s="21">
        <v>207</v>
      </c>
      <c r="D9167" s="21">
        <v>14657</v>
      </c>
      <c r="E9167" t="s">
        <v>37</v>
      </c>
      <c r="F9167" s="21" t="s">
        <v>436</v>
      </c>
      <c r="G9167" s="21" t="s">
        <v>4270</v>
      </c>
      <c r="H9167" s="21">
        <v>108</v>
      </c>
      <c r="I9167" s="21" t="s">
        <v>6254</v>
      </c>
      <c r="J9167" s="21"/>
      <c r="K9167" t="s">
        <v>910</v>
      </c>
      <c r="L9167" s="21" t="s">
        <v>114</v>
      </c>
      <c r="M9167" s="21"/>
      <c r="N9167" s="21" t="s">
        <v>40</v>
      </c>
      <c r="O9167" s="21">
        <v>93</v>
      </c>
      <c r="P9167" s="21"/>
      <c r="Q9167" s="21">
        <f t="shared" si="192"/>
        <v>4</v>
      </c>
      <c r="R9167" s="21">
        <v>1</v>
      </c>
      <c r="S9167" s="21">
        <v>0</v>
      </c>
      <c r="T9167" s="21">
        <v>0</v>
      </c>
      <c r="U9167" s="21">
        <v>3</v>
      </c>
      <c r="V9167" s="21">
        <v>1</v>
      </c>
      <c r="W9167" s="21">
        <v>0</v>
      </c>
      <c r="X9167" s="21">
        <v>0</v>
      </c>
      <c r="Y9167" s="21">
        <v>0</v>
      </c>
      <c r="Z9167" s="21">
        <v>0</v>
      </c>
      <c r="AA9167" s="21">
        <v>0</v>
      </c>
      <c r="AB9167" s="21">
        <v>0</v>
      </c>
      <c r="AC9167" s="21">
        <v>0</v>
      </c>
      <c r="AD9167" s="21">
        <v>0</v>
      </c>
      <c r="AE9167" s="21">
        <v>0</v>
      </c>
      <c r="AF9167" s="21">
        <v>0</v>
      </c>
      <c r="AG9167" s="21">
        <v>0</v>
      </c>
      <c r="AH9167" s="21">
        <v>160</v>
      </c>
      <c r="AI9167" s="21"/>
      <c r="AJ9167" s="21" t="s">
        <v>51</v>
      </c>
      <c r="AK9167" s="21" t="s">
        <v>95</v>
      </c>
      <c r="AL9167" s="21"/>
      <c r="AM9167" s="21" t="s">
        <v>6255</v>
      </c>
      <c r="AN9167" s="21">
        <v>-122.4381114</v>
      </c>
      <c r="AO9167" s="21">
        <v>37.804785666666596</v>
      </c>
      <c r="AP9167" s="21" t="s">
        <v>951</v>
      </c>
    </row>
    <row r="9168" spans="1:42">
      <c r="A9168" s="20">
        <v>43865</v>
      </c>
      <c r="B9168" s="21">
        <v>2</v>
      </c>
      <c r="C9168" s="21">
        <v>207</v>
      </c>
      <c r="D9168" s="21">
        <v>14657</v>
      </c>
      <c r="E9168" t="s">
        <v>37</v>
      </c>
      <c r="F9168" s="21" t="s">
        <v>436</v>
      </c>
      <c r="G9168" s="21" t="s">
        <v>4270</v>
      </c>
      <c r="H9168" s="21">
        <v>109</v>
      </c>
      <c r="I9168" s="21" t="s">
        <v>6256</v>
      </c>
      <c r="J9168" s="21"/>
      <c r="K9168" t="s">
        <v>910</v>
      </c>
      <c r="L9168" s="21" t="s">
        <v>114</v>
      </c>
      <c r="M9168" s="21"/>
      <c r="N9168" s="21" t="s">
        <v>40</v>
      </c>
      <c r="O9168" s="21">
        <v>82</v>
      </c>
      <c r="P9168" s="21"/>
      <c r="Q9168" s="21">
        <f t="shared" si="192"/>
        <v>4</v>
      </c>
      <c r="R9168" s="21">
        <v>1</v>
      </c>
      <c r="S9168" s="21">
        <v>1</v>
      </c>
      <c r="T9168" s="21">
        <v>0</v>
      </c>
      <c r="U9168" s="21">
        <v>2</v>
      </c>
      <c r="V9168" s="21">
        <v>1</v>
      </c>
      <c r="W9168" s="21">
        <v>0</v>
      </c>
      <c r="X9168" s="21">
        <v>0</v>
      </c>
      <c r="Y9168" s="21">
        <v>0</v>
      </c>
      <c r="Z9168" s="21">
        <v>0</v>
      </c>
      <c r="AA9168" s="21">
        <v>0</v>
      </c>
      <c r="AB9168" s="21">
        <v>0</v>
      </c>
      <c r="AC9168" s="21">
        <v>0</v>
      </c>
      <c r="AD9168" s="21">
        <v>0</v>
      </c>
      <c r="AE9168" s="21">
        <v>0</v>
      </c>
      <c r="AF9168" s="21">
        <v>0</v>
      </c>
      <c r="AG9168" s="21">
        <v>0</v>
      </c>
      <c r="AH9168" s="21">
        <v>144</v>
      </c>
      <c r="AI9168" s="21"/>
      <c r="AJ9168" s="21" t="s">
        <v>51</v>
      </c>
      <c r="AK9168" s="21" t="s">
        <v>95</v>
      </c>
      <c r="AL9168" s="21"/>
      <c r="AM9168" s="21" t="s">
        <v>6257</v>
      </c>
      <c r="AN9168" s="21">
        <v>-122.43814501666699</v>
      </c>
      <c r="AO9168" s="21">
        <v>37.804858299999999</v>
      </c>
      <c r="AP9168" s="21" t="s">
        <v>951</v>
      </c>
    </row>
    <row r="9169" spans="1:42">
      <c r="A9169" s="20">
        <v>43865</v>
      </c>
      <c r="B9169" s="21">
        <v>2</v>
      </c>
      <c r="C9169" s="21">
        <v>207</v>
      </c>
      <c r="D9169" s="21">
        <v>14657</v>
      </c>
      <c r="E9169" t="s">
        <v>37</v>
      </c>
      <c r="F9169" s="21" t="s">
        <v>436</v>
      </c>
      <c r="G9169" s="21" t="s">
        <v>4270</v>
      </c>
      <c r="H9169" s="21">
        <v>110</v>
      </c>
      <c r="I9169" s="21" t="s">
        <v>6258</v>
      </c>
      <c r="J9169" s="21"/>
      <c r="K9169" t="s">
        <v>910</v>
      </c>
      <c r="L9169" s="21" t="s">
        <v>114</v>
      </c>
      <c r="M9169" s="21"/>
      <c r="N9169" s="21" t="s">
        <v>40</v>
      </c>
      <c r="O9169" s="21">
        <v>84</v>
      </c>
      <c r="P9169" s="21"/>
      <c r="Q9169" s="21">
        <f t="shared" si="192"/>
        <v>5</v>
      </c>
      <c r="R9169" s="21">
        <v>1</v>
      </c>
      <c r="S9169" s="21">
        <v>2</v>
      </c>
      <c r="T9169" s="21">
        <v>0</v>
      </c>
      <c r="U9169" s="21">
        <v>2</v>
      </c>
      <c r="V9169" s="21">
        <v>0</v>
      </c>
      <c r="W9169" s="21">
        <v>1</v>
      </c>
      <c r="X9169" s="21">
        <v>0</v>
      </c>
      <c r="Y9169" s="21">
        <v>0</v>
      </c>
      <c r="Z9169" s="21">
        <v>0</v>
      </c>
      <c r="AA9169" s="21">
        <v>0</v>
      </c>
      <c r="AB9169" s="21">
        <v>0</v>
      </c>
      <c r="AC9169" s="21">
        <v>0</v>
      </c>
      <c r="AD9169" s="21">
        <v>0</v>
      </c>
      <c r="AE9169" s="21">
        <v>0</v>
      </c>
      <c r="AF9169" s="21">
        <v>0</v>
      </c>
      <c r="AG9169" s="21">
        <v>0</v>
      </c>
      <c r="AH9169" s="21">
        <v>192</v>
      </c>
      <c r="AI9169" s="21"/>
      <c r="AJ9169" s="21" t="s">
        <v>51</v>
      </c>
      <c r="AK9169" s="21" t="s">
        <v>95</v>
      </c>
      <c r="AL9169" s="21"/>
      <c r="AM9169" s="21" t="s">
        <v>6259</v>
      </c>
      <c r="AN9169" s="21">
        <v>-122.438783566667</v>
      </c>
      <c r="AO9169" s="21">
        <v>37.805508883333303</v>
      </c>
      <c r="AP9169" s="21" t="s">
        <v>951</v>
      </c>
    </row>
    <row r="9170" spans="1:42">
      <c r="A9170" s="20">
        <v>43865</v>
      </c>
      <c r="B9170" s="21">
        <v>2</v>
      </c>
      <c r="C9170" s="21">
        <v>207</v>
      </c>
      <c r="D9170" s="21">
        <v>14657</v>
      </c>
      <c r="E9170" t="s">
        <v>37</v>
      </c>
      <c r="F9170" s="21" t="s">
        <v>436</v>
      </c>
      <c r="G9170" s="21" t="s">
        <v>4270</v>
      </c>
      <c r="H9170" s="21">
        <v>111</v>
      </c>
      <c r="I9170" s="21" t="s">
        <v>6260</v>
      </c>
      <c r="J9170" s="21"/>
      <c r="K9170" t="s">
        <v>910</v>
      </c>
      <c r="L9170" s="21" t="s">
        <v>114</v>
      </c>
      <c r="M9170" s="21"/>
      <c r="N9170" s="21" t="s">
        <v>40</v>
      </c>
      <c r="O9170" s="21">
        <v>49</v>
      </c>
      <c r="P9170" s="21"/>
      <c r="Q9170" s="21">
        <f t="shared" si="192"/>
        <v>3</v>
      </c>
      <c r="R9170" s="21">
        <v>1</v>
      </c>
      <c r="S9170" s="21">
        <v>0</v>
      </c>
      <c r="T9170" s="21">
        <v>0</v>
      </c>
      <c r="U9170" s="21">
        <v>3</v>
      </c>
      <c r="V9170" s="21">
        <v>0</v>
      </c>
      <c r="W9170" s="21">
        <v>0</v>
      </c>
      <c r="X9170" s="21">
        <v>0</v>
      </c>
      <c r="Y9170" s="21">
        <v>0</v>
      </c>
      <c r="Z9170" s="21">
        <v>0</v>
      </c>
      <c r="AA9170" s="21">
        <v>0</v>
      </c>
      <c r="AB9170" s="21">
        <v>0</v>
      </c>
      <c r="AC9170" s="21">
        <v>0</v>
      </c>
      <c r="AD9170" s="21">
        <v>0</v>
      </c>
      <c r="AE9170" s="21">
        <v>0</v>
      </c>
      <c r="AF9170" s="21">
        <v>0</v>
      </c>
      <c r="AG9170" s="21">
        <v>0</v>
      </c>
      <c r="AH9170" s="21">
        <v>96</v>
      </c>
      <c r="AI9170" s="21"/>
      <c r="AJ9170" s="21" t="s">
        <v>51</v>
      </c>
      <c r="AK9170" s="21" t="s">
        <v>95</v>
      </c>
      <c r="AL9170" s="21"/>
      <c r="AM9170" s="21" t="s">
        <v>6261</v>
      </c>
      <c r="AN9170" s="21">
        <v>-122.438857516667</v>
      </c>
      <c r="AO9170" s="21">
        <v>37.805595283333297</v>
      </c>
      <c r="AP9170" s="21" t="s">
        <v>951</v>
      </c>
    </row>
    <row r="9171" spans="1:42">
      <c r="A9171" s="20">
        <v>43865</v>
      </c>
      <c r="B9171" s="21">
        <v>2</v>
      </c>
      <c r="C9171" s="21">
        <v>207</v>
      </c>
      <c r="D9171" s="21">
        <v>14657</v>
      </c>
      <c r="E9171" t="s">
        <v>37</v>
      </c>
      <c r="F9171" s="21" t="s">
        <v>436</v>
      </c>
      <c r="G9171" s="21" t="s">
        <v>4270</v>
      </c>
      <c r="H9171" s="21">
        <v>112</v>
      </c>
      <c r="I9171" s="21" t="s">
        <v>6262</v>
      </c>
      <c r="J9171" s="21"/>
      <c r="K9171" t="s">
        <v>910</v>
      </c>
      <c r="L9171" s="21" t="s">
        <v>114</v>
      </c>
      <c r="M9171" s="21"/>
      <c r="N9171" s="21" t="s">
        <v>40</v>
      </c>
      <c r="O9171" s="21">
        <v>55</v>
      </c>
      <c r="P9171" s="21"/>
      <c r="Q9171" s="21">
        <f t="shared" si="192"/>
        <v>3</v>
      </c>
      <c r="R9171" s="21">
        <v>1</v>
      </c>
      <c r="S9171" s="21">
        <v>2</v>
      </c>
      <c r="T9171" s="21">
        <v>0</v>
      </c>
      <c r="U9171" s="21">
        <v>1</v>
      </c>
      <c r="V9171" s="21">
        <v>0</v>
      </c>
      <c r="W9171" s="21">
        <v>0</v>
      </c>
      <c r="X9171" s="21">
        <v>0</v>
      </c>
      <c r="Y9171" s="21">
        <v>0</v>
      </c>
      <c r="Z9171" s="21">
        <v>0</v>
      </c>
      <c r="AA9171" s="21">
        <v>0</v>
      </c>
      <c r="AB9171" s="21">
        <v>0</v>
      </c>
      <c r="AC9171" s="21">
        <v>0</v>
      </c>
      <c r="AD9171" s="21">
        <v>0</v>
      </c>
      <c r="AE9171" s="21">
        <v>0</v>
      </c>
      <c r="AF9171" s="21">
        <v>0</v>
      </c>
      <c r="AG9171" s="21">
        <v>0</v>
      </c>
      <c r="AH9171" s="21">
        <v>64</v>
      </c>
      <c r="AI9171" s="21"/>
      <c r="AJ9171" s="21" t="s">
        <v>51</v>
      </c>
      <c r="AK9171" s="21" t="s">
        <v>95</v>
      </c>
      <c r="AL9171" s="21"/>
      <c r="AM9171" s="21" t="s">
        <v>6263</v>
      </c>
      <c r="AN9171" s="21">
        <v>-122.43896049999999</v>
      </c>
      <c r="AO9171" s="21">
        <v>37.805676716666603</v>
      </c>
      <c r="AP9171" s="21" t="s">
        <v>951</v>
      </c>
    </row>
    <row r="9172" spans="1:42">
      <c r="A9172" s="20">
        <v>43865</v>
      </c>
      <c r="B9172" s="21">
        <v>2</v>
      </c>
      <c r="C9172" s="21">
        <v>207</v>
      </c>
      <c r="D9172" s="21">
        <v>14657</v>
      </c>
      <c r="E9172" t="s">
        <v>37</v>
      </c>
      <c r="F9172" s="21" t="s">
        <v>436</v>
      </c>
      <c r="G9172" s="21" t="s">
        <v>4270</v>
      </c>
      <c r="H9172" s="21">
        <v>113</v>
      </c>
      <c r="I9172" s="21" t="s">
        <v>6171</v>
      </c>
      <c r="J9172" s="21"/>
      <c r="K9172" t="s">
        <v>910</v>
      </c>
      <c r="L9172" s="21" t="s">
        <v>114</v>
      </c>
      <c r="M9172" s="21"/>
      <c r="N9172" s="21" t="s">
        <v>40</v>
      </c>
      <c r="O9172" s="21">
        <v>28</v>
      </c>
      <c r="P9172" s="21"/>
      <c r="Q9172" s="21">
        <f t="shared" si="192"/>
        <v>2</v>
      </c>
      <c r="R9172" s="21">
        <v>1</v>
      </c>
      <c r="S9172" s="21">
        <v>0</v>
      </c>
      <c r="T9172" s="21">
        <v>0</v>
      </c>
      <c r="U9172" s="21">
        <v>1</v>
      </c>
      <c r="V9172" s="21">
        <v>1</v>
      </c>
      <c r="W9172" s="21">
        <v>0</v>
      </c>
      <c r="X9172" s="21">
        <v>0</v>
      </c>
      <c r="Y9172" s="21">
        <v>0</v>
      </c>
      <c r="Z9172" s="21">
        <v>0</v>
      </c>
      <c r="AA9172" s="21">
        <v>0</v>
      </c>
      <c r="AB9172" s="21">
        <v>0</v>
      </c>
      <c r="AC9172" s="21">
        <v>0</v>
      </c>
      <c r="AD9172" s="21">
        <v>0</v>
      </c>
      <c r="AE9172" s="21">
        <v>0</v>
      </c>
      <c r="AF9172" s="21">
        <v>0</v>
      </c>
      <c r="AG9172" s="21">
        <v>0</v>
      </c>
      <c r="AH9172" s="21">
        <v>96</v>
      </c>
      <c r="AI9172" s="21"/>
      <c r="AJ9172" s="21" t="s">
        <v>51</v>
      </c>
      <c r="AK9172" s="21" t="s">
        <v>95</v>
      </c>
      <c r="AL9172" s="21"/>
      <c r="AM9172" s="21" t="s">
        <v>6264</v>
      </c>
      <c r="AN9172" s="21">
        <v>-122.43918113333299</v>
      </c>
      <c r="AO9172" s="21">
        <v>37.8057621166666</v>
      </c>
      <c r="AP9172" s="21" t="s">
        <v>951</v>
      </c>
    </row>
    <row r="9173" spans="1:42">
      <c r="A9173" s="20">
        <v>43865</v>
      </c>
      <c r="B9173" s="21">
        <v>2</v>
      </c>
      <c r="C9173" s="21">
        <v>207</v>
      </c>
      <c r="D9173" s="21">
        <v>14657</v>
      </c>
      <c r="E9173" t="s">
        <v>37</v>
      </c>
      <c r="F9173" s="21" t="s">
        <v>436</v>
      </c>
      <c r="G9173" s="21" t="s">
        <v>4270</v>
      </c>
      <c r="H9173" s="21">
        <v>114</v>
      </c>
      <c r="I9173" s="21" t="s">
        <v>6265</v>
      </c>
      <c r="J9173" s="21"/>
      <c r="K9173" s="21" t="s">
        <v>3451</v>
      </c>
      <c r="L9173" s="21"/>
      <c r="M9173" s="21"/>
      <c r="N9173" s="21" t="s">
        <v>44</v>
      </c>
      <c r="O9173" s="21">
        <v>87</v>
      </c>
      <c r="P9173" s="21"/>
      <c r="Q9173" s="21">
        <f t="shared" si="192"/>
        <v>1</v>
      </c>
      <c r="R9173" s="21">
        <v>1</v>
      </c>
      <c r="S9173" s="21">
        <v>0</v>
      </c>
      <c r="T9173" s="21">
        <v>0</v>
      </c>
      <c r="U9173" s="21">
        <v>0</v>
      </c>
      <c r="V9173" s="21">
        <v>0</v>
      </c>
      <c r="W9173" s="21">
        <v>1</v>
      </c>
      <c r="X9173" s="21">
        <v>0</v>
      </c>
      <c r="Y9173" s="21">
        <v>0</v>
      </c>
      <c r="Z9173" s="21">
        <v>0</v>
      </c>
      <c r="AA9173" s="21">
        <v>0</v>
      </c>
      <c r="AB9173" s="21">
        <v>0</v>
      </c>
      <c r="AC9173" s="21">
        <v>0</v>
      </c>
      <c r="AD9173" s="21">
        <v>0</v>
      </c>
      <c r="AE9173" s="21">
        <v>0</v>
      </c>
      <c r="AF9173" s="21">
        <v>0</v>
      </c>
      <c r="AG9173" s="21">
        <v>0</v>
      </c>
      <c r="AH9173" s="21">
        <v>96</v>
      </c>
      <c r="AI9173" s="21"/>
      <c r="AJ9173" s="21" t="s">
        <v>51</v>
      </c>
      <c r="AK9173" s="21" t="s">
        <v>95</v>
      </c>
      <c r="AL9173" s="21"/>
      <c r="AM9173" s="21" t="s">
        <v>6266</v>
      </c>
      <c r="AN9173" s="21">
        <v>-122.438965516667</v>
      </c>
      <c r="AO9173" s="21">
        <v>37.806195166666697</v>
      </c>
      <c r="AP9173" s="21" t="s">
        <v>951</v>
      </c>
    </row>
    <row r="9174" spans="1:42">
      <c r="A9174" s="20">
        <v>43865</v>
      </c>
      <c r="B9174" s="21">
        <v>2</v>
      </c>
      <c r="C9174" s="21">
        <v>207</v>
      </c>
      <c r="D9174" s="21">
        <v>14657</v>
      </c>
      <c r="E9174" t="s">
        <v>37</v>
      </c>
      <c r="F9174" s="21" t="s">
        <v>436</v>
      </c>
      <c r="G9174" s="21" t="s">
        <v>4270</v>
      </c>
      <c r="H9174" s="21">
        <v>115</v>
      </c>
      <c r="I9174" s="21" t="s">
        <v>6267</v>
      </c>
      <c r="J9174" s="21"/>
      <c r="K9174" s="21" t="s">
        <v>3451</v>
      </c>
      <c r="L9174" s="21" t="s">
        <v>141</v>
      </c>
      <c r="M9174" s="21"/>
      <c r="N9174" s="21" t="s">
        <v>40</v>
      </c>
      <c r="O9174" s="21">
        <v>38</v>
      </c>
      <c r="P9174" s="21"/>
      <c r="Q9174" s="21">
        <f t="shared" si="192"/>
        <v>2</v>
      </c>
      <c r="R9174" s="21">
        <v>1</v>
      </c>
      <c r="S9174" s="21">
        <v>0</v>
      </c>
      <c r="T9174" s="21">
        <v>0</v>
      </c>
      <c r="U9174" s="21">
        <v>1</v>
      </c>
      <c r="V9174" s="21">
        <v>1</v>
      </c>
      <c r="W9174" s="21">
        <v>0</v>
      </c>
      <c r="X9174" s="21">
        <v>0</v>
      </c>
      <c r="Y9174" s="21">
        <v>0</v>
      </c>
      <c r="Z9174" s="21">
        <v>0</v>
      </c>
      <c r="AA9174" s="21">
        <v>0</v>
      </c>
      <c r="AB9174" s="21">
        <v>0</v>
      </c>
      <c r="AC9174" s="21">
        <v>0</v>
      </c>
      <c r="AD9174" s="21">
        <v>0</v>
      </c>
      <c r="AE9174" s="21">
        <v>0</v>
      </c>
      <c r="AF9174" s="21">
        <v>0</v>
      </c>
      <c r="AG9174" s="21">
        <v>0</v>
      </c>
      <c r="AH9174" s="21">
        <v>96</v>
      </c>
      <c r="AI9174" s="21"/>
      <c r="AJ9174" s="21" t="s">
        <v>51</v>
      </c>
      <c r="AK9174" s="21" t="s">
        <v>95</v>
      </c>
      <c r="AL9174" s="21"/>
      <c r="AM9174" s="21" t="s">
        <v>6268</v>
      </c>
      <c r="AN9174" s="21">
        <v>-122.43897435</v>
      </c>
      <c r="AO9174" s="21">
        <v>37.806118916666598</v>
      </c>
      <c r="AP9174" s="21" t="s">
        <v>951</v>
      </c>
    </row>
    <row r="9175" spans="1:42">
      <c r="A9175" s="20">
        <v>43865</v>
      </c>
      <c r="B9175" s="21">
        <v>2</v>
      </c>
      <c r="C9175" s="21">
        <v>207</v>
      </c>
      <c r="D9175" s="21">
        <v>14657</v>
      </c>
      <c r="E9175" t="s">
        <v>37</v>
      </c>
      <c r="F9175" s="21" t="s">
        <v>436</v>
      </c>
      <c r="G9175" s="21" t="s">
        <v>4270</v>
      </c>
      <c r="H9175" s="21">
        <v>116</v>
      </c>
      <c r="I9175" s="21" t="s">
        <v>6269</v>
      </c>
      <c r="J9175" s="21"/>
      <c r="K9175" s="21" t="s">
        <v>3451</v>
      </c>
      <c r="L9175" s="21" t="s">
        <v>141</v>
      </c>
      <c r="M9175" s="21"/>
      <c r="N9175" s="21" t="s">
        <v>40</v>
      </c>
      <c r="O9175" s="21">
        <v>38</v>
      </c>
      <c r="P9175" s="21"/>
      <c r="Q9175" s="21">
        <f t="shared" si="192"/>
        <v>2</v>
      </c>
      <c r="R9175" s="21">
        <v>1</v>
      </c>
      <c r="S9175" s="21">
        <v>0</v>
      </c>
      <c r="T9175" s="21">
        <v>0</v>
      </c>
      <c r="U9175" s="21">
        <v>2</v>
      </c>
      <c r="V9175" s="21">
        <v>0</v>
      </c>
      <c r="W9175" s="21">
        <v>0</v>
      </c>
      <c r="X9175" s="21">
        <v>0</v>
      </c>
      <c r="Y9175" s="21">
        <v>0</v>
      </c>
      <c r="Z9175" s="21">
        <v>0</v>
      </c>
      <c r="AA9175" s="21">
        <v>0</v>
      </c>
      <c r="AB9175" s="21">
        <v>0</v>
      </c>
      <c r="AC9175" s="21">
        <v>0</v>
      </c>
      <c r="AD9175" s="21">
        <v>0</v>
      </c>
      <c r="AE9175" s="21">
        <v>0</v>
      </c>
      <c r="AF9175" s="21">
        <v>0</v>
      </c>
      <c r="AG9175" s="21">
        <v>0</v>
      </c>
      <c r="AH9175" s="21">
        <v>64</v>
      </c>
      <c r="AI9175" s="21"/>
      <c r="AJ9175" s="21" t="s">
        <v>51</v>
      </c>
      <c r="AK9175" s="21" t="s">
        <v>95</v>
      </c>
      <c r="AL9175" s="21"/>
      <c r="AM9175" s="21" t="s">
        <v>6270</v>
      </c>
      <c r="AN9175" s="21">
        <v>-122.438900566667</v>
      </c>
      <c r="AO9175" s="21">
        <v>37.806119066666703</v>
      </c>
      <c r="AP9175" s="21" t="s">
        <v>951</v>
      </c>
    </row>
    <row r="9176" spans="1:42">
      <c r="A9176" s="20">
        <v>43865</v>
      </c>
      <c r="B9176" s="21">
        <v>2</v>
      </c>
      <c r="C9176" s="21">
        <v>207</v>
      </c>
      <c r="D9176" s="21">
        <v>14657</v>
      </c>
      <c r="E9176" t="s">
        <v>37</v>
      </c>
      <c r="F9176" s="21" t="s">
        <v>436</v>
      </c>
      <c r="G9176" s="21" t="s">
        <v>4270</v>
      </c>
      <c r="H9176" s="21">
        <v>117</v>
      </c>
      <c r="I9176" s="21" t="s">
        <v>6271</v>
      </c>
      <c r="J9176" s="21"/>
      <c r="K9176" s="21" t="s">
        <v>3451</v>
      </c>
      <c r="L9176" s="21" t="s">
        <v>141</v>
      </c>
      <c r="M9176" s="21"/>
      <c r="N9176" s="21" t="s">
        <v>40</v>
      </c>
      <c r="O9176" s="21">
        <v>39</v>
      </c>
      <c r="P9176" s="21"/>
      <c r="Q9176" s="21">
        <f t="shared" si="192"/>
        <v>2</v>
      </c>
      <c r="R9176" s="21">
        <v>1</v>
      </c>
      <c r="S9176" s="21">
        <v>0</v>
      </c>
      <c r="T9176" s="21">
        <v>0</v>
      </c>
      <c r="U9176" s="21">
        <v>2</v>
      </c>
      <c r="V9176" s="21">
        <v>0</v>
      </c>
      <c r="W9176" s="21">
        <v>0</v>
      </c>
      <c r="X9176" s="21">
        <v>0</v>
      </c>
      <c r="Y9176" s="21">
        <v>0</v>
      </c>
      <c r="Z9176" s="21">
        <v>0</v>
      </c>
      <c r="AA9176" s="21">
        <v>0</v>
      </c>
      <c r="AB9176" s="21">
        <v>0</v>
      </c>
      <c r="AC9176" s="21">
        <v>0</v>
      </c>
      <c r="AD9176" s="21">
        <v>0</v>
      </c>
      <c r="AE9176" s="21">
        <v>0</v>
      </c>
      <c r="AF9176" s="21">
        <v>0</v>
      </c>
      <c r="AG9176" s="21">
        <v>0</v>
      </c>
      <c r="AH9176" s="21">
        <v>64</v>
      </c>
      <c r="AI9176" s="21"/>
      <c r="AJ9176" s="21" t="s">
        <v>51</v>
      </c>
      <c r="AK9176" s="21" t="s">
        <v>95</v>
      </c>
      <c r="AL9176" s="21"/>
      <c r="AM9176" s="21" t="s">
        <v>6272</v>
      </c>
      <c r="AN9176" s="21">
        <v>-122.438740716667</v>
      </c>
      <c r="AO9176" s="21">
        <v>37.806169483333299</v>
      </c>
      <c r="AP9176" s="21" t="s">
        <v>951</v>
      </c>
    </row>
    <row r="9177" spans="1:42">
      <c r="A9177" s="20">
        <v>43865</v>
      </c>
      <c r="B9177" s="21">
        <v>2</v>
      </c>
      <c r="C9177" s="21">
        <v>207</v>
      </c>
      <c r="D9177" s="21">
        <v>14657</v>
      </c>
      <c r="E9177" t="s">
        <v>37</v>
      </c>
      <c r="F9177" s="21" t="s">
        <v>436</v>
      </c>
      <c r="G9177" s="21" t="s">
        <v>4270</v>
      </c>
      <c r="H9177" s="21">
        <v>118</v>
      </c>
      <c r="I9177" s="21" t="s">
        <v>6273</v>
      </c>
      <c r="J9177" s="21"/>
      <c r="K9177" s="21" t="s">
        <v>3451</v>
      </c>
      <c r="L9177" s="21" t="s">
        <v>141</v>
      </c>
      <c r="M9177" s="21"/>
      <c r="N9177" s="21" t="s">
        <v>40</v>
      </c>
      <c r="O9177" s="21">
        <v>27</v>
      </c>
      <c r="P9177" s="21"/>
      <c r="Q9177" s="21">
        <f t="shared" si="192"/>
        <v>2</v>
      </c>
      <c r="R9177" s="21">
        <v>1</v>
      </c>
      <c r="S9177" s="21">
        <v>0</v>
      </c>
      <c r="T9177" s="21">
        <v>0</v>
      </c>
      <c r="U9177" s="21">
        <v>2</v>
      </c>
      <c r="V9177" s="21">
        <v>0</v>
      </c>
      <c r="W9177" s="21">
        <v>0</v>
      </c>
      <c r="X9177" s="21">
        <v>0</v>
      </c>
      <c r="Y9177" s="21">
        <v>0</v>
      </c>
      <c r="Z9177" s="21">
        <v>0</v>
      </c>
      <c r="AA9177" s="21">
        <v>0</v>
      </c>
      <c r="AB9177" s="21">
        <v>0</v>
      </c>
      <c r="AC9177" s="21">
        <v>0</v>
      </c>
      <c r="AD9177" s="21">
        <v>0</v>
      </c>
      <c r="AE9177" s="21">
        <v>0</v>
      </c>
      <c r="AF9177" s="21">
        <v>0</v>
      </c>
      <c r="AG9177" s="21">
        <v>0</v>
      </c>
      <c r="AH9177" s="21">
        <v>64</v>
      </c>
      <c r="AI9177" s="21"/>
      <c r="AJ9177" s="21" t="s">
        <v>51</v>
      </c>
      <c r="AK9177" s="21" t="s">
        <v>95</v>
      </c>
      <c r="AL9177" s="21"/>
      <c r="AM9177" s="21" t="s">
        <v>6274</v>
      </c>
      <c r="AN9177" s="21">
        <v>-122.43868411666701</v>
      </c>
      <c r="AO9177" s="21">
        <v>37.806172683333301</v>
      </c>
      <c r="AP9177" s="21" t="s">
        <v>951</v>
      </c>
    </row>
    <row r="9178" spans="1:42">
      <c r="A9178" s="20">
        <v>43865</v>
      </c>
      <c r="B9178" s="21">
        <v>2</v>
      </c>
      <c r="C9178" s="21">
        <v>207</v>
      </c>
      <c r="D9178" s="21">
        <v>14657</v>
      </c>
      <c r="E9178" t="s">
        <v>37</v>
      </c>
      <c r="F9178" s="21" t="s">
        <v>436</v>
      </c>
      <c r="G9178" s="21" t="s">
        <v>4270</v>
      </c>
      <c r="H9178" s="21">
        <v>119</v>
      </c>
      <c r="I9178" s="21" t="s">
        <v>6275</v>
      </c>
      <c r="J9178" s="21"/>
      <c r="K9178" s="21" t="s">
        <v>3451</v>
      </c>
      <c r="L9178" s="21" t="s">
        <v>141</v>
      </c>
      <c r="M9178" s="21"/>
      <c r="N9178" s="21" t="s">
        <v>40</v>
      </c>
      <c r="O9178" s="21">
        <v>41</v>
      </c>
      <c r="P9178" s="21"/>
      <c r="Q9178" s="21">
        <f t="shared" si="192"/>
        <v>2</v>
      </c>
      <c r="R9178" s="21">
        <v>1</v>
      </c>
      <c r="S9178" s="21">
        <v>0</v>
      </c>
      <c r="T9178" s="21">
        <v>1</v>
      </c>
      <c r="U9178" s="21">
        <v>1</v>
      </c>
      <c r="V9178" s="21">
        <v>0</v>
      </c>
      <c r="W9178" s="21">
        <v>0</v>
      </c>
      <c r="X9178" s="21">
        <v>0</v>
      </c>
      <c r="Y9178" s="21">
        <v>0</v>
      </c>
      <c r="Z9178" s="21">
        <v>0</v>
      </c>
      <c r="AA9178" s="21">
        <v>0</v>
      </c>
      <c r="AB9178" s="21">
        <v>0</v>
      </c>
      <c r="AC9178" s="21">
        <v>0</v>
      </c>
      <c r="AD9178" s="21">
        <v>0</v>
      </c>
      <c r="AE9178" s="21">
        <v>0</v>
      </c>
      <c r="AF9178" s="21">
        <v>0</v>
      </c>
      <c r="AG9178" s="21">
        <v>0</v>
      </c>
      <c r="AH9178" s="21">
        <v>52</v>
      </c>
      <c r="AI9178" s="21"/>
      <c r="AJ9178" s="21" t="s">
        <v>51</v>
      </c>
      <c r="AK9178" s="21" t="s">
        <v>95</v>
      </c>
      <c r="AL9178" s="21"/>
      <c r="AM9178" s="21" t="s">
        <v>6276</v>
      </c>
      <c r="AN9178" s="21">
        <v>-122.438622033333</v>
      </c>
      <c r="AO9178" s="21">
        <v>37.806179416666701</v>
      </c>
      <c r="AP9178" s="21" t="s">
        <v>951</v>
      </c>
    </row>
    <row r="9179" spans="1:42">
      <c r="A9179" s="20">
        <v>43865</v>
      </c>
      <c r="B9179" s="21">
        <v>2</v>
      </c>
      <c r="C9179" s="21">
        <v>207</v>
      </c>
      <c r="D9179" s="21">
        <v>14657</v>
      </c>
      <c r="E9179" t="s">
        <v>37</v>
      </c>
      <c r="F9179" s="21" t="s">
        <v>436</v>
      </c>
      <c r="G9179" s="21" t="s">
        <v>4270</v>
      </c>
      <c r="H9179" s="21">
        <v>120</v>
      </c>
      <c r="I9179" s="21" t="s">
        <v>6277</v>
      </c>
      <c r="J9179" s="21"/>
      <c r="K9179" s="21" t="s">
        <v>3451</v>
      </c>
      <c r="L9179" s="21" t="s">
        <v>141</v>
      </c>
      <c r="M9179" s="21"/>
      <c r="N9179" s="21" t="s">
        <v>40</v>
      </c>
      <c r="O9179" s="21">
        <v>35</v>
      </c>
      <c r="P9179" s="21"/>
      <c r="Q9179" s="21">
        <f t="shared" si="192"/>
        <v>1</v>
      </c>
      <c r="R9179" s="21">
        <v>1</v>
      </c>
      <c r="S9179" s="21">
        <v>0</v>
      </c>
      <c r="T9179" s="21">
        <v>0</v>
      </c>
      <c r="U9179" s="21">
        <v>1</v>
      </c>
      <c r="V9179" s="21">
        <v>0</v>
      </c>
      <c r="W9179" s="21">
        <v>0</v>
      </c>
      <c r="X9179" s="21">
        <v>0</v>
      </c>
      <c r="Y9179" s="21">
        <v>0</v>
      </c>
      <c r="Z9179" s="21">
        <v>0</v>
      </c>
      <c r="AA9179" s="21">
        <v>0</v>
      </c>
      <c r="AB9179" s="21">
        <v>0</v>
      </c>
      <c r="AC9179" s="21">
        <v>0</v>
      </c>
      <c r="AD9179" s="21">
        <v>0</v>
      </c>
      <c r="AE9179" s="21">
        <v>0</v>
      </c>
      <c r="AF9179" s="21">
        <v>0</v>
      </c>
      <c r="AG9179" s="21">
        <v>0</v>
      </c>
      <c r="AH9179" s="21">
        <v>32</v>
      </c>
      <c r="AI9179" s="21"/>
      <c r="AJ9179" s="21" t="s">
        <v>51</v>
      </c>
      <c r="AK9179" s="21" t="s">
        <v>95</v>
      </c>
      <c r="AL9179" s="21"/>
      <c r="AM9179" s="21" t="s">
        <v>6278</v>
      </c>
      <c r="AN9179" s="21">
        <v>-122.438260233333</v>
      </c>
      <c r="AO9179" s="21">
        <v>37.806217349999997</v>
      </c>
      <c r="AP9179" s="21" t="s">
        <v>951</v>
      </c>
    </row>
    <row r="9180" spans="1:42">
      <c r="A9180" s="20">
        <v>43865</v>
      </c>
      <c r="B9180" s="21">
        <v>2</v>
      </c>
      <c r="C9180" s="21">
        <v>207</v>
      </c>
      <c r="D9180" s="21">
        <v>14657</v>
      </c>
      <c r="E9180" t="s">
        <v>37</v>
      </c>
      <c r="F9180" s="21" t="s">
        <v>436</v>
      </c>
      <c r="G9180" s="21" t="s">
        <v>4270</v>
      </c>
      <c r="H9180" s="21">
        <v>121</v>
      </c>
      <c r="I9180" s="21" t="s">
        <v>6279</v>
      </c>
      <c r="J9180" s="21"/>
      <c r="K9180" s="21" t="s">
        <v>3451</v>
      </c>
      <c r="L9180" s="21" t="s">
        <v>141</v>
      </c>
      <c r="M9180" s="21"/>
      <c r="N9180" s="21" t="s">
        <v>40</v>
      </c>
      <c r="O9180" s="21">
        <v>25</v>
      </c>
      <c r="P9180" s="21"/>
      <c r="Q9180" s="21">
        <f t="shared" si="192"/>
        <v>1</v>
      </c>
      <c r="R9180" s="21">
        <v>1</v>
      </c>
      <c r="S9180" s="21">
        <v>0</v>
      </c>
      <c r="T9180" s="21">
        <v>0</v>
      </c>
      <c r="U9180" s="21">
        <v>1</v>
      </c>
      <c r="V9180" s="21">
        <v>0</v>
      </c>
      <c r="W9180" s="21">
        <v>0</v>
      </c>
      <c r="X9180" s="21">
        <v>0</v>
      </c>
      <c r="Y9180" s="21">
        <v>0</v>
      </c>
      <c r="Z9180" s="21">
        <v>0</v>
      </c>
      <c r="AA9180" s="21">
        <v>0</v>
      </c>
      <c r="AB9180" s="21">
        <v>0</v>
      </c>
      <c r="AC9180" s="21">
        <v>0</v>
      </c>
      <c r="AD9180" s="21">
        <v>0</v>
      </c>
      <c r="AE9180" s="21">
        <v>0</v>
      </c>
      <c r="AF9180" s="21">
        <v>0</v>
      </c>
      <c r="AG9180" s="21">
        <v>0</v>
      </c>
      <c r="AH9180" s="21">
        <v>32</v>
      </c>
      <c r="AI9180" s="21"/>
      <c r="AJ9180" s="21" t="s">
        <v>51</v>
      </c>
      <c r="AK9180" s="21" t="s">
        <v>95</v>
      </c>
      <c r="AL9180" s="21"/>
      <c r="AM9180" s="21" t="s">
        <v>6280</v>
      </c>
      <c r="AN9180" s="21">
        <v>-122.438055983333</v>
      </c>
      <c r="AO9180" s="21">
        <v>37.806227933333297</v>
      </c>
      <c r="AP9180" s="21" t="s">
        <v>951</v>
      </c>
    </row>
    <row r="9181" spans="1:42">
      <c r="A9181" s="20">
        <v>43865</v>
      </c>
      <c r="B9181" s="21">
        <v>2</v>
      </c>
      <c r="C9181" s="21">
        <v>207</v>
      </c>
      <c r="D9181" s="21">
        <v>14657</v>
      </c>
      <c r="E9181" t="s">
        <v>37</v>
      </c>
      <c r="F9181" s="21" t="s">
        <v>436</v>
      </c>
      <c r="G9181" s="21" t="s">
        <v>4270</v>
      </c>
      <c r="H9181" s="21">
        <v>122</v>
      </c>
      <c r="I9181" s="21" t="s">
        <v>3504</v>
      </c>
      <c r="J9181" s="21"/>
      <c r="K9181" s="21" t="s">
        <v>3451</v>
      </c>
      <c r="L9181" s="21" t="s">
        <v>141</v>
      </c>
      <c r="M9181" s="21"/>
      <c r="N9181" s="21" t="s">
        <v>40</v>
      </c>
      <c r="O9181" s="21">
        <v>68</v>
      </c>
      <c r="P9181" s="21"/>
      <c r="Q9181" s="21">
        <f t="shared" si="192"/>
        <v>2</v>
      </c>
      <c r="R9181" s="21">
        <v>1</v>
      </c>
      <c r="S9181" s="21">
        <v>0</v>
      </c>
      <c r="T9181" s="21">
        <v>0</v>
      </c>
      <c r="U9181" s="21">
        <v>2</v>
      </c>
      <c r="V9181" s="21">
        <v>0</v>
      </c>
      <c r="W9181" s="21">
        <v>0</v>
      </c>
      <c r="X9181" s="21">
        <v>0</v>
      </c>
      <c r="Y9181" s="21">
        <v>0</v>
      </c>
      <c r="Z9181" s="21">
        <v>0</v>
      </c>
      <c r="AA9181" s="21">
        <v>0</v>
      </c>
      <c r="AB9181" s="21">
        <v>0</v>
      </c>
      <c r="AC9181" s="21">
        <v>0</v>
      </c>
      <c r="AD9181" s="21">
        <v>0</v>
      </c>
      <c r="AE9181" s="21">
        <v>0</v>
      </c>
      <c r="AF9181" s="21">
        <v>0</v>
      </c>
      <c r="AG9181" s="21">
        <v>0</v>
      </c>
      <c r="AH9181" s="21">
        <v>64</v>
      </c>
      <c r="AI9181" s="21"/>
      <c r="AJ9181" s="21" t="s">
        <v>51</v>
      </c>
      <c r="AK9181" s="21" t="s">
        <v>95</v>
      </c>
      <c r="AL9181" s="21"/>
      <c r="AM9181" s="21" t="s">
        <v>6281</v>
      </c>
      <c r="AN9181" s="21">
        <v>-122.438075916667</v>
      </c>
      <c r="AO9181" s="21">
        <v>37.806237766666698</v>
      </c>
      <c r="AP9181" s="21" t="s">
        <v>951</v>
      </c>
    </row>
    <row r="9182" spans="1:42">
      <c r="A9182" s="20">
        <v>43865</v>
      </c>
      <c r="B9182" s="21">
        <v>2</v>
      </c>
      <c r="C9182" s="21">
        <v>207</v>
      </c>
      <c r="D9182" s="21">
        <v>14657</v>
      </c>
      <c r="E9182" t="s">
        <v>37</v>
      </c>
      <c r="F9182" s="21" t="s">
        <v>436</v>
      </c>
      <c r="G9182" s="21" t="s">
        <v>4270</v>
      </c>
      <c r="H9182" s="21">
        <v>123</v>
      </c>
      <c r="I9182" s="21" t="s">
        <v>4147</v>
      </c>
      <c r="J9182" s="21"/>
      <c r="K9182" s="21" t="s">
        <v>4697</v>
      </c>
      <c r="L9182" s="21"/>
      <c r="M9182" s="21"/>
      <c r="N9182" s="21" t="s">
        <v>44</v>
      </c>
      <c r="O9182" s="21">
        <v>101</v>
      </c>
      <c r="P9182" s="21"/>
      <c r="Q9182" s="21">
        <f t="shared" si="192"/>
        <v>2</v>
      </c>
      <c r="R9182" s="21">
        <v>1</v>
      </c>
      <c r="S9182" s="21">
        <v>0</v>
      </c>
      <c r="T9182" s="21">
        <v>0</v>
      </c>
      <c r="U9182" s="21">
        <v>1</v>
      </c>
      <c r="V9182" s="21">
        <v>0</v>
      </c>
      <c r="W9182" s="21">
        <v>1</v>
      </c>
      <c r="X9182" s="21">
        <v>0</v>
      </c>
      <c r="Y9182" s="21">
        <v>0</v>
      </c>
      <c r="Z9182" s="21">
        <v>0</v>
      </c>
      <c r="AA9182" s="21">
        <v>0</v>
      </c>
      <c r="AB9182" s="21">
        <v>0</v>
      </c>
      <c r="AC9182" s="21">
        <v>0</v>
      </c>
      <c r="AD9182" s="21">
        <v>0</v>
      </c>
      <c r="AE9182" s="21">
        <v>0</v>
      </c>
      <c r="AF9182" s="21">
        <v>0</v>
      </c>
      <c r="AG9182" s="21">
        <v>0</v>
      </c>
      <c r="AH9182" s="21">
        <v>128</v>
      </c>
      <c r="AI9182" s="21"/>
      <c r="AJ9182" s="21" t="s">
        <v>51</v>
      </c>
      <c r="AK9182" s="21" t="s">
        <v>95</v>
      </c>
      <c r="AL9182" s="21"/>
      <c r="AM9182" s="21" t="s">
        <v>6282</v>
      </c>
      <c r="AN9182" s="21">
        <v>-122.437739366667</v>
      </c>
      <c r="AO9182" s="21">
        <v>37.805948083333298</v>
      </c>
      <c r="AP9182" s="21" t="s">
        <v>951</v>
      </c>
    </row>
    <row r="9183" spans="1:42">
      <c r="A9183" s="20">
        <v>43865</v>
      </c>
      <c r="B9183" s="21">
        <v>2</v>
      </c>
      <c r="C9183" s="21">
        <v>207</v>
      </c>
      <c r="D9183" s="21">
        <v>14657</v>
      </c>
      <c r="E9183" t="s">
        <v>37</v>
      </c>
      <c r="F9183" s="21" t="s">
        <v>436</v>
      </c>
      <c r="G9183" s="21" t="s">
        <v>4270</v>
      </c>
      <c r="H9183" s="21">
        <v>124</v>
      </c>
      <c r="I9183" s="21" t="s">
        <v>6283</v>
      </c>
      <c r="J9183" s="21"/>
      <c r="K9183" s="21" t="s">
        <v>4697</v>
      </c>
      <c r="L9183" s="21"/>
      <c r="M9183" s="21" t="s">
        <v>95</v>
      </c>
      <c r="N9183" s="21" t="s">
        <v>42</v>
      </c>
      <c r="O9183" s="21">
        <v>202</v>
      </c>
      <c r="P9183" s="21"/>
      <c r="Q9183" s="21">
        <f t="shared" si="192"/>
        <v>10</v>
      </c>
      <c r="R9183" s="21">
        <v>1</v>
      </c>
      <c r="S9183" s="21">
        <v>1</v>
      </c>
      <c r="T9183" s="21">
        <v>0</v>
      </c>
      <c r="U9183" s="21">
        <v>5</v>
      </c>
      <c r="V9183" s="21">
        <v>4</v>
      </c>
      <c r="W9183" s="21">
        <v>0</v>
      </c>
      <c r="X9183" s="21">
        <v>0</v>
      </c>
      <c r="Y9183" s="21">
        <v>0</v>
      </c>
      <c r="Z9183" s="21">
        <v>0</v>
      </c>
      <c r="AA9183" s="21">
        <v>0</v>
      </c>
      <c r="AB9183" s="21">
        <v>0</v>
      </c>
      <c r="AC9183" s="21">
        <v>0</v>
      </c>
      <c r="AD9183" s="21">
        <v>0</v>
      </c>
      <c r="AE9183" s="21">
        <v>0</v>
      </c>
      <c r="AF9183" s="21">
        <v>0</v>
      </c>
      <c r="AG9183" s="21">
        <v>0</v>
      </c>
      <c r="AH9183" s="21">
        <v>432</v>
      </c>
      <c r="AI9183" s="21"/>
      <c r="AJ9183" s="21" t="s">
        <v>51</v>
      </c>
      <c r="AK9183" s="21" t="s">
        <v>52</v>
      </c>
      <c r="AL9183" s="21"/>
      <c r="AM9183" s="21" t="s">
        <v>6284</v>
      </c>
      <c r="AN9183" s="21">
        <v>-122.437908533333</v>
      </c>
      <c r="AO9183" s="21">
        <v>37.805659166666601</v>
      </c>
      <c r="AP9183" s="21" t="s">
        <v>951</v>
      </c>
    </row>
    <row r="9184" spans="1:42">
      <c r="A9184" s="20">
        <v>43865</v>
      </c>
      <c r="B9184" s="21">
        <v>2</v>
      </c>
      <c r="C9184" s="21">
        <v>207</v>
      </c>
      <c r="D9184" s="21">
        <v>14657</v>
      </c>
      <c r="E9184" t="s">
        <v>37</v>
      </c>
      <c r="F9184" s="21" t="s">
        <v>436</v>
      </c>
      <c r="G9184" s="21" t="s">
        <v>4270</v>
      </c>
      <c r="H9184" s="21">
        <v>125</v>
      </c>
      <c r="I9184" s="21" t="s">
        <v>6285</v>
      </c>
      <c r="J9184" s="21"/>
      <c r="K9184" s="21" t="s">
        <v>3451</v>
      </c>
      <c r="L9184" s="21"/>
      <c r="M9184" s="21"/>
      <c r="N9184" s="21" t="s">
        <v>44</v>
      </c>
      <c r="O9184" s="21">
        <v>110</v>
      </c>
      <c r="P9184" s="21"/>
      <c r="Q9184" s="21">
        <f t="shared" si="192"/>
        <v>1</v>
      </c>
      <c r="R9184" s="21">
        <v>1</v>
      </c>
      <c r="S9184" s="21">
        <v>0</v>
      </c>
      <c r="T9184" s="21">
        <v>0</v>
      </c>
      <c r="U9184" s="21">
        <v>0</v>
      </c>
      <c r="V9184" s="21">
        <v>0</v>
      </c>
      <c r="W9184" s="21">
        <v>1</v>
      </c>
      <c r="X9184" s="21">
        <v>0</v>
      </c>
      <c r="Y9184" s="21">
        <v>0</v>
      </c>
      <c r="Z9184" s="21">
        <v>0</v>
      </c>
      <c r="AA9184" s="21">
        <v>0</v>
      </c>
      <c r="AB9184" s="21">
        <v>0</v>
      </c>
      <c r="AC9184" s="21">
        <v>0</v>
      </c>
      <c r="AD9184" s="21">
        <v>0</v>
      </c>
      <c r="AE9184" s="21">
        <v>0</v>
      </c>
      <c r="AF9184" s="21">
        <v>0</v>
      </c>
      <c r="AG9184" s="21">
        <v>0</v>
      </c>
      <c r="AH9184" s="21">
        <v>96</v>
      </c>
      <c r="AI9184" s="21"/>
      <c r="AJ9184" s="21" t="s">
        <v>51</v>
      </c>
      <c r="AK9184" s="21" t="s">
        <v>95</v>
      </c>
      <c r="AL9184" s="21" t="s">
        <v>6286</v>
      </c>
      <c r="AM9184" s="21" t="s">
        <v>6287</v>
      </c>
      <c r="AN9184" s="21">
        <v>-122.43719974910699</v>
      </c>
      <c r="AO9184" s="21">
        <v>37.804143444981001</v>
      </c>
      <c r="AP9184" s="21" t="s">
        <v>951</v>
      </c>
    </row>
    <row r="9185" spans="1:42">
      <c r="A9185" s="20">
        <v>43865</v>
      </c>
      <c r="B9185" s="21">
        <v>2</v>
      </c>
      <c r="C9185" s="21">
        <v>207</v>
      </c>
      <c r="D9185" s="21">
        <v>14657</v>
      </c>
      <c r="E9185" t="s">
        <v>37</v>
      </c>
      <c r="F9185" s="21" t="s">
        <v>436</v>
      </c>
      <c r="G9185" s="21" t="s">
        <v>4270</v>
      </c>
      <c r="H9185" s="21">
        <v>126</v>
      </c>
      <c r="I9185" s="21" t="s">
        <v>6288</v>
      </c>
      <c r="J9185" s="21"/>
      <c r="K9185" s="21" t="s">
        <v>3451</v>
      </c>
      <c r="L9185" s="21"/>
      <c r="M9185" s="21"/>
      <c r="N9185" s="21" t="s">
        <v>44</v>
      </c>
      <c r="O9185" s="21">
        <v>162</v>
      </c>
      <c r="P9185" s="21"/>
      <c r="Q9185" s="21">
        <f t="shared" si="192"/>
        <v>2</v>
      </c>
      <c r="R9185" s="21">
        <v>1</v>
      </c>
      <c r="S9185" s="21">
        <v>0</v>
      </c>
      <c r="T9185" s="21">
        <v>0</v>
      </c>
      <c r="U9185" s="21">
        <v>0</v>
      </c>
      <c r="V9185" s="21">
        <v>0</v>
      </c>
      <c r="W9185" s="21">
        <v>2</v>
      </c>
      <c r="X9185" s="21">
        <v>0</v>
      </c>
      <c r="Y9185" s="21">
        <v>0</v>
      </c>
      <c r="Z9185" s="21">
        <v>0</v>
      </c>
      <c r="AA9185" s="21">
        <v>0</v>
      </c>
      <c r="AB9185" s="21">
        <v>0</v>
      </c>
      <c r="AC9185" s="21">
        <v>0</v>
      </c>
      <c r="AD9185" s="21">
        <v>0</v>
      </c>
      <c r="AE9185" s="21">
        <v>0</v>
      </c>
      <c r="AF9185" s="21">
        <v>0</v>
      </c>
      <c r="AG9185" s="21">
        <v>0</v>
      </c>
      <c r="AH9185" s="21">
        <v>192</v>
      </c>
      <c r="AI9185" s="21"/>
      <c r="AJ9185" s="21" t="s">
        <v>51</v>
      </c>
      <c r="AK9185" s="21" t="s">
        <v>95</v>
      </c>
      <c r="AL9185" s="21" t="s">
        <v>6286</v>
      </c>
      <c r="AM9185" s="21" t="s">
        <v>6289</v>
      </c>
      <c r="AN9185" s="21">
        <v>-122.43797825</v>
      </c>
      <c r="AO9185" s="21">
        <v>37.805617666666599</v>
      </c>
      <c r="AP9185" s="21" t="s">
        <v>951</v>
      </c>
    </row>
    <row r="9186" spans="1:42">
      <c r="A9186" s="20">
        <v>43865</v>
      </c>
      <c r="B9186" s="21">
        <v>2</v>
      </c>
      <c r="C9186" s="21">
        <v>207</v>
      </c>
      <c r="D9186" s="21">
        <v>14657</v>
      </c>
      <c r="E9186" t="s">
        <v>37</v>
      </c>
      <c r="F9186" s="21" t="s">
        <v>436</v>
      </c>
      <c r="G9186" s="21" t="s">
        <v>4270</v>
      </c>
      <c r="H9186" s="21">
        <v>127</v>
      </c>
      <c r="I9186" s="21" t="s">
        <v>6290</v>
      </c>
      <c r="J9186" s="21"/>
      <c r="K9186" t="s">
        <v>911</v>
      </c>
      <c r="L9186" s="21" t="s">
        <v>114</v>
      </c>
      <c r="M9186" s="21"/>
      <c r="N9186" s="21" t="s">
        <v>40</v>
      </c>
      <c r="O9186" s="21">
        <v>70</v>
      </c>
      <c r="P9186" s="21"/>
      <c r="Q9186" s="21">
        <f t="shared" si="192"/>
        <v>5</v>
      </c>
      <c r="R9186" s="21">
        <v>1</v>
      </c>
      <c r="S9186" s="21">
        <v>0</v>
      </c>
      <c r="T9186" s="21">
        <v>0</v>
      </c>
      <c r="U9186" s="21">
        <v>5</v>
      </c>
      <c r="V9186" s="21">
        <v>0</v>
      </c>
      <c r="W9186" s="21">
        <v>0</v>
      </c>
      <c r="X9186" s="21">
        <v>0</v>
      </c>
      <c r="Y9186" s="21">
        <v>0</v>
      </c>
      <c r="Z9186" s="21">
        <v>0</v>
      </c>
      <c r="AA9186" s="21">
        <v>0</v>
      </c>
      <c r="AB9186" s="21">
        <v>0</v>
      </c>
      <c r="AC9186" s="21">
        <v>0</v>
      </c>
      <c r="AD9186" s="21">
        <v>0</v>
      </c>
      <c r="AE9186" s="21">
        <v>0</v>
      </c>
      <c r="AF9186" s="21">
        <v>0</v>
      </c>
      <c r="AG9186" s="21">
        <v>0</v>
      </c>
      <c r="AH9186" s="21">
        <v>160</v>
      </c>
      <c r="AI9186" s="21"/>
      <c r="AJ9186" s="21" t="s">
        <v>51</v>
      </c>
      <c r="AK9186" s="21" t="s">
        <v>95</v>
      </c>
      <c r="AL9186" s="21"/>
      <c r="AM9186" s="21" t="s">
        <v>6291</v>
      </c>
      <c r="AN9186" s="21">
        <v>-122.438100616667</v>
      </c>
      <c r="AO9186" s="21">
        <v>37.805422383333301</v>
      </c>
      <c r="AP9186" s="21" t="s">
        <v>951</v>
      </c>
    </row>
    <row r="9187" spans="1:42">
      <c r="A9187" s="20">
        <v>43865</v>
      </c>
      <c r="B9187" s="21">
        <v>2</v>
      </c>
      <c r="C9187" s="21">
        <v>207</v>
      </c>
      <c r="D9187" s="21">
        <v>14657</v>
      </c>
      <c r="E9187" t="s">
        <v>37</v>
      </c>
      <c r="F9187" s="21" t="s">
        <v>436</v>
      </c>
      <c r="G9187" s="21" t="s">
        <v>4270</v>
      </c>
      <c r="H9187" s="21">
        <v>128</v>
      </c>
      <c r="I9187" s="21" t="s">
        <v>3495</v>
      </c>
      <c r="J9187" s="21"/>
      <c r="K9187" t="s">
        <v>911</v>
      </c>
      <c r="L9187" s="21" t="s">
        <v>114</v>
      </c>
      <c r="M9187" s="21"/>
      <c r="N9187" s="21" t="s">
        <v>40</v>
      </c>
      <c r="O9187" s="21">
        <v>36</v>
      </c>
      <c r="P9187" s="21"/>
      <c r="Q9187" s="21">
        <f t="shared" si="192"/>
        <v>2</v>
      </c>
      <c r="R9187" s="21">
        <v>1</v>
      </c>
      <c r="S9187" s="21">
        <v>0</v>
      </c>
      <c r="T9187" s="21">
        <v>1</v>
      </c>
      <c r="U9187" s="21">
        <v>1</v>
      </c>
      <c r="V9187" s="21">
        <v>0</v>
      </c>
      <c r="W9187" s="21">
        <v>0</v>
      </c>
      <c r="X9187" s="21">
        <v>0</v>
      </c>
      <c r="Y9187" s="21">
        <v>0</v>
      </c>
      <c r="Z9187" s="21">
        <v>0</v>
      </c>
      <c r="AA9187" s="21">
        <v>0</v>
      </c>
      <c r="AB9187" s="21">
        <v>0</v>
      </c>
      <c r="AC9187" s="21">
        <v>0</v>
      </c>
      <c r="AD9187" s="21">
        <v>0</v>
      </c>
      <c r="AE9187" s="21">
        <v>0</v>
      </c>
      <c r="AF9187" s="21">
        <v>0</v>
      </c>
      <c r="AG9187" s="21">
        <v>0</v>
      </c>
      <c r="AH9187" s="21">
        <v>52</v>
      </c>
      <c r="AI9187" s="21"/>
      <c r="AJ9187" s="21" t="s">
        <v>51</v>
      </c>
      <c r="AK9187" s="21" t="s">
        <v>95</v>
      </c>
      <c r="AL9187" s="21"/>
      <c r="AM9187" s="21" t="s">
        <v>6292</v>
      </c>
      <c r="AN9187" s="21">
        <v>-122.43867248333299</v>
      </c>
      <c r="AO9187" s="21">
        <v>37.8048906</v>
      </c>
      <c r="AP9187" s="21" t="s">
        <v>951</v>
      </c>
    </row>
    <row r="9188" spans="1:42">
      <c r="A9188" s="20">
        <v>43865</v>
      </c>
      <c r="B9188" s="21">
        <v>2</v>
      </c>
      <c r="C9188" s="21">
        <v>207</v>
      </c>
      <c r="D9188" s="21">
        <v>14657</v>
      </c>
      <c r="E9188" t="s">
        <v>37</v>
      </c>
      <c r="F9188" s="21" t="s">
        <v>436</v>
      </c>
      <c r="G9188" s="21" t="s">
        <v>4270</v>
      </c>
      <c r="H9188" s="21">
        <v>129</v>
      </c>
      <c r="I9188" s="21" t="s">
        <v>6165</v>
      </c>
      <c r="J9188" s="21"/>
      <c r="K9188" t="s">
        <v>911</v>
      </c>
      <c r="L9188" s="21" t="s">
        <v>114</v>
      </c>
      <c r="M9188" s="21"/>
      <c r="N9188" s="21" t="s">
        <v>40</v>
      </c>
      <c r="O9188" s="21">
        <v>35</v>
      </c>
      <c r="P9188" s="21"/>
      <c r="Q9188" s="21">
        <f t="shared" ref="Q9188:Q9194" si="193">SUM(S9188:AE9188)</f>
        <v>2</v>
      </c>
      <c r="R9188" s="21">
        <v>1</v>
      </c>
      <c r="S9188" s="21">
        <v>0</v>
      </c>
      <c r="T9188" s="21">
        <v>1</v>
      </c>
      <c r="U9188" s="21">
        <v>1</v>
      </c>
      <c r="V9188" s="21">
        <v>0</v>
      </c>
      <c r="W9188" s="21">
        <v>0</v>
      </c>
      <c r="X9188" s="21">
        <v>0</v>
      </c>
      <c r="Y9188" s="21">
        <v>0</v>
      </c>
      <c r="Z9188" s="21">
        <v>0</v>
      </c>
      <c r="AA9188" s="21">
        <v>0</v>
      </c>
      <c r="AB9188" s="21">
        <v>0</v>
      </c>
      <c r="AC9188" s="21">
        <v>0</v>
      </c>
      <c r="AD9188" s="21">
        <v>0</v>
      </c>
      <c r="AE9188" s="21">
        <v>0</v>
      </c>
      <c r="AF9188" s="21">
        <v>0</v>
      </c>
      <c r="AG9188" s="21">
        <v>0</v>
      </c>
      <c r="AH9188" s="21">
        <v>52</v>
      </c>
      <c r="AI9188" s="21"/>
      <c r="AJ9188" s="21" t="s">
        <v>51</v>
      </c>
      <c r="AK9188" s="21" t="s">
        <v>95</v>
      </c>
      <c r="AL9188" s="21"/>
      <c r="AM9188" s="21" t="s">
        <v>6293</v>
      </c>
      <c r="AN9188" s="21">
        <v>-122.43886705</v>
      </c>
      <c r="AO9188" s="21">
        <v>37.804885516666701</v>
      </c>
      <c r="AP9188" s="21" t="s">
        <v>951</v>
      </c>
    </row>
    <row r="9189" spans="1:42">
      <c r="A9189" s="20">
        <v>43865</v>
      </c>
      <c r="B9189" s="21">
        <v>2</v>
      </c>
      <c r="C9189" s="21">
        <v>207</v>
      </c>
      <c r="D9189" s="21">
        <v>14657</v>
      </c>
      <c r="E9189" t="s">
        <v>37</v>
      </c>
      <c r="F9189" s="21" t="s">
        <v>436</v>
      </c>
      <c r="G9189" s="21" t="s">
        <v>4270</v>
      </c>
      <c r="H9189" s="21">
        <v>130</v>
      </c>
      <c r="I9189" s="21" t="s">
        <v>4581</v>
      </c>
      <c r="J9189" s="21"/>
      <c r="K9189" t="s">
        <v>911</v>
      </c>
      <c r="L9189" s="21" t="s">
        <v>114</v>
      </c>
      <c r="M9189" s="21" t="s">
        <v>95</v>
      </c>
      <c r="N9189" s="21" t="s">
        <v>40</v>
      </c>
      <c r="O9189" s="21">
        <v>70</v>
      </c>
      <c r="P9189" s="21"/>
      <c r="Q9189" s="21">
        <f t="shared" si="193"/>
        <v>3</v>
      </c>
      <c r="R9189" s="21">
        <v>1</v>
      </c>
      <c r="S9189" s="21">
        <v>0</v>
      </c>
      <c r="T9189" s="21">
        <v>1</v>
      </c>
      <c r="U9189" s="21">
        <v>1</v>
      </c>
      <c r="V9189" s="21">
        <v>0</v>
      </c>
      <c r="W9189" s="21">
        <v>1</v>
      </c>
      <c r="X9189" s="21">
        <v>0</v>
      </c>
      <c r="Y9189" s="21">
        <v>0</v>
      </c>
      <c r="Z9189" s="21">
        <v>0</v>
      </c>
      <c r="AA9189" s="21">
        <v>0</v>
      </c>
      <c r="AB9189" s="21">
        <v>0</v>
      </c>
      <c r="AC9189" s="21">
        <v>0</v>
      </c>
      <c r="AD9189" s="21">
        <v>0</v>
      </c>
      <c r="AE9189" s="21">
        <v>0</v>
      </c>
      <c r="AF9189" s="21">
        <v>0</v>
      </c>
      <c r="AG9189" s="21">
        <v>0</v>
      </c>
      <c r="AH9189" s="21">
        <v>148</v>
      </c>
      <c r="AI9189" s="21"/>
      <c r="AJ9189" s="21" t="s">
        <v>51</v>
      </c>
      <c r="AK9189" s="21" t="s">
        <v>52</v>
      </c>
      <c r="AL9189" s="21"/>
      <c r="AM9189" s="21" t="s">
        <v>6294</v>
      </c>
      <c r="AN9189" s="21">
        <v>-122.439080066667</v>
      </c>
      <c r="AO9189" s="21">
        <v>37.8049000166667</v>
      </c>
      <c r="AP9189" s="21" t="s">
        <v>951</v>
      </c>
    </row>
    <row r="9190" spans="1:42">
      <c r="A9190" s="20">
        <v>43865</v>
      </c>
      <c r="B9190" s="21">
        <v>2</v>
      </c>
      <c r="C9190" s="21">
        <v>207</v>
      </c>
      <c r="D9190" s="21">
        <v>14657</v>
      </c>
      <c r="E9190" t="s">
        <v>37</v>
      </c>
      <c r="F9190" s="21" t="s">
        <v>436</v>
      </c>
      <c r="G9190" s="21" t="s">
        <v>4270</v>
      </c>
      <c r="H9190" s="21">
        <v>131</v>
      </c>
      <c r="I9190" s="21" t="s">
        <v>6295</v>
      </c>
      <c r="J9190" s="21"/>
      <c r="K9190" t="s">
        <v>911</v>
      </c>
      <c r="L9190" s="21"/>
      <c r="M9190" s="21" t="s">
        <v>95</v>
      </c>
      <c r="N9190" s="21" t="s">
        <v>40</v>
      </c>
      <c r="O9190" s="21">
        <v>137</v>
      </c>
      <c r="P9190" s="21"/>
      <c r="Q9190" s="21">
        <f t="shared" si="193"/>
        <v>5</v>
      </c>
      <c r="R9190" s="21">
        <v>1</v>
      </c>
      <c r="S9190" s="21">
        <v>0</v>
      </c>
      <c r="T9190" s="21">
        <v>0</v>
      </c>
      <c r="U9190" s="21">
        <v>5</v>
      </c>
      <c r="V9190" s="21">
        <v>0</v>
      </c>
      <c r="W9190" s="21">
        <v>0</v>
      </c>
      <c r="X9190" s="21">
        <v>0</v>
      </c>
      <c r="Y9190" s="21">
        <v>0</v>
      </c>
      <c r="Z9190" s="21">
        <v>0</v>
      </c>
      <c r="AA9190" s="21">
        <v>0</v>
      </c>
      <c r="AB9190" s="21">
        <v>0</v>
      </c>
      <c r="AC9190" s="21">
        <v>0</v>
      </c>
      <c r="AD9190" s="21">
        <v>0</v>
      </c>
      <c r="AE9190" s="21">
        <v>0</v>
      </c>
      <c r="AF9190" s="21">
        <v>0</v>
      </c>
      <c r="AG9190" s="21">
        <v>0</v>
      </c>
      <c r="AH9190" s="21">
        <v>160</v>
      </c>
      <c r="AI9190" s="21"/>
      <c r="AJ9190" s="21" t="s">
        <v>51</v>
      </c>
      <c r="AK9190" s="21" t="s">
        <v>52</v>
      </c>
      <c r="AL9190" s="21"/>
      <c r="AM9190" s="21" t="s">
        <v>6296</v>
      </c>
      <c r="AN9190" s="21">
        <v>-122.439342583333</v>
      </c>
      <c r="AO9190" s="21">
        <v>37.804940983333303</v>
      </c>
      <c r="AP9190" s="21" t="s">
        <v>951</v>
      </c>
    </row>
    <row r="9191" spans="1:42">
      <c r="A9191" s="20">
        <v>43865</v>
      </c>
      <c r="B9191" s="21">
        <v>2</v>
      </c>
      <c r="C9191" s="21">
        <v>207</v>
      </c>
      <c r="D9191" s="21">
        <v>14657</v>
      </c>
      <c r="E9191" t="s">
        <v>37</v>
      </c>
      <c r="F9191" s="21" t="s">
        <v>436</v>
      </c>
      <c r="G9191" s="21" t="s">
        <v>4270</v>
      </c>
      <c r="H9191" s="21">
        <v>132</v>
      </c>
      <c r="I9191" s="21" t="s">
        <v>6297</v>
      </c>
      <c r="J9191" s="21"/>
      <c r="K9191" t="s">
        <v>911</v>
      </c>
      <c r="L9191" s="21"/>
      <c r="M9191" s="21" t="s">
        <v>95</v>
      </c>
      <c r="N9191" s="21" t="s">
        <v>40</v>
      </c>
      <c r="O9191" s="21">
        <v>152</v>
      </c>
      <c r="P9191" s="21"/>
      <c r="Q9191" s="21">
        <f t="shared" si="193"/>
        <v>8</v>
      </c>
      <c r="R9191" s="21">
        <v>1</v>
      </c>
      <c r="S9191" s="21">
        <v>2</v>
      </c>
      <c r="T9191" s="21">
        <v>0</v>
      </c>
      <c r="U9191" s="21">
        <v>6</v>
      </c>
      <c r="V9191" s="21">
        <v>0</v>
      </c>
      <c r="W9191" s="21">
        <v>0</v>
      </c>
      <c r="X9191" s="21">
        <v>0</v>
      </c>
      <c r="Y9191" s="21">
        <v>0</v>
      </c>
      <c r="Z9191" s="21">
        <v>0</v>
      </c>
      <c r="AA9191" s="21">
        <v>0</v>
      </c>
      <c r="AB9191" s="21">
        <v>0</v>
      </c>
      <c r="AC9191" s="21">
        <v>0</v>
      </c>
      <c r="AD9191" s="21">
        <v>0</v>
      </c>
      <c r="AE9191" s="21">
        <v>0</v>
      </c>
      <c r="AF9191" s="21">
        <v>0</v>
      </c>
      <c r="AG9191" s="21">
        <v>0</v>
      </c>
      <c r="AH9191" s="21">
        <v>224</v>
      </c>
      <c r="AI9191" s="21"/>
      <c r="AJ9191" s="21" t="s">
        <v>51</v>
      </c>
      <c r="AK9191" s="21" t="s">
        <v>52</v>
      </c>
      <c r="AL9191" s="21"/>
      <c r="AM9191" s="21" t="s">
        <v>6298</v>
      </c>
      <c r="AN9191" s="21">
        <v>-122.439464316667</v>
      </c>
      <c r="AO9191" s="21">
        <v>37.805026366666702</v>
      </c>
      <c r="AP9191" s="21" t="s">
        <v>951</v>
      </c>
    </row>
    <row r="9192" spans="1:42">
      <c r="A9192" s="20">
        <v>43865</v>
      </c>
      <c r="B9192" s="21">
        <v>2</v>
      </c>
      <c r="C9192" s="21">
        <v>207</v>
      </c>
      <c r="D9192" s="21">
        <v>14657</v>
      </c>
      <c r="E9192" t="s">
        <v>37</v>
      </c>
      <c r="F9192" s="21" t="s">
        <v>436</v>
      </c>
      <c r="G9192" s="21" t="s">
        <v>4270</v>
      </c>
      <c r="H9192" s="21">
        <v>133</v>
      </c>
      <c r="I9192" s="21" t="s">
        <v>6299</v>
      </c>
      <c r="J9192" s="21"/>
      <c r="K9192" t="s">
        <v>911</v>
      </c>
      <c r="L9192" s="21"/>
      <c r="M9192" s="21" t="s">
        <v>95</v>
      </c>
      <c r="N9192" s="21" t="s">
        <v>40</v>
      </c>
      <c r="O9192" s="21">
        <v>150</v>
      </c>
      <c r="P9192" s="21"/>
      <c r="Q9192" s="21">
        <f t="shared" si="193"/>
        <v>6</v>
      </c>
      <c r="R9192" s="21">
        <v>1</v>
      </c>
      <c r="S9192" s="21">
        <v>1</v>
      </c>
      <c r="T9192" s="21">
        <v>0</v>
      </c>
      <c r="U9192" s="21">
        <v>4</v>
      </c>
      <c r="V9192" s="21">
        <v>1</v>
      </c>
      <c r="W9192" s="21">
        <v>0</v>
      </c>
      <c r="X9192" s="21">
        <v>0</v>
      </c>
      <c r="Y9192" s="21">
        <v>0</v>
      </c>
      <c r="Z9192" s="21">
        <v>0</v>
      </c>
      <c r="AA9192" s="21">
        <v>0</v>
      </c>
      <c r="AB9192" s="21">
        <v>0</v>
      </c>
      <c r="AC9192" s="21">
        <v>0</v>
      </c>
      <c r="AD9192" s="21">
        <v>0</v>
      </c>
      <c r="AE9192" s="21">
        <v>0</v>
      </c>
      <c r="AF9192" s="21">
        <v>0</v>
      </c>
      <c r="AG9192" s="21">
        <v>0</v>
      </c>
      <c r="AH9192" s="21">
        <v>208</v>
      </c>
      <c r="AI9192" s="21"/>
      <c r="AJ9192" s="21" t="s">
        <v>51</v>
      </c>
      <c r="AK9192" s="21" t="s">
        <v>95</v>
      </c>
      <c r="AL9192" s="21"/>
      <c r="AM9192" s="21" t="s">
        <v>6300</v>
      </c>
      <c r="AN9192" s="21">
        <v>-122.439643183333</v>
      </c>
      <c r="AO9192" s="21">
        <v>37.805154566666701</v>
      </c>
      <c r="AP9192" s="21" t="s">
        <v>951</v>
      </c>
    </row>
    <row r="9193" spans="1:42">
      <c r="A9193" s="20">
        <v>43865</v>
      </c>
      <c r="B9193" s="21">
        <v>2</v>
      </c>
      <c r="C9193" s="21">
        <v>207</v>
      </c>
      <c r="D9193" s="21">
        <v>14657</v>
      </c>
      <c r="E9193" t="s">
        <v>37</v>
      </c>
      <c r="F9193" s="21" t="s">
        <v>436</v>
      </c>
      <c r="G9193" s="21" t="s">
        <v>4270</v>
      </c>
      <c r="H9193" s="21">
        <v>134</v>
      </c>
      <c r="I9193" s="21" t="s">
        <v>6301</v>
      </c>
      <c r="J9193" s="21"/>
      <c r="K9193" t="s">
        <v>911</v>
      </c>
      <c r="L9193" s="21"/>
      <c r="M9193" s="21" t="s">
        <v>95</v>
      </c>
      <c r="N9193" s="21" t="s">
        <v>40</v>
      </c>
      <c r="O9193" s="21">
        <v>68</v>
      </c>
      <c r="P9193" s="21"/>
      <c r="Q9193" s="21">
        <f t="shared" si="193"/>
        <v>3</v>
      </c>
      <c r="R9193" s="21">
        <v>1</v>
      </c>
      <c r="S9193" s="21">
        <v>1</v>
      </c>
      <c r="T9193" s="21">
        <v>1</v>
      </c>
      <c r="U9193" s="21">
        <v>1</v>
      </c>
      <c r="V9193" s="21">
        <v>0</v>
      </c>
      <c r="W9193" s="21">
        <v>0</v>
      </c>
      <c r="X9193" s="21">
        <v>0</v>
      </c>
      <c r="Y9193" s="21">
        <v>0</v>
      </c>
      <c r="Z9193" s="21">
        <v>0</v>
      </c>
      <c r="AA9193" s="21">
        <v>0</v>
      </c>
      <c r="AB9193" s="21">
        <v>0</v>
      </c>
      <c r="AC9193" s="21">
        <v>0</v>
      </c>
      <c r="AD9193" s="21">
        <v>0</v>
      </c>
      <c r="AE9193" s="21">
        <v>0</v>
      </c>
      <c r="AF9193" s="21">
        <v>0</v>
      </c>
      <c r="AG9193" s="21">
        <v>0</v>
      </c>
      <c r="AH9193" s="21">
        <v>68</v>
      </c>
      <c r="AI9193" s="21"/>
      <c r="AJ9193" s="21" t="s">
        <v>51</v>
      </c>
      <c r="AK9193" s="21" t="s">
        <v>95</v>
      </c>
      <c r="AL9193" s="21"/>
      <c r="AM9193" s="21" t="s">
        <v>6302</v>
      </c>
      <c r="AN9193" s="21">
        <v>-122.43982855</v>
      </c>
      <c r="AO9193" s="21">
        <v>37.805143516666703</v>
      </c>
      <c r="AP9193" s="21" t="s">
        <v>951</v>
      </c>
    </row>
    <row r="9194" spans="1:42">
      <c r="A9194" s="20">
        <v>43865</v>
      </c>
      <c r="B9194" s="21">
        <v>2</v>
      </c>
      <c r="C9194" s="21">
        <v>207</v>
      </c>
      <c r="D9194" s="21">
        <v>14657</v>
      </c>
      <c r="E9194" t="s">
        <v>37</v>
      </c>
      <c r="F9194" s="21" t="s">
        <v>436</v>
      </c>
      <c r="G9194" s="21" t="s">
        <v>4270</v>
      </c>
      <c r="H9194" s="21">
        <v>135</v>
      </c>
      <c r="I9194" s="21" t="s">
        <v>6303</v>
      </c>
      <c r="J9194" s="21"/>
      <c r="K9194" t="s">
        <v>911</v>
      </c>
      <c r="L9194" s="21" t="s">
        <v>114</v>
      </c>
      <c r="M9194" s="21"/>
      <c r="N9194" s="21" t="s">
        <v>40</v>
      </c>
      <c r="O9194" s="21">
        <v>44</v>
      </c>
      <c r="P9194" s="21"/>
      <c r="Q9194" s="21">
        <f t="shared" si="193"/>
        <v>2</v>
      </c>
      <c r="R9194" s="21">
        <v>1</v>
      </c>
      <c r="S9194" s="21">
        <v>0</v>
      </c>
      <c r="T9194" s="21">
        <v>0</v>
      </c>
      <c r="U9194" s="21">
        <v>2</v>
      </c>
      <c r="V9194" s="21">
        <v>0</v>
      </c>
      <c r="W9194" s="21">
        <v>0</v>
      </c>
      <c r="X9194" s="21">
        <v>0</v>
      </c>
      <c r="Y9194" s="21">
        <v>0</v>
      </c>
      <c r="Z9194" s="21">
        <v>0</v>
      </c>
      <c r="AA9194" s="21">
        <v>0</v>
      </c>
      <c r="AB9194" s="21">
        <v>0</v>
      </c>
      <c r="AC9194" s="21">
        <v>0</v>
      </c>
      <c r="AD9194" s="21">
        <v>0</v>
      </c>
      <c r="AE9194" s="21">
        <v>0</v>
      </c>
      <c r="AF9194" s="21">
        <v>0</v>
      </c>
      <c r="AG9194" s="21">
        <v>0</v>
      </c>
      <c r="AH9194" s="21">
        <v>64</v>
      </c>
      <c r="AI9194" s="21"/>
      <c r="AJ9194" s="21" t="s">
        <v>51</v>
      </c>
      <c r="AK9194" s="21" t="s">
        <v>95</v>
      </c>
      <c r="AL9194" s="21"/>
      <c r="AM9194" s="21" t="s">
        <v>6304</v>
      </c>
      <c r="AN9194" s="21">
        <v>-122.44000578333301</v>
      </c>
      <c r="AO9194" s="21">
        <v>37.805370033333297</v>
      </c>
      <c r="AP9194" s="21" t="s">
        <v>951</v>
      </c>
    </row>
    <row r="9195" spans="1:42">
      <c r="A9195" s="20">
        <v>43871</v>
      </c>
      <c r="B9195" s="21">
        <v>1</v>
      </c>
      <c r="C9195" s="21">
        <v>216</v>
      </c>
      <c r="D9195" s="21">
        <v>14656</v>
      </c>
      <c r="E9195" t="s">
        <v>37</v>
      </c>
      <c r="F9195" s="21" t="s">
        <v>436</v>
      </c>
      <c r="G9195" s="21" t="s">
        <v>4270</v>
      </c>
      <c r="H9195" s="21">
        <v>1</v>
      </c>
      <c r="I9195" s="21" t="s">
        <v>5417</v>
      </c>
      <c r="J9195" s="21"/>
      <c r="K9195" s="21" t="s">
        <v>148</v>
      </c>
      <c r="L9195" s="21"/>
      <c r="M9195" s="21"/>
      <c r="N9195" s="21" t="s">
        <v>44</v>
      </c>
      <c r="O9195" s="21">
        <v>75</v>
      </c>
      <c r="P9195" s="21">
        <v>0</v>
      </c>
      <c r="Q9195" s="21">
        <v>1</v>
      </c>
      <c r="R9195" s="21">
        <v>0</v>
      </c>
      <c r="S9195" s="21">
        <v>0</v>
      </c>
      <c r="T9195" s="21">
        <v>0</v>
      </c>
      <c r="U9195" s="21">
        <v>0</v>
      </c>
      <c r="V9195" s="21">
        <v>0</v>
      </c>
      <c r="W9195" s="21">
        <v>1</v>
      </c>
      <c r="X9195" s="21">
        <v>0</v>
      </c>
      <c r="Y9195" s="21">
        <v>0</v>
      </c>
      <c r="Z9195" s="21">
        <v>0</v>
      </c>
      <c r="AA9195" s="21">
        <v>0</v>
      </c>
      <c r="AB9195" s="21">
        <v>0</v>
      </c>
      <c r="AC9195" s="21">
        <v>0</v>
      </c>
      <c r="AD9195" s="21">
        <v>0</v>
      </c>
      <c r="AE9195" s="21">
        <v>0</v>
      </c>
      <c r="AF9195" s="21">
        <v>0</v>
      </c>
      <c r="AG9195" s="21">
        <v>0</v>
      </c>
      <c r="AH9195" s="21">
        <v>96</v>
      </c>
      <c r="AI9195" s="21"/>
      <c r="AJ9195" s="21" t="s">
        <v>51</v>
      </c>
      <c r="AK9195" s="21" t="s">
        <v>95</v>
      </c>
      <c r="AL9195" s="21"/>
      <c r="AM9195" s="21" t="s">
        <v>6305</v>
      </c>
      <c r="AN9195" s="21">
        <v>-122.4283774</v>
      </c>
      <c r="AO9195" s="21">
        <v>37.798920950000003</v>
      </c>
      <c r="AP9195" s="21" t="s">
        <v>951</v>
      </c>
    </row>
    <row r="9196" spans="1:42">
      <c r="A9196" s="20">
        <v>43871</v>
      </c>
      <c r="B9196" s="21">
        <v>1</v>
      </c>
      <c r="C9196" s="21">
        <v>216</v>
      </c>
      <c r="D9196" s="21">
        <v>14656</v>
      </c>
      <c r="E9196" t="s">
        <v>37</v>
      </c>
      <c r="F9196" s="21" t="s">
        <v>436</v>
      </c>
      <c r="G9196" s="21" t="s">
        <v>4270</v>
      </c>
      <c r="H9196" s="21">
        <v>2</v>
      </c>
      <c r="I9196" s="21" t="s">
        <v>6306</v>
      </c>
      <c r="J9196" s="21"/>
      <c r="K9196" s="21" t="s">
        <v>148</v>
      </c>
      <c r="L9196" s="21"/>
      <c r="M9196" s="21"/>
      <c r="N9196" s="21" t="s">
        <v>44</v>
      </c>
      <c r="O9196" s="21">
        <v>85</v>
      </c>
      <c r="P9196" s="21">
        <v>0</v>
      </c>
      <c r="Q9196" s="21">
        <v>2</v>
      </c>
      <c r="R9196" s="21">
        <v>0</v>
      </c>
      <c r="S9196" s="21">
        <v>0</v>
      </c>
      <c r="T9196" s="21">
        <v>0</v>
      </c>
      <c r="U9196" s="21">
        <v>0</v>
      </c>
      <c r="V9196" s="21">
        <v>0</v>
      </c>
      <c r="W9196" s="21">
        <v>2</v>
      </c>
      <c r="X9196" s="21">
        <v>0</v>
      </c>
      <c r="Y9196" s="21">
        <v>0</v>
      </c>
      <c r="Z9196" s="21">
        <v>0</v>
      </c>
      <c r="AA9196" s="21">
        <v>0</v>
      </c>
      <c r="AB9196" s="21">
        <v>0</v>
      </c>
      <c r="AC9196" s="21">
        <v>0</v>
      </c>
      <c r="AD9196" s="21">
        <v>0</v>
      </c>
      <c r="AE9196" s="21">
        <v>0</v>
      </c>
      <c r="AF9196" s="21">
        <v>0</v>
      </c>
      <c r="AG9196" s="21">
        <v>0</v>
      </c>
      <c r="AH9196" s="21">
        <v>192</v>
      </c>
      <c r="AI9196" s="21"/>
      <c r="AJ9196" s="21" t="s">
        <v>51</v>
      </c>
      <c r="AK9196" s="21" t="s">
        <v>95</v>
      </c>
      <c r="AL9196" s="21" t="s">
        <v>1566</v>
      </c>
      <c r="AM9196" s="21" t="s">
        <v>6307</v>
      </c>
      <c r="AN9196" s="21">
        <v>-122.428021233333</v>
      </c>
      <c r="AO9196" s="21">
        <v>37.799020783333297</v>
      </c>
      <c r="AP9196" s="21" t="s">
        <v>951</v>
      </c>
    </row>
    <row r="9197" spans="1:42">
      <c r="A9197" s="20">
        <v>43871</v>
      </c>
      <c r="B9197" s="21">
        <v>1</v>
      </c>
      <c r="C9197" s="21">
        <v>216</v>
      </c>
      <c r="D9197" s="21">
        <v>14656</v>
      </c>
      <c r="E9197" t="s">
        <v>37</v>
      </c>
      <c r="F9197" s="21" t="s">
        <v>436</v>
      </c>
      <c r="G9197" s="21" t="s">
        <v>4270</v>
      </c>
      <c r="H9197" s="21">
        <v>3</v>
      </c>
      <c r="I9197" s="21" t="s">
        <v>2508</v>
      </c>
      <c r="J9197" s="21"/>
      <c r="K9197" s="21" t="s">
        <v>638</v>
      </c>
      <c r="L9197" s="21"/>
      <c r="M9197" s="21"/>
      <c r="N9197" s="21" t="s">
        <v>44</v>
      </c>
      <c r="O9197" s="21">
        <v>0</v>
      </c>
      <c r="P9197" s="21">
        <v>0</v>
      </c>
      <c r="Q9197" s="21">
        <v>1</v>
      </c>
      <c r="R9197" s="21">
        <v>0</v>
      </c>
      <c r="S9197" s="21">
        <v>0</v>
      </c>
      <c r="T9197" s="21">
        <v>0</v>
      </c>
      <c r="U9197" s="21">
        <v>0</v>
      </c>
      <c r="V9197" s="21">
        <v>0</v>
      </c>
      <c r="W9197" s="21">
        <v>1</v>
      </c>
      <c r="X9197" s="21">
        <v>0</v>
      </c>
      <c r="Y9197" s="21">
        <v>0</v>
      </c>
      <c r="Z9197" s="21">
        <v>0</v>
      </c>
      <c r="AA9197" s="21">
        <v>0</v>
      </c>
      <c r="AB9197" s="21">
        <v>0</v>
      </c>
      <c r="AC9197" s="21">
        <v>0</v>
      </c>
      <c r="AD9197" s="21">
        <v>0</v>
      </c>
      <c r="AE9197" s="21">
        <v>0</v>
      </c>
      <c r="AF9197" s="21">
        <v>0</v>
      </c>
      <c r="AG9197" s="21">
        <v>0</v>
      </c>
      <c r="AH9197" s="21">
        <v>96</v>
      </c>
      <c r="AI9197" s="21"/>
      <c r="AJ9197" s="21" t="s">
        <v>51</v>
      </c>
      <c r="AK9197" s="21" t="s">
        <v>95</v>
      </c>
      <c r="AL9197" s="21"/>
      <c r="AM9197" s="21" t="s">
        <v>6308</v>
      </c>
      <c r="AN9197" s="21">
        <v>-122.427650966667</v>
      </c>
      <c r="AO9197" s="21">
        <v>37.799045516666602</v>
      </c>
      <c r="AP9197" s="21" t="s">
        <v>951</v>
      </c>
    </row>
    <row r="9198" spans="1:42">
      <c r="A9198" s="20">
        <v>43871</v>
      </c>
      <c r="B9198" s="21">
        <v>1</v>
      </c>
      <c r="C9198" s="21">
        <v>216</v>
      </c>
      <c r="D9198" s="21">
        <v>14656</v>
      </c>
      <c r="E9198" t="s">
        <v>37</v>
      </c>
      <c r="F9198" s="21" t="s">
        <v>436</v>
      </c>
      <c r="G9198" s="21" t="s">
        <v>4270</v>
      </c>
      <c r="H9198" s="21">
        <v>4</v>
      </c>
      <c r="I9198" s="21" t="s">
        <v>6309</v>
      </c>
      <c r="J9198" s="21"/>
      <c r="K9198" s="21" t="s">
        <v>156</v>
      </c>
      <c r="L9198" s="21"/>
      <c r="M9198" s="21"/>
      <c r="N9198" s="21" t="s">
        <v>40</v>
      </c>
      <c r="O9198" s="21">
        <v>41</v>
      </c>
      <c r="P9198" s="21">
        <v>0</v>
      </c>
      <c r="Q9198" s="21">
        <v>1</v>
      </c>
      <c r="R9198" s="21">
        <v>0</v>
      </c>
      <c r="S9198" s="21">
        <v>0</v>
      </c>
      <c r="T9198" s="21">
        <v>0</v>
      </c>
      <c r="U9198" s="21">
        <v>0</v>
      </c>
      <c r="V9198" s="21">
        <v>0</v>
      </c>
      <c r="W9198" s="21">
        <v>1</v>
      </c>
      <c r="X9198" s="21">
        <v>0</v>
      </c>
      <c r="Y9198" s="21">
        <v>0</v>
      </c>
      <c r="Z9198" s="21">
        <v>0</v>
      </c>
      <c r="AA9198" s="21">
        <v>0</v>
      </c>
      <c r="AB9198" s="21">
        <v>0</v>
      </c>
      <c r="AC9198" s="21">
        <v>0</v>
      </c>
      <c r="AD9198" s="21">
        <v>0</v>
      </c>
      <c r="AE9198" s="21">
        <v>0</v>
      </c>
      <c r="AF9198" s="21">
        <v>0</v>
      </c>
      <c r="AG9198" s="21">
        <v>0</v>
      </c>
      <c r="AH9198" s="21">
        <v>96</v>
      </c>
      <c r="AI9198" s="21"/>
      <c r="AJ9198" s="21" t="s">
        <v>54</v>
      </c>
      <c r="AK9198" s="21" t="s">
        <v>95</v>
      </c>
      <c r="AL9198" s="21" t="s">
        <v>6310</v>
      </c>
      <c r="AM9198" s="21" t="s">
        <v>6311</v>
      </c>
      <c r="AN9198" s="21">
        <v>-122.427322566667</v>
      </c>
      <c r="AO9198" s="21">
        <v>37.798448100000002</v>
      </c>
      <c r="AP9198" s="21" t="s">
        <v>951</v>
      </c>
    </row>
    <row r="9199" spans="1:42">
      <c r="A9199" s="20">
        <v>43871</v>
      </c>
      <c r="B9199" s="21">
        <v>1</v>
      </c>
      <c r="C9199" s="21">
        <v>216</v>
      </c>
      <c r="D9199" s="21">
        <v>14656</v>
      </c>
      <c r="E9199" t="s">
        <v>37</v>
      </c>
      <c r="F9199" s="21" t="s">
        <v>436</v>
      </c>
      <c r="G9199" s="21" t="s">
        <v>4270</v>
      </c>
      <c r="H9199" s="21">
        <v>5</v>
      </c>
      <c r="I9199" s="21" t="s">
        <v>6312</v>
      </c>
      <c r="J9199" s="21"/>
      <c r="K9199" s="21" t="s">
        <v>156</v>
      </c>
      <c r="L9199" s="21"/>
      <c r="M9199" s="21"/>
      <c r="N9199" s="21" t="s">
        <v>42</v>
      </c>
      <c r="O9199" s="21">
        <v>105</v>
      </c>
      <c r="P9199" s="21">
        <v>0</v>
      </c>
      <c r="Q9199" s="21">
        <v>3</v>
      </c>
      <c r="R9199" s="21">
        <v>0</v>
      </c>
      <c r="S9199" s="21">
        <v>0</v>
      </c>
      <c r="T9199" s="21">
        <v>0</v>
      </c>
      <c r="U9199" s="21">
        <v>1</v>
      </c>
      <c r="V9199" s="21">
        <v>0</v>
      </c>
      <c r="W9199" s="21">
        <v>2</v>
      </c>
      <c r="X9199" s="21">
        <v>0</v>
      </c>
      <c r="Y9199" s="21">
        <v>0</v>
      </c>
      <c r="Z9199" s="21">
        <v>0</v>
      </c>
      <c r="AA9199" s="21">
        <v>0</v>
      </c>
      <c r="AB9199" s="21">
        <v>0</v>
      </c>
      <c r="AC9199" s="21">
        <v>0</v>
      </c>
      <c r="AD9199" s="21">
        <v>0</v>
      </c>
      <c r="AE9199" s="21">
        <v>0</v>
      </c>
      <c r="AF9199" s="21">
        <v>0</v>
      </c>
      <c r="AG9199" s="21">
        <v>0</v>
      </c>
      <c r="AH9199" s="21">
        <v>225</v>
      </c>
      <c r="AI9199" s="21"/>
      <c r="AJ9199" s="21" t="s">
        <v>54</v>
      </c>
      <c r="AK9199" s="21" t="s">
        <v>95</v>
      </c>
      <c r="AL9199" s="21"/>
      <c r="AM9199" s="21" t="s">
        <v>6313</v>
      </c>
      <c r="AN9199" s="21">
        <v>-122.42727941666701</v>
      </c>
      <c r="AO9199" s="21">
        <v>37.798210533333297</v>
      </c>
      <c r="AP9199" s="21" t="s">
        <v>951</v>
      </c>
    </row>
    <row r="9200" spans="1:42">
      <c r="A9200" s="20">
        <v>43871</v>
      </c>
      <c r="B9200" s="21">
        <v>1</v>
      </c>
      <c r="C9200" s="21">
        <v>216</v>
      </c>
      <c r="D9200" s="21">
        <v>14656</v>
      </c>
      <c r="E9200" t="s">
        <v>37</v>
      </c>
      <c r="F9200" s="21" t="s">
        <v>436</v>
      </c>
      <c r="G9200" s="21" t="s">
        <v>4270</v>
      </c>
      <c r="H9200" s="21">
        <v>6</v>
      </c>
      <c r="I9200" s="21" t="s">
        <v>4766</v>
      </c>
      <c r="J9200" s="21"/>
      <c r="K9200" s="21" t="s">
        <v>156</v>
      </c>
      <c r="L9200" s="21"/>
      <c r="M9200" s="21"/>
      <c r="N9200" s="21" t="s">
        <v>44</v>
      </c>
      <c r="O9200" s="21">
        <v>115</v>
      </c>
      <c r="P9200" s="21">
        <v>0</v>
      </c>
      <c r="Q9200" s="21">
        <v>2</v>
      </c>
      <c r="R9200" s="21">
        <v>0</v>
      </c>
      <c r="S9200" s="21">
        <v>0</v>
      </c>
      <c r="T9200" s="21">
        <v>0</v>
      </c>
      <c r="U9200" s="21">
        <v>0</v>
      </c>
      <c r="V9200" s="21">
        <v>0</v>
      </c>
      <c r="W9200" s="21">
        <v>2</v>
      </c>
      <c r="X9200" s="21">
        <v>0</v>
      </c>
      <c r="Y9200" s="21">
        <v>0</v>
      </c>
      <c r="Z9200" s="21">
        <v>0</v>
      </c>
      <c r="AA9200" s="21">
        <v>0</v>
      </c>
      <c r="AB9200" s="21">
        <v>0</v>
      </c>
      <c r="AC9200" s="21">
        <v>0</v>
      </c>
      <c r="AD9200" s="21">
        <v>0</v>
      </c>
      <c r="AE9200" s="21">
        <v>0</v>
      </c>
      <c r="AF9200" s="21">
        <v>0</v>
      </c>
      <c r="AG9200" s="21">
        <v>0</v>
      </c>
      <c r="AH9200" s="21">
        <v>192</v>
      </c>
      <c r="AI9200" s="21"/>
      <c r="AJ9200" s="21" t="s">
        <v>51</v>
      </c>
      <c r="AK9200" s="21" t="s">
        <v>95</v>
      </c>
      <c r="AL9200" s="21" t="s">
        <v>1543</v>
      </c>
      <c r="AM9200" s="21" t="s">
        <v>6314</v>
      </c>
      <c r="AN9200" s="21">
        <v>-122.42642651666699</v>
      </c>
      <c r="AO9200" s="21">
        <v>37.798303150000002</v>
      </c>
      <c r="AP9200" s="21" t="s">
        <v>951</v>
      </c>
    </row>
    <row r="9201" spans="1:42">
      <c r="A9201" s="20">
        <v>43871</v>
      </c>
      <c r="B9201" s="21">
        <v>1</v>
      </c>
      <c r="C9201" s="21">
        <v>216</v>
      </c>
      <c r="D9201" s="21">
        <v>14656</v>
      </c>
      <c r="E9201" t="s">
        <v>37</v>
      </c>
      <c r="F9201" s="21" t="s">
        <v>436</v>
      </c>
      <c r="G9201" s="21" t="s">
        <v>4270</v>
      </c>
      <c r="H9201" s="21">
        <v>7</v>
      </c>
      <c r="I9201" s="21" t="s">
        <v>6315</v>
      </c>
      <c r="J9201" s="21"/>
      <c r="K9201" s="21" t="s">
        <v>631</v>
      </c>
      <c r="L9201" s="21"/>
      <c r="M9201" s="21"/>
      <c r="N9201" s="21" t="s">
        <v>44</v>
      </c>
      <c r="O9201" s="21">
        <v>72</v>
      </c>
      <c r="P9201" s="21">
        <v>0</v>
      </c>
      <c r="Q9201" s="21">
        <v>1</v>
      </c>
      <c r="R9201" s="21">
        <v>0</v>
      </c>
      <c r="S9201" s="21">
        <v>0</v>
      </c>
      <c r="T9201" s="21">
        <v>0</v>
      </c>
      <c r="U9201" s="21">
        <v>0</v>
      </c>
      <c r="V9201" s="21">
        <v>0</v>
      </c>
      <c r="W9201" s="21">
        <v>1</v>
      </c>
      <c r="X9201" s="21">
        <v>0</v>
      </c>
      <c r="Y9201" s="21">
        <v>0</v>
      </c>
      <c r="Z9201" s="21">
        <v>0</v>
      </c>
      <c r="AA9201" s="21">
        <v>0</v>
      </c>
      <c r="AB9201" s="21">
        <v>0</v>
      </c>
      <c r="AC9201" s="21">
        <v>0</v>
      </c>
      <c r="AD9201" s="21">
        <v>0</v>
      </c>
      <c r="AE9201" s="21">
        <v>0</v>
      </c>
      <c r="AF9201" s="21">
        <v>0</v>
      </c>
      <c r="AG9201" s="21">
        <v>0</v>
      </c>
      <c r="AH9201" s="21">
        <v>96</v>
      </c>
      <c r="AI9201" s="21"/>
      <c r="AJ9201" s="21" t="s">
        <v>51</v>
      </c>
      <c r="AK9201" s="21" t="s">
        <v>52</v>
      </c>
      <c r="AL9201" s="21"/>
      <c r="AM9201" s="21" t="s">
        <v>6316</v>
      </c>
      <c r="AN9201" s="21">
        <v>-122.42582078333299</v>
      </c>
      <c r="AO9201" s="21">
        <v>37.798883766666698</v>
      </c>
      <c r="AP9201" s="21" t="s">
        <v>951</v>
      </c>
    </row>
    <row r="9202" spans="1:42">
      <c r="A9202" s="20">
        <v>43871</v>
      </c>
      <c r="B9202" s="21">
        <v>1</v>
      </c>
      <c r="C9202" s="21">
        <v>216</v>
      </c>
      <c r="D9202" s="21">
        <v>14656</v>
      </c>
      <c r="E9202" t="s">
        <v>37</v>
      </c>
      <c r="F9202" s="21" t="s">
        <v>436</v>
      </c>
      <c r="G9202" s="21" t="s">
        <v>4270</v>
      </c>
      <c r="H9202" s="21">
        <v>8</v>
      </c>
      <c r="I9202" s="21" t="s">
        <v>6317</v>
      </c>
      <c r="J9202" s="21"/>
      <c r="K9202" s="21" t="s">
        <v>631</v>
      </c>
      <c r="L9202" s="21"/>
      <c r="M9202" s="21"/>
      <c r="N9202" s="21" t="s">
        <v>40</v>
      </c>
      <c r="O9202" s="21">
        <v>65</v>
      </c>
      <c r="P9202" s="21">
        <v>0</v>
      </c>
      <c r="Q9202" s="21">
        <v>1</v>
      </c>
      <c r="R9202" s="21">
        <v>0</v>
      </c>
      <c r="S9202" s="21">
        <v>0</v>
      </c>
      <c r="T9202" s="21">
        <v>0</v>
      </c>
      <c r="U9202" s="21">
        <v>0</v>
      </c>
      <c r="V9202" s="21">
        <v>0</v>
      </c>
      <c r="W9202" s="21">
        <v>1</v>
      </c>
      <c r="X9202" s="21">
        <v>0</v>
      </c>
      <c r="Y9202" s="21">
        <v>0</v>
      </c>
      <c r="Z9202" s="21">
        <v>0</v>
      </c>
      <c r="AA9202" s="21">
        <v>0</v>
      </c>
      <c r="AB9202" s="21">
        <v>0</v>
      </c>
      <c r="AC9202" s="21">
        <v>0</v>
      </c>
      <c r="AD9202" s="21">
        <v>0</v>
      </c>
      <c r="AE9202" s="21">
        <v>0</v>
      </c>
      <c r="AF9202" s="21">
        <v>0</v>
      </c>
      <c r="AG9202" s="21">
        <v>0</v>
      </c>
      <c r="AH9202" s="21">
        <v>96</v>
      </c>
      <c r="AI9202" s="21"/>
      <c r="AJ9202" s="21" t="s">
        <v>51</v>
      </c>
      <c r="AK9202" s="21" t="s">
        <v>95</v>
      </c>
      <c r="AL9202" s="21"/>
      <c r="AM9202" s="21" t="s">
        <v>6318</v>
      </c>
      <c r="AN9202" s="21">
        <v>-122.42579556666701</v>
      </c>
      <c r="AO9202" s="21">
        <v>37.798959016666601</v>
      </c>
      <c r="AP9202" s="21" t="s">
        <v>951</v>
      </c>
    </row>
    <row r="9203" spans="1:42">
      <c r="A9203" s="20">
        <v>43871</v>
      </c>
      <c r="B9203" s="21">
        <v>1</v>
      </c>
      <c r="C9203" s="21">
        <v>216</v>
      </c>
      <c r="D9203" s="21">
        <v>14656</v>
      </c>
      <c r="E9203" t="s">
        <v>37</v>
      </c>
      <c r="F9203" s="21" t="s">
        <v>436</v>
      </c>
      <c r="G9203" s="21" t="s">
        <v>4270</v>
      </c>
      <c r="H9203" s="21">
        <v>9</v>
      </c>
      <c r="I9203" s="21" t="s">
        <v>6319</v>
      </c>
      <c r="J9203" s="21"/>
      <c r="K9203" s="21" t="s">
        <v>631</v>
      </c>
      <c r="L9203" s="21"/>
      <c r="M9203" s="21"/>
      <c r="N9203" s="21" t="s">
        <v>40</v>
      </c>
      <c r="O9203" s="21">
        <v>51</v>
      </c>
      <c r="P9203" s="21">
        <v>0</v>
      </c>
      <c r="Q9203" s="21">
        <v>1</v>
      </c>
      <c r="R9203" s="21">
        <v>0</v>
      </c>
      <c r="S9203" s="21">
        <v>0</v>
      </c>
      <c r="T9203" s="21">
        <v>0</v>
      </c>
      <c r="U9203" s="21">
        <v>0</v>
      </c>
      <c r="V9203" s="21">
        <v>0</v>
      </c>
      <c r="W9203" s="21">
        <v>1</v>
      </c>
      <c r="X9203" s="21">
        <v>0</v>
      </c>
      <c r="Y9203" s="21">
        <v>0</v>
      </c>
      <c r="Z9203" s="21">
        <v>0</v>
      </c>
      <c r="AA9203" s="21">
        <v>0</v>
      </c>
      <c r="AB9203" s="21">
        <v>0</v>
      </c>
      <c r="AC9203" s="21">
        <v>0</v>
      </c>
      <c r="AD9203" s="21">
        <v>0</v>
      </c>
      <c r="AE9203" s="21">
        <v>0</v>
      </c>
      <c r="AF9203" s="21">
        <v>0</v>
      </c>
      <c r="AG9203" s="21">
        <v>0</v>
      </c>
      <c r="AH9203" s="21">
        <v>96</v>
      </c>
      <c r="AI9203" s="21"/>
      <c r="AJ9203" s="21" t="s">
        <v>51</v>
      </c>
      <c r="AK9203" s="21" t="s">
        <v>95</v>
      </c>
      <c r="AL9203" s="21"/>
      <c r="AM9203" s="21" t="s">
        <v>6320</v>
      </c>
      <c r="AN9203" s="21">
        <v>-122.425863783333</v>
      </c>
      <c r="AO9203" s="21">
        <v>37.798845583333303</v>
      </c>
      <c r="AP9203" s="21" t="s">
        <v>951</v>
      </c>
    </row>
    <row r="9204" spans="1:42">
      <c r="A9204" s="20">
        <v>43871</v>
      </c>
      <c r="B9204" s="21">
        <v>1</v>
      </c>
      <c r="C9204" s="21">
        <v>216</v>
      </c>
      <c r="D9204" s="21">
        <v>14656</v>
      </c>
      <c r="E9204" t="s">
        <v>37</v>
      </c>
      <c r="F9204" s="21" t="s">
        <v>436</v>
      </c>
      <c r="G9204" s="21" t="s">
        <v>4270</v>
      </c>
      <c r="H9204" s="21">
        <v>10</v>
      </c>
      <c r="I9204" s="21" t="s">
        <v>2762</v>
      </c>
      <c r="J9204" s="21"/>
      <c r="K9204" s="21" t="s">
        <v>631</v>
      </c>
      <c r="L9204" s="21"/>
      <c r="M9204" s="21"/>
      <c r="N9204" s="21" t="s">
        <v>44</v>
      </c>
      <c r="O9204" s="21">
        <v>100</v>
      </c>
      <c r="P9204" s="21">
        <v>0</v>
      </c>
      <c r="Q9204" s="21">
        <v>1</v>
      </c>
      <c r="R9204" s="21">
        <v>0</v>
      </c>
      <c r="S9204" s="21">
        <v>0</v>
      </c>
      <c r="T9204" s="21">
        <v>0</v>
      </c>
      <c r="U9204" s="21">
        <v>0</v>
      </c>
      <c r="V9204" s="21">
        <v>1</v>
      </c>
      <c r="W9204" s="21">
        <v>0</v>
      </c>
      <c r="X9204" s="21">
        <v>0</v>
      </c>
      <c r="Y9204" s="21">
        <v>0</v>
      </c>
      <c r="Z9204" s="21">
        <v>0</v>
      </c>
      <c r="AA9204" s="21">
        <v>0</v>
      </c>
      <c r="AB9204" s="21">
        <v>0</v>
      </c>
      <c r="AC9204" s="21">
        <v>0</v>
      </c>
      <c r="AD9204" s="21">
        <v>0</v>
      </c>
      <c r="AE9204" s="21">
        <v>0</v>
      </c>
      <c r="AF9204" s="21">
        <v>0</v>
      </c>
      <c r="AG9204" s="21">
        <v>0</v>
      </c>
      <c r="AH9204" s="21">
        <v>64</v>
      </c>
      <c r="AI9204" s="21"/>
      <c r="AJ9204" s="21" t="s">
        <v>51</v>
      </c>
      <c r="AK9204" s="21" t="s">
        <v>95</v>
      </c>
      <c r="AL9204" s="21"/>
      <c r="AM9204" s="21" t="s">
        <v>6321</v>
      </c>
      <c r="AN9204" s="21">
        <v>-122.425819166667</v>
      </c>
      <c r="AO9204" s="21">
        <v>37.798819283333302</v>
      </c>
      <c r="AP9204" s="21" t="s">
        <v>951</v>
      </c>
    </row>
    <row r="9205" spans="1:42">
      <c r="A9205" s="20">
        <v>43871</v>
      </c>
      <c r="B9205" s="21">
        <v>1</v>
      </c>
      <c r="C9205" s="21">
        <v>216</v>
      </c>
      <c r="D9205" s="21">
        <v>14656</v>
      </c>
      <c r="E9205" t="s">
        <v>37</v>
      </c>
      <c r="F9205" s="21" t="s">
        <v>436</v>
      </c>
      <c r="G9205" s="21" t="s">
        <v>4270</v>
      </c>
      <c r="H9205" s="21">
        <v>11</v>
      </c>
      <c r="I9205" s="21" t="s">
        <v>6322</v>
      </c>
      <c r="J9205" s="21"/>
      <c r="K9205" s="21" t="s">
        <v>631</v>
      </c>
      <c r="L9205" s="21"/>
      <c r="M9205" s="21"/>
      <c r="N9205" s="21" t="s">
        <v>44</v>
      </c>
      <c r="O9205" s="21">
        <v>146</v>
      </c>
      <c r="P9205" s="21">
        <v>0</v>
      </c>
      <c r="Q9205" s="21">
        <v>2</v>
      </c>
      <c r="R9205" s="21">
        <v>0</v>
      </c>
      <c r="S9205" s="21">
        <v>0</v>
      </c>
      <c r="T9205" s="21">
        <v>0</v>
      </c>
      <c r="U9205" s="21">
        <v>0</v>
      </c>
      <c r="V9205" s="21">
        <v>0</v>
      </c>
      <c r="W9205" s="21">
        <v>2</v>
      </c>
      <c r="X9205" s="21">
        <v>0</v>
      </c>
      <c r="Y9205" s="21">
        <v>0</v>
      </c>
      <c r="Z9205" s="21">
        <v>0</v>
      </c>
      <c r="AA9205" s="21">
        <v>0</v>
      </c>
      <c r="AB9205" s="21">
        <v>0</v>
      </c>
      <c r="AC9205" s="21">
        <v>0</v>
      </c>
      <c r="AD9205" s="21">
        <v>0</v>
      </c>
      <c r="AE9205" s="21">
        <v>0</v>
      </c>
      <c r="AF9205" s="21">
        <v>0</v>
      </c>
      <c r="AG9205" s="21">
        <v>0</v>
      </c>
      <c r="AH9205" s="21">
        <v>192</v>
      </c>
      <c r="AI9205" s="21"/>
      <c r="AJ9205" s="21" t="s">
        <v>51</v>
      </c>
      <c r="AK9205" s="21" t="s">
        <v>95</v>
      </c>
      <c r="AL9205" s="21"/>
      <c r="AM9205" s="21" t="s">
        <v>6323</v>
      </c>
      <c r="AN9205" s="21">
        <v>-122.42592303333301</v>
      </c>
      <c r="AO9205" s="21">
        <v>37.800026783333301</v>
      </c>
      <c r="AP9205" s="21" t="s">
        <v>951</v>
      </c>
    </row>
    <row r="9206" spans="1:42">
      <c r="A9206" s="20">
        <v>43871</v>
      </c>
      <c r="B9206" s="21">
        <v>1</v>
      </c>
      <c r="C9206" s="21">
        <v>216</v>
      </c>
      <c r="D9206" s="21">
        <v>14656</v>
      </c>
      <c r="E9206" t="s">
        <v>37</v>
      </c>
      <c r="F9206" s="21" t="s">
        <v>436</v>
      </c>
      <c r="G9206" s="21" t="s">
        <v>4270</v>
      </c>
      <c r="H9206" s="21">
        <v>12</v>
      </c>
      <c r="I9206" s="21" t="s">
        <v>2357</v>
      </c>
      <c r="J9206" s="21"/>
      <c r="K9206" s="21" t="s">
        <v>631</v>
      </c>
      <c r="L9206" s="21"/>
      <c r="M9206" s="21"/>
      <c r="N9206" s="21" t="s">
        <v>44</v>
      </c>
      <c r="O9206" s="21">
        <v>112</v>
      </c>
      <c r="P9206" s="21">
        <v>0</v>
      </c>
      <c r="Q9206" s="21">
        <v>1</v>
      </c>
      <c r="R9206" s="21">
        <v>0</v>
      </c>
      <c r="S9206" s="21">
        <v>0</v>
      </c>
      <c r="T9206" s="21">
        <v>0</v>
      </c>
      <c r="U9206" s="21">
        <v>0</v>
      </c>
      <c r="V9206" s="21">
        <v>0</v>
      </c>
      <c r="W9206" s="21">
        <v>1</v>
      </c>
      <c r="X9206" s="21">
        <v>0</v>
      </c>
      <c r="Y9206" s="21">
        <v>0</v>
      </c>
      <c r="Z9206" s="21">
        <v>0</v>
      </c>
      <c r="AA9206" s="21">
        <v>0</v>
      </c>
      <c r="AB9206" s="21">
        <v>0</v>
      </c>
      <c r="AC9206" s="21">
        <v>0</v>
      </c>
      <c r="AD9206" s="21">
        <v>0</v>
      </c>
      <c r="AE9206" s="21">
        <v>0</v>
      </c>
      <c r="AF9206" s="21">
        <v>0</v>
      </c>
      <c r="AG9206" s="21">
        <v>0</v>
      </c>
      <c r="AH9206" s="21">
        <v>96</v>
      </c>
      <c r="AI9206" s="21"/>
      <c r="AJ9206" s="21" t="s">
        <v>51</v>
      </c>
      <c r="AK9206" s="21" t="s">
        <v>95</v>
      </c>
      <c r="AL9206" s="21" t="s">
        <v>1083</v>
      </c>
      <c r="AM9206" s="21" t="s">
        <v>6324</v>
      </c>
      <c r="AN9206" s="21">
        <v>-122.425993933333</v>
      </c>
      <c r="AO9206" s="21">
        <v>37.8004066833333</v>
      </c>
      <c r="AP9206" s="21" t="s">
        <v>951</v>
      </c>
    </row>
    <row r="9207" spans="1:42">
      <c r="A9207" s="20">
        <v>43871</v>
      </c>
      <c r="B9207" s="21">
        <v>1</v>
      </c>
      <c r="C9207" s="21">
        <v>216</v>
      </c>
      <c r="D9207" s="21">
        <v>14656</v>
      </c>
      <c r="E9207" t="s">
        <v>37</v>
      </c>
      <c r="F9207" s="21" t="s">
        <v>436</v>
      </c>
      <c r="G9207" s="21" t="s">
        <v>4270</v>
      </c>
      <c r="H9207" s="21">
        <v>13</v>
      </c>
      <c r="I9207" s="21" t="s">
        <v>6325</v>
      </c>
      <c r="J9207" s="21"/>
      <c r="K9207" s="21" t="s">
        <v>6326</v>
      </c>
      <c r="L9207" s="21"/>
      <c r="M9207" s="21"/>
      <c r="N9207" s="21" t="s">
        <v>44</v>
      </c>
      <c r="O9207" s="21">
        <v>202</v>
      </c>
      <c r="P9207" s="21">
        <v>0</v>
      </c>
      <c r="Q9207" s="21">
        <v>1</v>
      </c>
      <c r="R9207" s="21">
        <v>0</v>
      </c>
      <c r="S9207" s="21">
        <v>0</v>
      </c>
      <c r="T9207" s="21">
        <v>0</v>
      </c>
      <c r="U9207" s="21">
        <v>0</v>
      </c>
      <c r="V9207" s="21">
        <v>0</v>
      </c>
      <c r="W9207" s="21">
        <v>1</v>
      </c>
      <c r="X9207" s="21">
        <v>0</v>
      </c>
      <c r="Y9207" s="21">
        <v>0</v>
      </c>
      <c r="Z9207" s="21">
        <v>0</v>
      </c>
      <c r="AA9207" s="21">
        <v>0</v>
      </c>
      <c r="AB9207" s="21">
        <v>0</v>
      </c>
      <c r="AC9207" s="21">
        <v>0</v>
      </c>
      <c r="AD9207" s="21">
        <v>0</v>
      </c>
      <c r="AE9207" s="21">
        <v>0</v>
      </c>
      <c r="AF9207" s="21">
        <v>0</v>
      </c>
      <c r="AG9207" s="21">
        <v>0</v>
      </c>
      <c r="AH9207" s="21">
        <v>96</v>
      </c>
      <c r="AI9207" s="21"/>
      <c r="AJ9207" s="21" t="s">
        <v>51</v>
      </c>
      <c r="AK9207" s="21" t="s">
        <v>95</v>
      </c>
      <c r="AL9207" s="21" t="s">
        <v>6327</v>
      </c>
      <c r="AM9207" s="21" t="s">
        <v>6328</v>
      </c>
      <c r="AN9207" s="21">
        <v>-122.42609381666701</v>
      </c>
      <c r="AO9207" s="21">
        <v>37.800839699999997</v>
      </c>
      <c r="AP9207" s="21" t="s">
        <v>951</v>
      </c>
    </row>
    <row r="9208" spans="1:42">
      <c r="A9208" s="20">
        <v>43871</v>
      </c>
      <c r="B9208" s="21">
        <v>1</v>
      </c>
      <c r="C9208" s="21">
        <v>216</v>
      </c>
      <c r="D9208" s="21">
        <v>14656</v>
      </c>
      <c r="E9208" t="s">
        <v>37</v>
      </c>
      <c r="F9208" s="21" t="s">
        <v>436</v>
      </c>
      <c r="G9208" s="21" t="s">
        <v>4270</v>
      </c>
      <c r="H9208" s="21">
        <v>14</v>
      </c>
      <c r="I9208" s="21" t="s">
        <v>3277</v>
      </c>
      <c r="J9208" s="21"/>
      <c r="K9208" s="21" t="s">
        <v>324</v>
      </c>
      <c r="L9208" s="21"/>
      <c r="M9208" s="21"/>
      <c r="N9208" s="21" t="s">
        <v>40</v>
      </c>
      <c r="O9208" s="21">
        <v>92</v>
      </c>
      <c r="P9208" s="21">
        <v>0</v>
      </c>
      <c r="Q9208" s="21">
        <v>1</v>
      </c>
      <c r="R9208" s="21">
        <v>0</v>
      </c>
      <c r="S9208" s="21">
        <v>0</v>
      </c>
      <c r="T9208" s="21">
        <v>0</v>
      </c>
      <c r="U9208" s="21">
        <v>0</v>
      </c>
      <c r="V9208" s="21">
        <v>0</v>
      </c>
      <c r="W9208" s="21">
        <v>1</v>
      </c>
      <c r="X9208" s="21">
        <v>0</v>
      </c>
      <c r="Y9208" s="21">
        <v>0</v>
      </c>
      <c r="Z9208" s="21">
        <v>0</v>
      </c>
      <c r="AA9208" s="21">
        <v>0</v>
      </c>
      <c r="AB9208" s="21">
        <v>0</v>
      </c>
      <c r="AC9208" s="21">
        <v>0</v>
      </c>
      <c r="AD9208" s="21">
        <v>0</v>
      </c>
      <c r="AE9208" s="21">
        <v>0</v>
      </c>
      <c r="AF9208" s="21">
        <v>0</v>
      </c>
      <c r="AG9208" s="21">
        <v>0</v>
      </c>
      <c r="AH9208" s="21">
        <v>96</v>
      </c>
      <c r="AI9208" s="21"/>
      <c r="AJ9208" s="21" t="s">
        <v>51</v>
      </c>
      <c r="AK9208" s="21" t="s">
        <v>95</v>
      </c>
      <c r="AL9208" s="21"/>
      <c r="AM9208" s="21" t="s">
        <v>6329</v>
      </c>
      <c r="AN9208" s="21">
        <v>-122.426359433333</v>
      </c>
      <c r="AO9208" s="21">
        <v>37.801913783333298</v>
      </c>
      <c r="AP9208" s="21" t="s">
        <v>951</v>
      </c>
    </row>
    <row r="9209" spans="1:42">
      <c r="A9209" s="20">
        <v>43871</v>
      </c>
      <c r="B9209" s="21">
        <v>1</v>
      </c>
      <c r="C9209" s="21">
        <v>216</v>
      </c>
      <c r="D9209" s="21">
        <v>14656</v>
      </c>
      <c r="E9209" t="s">
        <v>37</v>
      </c>
      <c r="F9209" s="21" t="s">
        <v>436</v>
      </c>
      <c r="G9209" s="21" t="s">
        <v>4270</v>
      </c>
      <c r="H9209" s="21">
        <v>15</v>
      </c>
      <c r="I9209" s="21" t="s">
        <v>6330</v>
      </c>
      <c r="J9209" s="21"/>
      <c r="K9209" s="21" t="s">
        <v>631</v>
      </c>
      <c r="L9209" s="21"/>
      <c r="M9209" s="21"/>
      <c r="N9209" s="21" t="s">
        <v>44</v>
      </c>
      <c r="O9209" s="21">
        <v>134</v>
      </c>
      <c r="P9209" s="21">
        <v>0</v>
      </c>
      <c r="Q9209" s="21">
        <v>1</v>
      </c>
      <c r="R9209" s="21">
        <v>0</v>
      </c>
      <c r="S9209" s="21">
        <v>0</v>
      </c>
      <c r="T9209" s="21">
        <v>0</v>
      </c>
      <c r="U9209" s="21">
        <v>0</v>
      </c>
      <c r="V9209" s="21">
        <v>0</v>
      </c>
      <c r="W9209" s="21">
        <v>1</v>
      </c>
      <c r="X9209" s="21">
        <v>0</v>
      </c>
      <c r="Y9209" s="21">
        <v>0</v>
      </c>
      <c r="Z9209" s="21">
        <v>0</v>
      </c>
      <c r="AA9209" s="21">
        <v>0</v>
      </c>
      <c r="AB9209" s="21">
        <v>0</v>
      </c>
      <c r="AC9209" s="21">
        <v>0</v>
      </c>
      <c r="AD9209" s="21">
        <v>0</v>
      </c>
      <c r="AE9209" s="21">
        <v>0</v>
      </c>
      <c r="AF9209" s="21">
        <v>0</v>
      </c>
      <c r="AG9209" s="21">
        <v>0</v>
      </c>
      <c r="AH9209" s="21">
        <v>96</v>
      </c>
      <c r="AI9209" s="21"/>
      <c r="AJ9209" s="21" t="s">
        <v>51</v>
      </c>
      <c r="AK9209" s="21" t="s">
        <v>95</v>
      </c>
      <c r="AL9209" s="21" t="s">
        <v>1377</v>
      </c>
      <c r="AM9209" s="21" t="s">
        <v>6331</v>
      </c>
      <c r="AN9209" s="21">
        <v>-122.426328516667</v>
      </c>
      <c r="AO9209" s="21">
        <v>37.801877099999999</v>
      </c>
      <c r="AP9209" s="21" t="s">
        <v>951</v>
      </c>
    </row>
    <row r="9210" spans="1:42">
      <c r="A9210" s="20">
        <v>43871</v>
      </c>
      <c r="B9210" s="21">
        <v>1</v>
      </c>
      <c r="C9210" s="21">
        <v>216</v>
      </c>
      <c r="D9210" s="21">
        <v>14656</v>
      </c>
      <c r="E9210" t="s">
        <v>37</v>
      </c>
      <c r="F9210" s="21" t="s">
        <v>436</v>
      </c>
      <c r="G9210" s="21" t="s">
        <v>4270</v>
      </c>
      <c r="H9210" s="21">
        <v>16</v>
      </c>
      <c r="I9210" s="21" t="s">
        <v>6332</v>
      </c>
      <c r="J9210" s="21"/>
      <c r="K9210" s="21" t="s">
        <v>210</v>
      </c>
      <c r="L9210" s="21"/>
      <c r="M9210" s="21"/>
      <c r="N9210" s="21" t="s">
        <v>44</v>
      </c>
      <c r="O9210" s="21">
        <v>73</v>
      </c>
      <c r="P9210" s="21">
        <v>0</v>
      </c>
      <c r="Q9210" s="21">
        <v>2</v>
      </c>
      <c r="R9210" s="21">
        <v>0</v>
      </c>
      <c r="S9210" s="21">
        <v>0</v>
      </c>
      <c r="T9210" s="21">
        <v>0</v>
      </c>
      <c r="U9210" s="21">
        <v>1</v>
      </c>
      <c r="V9210" s="21">
        <v>0</v>
      </c>
      <c r="W9210" s="21">
        <v>1</v>
      </c>
      <c r="X9210" s="21">
        <v>0</v>
      </c>
      <c r="Y9210" s="21">
        <v>0</v>
      </c>
      <c r="Z9210" s="21">
        <v>0</v>
      </c>
      <c r="AA9210" s="21">
        <v>0</v>
      </c>
      <c r="AB9210" s="21">
        <v>0</v>
      </c>
      <c r="AC9210" s="21">
        <v>0</v>
      </c>
      <c r="AD9210" s="21">
        <v>0</v>
      </c>
      <c r="AE9210" s="21">
        <v>0</v>
      </c>
      <c r="AF9210" s="21">
        <v>0</v>
      </c>
      <c r="AG9210" s="21">
        <v>0</v>
      </c>
      <c r="AH9210" s="21">
        <v>128</v>
      </c>
      <c r="AI9210" s="21"/>
      <c r="AJ9210" s="21" t="s">
        <v>51</v>
      </c>
      <c r="AK9210" s="21" t="s">
        <v>95</v>
      </c>
      <c r="AL9210" s="21"/>
      <c r="AM9210" s="21" t="s">
        <v>6333</v>
      </c>
      <c r="AN9210" s="21">
        <v>-122.42948921666699</v>
      </c>
      <c r="AO9210" s="21">
        <v>37.800680999999997</v>
      </c>
      <c r="AP9210" s="21" t="s">
        <v>951</v>
      </c>
    </row>
    <row r="9211" spans="1:42">
      <c r="A9211" s="20">
        <v>43871</v>
      </c>
      <c r="B9211" s="21">
        <v>1</v>
      </c>
      <c r="C9211" s="21">
        <v>216</v>
      </c>
      <c r="D9211" s="21">
        <v>14656</v>
      </c>
      <c r="E9211" t="s">
        <v>37</v>
      </c>
      <c r="F9211" s="21" t="s">
        <v>436</v>
      </c>
      <c r="G9211" s="21" t="s">
        <v>4270</v>
      </c>
      <c r="H9211" s="21">
        <v>17</v>
      </c>
      <c r="I9211" s="21" t="s">
        <v>3761</v>
      </c>
      <c r="J9211" s="21"/>
      <c r="K9211" s="21" t="s">
        <v>210</v>
      </c>
      <c r="L9211" s="21"/>
      <c r="M9211" s="21"/>
      <c r="N9211" s="21" t="s">
        <v>44</v>
      </c>
      <c r="O9211" s="21">
        <v>81</v>
      </c>
      <c r="P9211" s="21">
        <v>0</v>
      </c>
      <c r="Q9211" s="21">
        <v>1</v>
      </c>
      <c r="R9211" s="21">
        <v>0</v>
      </c>
      <c r="S9211" s="21">
        <v>0</v>
      </c>
      <c r="T9211" s="21">
        <v>0</v>
      </c>
      <c r="U9211" s="21">
        <v>0</v>
      </c>
      <c r="V9211" s="21">
        <v>0</v>
      </c>
      <c r="W9211" s="21">
        <v>1</v>
      </c>
      <c r="X9211" s="21">
        <v>0</v>
      </c>
      <c r="Y9211" s="21">
        <v>0</v>
      </c>
      <c r="Z9211" s="21">
        <v>0</v>
      </c>
      <c r="AA9211" s="21">
        <v>0</v>
      </c>
      <c r="AB9211" s="21">
        <v>0</v>
      </c>
      <c r="AC9211" s="21">
        <v>0</v>
      </c>
      <c r="AD9211" s="21">
        <v>0</v>
      </c>
      <c r="AE9211" s="21">
        <v>0</v>
      </c>
      <c r="AF9211" s="21">
        <v>0</v>
      </c>
      <c r="AG9211" s="21">
        <v>0</v>
      </c>
      <c r="AH9211" s="21">
        <v>96</v>
      </c>
      <c r="AI9211" s="21"/>
      <c r="AJ9211" s="21" t="s">
        <v>51</v>
      </c>
      <c r="AK9211" s="21" t="s">
        <v>95</v>
      </c>
      <c r="AL9211" s="21"/>
      <c r="AM9211" s="21" t="s">
        <v>6334</v>
      </c>
      <c r="AN9211" s="21">
        <v>-122.428077866667</v>
      </c>
      <c r="AO9211" s="21">
        <v>37.800839883333303</v>
      </c>
      <c r="AP9211" s="21" t="s">
        <v>951</v>
      </c>
    </row>
    <row r="9212" spans="1:42">
      <c r="A9212" s="20">
        <v>43871</v>
      </c>
      <c r="B9212" s="21">
        <v>1</v>
      </c>
      <c r="C9212" s="21">
        <v>216</v>
      </c>
      <c r="D9212" s="21">
        <v>14656</v>
      </c>
      <c r="E9212" t="s">
        <v>37</v>
      </c>
      <c r="F9212" s="21" t="s">
        <v>436</v>
      </c>
      <c r="G9212" s="21" t="s">
        <v>4270</v>
      </c>
      <c r="H9212" s="21">
        <v>18</v>
      </c>
      <c r="I9212" s="21" t="s">
        <v>5950</v>
      </c>
      <c r="J9212" s="21"/>
      <c r="K9212" s="21" t="s">
        <v>210</v>
      </c>
      <c r="L9212" s="21"/>
      <c r="M9212" s="21"/>
      <c r="N9212" s="21" t="s">
        <v>44</v>
      </c>
      <c r="O9212" s="21">
        <v>52</v>
      </c>
      <c r="P9212" s="21">
        <v>0</v>
      </c>
      <c r="Q9212" s="21">
        <v>1</v>
      </c>
      <c r="R9212" s="21">
        <v>0</v>
      </c>
      <c r="S9212" s="21">
        <v>0</v>
      </c>
      <c r="T9212" s="21">
        <v>0</v>
      </c>
      <c r="U9212" s="21">
        <v>0</v>
      </c>
      <c r="V9212" s="21">
        <v>0</v>
      </c>
      <c r="W9212" s="21">
        <v>1</v>
      </c>
      <c r="X9212" s="21">
        <v>0</v>
      </c>
      <c r="Y9212" s="21">
        <v>0</v>
      </c>
      <c r="Z9212" s="21">
        <v>0</v>
      </c>
      <c r="AA9212" s="21">
        <v>0</v>
      </c>
      <c r="AB9212" s="21">
        <v>0</v>
      </c>
      <c r="AC9212" s="21">
        <v>0</v>
      </c>
      <c r="AD9212" s="21">
        <v>0</v>
      </c>
      <c r="AE9212" s="21">
        <v>0</v>
      </c>
      <c r="AF9212" s="21">
        <v>0</v>
      </c>
      <c r="AG9212" s="21">
        <v>0</v>
      </c>
      <c r="AH9212" s="21">
        <v>96</v>
      </c>
      <c r="AI9212" s="21"/>
      <c r="AJ9212" s="21" t="s">
        <v>51</v>
      </c>
      <c r="AK9212" s="21" t="s">
        <v>95</v>
      </c>
      <c r="AL9212" s="21"/>
      <c r="AM9212" s="21" t="s">
        <v>6335</v>
      </c>
      <c r="AN9212" s="21">
        <v>-122.42572036666699</v>
      </c>
      <c r="AO9212" s="21">
        <v>37.801122300000003</v>
      </c>
      <c r="AP9212" s="21" t="s">
        <v>951</v>
      </c>
    </row>
    <row r="9213" spans="1:42">
      <c r="A9213" s="20">
        <v>43871</v>
      </c>
      <c r="B9213" s="21">
        <v>1</v>
      </c>
      <c r="C9213" s="21">
        <v>216</v>
      </c>
      <c r="D9213" s="21">
        <v>14656</v>
      </c>
      <c r="E9213" t="s">
        <v>37</v>
      </c>
      <c r="F9213" s="21" t="s">
        <v>436</v>
      </c>
      <c r="G9213" s="21" t="s">
        <v>4270</v>
      </c>
      <c r="H9213" s="21">
        <v>19</v>
      </c>
      <c r="I9213" s="21" t="s">
        <v>2670</v>
      </c>
      <c r="J9213" s="21"/>
      <c r="K9213" s="21" t="s">
        <v>415</v>
      </c>
      <c r="L9213" s="21"/>
      <c r="M9213" s="21"/>
      <c r="N9213" s="21" t="s">
        <v>44</v>
      </c>
      <c r="O9213" s="21">
        <v>157</v>
      </c>
      <c r="P9213" s="21">
        <v>0</v>
      </c>
      <c r="Q9213" s="21">
        <v>2</v>
      </c>
      <c r="R9213" s="21">
        <v>0</v>
      </c>
      <c r="S9213" s="21">
        <v>0</v>
      </c>
      <c r="T9213" s="21">
        <v>0</v>
      </c>
      <c r="U9213" s="21">
        <v>0</v>
      </c>
      <c r="V9213" s="21">
        <v>0</v>
      </c>
      <c r="W9213" s="21">
        <v>2</v>
      </c>
      <c r="X9213" s="21">
        <v>0</v>
      </c>
      <c r="Y9213" s="21">
        <v>0</v>
      </c>
      <c r="Z9213" s="21">
        <v>0</v>
      </c>
      <c r="AA9213" s="21">
        <v>0</v>
      </c>
      <c r="AB9213" s="21">
        <v>0</v>
      </c>
      <c r="AC9213" s="21">
        <v>0</v>
      </c>
      <c r="AD9213" s="21">
        <v>0</v>
      </c>
      <c r="AE9213" s="21">
        <v>0</v>
      </c>
      <c r="AF9213" s="21">
        <v>0</v>
      </c>
      <c r="AG9213" s="21">
        <v>0</v>
      </c>
      <c r="AH9213" s="21">
        <v>192</v>
      </c>
      <c r="AI9213" s="21"/>
      <c r="AJ9213" s="21" t="s">
        <v>51</v>
      </c>
      <c r="AK9213" s="21" t="s">
        <v>52</v>
      </c>
      <c r="AL9213" s="21"/>
      <c r="AM9213" s="21" t="s">
        <v>6336</v>
      </c>
      <c r="AN9213" s="21">
        <v>-122.42454163333301</v>
      </c>
      <c r="AO9213" s="21">
        <v>37.800800066666604</v>
      </c>
      <c r="AP9213" s="21" t="s">
        <v>951</v>
      </c>
    </row>
    <row r="9214" spans="1:42">
      <c r="A9214" s="20">
        <v>43871</v>
      </c>
      <c r="B9214" s="21">
        <v>1</v>
      </c>
      <c r="C9214" s="21">
        <v>216</v>
      </c>
      <c r="D9214" s="21">
        <v>14656</v>
      </c>
      <c r="E9214" t="s">
        <v>37</v>
      </c>
      <c r="F9214" s="21" t="s">
        <v>436</v>
      </c>
      <c r="G9214" s="21" t="s">
        <v>4270</v>
      </c>
      <c r="H9214" s="21">
        <v>20</v>
      </c>
      <c r="I9214" s="21" t="s">
        <v>6315</v>
      </c>
      <c r="J9214" s="21"/>
      <c r="K9214" s="21" t="s">
        <v>415</v>
      </c>
      <c r="L9214" s="21"/>
      <c r="M9214" s="21"/>
      <c r="N9214" s="21" t="s">
        <v>44</v>
      </c>
      <c r="O9214" s="21">
        <v>107</v>
      </c>
      <c r="P9214" s="21">
        <v>0</v>
      </c>
      <c r="Q9214" s="21">
        <v>1</v>
      </c>
      <c r="R9214" s="21">
        <v>0</v>
      </c>
      <c r="S9214" s="21">
        <v>0</v>
      </c>
      <c r="T9214" s="21">
        <v>0</v>
      </c>
      <c r="U9214" s="21">
        <v>0</v>
      </c>
      <c r="V9214" s="21">
        <v>1</v>
      </c>
      <c r="W9214" s="21">
        <v>0</v>
      </c>
      <c r="X9214" s="21">
        <v>0</v>
      </c>
      <c r="Y9214" s="21">
        <v>0</v>
      </c>
      <c r="Z9214" s="21">
        <v>0</v>
      </c>
      <c r="AA9214" s="21">
        <v>0</v>
      </c>
      <c r="AB9214" s="21">
        <v>0</v>
      </c>
      <c r="AC9214" s="21">
        <v>0</v>
      </c>
      <c r="AD9214" s="21">
        <v>0</v>
      </c>
      <c r="AE9214" s="21">
        <v>0</v>
      </c>
      <c r="AF9214" s="21">
        <v>0</v>
      </c>
      <c r="AG9214" s="21">
        <v>0</v>
      </c>
      <c r="AH9214" s="21">
        <v>64</v>
      </c>
      <c r="AI9214" s="21"/>
      <c r="AJ9214" s="21" t="s">
        <v>51</v>
      </c>
      <c r="AK9214" s="21" t="s">
        <v>52</v>
      </c>
      <c r="AL9214" s="21"/>
      <c r="AM9214" s="21" t="s">
        <v>6337</v>
      </c>
      <c r="AN9214" s="21">
        <v>-122.424289883333</v>
      </c>
      <c r="AO9214" s="21">
        <v>37.799843899999999</v>
      </c>
      <c r="AP9214" s="21" t="s">
        <v>951</v>
      </c>
    </row>
    <row r="9215" spans="1:42">
      <c r="A9215" s="20">
        <v>43871</v>
      </c>
      <c r="B9215" s="21">
        <v>1</v>
      </c>
      <c r="C9215" s="21">
        <v>216</v>
      </c>
      <c r="D9215" s="21">
        <v>14656</v>
      </c>
      <c r="E9215" t="s">
        <v>37</v>
      </c>
      <c r="F9215" s="21" t="s">
        <v>436</v>
      </c>
      <c r="G9215" s="21" t="s">
        <v>4270</v>
      </c>
      <c r="H9215" s="21">
        <v>21</v>
      </c>
      <c r="I9215" s="21" t="s">
        <v>6338</v>
      </c>
      <c r="J9215" s="21"/>
      <c r="K9215" s="21" t="s">
        <v>415</v>
      </c>
      <c r="L9215" s="21" t="s">
        <v>141</v>
      </c>
      <c r="M9215" s="21"/>
      <c r="N9215" s="21" t="s">
        <v>40</v>
      </c>
      <c r="O9215" s="21">
        <v>301</v>
      </c>
      <c r="P9215" s="21">
        <v>0</v>
      </c>
      <c r="Q9215" s="21">
        <v>2</v>
      </c>
      <c r="R9215" s="21">
        <v>0</v>
      </c>
      <c r="S9215" s="21">
        <v>0</v>
      </c>
      <c r="T9215" s="21">
        <v>0</v>
      </c>
      <c r="U9215" s="21">
        <v>0</v>
      </c>
      <c r="V9215" s="21">
        <v>1</v>
      </c>
      <c r="W9215" s="21">
        <v>1</v>
      </c>
      <c r="X9215" s="21">
        <v>0</v>
      </c>
      <c r="Y9215" s="21">
        <v>0</v>
      </c>
      <c r="Z9215" s="21">
        <v>0</v>
      </c>
      <c r="AA9215" s="21">
        <v>0</v>
      </c>
      <c r="AB9215" s="21">
        <v>0</v>
      </c>
      <c r="AC9215" s="21">
        <v>0</v>
      </c>
      <c r="AD9215" s="21">
        <v>0</v>
      </c>
      <c r="AE9215" s="21">
        <v>0</v>
      </c>
      <c r="AF9215" s="21">
        <v>0</v>
      </c>
      <c r="AG9215" s="21">
        <v>0</v>
      </c>
      <c r="AH9215" s="21">
        <v>160</v>
      </c>
      <c r="AI9215" s="21"/>
      <c r="AJ9215" s="21" t="s">
        <v>51</v>
      </c>
      <c r="AK9215" s="21" t="s">
        <v>52</v>
      </c>
      <c r="AL9215" s="21" t="s">
        <v>6339</v>
      </c>
      <c r="AM9215" s="21" t="s">
        <v>6340</v>
      </c>
      <c r="AN9215" s="21">
        <v>-122.424286766667</v>
      </c>
      <c r="AO9215" s="21">
        <v>37.798494083333303</v>
      </c>
      <c r="AP9215" s="21" t="s">
        <v>951</v>
      </c>
    </row>
    <row r="9216" spans="1:42">
      <c r="A9216" s="20">
        <v>43871</v>
      </c>
      <c r="B9216" s="21">
        <v>1</v>
      </c>
      <c r="C9216" s="21">
        <v>216</v>
      </c>
      <c r="D9216" s="21">
        <v>14656</v>
      </c>
      <c r="E9216" t="s">
        <v>37</v>
      </c>
      <c r="F9216" s="21" t="s">
        <v>436</v>
      </c>
      <c r="G9216" s="21" t="s">
        <v>4270</v>
      </c>
      <c r="H9216" s="21">
        <v>22</v>
      </c>
      <c r="I9216" s="21" t="s">
        <v>6019</v>
      </c>
      <c r="J9216" s="21"/>
      <c r="K9216" s="21" t="s">
        <v>156</v>
      </c>
      <c r="L9216" s="21"/>
      <c r="M9216" s="21"/>
      <c r="N9216" s="21" t="s">
        <v>44</v>
      </c>
      <c r="O9216" s="21">
        <v>130</v>
      </c>
      <c r="P9216" s="21">
        <v>0</v>
      </c>
      <c r="Q9216" s="21">
        <v>2</v>
      </c>
      <c r="R9216" s="21">
        <v>0</v>
      </c>
      <c r="S9216" s="21">
        <v>0</v>
      </c>
      <c r="T9216" s="21">
        <v>0</v>
      </c>
      <c r="U9216" s="21">
        <v>0</v>
      </c>
      <c r="V9216" s="21">
        <v>2</v>
      </c>
      <c r="W9216" s="21">
        <v>0</v>
      </c>
      <c r="X9216" s="21">
        <v>0</v>
      </c>
      <c r="Y9216" s="21">
        <v>0</v>
      </c>
      <c r="Z9216" s="21">
        <v>0</v>
      </c>
      <c r="AA9216" s="21">
        <v>0</v>
      </c>
      <c r="AB9216" s="21">
        <v>0</v>
      </c>
      <c r="AC9216" s="21">
        <v>0</v>
      </c>
      <c r="AD9216" s="21">
        <v>0</v>
      </c>
      <c r="AE9216" s="21">
        <v>0</v>
      </c>
      <c r="AF9216" s="21">
        <v>0</v>
      </c>
      <c r="AG9216" s="21">
        <v>0</v>
      </c>
      <c r="AH9216" s="21">
        <v>128</v>
      </c>
      <c r="AI9216" s="21"/>
      <c r="AJ9216" s="21" t="s">
        <v>51</v>
      </c>
      <c r="AK9216" s="21" t="s">
        <v>95</v>
      </c>
      <c r="AL9216" s="21"/>
      <c r="AM9216" s="21" t="s">
        <v>6341</v>
      </c>
      <c r="AN9216" s="21">
        <v>-122.42535530000001</v>
      </c>
      <c r="AO9216" s="21">
        <v>37.798410916666697</v>
      </c>
      <c r="AP9216" s="21" t="s">
        <v>951</v>
      </c>
    </row>
    <row r="9217" spans="1:42">
      <c r="A9217" s="20">
        <v>43871</v>
      </c>
      <c r="B9217" s="21">
        <v>1</v>
      </c>
      <c r="C9217" s="21">
        <v>216</v>
      </c>
      <c r="D9217" s="21">
        <v>14656</v>
      </c>
      <c r="E9217" t="s">
        <v>37</v>
      </c>
      <c r="F9217" s="21" t="s">
        <v>436</v>
      </c>
      <c r="G9217" s="21" t="s">
        <v>4270</v>
      </c>
      <c r="H9217" s="21">
        <v>23</v>
      </c>
      <c r="I9217" s="21" t="s">
        <v>6342</v>
      </c>
      <c r="J9217" s="21"/>
      <c r="K9217" s="21" t="s">
        <v>156</v>
      </c>
      <c r="L9217" s="21"/>
      <c r="M9217" s="21"/>
      <c r="N9217" s="21" t="s">
        <v>44</v>
      </c>
      <c r="O9217" s="21">
        <v>78</v>
      </c>
      <c r="P9217" s="21">
        <v>0</v>
      </c>
      <c r="Q9217" s="21">
        <v>3</v>
      </c>
      <c r="R9217" s="21">
        <v>0</v>
      </c>
      <c r="S9217" s="21">
        <v>0</v>
      </c>
      <c r="T9217" s="21">
        <v>0</v>
      </c>
      <c r="U9217" s="21">
        <v>0</v>
      </c>
      <c r="V9217" s="21">
        <v>0</v>
      </c>
      <c r="W9217" s="21">
        <v>1</v>
      </c>
      <c r="X9217" s="21">
        <v>0</v>
      </c>
      <c r="Y9217" s="21">
        <v>0</v>
      </c>
      <c r="Z9217" s="21">
        <v>0</v>
      </c>
      <c r="AA9217" s="21">
        <v>0</v>
      </c>
      <c r="AB9217" s="21">
        <v>0</v>
      </c>
      <c r="AC9217" s="21">
        <v>0</v>
      </c>
      <c r="AD9217" s="21">
        <v>0</v>
      </c>
      <c r="AE9217" s="21">
        <v>0</v>
      </c>
      <c r="AF9217" s="21">
        <v>0</v>
      </c>
      <c r="AG9217" s="21">
        <v>0</v>
      </c>
      <c r="AH9217" s="21">
        <v>96</v>
      </c>
      <c r="AI9217" s="21"/>
      <c r="AJ9217" s="21" t="s">
        <v>51</v>
      </c>
      <c r="AK9217" s="21" t="s">
        <v>95</v>
      </c>
      <c r="AL9217" s="21"/>
      <c r="AM9217" s="21" t="s">
        <v>6343</v>
      </c>
      <c r="AN9217" s="21">
        <v>-122.425119666667</v>
      </c>
      <c r="AO9217" s="21">
        <v>37.798776516666699</v>
      </c>
      <c r="AP9217" s="21" t="s">
        <v>951</v>
      </c>
    </row>
    <row r="9218" spans="1:42">
      <c r="A9218" s="20">
        <v>43871</v>
      </c>
      <c r="B9218" s="21">
        <v>1</v>
      </c>
      <c r="C9218" s="21">
        <v>216</v>
      </c>
      <c r="D9218" s="21">
        <v>14656</v>
      </c>
      <c r="E9218" t="s">
        <v>37</v>
      </c>
      <c r="F9218" s="21" t="s">
        <v>436</v>
      </c>
      <c r="G9218" s="21" t="s">
        <v>4270</v>
      </c>
      <c r="H9218" s="21">
        <v>24</v>
      </c>
      <c r="I9218" s="21" t="s">
        <v>2357</v>
      </c>
      <c r="J9218" s="21"/>
      <c r="K9218" s="21" t="s">
        <v>638</v>
      </c>
      <c r="L9218" s="21"/>
      <c r="M9218" s="21"/>
      <c r="N9218" s="21" t="s">
        <v>44</v>
      </c>
      <c r="O9218" s="21">
        <v>132</v>
      </c>
      <c r="P9218" s="21">
        <v>0</v>
      </c>
      <c r="Q9218" s="21">
        <v>2</v>
      </c>
      <c r="R9218" s="21">
        <v>0</v>
      </c>
      <c r="S9218" s="21">
        <v>0</v>
      </c>
      <c r="T9218" s="21">
        <v>0</v>
      </c>
      <c r="U9218" s="21">
        <v>0</v>
      </c>
      <c r="V9218" s="21">
        <v>0</v>
      </c>
      <c r="W9218" s="21">
        <v>2</v>
      </c>
      <c r="X9218" s="21">
        <v>0</v>
      </c>
      <c r="Y9218" s="21">
        <v>0</v>
      </c>
      <c r="Z9218" s="21">
        <v>0</v>
      </c>
      <c r="AA9218" s="21">
        <v>0</v>
      </c>
      <c r="AB9218" s="21">
        <v>0</v>
      </c>
      <c r="AC9218" s="21">
        <v>0</v>
      </c>
      <c r="AD9218" s="21">
        <v>0</v>
      </c>
      <c r="AE9218" s="21">
        <v>0</v>
      </c>
      <c r="AF9218" s="21">
        <v>0</v>
      </c>
      <c r="AG9218" s="21">
        <v>0</v>
      </c>
      <c r="AH9218" s="21">
        <v>192</v>
      </c>
      <c r="AI9218" s="21"/>
      <c r="AJ9218" s="21" t="s">
        <v>51</v>
      </c>
      <c r="AK9218" s="21" t="s">
        <v>52</v>
      </c>
      <c r="AL9218" s="21"/>
      <c r="AM9218" s="21" t="s">
        <v>6344</v>
      </c>
      <c r="AN9218" s="21">
        <v>-122.42603235</v>
      </c>
      <c r="AO9218" s="21">
        <v>37.799319816666703</v>
      </c>
      <c r="AP9218" s="21" t="s">
        <v>951</v>
      </c>
    </row>
    <row r="9219" spans="1:42">
      <c r="A9219" s="20">
        <v>43871</v>
      </c>
      <c r="B9219" s="21">
        <v>1</v>
      </c>
      <c r="C9219" s="21">
        <v>216</v>
      </c>
      <c r="D9219" s="21">
        <v>14656</v>
      </c>
      <c r="E9219" t="s">
        <v>37</v>
      </c>
      <c r="F9219" s="21" t="s">
        <v>436</v>
      </c>
      <c r="G9219" s="21" t="s">
        <v>4270</v>
      </c>
      <c r="H9219" s="21">
        <v>25</v>
      </c>
      <c r="I9219" s="21" t="s">
        <v>6345</v>
      </c>
      <c r="J9219" s="21"/>
      <c r="K9219" s="21" t="s">
        <v>638</v>
      </c>
      <c r="L9219" s="21"/>
      <c r="M9219" s="21"/>
      <c r="N9219" s="21" t="s">
        <v>44</v>
      </c>
      <c r="O9219" s="21">
        <v>170</v>
      </c>
      <c r="P9219" s="21">
        <v>0</v>
      </c>
      <c r="Q9219" s="21">
        <v>2</v>
      </c>
      <c r="R9219" s="21">
        <v>0</v>
      </c>
      <c r="S9219" s="21">
        <v>0</v>
      </c>
      <c r="T9219" s="21">
        <v>0</v>
      </c>
      <c r="U9219" s="21">
        <v>0</v>
      </c>
      <c r="V9219" s="21">
        <v>0</v>
      </c>
      <c r="W9219" s="21">
        <v>2</v>
      </c>
      <c r="X9219" s="21">
        <v>0</v>
      </c>
      <c r="Y9219" s="21">
        <v>0</v>
      </c>
      <c r="Z9219" s="21">
        <v>0</v>
      </c>
      <c r="AA9219" s="21">
        <v>0</v>
      </c>
      <c r="AB9219" s="21">
        <v>0</v>
      </c>
      <c r="AC9219" s="21">
        <v>0</v>
      </c>
      <c r="AD9219" s="21">
        <v>0</v>
      </c>
      <c r="AE9219" s="21">
        <v>0</v>
      </c>
      <c r="AF9219" s="21">
        <v>0</v>
      </c>
      <c r="AG9219" s="21">
        <v>0</v>
      </c>
      <c r="AH9219" s="21">
        <v>192</v>
      </c>
      <c r="AI9219" s="21"/>
      <c r="AJ9219" s="21" t="s">
        <v>51</v>
      </c>
      <c r="AK9219" s="21" t="s">
        <v>95</v>
      </c>
      <c r="AL9219" s="21"/>
      <c r="AM9219" s="21" t="s">
        <v>6346</v>
      </c>
      <c r="AN9219" s="21">
        <v>-122.42763771666699</v>
      </c>
      <c r="AO9219" s="21">
        <v>37.799429916666597</v>
      </c>
      <c r="AP9219" s="21" t="s">
        <v>951</v>
      </c>
    </row>
    <row r="9220" spans="1:42">
      <c r="A9220" s="20">
        <v>43871</v>
      </c>
      <c r="B9220" s="21">
        <v>1</v>
      </c>
      <c r="C9220" s="21">
        <v>216</v>
      </c>
      <c r="D9220" s="21">
        <v>14656</v>
      </c>
      <c r="E9220" t="s">
        <v>37</v>
      </c>
      <c r="F9220" s="21" t="s">
        <v>436</v>
      </c>
      <c r="G9220" s="21" t="s">
        <v>4270</v>
      </c>
      <c r="H9220" s="21">
        <v>27</v>
      </c>
      <c r="I9220" s="21" t="s">
        <v>2342</v>
      </c>
      <c r="J9220" s="21"/>
      <c r="K9220" s="21" t="s">
        <v>638</v>
      </c>
      <c r="L9220" s="21"/>
      <c r="M9220" s="21"/>
      <c r="N9220" s="21" t="s">
        <v>44</v>
      </c>
      <c r="O9220" s="21">
        <v>93</v>
      </c>
      <c r="P9220" s="21">
        <v>0</v>
      </c>
      <c r="Q9220" s="21">
        <v>1</v>
      </c>
      <c r="R9220" s="21">
        <v>0</v>
      </c>
      <c r="S9220" s="21">
        <v>0</v>
      </c>
      <c r="T9220" s="21">
        <v>0</v>
      </c>
      <c r="U9220" s="21">
        <v>0</v>
      </c>
      <c r="V9220" s="21">
        <v>0</v>
      </c>
      <c r="W9220" s="21">
        <v>1</v>
      </c>
      <c r="X9220" s="21">
        <v>0</v>
      </c>
      <c r="Y9220" s="21">
        <v>0</v>
      </c>
      <c r="Z9220" s="21">
        <v>0</v>
      </c>
      <c r="AA9220" s="21">
        <v>0</v>
      </c>
      <c r="AB9220" s="21">
        <v>0</v>
      </c>
      <c r="AC9220" s="21">
        <v>0</v>
      </c>
      <c r="AD9220" s="21">
        <v>0</v>
      </c>
      <c r="AE9220" s="21">
        <v>0</v>
      </c>
      <c r="AF9220" s="21">
        <v>0</v>
      </c>
      <c r="AG9220" s="21">
        <v>0</v>
      </c>
      <c r="AH9220" s="21">
        <v>96</v>
      </c>
      <c r="AI9220" s="21"/>
      <c r="AJ9220" s="21" t="s">
        <v>51</v>
      </c>
      <c r="AK9220" s="21" t="s">
        <v>95</v>
      </c>
      <c r="AL9220" s="21"/>
      <c r="AM9220" s="21" t="s">
        <v>6347</v>
      </c>
      <c r="AN9220" s="21">
        <v>-122.427696966667</v>
      </c>
      <c r="AO9220" s="21">
        <v>37.800342016666697</v>
      </c>
      <c r="AP9220" s="21" t="s">
        <v>951</v>
      </c>
    </row>
    <row r="9221" spans="1:42">
      <c r="A9221" s="20">
        <v>43871</v>
      </c>
      <c r="B9221" s="21">
        <v>1</v>
      </c>
      <c r="C9221" s="21">
        <v>216</v>
      </c>
      <c r="D9221" s="21">
        <v>14656</v>
      </c>
      <c r="E9221" t="s">
        <v>37</v>
      </c>
      <c r="F9221" s="21" t="s">
        <v>436</v>
      </c>
      <c r="G9221" s="21" t="s">
        <v>4270</v>
      </c>
      <c r="H9221" s="21">
        <v>28</v>
      </c>
      <c r="I9221" s="21" t="s">
        <v>6348</v>
      </c>
      <c r="J9221" s="21"/>
      <c r="K9221" s="21" t="s">
        <v>638</v>
      </c>
      <c r="L9221" s="21"/>
      <c r="M9221" s="21"/>
      <c r="N9221" s="21" t="s">
        <v>44</v>
      </c>
      <c r="O9221" s="21">
        <v>234</v>
      </c>
      <c r="P9221" s="21">
        <v>0</v>
      </c>
      <c r="Q9221" s="21">
        <v>2</v>
      </c>
      <c r="R9221" s="21">
        <v>0</v>
      </c>
      <c r="S9221" s="21">
        <v>0</v>
      </c>
      <c r="T9221" s="21">
        <v>0</v>
      </c>
      <c r="U9221" s="21">
        <v>0</v>
      </c>
      <c r="V9221" s="21">
        <v>0</v>
      </c>
      <c r="W9221" s="21">
        <v>2</v>
      </c>
      <c r="X9221" s="21">
        <v>0</v>
      </c>
      <c r="Y9221" s="21">
        <v>0</v>
      </c>
      <c r="Z9221" s="21">
        <v>0</v>
      </c>
      <c r="AA9221" s="21">
        <v>0</v>
      </c>
      <c r="AB9221" s="21">
        <v>0</v>
      </c>
      <c r="AC9221" s="21">
        <v>0</v>
      </c>
      <c r="AD9221" s="21">
        <v>0</v>
      </c>
      <c r="AE9221" s="21">
        <v>0</v>
      </c>
      <c r="AF9221" s="21">
        <v>0</v>
      </c>
      <c r="AG9221" s="21">
        <v>0</v>
      </c>
      <c r="AH9221" s="21">
        <v>192</v>
      </c>
      <c r="AI9221" s="21"/>
      <c r="AJ9221" s="21" t="s">
        <v>51</v>
      </c>
      <c r="AK9221" s="21" t="s">
        <v>95</v>
      </c>
      <c r="AL9221" s="21" t="s">
        <v>6349</v>
      </c>
      <c r="AM9221" s="21" t="s">
        <v>6350</v>
      </c>
      <c r="AN9221" s="21">
        <v>-122.42780645000001</v>
      </c>
      <c r="AO9221" s="21">
        <v>37.800452483333302</v>
      </c>
      <c r="AP9221" s="21" t="s">
        <v>951</v>
      </c>
    </row>
    <row r="9222" spans="1:42">
      <c r="A9222" s="20">
        <v>43871</v>
      </c>
      <c r="B9222" s="21">
        <v>1</v>
      </c>
      <c r="C9222" s="21">
        <v>216</v>
      </c>
      <c r="D9222" s="21">
        <v>14656</v>
      </c>
      <c r="E9222" t="s">
        <v>37</v>
      </c>
      <c r="F9222" s="21" t="s">
        <v>436</v>
      </c>
      <c r="G9222" s="21" t="s">
        <v>4270</v>
      </c>
      <c r="H9222" s="21">
        <v>30</v>
      </c>
      <c r="I9222" s="21" t="s">
        <v>4912</v>
      </c>
      <c r="J9222" s="21"/>
      <c r="K9222" s="21" t="s">
        <v>324</v>
      </c>
      <c r="L9222" s="21"/>
      <c r="M9222" s="21"/>
      <c r="N9222" s="21" t="s">
        <v>44</v>
      </c>
      <c r="O9222" s="21">
        <v>84</v>
      </c>
      <c r="P9222" s="21">
        <v>0</v>
      </c>
      <c r="Q9222" s="21">
        <v>1</v>
      </c>
      <c r="R9222" s="21">
        <v>0</v>
      </c>
      <c r="S9222" s="21">
        <v>0</v>
      </c>
      <c r="T9222" s="21">
        <v>0</v>
      </c>
      <c r="U9222" s="21">
        <v>0</v>
      </c>
      <c r="V9222" s="21">
        <v>0</v>
      </c>
      <c r="W9222" s="21">
        <v>1</v>
      </c>
      <c r="X9222" s="21">
        <v>0</v>
      </c>
      <c r="Y9222" s="21">
        <v>0</v>
      </c>
      <c r="Z9222" s="21">
        <v>0</v>
      </c>
      <c r="AA9222" s="21">
        <v>0</v>
      </c>
      <c r="AB9222" s="21">
        <v>0</v>
      </c>
      <c r="AC9222" s="21">
        <v>0</v>
      </c>
      <c r="AD9222" s="21">
        <v>0</v>
      </c>
      <c r="AE9222" s="21">
        <v>0</v>
      </c>
      <c r="AF9222" s="21">
        <v>0</v>
      </c>
      <c r="AG9222" s="21">
        <v>0</v>
      </c>
      <c r="AH9222" s="21">
        <v>96</v>
      </c>
      <c r="AI9222" s="21"/>
      <c r="AJ9222" s="21" t="s">
        <v>51</v>
      </c>
      <c r="AK9222" s="21" t="s">
        <v>95</v>
      </c>
      <c r="AL9222" s="21"/>
      <c r="AM9222" s="21" t="s">
        <v>6351</v>
      </c>
      <c r="AN9222" s="21">
        <v>-122.425823733333</v>
      </c>
      <c r="AO9222" s="21">
        <v>37.802146133333302</v>
      </c>
      <c r="AP9222" s="21" t="s">
        <v>951</v>
      </c>
    </row>
    <row r="9223" spans="1:42">
      <c r="A9223" s="20">
        <v>43871</v>
      </c>
      <c r="B9223" s="21">
        <v>1</v>
      </c>
      <c r="C9223" s="21">
        <v>216</v>
      </c>
      <c r="D9223" s="21">
        <v>14656</v>
      </c>
      <c r="E9223" t="s">
        <v>37</v>
      </c>
      <c r="F9223" s="21" t="s">
        <v>436</v>
      </c>
      <c r="G9223" s="21" t="s">
        <v>4270</v>
      </c>
      <c r="H9223" s="21">
        <v>31</v>
      </c>
      <c r="I9223" s="21" t="s">
        <v>6352</v>
      </c>
      <c r="J9223" s="21"/>
      <c r="K9223" s="21" t="s">
        <v>324</v>
      </c>
      <c r="L9223" s="21"/>
      <c r="M9223" s="21"/>
      <c r="N9223" s="21" t="s">
        <v>44</v>
      </c>
      <c r="O9223" s="21">
        <v>136</v>
      </c>
      <c r="P9223" s="21">
        <v>0</v>
      </c>
      <c r="Q9223" s="21">
        <v>1</v>
      </c>
      <c r="R9223" s="21">
        <v>0</v>
      </c>
      <c r="S9223" s="21">
        <v>0</v>
      </c>
      <c r="T9223" s="21">
        <v>0</v>
      </c>
      <c r="U9223" s="21">
        <v>0</v>
      </c>
      <c r="V9223" s="21">
        <v>0</v>
      </c>
      <c r="W9223" s="21">
        <v>1</v>
      </c>
      <c r="X9223" s="21">
        <v>0</v>
      </c>
      <c r="Y9223" s="21">
        <v>0</v>
      </c>
      <c r="Z9223" s="21">
        <v>0</v>
      </c>
      <c r="AA9223" s="21">
        <v>0</v>
      </c>
      <c r="AB9223" s="21">
        <v>0</v>
      </c>
      <c r="AC9223" s="21">
        <v>0</v>
      </c>
      <c r="AD9223" s="21">
        <v>0</v>
      </c>
      <c r="AE9223" s="21">
        <v>0</v>
      </c>
      <c r="AF9223" s="21">
        <v>0</v>
      </c>
      <c r="AG9223" s="21">
        <v>0</v>
      </c>
      <c r="AH9223" s="21">
        <v>96</v>
      </c>
      <c r="AI9223" s="21"/>
      <c r="AJ9223" s="21" t="s">
        <v>51</v>
      </c>
      <c r="AK9223" s="21" t="s">
        <v>95</v>
      </c>
      <c r="AL9223" s="21"/>
      <c r="AM9223" s="21" t="s">
        <v>6353</v>
      </c>
      <c r="AN9223" s="21">
        <v>-122.425315766667</v>
      </c>
      <c r="AO9223" s="21">
        <v>37.802208383333301</v>
      </c>
      <c r="AP9223" s="21" t="s">
        <v>951</v>
      </c>
    </row>
    <row r="9224" spans="1:42">
      <c r="A9224" s="20">
        <v>43871</v>
      </c>
      <c r="B9224" s="21">
        <v>1</v>
      </c>
      <c r="C9224" s="21">
        <v>216</v>
      </c>
      <c r="D9224" s="21">
        <v>14656</v>
      </c>
      <c r="E9224" t="s">
        <v>37</v>
      </c>
      <c r="F9224" s="21" t="s">
        <v>436</v>
      </c>
      <c r="G9224" s="21" t="s">
        <v>4270</v>
      </c>
      <c r="H9224" s="21">
        <v>32</v>
      </c>
      <c r="I9224" s="21" t="s">
        <v>6354</v>
      </c>
      <c r="J9224" s="21"/>
      <c r="K9224" s="21" t="s">
        <v>415</v>
      </c>
      <c r="L9224" s="21"/>
      <c r="M9224" s="21"/>
      <c r="N9224" s="21" t="s">
        <v>44</v>
      </c>
      <c r="O9224" s="21">
        <v>172</v>
      </c>
      <c r="P9224" s="21">
        <v>0</v>
      </c>
      <c r="Q9224" s="21">
        <v>2</v>
      </c>
      <c r="R9224" s="21">
        <v>0</v>
      </c>
      <c r="S9224" s="21">
        <v>0</v>
      </c>
      <c r="T9224" s="21">
        <v>0</v>
      </c>
      <c r="U9224" s="21">
        <v>0</v>
      </c>
      <c r="V9224" s="21">
        <v>0</v>
      </c>
      <c r="W9224" s="21">
        <v>2</v>
      </c>
      <c r="X9224" s="21">
        <v>0</v>
      </c>
      <c r="Y9224" s="21">
        <v>0</v>
      </c>
      <c r="Z9224" s="21">
        <v>0</v>
      </c>
      <c r="AA9224" s="21">
        <v>0</v>
      </c>
      <c r="AB9224" s="21">
        <v>0</v>
      </c>
      <c r="AC9224" s="21">
        <v>0</v>
      </c>
      <c r="AD9224" s="21">
        <v>0</v>
      </c>
      <c r="AE9224" s="21">
        <v>0</v>
      </c>
      <c r="AF9224" s="21">
        <v>0</v>
      </c>
      <c r="AG9224" s="21">
        <v>0</v>
      </c>
      <c r="AH9224" s="21">
        <v>192</v>
      </c>
      <c r="AI9224" s="21"/>
      <c r="AJ9224" s="21" t="s">
        <v>51</v>
      </c>
      <c r="AK9224" s="21" t="s">
        <v>95</v>
      </c>
      <c r="AL9224" s="21" t="s">
        <v>1490</v>
      </c>
      <c r="AM9224" s="21" t="s">
        <v>6355</v>
      </c>
      <c r="AN9224" s="21">
        <v>-122.4250995</v>
      </c>
      <c r="AO9224" s="21">
        <v>37.802157066666602</v>
      </c>
      <c r="AP9224" s="21" t="s">
        <v>951</v>
      </c>
    </row>
    <row r="9225" spans="1:42">
      <c r="A9225" s="20">
        <v>43871</v>
      </c>
      <c r="B9225" s="21">
        <v>1</v>
      </c>
      <c r="C9225" s="21">
        <v>216</v>
      </c>
      <c r="D9225" s="21">
        <v>14656</v>
      </c>
      <c r="E9225" t="s">
        <v>37</v>
      </c>
      <c r="F9225" s="21" t="s">
        <v>436</v>
      </c>
      <c r="G9225" s="21" t="s">
        <v>4270</v>
      </c>
      <c r="H9225" s="21">
        <v>33</v>
      </c>
      <c r="I9225" s="21" t="s">
        <v>2342</v>
      </c>
      <c r="J9225" s="21"/>
      <c r="K9225" s="21" t="s">
        <v>415</v>
      </c>
      <c r="L9225" s="21"/>
      <c r="M9225" s="21"/>
      <c r="N9225" s="21" t="s">
        <v>44</v>
      </c>
      <c r="O9225" s="21">
        <v>184</v>
      </c>
      <c r="P9225" s="21">
        <v>0</v>
      </c>
      <c r="Q9225" s="21">
        <v>2</v>
      </c>
      <c r="R9225" s="21">
        <v>0</v>
      </c>
      <c r="S9225" s="21">
        <v>0</v>
      </c>
      <c r="T9225" s="21">
        <v>0</v>
      </c>
      <c r="U9225" s="21">
        <v>0</v>
      </c>
      <c r="V9225" s="21">
        <v>0</v>
      </c>
      <c r="W9225" s="21">
        <v>2</v>
      </c>
      <c r="X9225" s="21">
        <v>0</v>
      </c>
      <c r="Y9225" s="21">
        <v>0</v>
      </c>
      <c r="Z9225" s="21">
        <v>0</v>
      </c>
      <c r="AA9225" s="21">
        <v>0</v>
      </c>
      <c r="AB9225" s="21">
        <v>0</v>
      </c>
      <c r="AC9225" s="21">
        <v>0</v>
      </c>
      <c r="AD9225" s="21">
        <v>0</v>
      </c>
      <c r="AE9225" s="21">
        <v>0</v>
      </c>
      <c r="AF9225" s="21">
        <v>0</v>
      </c>
      <c r="AG9225" s="21">
        <v>0</v>
      </c>
      <c r="AH9225" s="21">
        <v>192</v>
      </c>
      <c r="AI9225" s="21"/>
      <c r="AJ9225" s="21" t="s">
        <v>51</v>
      </c>
      <c r="AK9225" s="21" t="s">
        <v>95</v>
      </c>
      <c r="AL9225" s="21" t="s">
        <v>6356</v>
      </c>
      <c r="AM9225" s="21" t="s">
        <v>6357</v>
      </c>
      <c r="AN9225" s="21">
        <v>-122.425079266667</v>
      </c>
      <c r="AO9225" s="21">
        <v>37.802201066666697</v>
      </c>
      <c r="AP9225" s="21" t="s">
        <v>951</v>
      </c>
    </row>
    <row r="9226" spans="1:42">
      <c r="A9226" s="20">
        <v>43871</v>
      </c>
      <c r="B9226" s="21">
        <v>1</v>
      </c>
      <c r="C9226" s="21">
        <v>216</v>
      </c>
      <c r="D9226" s="21">
        <v>14656</v>
      </c>
      <c r="E9226" t="s">
        <v>37</v>
      </c>
      <c r="F9226" s="21" t="s">
        <v>436</v>
      </c>
      <c r="G9226" s="21" t="s">
        <v>4270</v>
      </c>
      <c r="H9226" s="21">
        <v>34</v>
      </c>
      <c r="I9226" s="21" t="s">
        <v>6358</v>
      </c>
      <c r="J9226" s="21"/>
      <c r="K9226" s="21" t="s">
        <v>415</v>
      </c>
      <c r="L9226" s="21"/>
      <c r="M9226" s="21"/>
      <c r="N9226" s="21" t="s">
        <v>44</v>
      </c>
      <c r="O9226" s="21">
        <v>190</v>
      </c>
      <c r="P9226" s="21">
        <v>0</v>
      </c>
      <c r="Q9226" s="21">
        <v>4</v>
      </c>
      <c r="R9226" s="21">
        <v>0</v>
      </c>
      <c r="S9226" s="21">
        <v>0</v>
      </c>
      <c r="T9226" s="21">
        <v>0</v>
      </c>
      <c r="U9226" s="21">
        <v>0</v>
      </c>
      <c r="V9226" s="21">
        <v>4</v>
      </c>
      <c r="W9226" s="21">
        <v>0</v>
      </c>
      <c r="X9226" s="21">
        <v>0</v>
      </c>
      <c r="Y9226" s="21">
        <v>0</v>
      </c>
      <c r="Z9226" s="21">
        <v>0</v>
      </c>
      <c r="AA9226" s="21">
        <v>0</v>
      </c>
      <c r="AB9226" s="21">
        <v>0</v>
      </c>
      <c r="AC9226" s="21">
        <v>0</v>
      </c>
      <c r="AD9226" s="21">
        <v>0</v>
      </c>
      <c r="AE9226" s="21">
        <v>0</v>
      </c>
      <c r="AF9226" s="21">
        <v>0</v>
      </c>
      <c r="AG9226" s="21">
        <v>0</v>
      </c>
      <c r="AH9226" s="21">
        <v>256</v>
      </c>
      <c r="AI9226" s="21"/>
      <c r="AJ9226" s="21" t="s">
        <v>51</v>
      </c>
      <c r="AK9226" s="21" t="s">
        <v>52</v>
      </c>
      <c r="AL9226" s="21"/>
      <c r="AM9226" s="21" t="s">
        <v>6359</v>
      </c>
      <c r="AN9226" s="21">
        <v>-122.424788983333</v>
      </c>
      <c r="AO9226" s="21">
        <v>37.801978249999998</v>
      </c>
      <c r="AP9226" s="21" t="s">
        <v>951</v>
      </c>
    </row>
    <row r="9227" spans="1:42">
      <c r="A9227" s="20">
        <v>43871</v>
      </c>
      <c r="B9227" s="21">
        <v>1</v>
      </c>
      <c r="C9227" s="21">
        <v>216</v>
      </c>
      <c r="D9227" s="21">
        <v>14656</v>
      </c>
      <c r="E9227" t="s">
        <v>37</v>
      </c>
      <c r="F9227" s="21" t="s">
        <v>436</v>
      </c>
      <c r="G9227" s="21" t="s">
        <v>4270</v>
      </c>
      <c r="H9227" s="21">
        <v>35</v>
      </c>
      <c r="I9227" s="21" t="s">
        <v>6360</v>
      </c>
      <c r="J9227" s="21"/>
      <c r="K9227" s="21" t="s">
        <v>415</v>
      </c>
      <c r="L9227" s="21"/>
      <c r="M9227" s="21"/>
      <c r="N9227" s="21" t="s">
        <v>44</v>
      </c>
      <c r="O9227" s="21">
        <v>253</v>
      </c>
      <c r="P9227" s="21">
        <v>0</v>
      </c>
      <c r="Q9227" s="21">
        <v>4</v>
      </c>
      <c r="R9227" s="21">
        <v>0</v>
      </c>
      <c r="S9227" s="21">
        <v>0</v>
      </c>
      <c r="T9227" s="21">
        <v>0</v>
      </c>
      <c r="U9227" s="21">
        <v>0</v>
      </c>
      <c r="V9227" s="21">
        <v>2</v>
      </c>
      <c r="W9227" s="21">
        <v>2</v>
      </c>
      <c r="X9227" s="21">
        <v>0</v>
      </c>
      <c r="Y9227" s="21">
        <v>0</v>
      </c>
      <c r="Z9227" s="21">
        <v>0</v>
      </c>
      <c r="AA9227" s="21">
        <v>0</v>
      </c>
      <c r="AB9227" s="21">
        <v>0</v>
      </c>
      <c r="AC9227" s="21">
        <v>0</v>
      </c>
      <c r="AD9227" s="21">
        <v>0</v>
      </c>
      <c r="AE9227" s="21">
        <v>0</v>
      </c>
      <c r="AF9227" s="21">
        <v>0</v>
      </c>
      <c r="AG9227" s="21">
        <v>0</v>
      </c>
      <c r="AH9227" s="21">
        <v>320</v>
      </c>
      <c r="AI9227" s="21"/>
      <c r="AJ9227" s="21" t="s">
        <v>51</v>
      </c>
      <c r="AK9227" s="21" t="s">
        <v>95</v>
      </c>
      <c r="AL9227" s="21" t="s">
        <v>6361</v>
      </c>
      <c r="AM9227" s="21" t="s">
        <v>6362</v>
      </c>
      <c r="AN9227" s="21">
        <v>-122.424687983333</v>
      </c>
      <c r="AO9227" s="21">
        <v>37.801677233333301</v>
      </c>
      <c r="AP9227" s="21" t="s">
        <v>951</v>
      </c>
    </row>
    <row r="9228" spans="1:42">
      <c r="A9228" s="20">
        <v>43871</v>
      </c>
      <c r="B9228" s="21">
        <v>1</v>
      </c>
      <c r="C9228" s="21">
        <v>216</v>
      </c>
      <c r="D9228" s="21">
        <v>14656</v>
      </c>
      <c r="E9228" t="s">
        <v>37</v>
      </c>
      <c r="F9228" s="21" t="s">
        <v>436</v>
      </c>
      <c r="G9228" s="21" t="s">
        <v>4270</v>
      </c>
      <c r="H9228" s="21">
        <v>36</v>
      </c>
      <c r="I9228" s="21" t="s">
        <v>6363</v>
      </c>
      <c r="J9228" s="21"/>
      <c r="K9228" s="21" t="s">
        <v>415</v>
      </c>
      <c r="L9228" s="21"/>
      <c r="M9228" s="21"/>
      <c r="N9228" s="21" t="s">
        <v>44</v>
      </c>
      <c r="O9228" s="21">
        <v>267</v>
      </c>
      <c r="P9228" s="21">
        <v>0</v>
      </c>
      <c r="Q9228" s="21">
        <v>2</v>
      </c>
      <c r="R9228" s="21">
        <v>0</v>
      </c>
      <c r="S9228" s="21">
        <v>0</v>
      </c>
      <c r="T9228" s="21">
        <v>0</v>
      </c>
      <c r="U9228" s="21">
        <v>0</v>
      </c>
      <c r="V9228" s="21">
        <v>0</v>
      </c>
      <c r="W9228" s="21">
        <v>2</v>
      </c>
      <c r="X9228" s="21">
        <v>0</v>
      </c>
      <c r="Y9228" s="21">
        <v>0</v>
      </c>
      <c r="Z9228" s="21">
        <v>0</v>
      </c>
      <c r="AA9228" s="21">
        <v>0</v>
      </c>
      <c r="AB9228" s="21">
        <v>0</v>
      </c>
      <c r="AC9228" s="21">
        <v>0</v>
      </c>
      <c r="AD9228" s="21">
        <v>0</v>
      </c>
      <c r="AE9228" s="21">
        <v>0</v>
      </c>
      <c r="AF9228" s="21">
        <v>0</v>
      </c>
      <c r="AG9228" s="21">
        <v>0</v>
      </c>
      <c r="AH9228" s="21">
        <v>192</v>
      </c>
      <c r="AI9228" s="21"/>
      <c r="AJ9228" s="21" t="s">
        <v>51</v>
      </c>
      <c r="AK9228" s="21" t="s">
        <v>95</v>
      </c>
      <c r="AL9228" s="21" t="s">
        <v>6364</v>
      </c>
      <c r="AM9228" s="21" t="s">
        <v>6365</v>
      </c>
      <c r="AN9228" s="21">
        <v>-122.424663083333</v>
      </c>
      <c r="AO9228" s="21">
        <v>37.801529333333299</v>
      </c>
      <c r="AP9228" s="21" t="s">
        <v>951</v>
      </c>
    </row>
    <row r="9229" spans="1:42">
      <c r="A9229" s="20">
        <v>43871</v>
      </c>
      <c r="B9229" s="21">
        <v>1</v>
      </c>
      <c r="C9229" s="21">
        <v>216</v>
      </c>
      <c r="D9229" s="21">
        <v>14656</v>
      </c>
      <c r="E9229" t="s">
        <v>37</v>
      </c>
      <c r="F9229" s="21" t="s">
        <v>436</v>
      </c>
      <c r="G9229" s="21" t="s">
        <v>4270</v>
      </c>
      <c r="H9229" s="21">
        <v>37</v>
      </c>
      <c r="I9229" s="21" t="s">
        <v>6366</v>
      </c>
      <c r="J9229" s="21"/>
      <c r="K9229" s="21" t="s">
        <v>415</v>
      </c>
      <c r="L9229" s="21"/>
      <c r="M9229" s="21"/>
      <c r="N9229" s="21" t="s">
        <v>44</v>
      </c>
      <c r="O9229" s="21">
        <v>120</v>
      </c>
      <c r="P9229" s="21">
        <v>0</v>
      </c>
      <c r="Q9229" s="21">
        <v>2</v>
      </c>
      <c r="R9229" s="21">
        <v>0</v>
      </c>
      <c r="S9229" s="21">
        <v>0</v>
      </c>
      <c r="T9229" s="21">
        <v>0</v>
      </c>
      <c r="U9229" s="21">
        <v>0</v>
      </c>
      <c r="V9229" s="21">
        <v>0</v>
      </c>
      <c r="W9229" s="21">
        <v>2</v>
      </c>
      <c r="X9229" s="21">
        <v>0</v>
      </c>
      <c r="Y9229" s="21">
        <v>0</v>
      </c>
      <c r="Z9229" s="21">
        <v>0</v>
      </c>
      <c r="AA9229" s="21">
        <v>0</v>
      </c>
      <c r="AB9229" s="21">
        <v>0</v>
      </c>
      <c r="AC9229" s="21">
        <v>0</v>
      </c>
      <c r="AD9229" s="21">
        <v>0</v>
      </c>
      <c r="AE9229" s="21">
        <v>0</v>
      </c>
      <c r="AF9229" s="21">
        <v>0</v>
      </c>
      <c r="AG9229" s="21">
        <v>0</v>
      </c>
      <c r="AH9229" s="21">
        <v>192</v>
      </c>
      <c r="AI9229" s="21"/>
      <c r="AJ9229" s="21" t="s">
        <v>51</v>
      </c>
      <c r="AK9229" s="21" t="s">
        <v>95</v>
      </c>
      <c r="AL9229" s="21"/>
      <c r="AM9229" s="21" t="s">
        <v>6367</v>
      </c>
      <c r="AN9229" s="21">
        <v>-122.42493873333299</v>
      </c>
      <c r="AO9229" s="21">
        <v>37.801390883333397</v>
      </c>
      <c r="AP9229" s="21" t="s">
        <v>951</v>
      </c>
    </row>
    <row r="9230" spans="1:42">
      <c r="A9230" s="20">
        <v>43871</v>
      </c>
      <c r="B9230" s="21">
        <v>1</v>
      </c>
      <c r="C9230" s="21">
        <v>216</v>
      </c>
      <c r="D9230" s="21">
        <v>14656</v>
      </c>
      <c r="E9230" t="s">
        <v>37</v>
      </c>
      <c r="F9230" s="21" t="s">
        <v>436</v>
      </c>
      <c r="G9230" s="21" t="s">
        <v>4270</v>
      </c>
      <c r="H9230" s="21">
        <v>38</v>
      </c>
      <c r="I9230" s="21" t="s">
        <v>2239</v>
      </c>
      <c r="J9230" s="21"/>
      <c r="K9230" s="21" t="s">
        <v>631</v>
      </c>
      <c r="L9230" s="21"/>
      <c r="M9230" s="21"/>
      <c r="N9230" s="21" t="s">
        <v>40</v>
      </c>
      <c r="O9230" s="21">
        <v>96</v>
      </c>
      <c r="P9230" s="21">
        <v>0</v>
      </c>
      <c r="Q9230" s="21">
        <v>1</v>
      </c>
      <c r="R9230" s="21">
        <v>0</v>
      </c>
      <c r="S9230" s="21">
        <v>0</v>
      </c>
      <c r="T9230" s="21">
        <v>0</v>
      </c>
      <c r="U9230" s="21">
        <v>0</v>
      </c>
      <c r="V9230" s="21">
        <v>0</v>
      </c>
      <c r="W9230" s="21">
        <v>1</v>
      </c>
      <c r="X9230" s="21">
        <v>0</v>
      </c>
      <c r="Y9230" s="21">
        <v>0</v>
      </c>
      <c r="Z9230" s="21">
        <v>0</v>
      </c>
      <c r="AA9230" s="21">
        <v>0</v>
      </c>
      <c r="AB9230" s="21">
        <v>0</v>
      </c>
      <c r="AC9230" s="21">
        <v>0</v>
      </c>
      <c r="AD9230" s="21">
        <v>0</v>
      </c>
      <c r="AE9230" s="21">
        <v>0</v>
      </c>
      <c r="AF9230" s="21">
        <v>0</v>
      </c>
      <c r="AG9230" s="21">
        <v>0</v>
      </c>
      <c r="AH9230" s="21">
        <v>96</v>
      </c>
      <c r="AI9230" s="21"/>
      <c r="AJ9230" s="21" t="s">
        <v>51</v>
      </c>
      <c r="AK9230" s="21" t="s">
        <v>52</v>
      </c>
      <c r="AL9230" s="21" t="s">
        <v>6368</v>
      </c>
      <c r="AM9230" s="21" t="s">
        <v>6369</v>
      </c>
      <c r="AN9230" s="21">
        <v>-122.425851266667</v>
      </c>
      <c r="AO9230" s="21">
        <v>37.8012333333333</v>
      </c>
      <c r="AP9230" s="21" t="s">
        <v>951</v>
      </c>
    </row>
    <row r="9231" spans="1:42">
      <c r="A9231" s="20">
        <v>43871</v>
      </c>
      <c r="B9231" s="21">
        <v>1</v>
      </c>
      <c r="C9231" s="21">
        <v>216</v>
      </c>
      <c r="D9231" s="21">
        <v>14656</v>
      </c>
      <c r="E9231" t="s">
        <v>37</v>
      </c>
      <c r="F9231" s="21" t="s">
        <v>436</v>
      </c>
      <c r="G9231" s="21" t="s">
        <v>4270</v>
      </c>
      <c r="H9231" s="21">
        <v>39</v>
      </c>
      <c r="I9231" s="21" t="s">
        <v>6370</v>
      </c>
      <c r="J9231" s="21"/>
      <c r="K9231" s="21" t="s">
        <v>631</v>
      </c>
      <c r="L9231" s="21"/>
      <c r="M9231" s="21"/>
      <c r="N9231" s="21" t="s">
        <v>40</v>
      </c>
      <c r="O9231" s="21">
        <v>104</v>
      </c>
      <c r="P9231" s="21">
        <v>0</v>
      </c>
      <c r="Q9231" s="21">
        <v>1</v>
      </c>
      <c r="R9231" s="21">
        <v>0</v>
      </c>
      <c r="S9231" s="21">
        <v>0</v>
      </c>
      <c r="T9231" s="21">
        <v>0</v>
      </c>
      <c r="U9231" s="21">
        <v>0</v>
      </c>
      <c r="V9231" s="21">
        <v>0</v>
      </c>
      <c r="W9231" s="21">
        <v>1</v>
      </c>
      <c r="X9231" s="21">
        <v>0</v>
      </c>
      <c r="Y9231" s="21">
        <v>0</v>
      </c>
      <c r="Z9231" s="21">
        <v>0</v>
      </c>
      <c r="AA9231" s="21">
        <v>0</v>
      </c>
      <c r="AB9231" s="21">
        <v>0</v>
      </c>
      <c r="AC9231" s="21">
        <v>0</v>
      </c>
      <c r="AD9231" s="21">
        <v>0</v>
      </c>
      <c r="AE9231" s="21">
        <v>0</v>
      </c>
      <c r="AF9231" s="21">
        <v>0</v>
      </c>
      <c r="AG9231" s="21">
        <v>0</v>
      </c>
      <c r="AH9231" s="21">
        <v>96</v>
      </c>
      <c r="AI9231" s="21"/>
      <c r="AJ9231" s="21" t="s">
        <v>51</v>
      </c>
      <c r="AK9231" s="21" t="s">
        <v>95</v>
      </c>
      <c r="AL9231" s="21"/>
      <c r="AM9231" s="21" t="s">
        <v>6371</v>
      </c>
      <c r="AN9231" s="21">
        <v>-122.42635041666701</v>
      </c>
      <c r="AO9231" s="21">
        <v>37.801982516666698</v>
      </c>
      <c r="AP9231" s="21" t="s">
        <v>951</v>
      </c>
    </row>
    <row r="9232" spans="1:42">
      <c r="A9232" s="20">
        <v>43871</v>
      </c>
      <c r="B9232" s="21">
        <v>1</v>
      </c>
      <c r="C9232" s="21">
        <v>216</v>
      </c>
      <c r="D9232" s="21">
        <v>14656</v>
      </c>
      <c r="E9232" t="s">
        <v>37</v>
      </c>
      <c r="F9232" s="21" t="s">
        <v>436</v>
      </c>
      <c r="G9232" s="21" t="s">
        <v>4270</v>
      </c>
      <c r="H9232" s="21">
        <v>40</v>
      </c>
      <c r="I9232" s="21" t="s">
        <v>6372</v>
      </c>
      <c r="J9232" s="21"/>
      <c r="K9232" s="21" t="s">
        <v>631</v>
      </c>
      <c r="L9232" s="21"/>
      <c r="M9232" s="21"/>
      <c r="N9232" s="21" t="s">
        <v>44</v>
      </c>
      <c r="O9232" s="21">
        <v>82</v>
      </c>
      <c r="P9232" s="21">
        <v>0</v>
      </c>
      <c r="Q9232" s="21">
        <v>1</v>
      </c>
      <c r="R9232" s="21">
        <v>0</v>
      </c>
      <c r="S9232" s="21">
        <v>0</v>
      </c>
      <c r="T9232" s="21">
        <v>0</v>
      </c>
      <c r="U9232" s="21">
        <v>0</v>
      </c>
      <c r="V9232" s="21">
        <v>0</v>
      </c>
      <c r="W9232" s="21">
        <v>1</v>
      </c>
      <c r="X9232" s="21">
        <v>0</v>
      </c>
      <c r="Y9232" s="21">
        <v>0</v>
      </c>
      <c r="Z9232" s="21">
        <v>0</v>
      </c>
      <c r="AA9232" s="21">
        <v>0</v>
      </c>
      <c r="AB9232" s="21">
        <v>0</v>
      </c>
      <c r="AC9232" s="21">
        <v>0</v>
      </c>
      <c r="AD9232" s="21">
        <v>0</v>
      </c>
      <c r="AE9232" s="21">
        <v>0</v>
      </c>
      <c r="AF9232" s="21">
        <v>0</v>
      </c>
      <c r="AG9232" s="21">
        <v>0</v>
      </c>
      <c r="AH9232" s="21">
        <v>96</v>
      </c>
      <c r="AI9232" s="21"/>
      <c r="AJ9232" s="21" t="s">
        <v>51</v>
      </c>
      <c r="AK9232" s="21" t="s">
        <v>95</v>
      </c>
      <c r="AL9232" s="21" t="s">
        <v>1377</v>
      </c>
      <c r="AM9232" s="21" t="s">
        <v>6373</v>
      </c>
      <c r="AN9232" s="21">
        <v>-122.42647378333299</v>
      </c>
      <c r="AO9232" s="21">
        <v>37.8026217166667</v>
      </c>
      <c r="AP9232" s="21" t="s">
        <v>951</v>
      </c>
    </row>
    <row r="9233" spans="1:42">
      <c r="A9233" s="20">
        <v>43871</v>
      </c>
      <c r="B9233" s="21">
        <v>1</v>
      </c>
      <c r="C9233" s="21">
        <v>216</v>
      </c>
      <c r="D9233" s="21">
        <v>14656</v>
      </c>
      <c r="E9233" t="s">
        <v>37</v>
      </c>
      <c r="F9233" s="21" t="s">
        <v>436</v>
      </c>
      <c r="G9233" s="21" t="s">
        <v>4270</v>
      </c>
      <c r="H9233" s="21">
        <v>41</v>
      </c>
      <c r="I9233" s="21" t="s">
        <v>6374</v>
      </c>
      <c r="J9233" s="21"/>
      <c r="K9233" s="21" t="s">
        <v>631</v>
      </c>
      <c r="L9233" s="21"/>
      <c r="M9233" s="21" t="s">
        <v>95</v>
      </c>
      <c r="N9233" s="21" t="s">
        <v>44</v>
      </c>
      <c r="O9233" s="21">
        <v>87</v>
      </c>
      <c r="P9233" s="21">
        <v>0</v>
      </c>
      <c r="Q9233" s="21">
        <v>1</v>
      </c>
      <c r="R9233" s="21">
        <v>0</v>
      </c>
      <c r="S9233" s="21">
        <v>0</v>
      </c>
      <c r="T9233" s="21">
        <v>0</v>
      </c>
      <c r="U9233" s="21">
        <v>0</v>
      </c>
      <c r="V9233" s="21">
        <v>0</v>
      </c>
      <c r="W9233" s="21">
        <v>1</v>
      </c>
      <c r="X9233" s="21">
        <v>0</v>
      </c>
      <c r="Y9233" s="21">
        <v>0</v>
      </c>
      <c r="Z9233" s="21">
        <v>0</v>
      </c>
      <c r="AA9233" s="21">
        <v>0</v>
      </c>
      <c r="AB9233" s="21">
        <v>0</v>
      </c>
      <c r="AC9233" s="21">
        <v>0</v>
      </c>
      <c r="AD9233" s="21">
        <v>0</v>
      </c>
      <c r="AE9233" s="21">
        <v>0</v>
      </c>
      <c r="AF9233" s="21">
        <v>0</v>
      </c>
      <c r="AG9233" s="21">
        <v>0</v>
      </c>
      <c r="AH9233" s="21">
        <v>96</v>
      </c>
      <c r="AI9233" s="21"/>
      <c r="AJ9233" s="21" t="s">
        <v>51</v>
      </c>
      <c r="AK9233" s="21" t="s">
        <v>95</v>
      </c>
      <c r="AL9233" s="21"/>
      <c r="AM9233" s="21" t="s">
        <v>6375</v>
      </c>
      <c r="AN9233" s="21">
        <v>-122.426458183333</v>
      </c>
      <c r="AO9233" s="21">
        <v>37.802605450000001</v>
      </c>
      <c r="AP9233" s="21" t="s">
        <v>951</v>
      </c>
    </row>
    <row r="9234" spans="1:42">
      <c r="A9234" s="20">
        <v>43871</v>
      </c>
      <c r="B9234" s="21">
        <v>1</v>
      </c>
      <c r="C9234" s="21">
        <v>216</v>
      </c>
      <c r="D9234" s="21">
        <v>14656</v>
      </c>
      <c r="E9234" t="s">
        <v>37</v>
      </c>
      <c r="F9234" s="21" t="s">
        <v>436</v>
      </c>
      <c r="G9234" s="21" t="s">
        <v>4270</v>
      </c>
      <c r="H9234" s="21">
        <v>42</v>
      </c>
      <c r="I9234" s="21" t="s">
        <v>2296</v>
      </c>
      <c r="J9234" s="21"/>
      <c r="K9234" s="21" t="s">
        <v>631</v>
      </c>
      <c r="L9234" s="21"/>
      <c r="M9234" s="21"/>
      <c r="N9234" s="21" t="s">
        <v>44</v>
      </c>
      <c r="O9234" s="21">
        <v>92</v>
      </c>
      <c r="P9234" s="21">
        <v>0</v>
      </c>
      <c r="Q9234" s="21">
        <v>1</v>
      </c>
      <c r="R9234" s="21">
        <v>0</v>
      </c>
      <c r="S9234" s="21">
        <v>0</v>
      </c>
      <c r="T9234" s="21">
        <v>0</v>
      </c>
      <c r="U9234" s="21">
        <v>0</v>
      </c>
      <c r="V9234" s="21">
        <v>0</v>
      </c>
      <c r="W9234" s="21">
        <v>1</v>
      </c>
      <c r="X9234" s="21">
        <v>0</v>
      </c>
      <c r="Y9234" s="21">
        <v>0</v>
      </c>
      <c r="Z9234" s="21">
        <v>0</v>
      </c>
      <c r="AA9234" s="21">
        <v>0</v>
      </c>
      <c r="AB9234" s="21">
        <v>0</v>
      </c>
      <c r="AC9234" s="21">
        <v>0</v>
      </c>
      <c r="AD9234" s="21">
        <v>0</v>
      </c>
      <c r="AE9234" s="21">
        <v>0</v>
      </c>
      <c r="AF9234" s="21">
        <v>0</v>
      </c>
      <c r="AG9234" s="21">
        <v>0</v>
      </c>
      <c r="AH9234" s="21">
        <v>96</v>
      </c>
      <c r="AI9234" s="21"/>
      <c r="AJ9234" s="21" t="s">
        <v>51</v>
      </c>
      <c r="AK9234" s="21" t="s">
        <v>95</v>
      </c>
      <c r="AL9234" s="21" t="s">
        <v>1404</v>
      </c>
      <c r="AM9234" s="21" t="s">
        <v>6376</v>
      </c>
      <c r="AN9234" s="21">
        <v>-122.426517283333</v>
      </c>
      <c r="AO9234" s="21">
        <v>37.802777616666702</v>
      </c>
      <c r="AP9234" s="21" t="s">
        <v>951</v>
      </c>
    </row>
    <row r="9235" spans="1:42">
      <c r="A9235" s="20">
        <v>43871</v>
      </c>
      <c r="B9235" s="21">
        <v>1</v>
      </c>
      <c r="C9235" s="21">
        <v>216</v>
      </c>
      <c r="D9235" s="21">
        <v>14656</v>
      </c>
      <c r="E9235" t="s">
        <v>37</v>
      </c>
      <c r="F9235" s="21" t="s">
        <v>436</v>
      </c>
      <c r="G9235" s="21" t="s">
        <v>4270</v>
      </c>
      <c r="H9235" s="21">
        <v>43</v>
      </c>
      <c r="I9235" s="21" t="s">
        <v>6377</v>
      </c>
      <c r="J9235" s="21"/>
      <c r="K9235" s="21" t="s">
        <v>631</v>
      </c>
      <c r="L9235" s="21"/>
      <c r="M9235" s="21" t="s">
        <v>95</v>
      </c>
      <c r="N9235" s="21" t="s">
        <v>40</v>
      </c>
      <c r="O9235" s="21">
        <v>122</v>
      </c>
      <c r="P9235" s="21">
        <v>0</v>
      </c>
      <c r="Q9235" s="21">
        <v>2</v>
      </c>
      <c r="R9235" s="21">
        <v>0</v>
      </c>
      <c r="S9235" s="21">
        <v>0</v>
      </c>
      <c r="T9235" s="21">
        <v>0</v>
      </c>
      <c r="U9235" s="21">
        <v>0</v>
      </c>
      <c r="V9235" s="21">
        <v>0</v>
      </c>
      <c r="W9235" s="21">
        <v>2</v>
      </c>
      <c r="X9235" s="21">
        <v>0</v>
      </c>
      <c r="Y9235" s="21">
        <v>0</v>
      </c>
      <c r="Z9235" s="21">
        <v>0</v>
      </c>
      <c r="AA9235" s="21">
        <v>0</v>
      </c>
      <c r="AB9235" s="21">
        <v>0</v>
      </c>
      <c r="AC9235" s="21">
        <v>0</v>
      </c>
      <c r="AD9235" s="21">
        <v>0</v>
      </c>
      <c r="AE9235" s="21">
        <v>0</v>
      </c>
      <c r="AF9235" s="21">
        <v>0</v>
      </c>
      <c r="AG9235" s="21">
        <v>0</v>
      </c>
      <c r="AH9235" s="21">
        <v>192</v>
      </c>
      <c r="AI9235" s="21"/>
      <c r="AJ9235" s="21" t="s">
        <v>51</v>
      </c>
      <c r="AK9235" s="21" t="s">
        <v>95</v>
      </c>
      <c r="AL9235" s="21"/>
      <c r="AM9235" s="21" t="s">
        <v>6378</v>
      </c>
      <c r="AN9235" s="21">
        <v>-122.426492916667</v>
      </c>
      <c r="AO9235" s="21">
        <v>37.802776066666702</v>
      </c>
      <c r="AP9235" s="21" t="s">
        <v>951</v>
      </c>
    </row>
    <row r="9236" spans="1:42">
      <c r="A9236" s="20">
        <v>43871</v>
      </c>
      <c r="B9236" s="21">
        <v>1</v>
      </c>
      <c r="C9236" s="21">
        <v>216</v>
      </c>
      <c r="D9236" s="21">
        <v>14656</v>
      </c>
      <c r="E9236" t="s">
        <v>37</v>
      </c>
      <c r="F9236" s="21" t="s">
        <v>436</v>
      </c>
      <c r="G9236" s="21" t="s">
        <v>4270</v>
      </c>
      <c r="H9236" s="21">
        <v>44</v>
      </c>
      <c r="I9236" s="21" t="s">
        <v>6379</v>
      </c>
      <c r="J9236" s="21"/>
      <c r="K9236" s="21" t="s">
        <v>631</v>
      </c>
      <c r="L9236" s="21"/>
      <c r="M9236" s="21"/>
      <c r="N9236" s="21" t="s">
        <v>44</v>
      </c>
      <c r="O9236" s="21">
        <v>134</v>
      </c>
      <c r="P9236" s="21">
        <v>0</v>
      </c>
      <c r="Q9236" s="21">
        <v>2</v>
      </c>
      <c r="R9236" s="21">
        <v>0</v>
      </c>
      <c r="S9236" s="21">
        <v>0</v>
      </c>
      <c r="T9236" s="21">
        <v>0</v>
      </c>
      <c r="U9236" s="21">
        <v>0</v>
      </c>
      <c r="V9236" s="21">
        <v>0</v>
      </c>
      <c r="W9236" s="21">
        <v>2</v>
      </c>
      <c r="X9236" s="21">
        <v>0</v>
      </c>
      <c r="Y9236" s="21">
        <v>0</v>
      </c>
      <c r="Z9236" s="21">
        <v>0</v>
      </c>
      <c r="AA9236" s="21">
        <v>0</v>
      </c>
      <c r="AB9236" s="21">
        <v>0</v>
      </c>
      <c r="AC9236" s="21">
        <v>0</v>
      </c>
      <c r="AD9236" s="21">
        <v>0</v>
      </c>
      <c r="AE9236" s="21">
        <v>0</v>
      </c>
      <c r="AF9236" s="21">
        <v>0</v>
      </c>
      <c r="AG9236" s="21">
        <v>0</v>
      </c>
      <c r="AH9236" s="21">
        <v>192</v>
      </c>
      <c r="AI9236" s="21"/>
      <c r="AJ9236" s="21" t="s">
        <v>51</v>
      </c>
      <c r="AK9236" s="21" t="s">
        <v>52</v>
      </c>
      <c r="AL9236" s="21" t="s">
        <v>1566</v>
      </c>
      <c r="AM9236" s="21" t="s">
        <v>6380</v>
      </c>
      <c r="AN9236" s="21">
        <v>-122.426710583333</v>
      </c>
      <c r="AO9236" s="21">
        <v>37.803777733333298</v>
      </c>
      <c r="AP9236" s="21" t="s">
        <v>951</v>
      </c>
    </row>
    <row r="9237" spans="1:42">
      <c r="A9237" s="20">
        <v>43871</v>
      </c>
      <c r="B9237" s="21">
        <v>1</v>
      </c>
      <c r="C9237" s="21">
        <v>216</v>
      </c>
      <c r="D9237" s="21">
        <v>14656</v>
      </c>
      <c r="E9237" t="s">
        <v>37</v>
      </c>
      <c r="F9237" s="21" t="s">
        <v>436</v>
      </c>
      <c r="G9237" s="21" t="s">
        <v>4270</v>
      </c>
      <c r="H9237" s="21">
        <v>45</v>
      </c>
      <c r="I9237" s="21" t="s">
        <v>6381</v>
      </c>
      <c r="J9237" s="21"/>
      <c r="K9237" s="21" t="s">
        <v>631</v>
      </c>
      <c r="L9237" s="21"/>
      <c r="M9237" s="21" t="s">
        <v>95</v>
      </c>
      <c r="N9237" s="21" t="s">
        <v>44</v>
      </c>
      <c r="O9237" s="21">
        <v>187</v>
      </c>
      <c r="P9237" s="21">
        <v>0</v>
      </c>
      <c r="Q9237" s="21">
        <v>2</v>
      </c>
      <c r="R9237" s="21">
        <v>0</v>
      </c>
      <c r="S9237" s="21">
        <v>0</v>
      </c>
      <c r="T9237" s="21">
        <v>0</v>
      </c>
      <c r="U9237" s="21">
        <v>0</v>
      </c>
      <c r="V9237" s="21">
        <v>0</v>
      </c>
      <c r="W9237" s="21">
        <v>2</v>
      </c>
      <c r="X9237" s="21">
        <v>0</v>
      </c>
      <c r="Y9237" s="21">
        <v>0</v>
      </c>
      <c r="Z9237" s="21">
        <v>0</v>
      </c>
      <c r="AA9237" s="21">
        <v>0</v>
      </c>
      <c r="AB9237" s="21">
        <v>0</v>
      </c>
      <c r="AC9237" s="21">
        <v>0</v>
      </c>
      <c r="AD9237" s="21">
        <v>0</v>
      </c>
      <c r="AE9237" s="21">
        <v>0</v>
      </c>
      <c r="AF9237" s="21">
        <v>0</v>
      </c>
      <c r="AG9237" s="21">
        <v>0</v>
      </c>
      <c r="AH9237" s="21">
        <v>192</v>
      </c>
      <c r="AI9237" s="21"/>
      <c r="AJ9237" s="21" t="s">
        <v>51</v>
      </c>
      <c r="AK9237" s="21" t="s">
        <v>95</v>
      </c>
      <c r="AL9237" s="21" t="s">
        <v>6382</v>
      </c>
      <c r="AM9237" s="21" t="s">
        <v>6383</v>
      </c>
      <c r="AN9237" s="21">
        <v>-122.426725316667</v>
      </c>
      <c r="AO9237" s="21">
        <v>37.803769316666703</v>
      </c>
      <c r="AP9237" s="21" t="s">
        <v>951</v>
      </c>
    </row>
    <row r="9238" spans="1:42">
      <c r="A9238" s="20">
        <v>43871</v>
      </c>
      <c r="B9238" s="21">
        <v>1</v>
      </c>
      <c r="C9238" s="21">
        <v>216</v>
      </c>
      <c r="D9238" s="21">
        <v>14656</v>
      </c>
      <c r="E9238" t="s">
        <v>37</v>
      </c>
      <c r="F9238" s="21" t="s">
        <v>436</v>
      </c>
      <c r="G9238" s="21" t="s">
        <v>4270</v>
      </c>
      <c r="H9238" s="21">
        <v>46</v>
      </c>
      <c r="I9238" s="21" t="s">
        <v>6384</v>
      </c>
      <c r="J9238" s="21"/>
      <c r="K9238" s="21" t="s">
        <v>1122</v>
      </c>
      <c r="L9238" s="21"/>
      <c r="M9238" s="21"/>
      <c r="N9238" s="21" t="s">
        <v>44</v>
      </c>
      <c r="O9238" s="21">
        <v>179</v>
      </c>
      <c r="P9238" s="21">
        <v>0</v>
      </c>
      <c r="Q9238" s="21">
        <v>2</v>
      </c>
      <c r="R9238" s="21">
        <v>0</v>
      </c>
      <c r="S9238" s="21">
        <v>0</v>
      </c>
      <c r="T9238" s="21">
        <v>0</v>
      </c>
      <c r="U9238" s="21">
        <v>0</v>
      </c>
      <c r="V9238" s="21">
        <v>0</v>
      </c>
      <c r="W9238" s="21">
        <v>2</v>
      </c>
      <c r="X9238" s="21">
        <v>0</v>
      </c>
      <c r="Y9238" s="21">
        <v>0</v>
      </c>
      <c r="Z9238" s="21">
        <v>0</v>
      </c>
      <c r="AA9238" s="21">
        <v>0</v>
      </c>
      <c r="AB9238" s="21">
        <v>0</v>
      </c>
      <c r="AC9238" s="21">
        <v>0</v>
      </c>
      <c r="AD9238" s="21">
        <v>0</v>
      </c>
      <c r="AE9238" s="21">
        <v>0</v>
      </c>
      <c r="AF9238" s="21">
        <v>0</v>
      </c>
      <c r="AG9238" s="21">
        <v>0</v>
      </c>
      <c r="AH9238" s="21">
        <v>192</v>
      </c>
      <c r="AI9238" s="21"/>
      <c r="AJ9238" s="21" t="s">
        <v>51</v>
      </c>
      <c r="AK9238" s="21" t="s">
        <v>95</v>
      </c>
      <c r="AL9238" s="21" t="s">
        <v>6385</v>
      </c>
      <c r="AM9238" s="21" t="s">
        <v>6386</v>
      </c>
      <c r="AN9238" s="21">
        <v>-122.426402551788</v>
      </c>
      <c r="AO9238" s="21">
        <v>37.802206309965698</v>
      </c>
      <c r="AP9238" s="21" t="s">
        <v>951</v>
      </c>
    </row>
    <row r="9239" spans="1:42">
      <c r="A9239" s="20">
        <v>43871</v>
      </c>
      <c r="B9239" s="21">
        <v>1</v>
      </c>
      <c r="C9239" s="21">
        <v>216</v>
      </c>
      <c r="D9239" s="21">
        <v>14656</v>
      </c>
      <c r="E9239" t="s">
        <v>37</v>
      </c>
      <c r="F9239" s="21" t="s">
        <v>436</v>
      </c>
      <c r="G9239" s="21" t="s">
        <v>4270</v>
      </c>
      <c r="H9239" s="21">
        <v>47</v>
      </c>
      <c r="I9239" s="21" t="s">
        <v>6387</v>
      </c>
      <c r="J9239" s="21"/>
      <c r="K9239" s="21" t="s">
        <v>1122</v>
      </c>
      <c r="L9239" s="21"/>
      <c r="M9239" s="21"/>
      <c r="N9239" s="21" t="s">
        <v>44</v>
      </c>
      <c r="O9239" s="21">
        <v>169</v>
      </c>
      <c r="P9239" s="21">
        <v>0</v>
      </c>
      <c r="Q9239" s="21">
        <v>2</v>
      </c>
      <c r="R9239" s="21">
        <v>0</v>
      </c>
      <c r="S9239" s="21">
        <v>0</v>
      </c>
      <c r="T9239" s="21">
        <v>0</v>
      </c>
      <c r="U9239" s="21">
        <v>0</v>
      </c>
      <c r="V9239" s="21">
        <v>0</v>
      </c>
      <c r="W9239" s="21">
        <v>2</v>
      </c>
      <c r="X9239" s="21">
        <v>0</v>
      </c>
      <c r="Y9239" s="21">
        <v>0</v>
      </c>
      <c r="Z9239" s="21">
        <v>0</v>
      </c>
      <c r="AA9239" s="21">
        <v>0</v>
      </c>
      <c r="AB9239" s="21">
        <v>0</v>
      </c>
      <c r="AC9239" s="21">
        <v>0</v>
      </c>
      <c r="AD9239" s="21">
        <v>0</v>
      </c>
      <c r="AE9239" s="21">
        <v>0</v>
      </c>
      <c r="AF9239" s="21">
        <v>0</v>
      </c>
      <c r="AG9239" s="21">
        <v>0</v>
      </c>
      <c r="AH9239" s="21">
        <v>192</v>
      </c>
      <c r="AI9239" s="21"/>
      <c r="AJ9239" s="21" t="s">
        <v>51</v>
      </c>
      <c r="AK9239" s="21" t="s">
        <v>95</v>
      </c>
      <c r="AL9239" s="21"/>
      <c r="AM9239" s="21" t="s">
        <v>6388</v>
      </c>
      <c r="AN9239" s="21">
        <v>-122.425817283333</v>
      </c>
      <c r="AO9239" s="21">
        <v>37.803998183333299</v>
      </c>
      <c r="AP9239" s="21" t="s">
        <v>951</v>
      </c>
    </row>
    <row r="9240" spans="1:42">
      <c r="A9240" s="20">
        <v>43871</v>
      </c>
      <c r="B9240" s="21">
        <v>1</v>
      </c>
      <c r="C9240" s="21">
        <v>216</v>
      </c>
      <c r="D9240" s="21">
        <v>14656</v>
      </c>
      <c r="E9240" t="s">
        <v>37</v>
      </c>
      <c r="F9240" s="21" t="s">
        <v>436</v>
      </c>
      <c r="G9240" s="21" t="s">
        <v>4270</v>
      </c>
      <c r="H9240" s="21">
        <v>48</v>
      </c>
      <c r="I9240" s="21" t="s">
        <v>6389</v>
      </c>
      <c r="J9240" s="21"/>
      <c r="K9240" s="21" t="s">
        <v>1122</v>
      </c>
      <c r="L9240" s="21"/>
      <c r="M9240" s="21"/>
      <c r="N9240" s="21" t="s">
        <v>44</v>
      </c>
      <c r="O9240" s="21">
        <v>173</v>
      </c>
      <c r="P9240" s="21">
        <v>0</v>
      </c>
      <c r="Q9240" s="21">
        <v>2</v>
      </c>
      <c r="R9240" s="21">
        <v>0</v>
      </c>
      <c r="S9240" s="21">
        <v>0</v>
      </c>
      <c r="T9240" s="21">
        <v>0</v>
      </c>
      <c r="U9240" s="21">
        <v>0</v>
      </c>
      <c r="V9240" s="21">
        <v>0</v>
      </c>
      <c r="W9240" s="21">
        <v>2</v>
      </c>
      <c r="X9240" s="21">
        <v>0</v>
      </c>
      <c r="Y9240" s="21">
        <v>0</v>
      </c>
      <c r="Z9240" s="21">
        <v>0</v>
      </c>
      <c r="AA9240" s="21">
        <v>0</v>
      </c>
      <c r="AB9240" s="21">
        <v>0</v>
      </c>
      <c r="AC9240" s="21">
        <v>0</v>
      </c>
      <c r="AD9240" s="21">
        <v>0</v>
      </c>
      <c r="AE9240" s="21">
        <v>0</v>
      </c>
      <c r="AF9240" s="21">
        <v>0</v>
      </c>
      <c r="AG9240" s="21">
        <v>0</v>
      </c>
      <c r="AH9240" s="21">
        <v>192</v>
      </c>
      <c r="AI9240" s="21"/>
      <c r="AJ9240" s="21" t="s">
        <v>51</v>
      </c>
      <c r="AK9240" s="21" t="s">
        <v>95</v>
      </c>
      <c r="AL9240" s="21"/>
      <c r="AM9240" s="21" t="s">
        <v>6390</v>
      </c>
      <c r="AN9240" s="21">
        <v>-122.42556266666701</v>
      </c>
      <c r="AO9240" s="21">
        <v>37.803988316666697</v>
      </c>
      <c r="AP9240" s="21" t="s">
        <v>951</v>
      </c>
    </row>
    <row r="9241" spans="1:42">
      <c r="A9241" s="20">
        <v>43871</v>
      </c>
      <c r="B9241" s="21">
        <v>1</v>
      </c>
      <c r="C9241" s="21">
        <v>216</v>
      </c>
      <c r="D9241" s="21">
        <v>14656</v>
      </c>
      <c r="E9241" t="s">
        <v>37</v>
      </c>
      <c r="F9241" s="21" t="s">
        <v>436</v>
      </c>
      <c r="G9241" s="21" t="s">
        <v>4270</v>
      </c>
      <c r="H9241" s="21">
        <v>49</v>
      </c>
      <c r="I9241" s="21" t="s">
        <v>6391</v>
      </c>
      <c r="J9241" s="21"/>
      <c r="K9241" s="21" t="s">
        <v>415</v>
      </c>
      <c r="L9241" s="21"/>
      <c r="M9241" s="21"/>
      <c r="N9241" s="21" t="s">
        <v>44</v>
      </c>
      <c r="O9241" s="21">
        <v>102</v>
      </c>
      <c r="P9241" s="21">
        <v>0</v>
      </c>
      <c r="Q9241" s="21">
        <v>1</v>
      </c>
      <c r="R9241" s="21">
        <v>0</v>
      </c>
      <c r="S9241" s="21">
        <v>0</v>
      </c>
      <c r="T9241" s="21">
        <v>0</v>
      </c>
      <c r="U9241" s="21">
        <v>0</v>
      </c>
      <c r="V9241" s="21">
        <v>0</v>
      </c>
      <c r="W9241" s="21">
        <v>1</v>
      </c>
      <c r="X9241" s="21">
        <v>0</v>
      </c>
      <c r="Y9241" s="21">
        <v>0</v>
      </c>
      <c r="Z9241" s="21">
        <v>0</v>
      </c>
      <c r="AA9241" s="21">
        <v>0</v>
      </c>
      <c r="AB9241" s="21">
        <v>0</v>
      </c>
      <c r="AC9241" s="21">
        <v>0</v>
      </c>
      <c r="AD9241" s="21">
        <v>0</v>
      </c>
      <c r="AE9241" s="21">
        <v>0</v>
      </c>
      <c r="AF9241" s="21">
        <v>0</v>
      </c>
      <c r="AG9241" s="21">
        <v>0</v>
      </c>
      <c r="AH9241" s="21">
        <v>96</v>
      </c>
      <c r="AI9241" s="21"/>
      <c r="AJ9241" s="21" t="s">
        <v>51</v>
      </c>
      <c r="AK9241" s="21" t="s">
        <v>95</v>
      </c>
      <c r="AL9241" s="21"/>
      <c r="AM9241" s="21" t="s">
        <v>6392</v>
      </c>
      <c r="AN9241" s="21">
        <v>-122.425071816667</v>
      </c>
      <c r="AO9241" s="21">
        <v>37.803652450000001</v>
      </c>
      <c r="AP9241" s="21" t="s">
        <v>951</v>
      </c>
    </row>
    <row r="9242" spans="1:42">
      <c r="A9242" s="20">
        <v>43871</v>
      </c>
      <c r="B9242" s="21">
        <v>1</v>
      </c>
      <c r="C9242" s="21">
        <v>216</v>
      </c>
      <c r="D9242" s="21">
        <v>14656</v>
      </c>
      <c r="E9242" t="s">
        <v>37</v>
      </c>
      <c r="F9242" s="21" t="s">
        <v>436</v>
      </c>
      <c r="G9242" s="21" t="s">
        <v>4270</v>
      </c>
      <c r="H9242" s="21">
        <v>50</v>
      </c>
      <c r="I9242" s="21" t="s">
        <v>6393</v>
      </c>
      <c r="J9242" s="21"/>
      <c r="K9242" s="21" t="s">
        <v>415</v>
      </c>
      <c r="L9242" s="21"/>
      <c r="M9242" s="21"/>
      <c r="N9242" s="21" t="s">
        <v>44</v>
      </c>
      <c r="O9242" s="21">
        <v>75</v>
      </c>
      <c r="P9242" s="21">
        <v>0</v>
      </c>
      <c r="Q9242" s="21">
        <v>1</v>
      </c>
      <c r="R9242" s="21">
        <v>0</v>
      </c>
      <c r="S9242" s="21">
        <v>0</v>
      </c>
      <c r="T9242" s="21">
        <v>0</v>
      </c>
      <c r="U9242" s="21">
        <v>0</v>
      </c>
      <c r="V9242" s="21">
        <v>0</v>
      </c>
      <c r="W9242" s="21">
        <v>1</v>
      </c>
      <c r="X9242" s="21">
        <v>0</v>
      </c>
      <c r="Y9242" s="21">
        <v>0</v>
      </c>
      <c r="Z9242" s="21">
        <v>0</v>
      </c>
      <c r="AA9242" s="21">
        <v>0</v>
      </c>
      <c r="AB9242" s="21">
        <v>0</v>
      </c>
      <c r="AC9242" s="21">
        <v>0</v>
      </c>
      <c r="AD9242" s="21">
        <v>0</v>
      </c>
      <c r="AE9242" s="21">
        <v>0</v>
      </c>
      <c r="AF9242" s="21">
        <v>0</v>
      </c>
      <c r="AG9242" s="21">
        <v>0</v>
      </c>
      <c r="AH9242" s="21">
        <v>96</v>
      </c>
      <c r="AI9242" s="21"/>
      <c r="AJ9242" s="21" t="s">
        <v>51</v>
      </c>
      <c r="AK9242" s="21" t="s">
        <v>95</v>
      </c>
      <c r="AL9242" s="21"/>
      <c r="AM9242" s="21" t="s">
        <v>6394</v>
      </c>
      <c r="AN9242" s="21">
        <v>-122.42481065</v>
      </c>
      <c r="AO9242" s="21">
        <v>37.8036417</v>
      </c>
      <c r="AP9242" s="21" t="s">
        <v>951</v>
      </c>
    </row>
    <row r="9243" spans="1:42">
      <c r="A9243" s="20">
        <v>43871</v>
      </c>
      <c r="B9243" s="21">
        <v>1</v>
      </c>
      <c r="C9243" s="21">
        <v>216</v>
      </c>
      <c r="D9243" s="21">
        <v>14656</v>
      </c>
      <c r="E9243" t="s">
        <v>37</v>
      </c>
      <c r="F9243" s="21" t="s">
        <v>436</v>
      </c>
      <c r="G9243" s="21" t="s">
        <v>4270</v>
      </c>
      <c r="H9243" s="21">
        <v>51</v>
      </c>
      <c r="I9243" s="21" t="s">
        <v>3005</v>
      </c>
      <c r="J9243" s="21"/>
      <c r="K9243" s="21" t="s">
        <v>862</v>
      </c>
      <c r="L9243" s="21"/>
      <c r="M9243" s="21"/>
      <c r="N9243" s="21" t="s">
        <v>44</v>
      </c>
      <c r="O9243" s="21">
        <v>128</v>
      </c>
      <c r="P9243" s="21">
        <v>0</v>
      </c>
      <c r="Q9243" s="21">
        <v>2</v>
      </c>
      <c r="R9243" s="21">
        <v>0</v>
      </c>
      <c r="S9243" s="21">
        <v>0</v>
      </c>
      <c r="T9243" s="21">
        <v>0</v>
      </c>
      <c r="U9243" s="21">
        <v>0</v>
      </c>
      <c r="V9243" s="21">
        <v>0</v>
      </c>
      <c r="W9243" s="21">
        <v>2</v>
      </c>
      <c r="X9243" s="21">
        <v>0</v>
      </c>
      <c r="Y9243" s="21">
        <v>0</v>
      </c>
      <c r="Z9243" s="21">
        <v>0</v>
      </c>
      <c r="AA9243" s="21">
        <v>0</v>
      </c>
      <c r="AB9243" s="21">
        <v>0</v>
      </c>
      <c r="AC9243" s="21">
        <v>0</v>
      </c>
      <c r="AD9243" s="21">
        <v>0</v>
      </c>
      <c r="AE9243" s="21">
        <v>0</v>
      </c>
      <c r="AF9243" s="21">
        <v>0</v>
      </c>
      <c r="AG9243" s="21">
        <v>0</v>
      </c>
      <c r="AH9243" s="21">
        <v>192</v>
      </c>
      <c r="AI9243" s="21"/>
      <c r="AJ9243" s="21" t="s">
        <v>51</v>
      </c>
      <c r="AK9243" s="21" t="s">
        <v>95</v>
      </c>
      <c r="AL9243" s="21" t="s">
        <v>6395</v>
      </c>
      <c r="AM9243" s="21" t="s">
        <v>6396</v>
      </c>
      <c r="AN9243" s="21">
        <v>-122.426902990757</v>
      </c>
      <c r="AO9243" s="21">
        <v>37.805485550818503</v>
      </c>
      <c r="AP9243" s="21" t="s">
        <v>951</v>
      </c>
    </row>
    <row r="9244" spans="1:42">
      <c r="A9244" s="20">
        <v>43871</v>
      </c>
      <c r="B9244" s="21">
        <v>1</v>
      </c>
      <c r="C9244" s="21">
        <v>216</v>
      </c>
      <c r="D9244" s="21">
        <v>14656</v>
      </c>
      <c r="E9244" t="s">
        <v>37</v>
      </c>
      <c r="F9244" s="21" t="s">
        <v>436</v>
      </c>
      <c r="G9244" s="21" t="s">
        <v>4270</v>
      </c>
      <c r="H9244" s="21">
        <v>52</v>
      </c>
      <c r="I9244" s="21" t="s">
        <v>6397</v>
      </c>
      <c r="J9244" s="21"/>
      <c r="K9244" s="21" t="s">
        <v>862</v>
      </c>
      <c r="L9244" s="21"/>
      <c r="M9244" s="21" t="s">
        <v>95</v>
      </c>
      <c r="N9244" s="21" t="s">
        <v>44</v>
      </c>
      <c r="O9244" s="21">
        <v>337</v>
      </c>
      <c r="P9244" s="21">
        <v>0</v>
      </c>
      <c r="Q9244" s="21">
        <v>5</v>
      </c>
      <c r="R9244" s="21">
        <v>2</v>
      </c>
      <c r="S9244" s="21">
        <v>0</v>
      </c>
      <c r="T9244" s="21">
        <v>0</v>
      </c>
      <c r="U9244" s="21">
        <v>0</v>
      </c>
      <c r="V9244" s="21">
        <v>3</v>
      </c>
      <c r="W9244" s="21">
        <v>2</v>
      </c>
      <c r="X9244" s="21">
        <v>0</v>
      </c>
      <c r="Y9244" s="21">
        <v>0</v>
      </c>
      <c r="Z9244" s="21">
        <v>0</v>
      </c>
      <c r="AA9244" s="21">
        <v>0</v>
      </c>
      <c r="AB9244" s="21">
        <v>0</v>
      </c>
      <c r="AC9244" s="21">
        <v>0</v>
      </c>
      <c r="AD9244" s="21">
        <v>0</v>
      </c>
      <c r="AE9244" s="21">
        <v>0</v>
      </c>
      <c r="AF9244" s="21">
        <v>0</v>
      </c>
      <c r="AG9244" s="21">
        <v>0</v>
      </c>
      <c r="AH9244" s="21">
        <v>384</v>
      </c>
      <c r="AI9244" s="21"/>
      <c r="AJ9244" s="21" t="s">
        <v>51</v>
      </c>
      <c r="AK9244" s="21" t="s">
        <v>95</v>
      </c>
      <c r="AL9244" s="21" t="s">
        <v>6398</v>
      </c>
      <c r="AM9244" s="21" t="s">
        <v>6399</v>
      </c>
      <c r="AN9244" s="21">
        <v>-122.42563168333299</v>
      </c>
      <c r="AO9244" s="21">
        <v>37.803151816666599</v>
      </c>
      <c r="AP9244" s="21" t="s">
        <v>951</v>
      </c>
    </row>
    <row r="9245" spans="1:42">
      <c r="A9245" s="20">
        <v>43871</v>
      </c>
      <c r="B9245" s="21">
        <v>1</v>
      </c>
      <c r="C9245" s="21">
        <v>216</v>
      </c>
      <c r="D9245" s="21">
        <v>14656</v>
      </c>
      <c r="E9245" t="s">
        <v>37</v>
      </c>
      <c r="F9245" s="21" t="s">
        <v>436</v>
      </c>
      <c r="G9245" s="21" t="s">
        <v>4270</v>
      </c>
      <c r="H9245" s="21">
        <v>53</v>
      </c>
      <c r="I9245" s="21" t="s">
        <v>5081</v>
      </c>
      <c r="J9245" s="21"/>
      <c r="K9245" s="21" t="s">
        <v>415</v>
      </c>
      <c r="L9245" s="21"/>
      <c r="M9245" s="21"/>
      <c r="N9245" s="21" t="s">
        <v>44</v>
      </c>
      <c r="O9245" s="21">
        <v>150</v>
      </c>
      <c r="P9245" s="21">
        <v>0</v>
      </c>
      <c r="Q9245" s="21">
        <v>2</v>
      </c>
      <c r="R9245" s="21">
        <v>0</v>
      </c>
      <c r="S9245" s="21">
        <v>0</v>
      </c>
      <c r="T9245" s="21">
        <v>0</v>
      </c>
      <c r="U9245" s="21">
        <v>0</v>
      </c>
      <c r="V9245" s="21">
        <v>0</v>
      </c>
      <c r="W9245" s="21">
        <v>2</v>
      </c>
      <c r="X9245" s="21">
        <v>0</v>
      </c>
      <c r="Y9245" s="21">
        <v>0</v>
      </c>
      <c r="Z9245" s="21">
        <v>0</v>
      </c>
      <c r="AA9245" s="21">
        <v>0</v>
      </c>
      <c r="AB9245" s="21">
        <v>0</v>
      </c>
      <c r="AC9245" s="21">
        <v>0</v>
      </c>
      <c r="AD9245" s="21">
        <v>0</v>
      </c>
      <c r="AE9245" s="21">
        <v>0</v>
      </c>
      <c r="AF9245" s="21">
        <v>0</v>
      </c>
      <c r="AG9245" s="21">
        <v>0</v>
      </c>
      <c r="AH9245" s="21">
        <v>192</v>
      </c>
      <c r="AI9245" s="21"/>
      <c r="AJ9245" s="21" t="s">
        <v>51</v>
      </c>
      <c r="AK9245" s="21" t="s">
        <v>95</v>
      </c>
      <c r="AL9245" s="21" t="s">
        <v>6398</v>
      </c>
      <c r="AM9245" s="21" t="s">
        <v>6400</v>
      </c>
      <c r="AN9245" s="21">
        <v>-122.42528116666701</v>
      </c>
      <c r="AO9245" s="21">
        <v>37.804045766666597</v>
      </c>
      <c r="AP9245" s="21" t="s">
        <v>951</v>
      </c>
    </row>
    <row r="9246" spans="1:42">
      <c r="A9246" s="20">
        <v>43871</v>
      </c>
      <c r="B9246" s="21">
        <v>1</v>
      </c>
      <c r="C9246" s="21">
        <v>216</v>
      </c>
      <c r="D9246" s="21">
        <v>14656</v>
      </c>
      <c r="E9246" t="s">
        <v>37</v>
      </c>
      <c r="F9246" s="21" t="s">
        <v>436</v>
      </c>
      <c r="G9246" s="21" t="s">
        <v>4270</v>
      </c>
      <c r="H9246" s="21">
        <v>54</v>
      </c>
      <c r="I9246" s="21" t="s">
        <v>6401</v>
      </c>
      <c r="J9246" s="21"/>
      <c r="K9246" s="21" t="s">
        <v>415</v>
      </c>
      <c r="L9246" s="21"/>
      <c r="M9246" s="21"/>
      <c r="N9246" s="21" t="s">
        <v>44</v>
      </c>
      <c r="O9246" s="21">
        <v>151</v>
      </c>
      <c r="P9246" s="21">
        <v>0</v>
      </c>
      <c r="Q9246" s="21">
        <v>2</v>
      </c>
      <c r="R9246" s="21">
        <v>0</v>
      </c>
      <c r="S9246" s="21">
        <v>0</v>
      </c>
      <c r="T9246" s="21">
        <v>0</v>
      </c>
      <c r="U9246" s="21">
        <v>0</v>
      </c>
      <c r="V9246" s="21">
        <v>0</v>
      </c>
      <c r="W9246" s="21">
        <v>2</v>
      </c>
      <c r="X9246" s="21">
        <v>0</v>
      </c>
      <c r="Y9246" s="21">
        <v>0</v>
      </c>
      <c r="Z9246" s="21">
        <v>0</v>
      </c>
      <c r="AA9246" s="21">
        <v>0</v>
      </c>
      <c r="AB9246" s="21">
        <v>0</v>
      </c>
      <c r="AC9246" s="21">
        <v>0</v>
      </c>
      <c r="AD9246" s="21">
        <v>0</v>
      </c>
      <c r="AE9246" s="21">
        <v>0</v>
      </c>
      <c r="AF9246" s="21">
        <v>0</v>
      </c>
      <c r="AG9246" s="21">
        <v>0</v>
      </c>
      <c r="AH9246" s="21">
        <v>192</v>
      </c>
      <c r="AI9246" s="21"/>
      <c r="AJ9246" s="21" t="s">
        <v>51</v>
      </c>
      <c r="AK9246" s="21" t="s">
        <v>95</v>
      </c>
      <c r="AL9246" s="21" t="s">
        <v>6398</v>
      </c>
      <c r="AM9246" s="21" t="s">
        <v>6402</v>
      </c>
      <c r="AN9246" s="21">
        <v>-122.42495975</v>
      </c>
      <c r="AO9246" s="21">
        <v>37.802975566666703</v>
      </c>
      <c r="AP9246" s="21" t="s">
        <v>951</v>
      </c>
    </row>
    <row r="9247" spans="1:42">
      <c r="A9247" s="20">
        <v>43871</v>
      </c>
      <c r="B9247" s="21">
        <v>1</v>
      </c>
      <c r="C9247" s="21">
        <v>216</v>
      </c>
      <c r="D9247" s="21">
        <v>14656</v>
      </c>
      <c r="E9247" t="s">
        <v>37</v>
      </c>
      <c r="F9247" s="21" t="s">
        <v>436</v>
      </c>
      <c r="G9247" s="21" t="s">
        <v>4270</v>
      </c>
      <c r="H9247" s="21">
        <v>55</v>
      </c>
      <c r="I9247" s="21" t="s">
        <v>6403</v>
      </c>
      <c r="J9247" s="21"/>
      <c r="K9247" s="21" t="s">
        <v>415</v>
      </c>
      <c r="L9247" s="21"/>
      <c r="M9247" s="21"/>
      <c r="N9247" s="21" t="s">
        <v>44</v>
      </c>
      <c r="O9247" s="21">
        <v>197</v>
      </c>
      <c r="P9247" s="21">
        <v>0</v>
      </c>
      <c r="Q9247" s="21">
        <v>2</v>
      </c>
      <c r="R9247" s="21">
        <v>0</v>
      </c>
      <c r="S9247" s="21">
        <v>0</v>
      </c>
      <c r="T9247" s="21">
        <v>0</v>
      </c>
      <c r="U9247" s="21">
        <v>0</v>
      </c>
      <c r="V9247" s="21">
        <v>0</v>
      </c>
      <c r="W9247" s="21">
        <v>2</v>
      </c>
      <c r="X9247" s="21">
        <v>0</v>
      </c>
      <c r="Y9247" s="21">
        <v>0</v>
      </c>
      <c r="Z9247" s="21">
        <v>0</v>
      </c>
      <c r="AA9247" s="21">
        <v>0</v>
      </c>
      <c r="AB9247" s="21">
        <v>0</v>
      </c>
      <c r="AC9247" s="21">
        <v>0</v>
      </c>
      <c r="AD9247" s="21">
        <v>0</v>
      </c>
      <c r="AE9247" s="21">
        <v>0</v>
      </c>
      <c r="AF9247" s="21">
        <v>0</v>
      </c>
      <c r="AG9247" s="21">
        <v>0</v>
      </c>
      <c r="AH9247" s="21">
        <v>192</v>
      </c>
      <c r="AI9247" s="21"/>
      <c r="AJ9247" s="21" t="s">
        <v>51</v>
      </c>
      <c r="AK9247" s="21" t="s">
        <v>95</v>
      </c>
      <c r="AL9247" s="21"/>
      <c r="AM9247" s="21" t="s">
        <v>6404</v>
      </c>
      <c r="AN9247" s="21">
        <v>-122.424926833333</v>
      </c>
      <c r="AO9247" s="21">
        <v>37.8026989833333</v>
      </c>
      <c r="AP9247" s="21" t="s">
        <v>951</v>
      </c>
    </row>
    <row r="9248" spans="1:42">
      <c r="A9248" s="20">
        <v>43871</v>
      </c>
      <c r="B9248" s="21">
        <v>1</v>
      </c>
      <c r="C9248" s="21">
        <v>216</v>
      </c>
      <c r="D9248" s="21">
        <v>14656</v>
      </c>
      <c r="E9248" t="s">
        <v>37</v>
      </c>
      <c r="F9248" s="21" t="s">
        <v>436</v>
      </c>
      <c r="G9248" s="21" t="s">
        <v>4270</v>
      </c>
      <c r="H9248" s="21">
        <v>56</v>
      </c>
      <c r="I9248" s="21" t="s">
        <v>6405</v>
      </c>
      <c r="J9248" s="21"/>
      <c r="K9248" s="21" t="s">
        <v>148</v>
      </c>
      <c r="L9248" s="21"/>
      <c r="M9248" s="21"/>
      <c r="N9248" s="21" t="s">
        <v>44</v>
      </c>
      <c r="O9248" s="21">
        <v>177</v>
      </c>
      <c r="P9248" s="21">
        <v>0</v>
      </c>
      <c r="Q9248" s="21">
        <v>2</v>
      </c>
      <c r="R9248" s="21">
        <v>0</v>
      </c>
      <c r="S9248" s="21">
        <v>0</v>
      </c>
      <c r="T9248" s="21">
        <v>0</v>
      </c>
      <c r="U9248" s="21">
        <v>0</v>
      </c>
      <c r="V9248" s="21">
        <v>0</v>
      </c>
      <c r="W9248" s="21">
        <v>2</v>
      </c>
      <c r="X9248" s="21">
        <v>0</v>
      </c>
      <c r="Y9248" s="21">
        <v>0</v>
      </c>
      <c r="Z9248" s="21">
        <v>0</v>
      </c>
      <c r="AA9248" s="21">
        <v>0</v>
      </c>
      <c r="AB9248" s="21">
        <v>0</v>
      </c>
      <c r="AC9248" s="21">
        <v>0</v>
      </c>
      <c r="AD9248" s="21">
        <v>0</v>
      </c>
      <c r="AE9248" s="21">
        <v>0</v>
      </c>
      <c r="AF9248" s="21">
        <v>0</v>
      </c>
      <c r="AG9248" s="21">
        <v>0</v>
      </c>
      <c r="AH9248" s="21">
        <v>192</v>
      </c>
      <c r="AI9248" s="21"/>
      <c r="AJ9248" s="21" t="s">
        <v>51</v>
      </c>
      <c r="AK9248" s="21" t="s">
        <v>95</v>
      </c>
      <c r="AL9248" s="21"/>
      <c r="AM9248" s="21" t="s">
        <v>6406</v>
      </c>
      <c r="AN9248" s="21">
        <v>-122.424826866667</v>
      </c>
      <c r="AO9248" s="21">
        <v>37.802432116666701</v>
      </c>
      <c r="AP9248" s="21" t="s">
        <v>951</v>
      </c>
    </row>
    <row r="9249" spans="1:42">
      <c r="A9249" s="20">
        <v>43871</v>
      </c>
      <c r="B9249" s="21">
        <v>1</v>
      </c>
      <c r="C9249" s="21">
        <v>216</v>
      </c>
      <c r="D9249" s="21">
        <v>14656</v>
      </c>
      <c r="E9249" t="s">
        <v>37</v>
      </c>
      <c r="F9249" s="21" t="s">
        <v>436</v>
      </c>
      <c r="G9249" s="21" t="s">
        <v>4270</v>
      </c>
      <c r="H9249" s="21">
        <v>57</v>
      </c>
      <c r="I9249" s="21" t="s">
        <v>5948</v>
      </c>
      <c r="J9249" s="21"/>
      <c r="K9249" s="21" t="s">
        <v>148</v>
      </c>
      <c r="L9249" s="21"/>
      <c r="M9249" s="21"/>
      <c r="N9249" s="21" t="s">
        <v>44</v>
      </c>
      <c r="O9249" s="21">
        <v>126</v>
      </c>
      <c r="P9249" s="21">
        <v>0</v>
      </c>
      <c r="Q9249" s="21">
        <v>1</v>
      </c>
      <c r="R9249" s="21">
        <v>0</v>
      </c>
      <c r="S9249" s="21">
        <v>0</v>
      </c>
      <c r="T9249" s="21">
        <v>0</v>
      </c>
      <c r="U9249" s="21">
        <v>0</v>
      </c>
      <c r="V9249" s="21">
        <v>0</v>
      </c>
      <c r="W9249" s="21">
        <v>1</v>
      </c>
      <c r="X9249" s="21">
        <v>0</v>
      </c>
      <c r="Y9249" s="21">
        <v>0</v>
      </c>
      <c r="Z9249" s="21">
        <v>0</v>
      </c>
      <c r="AA9249" s="21">
        <v>0</v>
      </c>
      <c r="AB9249" s="21">
        <v>0</v>
      </c>
      <c r="AC9249" s="21">
        <v>0</v>
      </c>
      <c r="AD9249" s="21">
        <v>0</v>
      </c>
      <c r="AE9249" s="21">
        <v>0</v>
      </c>
      <c r="AF9249" s="21">
        <v>0</v>
      </c>
      <c r="AG9249" s="21">
        <v>0</v>
      </c>
      <c r="AH9249" s="21">
        <v>96</v>
      </c>
      <c r="AI9249" s="21"/>
      <c r="AJ9249" s="21" t="s">
        <v>51</v>
      </c>
      <c r="AK9249" s="21" t="s">
        <v>95</v>
      </c>
      <c r="AL9249" s="21" t="s">
        <v>6407</v>
      </c>
      <c r="AM9249" s="21" t="s">
        <v>6408</v>
      </c>
      <c r="AN9249" s="21">
        <v>-122.424894783333</v>
      </c>
      <c r="AO9249" s="21">
        <v>37.799327183333297</v>
      </c>
      <c r="AP9249" s="21" t="s">
        <v>951</v>
      </c>
    </row>
    <row r="9250" spans="1:42">
      <c r="A9250" s="20">
        <v>43871</v>
      </c>
      <c r="B9250" s="21">
        <v>1</v>
      </c>
      <c r="C9250" s="21">
        <v>216</v>
      </c>
      <c r="D9250" s="21">
        <v>14656</v>
      </c>
      <c r="E9250" t="s">
        <v>37</v>
      </c>
      <c r="F9250" s="21" t="s">
        <v>436</v>
      </c>
      <c r="G9250" s="21" t="s">
        <v>4270</v>
      </c>
      <c r="H9250" s="21">
        <v>58</v>
      </c>
      <c r="I9250" s="21" t="s">
        <v>6409</v>
      </c>
      <c r="J9250" s="21"/>
      <c r="K9250" s="21" t="s">
        <v>148</v>
      </c>
      <c r="L9250" s="21"/>
      <c r="M9250" s="21" t="s">
        <v>95</v>
      </c>
      <c r="N9250" s="21" t="s">
        <v>44</v>
      </c>
      <c r="O9250" s="21">
        <v>62</v>
      </c>
      <c r="P9250" s="21">
        <v>0</v>
      </c>
      <c r="Q9250" s="21">
        <v>1</v>
      </c>
      <c r="R9250" s="21">
        <v>0</v>
      </c>
      <c r="S9250" s="21">
        <v>0</v>
      </c>
      <c r="T9250" s="21">
        <v>0</v>
      </c>
      <c r="U9250" s="21">
        <v>0</v>
      </c>
      <c r="V9250" s="21">
        <v>0</v>
      </c>
      <c r="W9250" s="21">
        <v>1</v>
      </c>
      <c r="X9250" s="21">
        <v>0</v>
      </c>
      <c r="Y9250" s="21">
        <v>0</v>
      </c>
      <c r="Z9250" s="21">
        <v>0</v>
      </c>
      <c r="AA9250" s="21">
        <v>0</v>
      </c>
      <c r="AB9250" s="21">
        <v>0</v>
      </c>
      <c r="AC9250" s="21">
        <v>0</v>
      </c>
      <c r="AD9250" s="21">
        <v>0</v>
      </c>
      <c r="AE9250" s="21">
        <v>0</v>
      </c>
      <c r="AF9250" s="21">
        <v>0</v>
      </c>
      <c r="AG9250" s="21">
        <v>0</v>
      </c>
      <c r="AH9250" s="21">
        <v>96</v>
      </c>
      <c r="AI9250" s="21"/>
      <c r="AJ9250" s="21" t="s">
        <v>51</v>
      </c>
      <c r="AK9250" s="21" t="s">
        <v>95</v>
      </c>
      <c r="AL9250" s="21"/>
      <c r="AM9250" s="21" t="s">
        <v>6410</v>
      </c>
      <c r="AN9250" s="21">
        <v>-122.424951983333</v>
      </c>
      <c r="AO9250" s="21">
        <v>37.799368700000002</v>
      </c>
      <c r="AP9250" s="21" t="s">
        <v>951</v>
      </c>
    </row>
    <row r="9251" spans="1:42">
      <c r="A9251" s="20">
        <v>43871</v>
      </c>
      <c r="B9251" s="21">
        <v>1</v>
      </c>
      <c r="C9251" s="21">
        <v>216</v>
      </c>
      <c r="D9251" s="21">
        <v>14656</v>
      </c>
      <c r="E9251" t="s">
        <v>37</v>
      </c>
      <c r="F9251" s="21" t="s">
        <v>436</v>
      </c>
      <c r="G9251" s="21" t="s">
        <v>4270</v>
      </c>
      <c r="H9251" s="21">
        <v>59</v>
      </c>
      <c r="I9251" s="21" t="s">
        <v>6411</v>
      </c>
      <c r="J9251" s="21"/>
      <c r="K9251" s="21" t="s">
        <v>148</v>
      </c>
      <c r="L9251" s="21"/>
      <c r="M9251" s="21"/>
      <c r="N9251" s="21" t="s">
        <v>44</v>
      </c>
      <c r="O9251" s="21">
        <v>131</v>
      </c>
      <c r="P9251" s="21">
        <v>0</v>
      </c>
      <c r="Q9251" s="21">
        <v>1</v>
      </c>
      <c r="R9251" s="21">
        <v>0</v>
      </c>
      <c r="S9251" s="21">
        <v>0</v>
      </c>
      <c r="T9251" s="21">
        <v>0</v>
      </c>
      <c r="U9251" s="21">
        <v>0</v>
      </c>
      <c r="V9251" s="21">
        <v>0</v>
      </c>
      <c r="W9251" s="21">
        <v>1</v>
      </c>
      <c r="X9251" s="21">
        <v>0</v>
      </c>
      <c r="Y9251" s="21">
        <v>0</v>
      </c>
      <c r="Z9251" s="21">
        <v>0</v>
      </c>
      <c r="AA9251" s="21">
        <v>0</v>
      </c>
      <c r="AB9251" s="21">
        <v>0</v>
      </c>
      <c r="AC9251" s="21">
        <v>0</v>
      </c>
      <c r="AD9251" s="21">
        <v>0</v>
      </c>
      <c r="AE9251" s="21">
        <v>0</v>
      </c>
      <c r="AF9251" s="21">
        <v>0</v>
      </c>
      <c r="AG9251" s="21">
        <v>0</v>
      </c>
      <c r="AH9251" s="21">
        <v>96</v>
      </c>
      <c r="AI9251" s="21"/>
      <c r="AJ9251" s="21" t="s">
        <v>51</v>
      </c>
      <c r="AK9251" s="21" t="s">
        <v>95</v>
      </c>
      <c r="AL9251" s="21"/>
      <c r="AM9251" s="21" t="s">
        <v>6412</v>
      </c>
      <c r="AN9251" s="21">
        <v>-122.425265583333</v>
      </c>
      <c r="AO9251" s="21">
        <v>37.799371916666701</v>
      </c>
      <c r="AP9251" s="21" t="s">
        <v>951</v>
      </c>
    </row>
    <row r="9252" spans="1:42">
      <c r="A9252" s="20">
        <v>43871</v>
      </c>
      <c r="B9252" s="21">
        <v>1</v>
      </c>
      <c r="C9252" s="21">
        <v>216</v>
      </c>
      <c r="D9252" s="21">
        <v>14656</v>
      </c>
      <c r="E9252" t="s">
        <v>37</v>
      </c>
      <c r="F9252" s="21" t="s">
        <v>436</v>
      </c>
      <c r="G9252" s="21" t="s">
        <v>4270</v>
      </c>
      <c r="H9252" s="21">
        <v>60</v>
      </c>
      <c r="I9252" s="21" t="s">
        <v>4421</v>
      </c>
      <c r="J9252" s="21"/>
      <c r="K9252" s="21" t="s">
        <v>148</v>
      </c>
      <c r="L9252" s="21"/>
      <c r="M9252" s="21" t="s">
        <v>95</v>
      </c>
      <c r="N9252" s="21" t="s">
        <v>44</v>
      </c>
      <c r="O9252" s="21">
        <v>118</v>
      </c>
      <c r="P9252" s="21">
        <v>0</v>
      </c>
      <c r="Q9252" s="21">
        <v>1</v>
      </c>
      <c r="R9252" s="21">
        <v>0</v>
      </c>
      <c r="S9252" s="21">
        <v>0</v>
      </c>
      <c r="T9252" s="21">
        <v>0</v>
      </c>
      <c r="U9252" s="21">
        <v>0</v>
      </c>
      <c r="V9252" s="21">
        <v>0</v>
      </c>
      <c r="W9252" s="21">
        <v>1</v>
      </c>
      <c r="X9252" s="21">
        <v>0</v>
      </c>
      <c r="Y9252" s="21">
        <v>0</v>
      </c>
      <c r="Z9252" s="21">
        <v>0</v>
      </c>
      <c r="AA9252" s="21">
        <v>0</v>
      </c>
      <c r="AB9252" s="21">
        <v>0</v>
      </c>
      <c r="AC9252" s="21">
        <v>0</v>
      </c>
      <c r="AD9252" s="21">
        <v>0</v>
      </c>
      <c r="AE9252" s="21">
        <v>0</v>
      </c>
      <c r="AF9252" s="21">
        <v>0</v>
      </c>
      <c r="AG9252" s="21">
        <v>0</v>
      </c>
      <c r="AH9252" s="21">
        <v>96</v>
      </c>
      <c r="AI9252" s="21"/>
      <c r="AJ9252" s="21" t="s">
        <v>51</v>
      </c>
      <c r="AK9252" s="21" t="s">
        <v>95</v>
      </c>
      <c r="AL9252" s="21"/>
      <c r="AM9252" s="21" t="s">
        <v>6413</v>
      </c>
      <c r="AN9252" s="21">
        <v>-122.42525809999999</v>
      </c>
      <c r="AO9252" s="21">
        <v>37.799352833333302</v>
      </c>
      <c r="AP9252" s="21" t="s">
        <v>951</v>
      </c>
    </row>
    <row r="9253" spans="1:42">
      <c r="A9253" s="20">
        <v>43871</v>
      </c>
      <c r="B9253" s="21">
        <v>1</v>
      </c>
      <c r="C9253" s="21">
        <v>216</v>
      </c>
      <c r="D9253" s="21">
        <v>14656</v>
      </c>
      <c r="E9253" t="s">
        <v>37</v>
      </c>
      <c r="F9253" s="21" t="s">
        <v>436</v>
      </c>
      <c r="G9253" s="21" t="s">
        <v>4270</v>
      </c>
      <c r="H9253" s="21">
        <v>61</v>
      </c>
      <c r="I9253" s="21" t="s">
        <v>3596</v>
      </c>
      <c r="J9253" s="21"/>
      <c r="K9253" s="21" t="s">
        <v>148</v>
      </c>
      <c r="L9253" s="21"/>
      <c r="M9253" s="21"/>
      <c r="N9253" s="21" t="s">
        <v>40</v>
      </c>
      <c r="O9253" s="21">
        <v>36</v>
      </c>
      <c r="P9253" s="21">
        <v>0</v>
      </c>
      <c r="Q9253" s="21">
        <v>1</v>
      </c>
      <c r="R9253" s="21">
        <v>0</v>
      </c>
      <c r="S9253" s="21">
        <v>0</v>
      </c>
      <c r="T9253" s="21">
        <v>0</v>
      </c>
      <c r="U9253" s="21">
        <v>0</v>
      </c>
      <c r="V9253" s="21">
        <v>0</v>
      </c>
      <c r="W9253" s="21">
        <v>1</v>
      </c>
      <c r="X9253" s="21">
        <v>0</v>
      </c>
      <c r="Y9253" s="21">
        <v>0</v>
      </c>
      <c r="Z9253" s="21">
        <v>0</v>
      </c>
      <c r="AA9253" s="21">
        <v>0</v>
      </c>
      <c r="AB9253" s="21">
        <v>0</v>
      </c>
      <c r="AC9253" s="21">
        <v>0</v>
      </c>
      <c r="AD9253" s="21">
        <v>0</v>
      </c>
      <c r="AE9253" s="21">
        <v>0</v>
      </c>
      <c r="AF9253" s="21">
        <v>0</v>
      </c>
      <c r="AG9253" s="21">
        <v>0</v>
      </c>
      <c r="AH9253" s="21">
        <v>96</v>
      </c>
      <c r="AI9253" s="21"/>
      <c r="AJ9253" s="21" t="s">
        <v>51</v>
      </c>
      <c r="AK9253" s="21" t="s">
        <v>95</v>
      </c>
      <c r="AL9253" s="21" t="s">
        <v>6414</v>
      </c>
      <c r="AM9253" s="21" t="s">
        <v>6415</v>
      </c>
      <c r="AN9253" s="21">
        <v>-122.4252978</v>
      </c>
      <c r="AO9253" s="21">
        <v>37.799357066666701</v>
      </c>
      <c r="AP9253" s="21" t="s">
        <v>951</v>
      </c>
    </row>
    <row r="9254" spans="1:42">
      <c r="A9254" s="20">
        <v>43871</v>
      </c>
      <c r="B9254" s="21">
        <v>1</v>
      </c>
      <c r="C9254" s="21">
        <v>216</v>
      </c>
      <c r="D9254" s="21">
        <v>14656</v>
      </c>
      <c r="E9254" t="s">
        <v>37</v>
      </c>
      <c r="F9254" s="21" t="s">
        <v>436</v>
      </c>
      <c r="G9254" s="21" t="s">
        <v>4270</v>
      </c>
      <c r="H9254" s="21">
        <v>62</v>
      </c>
      <c r="I9254" s="21" t="s">
        <v>3427</v>
      </c>
      <c r="J9254" s="21"/>
      <c r="K9254" s="21" t="s">
        <v>148</v>
      </c>
      <c r="L9254" s="21"/>
      <c r="M9254" s="21"/>
      <c r="N9254" s="21" t="s">
        <v>44</v>
      </c>
      <c r="O9254" s="21">
        <v>130</v>
      </c>
      <c r="P9254" s="21">
        <v>0</v>
      </c>
      <c r="Q9254" s="21">
        <v>1</v>
      </c>
      <c r="R9254" s="21">
        <v>0</v>
      </c>
      <c r="S9254" s="21">
        <v>0</v>
      </c>
      <c r="T9254" s="21">
        <v>0</v>
      </c>
      <c r="U9254" s="21">
        <v>0</v>
      </c>
      <c r="V9254" s="21">
        <v>0</v>
      </c>
      <c r="W9254" s="21">
        <v>1</v>
      </c>
      <c r="X9254" s="21">
        <v>0</v>
      </c>
      <c r="Y9254" s="21">
        <v>0</v>
      </c>
      <c r="Z9254" s="21">
        <v>0</v>
      </c>
      <c r="AA9254" s="21">
        <v>0</v>
      </c>
      <c r="AB9254" s="21">
        <v>0</v>
      </c>
      <c r="AC9254" s="21">
        <v>0</v>
      </c>
      <c r="AD9254" s="21">
        <v>0</v>
      </c>
      <c r="AE9254" s="21">
        <v>0</v>
      </c>
      <c r="AF9254" s="21">
        <v>0</v>
      </c>
      <c r="AG9254" s="21">
        <v>0</v>
      </c>
      <c r="AH9254" s="21">
        <v>96</v>
      </c>
      <c r="AI9254" s="21"/>
      <c r="AJ9254" s="21" t="s">
        <v>51</v>
      </c>
      <c r="AK9254" s="21" t="s">
        <v>95</v>
      </c>
      <c r="AL9254" s="21"/>
      <c r="AM9254" s="21" t="s">
        <v>6416</v>
      </c>
      <c r="AN9254" s="21">
        <v>-122.425565933333</v>
      </c>
      <c r="AO9254" s="21">
        <v>37.799332833333303</v>
      </c>
      <c r="AP9254" s="21" t="s">
        <v>951</v>
      </c>
    </row>
    <row r="9255" spans="1:42">
      <c r="A9255" s="20">
        <v>43871</v>
      </c>
      <c r="B9255" s="21">
        <v>1</v>
      </c>
      <c r="C9255" s="21">
        <v>216</v>
      </c>
      <c r="D9255" s="21">
        <v>14656</v>
      </c>
      <c r="E9255" t="s">
        <v>37</v>
      </c>
      <c r="F9255" s="21" t="s">
        <v>436</v>
      </c>
      <c r="G9255" s="21" t="s">
        <v>4270</v>
      </c>
      <c r="H9255" s="21">
        <v>63</v>
      </c>
      <c r="I9255" s="21" t="s">
        <v>2713</v>
      </c>
      <c r="J9255" s="21"/>
      <c r="K9255" s="21" t="s">
        <v>631</v>
      </c>
      <c r="L9255" s="21"/>
      <c r="M9255" s="21" t="s">
        <v>95</v>
      </c>
      <c r="N9255" s="21" t="s">
        <v>44</v>
      </c>
      <c r="O9255" s="21">
        <v>74</v>
      </c>
      <c r="P9255" s="21">
        <v>0</v>
      </c>
      <c r="Q9255" s="21">
        <v>1</v>
      </c>
      <c r="R9255" s="21">
        <v>0</v>
      </c>
      <c r="S9255" s="21">
        <v>0</v>
      </c>
      <c r="T9255" s="21">
        <v>0</v>
      </c>
      <c r="U9255" s="21">
        <v>0</v>
      </c>
      <c r="V9255" s="21">
        <v>0</v>
      </c>
      <c r="W9255" s="21">
        <v>1</v>
      </c>
      <c r="X9255" s="21">
        <v>0</v>
      </c>
      <c r="Y9255" s="21">
        <v>0</v>
      </c>
      <c r="Z9255" s="21">
        <v>0</v>
      </c>
      <c r="AA9255" s="21">
        <v>0</v>
      </c>
      <c r="AB9255" s="21">
        <v>0</v>
      </c>
      <c r="AC9255" s="21">
        <v>0</v>
      </c>
      <c r="AD9255" s="21">
        <v>0</v>
      </c>
      <c r="AE9255" s="21">
        <v>0</v>
      </c>
      <c r="AF9255" s="21">
        <v>0</v>
      </c>
      <c r="AG9255" s="21">
        <v>0</v>
      </c>
      <c r="AH9255" s="21">
        <v>96</v>
      </c>
      <c r="AI9255" s="21"/>
      <c r="AJ9255" s="21" t="s">
        <v>51</v>
      </c>
      <c r="AK9255" s="21" t="s">
        <v>95</v>
      </c>
      <c r="AL9255" s="21" t="s">
        <v>6417</v>
      </c>
      <c r="AM9255" s="21" t="s">
        <v>6418</v>
      </c>
      <c r="AN9255" s="21">
        <v>-122.425554233333</v>
      </c>
      <c r="AO9255" s="21">
        <v>37.799334966666599</v>
      </c>
      <c r="AP9255" s="21" t="s">
        <v>951</v>
      </c>
    </row>
    <row r="9256" spans="1:42">
      <c r="A9256" s="20">
        <v>43871</v>
      </c>
      <c r="B9256" s="21">
        <v>1</v>
      </c>
      <c r="C9256" s="21">
        <v>216</v>
      </c>
      <c r="D9256" s="21">
        <v>14656</v>
      </c>
      <c r="E9256" t="s">
        <v>37</v>
      </c>
      <c r="F9256" s="21" t="s">
        <v>436</v>
      </c>
      <c r="G9256" s="21" t="s">
        <v>4270</v>
      </c>
      <c r="H9256" s="21">
        <v>64</v>
      </c>
      <c r="I9256" s="21" t="s">
        <v>3100</v>
      </c>
      <c r="J9256" s="21"/>
      <c r="K9256" s="21" t="s">
        <v>148</v>
      </c>
      <c r="L9256" s="21"/>
      <c r="M9256" s="21" t="s">
        <v>52</v>
      </c>
      <c r="N9256" s="21" t="s">
        <v>44</v>
      </c>
      <c r="O9256" s="21">
        <v>69</v>
      </c>
      <c r="P9256" s="21">
        <v>0</v>
      </c>
      <c r="Q9256" s="21">
        <v>1</v>
      </c>
      <c r="R9256" s="21">
        <v>0</v>
      </c>
      <c r="S9256" s="21">
        <v>0</v>
      </c>
      <c r="T9256" s="21">
        <v>0</v>
      </c>
      <c r="U9256" s="21">
        <v>0</v>
      </c>
      <c r="V9256" s="21">
        <v>0</v>
      </c>
      <c r="W9256" s="21">
        <v>1</v>
      </c>
      <c r="X9256" s="21">
        <v>0</v>
      </c>
      <c r="Y9256" s="21">
        <v>0</v>
      </c>
      <c r="Z9256" s="21">
        <v>0</v>
      </c>
      <c r="AA9256" s="21">
        <v>0</v>
      </c>
      <c r="AB9256" s="21">
        <v>0</v>
      </c>
      <c r="AC9256" s="21">
        <v>0</v>
      </c>
      <c r="AD9256" s="21">
        <v>0</v>
      </c>
      <c r="AE9256" s="21">
        <v>0</v>
      </c>
      <c r="AF9256" s="21">
        <v>0</v>
      </c>
      <c r="AG9256" s="21">
        <v>0</v>
      </c>
      <c r="AH9256" s="21">
        <v>96</v>
      </c>
      <c r="AI9256" s="21"/>
      <c r="AJ9256" s="21" t="s">
        <v>51</v>
      </c>
      <c r="AK9256" s="21" t="s">
        <v>95</v>
      </c>
      <c r="AL9256" s="21"/>
      <c r="AM9256" s="21" t="s">
        <v>6419</v>
      </c>
      <c r="AN9256" s="21">
        <v>-122.426250516667</v>
      </c>
      <c r="AO9256" s="21">
        <v>37.799277183333302</v>
      </c>
      <c r="AP9256" s="21" t="s">
        <v>951</v>
      </c>
    </row>
    <row r="9257" spans="1:42">
      <c r="A9257" s="20">
        <v>43871</v>
      </c>
      <c r="B9257" s="21">
        <v>1</v>
      </c>
      <c r="C9257" s="21">
        <v>216</v>
      </c>
      <c r="D9257" s="21">
        <v>14656</v>
      </c>
      <c r="E9257" t="s">
        <v>37</v>
      </c>
      <c r="F9257" s="21" t="s">
        <v>436</v>
      </c>
      <c r="G9257" s="21" t="s">
        <v>4270</v>
      </c>
      <c r="H9257" s="21">
        <v>65</v>
      </c>
      <c r="I9257" s="21" t="s">
        <v>2124</v>
      </c>
      <c r="J9257" s="21"/>
      <c r="K9257" s="21" t="s">
        <v>631</v>
      </c>
      <c r="L9257" s="21"/>
      <c r="M9257" s="21" t="s">
        <v>95</v>
      </c>
      <c r="N9257" s="21" t="s">
        <v>44</v>
      </c>
      <c r="O9257" s="21">
        <v>94</v>
      </c>
      <c r="P9257" s="21">
        <v>0</v>
      </c>
      <c r="Q9257" s="21">
        <v>2</v>
      </c>
      <c r="R9257" s="21">
        <v>0</v>
      </c>
      <c r="S9257" s="21">
        <v>0</v>
      </c>
      <c r="T9257" s="21">
        <v>0</v>
      </c>
      <c r="U9257" s="21">
        <v>0</v>
      </c>
      <c r="V9257" s="21">
        <v>0</v>
      </c>
      <c r="W9257" s="21">
        <v>2</v>
      </c>
      <c r="X9257" s="21">
        <v>0</v>
      </c>
      <c r="Y9257" s="21">
        <v>0</v>
      </c>
      <c r="Z9257" s="21">
        <v>0</v>
      </c>
      <c r="AA9257" s="21">
        <v>0</v>
      </c>
      <c r="AB9257" s="21">
        <v>0</v>
      </c>
      <c r="AC9257" s="21">
        <v>0</v>
      </c>
      <c r="AD9257" s="21">
        <v>0</v>
      </c>
      <c r="AE9257" s="21">
        <v>0</v>
      </c>
      <c r="AF9257" s="21">
        <v>0</v>
      </c>
      <c r="AG9257" s="21">
        <v>0</v>
      </c>
      <c r="AH9257" s="21">
        <v>192</v>
      </c>
      <c r="AI9257" s="21"/>
      <c r="AJ9257" s="21" t="s">
        <v>51</v>
      </c>
      <c r="AK9257" s="21" t="s">
        <v>95</v>
      </c>
      <c r="AL9257" s="21" t="s">
        <v>6417</v>
      </c>
      <c r="AM9257" s="21" t="s">
        <v>6420</v>
      </c>
      <c r="AN9257" s="21">
        <v>-122.42623063333301</v>
      </c>
      <c r="AO9257" s="21">
        <v>37.799272683333299</v>
      </c>
      <c r="AP9257" s="21" t="s">
        <v>951</v>
      </c>
    </row>
    <row r="9258" spans="1:42">
      <c r="A9258" s="20">
        <v>43871</v>
      </c>
      <c r="B9258" s="21">
        <v>1</v>
      </c>
      <c r="C9258" s="21">
        <v>216</v>
      </c>
      <c r="D9258" s="21">
        <v>14656</v>
      </c>
      <c r="E9258" t="s">
        <v>37</v>
      </c>
      <c r="F9258" s="21" t="s">
        <v>436</v>
      </c>
      <c r="G9258" s="21" t="s">
        <v>4270</v>
      </c>
      <c r="H9258" s="21">
        <v>66</v>
      </c>
      <c r="I9258" s="21" t="s">
        <v>4766</v>
      </c>
      <c r="J9258" s="21"/>
      <c r="K9258" s="21" t="s">
        <v>148</v>
      </c>
      <c r="L9258" s="21"/>
      <c r="M9258" s="21"/>
      <c r="N9258" s="21" t="s">
        <v>44</v>
      </c>
      <c r="O9258" s="21">
        <v>90</v>
      </c>
      <c r="P9258" s="21">
        <v>0</v>
      </c>
      <c r="Q9258" s="21">
        <v>1</v>
      </c>
      <c r="R9258" s="21">
        <v>0</v>
      </c>
      <c r="S9258" s="21">
        <v>0</v>
      </c>
      <c r="T9258" s="21">
        <v>0</v>
      </c>
      <c r="U9258" s="21">
        <v>0</v>
      </c>
      <c r="V9258" s="21">
        <v>0</v>
      </c>
      <c r="W9258" s="21">
        <v>1</v>
      </c>
      <c r="X9258" s="21">
        <v>0</v>
      </c>
      <c r="Y9258" s="21">
        <v>0</v>
      </c>
      <c r="Z9258" s="21">
        <v>0</v>
      </c>
      <c r="AA9258" s="21">
        <v>0</v>
      </c>
      <c r="AB9258" s="21">
        <v>0</v>
      </c>
      <c r="AC9258" s="21">
        <v>0</v>
      </c>
      <c r="AD9258" s="21">
        <v>0</v>
      </c>
      <c r="AE9258" s="21">
        <v>0</v>
      </c>
      <c r="AF9258" s="21">
        <v>0</v>
      </c>
      <c r="AG9258" s="21">
        <v>0</v>
      </c>
      <c r="AH9258" s="21">
        <v>96</v>
      </c>
      <c r="AI9258" s="21"/>
      <c r="AJ9258" s="21" t="s">
        <v>51</v>
      </c>
      <c r="AK9258" s="21" t="s">
        <v>95</v>
      </c>
      <c r="AL9258" s="21"/>
      <c r="AM9258" s="21" t="s">
        <v>6421</v>
      </c>
      <c r="AN9258" s="21">
        <v>-122.426704466667</v>
      </c>
      <c r="AO9258" s="21">
        <v>37.7991660666667</v>
      </c>
      <c r="AP9258" s="21" t="s">
        <v>951</v>
      </c>
    </row>
    <row r="9259" spans="1:42">
      <c r="A9259" s="20">
        <v>43871</v>
      </c>
      <c r="B9259" s="21">
        <v>1</v>
      </c>
      <c r="C9259" s="21">
        <v>216</v>
      </c>
      <c r="D9259" s="21">
        <v>14656</v>
      </c>
      <c r="E9259" t="s">
        <v>37</v>
      </c>
      <c r="F9259" s="21" t="s">
        <v>436</v>
      </c>
      <c r="G9259" s="21" t="s">
        <v>4270</v>
      </c>
      <c r="H9259" s="21">
        <v>67</v>
      </c>
      <c r="I9259" s="21" t="s">
        <v>3335</v>
      </c>
      <c r="J9259" s="21"/>
      <c r="K9259" s="21" t="s">
        <v>148</v>
      </c>
      <c r="L9259" s="21"/>
      <c r="M9259" s="21" t="s">
        <v>95</v>
      </c>
      <c r="N9259" s="21" t="s">
        <v>44</v>
      </c>
      <c r="O9259" s="21">
        <v>175</v>
      </c>
      <c r="P9259" s="21">
        <v>0</v>
      </c>
      <c r="Q9259" s="21">
        <v>2</v>
      </c>
      <c r="R9259" s="21">
        <v>0</v>
      </c>
      <c r="S9259" s="21">
        <v>0</v>
      </c>
      <c r="T9259" s="21">
        <v>0</v>
      </c>
      <c r="U9259" s="21">
        <v>0</v>
      </c>
      <c r="V9259" s="21">
        <v>0</v>
      </c>
      <c r="W9259" s="21">
        <v>2</v>
      </c>
      <c r="X9259" s="21">
        <v>0</v>
      </c>
      <c r="Y9259" s="21">
        <v>0</v>
      </c>
      <c r="Z9259" s="21">
        <v>0</v>
      </c>
      <c r="AA9259" s="21">
        <v>0</v>
      </c>
      <c r="AB9259" s="21">
        <v>0</v>
      </c>
      <c r="AC9259" s="21">
        <v>0</v>
      </c>
      <c r="AD9259" s="21">
        <v>0</v>
      </c>
      <c r="AE9259" s="21">
        <v>0</v>
      </c>
      <c r="AF9259" s="21">
        <v>0</v>
      </c>
      <c r="AG9259" s="21">
        <v>0</v>
      </c>
      <c r="AH9259" s="21">
        <v>192</v>
      </c>
      <c r="AI9259" s="21"/>
      <c r="AJ9259" s="21" t="s">
        <v>51</v>
      </c>
      <c r="AK9259" s="21" t="s">
        <v>95</v>
      </c>
      <c r="AL9259" s="21"/>
      <c r="AM9259" s="21" t="s">
        <v>6422</v>
      </c>
      <c r="AN9259" s="21">
        <v>-122.426618816667</v>
      </c>
      <c r="AO9259" s="21">
        <v>37.799239583333303</v>
      </c>
      <c r="AP9259" s="21" t="s">
        <v>951</v>
      </c>
    </row>
    <row r="9260" spans="1:42">
      <c r="A9260" s="20">
        <v>43871</v>
      </c>
      <c r="B9260" s="21">
        <v>1</v>
      </c>
      <c r="C9260" s="21">
        <v>216</v>
      </c>
      <c r="D9260" s="21">
        <v>14656</v>
      </c>
      <c r="E9260" t="s">
        <v>37</v>
      </c>
      <c r="F9260" s="21" t="s">
        <v>436</v>
      </c>
      <c r="G9260" s="21" t="s">
        <v>4270</v>
      </c>
      <c r="H9260" s="21">
        <v>68</v>
      </c>
      <c r="I9260" s="21" t="s">
        <v>6423</v>
      </c>
      <c r="J9260" s="21"/>
      <c r="K9260" s="21" t="s">
        <v>148</v>
      </c>
      <c r="L9260" s="21"/>
      <c r="M9260" s="21"/>
      <c r="N9260" s="21" t="s">
        <v>44</v>
      </c>
      <c r="O9260" s="21">
        <v>81</v>
      </c>
      <c r="P9260" s="21">
        <v>0</v>
      </c>
      <c r="Q9260" s="21">
        <v>1</v>
      </c>
      <c r="R9260" s="21">
        <v>0</v>
      </c>
      <c r="S9260" s="21">
        <v>0</v>
      </c>
      <c r="T9260" s="21">
        <v>0</v>
      </c>
      <c r="U9260" s="21">
        <v>0</v>
      </c>
      <c r="V9260" s="21">
        <v>0</v>
      </c>
      <c r="W9260" s="21">
        <v>1</v>
      </c>
      <c r="X9260" s="21">
        <v>0</v>
      </c>
      <c r="Y9260" s="21">
        <v>0</v>
      </c>
      <c r="Z9260" s="21">
        <v>0</v>
      </c>
      <c r="AA9260" s="21">
        <v>0</v>
      </c>
      <c r="AB9260" s="21">
        <v>0</v>
      </c>
      <c r="AC9260" s="21">
        <v>0</v>
      </c>
      <c r="AD9260" s="21">
        <v>0</v>
      </c>
      <c r="AE9260" s="21">
        <v>0</v>
      </c>
      <c r="AF9260" s="21">
        <v>0</v>
      </c>
      <c r="AG9260" s="21">
        <v>0</v>
      </c>
      <c r="AH9260" s="21">
        <v>96</v>
      </c>
      <c r="AI9260" s="21"/>
      <c r="AJ9260" s="21" t="s">
        <v>51</v>
      </c>
      <c r="AK9260" s="21" t="s">
        <v>95</v>
      </c>
      <c r="AL9260" s="21"/>
      <c r="AM9260" s="21" t="s">
        <v>6424</v>
      </c>
      <c r="AN9260" s="21">
        <v>-122.426706666667</v>
      </c>
      <c r="AO9260" s="21">
        <v>37.799185833333297</v>
      </c>
      <c r="AP9260" s="21" t="s">
        <v>951</v>
      </c>
    </row>
    <row r="9261" spans="1:42">
      <c r="A9261" s="20">
        <v>43871</v>
      </c>
      <c r="B9261" s="21">
        <v>1</v>
      </c>
      <c r="C9261" s="21">
        <v>216</v>
      </c>
      <c r="D9261" s="21">
        <v>14656</v>
      </c>
      <c r="E9261" t="s">
        <v>37</v>
      </c>
      <c r="F9261" s="21" t="s">
        <v>436</v>
      </c>
      <c r="G9261" s="21" t="s">
        <v>4270</v>
      </c>
      <c r="H9261" s="21">
        <v>69</v>
      </c>
      <c r="I9261" s="21" t="s">
        <v>4669</v>
      </c>
      <c r="J9261" s="21"/>
      <c r="K9261" s="21" t="s">
        <v>148</v>
      </c>
      <c r="L9261" s="21"/>
      <c r="M9261" s="21"/>
      <c r="N9261" s="21" t="s">
        <v>44</v>
      </c>
      <c r="O9261" s="21">
        <v>125</v>
      </c>
      <c r="P9261" s="21">
        <v>0</v>
      </c>
      <c r="Q9261" s="21">
        <v>2</v>
      </c>
      <c r="R9261" s="21">
        <v>0</v>
      </c>
      <c r="S9261" s="21">
        <v>0</v>
      </c>
      <c r="T9261" s="21">
        <v>0</v>
      </c>
      <c r="U9261" s="21">
        <v>0</v>
      </c>
      <c r="V9261" s="21">
        <v>0</v>
      </c>
      <c r="W9261" s="21">
        <v>2</v>
      </c>
      <c r="X9261" s="21">
        <v>0</v>
      </c>
      <c r="Y9261" s="21">
        <v>0</v>
      </c>
      <c r="Z9261" s="21">
        <v>0</v>
      </c>
      <c r="AA9261" s="21">
        <v>0</v>
      </c>
      <c r="AB9261" s="21">
        <v>0</v>
      </c>
      <c r="AC9261" s="21">
        <v>0</v>
      </c>
      <c r="AD9261" s="21">
        <v>0</v>
      </c>
      <c r="AE9261" s="21">
        <v>0</v>
      </c>
      <c r="AF9261" s="21">
        <v>0</v>
      </c>
      <c r="AG9261" s="21">
        <v>0</v>
      </c>
      <c r="AH9261" s="21">
        <v>192</v>
      </c>
      <c r="AI9261" s="21"/>
      <c r="AJ9261" s="21" t="s">
        <v>51</v>
      </c>
      <c r="AK9261" s="21" t="s">
        <v>95</v>
      </c>
      <c r="AL9261" s="21"/>
      <c r="AM9261" s="21" t="s">
        <v>6425</v>
      </c>
      <c r="AN9261" s="21">
        <v>-122.4271743</v>
      </c>
      <c r="AO9261" s="21">
        <v>37.7991203666666</v>
      </c>
      <c r="AP9261" s="21" t="s">
        <v>951</v>
      </c>
    </row>
    <row r="9262" spans="1:42">
      <c r="A9262" s="20">
        <v>43871</v>
      </c>
      <c r="B9262" s="21">
        <v>1</v>
      </c>
      <c r="C9262" s="21">
        <v>216</v>
      </c>
      <c r="D9262" s="21">
        <v>14656</v>
      </c>
      <c r="E9262" t="s">
        <v>37</v>
      </c>
      <c r="F9262" s="21" t="s">
        <v>436</v>
      </c>
      <c r="G9262" s="21" t="s">
        <v>4270</v>
      </c>
      <c r="H9262" s="21">
        <v>70</v>
      </c>
      <c r="I9262" s="21" t="s">
        <v>4672</v>
      </c>
      <c r="J9262" s="21"/>
      <c r="K9262" s="21" t="s">
        <v>148</v>
      </c>
      <c r="L9262" s="21"/>
      <c r="M9262" s="21"/>
      <c r="N9262" s="21" t="s">
        <v>44</v>
      </c>
      <c r="O9262" s="21">
        <v>96</v>
      </c>
      <c r="P9262" s="21">
        <v>0</v>
      </c>
      <c r="Q9262" s="21">
        <v>1</v>
      </c>
      <c r="R9262" s="21">
        <v>0</v>
      </c>
      <c r="S9262" s="21">
        <v>0</v>
      </c>
      <c r="T9262" s="21">
        <v>0</v>
      </c>
      <c r="U9262" s="21">
        <v>0</v>
      </c>
      <c r="V9262" s="21">
        <v>0</v>
      </c>
      <c r="W9262" s="21">
        <v>1</v>
      </c>
      <c r="X9262" s="21">
        <v>0</v>
      </c>
      <c r="Y9262" s="21">
        <v>0</v>
      </c>
      <c r="Z9262" s="21">
        <v>0</v>
      </c>
      <c r="AA9262" s="21">
        <v>0</v>
      </c>
      <c r="AB9262" s="21">
        <v>0</v>
      </c>
      <c r="AC9262" s="21">
        <v>0</v>
      </c>
      <c r="AD9262" s="21">
        <v>0</v>
      </c>
      <c r="AE9262" s="21">
        <v>0</v>
      </c>
      <c r="AF9262" s="21">
        <v>0</v>
      </c>
      <c r="AG9262" s="21">
        <v>0</v>
      </c>
      <c r="AH9262" s="21">
        <v>96</v>
      </c>
      <c r="AI9262" s="21"/>
      <c r="AJ9262" s="21" t="s">
        <v>51</v>
      </c>
      <c r="AK9262" s="21" t="s">
        <v>95</v>
      </c>
      <c r="AL9262" s="21"/>
      <c r="AM9262" s="21" t="s">
        <v>6426</v>
      </c>
      <c r="AN9262" s="21">
        <v>-122.427923880005</v>
      </c>
      <c r="AO9262" s="21">
        <v>37.798951673194999</v>
      </c>
      <c r="AP9262" s="21" t="s">
        <v>951</v>
      </c>
    </row>
    <row r="9263" spans="1:42">
      <c r="A9263" s="20">
        <v>43871</v>
      </c>
      <c r="B9263" s="21">
        <v>1</v>
      </c>
      <c r="C9263" s="21">
        <v>216</v>
      </c>
      <c r="D9263" s="21">
        <v>14656</v>
      </c>
      <c r="E9263" t="s">
        <v>37</v>
      </c>
      <c r="F9263" s="21" t="s">
        <v>436</v>
      </c>
      <c r="G9263" s="21" t="s">
        <v>4270</v>
      </c>
      <c r="H9263" s="21">
        <v>71</v>
      </c>
      <c r="I9263" s="21" t="s">
        <v>3356</v>
      </c>
      <c r="J9263" s="21"/>
      <c r="K9263" s="21" t="s">
        <v>148</v>
      </c>
      <c r="L9263" s="21"/>
      <c r="M9263" s="21"/>
      <c r="N9263" s="21" t="s">
        <v>44</v>
      </c>
      <c r="O9263" s="21">
        <v>88</v>
      </c>
      <c r="P9263" s="21">
        <v>0</v>
      </c>
      <c r="Q9263" s="21">
        <v>2</v>
      </c>
      <c r="R9263" s="21">
        <v>0</v>
      </c>
      <c r="S9263" s="21">
        <v>0</v>
      </c>
      <c r="T9263" s="21">
        <v>0</v>
      </c>
      <c r="U9263" s="21">
        <v>0</v>
      </c>
      <c r="V9263" s="21">
        <v>0</v>
      </c>
      <c r="W9263" s="21">
        <v>2</v>
      </c>
      <c r="X9263" s="21">
        <v>0</v>
      </c>
      <c r="Y9263" s="21">
        <v>0</v>
      </c>
      <c r="Z9263" s="21">
        <v>0</v>
      </c>
      <c r="AA9263" s="21">
        <v>0</v>
      </c>
      <c r="AB9263" s="21">
        <v>0</v>
      </c>
      <c r="AC9263" s="21">
        <v>0</v>
      </c>
      <c r="AD9263" s="21">
        <v>0</v>
      </c>
      <c r="AE9263" s="21">
        <v>0</v>
      </c>
      <c r="AF9263" s="21">
        <v>0</v>
      </c>
      <c r="AG9263" s="21">
        <v>0</v>
      </c>
      <c r="AH9263" s="21">
        <v>192</v>
      </c>
      <c r="AI9263" s="21"/>
      <c r="AJ9263" s="21" t="s">
        <v>51</v>
      </c>
      <c r="AK9263" s="21" t="s">
        <v>95</v>
      </c>
      <c r="AL9263" s="21"/>
      <c r="AM9263" s="21" t="s">
        <v>6427</v>
      </c>
      <c r="AN9263" s="21">
        <v>-122.42786975</v>
      </c>
      <c r="AO9263" s="21">
        <v>37.799067916666701</v>
      </c>
      <c r="AP9263" s="21" t="s">
        <v>951</v>
      </c>
    </row>
    <row r="9264" spans="1:42">
      <c r="A9264" s="20">
        <v>43871</v>
      </c>
      <c r="B9264" s="21">
        <v>1</v>
      </c>
      <c r="C9264" s="21">
        <v>216</v>
      </c>
      <c r="D9264" s="21">
        <v>14656</v>
      </c>
      <c r="E9264" t="s">
        <v>37</v>
      </c>
      <c r="F9264" s="21" t="s">
        <v>436</v>
      </c>
      <c r="G9264" s="21" t="s">
        <v>4270</v>
      </c>
      <c r="H9264" s="21">
        <v>72</v>
      </c>
      <c r="I9264" s="21" t="s">
        <v>6428</v>
      </c>
      <c r="J9264" s="21"/>
      <c r="K9264" s="21" t="s">
        <v>148</v>
      </c>
      <c r="L9264" s="21"/>
      <c r="M9264" s="21"/>
      <c r="N9264" s="21" t="s">
        <v>44</v>
      </c>
      <c r="O9264" s="21">
        <v>134</v>
      </c>
      <c r="P9264" s="21">
        <v>0</v>
      </c>
      <c r="Q9264" s="21">
        <v>2</v>
      </c>
      <c r="R9264" s="21">
        <v>0</v>
      </c>
      <c r="S9264" s="21">
        <v>0</v>
      </c>
      <c r="T9264" s="21">
        <v>0</v>
      </c>
      <c r="U9264" s="21">
        <v>0</v>
      </c>
      <c r="V9264" s="21">
        <v>0</v>
      </c>
      <c r="W9264" s="21">
        <v>2</v>
      </c>
      <c r="X9264" s="21">
        <v>0</v>
      </c>
      <c r="Y9264" s="21">
        <v>0</v>
      </c>
      <c r="Z9264" s="21">
        <v>0</v>
      </c>
      <c r="AA9264" s="21">
        <v>0</v>
      </c>
      <c r="AB9264" s="21">
        <v>0</v>
      </c>
      <c r="AC9264" s="21">
        <v>0</v>
      </c>
      <c r="AD9264" s="21">
        <v>0</v>
      </c>
      <c r="AE9264" s="21">
        <v>0</v>
      </c>
      <c r="AF9264" s="21">
        <v>0</v>
      </c>
      <c r="AG9264" s="21">
        <v>0</v>
      </c>
      <c r="AH9264" s="21">
        <v>192</v>
      </c>
      <c r="AI9264" s="21"/>
      <c r="AJ9264" s="21" t="s">
        <v>51</v>
      </c>
      <c r="AK9264" s="21" t="s">
        <v>95</v>
      </c>
      <c r="AL9264" s="21"/>
      <c r="AM9264" s="21" t="s">
        <v>6429</v>
      </c>
      <c r="AN9264" s="21">
        <v>-122.428518933333</v>
      </c>
      <c r="AO9264" s="21">
        <v>37.798984949999998</v>
      </c>
      <c r="AP9264" s="21" t="s">
        <v>951</v>
      </c>
    </row>
    <row r="9265" spans="1:42">
      <c r="A9265" s="20">
        <v>43871</v>
      </c>
      <c r="B9265" s="21">
        <v>1</v>
      </c>
      <c r="C9265" s="21">
        <v>216</v>
      </c>
      <c r="D9265" s="21">
        <v>14656</v>
      </c>
      <c r="E9265" t="s">
        <v>37</v>
      </c>
      <c r="F9265" s="21" t="s">
        <v>436</v>
      </c>
      <c r="G9265" s="21" t="s">
        <v>4270</v>
      </c>
      <c r="H9265" s="21">
        <v>73</v>
      </c>
      <c r="I9265" s="21" t="s">
        <v>5618</v>
      </c>
      <c r="J9265" s="21"/>
      <c r="K9265" s="21" t="s">
        <v>631</v>
      </c>
      <c r="L9265" s="21"/>
      <c r="M9265" s="21"/>
      <c r="N9265" s="21" t="s">
        <v>44</v>
      </c>
      <c r="O9265" s="21">
        <v>95</v>
      </c>
      <c r="P9265" s="21">
        <v>0</v>
      </c>
      <c r="Q9265" s="21">
        <v>1</v>
      </c>
      <c r="R9265" s="21">
        <v>0</v>
      </c>
      <c r="S9265" s="21">
        <v>0</v>
      </c>
      <c r="T9265" s="21">
        <v>0</v>
      </c>
      <c r="U9265" s="21">
        <v>0</v>
      </c>
      <c r="V9265" s="21">
        <v>0</v>
      </c>
      <c r="W9265" s="21">
        <v>1</v>
      </c>
      <c r="X9265" s="21">
        <v>0</v>
      </c>
      <c r="Y9265" s="21">
        <v>0</v>
      </c>
      <c r="Z9265" s="21">
        <v>0</v>
      </c>
      <c r="AA9265" s="21">
        <v>0</v>
      </c>
      <c r="AB9265" s="21">
        <v>0</v>
      </c>
      <c r="AC9265" s="21">
        <v>0</v>
      </c>
      <c r="AD9265" s="21">
        <v>0</v>
      </c>
      <c r="AE9265" s="21">
        <v>0</v>
      </c>
      <c r="AF9265" s="21">
        <v>0</v>
      </c>
      <c r="AG9265" s="21">
        <v>0</v>
      </c>
      <c r="AH9265" s="21">
        <v>96</v>
      </c>
      <c r="AI9265" s="21"/>
      <c r="AJ9265" s="21" t="s">
        <v>51</v>
      </c>
      <c r="AK9265" s="21" t="s">
        <v>95</v>
      </c>
      <c r="AL9265" s="21" t="s">
        <v>6430</v>
      </c>
      <c r="AM9265" s="21" t="s">
        <v>6431</v>
      </c>
      <c r="AN9265" s="21">
        <v>-122.428662733333</v>
      </c>
      <c r="AO9265" s="21">
        <v>37.799909516666602</v>
      </c>
      <c r="AP9265" s="21" t="s">
        <v>951</v>
      </c>
    </row>
    <row r="9266" spans="1:42">
      <c r="A9266" s="20">
        <v>43871</v>
      </c>
      <c r="B9266" s="21">
        <v>1</v>
      </c>
      <c r="C9266" s="21">
        <v>216</v>
      </c>
      <c r="D9266" s="21">
        <v>14656</v>
      </c>
      <c r="E9266" t="s">
        <v>37</v>
      </c>
      <c r="F9266" s="21" t="s">
        <v>436</v>
      </c>
      <c r="G9266" s="21" t="s">
        <v>4270</v>
      </c>
      <c r="H9266" s="21">
        <v>74</v>
      </c>
      <c r="I9266" s="21" t="s">
        <v>6432</v>
      </c>
      <c r="J9266" s="21"/>
      <c r="K9266" s="21" t="s">
        <v>631</v>
      </c>
      <c r="L9266" s="21"/>
      <c r="M9266" s="21"/>
      <c r="N9266" s="21" t="s">
        <v>44</v>
      </c>
      <c r="O9266" s="21">
        <v>203</v>
      </c>
      <c r="P9266" s="21">
        <v>0</v>
      </c>
      <c r="Q9266" s="21">
        <v>4</v>
      </c>
      <c r="R9266" s="21">
        <v>0</v>
      </c>
      <c r="S9266" s="21">
        <v>0</v>
      </c>
      <c r="T9266" s="21">
        <v>0</v>
      </c>
      <c r="U9266" s="21">
        <v>0</v>
      </c>
      <c r="V9266" s="21">
        <v>0</v>
      </c>
      <c r="W9266" s="21">
        <v>4</v>
      </c>
      <c r="X9266" s="21">
        <v>0</v>
      </c>
      <c r="Y9266" s="21">
        <v>0</v>
      </c>
      <c r="Z9266" s="21">
        <v>0</v>
      </c>
      <c r="AA9266" s="21">
        <v>0</v>
      </c>
      <c r="AB9266" s="21">
        <v>0</v>
      </c>
      <c r="AC9266" s="21">
        <v>0</v>
      </c>
      <c r="AD9266" s="21">
        <v>0</v>
      </c>
      <c r="AE9266" s="21">
        <v>0</v>
      </c>
      <c r="AF9266" s="21">
        <v>0</v>
      </c>
      <c r="AG9266" s="21">
        <v>0</v>
      </c>
      <c r="AH9266" s="21">
        <v>384</v>
      </c>
      <c r="AI9266" s="21"/>
      <c r="AJ9266" s="21" t="s">
        <v>51</v>
      </c>
      <c r="AK9266" s="21" t="s">
        <v>95</v>
      </c>
      <c r="AL9266" s="21"/>
      <c r="AM9266" s="21" t="s">
        <v>6433</v>
      </c>
      <c r="AN9266" s="21">
        <v>-122.425693966667</v>
      </c>
      <c r="AO9266" s="21">
        <v>37.800265983333297</v>
      </c>
      <c r="AP9266" s="21" t="s">
        <v>951</v>
      </c>
    </row>
    <row r="9267" spans="1:42">
      <c r="A9267" s="20">
        <v>43871</v>
      </c>
      <c r="B9267" s="21">
        <v>1</v>
      </c>
      <c r="C9267" s="21">
        <v>216</v>
      </c>
      <c r="D9267" s="21">
        <v>14656</v>
      </c>
      <c r="E9267" t="s">
        <v>37</v>
      </c>
      <c r="F9267" s="21" t="s">
        <v>436</v>
      </c>
      <c r="G9267" s="21" t="s">
        <v>4270</v>
      </c>
      <c r="H9267" s="21">
        <v>75</v>
      </c>
      <c r="I9267" s="21" t="s">
        <v>4778</v>
      </c>
      <c r="J9267" s="21"/>
      <c r="K9267" s="21" t="s">
        <v>213</v>
      </c>
      <c r="L9267" s="21"/>
      <c r="M9267" s="21"/>
      <c r="N9267" s="21" t="s">
        <v>44</v>
      </c>
      <c r="O9267" s="21">
        <v>77</v>
      </c>
      <c r="P9267" s="21">
        <v>0</v>
      </c>
      <c r="Q9267" s="21">
        <v>1</v>
      </c>
      <c r="R9267" s="21">
        <v>0</v>
      </c>
      <c r="S9267" s="21">
        <v>0</v>
      </c>
      <c r="T9267" s="21">
        <v>0</v>
      </c>
      <c r="U9267" s="21">
        <v>0</v>
      </c>
      <c r="V9267" s="21">
        <v>0</v>
      </c>
      <c r="W9267" s="21">
        <v>1</v>
      </c>
      <c r="X9267" s="21">
        <v>0</v>
      </c>
      <c r="Y9267" s="21">
        <v>0</v>
      </c>
      <c r="Z9267" s="21">
        <v>0</v>
      </c>
      <c r="AA9267" s="21">
        <v>0</v>
      </c>
      <c r="AB9267" s="21">
        <v>0</v>
      </c>
      <c r="AC9267" s="21">
        <v>0</v>
      </c>
      <c r="AD9267" s="21">
        <v>0</v>
      </c>
      <c r="AE9267" s="21">
        <v>0</v>
      </c>
      <c r="AF9267" s="21">
        <v>0</v>
      </c>
      <c r="AG9267" s="21">
        <v>0</v>
      </c>
      <c r="AH9267" s="21">
        <v>96</v>
      </c>
      <c r="AI9267" s="21"/>
      <c r="AJ9267" s="21" t="s">
        <v>51</v>
      </c>
      <c r="AK9267" s="21" t="s">
        <v>95</v>
      </c>
      <c r="AL9267" s="21"/>
      <c r="AM9267" s="21" t="s">
        <v>6434</v>
      </c>
      <c r="AN9267" s="21">
        <v>-122.425307416667</v>
      </c>
      <c r="AO9267" s="21">
        <v>37.800332283333297</v>
      </c>
      <c r="AP9267" s="21" t="s">
        <v>951</v>
      </c>
    </row>
    <row r="9268" spans="1:42">
      <c r="A9268" s="20">
        <v>43871</v>
      </c>
      <c r="B9268" s="21">
        <v>1</v>
      </c>
      <c r="C9268" s="21">
        <v>216</v>
      </c>
      <c r="D9268" s="21">
        <v>14656</v>
      </c>
      <c r="E9268" t="s">
        <v>37</v>
      </c>
      <c r="F9268" s="21" t="s">
        <v>436</v>
      </c>
      <c r="G9268" s="21" t="s">
        <v>4270</v>
      </c>
      <c r="H9268" s="21">
        <v>76</v>
      </c>
      <c r="I9268" s="21" t="s">
        <v>5245</v>
      </c>
      <c r="J9268" s="21"/>
      <c r="K9268" s="21" t="s">
        <v>213</v>
      </c>
      <c r="L9268" s="21"/>
      <c r="M9268" s="21"/>
      <c r="N9268" s="21" t="s">
        <v>44</v>
      </c>
      <c r="O9268" s="21">
        <v>63</v>
      </c>
      <c r="P9268" s="21">
        <v>0</v>
      </c>
      <c r="Q9268" s="21">
        <v>1</v>
      </c>
      <c r="R9268" s="21">
        <v>0</v>
      </c>
      <c r="S9268" s="21">
        <v>0</v>
      </c>
      <c r="T9268" s="21">
        <v>0</v>
      </c>
      <c r="U9268" s="21">
        <v>0</v>
      </c>
      <c r="V9268" s="21">
        <v>0</v>
      </c>
      <c r="W9268" s="21">
        <v>1</v>
      </c>
      <c r="X9268" s="21">
        <v>0</v>
      </c>
      <c r="Y9268" s="21">
        <v>0</v>
      </c>
      <c r="Z9268" s="21">
        <v>0</v>
      </c>
      <c r="AA9268" s="21">
        <v>0</v>
      </c>
      <c r="AB9268" s="21">
        <v>0</v>
      </c>
      <c r="AC9268" s="21">
        <v>0</v>
      </c>
      <c r="AD9268" s="21">
        <v>0</v>
      </c>
      <c r="AE9268" s="21">
        <v>0</v>
      </c>
      <c r="AF9268" s="21">
        <v>0</v>
      </c>
      <c r="AG9268" s="21">
        <v>0</v>
      </c>
      <c r="AH9268" s="21">
        <v>96</v>
      </c>
      <c r="AI9268" s="21"/>
      <c r="AJ9268" s="21" t="s">
        <v>51</v>
      </c>
      <c r="AK9268" s="21" t="s">
        <v>95</v>
      </c>
      <c r="AL9268" s="21"/>
      <c r="AM9268" s="21" t="s">
        <v>6435</v>
      </c>
      <c r="AN9268" s="21">
        <v>-122.425395283333</v>
      </c>
      <c r="AO9268" s="21">
        <v>37.800267316666599</v>
      </c>
      <c r="AP9268" s="21" t="s">
        <v>951</v>
      </c>
    </row>
    <row r="9269" spans="1:42">
      <c r="A9269" s="20">
        <v>43871</v>
      </c>
      <c r="B9269" s="21">
        <v>1</v>
      </c>
      <c r="C9269" s="21">
        <v>216</v>
      </c>
      <c r="D9269" s="21">
        <v>14656</v>
      </c>
      <c r="E9269" t="s">
        <v>37</v>
      </c>
      <c r="F9269" s="21" t="s">
        <v>436</v>
      </c>
      <c r="G9269" s="21" t="s">
        <v>4270</v>
      </c>
      <c r="H9269" s="21">
        <v>77</v>
      </c>
      <c r="I9269" s="21" t="s">
        <v>3761</v>
      </c>
      <c r="J9269" s="21"/>
      <c r="K9269" s="21" t="s">
        <v>148</v>
      </c>
      <c r="L9269" s="21"/>
      <c r="M9269" s="21"/>
      <c r="N9269" s="21" t="s">
        <v>44</v>
      </c>
      <c r="O9269" s="21">
        <v>65</v>
      </c>
      <c r="P9269" s="21">
        <v>0</v>
      </c>
      <c r="Q9269" s="21">
        <v>1</v>
      </c>
      <c r="R9269" s="21">
        <v>0</v>
      </c>
      <c r="S9269" s="21">
        <v>0</v>
      </c>
      <c r="T9269" s="21">
        <v>0</v>
      </c>
      <c r="U9269" s="21">
        <v>0</v>
      </c>
      <c r="V9269" s="21">
        <v>0</v>
      </c>
      <c r="W9269" s="21">
        <v>1</v>
      </c>
      <c r="X9269" s="21">
        <v>0</v>
      </c>
      <c r="Y9269" s="21">
        <v>0</v>
      </c>
      <c r="Z9269" s="21">
        <v>0</v>
      </c>
      <c r="AA9269" s="21">
        <v>0</v>
      </c>
      <c r="AB9269" s="21">
        <v>0</v>
      </c>
      <c r="AC9269" s="21">
        <v>0</v>
      </c>
      <c r="AD9269" s="21">
        <v>0</v>
      </c>
      <c r="AE9269" s="21">
        <v>0</v>
      </c>
      <c r="AF9269" s="21">
        <v>0</v>
      </c>
      <c r="AG9269" s="21">
        <v>0</v>
      </c>
      <c r="AH9269" s="21">
        <v>96</v>
      </c>
      <c r="AI9269" s="21"/>
      <c r="AJ9269" s="21" t="s">
        <v>51</v>
      </c>
      <c r="AK9269" s="21" t="s">
        <v>95</v>
      </c>
      <c r="AL9269" s="21"/>
      <c r="AM9269" s="21" t="s">
        <v>6436</v>
      </c>
      <c r="AN9269" s="21">
        <v>-122.42508051666699</v>
      </c>
      <c r="AO9269" s="21">
        <v>37.800350633333302</v>
      </c>
      <c r="AP9269" s="21" t="s">
        <v>951</v>
      </c>
    </row>
    <row r="9270" spans="1:42">
      <c r="A9270" s="20">
        <v>43871</v>
      </c>
      <c r="B9270" s="21">
        <v>1</v>
      </c>
      <c r="C9270" s="21">
        <v>216</v>
      </c>
      <c r="D9270" s="21">
        <v>14656</v>
      </c>
      <c r="E9270" t="s">
        <v>37</v>
      </c>
      <c r="F9270" s="21" t="s">
        <v>436</v>
      </c>
      <c r="G9270" s="21" t="s">
        <v>4270</v>
      </c>
      <c r="H9270" s="21">
        <v>78</v>
      </c>
      <c r="I9270" s="21" t="s">
        <v>6437</v>
      </c>
      <c r="J9270" s="21"/>
      <c r="K9270" s="21" t="s">
        <v>213</v>
      </c>
      <c r="L9270" s="21"/>
      <c r="M9270" s="21" t="s">
        <v>95</v>
      </c>
      <c r="N9270" s="21" t="s">
        <v>44</v>
      </c>
      <c r="O9270" s="21">
        <v>216</v>
      </c>
      <c r="P9270" s="21">
        <v>0</v>
      </c>
      <c r="Q9270" s="21">
        <v>2</v>
      </c>
      <c r="R9270" s="21">
        <v>0</v>
      </c>
      <c r="S9270" s="21">
        <v>0</v>
      </c>
      <c r="T9270" s="21">
        <v>0</v>
      </c>
      <c r="U9270" s="21">
        <v>0</v>
      </c>
      <c r="V9270" s="21">
        <v>0</v>
      </c>
      <c r="W9270" s="21">
        <v>2</v>
      </c>
      <c r="X9270" s="21">
        <v>0</v>
      </c>
      <c r="Y9270" s="21">
        <v>0</v>
      </c>
      <c r="Z9270" s="21">
        <v>0</v>
      </c>
      <c r="AA9270" s="21">
        <v>0</v>
      </c>
      <c r="AB9270" s="21">
        <v>0</v>
      </c>
      <c r="AC9270" s="21">
        <v>0</v>
      </c>
      <c r="AD9270" s="21">
        <v>0</v>
      </c>
      <c r="AE9270" s="21">
        <v>0</v>
      </c>
      <c r="AF9270" s="21">
        <v>0</v>
      </c>
      <c r="AG9270" s="21">
        <v>0</v>
      </c>
      <c r="AH9270" s="21">
        <v>192</v>
      </c>
      <c r="AI9270" s="21"/>
      <c r="AJ9270" s="21" t="s">
        <v>51</v>
      </c>
      <c r="AK9270" s="21" t="s">
        <v>95</v>
      </c>
      <c r="AL9270" s="21"/>
      <c r="AM9270" s="21" t="s">
        <v>6438</v>
      </c>
      <c r="AN9270" s="21">
        <v>-122.42520589999999</v>
      </c>
      <c r="AO9270" s="21">
        <v>37.800341766666698</v>
      </c>
      <c r="AP9270" s="21" t="s">
        <v>951</v>
      </c>
    </row>
    <row r="9271" spans="1:42">
      <c r="A9271" s="20">
        <v>43871</v>
      </c>
      <c r="B9271" s="21">
        <v>1</v>
      </c>
      <c r="C9271" s="21">
        <v>216</v>
      </c>
      <c r="D9271" s="21">
        <v>14656</v>
      </c>
      <c r="E9271" t="s">
        <v>37</v>
      </c>
      <c r="F9271" s="21" t="s">
        <v>436</v>
      </c>
      <c r="G9271" s="21" t="s">
        <v>4270</v>
      </c>
      <c r="H9271" s="21">
        <v>79</v>
      </c>
      <c r="I9271" s="21" t="s">
        <v>3171</v>
      </c>
      <c r="J9271" s="21"/>
      <c r="K9271" s="21" t="s">
        <v>213</v>
      </c>
      <c r="L9271" s="21"/>
      <c r="M9271" s="21"/>
      <c r="N9271" s="21" t="s">
        <v>44</v>
      </c>
      <c r="O9271" s="21">
        <v>230</v>
      </c>
      <c r="P9271" s="21">
        <v>0</v>
      </c>
      <c r="Q9271" s="21">
        <v>3</v>
      </c>
      <c r="R9271" s="21">
        <v>0</v>
      </c>
      <c r="S9271" s="21">
        <v>0</v>
      </c>
      <c r="T9271" s="21">
        <v>0</v>
      </c>
      <c r="U9271" s="21">
        <v>0</v>
      </c>
      <c r="V9271" s="21">
        <v>0</v>
      </c>
      <c r="W9271" s="21">
        <v>3</v>
      </c>
      <c r="X9271" s="21">
        <v>0</v>
      </c>
      <c r="Y9271" s="21">
        <v>0</v>
      </c>
      <c r="Z9271" s="21">
        <v>0</v>
      </c>
      <c r="AA9271" s="21">
        <v>0</v>
      </c>
      <c r="AB9271" s="21">
        <v>0</v>
      </c>
      <c r="AC9271" s="21">
        <v>0</v>
      </c>
      <c r="AD9271" s="21">
        <v>0</v>
      </c>
      <c r="AE9271" s="21">
        <v>0</v>
      </c>
      <c r="AF9271" s="21">
        <v>0</v>
      </c>
      <c r="AG9271" s="21">
        <v>0</v>
      </c>
      <c r="AH9271" s="21">
        <v>288</v>
      </c>
      <c r="AI9271" s="21"/>
      <c r="AJ9271" s="21" t="s">
        <v>51</v>
      </c>
      <c r="AK9271" s="21" t="s">
        <v>95</v>
      </c>
      <c r="AL9271" s="21"/>
      <c r="AM9271" s="21" t="s">
        <v>6439</v>
      </c>
      <c r="AN9271" s="21">
        <v>-122.424955666667</v>
      </c>
      <c r="AO9271" s="21">
        <v>37.8003835833333</v>
      </c>
      <c r="AP9271" s="21" t="s">
        <v>951</v>
      </c>
    </row>
    <row r="9272" spans="1:42">
      <c r="A9272" s="20">
        <v>43871</v>
      </c>
      <c r="B9272" s="21">
        <v>1</v>
      </c>
      <c r="C9272" s="21">
        <v>216</v>
      </c>
      <c r="D9272" s="21">
        <v>14656</v>
      </c>
      <c r="E9272" t="s">
        <v>37</v>
      </c>
      <c r="F9272" s="21" t="s">
        <v>436</v>
      </c>
      <c r="G9272" s="21" t="s">
        <v>4270</v>
      </c>
      <c r="H9272" s="21">
        <v>80</v>
      </c>
      <c r="I9272" s="21" t="s">
        <v>3651</v>
      </c>
      <c r="J9272" s="21"/>
      <c r="K9272" s="21" t="s">
        <v>1147</v>
      </c>
      <c r="L9272" s="21"/>
      <c r="M9272" s="21"/>
      <c r="N9272" s="21" t="s">
        <v>44</v>
      </c>
      <c r="O9272" s="21">
        <v>238</v>
      </c>
      <c r="P9272" s="21">
        <v>0</v>
      </c>
      <c r="Q9272" s="21">
        <v>3</v>
      </c>
      <c r="R9272" s="21">
        <v>0</v>
      </c>
      <c r="S9272" s="21">
        <v>0</v>
      </c>
      <c r="T9272" s="21">
        <v>0</v>
      </c>
      <c r="U9272" s="21">
        <v>0</v>
      </c>
      <c r="V9272" s="21">
        <v>0</v>
      </c>
      <c r="W9272" s="21">
        <v>3</v>
      </c>
      <c r="X9272" s="21">
        <v>0</v>
      </c>
      <c r="Y9272" s="21">
        <v>0</v>
      </c>
      <c r="Z9272" s="21">
        <v>0</v>
      </c>
      <c r="AA9272" s="21">
        <v>0</v>
      </c>
      <c r="AB9272" s="21">
        <v>0</v>
      </c>
      <c r="AC9272" s="21">
        <v>0</v>
      </c>
      <c r="AD9272" s="21">
        <v>0</v>
      </c>
      <c r="AE9272" s="21">
        <v>0</v>
      </c>
      <c r="AF9272" s="21">
        <v>0</v>
      </c>
      <c r="AG9272" s="21">
        <v>0</v>
      </c>
      <c r="AH9272" s="21">
        <v>288</v>
      </c>
      <c r="AI9272" s="21"/>
      <c r="AJ9272" s="21" t="s">
        <v>51</v>
      </c>
      <c r="AK9272" s="21" t="s">
        <v>95</v>
      </c>
      <c r="AL9272" s="21" t="s">
        <v>6440</v>
      </c>
      <c r="AM9272" s="21" t="s">
        <v>6441</v>
      </c>
      <c r="AN9272" s="21">
        <v>-122.424759866667</v>
      </c>
      <c r="AO9272" s="21">
        <v>37.800426999999999</v>
      </c>
      <c r="AP9272" s="21" t="s">
        <v>951</v>
      </c>
    </row>
    <row r="9273" spans="1:42">
      <c r="A9273" s="20">
        <v>43871</v>
      </c>
      <c r="B9273" s="21">
        <v>1</v>
      </c>
      <c r="C9273" s="21">
        <v>216</v>
      </c>
      <c r="D9273" s="21">
        <v>14656</v>
      </c>
      <c r="E9273" t="s">
        <v>37</v>
      </c>
      <c r="F9273" s="21" t="s">
        <v>436</v>
      </c>
      <c r="G9273" s="21" t="s">
        <v>4270</v>
      </c>
      <c r="H9273" s="21">
        <v>81</v>
      </c>
      <c r="I9273" s="21" t="s">
        <v>3100</v>
      </c>
      <c r="J9273" s="21"/>
      <c r="K9273" t="s">
        <v>585</v>
      </c>
      <c r="L9273" s="21"/>
      <c r="M9273" s="21"/>
      <c r="N9273" s="21" t="s">
        <v>44</v>
      </c>
      <c r="O9273" s="21">
        <v>126</v>
      </c>
      <c r="P9273" s="21">
        <v>0</v>
      </c>
      <c r="Q9273" s="21">
        <v>1</v>
      </c>
      <c r="R9273" s="21">
        <v>0</v>
      </c>
      <c r="S9273" s="21">
        <v>0</v>
      </c>
      <c r="T9273" s="21">
        <v>0</v>
      </c>
      <c r="U9273" s="21">
        <v>0</v>
      </c>
      <c r="V9273" s="21">
        <v>1</v>
      </c>
      <c r="W9273" s="21">
        <v>0</v>
      </c>
      <c r="X9273" s="21">
        <v>0</v>
      </c>
      <c r="Y9273" s="21">
        <v>0</v>
      </c>
      <c r="Z9273" s="21">
        <v>0</v>
      </c>
      <c r="AA9273" s="21">
        <v>0</v>
      </c>
      <c r="AB9273" s="21">
        <v>0</v>
      </c>
      <c r="AC9273" s="21">
        <v>0</v>
      </c>
      <c r="AD9273" s="21">
        <v>0</v>
      </c>
      <c r="AE9273" s="21">
        <v>0</v>
      </c>
      <c r="AF9273" s="21">
        <v>0</v>
      </c>
      <c r="AG9273" s="21">
        <v>0</v>
      </c>
      <c r="AH9273" s="21">
        <v>64</v>
      </c>
      <c r="AI9273" s="21"/>
      <c r="AJ9273" s="21" t="s">
        <v>51</v>
      </c>
      <c r="AK9273" s="21" t="s">
        <v>95</v>
      </c>
      <c r="AL9273" s="21"/>
      <c r="AM9273" s="21" t="s">
        <v>6442</v>
      </c>
      <c r="AN9273" s="21">
        <v>-122.424229466667</v>
      </c>
      <c r="AO9273" s="21">
        <v>37.799561850000003</v>
      </c>
      <c r="AP9273" s="21" t="s">
        <v>951</v>
      </c>
    </row>
    <row r="9274" spans="1:42">
      <c r="A9274" s="20">
        <v>43871</v>
      </c>
      <c r="B9274" s="21">
        <v>1</v>
      </c>
      <c r="C9274" s="21">
        <v>216</v>
      </c>
      <c r="D9274" s="21">
        <v>14656</v>
      </c>
      <c r="E9274" t="s">
        <v>37</v>
      </c>
      <c r="F9274" s="21" t="s">
        <v>436</v>
      </c>
      <c r="G9274" s="21" t="s">
        <v>4270</v>
      </c>
      <c r="H9274" s="21">
        <v>82</v>
      </c>
      <c r="I9274" s="21" t="s">
        <v>6443</v>
      </c>
      <c r="J9274" s="21"/>
      <c r="K9274" t="s">
        <v>585</v>
      </c>
      <c r="L9274" s="21"/>
      <c r="M9274" s="21"/>
      <c r="N9274" s="21" t="s">
        <v>44</v>
      </c>
      <c r="O9274" s="21">
        <v>73</v>
      </c>
      <c r="P9274" s="21">
        <v>0</v>
      </c>
      <c r="Q9274" s="21">
        <v>1</v>
      </c>
      <c r="R9274" s="21">
        <v>0</v>
      </c>
      <c r="S9274" s="21">
        <v>0</v>
      </c>
      <c r="T9274" s="21">
        <v>0</v>
      </c>
      <c r="U9274" s="21">
        <v>0</v>
      </c>
      <c r="V9274" s="21">
        <v>0</v>
      </c>
      <c r="W9274" s="21">
        <v>1</v>
      </c>
      <c r="X9274" s="21">
        <v>0</v>
      </c>
      <c r="Y9274" s="21">
        <v>0</v>
      </c>
      <c r="Z9274" s="21">
        <v>0</v>
      </c>
      <c r="AA9274" s="21">
        <v>0</v>
      </c>
      <c r="AB9274" s="21">
        <v>0</v>
      </c>
      <c r="AC9274" s="21">
        <v>0</v>
      </c>
      <c r="AD9274" s="21">
        <v>0</v>
      </c>
      <c r="AE9274" s="21">
        <v>0</v>
      </c>
      <c r="AF9274" s="21">
        <v>0</v>
      </c>
      <c r="AG9274" s="21">
        <v>0</v>
      </c>
      <c r="AH9274" s="21">
        <v>96</v>
      </c>
      <c r="AI9274" s="21"/>
      <c r="AJ9274" s="21" t="s">
        <v>51</v>
      </c>
      <c r="AK9274" s="21" t="s">
        <v>95</v>
      </c>
      <c r="AL9274" s="21"/>
      <c r="AM9274" s="21" t="s">
        <v>6444</v>
      </c>
      <c r="AN9274" s="21">
        <v>-122.424512866667</v>
      </c>
      <c r="AO9274" s="21">
        <v>37.796512816666699</v>
      </c>
      <c r="AP9274" s="21" t="s">
        <v>951</v>
      </c>
    </row>
    <row r="9275" spans="1:42">
      <c r="A9275" s="20">
        <v>43871</v>
      </c>
      <c r="B9275" s="21">
        <v>1</v>
      </c>
      <c r="C9275" s="21">
        <v>216</v>
      </c>
      <c r="D9275" s="21">
        <v>14656</v>
      </c>
      <c r="E9275" t="s">
        <v>37</v>
      </c>
      <c r="F9275" s="21" t="s">
        <v>436</v>
      </c>
      <c r="G9275" s="21" t="s">
        <v>4270</v>
      </c>
      <c r="H9275" s="21">
        <v>83</v>
      </c>
      <c r="I9275" s="21" t="s">
        <v>6023</v>
      </c>
      <c r="J9275" s="21"/>
      <c r="K9275" t="s">
        <v>585</v>
      </c>
      <c r="L9275" s="21"/>
      <c r="M9275" s="21"/>
      <c r="N9275" s="21" t="s">
        <v>44</v>
      </c>
      <c r="O9275" s="21">
        <v>80</v>
      </c>
      <c r="P9275" s="21">
        <v>0</v>
      </c>
      <c r="Q9275" s="21">
        <v>1</v>
      </c>
      <c r="R9275" s="21">
        <v>0</v>
      </c>
      <c r="S9275" s="21">
        <v>0</v>
      </c>
      <c r="T9275" s="21">
        <v>0</v>
      </c>
      <c r="U9275" s="21">
        <v>0</v>
      </c>
      <c r="V9275" s="21">
        <v>0</v>
      </c>
      <c r="W9275" s="21">
        <v>1</v>
      </c>
      <c r="X9275" s="21">
        <v>0</v>
      </c>
      <c r="Y9275" s="21">
        <v>0</v>
      </c>
      <c r="Z9275" s="21">
        <v>0</v>
      </c>
      <c r="AA9275" s="21">
        <v>0</v>
      </c>
      <c r="AB9275" s="21">
        <v>0</v>
      </c>
      <c r="AC9275" s="21">
        <v>0</v>
      </c>
      <c r="AD9275" s="21">
        <v>0</v>
      </c>
      <c r="AE9275" s="21">
        <v>0</v>
      </c>
      <c r="AF9275" s="21">
        <v>0</v>
      </c>
      <c r="AG9275" s="21">
        <v>0</v>
      </c>
      <c r="AH9275" s="21">
        <v>96</v>
      </c>
      <c r="AI9275" s="21"/>
      <c r="AJ9275" s="21" t="s">
        <v>51</v>
      </c>
      <c r="AK9275" s="21" t="s">
        <v>95</v>
      </c>
      <c r="AL9275" s="21"/>
      <c r="AM9275" s="21" t="s">
        <v>6445</v>
      </c>
      <c r="AN9275" s="21">
        <v>-122.42484020000001</v>
      </c>
      <c r="AO9275" s="21">
        <v>37.7964524333333</v>
      </c>
      <c r="AP9275" s="21" t="s">
        <v>951</v>
      </c>
    </row>
    <row r="9276" spans="1:42">
      <c r="A9276" s="20">
        <v>43871</v>
      </c>
      <c r="B9276" s="21">
        <v>1</v>
      </c>
      <c r="C9276" s="21">
        <v>216</v>
      </c>
      <c r="D9276" s="21">
        <v>14656</v>
      </c>
      <c r="E9276" t="s">
        <v>37</v>
      </c>
      <c r="F9276" s="21" t="s">
        <v>436</v>
      </c>
      <c r="G9276" s="21" t="s">
        <v>4270</v>
      </c>
      <c r="H9276" s="21">
        <v>84</v>
      </c>
      <c r="I9276" s="21" t="s">
        <v>5279</v>
      </c>
      <c r="J9276" s="21"/>
      <c r="K9276" t="s">
        <v>585</v>
      </c>
      <c r="L9276" s="21"/>
      <c r="M9276" s="21"/>
      <c r="N9276" s="21" t="s">
        <v>44</v>
      </c>
      <c r="O9276" s="21">
        <v>242</v>
      </c>
      <c r="P9276" s="21">
        <v>0</v>
      </c>
      <c r="Q9276" s="21">
        <v>2</v>
      </c>
      <c r="R9276" s="21">
        <v>0</v>
      </c>
      <c r="S9276" s="21">
        <v>0</v>
      </c>
      <c r="T9276" s="21">
        <v>0</v>
      </c>
      <c r="U9276" s="21">
        <v>0</v>
      </c>
      <c r="V9276" s="21">
        <v>0</v>
      </c>
      <c r="W9276" s="21">
        <v>2</v>
      </c>
      <c r="X9276" s="21">
        <v>0</v>
      </c>
      <c r="Y9276" s="21">
        <v>0</v>
      </c>
      <c r="Z9276" s="21">
        <v>0</v>
      </c>
      <c r="AA9276" s="21">
        <v>0</v>
      </c>
      <c r="AB9276" s="21">
        <v>0</v>
      </c>
      <c r="AC9276" s="21">
        <v>0</v>
      </c>
      <c r="AD9276" s="21">
        <v>0</v>
      </c>
      <c r="AE9276" s="21">
        <v>0</v>
      </c>
      <c r="AF9276" s="21">
        <v>0</v>
      </c>
      <c r="AG9276" s="21">
        <v>0</v>
      </c>
      <c r="AH9276" s="21">
        <v>192</v>
      </c>
      <c r="AI9276" s="21"/>
      <c r="AJ9276" s="21" t="s">
        <v>51</v>
      </c>
      <c r="AK9276" s="21" t="s">
        <v>95</v>
      </c>
      <c r="AL9276" s="21" t="s">
        <v>6446</v>
      </c>
      <c r="AM9276" s="21" t="s">
        <v>6447</v>
      </c>
      <c r="AN9276" s="21">
        <v>-122.425068466667</v>
      </c>
      <c r="AO9276" s="21">
        <v>37.796470316666699</v>
      </c>
      <c r="AP9276" s="21" t="s">
        <v>951</v>
      </c>
    </row>
    <row r="9277" spans="1:42">
      <c r="A9277" s="20">
        <v>43871</v>
      </c>
      <c r="B9277" s="21">
        <v>1</v>
      </c>
      <c r="C9277" s="21">
        <v>216</v>
      </c>
      <c r="D9277" s="21">
        <v>14656</v>
      </c>
      <c r="E9277" t="s">
        <v>37</v>
      </c>
      <c r="F9277" s="21" t="s">
        <v>436</v>
      </c>
      <c r="G9277" s="21" t="s">
        <v>4270</v>
      </c>
      <c r="H9277" s="21">
        <v>85</v>
      </c>
      <c r="I9277" s="21" t="s">
        <v>3314</v>
      </c>
      <c r="J9277" s="21"/>
      <c r="K9277" t="s">
        <v>585</v>
      </c>
      <c r="L9277" s="21"/>
      <c r="M9277" s="21"/>
      <c r="N9277" s="21" t="s">
        <v>44</v>
      </c>
      <c r="O9277" s="21">
        <v>119</v>
      </c>
      <c r="P9277" s="21">
        <v>0</v>
      </c>
      <c r="Q9277" s="21">
        <v>0</v>
      </c>
      <c r="R9277" s="21">
        <v>0</v>
      </c>
      <c r="S9277" s="21">
        <v>0</v>
      </c>
      <c r="T9277" s="21">
        <v>0</v>
      </c>
      <c r="U9277" s="21">
        <v>0</v>
      </c>
      <c r="V9277" s="21">
        <v>0</v>
      </c>
      <c r="W9277" s="21">
        <v>0</v>
      </c>
      <c r="X9277" s="21">
        <v>0</v>
      </c>
      <c r="Y9277" s="21">
        <v>0</v>
      </c>
      <c r="Z9277" s="21">
        <v>0</v>
      </c>
      <c r="AA9277" s="21">
        <v>0</v>
      </c>
      <c r="AB9277" s="21">
        <v>0</v>
      </c>
      <c r="AC9277" s="21">
        <v>0</v>
      </c>
      <c r="AD9277" s="21">
        <v>0</v>
      </c>
      <c r="AE9277" s="21">
        <v>0</v>
      </c>
      <c r="AF9277" s="21">
        <v>0</v>
      </c>
      <c r="AG9277" s="21">
        <v>0</v>
      </c>
      <c r="AH9277" s="21">
        <v>0</v>
      </c>
      <c r="AI9277" s="21"/>
      <c r="AJ9277" s="21" t="s">
        <v>51</v>
      </c>
      <c r="AK9277" s="21" t="s">
        <v>95</v>
      </c>
      <c r="AL9277" s="21"/>
      <c r="AM9277" s="21" t="s">
        <v>6448</v>
      </c>
      <c r="AN9277" s="21">
        <v>-122.424055898687</v>
      </c>
      <c r="AO9277" s="21">
        <v>37.7944389753537</v>
      </c>
      <c r="AP9277" s="21" t="s">
        <v>951</v>
      </c>
    </row>
    <row r="9278" spans="1:42">
      <c r="A9278" s="20">
        <v>43871</v>
      </c>
      <c r="B9278" s="21">
        <v>1</v>
      </c>
      <c r="C9278" s="21">
        <v>216</v>
      </c>
      <c r="D9278" s="21">
        <v>14656</v>
      </c>
      <c r="E9278" t="s">
        <v>37</v>
      </c>
      <c r="F9278" s="21" t="s">
        <v>436</v>
      </c>
      <c r="G9278" s="21" t="s">
        <v>4270</v>
      </c>
      <c r="H9278" s="21">
        <v>86</v>
      </c>
      <c r="I9278" s="21" t="s">
        <v>6449</v>
      </c>
      <c r="J9278" s="21"/>
      <c r="K9278" t="s">
        <v>585</v>
      </c>
      <c r="L9278" s="21"/>
      <c r="M9278" s="21"/>
      <c r="N9278" s="21" t="s">
        <v>44</v>
      </c>
      <c r="O9278" s="21">
        <v>211</v>
      </c>
      <c r="P9278" s="21">
        <v>0</v>
      </c>
      <c r="Q9278" s="21">
        <v>3</v>
      </c>
      <c r="R9278" s="21">
        <v>0</v>
      </c>
      <c r="S9278" s="21">
        <v>0</v>
      </c>
      <c r="T9278" s="21">
        <v>0</v>
      </c>
      <c r="U9278" s="21">
        <v>0</v>
      </c>
      <c r="V9278" s="21">
        <v>0</v>
      </c>
      <c r="W9278" s="21">
        <v>3</v>
      </c>
      <c r="X9278" s="21">
        <v>0</v>
      </c>
      <c r="Y9278" s="21">
        <v>0</v>
      </c>
      <c r="Z9278" s="21">
        <v>0</v>
      </c>
      <c r="AA9278" s="21">
        <v>0</v>
      </c>
      <c r="AB9278" s="21">
        <v>0</v>
      </c>
      <c r="AC9278" s="21">
        <v>0</v>
      </c>
      <c r="AD9278" s="21">
        <v>0</v>
      </c>
      <c r="AE9278" s="21">
        <v>0</v>
      </c>
      <c r="AF9278" s="21">
        <v>0</v>
      </c>
      <c r="AG9278" s="21">
        <v>0</v>
      </c>
      <c r="AH9278" s="21">
        <v>288</v>
      </c>
      <c r="AI9278" s="21"/>
      <c r="AJ9278" s="21" t="s">
        <v>51</v>
      </c>
      <c r="AK9278" s="21" t="s">
        <v>95</v>
      </c>
      <c r="AL9278" s="21" t="s">
        <v>6450</v>
      </c>
      <c r="AM9278" s="21" t="s">
        <v>6451</v>
      </c>
      <c r="AN9278" s="21">
        <v>-122.425978933333</v>
      </c>
      <c r="AO9278" s="21">
        <v>37.796365049999999</v>
      </c>
      <c r="AP9278" s="21" t="s">
        <v>951</v>
      </c>
    </row>
    <row r="9279" spans="1:42">
      <c r="A9279" s="20">
        <v>43871</v>
      </c>
      <c r="B9279" s="21">
        <v>1</v>
      </c>
      <c r="C9279" s="21">
        <v>216</v>
      </c>
      <c r="D9279" s="21">
        <v>14656</v>
      </c>
      <c r="E9279" t="s">
        <v>37</v>
      </c>
      <c r="F9279" s="21" t="s">
        <v>436</v>
      </c>
      <c r="G9279" s="21" t="s">
        <v>4270</v>
      </c>
      <c r="H9279" s="21">
        <v>87</v>
      </c>
      <c r="I9279" s="21" t="s">
        <v>4377</v>
      </c>
      <c r="J9279" s="21"/>
      <c r="K9279" t="s">
        <v>585</v>
      </c>
      <c r="L9279" s="21"/>
      <c r="M9279" s="21" t="s">
        <v>52</v>
      </c>
      <c r="N9279" s="21" t="s">
        <v>44</v>
      </c>
      <c r="O9279" s="21">
        <v>164</v>
      </c>
      <c r="P9279" s="21">
        <v>0</v>
      </c>
      <c r="Q9279" s="21">
        <v>1</v>
      </c>
      <c r="R9279" s="21">
        <v>0</v>
      </c>
      <c r="S9279" s="21">
        <v>0</v>
      </c>
      <c r="T9279" s="21">
        <v>0</v>
      </c>
      <c r="U9279" s="21">
        <v>0</v>
      </c>
      <c r="V9279" s="21">
        <v>0</v>
      </c>
      <c r="W9279" s="21">
        <v>1</v>
      </c>
      <c r="X9279" s="21">
        <v>0</v>
      </c>
      <c r="Y9279" s="21">
        <v>0</v>
      </c>
      <c r="Z9279" s="21">
        <v>0</v>
      </c>
      <c r="AA9279" s="21">
        <v>0</v>
      </c>
      <c r="AB9279" s="21">
        <v>0</v>
      </c>
      <c r="AC9279" s="21">
        <v>0</v>
      </c>
      <c r="AD9279" s="21">
        <v>0</v>
      </c>
      <c r="AE9279" s="21">
        <v>0</v>
      </c>
      <c r="AF9279" s="21">
        <v>0</v>
      </c>
      <c r="AG9279" s="21">
        <v>0</v>
      </c>
      <c r="AH9279" s="21">
        <v>96</v>
      </c>
      <c r="AI9279" s="21"/>
      <c r="AJ9279" s="21" t="s">
        <v>51</v>
      </c>
      <c r="AK9279" s="21" t="s">
        <v>95</v>
      </c>
      <c r="AL9279" s="21"/>
      <c r="AM9279" s="21" t="s">
        <v>6452</v>
      </c>
      <c r="AN9279" s="21">
        <v>-122.42625958333301</v>
      </c>
      <c r="AO9279" s="21">
        <v>37.7963736833333</v>
      </c>
      <c r="AP9279" s="21" t="s">
        <v>951</v>
      </c>
    </row>
    <row r="9280" spans="1:42">
      <c r="A9280" s="20">
        <v>43871</v>
      </c>
      <c r="B9280" s="21">
        <v>1</v>
      </c>
      <c r="C9280" s="21">
        <v>216</v>
      </c>
      <c r="D9280" s="21">
        <v>14656</v>
      </c>
      <c r="E9280" t="s">
        <v>37</v>
      </c>
      <c r="F9280" s="21" t="s">
        <v>436</v>
      </c>
      <c r="G9280" s="21" t="s">
        <v>4270</v>
      </c>
      <c r="H9280" s="21">
        <v>88</v>
      </c>
      <c r="I9280" s="21" t="s">
        <v>3876</v>
      </c>
      <c r="J9280" s="21"/>
      <c r="K9280" s="21" t="s">
        <v>119</v>
      </c>
      <c r="L9280" s="21"/>
      <c r="M9280" s="21"/>
      <c r="N9280" s="21" t="s">
        <v>44</v>
      </c>
      <c r="O9280" s="21">
        <v>186</v>
      </c>
      <c r="P9280" s="21">
        <v>0</v>
      </c>
      <c r="Q9280" s="21">
        <v>2</v>
      </c>
      <c r="R9280" s="21">
        <v>0</v>
      </c>
      <c r="S9280" s="21">
        <v>0</v>
      </c>
      <c r="T9280" s="21">
        <v>0</v>
      </c>
      <c r="U9280" s="21">
        <v>0</v>
      </c>
      <c r="V9280" s="21">
        <v>0</v>
      </c>
      <c r="W9280" s="21">
        <v>2</v>
      </c>
      <c r="X9280" s="21">
        <v>0</v>
      </c>
      <c r="Y9280" s="21">
        <v>0</v>
      </c>
      <c r="Z9280" s="21">
        <v>0</v>
      </c>
      <c r="AA9280" s="21">
        <v>0</v>
      </c>
      <c r="AB9280" s="21">
        <v>0</v>
      </c>
      <c r="AC9280" s="21">
        <v>0</v>
      </c>
      <c r="AD9280" s="21">
        <v>0</v>
      </c>
      <c r="AE9280" s="21">
        <v>0</v>
      </c>
      <c r="AF9280" s="21">
        <v>0</v>
      </c>
      <c r="AG9280" s="21">
        <v>0</v>
      </c>
      <c r="AH9280" s="21">
        <v>192</v>
      </c>
      <c r="AI9280" s="21"/>
      <c r="AJ9280" s="21" t="s">
        <v>51</v>
      </c>
      <c r="AK9280" s="21" t="s">
        <v>95</v>
      </c>
      <c r="AL9280" s="21" t="s">
        <v>1545</v>
      </c>
      <c r="AM9280" s="21" t="s">
        <v>6453</v>
      </c>
      <c r="AN9280" s="21">
        <v>-122.42662856666701</v>
      </c>
      <c r="AO9280" s="21">
        <v>37.79726565</v>
      </c>
      <c r="AP9280" s="21" t="s">
        <v>951</v>
      </c>
    </row>
    <row r="9281" spans="1:42">
      <c r="A9281" s="20">
        <v>43871</v>
      </c>
      <c r="B9281" s="21">
        <v>1</v>
      </c>
      <c r="C9281" s="21">
        <v>216</v>
      </c>
      <c r="D9281" s="21">
        <v>14656</v>
      </c>
      <c r="E9281" t="s">
        <v>37</v>
      </c>
      <c r="F9281" s="21" t="s">
        <v>436</v>
      </c>
      <c r="G9281" s="21" t="s">
        <v>4270</v>
      </c>
      <c r="H9281" s="21">
        <v>89</v>
      </c>
      <c r="I9281" s="21" t="s">
        <v>6454</v>
      </c>
      <c r="J9281" s="21"/>
      <c r="K9281" s="21" t="s">
        <v>119</v>
      </c>
      <c r="L9281" s="21"/>
      <c r="M9281" s="21"/>
      <c r="N9281" s="21" t="s">
        <v>44</v>
      </c>
      <c r="O9281" s="21">
        <v>92</v>
      </c>
      <c r="P9281" s="21">
        <v>0</v>
      </c>
      <c r="Q9281" s="21">
        <v>1</v>
      </c>
      <c r="R9281" s="21">
        <v>0</v>
      </c>
      <c r="S9281" s="21">
        <v>0</v>
      </c>
      <c r="T9281" s="21">
        <v>0</v>
      </c>
      <c r="U9281" s="21">
        <v>0</v>
      </c>
      <c r="V9281" s="21">
        <v>0</v>
      </c>
      <c r="W9281" s="21">
        <v>1</v>
      </c>
      <c r="X9281" s="21">
        <v>0</v>
      </c>
      <c r="Y9281" s="21">
        <v>0</v>
      </c>
      <c r="Z9281" s="21">
        <v>0</v>
      </c>
      <c r="AA9281" s="21">
        <v>0</v>
      </c>
      <c r="AB9281" s="21">
        <v>0</v>
      </c>
      <c r="AC9281" s="21">
        <v>0</v>
      </c>
      <c r="AD9281" s="21">
        <v>0</v>
      </c>
      <c r="AE9281" s="21">
        <v>0</v>
      </c>
      <c r="AF9281" s="21">
        <v>0</v>
      </c>
      <c r="AG9281" s="21">
        <v>0</v>
      </c>
      <c r="AH9281" s="21">
        <v>96</v>
      </c>
      <c r="AI9281" s="21"/>
      <c r="AJ9281" s="21" t="s">
        <v>51</v>
      </c>
      <c r="AK9281" s="21" t="s">
        <v>95</v>
      </c>
      <c r="AL9281" s="21"/>
      <c r="AM9281" s="21" t="s">
        <v>6455</v>
      </c>
      <c r="AN9281" s="21">
        <v>-122.42668285000001</v>
      </c>
      <c r="AO9281" s="21">
        <v>37.797222983333299</v>
      </c>
      <c r="AP9281" s="21" t="s">
        <v>951</v>
      </c>
    </row>
    <row r="9282" spans="1:42">
      <c r="A9282" s="20">
        <v>43871</v>
      </c>
      <c r="B9282" s="21">
        <v>1</v>
      </c>
      <c r="C9282" s="21">
        <v>216</v>
      </c>
      <c r="D9282" s="21">
        <v>14656</v>
      </c>
      <c r="E9282" t="s">
        <v>37</v>
      </c>
      <c r="F9282" s="21" t="s">
        <v>436</v>
      </c>
      <c r="G9282" s="21" t="s">
        <v>4270</v>
      </c>
      <c r="H9282" s="21">
        <v>90</v>
      </c>
      <c r="I9282" s="21" t="s">
        <v>6456</v>
      </c>
      <c r="J9282" s="21"/>
      <c r="K9282" s="21" t="s">
        <v>119</v>
      </c>
      <c r="L9282" s="21"/>
      <c r="M9282" s="21"/>
      <c r="N9282" s="21" t="s">
        <v>44</v>
      </c>
      <c r="O9282" s="21">
        <v>64</v>
      </c>
      <c r="P9282" s="21">
        <v>0</v>
      </c>
      <c r="Q9282" s="21">
        <v>1</v>
      </c>
      <c r="R9282" s="21">
        <v>0</v>
      </c>
      <c r="S9282" s="21">
        <v>0</v>
      </c>
      <c r="T9282" s="21">
        <v>0</v>
      </c>
      <c r="U9282" s="21">
        <v>0</v>
      </c>
      <c r="V9282" s="21">
        <v>1</v>
      </c>
      <c r="W9282" s="21">
        <v>0</v>
      </c>
      <c r="X9282" s="21">
        <v>0</v>
      </c>
      <c r="Y9282" s="21">
        <v>0</v>
      </c>
      <c r="Z9282" s="21">
        <v>0</v>
      </c>
      <c r="AA9282" s="21">
        <v>0</v>
      </c>
      <c r="AB9282" s="21">
        <v>0</v>
      </c>
      <c r="AC9282" s="21">
        <v>0</v>
      </c>
      <c r="AD9282" s="21">
        <v>0</v>
      </c>
      <c r="AE9282" s="21">
        <v>0</v>
      </c>
      <c r="AF9282" s="21">
        <v>0</v>
      </c>
      <c r="AG9282" s="21">
        <v>0</v>
      </c>
      <c r="AH9282" s="21">
        <v>64</v>
      </c>
      <c r="AI9282" s="21"/>
      <c r="AJ9282" s="21" t="s">
        <v>51</v>
      </c>
      <c r="AK9282" s="21" t="s">
        <v>95</v>
      </c>
      <c r="AL9282" s="21"/>
      <c r="AM9282" s="21" t="s">
        <v>6457</v>
      </c>
      <c r="AN9282" s="21">
        <v>-122.426642183333</v>
      </c>
      <c r="AO9282" s="21">
        <v>37.797271283333302</v>
      </c>
      <c r="AP9282" s="21" t="s">
        <v>951</v>
      </c>
    </row>
    <row r="9283" spans="1:42">
      <c r="A9283" s="20">
        <v>43871</v>
      </c>
      <c r="B9283" s="21">
        <v>1</v>
      </c>
      <c r="C9283" s="21">
        <v>216</v>
      </c>
      <c r="D9283" s="21">
        <v>14656</v>
      </c>
      <c r="E9283" t="s">
        <v>37</v>
      </c>
      <c r="F9283" s="21" t="s">
        <v>436</v>
      </c>
      <c r="G9283" s="21" t="s">
        <v>4270</v>
      </c>
      <c r="H9283" s="21">
        <v>91</v>
      </c>
      <c r="I9283" s="21" t="s">
        <v>6458</v>
      </c>
      <c r="J9283" s="21"/>
      <c r="K9283" s="21" t="s">
        <v>119</v>
      </c>
      <c r="L9283" s="21"/>
      <c r="M9283" s="21"/>
      <c r="N9283" s="21" t="s">
        <v>44</v>
      </c>
      <c r="O9283" s="21">
        <v>0</v>
      </c>
      <c r="P9283" s="21">
        <v>227</v>
      </c>
      <c r="Q9283" s="21">
        <v>4</v>
      </c>
      <c r="R9283" s="21">
        <v>0</v>
      </c>
      <c r="S9283" s="21">
        <v>0</v>
      </c>
      <c r="T9283" s="21">
        <v>0</v>
      </c>
      <c r="U9283" s="21">
        <v>1</v>
      </c>
      <c r="V9283" s="21">
        <v>1</v>
      </c>
      <c r="W9283" s="21">
        <v>2</v>
      </c>
      <c r="X9283" s="21">
        <v>0</v>
      </c>
      <c r="Y9283" s="21">
        <v>0</v>
      </c>
      <c r="Z9283" s="21">
        <v>0</v>
      </c>
      <c r="AA9283" s="21">
        <v>0</v>
      </c>
      <c r="AB9283" s="21">
        <v>0</v>
      </c>
      <c r="AC9283" s="21">
        <v>0</v>
      </c>
      <c r="AD9283" s="21">
        <v>0</v>
      </c>
      <c r="AE9283" s="21">
        <v>0</v>
      </c>
      <c r="AF9283" s="21">
        <v>0</v>
      </c>
      <c r="AG9283" s="21">
        <v>0</v>
      </c>
      <c r="AH9283" s="21">
        <v>288</v>
      </c>
      <c r="AI9283" s="21"/>
      <c r="AJ9283" s="21" t="s">
        <v>51</v>
      </c>
      <c r="AK9283" s="21" t="s">
        <v>95</v>
      </c>
      <c r="AL9283" s="21" t="s">
        <v>6459</v>
      </c>
      <c r="AM9283" s="21" t="s">
        <v>6460</v>
      </c>
      <c r="AN9283" s="21">
        <v>-122.42540308333299</v>
      </c>
      <c r="AO9283" s="21">
        <v>37.797438100000001</v>
      </c>
      <c r="AP9283" s="21" t="s">
        <v>951</v>
      </c>
    </row>
    <row r="9284" spans="1:42">
      <c r="A9284" s="20">
        <v>43871</v>
      </c>
      <c r="B9284" s="21">
        <v>1</v>
      </c>
      <c r="C9284" s="21">
        <v>216</v>
      </c>
      <c r="D9284" s="21">
        <v>14656</v>
      </c>
      <c r="E9284" t="s">
        <v>37</v>
      </c>
      <c r="F9284" s="21" t="s">
        <v>436</v>
      </c>
      <c r="G9284" s="21" t="s">
        <v>4270</v>
      </c>
      <c r="H9284" s="21">
        <v>92</v>
      </c>
      <c r="I9284" s="21">
        <v>1566</v>
      </c>
      <c r="J9284" s="21"/>
      <c r="K9284" s="21" t="s">
        <v>119</v>
      </c>
      <c r="L9284" s="21"/>
      <c r="M9284" s="21" t="s">
        <v>95</v>
      </c>
      <c r="N9284" s="21" t="s">
        <v>44</v>
      </c>
      <c r="O9284" s="21">
        <v>100</v>
      </c>
      <c r="P9284" s="21">
        <v>0</v>
      </c>
      <c r="Q9284" s="21">
        <v>1</v>
      </c>
      <c r="R9284" s="21">
        <v>0</v>
      </c>
      <c r="S9284" s="21">
        <v>0</v>
      </c>
      <c r="T9284" s="21">
        <v>0</v>
      </c>
      <c r="U9284" s="21">
        <v>0</v>
      </c>
      <c r="V9284" s="21">
        <v>0</v>
      </c>
      <c r="W9284" s="21">
        <v>1</v>
      </c>
      <c r="X9284" s="21">
        <v>0</v>
      </c>
      <c r="Y9284" s="21">
        <v>0</v>
      </c>
      <c r="Z9284" s="21">
        <v>0</v>
      </c>
      <c r="AA9284" s="21">
        <v>0</v>
      </c>
      <c r="AB9284" s="21">
        <v>0</v>
      </c>
      <c r="AC9284" s="21">
        <v>0</v>
      </c>
      <c r="AD9284" s="21">
        <v>0</v>
      </c>
      <c r="AE9284" s="21">
        <v>0</v>
      </c>
      <c r="AF9284" s="21">
        <v>0</v>
      </c>
      <c r="AG9284" s="21">
        <v>0</v>
      </c>
      <c r="AH9284" s="21">
        <v>96</v>
      </c>
      <c r="AI9284" s="21"/>
      <c r="AJ9284" s="21" t="s">
        <v>51</v>
      </c>
      <c r="AK9284" s="21" t="s">
        <v>95</v>
      </c>
      <c r="AL9284" s="21"/>
      <c r="AM9284" s="21" t="s">
        <v>6461</v>
      </c>
      <c r="AN9284" s="21">
        <v>-122.4247646</v>
      </c>
      <c r="AO9284" s="21">
        <v>37.797516666666603</v>
      </c>
      <c r="AP9284" s="21" t="s">
        <v>951</v>
      </c>
    </row>
    <row r="9285" spans="1:42">
      <c r="A9285" s="20">
        <v>43871</v>
      </c>
      <c r="B9285" s="21">
        <v>1</v>
      </c>
      <c r="C9285" s="21">
        <v>216</v>
      </c>
      <c r="D9285" s="21">
        <v>14656</v>
      </c>
      <c r="E9285" t="s">
        <v>37</v>
      </c>
      <c r="F9285" s="21" t="s">
        <v>436</v>
      </c>
      <c r="G9285" s="21" t="s">
        <v>4270</v>
      </c>
      <c r="H9285" s="21">
        <v>93</v>
      </c>
      <c r="I9285" s="21" t="s">
        <v>4799</v>
      </c>
      <c r="J9285" s="21"/>
      <c r="K9285" t="s">
        <v>585</v>
      </c>
      <c r="L9285" s="21"/>
      <c r="M9285" s="21"/>
      <c r="N9285" s="21" t="s">
        <v>44</v>
      </c>
      <c r="O9285" s="21">
        <v>48</v>
      </c>
      <c r="P9285" s="21">
        <v>0</v>
      </c>
      <c r="Q9285" s="21">
        <v>1</v>
      </c>
      <c r="R9285" s="21">
        <v>0</v>
      </c>
      <c r="S9285" s="21">
        <v>0</v>
      </c>
      <c r="T9285" s="21">
        <v>0</v>
      </c>
      <c r="U9285" s="21">
        <v>0</v>
      </c>
      <c r="V9285" s="21">
        <v>0</v>
      </c>
      <c r="W9285" s="21">
        <v>1</v>
      </c>
      <c r="X9285" s="21">
        <v>0</v>
      </c>
      <c r="Y9285" s="21">
        <v>0</v>
      </c>
      <c r="Z9285" s="21">
        <v>0</v>
      </c>
      <c r="AA9285" s="21">
        <v>0</v>
      </c>
      <c r="AB9285" s="21">
        <v>0</v>
      </c>
      <c r="AC9285" s="21">
        <v>0</v>
      </c>
      <c r="AD9285" s="21">
        <v>0</v>
      </c>
      <c r="AE9285" s="21">
        <v>0</v>
      </c>
      <c r="AF9285" s="21">
        <v>0</v>
      </c>
      <c r="AG9285" s="21">
        <v>0</v>
      </c>
      <c r="AH9285" s="21">
        <v>96</v>
      </c>
      <c r="AI9285" s="21"/>
      <c r="AJ9285" s="21" t="s">
        <v>51</v>
      </c>
      <c r="AK9285" s="21" t="s">
        <v>95</v>
      </c>
      <c r="AL9285" s="21"/>
      <c r="AM9285" s="21" t="s">
        <v>6462</v>
      </c>
      <c r="AN9285" s="21">
        <v>-122.426023741336</v>
      </c>
      <c r="AO9285" s="21">
        <v>37.795085855268503</v>
      </c>
      <c r="AP9285" s="21" t="s">
        <v>951</v>
      </c>
    </row>
    <row r="9286" spans="1:42">
      <c r="A9286" s="20">
        <v>43871</v>
      </c>
      <c r="B9286" s="21">
        <v>1</v>
      </c>
      <c r="C9286" s="21">
        <v>216</v>
      </c>
      <c r="D9286" s="21">
        <v>14656</v>
      </c>
      <c r="E9286" t="s">
        <v>37</v>
      </c>
      <c r="F9286" s="21" t="s">
        <v>436</v>
      </c>
      <c r="G9286" s="21" t="s">
        <v>4270</v>
      </c>
      <c r="H9286" s="21">
        <v>94</v>
      </c>
      <c r="I9286" s="21" t="s">
        <v>3317</v>
      </c>
      <c r="J9286" s="21"/>
      <c r="K9286" s="21" t="s">
        <v>119</v>
      </c>
      <c r="L9286" s="21"/>
      <c r="M9286" s="21"/>
      <c r="N9286" s="21" t="s">
        <v>44</v>
      </c>
      <c r="O9286" s="21">
        <v>103</v>
      </c>
      <c r="P9286" s="21">
        <v>0</v>
      </c>
      <c r="Q9286" s="21">
        <v>1</v>
      </c>
      <c r="R9286" s="21">
        <v>0</v>
      </c>
      <c r="S9286" s="21">
        <v>0</v>
      </c>
      <c r="T9286" s="21">
        <v>0</v>
      </c>
      <c r="U9286" s="21">
        <v>0</v>
      </c>
      <c r="V9286" s="21">
        <v>0</v>
      </c>
      <c r="W9286" s="21">
        <v>1</v>
      </c>
      <c r="X9286" s="21">
        <v>0</v>
      </c>
      <c r="Y9286" s="21">
        <v>0</v>
      </c>
      <c r="Z9286" s="21">
        <v>0</v>
      </c>
      <c r="AA9286" s="21">
        <v>0</v>
      </c>
      <c r="AB9286" s="21">
        <v>0</v>
      </c>
      <c r="AC9286" s="21">
        <v>0</v>
      </c>
      <c r="AD9286" s="21">
        <v>0</v>
      </c>
      <c r="AE9286" s="21">
        <v>0</v>
      </c>
      <c r="AF9286" s="21">
        <v>0</v>
      </c>
      <c r="AG9286" s="21">
        <v>0</v>
      </c>
      <c r="AH9286" s="21">
        <v>96</v>
      </c>
      <c r="AI9286" s="21"/>
      <c r="AJ9286" s="21" t="s">
        <v>51</v>
      </c>
      <c r="AK9286" s="21" t="s">
        <v>95</v>
      </c>
      <c r="AL9286" s="21"/>
      <c r="AM9286" s="21" t="s">
        <v>6463</v>
      </c>
      <c r="AN9286" s="21">
        <v>-122.424430716667</v>
      </c>
      <c r="AO9286" s="21">
        <v>37.797564733333303</v>
      </c>
      <c r="AP9286" s="21" t="s">
        <v>951</v>
      </c>
    </row>
    <row r="9287" spans="1:42">
      <c r="A9287" s="20">
        <v>43871</v>
      </c>
      <c r="B9287" s="21">
        <v>1</v>
      </c>
      <c r="C9287" s="21">
        <v>216</v>
      </c>
      <c r="D9287" s="21">
        <v>14656</v>
      </c>
      <c r="E9287" t="s">
        <v>37</v>
      </c>
      <c r="F9287" s="21" t="s">
        <v>436</v>
      </c>
      <c r="G9287" s="21" t="s">
        <v>4270</v>
      </c>
      <c r="H9287" s="21">
        <v>95</v>
      </c>
      <c r="I9287" s="21" t="s">
        <v>3605</v>
      </c>
      <c r="J9287" s="21"/>
      <c r="K9287" s="21" t="s">
        <v>119</v>
      </c>
      <c r="L9287" s="21"/>
      <c r="M9287" s="21"/>
      <c r="N9287" s="21" t="s">
        <v>44</v>
      </c>
      <c r="O9287" s="21">
        <v>123</v>
      </c>
      <c r="P9287" s="21">
        <v>0</v>
      </c>
      <c r="Q9287" s="21">
        <v>1</v>
      </c>
      <c r="R9287" s="21">
        <v>0</v>
      </c>
      <c r="S9287" s="21">
        <v>0</v>
      </c>
      <c r="T9287" s="21">
        <v>0</v>
      </c>
      <c r="U9287" s="21">
        <v>0</v>
      </c>
      <c r="V9287" s="21">
        <v>0</v>
      </c>
      <c r="W9287" s="21">
        <v>1</v>
      </c>
      <c r="X9287" s="21">
        <v>0</v>
      </c>
      <c r="Y9287" s="21">
        <v>0</v>
      </c>
      <c r="Z9287" s="21">
        <v>0</v>
      </c>
      <c r="AA9287" s="21">
        <v>0</v>
      </c>
      <c r="AB9287" s="21">
        <v>0</v>
      </c>
      <c r="AC9287" s="21">
        <v>0</v>
      </c>
      <c r="AD9287" s="21">
        <v>0</v>
      </c>
      <c r="AE9287" s="21">
        <v>0</v>
      </c>
      <c r="AF9287" s="21">
        <v>0</v>
      </c>
      <c r="AG9287" s="21">
        <v>0</v>
      </c>
      <c r="AH9287" s="21">
        <v>96</v>
      </c>
      <c r="AI9287" s="21"/>
      <c r="AJ9287" s="21" t="s">
        <v>51</v>
      </c>
      <c r="AK9287" s="21" t="s">
        <v>95</v>
      </c>
      <c r="AL9287" s="21"/>
      <c r="AM9287" s="21" t="s">
        <v>6464</v>
      </c>
      <c r="AN9287" s="21">
        <v>-122.424425816667</v>
      </c>
      <c r="AO9287" s="21">
        <v>37.797499466666601</v>
      </c>
      <c r="AP9287" s="21" t="s">
        <v>951</v>
      </c>
    </row>
    <row r="9288" spans="1:42">
      <c r="A9288" s="20">
        <v>43871</v>
      </c>
      <c r="B9288" s="21">
        <v>1</v>
      </c>
      <c r="C9288" s="21">
        <v>216</v>
      </c>
      <c r="D9288" s="21">
        <v>14656</v>
      </c>
      <c r="E9288" t="s">
        <v>37</v>
      </c>
      <c r="F9288" s="21" t="s">
        <v>436</v>
      </c>
      <c r="G9288" s="21" t="s">
        <v>4270</v>
      </c>
      <c r="H9288" s="21">
        <v>96</v>
      </c>
      <c r="I9288" s="21" t="s">
        <v>6465</v>
      </c>
      <c r="J9288" s="21"/>
      <c r="K9288" s="21" t="s">
        <v>415</v>
      </c>
      <c r="L9288" s="21"/>
      <c r="M9288" s="21"/>
      <c r="N9288" s="21" t="s">
        <v>44</v>
      </c>
      <c r="O9288" s="21">
        <v>95</v>
      </c>
      <c r="P9288" s="21">
        <v>0</v>
      </c>
      <c r="Q9288" s="21">
        <v>1</v>
      </c>
      <c r="R9288" s="21">
        <v>0</v>
      </c>
      <c r="S9288" s="21">
        <v>0</v>
      </c>
      <c r="T9288" s="21">
        <v>0</v>
      </c>
      <c r="U9288" s="21">
        <v>0</v>
      </c>
      <c r="V9288" s="21">
        <v>0</v>
      </c>
      <c r="W9288" s="21">
        <v>1</v>
      </c>
      <c r="X9288" s="21">
        <v>0</v>
      </c>
      <c r="Y9288" s="21">
        <v>0</v>
      </c>
      <c r="Z9288" s="21">
        <v>0</v>
      </c>
      <c r="AA9288" s="21">
        <v>0</v>
      </c>
      <c r="AB9288" s="21">
        <v>0</v>
      </c>
      <c r="AC9288" s="21">
        <v>0</v>
      </c>
      <c r="AD9288" s="21">
        <v>0</v>
      </c>
      <c r="AE9288" s="21">
        <v>0</v>
      </c>
      <c r="AF9288" s="21">
        <v>0</v>
      </c>
      <c r="AG9288" s="21">
        <v>0</v>
      </c>
      <c r="AH9288" s="21">
        <v>96</v>
      </c>
      <c r="AI9288" s="21"/>
      <c r="AJ9288" s="21" t="s">
        <v>51</v>
      </c>
      <c r="AK9288" s="21" t="s">
        <v>95</v>
      </c>
      <c r="AL9288" s="21" t="s">
        <v>6466</v>
      </c>
      <c r="AM9288" s="21" t="s">
        <v>6467</v>
      </c>
      <c r="AN9288" s="21">
        <v>-122.424147333333</v>
      </c>
      <c r="AO9288" s="21">
        <v>37.797587983333301</v>
      </c>
      <c r="AP9288" s="21" t="s">
        <v>951</v>
      </c>
    </row>
    <row r="9289" spans="1:42">
      <c r="A9289" s="20">
        <v>43871</v>
      </c>
      <c r="B9289" s="21">
        <v>1</v>
      </c>
      <c r="C9289" s="21">
        <v>216</v>
      </c>
      <c r="D9289" s="21">
        <v>14656</v>
      </c>
      <c r="E9289" t="s">
        <v>37</v>
      </c>
      <c r="F9289" s="21" t="s">
        <v>436</v>
      </c>
      <c r="G9289" s="21" t="s">
        <v>4270</v>
      </c>
      <c r="H9289" s="21">
        <v>97</v>
      </c>
      <c r="I9289" s="21" t="s">
        <v>3311</v>
      </c>
      <c r="J9289" s="21"/>
      <c r="K9289" s="21" t="s">
        <v>185</v>
      </c>
      <c r="L9289" s="21"/>
      <c r="M9289" s="21"/>
      <c r="N9289" s="21" t="s">
        <v>44</v>
      </c>
      <c r="O9289" s="21">
        <v>182</v>
      </c>
      <c r="P9289" s="21">
        <v>0</v>
      </c>
      <c r="Q9289" s="21">
        <v>2</v>
      </c>
      <c r="R9289" s="21">
        <v>0</v>
      </c>
      <c r="S9289" s="21">
        <v>0</v>
      </c>
      <c r="T9289" s="21">
        <v>0</v>
      </c>
      <c r="U9289" s="21">
        <v>0</v>
      </c>
      <c r="V9289" s="21">
        <v>0</v>
      </c>
      <c r="W9289" s="21">
        <v>2</v>
      </c>
      <c r="X9289" s="21">
        <v>0</v>
      </c>
      <c r="Y9289" s="21">
        <v>0</v>
      </c>
      <c r="Z9289" s="21">
        <v>0</v>
      </c>
      <c r="AA9289" s="21">
        <v>0</v>
      </c>
      <c r="AB9289" s="21">
        <v>0</v>
      </c>
      <c r="AC9289" s="21">
        <v>0</v>
      </c>
      <c r="AD9289" s="21">
        <v>0</v>
      </c>
      <c r="AE9289" s="21">
        <v>0</v>
      </c>
      <c r="AF9289" s="21">
        <v>0</v>
      </c>
      <c r="AG9289" s="21">
        <v>0</v>
      </c>
      <c r="AH9289" s="21">
        <v>192</v>
      </c>
      <c r="AI9289" s="21"/>
      <c r="AJ9289" s="21" t="s">
        <v>51</v>
      </c>
      <c r="AK9289" s="21" t="s">
        <v>95</v>
      </c>
      <c r="AL9289" s="21" t="s">
        <v>6468</v>
      </c>
      <c r="AM9289" s="21" t="s">
        <v>6469</v>
      </c>
      <c r="AN9289" s="21">
        <v>-122.424293033333</v>
      </c>
      <c r="AO9289" s="21">
        <v>37.795656016666697</v>
      </c>
      <c r="AP9289" s="21" t="s">
        <v>951</v>
      </c>
    </row>
    <row r="9290" spans="1:42">
      <c r="A9290" s="20">
        <v>43871</v>
      </c>
      <c r="B9290" s="21">
        <v>1</v>
      </c>
      <c r="C9290" s="21">
        <v>216</v>
      </c>
      <c r="D9290" s="21">
        <v>14656</v>
      </c>
      <c r="E9290" t="s">
        <v>37</v>
      </c>
      <c r="F9290" s="21" t="s">
        <v>436</v>
      </c>
      <c r="G9290" s="21" t="s">
        <v>4270</v>
      </c>
      <c r="H9290" s="21">
        <v>98</v>
      </c>
      <c r="I9290" s="21" t="s">
        <v>6470</v>
      </c>
      <c r="J9290" s="21"/>
      <c r="K9290" s="21" t="s">
        <v>4704</v>
      </c>
      <c r="L9290" s="21"/>
      <c r="M9290" s="21"/>
      <c r="N9290" s="21" t="s">
        <v>44</v>
      </c>
      <c r="O9290" s="21">
        <v>193</v>
      </c>
      <c r="P9290" s="21">
        <v>0</v>
      </c>
      <c r="Q9290" s="21">
        <v>2</v>
      </c>
      <c r="R9290" s="21">
        <v>0</v>
      </c>
      <c r="S9290" s="21">
        <v>0</v>
      </c>
      <c r="T9290" s="21">
        <v>0</v>
      </c>
      <c r="U9290" s="21">
        <v>0</v>
      </c>
      <c r="V9290" s="21">
        <v>0</v>
      </c>
      <c r="W9290" s="21">
        <v>2</v>
      </c>
      <c r="X9290" s="21">
        <v>0</v>
      </c>
      <c r="Y9290" s="21">
        <v>0</v>
      </c>
      <c r="Z9290" s="21">
        <v>0</v>
      </c>
      <c r="AA9290" s="21">
        <v>0</v>
      </c>
      <c r="AB9290" s="21">
        <v>0</v>
      </c>
      <c r="AC9290" s="21">
        <v>0</v>
      </c>
      <c r="AD9290" s="21">
        <v>0</v>
      </c>
      <c r="AE9290" s="21">
        <v>0</v>
      </c>
      <c r="AF9290" s="21">
        <v>0</v>
      </c>
      <c r="AG9290" s="21">
        <v>0</v>
      </c>
      <c r="AH9290" s="21">
        <v>192</v>
      </c>
      <c r="AI9290" s="21"/>
      <c r="AJ9290" s="21" t="s">
        <v>51</v>
      </c>
      <c r="AK9290" s="21" t="s">
        <v>95</v>
      </c>
      <c r="AL9290" s="21" t="s">
        <v>6440</v>
      </c>
      <c r="AM9290" s="21" t="s">
        <v>6471</v>
      </c>
      <c r="AN9290" s="21">
        <v>-122.427664866667</v>
      </c>
      <c r="AO9290" s="21">
        <v>37.795258516666699</v>
      </c>
      <c r="AP9290" s="21" t="s">
        <v>951</v>
      </c>
    </row>
    <row r="9291" spans="1:42">
      <c r="A9291" s="20">
        <v>43871</v>
      </c>
      <c r="B9291" s="21">
        <v>1</v>
      </c>
      <c r="C9291" s="21">
        <v>216</v>
      </c>
      <c r="D9291" s="21">
        <v>14656</v>
      </c>
      <c r="E9291" t="s">
        <v>37</v>
      </c>
      <c r="F9291" s="21" t="s">
        <v>436</v>
      </c>
      <c r="G9291" s="21" t="s">
        <v>4270</v>
      </c>
      <c r="H9291" s="21">
        <v>99</v>
      </c>
      <c r="I9291" s="21" t="s">
        <v>5528</v>
      </c>
      <c r="J9291" s="21"/>
      <c r="K9291" s="21" t="s">
        <v>4704</v>
      </c>
      <c r="L9291" s="21"/>
      <c r="M9291" s="21"/>
      <c r="N9291" s="21" t="s">
        <v>44</v>
      </c>
      <c r="O9291" s="21">
        <v>73</v>
      </c>
      <c r="P9291" s="21">
        <v>0</v>
      </c>
      <c r="Q9291" s="21">
        <v>2</v>
      </c>
      <c r="R9291" s="21">
        <v>0</v>
      </c>
      <c r="S9291" s="21">
        <v>0</v>
      </c>
      <c r="T9291" s="21">
        <v>0</v>
      </c>
      <c r="U9291" s="21">
        <v>0</v>
      </c>
      <c r="V9291" s="21">
        <v>0</v>
      </c>
      <c r="W9291" s="21">
        <v>2</v>
      </c>
      <c r="X9291" s="21">
        <v>0</v>
      </c>
      <c r="Y9291" s="21">
        <v>0</v>
      </c>
      <c r="Z9291" s="21">
        <v>0</v>
      </c>
      <c r="AA9291" s="21">
        <v>0</v>
      </c>
      <c r="AB9291" s="21">
        <v>0</v>
      </c>
      <c r="AC9291" s="21">
        <v>0</v>
      </c>
      <c r="AD9291" s="21">
        <v>0</v>
      </c>
      <c r="AE9291" s="21">
        <v>0</v>
      </c>
      <c r="AF9291" s="21">
        <v>0</v>
      </c>
      <c r="AG9291" s="21">
        <v>0</v>
      </c>
      <c r="AH9291" s="21">
        <v>192</v>
      </c>
      <c r="AI9291" s="21"/>
      <c r="AJ9291" s="21" t="s">
        <v>51</v>
      </c>
      <c r="AK9291" s="21" t="s">
        <v>95</v>
      </c>
      <c r="AL9291" s="21"/>
      <c r="AM9291" s="21" t="s">
        <v>6472</v>
      </c>
      <c r="AN9291" s="21">
        <v>-122.42745593333299</v>
      </c>
      <c r="AO9291" s="21">
        <v>37.795231999999999</v>
      </c>
      <c r="AP9291" s="21" t="s">
        <v>951</v>
      </c>
    </row>
    <row r="9292" spans="1:42">
      <c r="A9292" s="20">
        <v>43871</v>
      </c>
      <c r="B9292" s="21">
        <v>1</v>
      </c>
      <c r="C9292" s="21">
        <v>216</v>
      </c>
      <c r="D9292" s="21">
        <v>14656</v>
      </c>
      <c r="E9292" t="s">
        <v>37</v>
      </c>
      <c r="F9292" s="21" t="s">
        <v>436</v>
      </c>
      <c r="G9292" s="21" t="s">
        <v>4270</v>
      </c>
      <c r="H9292" s="21">
        <v>100</v>
      </c>
      <c r="I9292" s="21" t="s">
        <v>4447</v>
      </c>
      <c r="J9292" s="21"/>
      <c r="K9292" s="21" t="s">
        <v>185</v>
      </c>
      <c r="L9292" s="21"/>
      <c r="M9292" s="21"/>
      <c r="N9292" s="21" t="s">
        <v>44</v>
      </c>
      <c r="O9292" s="21">
        <v>87</v>
      </c>
      <c r="P9292" s="21">
        <v>0</v>
      </c>
      <c r="Q9292" s="21">
        <v>1</v>
      </c>
      <c r="R9292" s="21">
        <v>0</v>
      </c>
      <c r="S9292" s="21">
        <v>0</v>
      </c>
      <c r="T9292" s="21">
        <v>0</v>
      </c>
      <c r="U9292" s="21">
        <v>0</v>
      </c>
      <c r="V9292" s="21">
        <v>0</v>
      </c>
      <c r="W9292" s="21">
        <v>1</v>
      </c>
      <c r="X9292" s="21">
        <v>0</v>
      </c>
      <c r="Y9292" s="21">
        <v>0</v>
      </c>
      <c r="Z9292" s="21">
        <v>0</v>
      </c>
      <c r="AA9292" s="21">
        <v>0</v>
      </c>
      <c r="AB9292" s="21">
        <v>0</v>
      </c>
      <c r="AC9292" s="21">
        <v>0</v>
      </c>
      <c r="AD9292" s="21">
        <v>0</v>
      </c>
      <c r="AE9292" s="21">
        <v>0</v>
      </c>
      <c r="AF9292" s="21">
        <v>0</v>
      </c>
      <c r="AG9292" s="21">
        <v>0</v>
      </c>
      <c r="AH9292" s="21">
        <v>96</v>
      </c>
      <c r="AI9292" s="21"/>
      <c r="AJ9292" s="21" t="s">
        <v>51</v>
      </c>
      <c r="AK9292" s="21" t="s">
        <v>95</v>
      </c>
      <c r="AL9292" s="21" t="s">
        <v>1129</v>
      </c>
      <c r="AM9292" s="21" t="s">
        <v>6473</v>
      </c>
      <c r="AN9292" s="21">
        <v>-122.426957883333</v>
      </c>
      <c r="AO9292" s="21">
        <v>37.7952807666667</v>
      </c>
      <c r="AP9292" s="21" t="s">
        <v>951</v>
      </c>
    </row>
    <row r="9293" spans="1:42">
      <c r="A9293" s="20">
        <v>43871</v>
      </c>
      <c r="B9293" s="21">
        <v>1</v>
      </c>
      <c r="C9293" s="21">
        <v>216</v>
      </c>
      <c r="D9293" s="21">
        <v>14656</v>
      </c>
      <c r="E9293" t="s">
        <v>37</v>
      </c>
      <c r="F9293" s="21" t="s">
        <v>436</v>
      </c>
      <c r="G9293" s="21" t="s">
        <v>4270</v>
      </c>
      <c r="H9293" s="21">
        <v>101</v>
      </c>
      <c r="I9293" s="21" t="s">
        <v>6474</v>
      </c>
      <c r="J9293" s="21"/>
      <c r="K9293" s="21" t="s">
        <v>185</v>
      </c>
      <c r="L9293" s="21"/>
      <c r="M9293" s="21"/>
      <c r="N9293" s="21" t="s">
        <v>44</v>
      </c>
      <c r="O9293" s="21">
        <v>0</v>
      </c>
      <c r="P9293" s="21">
        <v>395</v>
      </c>
      <c r="Q9293" s="21">
        <v>3</v>
      </c>
      <c r="R9293" s="21">
        <v>2</v>
      </c>
      <c r="S9293" s="21">
        <v>0</v>
      </c>
      <c r="T9293" s="21">
        <v>0</v>
      </c>
      <c r="U9293" s="21">
        <v>0</v>
      </c>
      <c r="V9293" s="21">
        <v>0</v>
      </c>
      <c r="W9293" s="21">
        <v>3</v>
      </c>
      <c r="X9293" s="21">
        <v>0</v>
      </c>
      <c r="Y9293" s="21">
        <v>0</v>
      </c>
      <c r="Z9293" s="21">
        <v>0</v>
      </c>
      <c r="AA9293" s="21">
        <v>0</v>
      </c>
      <c r="AB9293" s="21">
        <v>0</v>
      </c>
      <c r="AC9293" s="21">
        <v>0</v>
      </c>
      <c r="AD9293" s="21">
        <v>0</v>
      </c>
      <c r="AE9293" s="21">
        <v>0</v>
      </c>
      <c r="AF9293" s="21">
        <v>0</v>
      </c>
      <c r="AG9293" s="21">
        <v>0</v>
      </c>
      <c r="AH9293" s="21">
        <v>288</v>
      </c>
      <c r="AI9293" s="21"/>
      <c r="AJ9293" s="21" t="s">
        <v>51</v>
      </c>
      <c r="AK9293" s="21" t="s">
        <v>95</v>
      </c>
      <c r="AL9293" s="21" t="s">
        <v>6398</v>
      </c>
      <c r="AM9293" s="21" t="s">
        <v>6475</v>
      </c>
      <c r="AN9293" s="21">
        <v>-122.426335133333</v>
      </c>
      <c r="AO9293" s="21">
        <v>37.795380866666697</v>
      </c>
      <c r="AP9293" s="21" t="s">
        <v>951</v>
      </c>
    </row>
    <row r="9294" spans="1:42">
      <c r="A9294" s="20">
        <v>43881.504351851901</v>
      </c>
      <c r="B9294" s="21">
        <v>4</v>
      </c>
      <c r="C9294" s="21">
        <v>303</v>
      </c>
      <c r="D9294" s="21">
        <v>10229</v>
      </c>
      <c r="E9294" t="s">
        <v>37</v>
      </c>
      <c r="F9294" s="21" t="s">
        <v>38</v>
      </c>
      <c r="G9294" s="21" t="s">
        <v>4270</v>
      </c>
      <c r="H9294" s="21">
        <v>2</v>
      </c>
      <c r="I9294" s="21" t="s">
        <v>6476</v>
      </c>
      <c r="J9294" s="21"/>
      <c r="K9294" s="21" t="s">
        <v>386</v>
      </c>
      <c r="L9294" s="21" t="s">
        <v>141</v>
      </c>
      <c r="M9294" s="21"/>
      <c r="N9294" s="21" t="s">
        <v>40</v>
      </c>
      <c r="O9294" s="21">
        <v>103</v>
      </c>
      <c r="P9294" s="21"/>
      <c r="Q9294" s="21"/>
      <c r="R9294" s="21"/>
      <c r="S9294" s="21">
        <v>0</v>
      </c>
      <c r="T9294" s="21">
        <v>0</v>
      </c>
      <c r="U9294" s="21">
        <v>0</v>
      </c>
      <c r="V9294" s="21">
        <v>3</v>
      </c>
      <c r="W9294" s="21">
        <v>0</v>
      </c>
      <c r="X9294" s="21">
        <v>0</v>
      </c>
      <c r="Y9294" s="21">
        <v>0</v>
      </c>
      <c r="Z9294" s="21">
        <v>0</v>
      </c>
      <c r="AA9294" s="21">
        <v>0</v>
      </c>
      <c r="AB9294" s="21">
        <v>0</v>
      </c>
      <c r="AC9294" s="21">
        <v>0</v>
      </c>
      <c r="AD9294" s="21">
        <v>0</v>
      </c>
      <c r="AE9294" s="21">
        <v>0</v>
      </c>
      <c r="AF9294" s="21">
        <v>0</v>
      </c>
      <c r="AG9294" s="21">
        <v>0</v>
      </c>
      <c r="AH9294" s="27">
        <f>(S9294*16)+(T9294*20)+(U9294*32)+(V9294*64)+(W9294*96)</f>
        <v>192</v>
      </c>
      <c r="AI9294" s="21"/>
      <c r="AJ9294" s="21" t="s">
        <v>51</v>
      </c>
      <c r="AK9294" s="21" t="s">
        <v>95</v>
      </c>
      <c r="AL9294" s="21"/>
      <c r="AM9294" s="21" t="s">
        <v>6477</v>
      </c>
      <c r="AN9294" s="21">
        <v>-122.395739983333</v>
      </c>
      <c r="AO9294" s="21">
        <v>37.7974608166667</v>
      </c>
      <c r="AP9294" s="21" t="s">
        <v>951</v>
      </c>
    </row>
    <row r="9295" spans="1:42">
      <c r="A9295" s="20">
        <v>43881.504351851901</v>
      </c>
      <c r="B9295" s="21">
        <v>4</v>
      </c>
      <c r="C9295" s="21">
        <v>303</v>
      </c>
      <c r="D9295" s="21">
        <v>10229</v>
      </c>
      <c r="E9295" t="s">
        <v>37</v>
      </c>
      <c r="F9295" s="21" t="s">
        <v>38</v>
      </c>
      <c r="G9295" s="21" t="s">
        <v>4270</v>
      </c>
      <c r="H9295" s="21">
        <v>3</v>
      </c>
      <c r="I9295" s="21" t="s">
        <v>3378</v>
      </c>
      <c r="J9295" s="21"/>
      <c r="K9295" s="21" t="s">
        <v>386</v>
      </c>
      <c r="L9295" s="21" t="s">
        <v>141</v>
      </c>
      <c r="M9295" s="21"/>
      <c r="N9295" s="21" t="s">
        <v>40</v>
      </c>
      <c r="O9295" s="21">
        <v>60</v>
      </c>
      <c r="P9295" s="21"/>
      <c r="Q9295" s="21"/>
      <c r="R9295" s="21"/>
      <c r="S9295" s="21">
        <v>0</v>
      </c>
      <c r="T9295" s="21">
        <v>0</v>
      </c>
      <c r="U9295" s="21">
        <v>0</v>
      </c>
      <c r="V9295" s="21">
        <v>2</v>
      </c>
      <c r="W9295" s="21">
        <v>0</v>
      </c>
      <c r="X9295" s="21">
        <v>0</v>
      </c>
      <c r="Y9295" s="21">
        <v>0</v>
      </c>
      <c r="Z9295" s="21">
        <v>0</v>
      </c>
      <c r="AA9295" s="21">
        <v>0</v>
      </c>
      <c r="AB9295" s="21">
        <v>0</v>
      </c>
      <c r="AC9295" s="21">
        <v>0</v>
      </c>
      <c r="AD9295" s="21">
        <v>0</v>
      </c>
      <c r="AE9295" s="21">
        <v>0</v>
      </c>
      <c r="AF9295" s="21">
        <v>0</v>
      </c>
      <c r="AG9295" s="21">
        <v>0</v>
      </c>
      <c r="AH9295" s="27">
        <f t="shared" ref="AH9295:AH9358" si="194">(S9295*16)+(T9295*20)+(U9295*32)+(V9295*64)+(W9295*96)</f>
        <v>128</v>
      </c>
      <c r="AI9295" s="21"/>
      <c r="AJ9295" s="21" t="s">
        <v>51</v>
      </c>
      <c r="AK9295" s="21" t="s">
        <v>95</v>
      </c>
      <c r="AL9295" s="21"/>
      <c r="AM9295" s="21" t="s">
        <v>6478</v>
      </c>
      <c r="AN9295" s="21">
        <v>-122.39955354999999</v>
      </c>
      <c r="AO9295" s="21">
        <v>37.801637300000003</v>
      </c>
      <c r="AP9295" s="21" t="s">
        <v>951</v>
      </c>
    </row>
    <row r="9296" spans="1:42">
      <c r="A9296" s="20">
        <v>43881.504351851901</v>
      </c>
      <c r="B9296" s="21">
        <v>4</v>
      </c>
      <c r="C9296" s="21">
        <v>303</v>
      </c>
      <c r="D9296" s="21">
        <v>10229</v>
      </c>
      <c r="E9296" t="s">
        <v>37</v>
      </c>
      <c r="F9296" s="21" t="s">
        <v>38</v>
      </c>
      <c r="G9296" s="21" t="s">
        <v>4270</v>
      </c>
      <c r="H9296" s="21">
        <v>4</v>
      </c>
      <c r="I9296" s="21" t="s">
        <v>3011</v>
      </c>
      <c r="J9296" s="21"/>
      <c r="K9296" s="21" t="s">
        <v>60</v>
      </c>
      <c r="L9296" s="21" t="s">
        <v>141</v>
      </c>
      <c r="M9296" s="21"/>
      <c r="N9296" s="21" t="s">
        <v>40</v>
      </c>
      <c r="O9296" s="21">
        <v>59</v>
      </c>
      <c r="P9296" s="21"/>
      <c r="Q9296" s="21"/>
      <c r="R9296" s="21"/>
      <c r="S9296" s="21">
        <v>0</v>
      </c>
      <c r="T9296" s="21">
        <v>0</v>
      </c>
      <c r="U9296" s="21">
        <v>0</v>
      </c>
      <c r="V9296" s="21">
        <v>2</v>
      </c>
      <c r="W9296" s="21">
        <v>0</v>
      </c>
      <c r="X9296" s="21">
        <v>0</v>
      </c>
      <c r="Y9296" s="21">
        <v>0</v>
      </c>
      <c r="Z9296" s="21">
        <v>0</v>
      </c>
      <c r="AA9296" s="21">
        <v>0</v>
      </c>
      <c r="AB9296" s="21">
        <v>0</v>
      </c>
      <c r="AC9296" s="21">
        <v>0</v>
      </c>
      <c r="AD9296" s="21">
        <v>0</v>
      </c>
      <c r="AE9296" s="21">
        <v>0</v>
      </c>
      <c r="AF9296" s="21">
        <v>0</v>
      </c>
      <c r="AG9296" s="21">
        <v>0</v>
      </c>
      <c r="AH9296" s="27">
        <f t="shared" si="194"/>
        <v>128</v>
      </c>
      <c r="AI9296" s="21"/>
      <c r="AJ9296" s="21" t="s">
        <v>51</v>
      </c>
      <c r="AK9296" s="21" t="s">
        <v>95</v>
      </c>
      <c r="AL9296" s="21"/>
      <c r="AM9296" s="21" t="s">
        <v>6479</v>
      </c>
      <c r="AN9296" s="21">
        <v>-122.40136706666701</v>
      </c>
      <c r="AO9296" s="21">
        <v>37.803413516666701</v>
      </c>
      <c r="AP9296" s="21" t="s">
        <v>951</v>
      </c>
    </row>
    <row r="9297" spans="1:42">
      <c r="A9297" s="20">
        <v>43881.504351851901</v>
      </c>
      <c r="B9297" s="21">
        <v>4</v>
      </c>
      <c r="C9297" s="21">
        <v>303</v>
      </c>
      <c r="D9297" s="21">
        <v>10229</v>
      </c>
      <c r="E9297" t="s">
        <v>37</v>
      </c>
      <c r="F9297" s="21" t="s">
        <v>38</v>
      </c>
      <c r="G9297" s="21" t="s">
        <v>4270</v>
      </c>
      <c r="H9297" s="21">
        <v>5</v>
      </c>
      <c r="I9297" s="21" t="s">
        <v>3511</v>
      </c>
      <c r="J9297" s="21"/>
      <c r="K9297" s="21" t="s">
        <v>119</v>
      </c>
      <c r="L9297" s="21" t="s">
        <v>141</v>
      </c>
      <c r="M9297" s="21"/>
      <c r="N9297" s="21" t="s">
        <v>40</v>
      </c>
      <c r="O9297" s="21">
        <v>35</v>
      </c>
      <c r="P9297" s="21"/>
      <c r="Q9297" s="21"/>
      <c r="R9297" s="21"/>
      <c r="S9297" s="21">
        <v>0</v>
      </c>
      <c r="T9297" s="21">
        <v>0</v>
      </c>
      <c r="U9297" s="21">
        <v>1</v>
      </c>
      <c r="V9297" s="21">
        <v>0</v>
      </c>
      <c r="W9297" s="21">
        <v>0</v>
      </c>
      <c r="X9297" s="21">
        <v>0</v>
      </c>
      <c r="Y9297" s="21">
        <v>0</v>
      </c>
      <c r="Z9297" s="21">
        <v>0</v>
      </c>
      <c r="AA9297" s="21">
        <v>0</v>
      </c>
      <c r="AB9297" s="21">
        <v>0</v>
      </c>
      <c r="AC9297" s="21">
        <v>0</v>
      </c>
      <c r="AD9297" s="21">
        <v>0</v>
      </c>
      <c r="AE9297" s="21">
        <v>0</v>
      </c>
      <c r="AF9297" s="21">
        <v>0</v>
      </c>
      <c r="AG9297" s="21">
        <v>0</v>
      </c>
      <c r="AH9297" s="27">
        <f t="shared" si="194"/>
        <v>32</v>
      </c>
      <c r="AI9297" s="21"/>
      <c r="AJ9297" s="21" t="s">
        <v>51</v>
      </c>
      <c r="AK9297" s="21" t="s">
        <v>95</v>
      </c>
      <c r="AL9297" s="21"/>
      <c r="AM9297" s="21" t="s">
        <v>6480</v>
      </c>
      <c r="AN9297" s="21">
        <v>-122.40058998333301</v>
      </c>
      <c r="AO9297" s="21">
        <v>37.800612999999998</v>
      </c>
      <c r="AP9297" s="21" t="s">
        <v>951</v>
      </c>
    </row>
    <row r="9298" spans="1:42">
      <c r="A9298" s="20">
        <v>43881.504351851901</v>
      </c>
      <c r="B9298" s="21">
        <v>4</v>
      </c>
      <c r="C9298" s="21">
        <v>303</v>
      </c>
      <c r="D9298" s="21">
        <v>10229</v>
      </c>
      <c r="E9298" t="s">
        <v>37</v>
      </c>
      <c r="F9298" s="21" t="s">
        <v>38</v>
      </c>
      <c r="G9298" s="21" t="s">
        <v>4270</v>
      </c>
      <c r="H9298" s="21">
        <v>6</v>
      </c>
      <c r="I9298" s="21" t="s">
        <v>6481</v>
      </c>
      <c r="J9298" s="21"/>
      <c r="K9298" s="21" t="s">
        <v>156</v>
      </c>
      <c r="L9298" s="21"/>
      <c r="M9298" s="21"/>
      <c r="N9298" s="21" t="s">
        <v>40</v>
      </c>
      <c r="O9298" s="21">
        <v>131</v>
      </c>
      <c r="P9298" s="21"/>
      <c r="Q9298" s="21"/>
      <c r="R9298" s="21"/>
      <c r="S9298" s="21">
        <v>0</v>
      </c>
      <c r="T9298" s="21">
        <v>0</v>
      </c>
      <c r="U9298" s="21">
        <v>0</v>
      </c>
      <c r="V9298" s="21">
        <v>6</v>
      </c>
      <c r="W9298" s="21">
        <v>0</v>
      </c>
      <c r="X9298" s="21">
        <v>0</v>
      </c>
      <c r="Y9298" s="21">
        <v>0</v>
      </c>
      <c r="Z9298" s="21">
        <v>0</v>
      </c>
      <c r="AA9298" s="21">
        <v>0</v>
      </c>
      <c r="AB9298" s="21">
        <v>0</v>
      </c>
      <c r="AC9298" s="21">
        <v>0</v>
      </c>
      <c r="AD9298" s="21">
        <v>0</v>
      </c>
      <c r="AE9298" s="21">
        <v>0</v>
      </c>
      <c r="AF9298" s="21">
        <v>0</v>
      </c>
      <c r="AG9298" s="21">
        <v>0</v>
      </c>
      <c r="AH9298" s="27">
        <f t="shared" si="194"/>
        <v>384</v>
      </c>
      <c r="AI9298" s="21"/>
      <c r="AJ9298" s="21" t="s">
        <v>51</v>
      </c>
      <c r="AK9298" s="21" t="s">
        <v>95</v>
      </c>
      <c r="AL9298" s="21" t="s">
        <v>6482</v>
      </c>
      <c r="AM9298" s="21" t="s">
        <v>6483</v>
      </c>
      <c r="AN9298" s="21">
        <v>-122.40216185</v>
      </c>
      <c r="AO9298" s="21">
        <v>37.800803183333301</v>
      </c>
      <c r="AP9298" s="21" t="s">
        <v>951</v>
      </c>
    </row>
    <row r="9299" spans="1:42">
      <c r="A9299" s="20">
        <v>43881.504351851901</v>
      </c>
      <c r="B9299" s="21">
        <v>4</v>
      </c>
      <c r="C9299" s="21">
        <v>303</v>
      </c>
      <c r="D9299" s="21">
        <v>10229</v>
      </c>
      <c r="E9299" t="s">
        <v>37</v>
      </c>
      <c r="F9299" s="21" t="s">
        <v>38</v>
      </c>
      <c r="G9299" s="21" t="s">
        <v>4270</v>
      </c>
      <c r="H9299" s="21">
        <v>7</v>
      </c>
      <c r="I9299" s="21" t="s">
        <v>4658</v>
      </c>
      <c r="J9299" s="21"/>
      <c r="K9299" s="21" t="s">
        <v>58</v>
      </c>
      <c r="L9299" s="21" t="s">
        <v>114</v>
      </c>
      <c r="M9299" s="21" t="s">
        <v>95</v>
      </c>
      <c r="N9299" s="21" t="s">
        <v>42</v>
      </c>
      <c r="O9299" s="21">
        <v>171</v>
      </c>
      <c r="P9299" s="21"/>
      <c r="Q9299" s="21"/>
      <c r="R9299" s="21"/>
      <c r="S9299" s="21">
        <v>0</v>
      </c>
      <c r="T9299" s="21">
        <v>0</v>
      </c>
      <c r="U9299" s="21">
        <v>0</v>
      </c>
      <c r="V9299" s="21">
        <v>3</v>
      </c>
      <c r="W9299" s="21">
        <v>0</v>
      </c>
      <c r="X9299" s="21">
        <v>0</v>
      </c>
      <c r="Y9299" s="21">
        <v>0</v>
      </c>
      <c r="Z9299" s="21">
        <v>0</v>
      </c>
      <c r="AA9299" s="21">
        <v>0</v>
      </c>
      <c r="AB9299" s="21">
        <v>0</v>
      </c>
      <c r="AC9299" s="21">
        <v>0</v>
      </c>
      <c r="AD9299" s="21">
        <v>0</v>
      </c>
      <c r="AE9299" s="21">
        <v>0</v>
      </c>
      <c r="AF9299" s="21">
        <v>0</v>
      </c>
      <c r="AG9299" s="21">
        <v>0</v>
      </c>
      <c r="AH9299" s="27">
        <f t="shared" si="194"/>
        <v>192</v>
      </c>
      <c r="AI9299" s="21"/>
      <c r="AJ9299" s="21" t="s">
        <v>51</v>
      </c>
      <c r="AK9299" s="21" t="s">
        <v>95</v>
      </c>
      <c r="AL9299" s="21"/>
      <c r="AM9299" s="21" t="s">
        <v>6484</v>
      </c>
      <c r="AN9299" s="21">
        <v>-122.402021366667</v>
      </c>
      <c r="AO9299" s="21">
        <v>37.800527316666702</v>
      </c>
      <c r="AP9299" s="21" t="s">
        <v>951</v>
      </c>
    </row>
    <row r="9300" spans="1:42">
      <c r="A9300" s="20">
        <v>43881.504351851901</v>
      </c>
      <c r="B9300" s="21">
        <v>4</v>
      </c>
      <c r="C9300" s="21">
        <v>303</v>
      </c>
      <c r="D9300" s="21">
        <v>10229</v>
      </c>
      <c r="E9300" t="s">
        <v>37</v>
      </c>
      <c r="F9300" s="21" t="s">
        <v>38</v>
      </c>
      <c r="G9300" s="21" t="s">
        <v>4270</v>
      </c>
      <c r="H9300" s="21">
        <v>8</v>
      </c>
      <c r="I9300" s="21" t="s">
        <v>3519</v>
      </c>
      <c r="J9300" s="21"/>
      <c r="K9300" s="21" t="s">
        <v>148</v>
      </c>
      <c r="L9300" s="21" t="s">
        <v>141</v>
      </c>
      <c r="M9300" s="21"/>
      <c r="N9300" s="21" t="s">
        <v>40</v>
      </c>
      <c r="O9300" s="21">
        <v>37</v>
      </c>
      <c r="P9300" s="21"/>
      <c r="Q9300" s="21"/>
      <c r="R9300" s="21"/>
      <c r="S9300" s="21">
        <v>0</v>
      </c>
      <c r="T9300" s="21">
        <v>0</v>
      </c>
      <c r="U9300" s="21">
        <v>0</v>
      </c>
      <c r="V9300" s="21">
        <v>1</v>
      </c>
      <c r="W9300" s="21">
        <v>0</v>
      </c>
      <c r="X9300" s="21">
        <v>0</v>
      </c>
      <c r="Y9300" s="21">
        <v>0</v>
      </c>
      <c r="Z9300" s="21">
        <v>0</v>
      </c>
      <c r="AA9300" s="21">
        <v>0</v>
      </c>
      <c r="AB9300" s="21">
        <v>0</v>
      </c>
      <c r="AC9300" s="21">
        <v>0</v>
      </c>
      <c r="AD9300" s="21">
        <v>0</v>
      </c>
      <c r="AE9300" s="21">
        <v>0</v>
      </c>
      <c r="AF9300" s="21">
        <v>0</v>
      </c>
      <c r="AG9300" s="21">
        <v>0</v>
      </c>
      <c r="AH9300" s="27">
        <f t="shared" si="194"/>
        <v>64</v>
      </c>
      <c r="AI9300" s="21"/>
      <c r="AJ9300" s="21" t="s">
        <v>51</v>
      </c>
      <c r="AK9300" s="21" t="s">
        <v>95</v>
      </c>
      <c r="AL9300" s="21"/>
      <c r="AM9300" s="21" t="s">
        <v>6485</v>
      </c>
      <c r="AN9300" s="21">
        <v>-122.40314771666699</v>
      </c>
      <c r="AO9300" s="21">
        <v>37.802379233333298</v>
      </c>
      <c r="AP9300" s="21" t="s">
        <v>951</v>
      </c>
    </row>
    <row r="9301" spans="1:42">
      <c r="A9301" s="20">
        <v>43881.504351851901</v>
      </c>
      <c r="B9301" s="21">
        <v>4</v>
      </c>
      <c r="C9301" s="21">
        <v>303</v>
      </c>
      <c r="D9301" s="21">
        <v>10229</v>
      </c>
      <c r="E9301" t="s">
        <v>37</v>
      </c>
      <c r="F9301" s="21" t="s">
        <v>38</v>
      </c>
      <c r="G9301" s="21" t="s">
        <v>4270</v>
      </c>
      <c r="H9301" s="21">
        <v>9</v>
      </c>
      <c r="I9301" s="21" t="s">
        <v>3230</v>
      </c>
      <c r="J9301" s="21"/>
      <c r="K9301" s="21" t="s">
        <v>60</v>
      </c>
      <c r="L9301" s="21" t="s">
        <v>114</v>
      </c>
      <c r="M9301" s="21"/>
      <c r="N9301" s="21" t="s">
        <v>40</v>
      </c>
      <c r="O9301" s="21">
        <v>51</v>
      </c>
      <c r="P9301" s="21"/>
      <c r="Q9301" s="21"/>
      <c r="R9301" s="21"/>
      <c r="S9301" s="21">
        <v>0</v>
      </c>
      <c r="T9301" s="21">
        <v>0</v>
      </c>
      <c r="U9301" s="21">
        <v>0</v>
      </c>
      <c r="V9301" s="21">
        <v>2</v>
      </c>
      <c r="W9301" s="21">
        <v>0</v>
      </c>
      <c r="X9301" s="21">
        <v>0</v>
      </c>
      <c r="Y9301" s="21">
        <v>0</v>
      </c>
      <c r="Z9301" s="21">
        <v>0</v>
      </c>
      <c r="AA9301" s="21">
        <v>0</v>
      </c>
      <c r="AB9301" s="21">
        <v>0</v>
      </c>
      <c r="AC9301" s="21">
        <v>0</v>
      </c>
      <c r="AD9301" s="21">
        <v>0</v>
      </c>
      <c r="AE9301" s="21">
        <v>0</v>
      </c>
      <c r="AF9301" s="21">
        <v>0</v>
      </c>
      <c r="AG9301" s="21">
        <v>0</v>
      </c>
      <c r="AH9301" s="27">
        <f t="shared" si="194"/>
        <v>128</v>
      </c>
      <c r="AI9301" s="21"/>
      <c r="AJ9301" s="21" t="s">
        <v>51</v>
      </c>
      <c r="AK9301" s="21" t="s">
        <v>95</v>
      </c>
      <c r="AL9301" s="21"/>
      <c r="AM9301" s="21" t="s">
        <v>6486</v>
      </c>
      <c r="AN9301" s="21">
        <v>-122.40347156666699</v>
      </c>
      <c r="AO9301" s="21">
        <v>37.8047985166667</v>
      </c>
      <c r="AP9301" s="21" t="s">
        <v>951</v>
      </c>
    </row>
    <row r="9302" spans="1:42">
      <c r="A9302" s="20">
        <v>43881.504351851901</v>
      </c>
      <c r="B9302" s="21">
        <v>4</v>
      </c>
      <c r="C9302" s="21">
        <v>303</v>
      </c>
      <c r="D9302" s="21">
        <v>10229</v>
      </c>
      <c r="E9302" t="s">
        <v>37</v>
      </c>
      <c r="F9302" s="21" t="s">
        <v>38</v>
      </c>
      <c r="G9302" s="21" t="s">
        <v>4270</v>
      </c>
      <c r="H9302" s="21">
        <v>10</v>
      </c>
      <c r="I9302" s="21" t="s">
        <v>3807</v>
      </c>
      <c r="J9302" s="21"/>
      <c r="K9302" s="21" t="s">
        <v>60</v>
      </c>
      <c r="L9302" s="21"/>
      <c r="M9302" s="21"/>
      <c r="N9302" s="21" t="s">
        <v>44</v>
      </c>
      <c r="O9302" s="21">
        <v>150</v>
      </c>
      <c r="P9302" s="21"/>
      <c r="Q9302" s="21"/>
      <c r="R9302" s="21"/>
      <c r="S9302" s="21">
        <v>0</v>
      </c>
      <c r="T9302" s="21">
        <v>0</v>
      </c>
      <c r="U9302" s="21">
        <v>0</v>
      </c>
      <c r="V9302" s="21">
        <v>5</v>
      </c>
      <c r="W9302" s="21">
        <v>0</v>
      </c>
      <c r="X9302" s="21">
        <v>0</v>
      </c>
      <c r="Y9302" s="21">
        <v>0</v>
      </c>
      <c r="Z9302" s="21">
        <v>0</v>
      </c>
      <c r="AA9302" s="21">
        <v>0</v>
      </c>
      <c r="AB9302" s="21">
        <v>0</v>
      </c>
      <c r="AC9302" s="21">
        <v>0</v>
      </c>
      <c r="AD9302" s="21">
        <v>0</v>
      </c>
      <c r="AE9302" s="21">
        <v>0</v>
      </c>
      <c r="AF9302" s="21">
        <v>0</v>
      </c>
      <c r="AG9302" s="21">
        <v>0</v>
      </c>
      <c r="AH9302" s="27">
        <f t="shared" si="194"/>
        <v>320</v>
      </c>
      <c r="AI9302" s="21"/>
      <c r="AJ9302" s="21" t="s">
        <v>51</v>
      </c>
      <c r="AK9302" s="21" t="s">
        <v>95</v>
      </c>
      <c r="AL9302" s="21"/>
      <c r="AM9302" s="21" t="s">
        <v>6487</v>
      </c>
      <c r="AN9302" s="21">
        <v>-122.40132825000001</v>
      </c>
      <c r="AO9302" s="21">
        <v>37.800245066666697</v>
      </c>
      <c r="AP9302" s="21" t="s">
        <v>951</v>
      </c>
    </row>
    <row r="9303" spans="1:42">
      <c r="A9303" s="20">
        <v>43881.504351851901</v>
      </c>
      <c r="B9303" s="21">
        <v>4</v>
      </c>
      <c r="C9303" s="21">
        <v>303</v>
      </c>
      <c r="D9303" s="21">
        <v>10229</v>
      </c>
      <c r="E9303" t="s">
        <v>37</v>
      </c>
      <c r="F9303" s="21" t="s">
        <v>38</v>
      </c>
      <c r="G9303" s="21" t="s">
        <v>4270</v>
      </c>
      <c r="H9303" s="21">
        <v>11</v>
      </c>
      <c r="I9303" s="21" t="s">
        <v>6488</v>
      </c>
      <c r="J9303" s="21"/>
      <c r="K9303" s="21" t="s">
        <v>60</v>
      </c>
      <c r="L9303" s="21"/>
      <c r="M9303" s="21"/>
      <c r="N9303" s="21" t="s">
        <v>44</v>
      </c>
      <c r="O9303" s="21">
        <v>164</v>
      </c>
      <c r="P9303" s="21"/>
      <c r="Q9303" s="21"/>
      <c r="R9303" s="21"/>
      <c r="S9303" s="21">
        <v>0</v>
      </c>
      <c r="T9303" s="21">
        <v>0</v>
      </c>
      <c r="U9303" s="21">
        <v>0</v>
      </c>
      <c r="V9303" s="21">
        <v>3</v>
      </c>
      <c r="W9303" s="21">
        <v>0</v>
      </c>
      <c r="X9303" s="21">
        <v>0</v>
      </c>
      <c r="Y9303" s="21">
        <v>0</v>
      </c>
      <c r="Z9303" s="21">
        <v>0</v>
      </c>
      <c r="AA9303" s="21">
        <v>0</v>
      </c>
      <c r="AB9303" s="21">
        <v>0</v>
      </c>
      <c r="AC9303" s="21">
        <v>0</v>
      </c>
      <c r="AD9303" s="21">
        <v>0</v>
      </c>
      <c r="AE9303" s="21">
        <v>0</v>
      </c>
      <c r="AF9303" s="21">
        <v>0</v>
      </c>
      <c r="AG9303" s="21">
        <v>0</v>
      </c>
      <c r="AH9303" s="27">
        <f t="shared" si="194"/>
        <v>192</v>
      </c>
      <c r="AI9303" s="21"/>
      <c r="AJ9303" s="21" t="s">
        <v>51</v>
      </c>
      <c r="AK9303" s="21" t="s">
        <v>95</v>
      </c>
      <c r="AL9303" s="21" t="s">
        <v>6489</v>
      </c>
      <c r="AM9303" s="21" t="s">
        <v>6490</v>
      </c>
      <c r="AN9303" s="21">
        <v>-122.401031166667</v>
      </c>
      <c r="AO9303" s="21">
        <v>37.798807533333303</v>
      </c>
      <c r="AP9303" s="21" t="s">
        <v>951</v>
      </c>
    </row>
    <row r="9304" spans="1:42">
      <c r="A9304" s="20">
        <v>43881.504351851901</v>
      </c>
      <c r="B9304" s="21">
        <v>4</v>
      </c>
      <c r="C9304" s="21">
        <v>303</v>
      </c>
      <c r="D9304" s="21">
        <v>10229</v>
      </c>
      <c r="E9304" t="s">
        <v>37</v>
      </c>
      <c r="F9304" s="21" t="s">
        <v>38</v>
      </c>
      <c r="G9304" s="21" t="s">
        <v>4270</v>
      </c>
      <c r="H9304" s="21">
        <v>12</v>
      </c>
      <c r="I9304" s="21" t="s">
        <v>3121</v>
      </c>
      <c r="J9304" s="21"/>
      <c r="K9304" s="21" t="s">
        <v>61</v>
      </c>
      <c r="L9304" s="21" t="s">
        <v>141</v>
      </c>
      <c r="M9304" s="21"/>
      <c r="N9304" s="21" t="s">
        <v>40</v>
      </c>
      <c r="O9304" s="21">
        <v>56</v>
      </c>
      <c r="P9304" s="21"/>
      <c r="Q9304" s="21"/>
      <c r="R9304" s="21"/>
      <c r="S9304" s="21">
        <v>0</v>
      </c>
      <c r="T9304" s="21">
        <v>0</v>
      </c>
      <c r="U9304" s="21">
        <v>0</v>
      </c>
      <c r="V9304" s="21">
        <v>1</v>
      </c>
      <c r="W9304" s="21">
        <v>0</v>
      </c>
      <c r="X9304" s="21">
        <v>0</v>
      </c>
      <c r="Y9304" s="21">
        <v>0</v>
      </c>
      <c r="Z9304" s="21">
        <v>0</v>
      </c>
      <c r="AA9304" s="21">
        <v>0</v>
      </c>
      <c r="AB9304" s="21">
        <v>0</v>
      </c>
      <c r="AC9304" s="21">
        <v>0</v>
      </c>
      <c r="AD9304" s="21">
        <v>0</v>
      </c>
      <c r="AE9304" s="21">
        <v>0</v>
      </c>
      <c r="AF9304" s="21">
        <v>0</v>
      </c>
      <c r="AG9304" s="21">
        <v>0</v>
      </c>
      <c r="AH9304" s="27">
        <f t="shared" si="194"/>
        <v>64</v>
      </c>
      <c r="AI9304" s="21"/>
      <c r="AJ9304" s="21" t="s">
        <v>51</v>
      </c>
      <c r="AK9304" s="21" t="s">
        <v>95</v>
      </c>
      <c r="AL9304" s="21"/>
      <c r="AM9304" s="21" t="s">
        <v>6491</v>
      </c>
      <c r="AN9304" s="21">
        <v>-122.400210466667</v>
      </c>
      <c r="AO9304" s="21">
        <v>37.800239716666702</v>
      </c>
      <c r="AP9304" s="21" t="s">
        <v>951</v>
      </c>
    </row>
    <row r="9305" spans="1:42">
      <c r="A9305" s="20">
        <v>43881.504351851901</v>
      </c>
      <c r="B9305" s="21">
        <v>4</v>
      </c>
      <c r="C9305" s="21">
        <v>303</v>
      </c>
      <c r="D9305" s="21">
        <v>10229</v>
      </c>
      <c r="E9305" t="s">
        <v>37</v>
      </c>
      <c r="F9305" s="21" t="s">
        <v>38</v>
      </c>
      <c r="G9305" s="21" t="s">
        <v>4270</v>
      </c>
      <c r="H9305" s="21">
        <v>13</v>
      </c>
      <c r="I9305" s="21" t="s">
        <v>3232</v>
      </c>
      <c r="J9305" s="21"/>
      <c r="K9305" s="21" t="s">
        <v>61</v>
      </c>
      <c r="L9305" s="21" t="s">
        <v>141</v>
      </c>
      <c r="M9305" s="21"/>
      <c r="N9305" s="21" t="s">
        <v>40</v>
      </c>
      <c r="O9305" s="21">
        <v>52</v>
      </c>
      <c r="P9305" s="21"/>
      <c r="Q9305" s="21"/>
      <c r="R9305" s="21"/>
      <c r="S9305" s="21">
        <v>0</v>
      </c>
      <c r="T9305" s="21">
        <v>0</v>
      </c>
      <c r="U9305" s="21">
        <v>0</v>
      </c>
      <c r="V9305" s="21">
        <v>1</v>
      </c>
      <c r="W9305" s="21">
        <v>0</v>
      </c>
      <c r="X9305" s="21">
        <v>0</v>
      </c>
      <c r="Y9305" s="21">
        <v>0</v>
      </c>
      <c r="Z9305" s="21">
        <v>0</v>
      </c>
      <c r="AA9305" s="21">
        <v>0</v>
      </c>
      <c r="AB9305" s="21">
        <v>0</v>
      </c>
      <c r="AC9305" s="21">
        <v>0</v>
      </c>
      <c r="AD9305" s="21">
        <v>0</v>
      </c>
      <c r="AE9305" s="21">
        <v>0</v>
      </c>
      <c r="AF9305" s="21">
        <v>0</v>
      </c>
      <c r="AG9305" s="21">
        <v>0</v>
      </c>
      <c r="AH9305" s="27">
        <f t="shared" si="194"/>
        <v>64</v>
      </c>
      <c r="AI9305" s="21"/>
      <c r="AJ9305" s="21" t="s">
        <v>51</v>
      </c>
      <c r="AK9305" s="21" t="s">
        <v>95</v>
      </c>
      <c r="AL9305" s="21"/>
      <c r="AM9305" s="21" t="s">
        <v>6492</v>
      </c>
      <c r="AN9305" s="21">
        <v>-122.40057103333299</v>
      </c>
      <c r="AO9305" s="21">
        <v>37.801478583333299</v>
      </c>
      <c r="AP9305" s="21" t="s">
        <v>951</v>
      </c>
    </row>
    <row r="9306" spans="1:42">
      <c r="A9306" s="20">
        <v>43881.504351851901</v>
      </c>
      <c r="B9306" s="21">
        <v>4</v>
      </c>
      <c r="C9306" s="21">
        <v>303</v>
      </c>
      <c r="D9306" s="21">
        <v>10229</v>
      </c>
      <c r="E9306" t="s">
        <v>37</v>
      </c>
      <c r="F9306" s="21" t="s">
        <v>38</v>
      </c>
      <c r="G9306" s="21" t="s">
        <v>4270</v>
      </c>
      <c r="H9306" s="21">
        <v>14</v>
      </c>
      <c r="I9306" s="21" t="s">
        <v>6493</v>
      </c>
      <c r="J9306" s="21"/>
      <c r="K9306" s="21" t="s">
        <v>4704</v>
      </c>
      <c r="L9306" s="21" t="s">
        <v>114</v>
      </c>
      <c r="M9306" s="21"/>
      <c r="N9306" s="21" t="s">
        <v>40</v>
      </c>
      <c r="O9306" s="21">
        <v>75</v>
      </c>
      <c r="P9306" s="21"/>
      <c r="Q9306" s="21"/>
      <c r="R9306" s="21"/>
      <c r="S9306" s="21">
        <v>0</v>
      </c>
      <c r="T9306" s="21">
        <v>0</v>
      </c>
      <c r="U9306" s="21">
        <v>0</v>
      </c>
      <c r="V9306" s="21">
        <v>1</v>
      </c>
      <c r="W9306" s="21">
        <v>1</v>
      </c>
      <c r="X9306" s="21">
        <v>0</v>
      </c>
      <c r="Y9306" s="21">
        <v>0</v>
      </c>
      <c r="Z9306" s="21">
        <v>0</v>
      </c>
      <c r="AA9306" s="21">
        <v>0</v>
      </c>
      <c r="AB9306" s="21">
        <v>0</v>
      </c>
      <c r="AC9306" s="21">
        <v>0</v>
      </c>
      <c r="AD9306" s="21">
        <v>0</v>
      </c>
      <c r="AE9306" s="21">
        <v>0</v>
      </c>
      <c r="AF9306" s="21">
        <v>0</v>
      </c>
      <c r="AG9306" s="21">
        <v>0</v>
      </c>
      <c r="AH9306" s="27">
        <f t="shared" si="194"/>
        <v>160</v>
      </c>
      <c r="AI9306" s="21"/>
      <c r="AJ9306" s="21" t="s">
        <v>51</v>
      </c>
      <c r="AK9306" s="21" t="s">
        <v>95</v>
      </c>
      <c r="AL9306" s="21"/>
      <c r="AM9306" s="21" t="s">
        <v>6494</v>
      </c>
      <c r="AN9306" s="21">
        <v>-122.40143635</v>
      </c>
      <c r="AO9306" s="21">
        <v>37.800067583333302</v>
      </c>
      <c r="AP9306" s="21" t="s">
        <v>951</v>
      </c>
    </row>
    <row r="9307" spans="1:42">
      <c r="A9307" s="20">
        <v>43881.504351851901</v>
      </c>
      <c r="B9307" s="21">
        <v>4</v>
      </c>
      <c r="C9307" s="21">
        <v>303</v>
      </c>
      <c r="D9307" s="21">
        <v>10229</v>
      </c>
      <c r="E9307" t="s">
        <v>37</v>
      </c>
      <c r="F9307" s="21" t="s">
        <v>38</v>
      </c>
      <c r="G9307" s="21" t="s">
        <v>4270</v>
      </c>
      <c r="H9307" s="21">
        <v>15</v>
      </c>
      <c r="I9307" s="21" t="s">
        <v>6495</v>
      </c>
      <c r="J9307" s="21"/>
      <c r="K9307" s="21" t="s">
        <v>185</v>
      </c>
      <c r="L9307" s="21" t="s">
        <v>114</v>
      </c>
      <c r="M9307" s="21"/>
      <c r="N9307" s="21" t="s">
        <v>40</v>
      </c>
      <c r="O9307" s="21">
        <v>38</v>
      </c>
      <c r="P9307" s="21"/>
      <c r="Q9307" s="21"/>
      <c r="R9307" s="21"/>
      <c r="S9307" s="21">
        <v>0</v>
      </c>
      <c r="T9307" s="21">
        <v>0</v>
      </c>
      <c r="U9307" s="21">
        <v>0</v>
      </c>
      <c r="V9307" s="21">
        <v>1</v>
      </c>
      <c r="W9307" s="21">
        <v>0</v>
      </c>
      <c r="X9307" s="21">
        <v>0</v>
      </c>
      <c r="Y9307" s="21">
        <v>0</v>
      </c>
      <c r="Z9307" s="21">
        <v>0</v>
      </c>
      <c r="AA9307" s="21">
        <v>0</v>
      </c>
      <c r="AB9307" s="21">
        <v>0</v>
      </c>
      <c r="AC9307" s="21">
        <v>0</v>
      </c>
      <c r="AD9307" s="21">
        <v>0</v>
      </c>
      <c r="AE9307" s="21">
        <v>0</v>
      </c>
      <c r="AF9307" s="21">
        <v>0</v>
      </c>
      <c r="AG9307" s="21">
        <v>0</v>
      </c>
      <c r="AH9307" s="27">
        <f t="shared" si="194"/>
        <v>64</v>
      </c>
      <c r="AI9307" s="21"/>
      <c r="AJ9307" s="21" t="s">
        <v>51</v>
      </c>
      <c r="AK9307" s="21" t="s">
        <v>95</v>
      </c>
      <c r="AL9307" s="21"/>
      <c r="AM9307" s="21" t="s">
        <v>6496</v>
      </c>
      <c r="AN9307" s="21">
        <v>-122.405811466667</v>
      </c>
      <c r="AO9307" s="21">
        <v>37.7980172166667</v>
      </c>
      <c r="AP9307" s="21" t="s">
        <v>951</v>
      </c>
    </row>
    <row r="9308" spans="1:42">
      <c r="A9308" s="20">
        <v>43881.504351851901</v>
      </c>
      <c r="B9308" s="21">
        <v>4</v>
      </c>
      <c r="C9308" s="21">
        <v>303</v>
      </c>
      <c r="D9308" s="21">
        <v>10229</v>
      </c>
      <c r="E9308" t="s">
        <v>37</v>
      </c>
      <c r="F9308" s="21" t="s">
        <v>38</v>
      </c>
      <c r="G9308" s="21" t="s">
        <v>4270</v>
      </c>
      <c r="H9308" s="21">
        <v>16</v>
      </c>
      <c r="I9308" s="21" t="s">
        <v>6497</v>
      </c>
      <c r="J9308" s="21"/>
      <c r="K9308" s="21" t="s">
        <v>4704</v>
      </c>
      <c r="L9308" s="21" t="s">
        <v>141</v>
      </c>
      <c r="M9308" s="21"/>
      <c r="N9308" s="21" t="s">
        <v>40</v>
      </c>
      <c r="O9308" s="21">
        <v>32</v>
      </c>
      <c r="P9308" s="21"/>
      <c r="Q9308" s="21"/>
      <c r="R9308" s="21"/>
      <c r="S9308" s="21">
        <v>0</v>
      </c>
      <c r="T9308" s="21">
        <v>0</v>
      </c>
      <c r="U9308" s="21">
        <v>0</v>
      </c>
      <c r="V9308" s="21">
        <v>1</v>
      </c>
      <c r="W9308" s="21">
        <v>0</v>
      </c>
      <c r="X9308" s="21">
        <v>0</v>
      </c>
      <c r="Y9308" s="21">
        <v>0</v>
      </c>
      <c r="Z9308" s="21">
        <v>0</v>
      </c>
      <c r="AA9308" s="21">
        <v>0</v>
      </c>
      <c r="AB9308" s="21">
        <v>0</v>
      </c>
      <c r="AC9308" s="21">
        <v>0</v>
      </c>
      <c r="AD9308" s="21">
        <v>0</v>
      </c>
      <c r="AE9308" s="21">
        <v>0</v>
      </c>
      <c r="AF9308" s="21">
        <v>0</v>
      </c>
      <c r="AG9308" s="21">
        <v>0</v>
      </c>
      <c r="AH9308" s="27">
        <f t="shared" si="194"/>
        <v>64</v>
      </c>
      <c r="AI9308" s="21"/>
      <c r="AJ9308" s="21" t="s">
        <v>51</v>
      </c>
      <c r="AK9308" s="21" t="s">
        <v>95</v>
      </c>
      <c r="AL9308" s="21"/>
      <c r="AM9308" s="21" t="s">
        <v>6498</v>
      </c>
      <c r="AN9308" s="21">
        <v>-122.40621235</v>
      </c>
      <c r="AO9308" s="21">
        <v>37.797817933333299</v>
      </c>
      <c r="AP9308" s="21" t="s">
        <v>951</v>
      </c>
    </row>
    <row r="9309" spans="1:42">
      <c r="A9309" s="20">
        <v>43881.504351851901</v>
      </c>
      <c r="B9309" s="21">
        <v>4</v>
      </c>
      <c r="C9309" s="21">
        <v>303</v>
      </c>
      <c r="D9309" s="21">
        <v>10229</v>
      </c>
      <c r="E9309" t="s">
        <v>37</v>
      </c>
      <c r="F9309" s="21" t="s">
        <v>38</v>
      </c>
      <c r="G9309" s="21" t="s">
        <v>4270</v>
      </c>
      <c r="H9309" s="21">
        <v>17</v>
      </c>
      <c r="I9309" s="21" t="s">
        <v>6038</v>
      </c>
      <c r="J9309" s="21"/>
      <c r="K9309" s="21" t="s">
        <v>39</v>
      </c>
      <c r="L9309" s="21" t="s">
        <v>114</v>
      </c>
      <c r="M9309" s="21"/>
      <c r="N9309" s="21" t="s">
        <v>40</v>
      </c>
      <c r="O9309" s="21">
        <v>36</v>
      </c>
      <c r="P9309" s="21"/>
      <c r="Q9309" s="21"/>
      <c r="R9309" s="21"/>
      <c r="S9309" s="21">
        <v>0</v>
      </c>
      <c r="T9309" s="21">
        <v>0</v>
      </c>
      <c r="U9309" s="21">
        <v>0</v>
      </c>
      <c r="V9309" s="21">
        <v>1</v>
      </c>
      <c r="W9309" s="21">
        <v>0</v>
      </c>
      <c r="X9309" s="21">
        <v>0</v>
      </c>
      <c r="Y9309" s="21">
        <v>0</v>
      </c>
      <c r="Z9309" s="21">
        <v>0</v>
      </c>
      <c r="AA9309" s="21">
        <v>0</v>
      </c>
      <c r="AB9309" s="21">
        <v>0</v>
      </c>
      <c r="AC9309" s="21">
        <v>0</v>
      </c>
      <c r="AD9309" s="21">
        <v>0</v>
      </c>
      <c r="AE9309" s="21">
        <v>0</v>
      </c>
      <c r="AF9309" s="21">
        <v>0</v>
      </c>
      <c r="AG9309" s="21">
        <v>0</v>
      </c>
      <c r="AH9309" s="27">
        <f t="shared" si="194"/>
        <v>64</v>
      </c>
      <c r="AI9309" s="21"/>
      <c r="AJ9309" s="21" t="s">
        <v>54</v>
      </c>
      <c r="AK9309" s="21" t="s">
        <v>95</v>
      </c>
      <c r="AL9309" s="21"/>
      <c r="AM9309" s="21" t="s">
        <v>6499</v>
      </c>
      <c r="AN9309" s="21">
        <v>-122.40552151666699</v>
      </c>
      <c r="AO9309" s="21">
        <v>37.797927483333297</v>
      </c>
      <c r="AP9309" s="21" t="s">
        <v>951</v>
      </c>
    </row>
    <row r="9310" spans="1:42">
      <c r="A9310" s="20">
        <v>43881.504351851901</v>
      </c>
      <c r="B9310" s="21">
        <v>4</v>
      </c>
      <c r="C9310" s="21">
        <v>303</v>
      </c>
      <c r="D9310" s="21">
        <v>10229</v>
      </c>
      <c r="E9310" t="s">
        <v>37</v>
      </c>
      <c r="F9310" s="21" t="s">
        <v>38</v>
      </c>
      <c r="G9310" s="21" t="s">
        <v>4270</v>
      </c>
      <c r="H9310" s="21">
        <v>18</v>
      </c>
      <c r="I9310" s="21" t="s">
        <v>6500</v>
      </c>
      <c r="J9310" s="21"/>
      <c r="K9310" s="21" t="s">
        <v>185</v>
      </c>
      <c r="L9310" s="21" t="s">
        <v>141</v>
      </c>
      <c r="M9310" s="21"/>
      <c r="N9310" s="21" t="s">
        <v>40</v>
      </c>
      <c r="O9310" s="21">
        <v>90</v>
      </c>
      <c r="P9310" s="21"/>
      <c r="Q9310" s="21"/>
      <c r="R9310" s="21"/>
      <c r="S9310" s="21">
        <v>0</v>
      </c>
      <c r="T9310" s="21">
        <v>0</v>
      </c>
      <c r="U9310" s="21">
        <v>2</v>
      </c>
      <c r="V9310" s="21">
        <v>0</v>
      </c>
      <c r="W9310" s="21">
        <v>0</v>
      </c>
      <c r="X9310" s="21">
        <v>0</v>
      </c>
      <c r="Y9310" s="21">
        <v>0</v>
      </c>
      <c r="Z9310" s="21">
        <v>0</v>
      </c>
      <c r="AA9310" s="21">
        <v>0</v>
      </c>
      <c r="AB9310" s="21">
        <v>0</v>
      </c>
      <c r="AC9310" s="21">
        <v>0</v>
      </c>
      <c r="AD9310" s="21">
        <v>0</v>
      </c>
      <c r="AE9310" s="21">
        <v>0</v>
      </c>
      <c r="AF9310" s="21">
        <v>0</v>
      </c>
      <c r="AG9310" s="21">
        <v>0</v>
      </c>
      <c r="AH9310" s="27">
        <f t="shared" si="194"/>
        <v>64</v>
      </c>
      <c r="AI9310" s="21"/>
      <c r="AJ9310" s="21" t="s">
        <v>51</v>
      </c>
      <c r="AK9310" s="21" t="s">
        <v>95</v>
      </c>
      <c r="AL9310" s="21" t="s">
        <v>6501</v>
      </c>
      <c r="AM9310" s="21" t="s">
        <v>6502</v>
      </c>
      <c r="AN9310" s="21">
        <v>-122.404632533333</v>
      </c>
      <c r="AO9310" s="21">
        <v>37.798108416666601</v>
      </c>
      <c r="AP9310" s="21" t="s">
        <v>951</v>
      </c>
    </row>
    <row r="9311" spans="1:42">
      <c r="A9311" s="20">
        <v>43881.504351851901</v>
      </c>
      <c r="B9311" s="21">
        <v>4</v>
      </c>
      <c r="C9311" s="21">
        <v>303</v>
      </c>
      <c r="D9311" s="21">
        <v>10229</v>
      </c>
      <c r="E9311" t="s">
        <v>37</v>
      </c>
      <c r="F9311" s="21" t="s">
        <v>38</v>
      </c>
      <c r="G9311" s="21" t="s">
        <v>4270</v>
      </c>
      <c r="H9311" s="21">
        <v>19</v>
      </c>
      <c r="I9311" s="21" t="s">
        <v>5500</v>
      </c>
      <c r="J9311" s="21"/>
      <c r="K9311" s="21" t="s">
        <v>6503</v>
      </c>
      <c r="L9311" s="21"/>
      <c r="M9311" s="21"/>
      <c r="N9311" s="21" t="s">
        <v>44</v>
      </c>
      <c r="O9311" s="21">
        <v>163</v>
      </c>
      <c r="P9311" s="21"/>
      <c r="Q9311" s="21"/>
      <c r="R9311" s="21"/>
      <c r="S9311" s="21">
        <v>0</v>
      </c>
      <c r="T9311" s="21">
        <v>0</v>
      </c>
      <c r="U9311" s="21">
        <v>0</v>
      </c>
      <c r="V9311" s="21">
        <v>1</v>
      </c>
      <c r="W9311" s="21">
        <v>0</v>
      </c>
      <c r="X9311" s="21">
        <v>0</v>
      </c>
      <c r="Y9311" s="21">
        <v>0</v>
      </c>
      <c r="Z9311" s="21">
        <v>0</v>
      </c>
      <c r="AA9311" s="21">
        <v>0</v>
      </c>
      <c r="AB9311" s="21">
        <v>0</v>
      </c>
      <c r="AC9311" s="21">
        <v>0</v>
      </c>
      <c r="AD9311" s="21">
        <v>0</v>
      </c>
      <c r="AE9311" s="21">
        <v>0</v>
      </c>
      <c r="AF9311" s="21">
        <v>0</v>
      </c>
      <c r="AG9311" s="21">
        <v>0</v>
      </c>
      <c r="AH9311" s="27">
        <f t="shared" si="194"/>
        <v>64</v>
      </c>
      <c r="AI9311" s="21"/>
      <c r="AJ9311" s="21" t="s">
        <v>51</v>
      </c>
      <c r="AK9311" s="21" t="s">
        <v>95</v>
      </c>
      <c r="AL9311" s="21" t="s">
        <v>6504</v>
      </c>
      <c r="AM9311" s="21" t="s">
        <v>6505</v>
      </c>
      <c r="AN9311" s="21">
        <v>-122.40349985</v>
      </c>
      <c r="AO9311" s="21">
        <v>37.798271016666703</v>
      </c>
      <c r="AP9311" s="21" t="s">
        <v>951</v>
      </c>
    </row>
    <row r="9312" spans="1:42">
      <c r="A9312" s="20">
        <v>43881.504351851901</v>
      </c>
      <c r="B9312" s="21">
        <v>4</v>
      </c>
      <c r="C9312" s="21">
        <v>303</v>
      </c>
      <c r="D9312" s="21">
        <v>10229</v>
      </c>
      <c r="E9312" t="s">
        <v>37</v>
      </c>
      <c r="F9312" s="21" t="s">
        <v>38</v>
      </c>
      <c r="G9312" s="21" t="s">
        <v>4270</v>
      </c>
      <c r="H9312" s="21">
        <v>20</v>
      </c>
      <c r="I9312" s="21" t="s">
        <v>6506</v>
      </c>
      <c r="J9312" s="21"/>
      <c r="K9312" s="21" t="s">
        <v>60</v>
      </c>
      <c r="L9312" s="21"/>
      <c r="M9312" s="21"/>
      <c r="N9312" s="21" t="s">
        <v>44</v>
      </c>
      <c r="O9312" s="21">
        <v>41</v>
      </c>
      <c r="P9312" s="21"/>
      <c r="Q9312" s="21"/>
      <c r="R9312" s="21"/>
      <c r="S9312" s="21">
        <v>0</v>
      </c>
      <c r="T9312" s="21">
        <v>0</v>
      </c>
      <c r="U9312" s="21">
        <v>1</v>
      </c>
      <c r="V9312" s="21">
        <v>0</v>
      </c>
      <c r="W9312" s="21">
        <v>0</v>
      </c>
      <c r="X9312" s="21">
        <v>0</v>
      </c>
      <c r="Y9312" s="21">
        <v>0</v>
      </c>
      <c r="Z9312" s="21">
        <v>0</v>
      </c>
      <c r="AA9312" s="21">
        <v>0</v>
      </c>
      <c r="AB9312" s="21">
        <v>0</v>
      </c>
      <c r="AC9312" s="21">
        <v>0</v>
      </c>
      <c r="AD9312" s="21">
        <v>0</v>
      </c>
      <c r="AE9312" s="21">
        <v>0</v>
      </c>
      <c r="AF9312" s="21">
        <v>0</v>
      </c>
      <c r="AG9312" s="21">
        <v>0</v>
      </c>
      <c r="AH9312" s="27">
        <f t="shared" si="194"/>
        <v>32</v>
      </c>
      <c r="AI9312" s="21"/>
      <c r="AJ9312" s="21" t="s">
        <v>51</v>
      </c>
      <c r="AK9312" s="21" t="s">
        <v>95</v>
      </c>
      <c r="AL9312" s="21"/>
      <c r="AM9312" s="21" t="s">
        <v>6507</v>
      </c>
      <c r="AN9312" s="21">
        <v>-122.40093885</v>
      </c>
      <c r="AO9312" s="21">
        <v>37.798318266666698</v>
      </c>
      <c r="AP9312" s="21" t="s">
        <v>951</v>
      </c>
    </row>
    <row r="9313" spans="1:42">
      <c r="A9313" s="20">
        <v>43881.504351851901</v>
      </c>
      <c r="B9313" s="21">
        <v>4</v>
      </c>
      <c r="C9313" s="21">
        <v>303</v>
      </c>
      <c r="D9313" s="21">
        <v>10229</v>
      </c>
      <c r="E9313" t="s">
        <v>37</v>
      </c>
      <c r="F9313" s="21" t="s">
        <v>38</v>
      </c>
      <c r="G9313" s="21" t="s">
        <v>4270</v>
      </c>
      <c r="H9313" s="21">
        <v>21</v>
      </c>
      <c r="I9313" s="21" t="s">
        <v>6508</v>
      </c>
      <c r="J9313" s="21"/>
      <c r="K9313" t="s">
        <v>605</v>
      </c>
      <c r="L9313" s="21" t="s">
        <v>114</v>
      </c>
      <c r="M9313" s="21"/>
      <c r="N9313" s="21" t="s">
        <v>40</v>
      </c>
      <c r="O9313" s="21">
        <v>53</v>
      </c>
      <c r="P9313" s="21"/>
      <c r="Q9313" s="21"/>
      <c r="R9313" s="21"/>
      <c r="S9313" s="21">
        <v>0</v>
      </c>
      <c r="T9313" s="21">
        <v>0</v>
      </c>
      <c r="U9313" s="21">
        <v>2</v>
      </c>
      <c r="V9313" s="21">
        <v>0</v>
      </c>
      <c r="W9313" s="21">
        <v>0</v>
      </c>
      <c r="X9313" s="21">
        <v>0</v>
      </c>
      <c r="Y9313" s="21">
        <v>0</v>
      </c>
      <c r="Z9313" s="21">
        <v>0</v>
      </c>
      <c r="AA9313" s="21">
        <v>0</v>
      </c>
      <c r="AB9313" s="21">
        <v>0</v>
      </c>
      <c r="AC9313" s="21">
        <v>0</v>
      </c>
      <c r="AD9313" s="21">
        <v>0</v>
      </c>
      <c r="AE9313" s="21">
        <v>0</v>
      </c>
      <c r="AF9313" s="21">
        <v>0</v>
      </c>
      <c r="AG9313" s="21">
        <v>0</v>
      </c>
      <c r="AH9313" s="27">
        <f t="shared" si="194"/>
        <v>64</v>
      </c>
      <c r="AI9313" s="21"/>
      <c r="AJ9313" s="21" t="s">
        <v>51</v>
      </c>
      <c r="AK9313" s="21" t="s">
        <v>95</v>
      </c>
      <c r="AL9313" s="21" t="s">
        <v>6509</v>
      </c>
      <c r="AM9313" s="21" t="s">
        <v>6510</v>
      </c>
      <c r="AN9313" s="21">
        <v>-122.40084331666699</v>
      </c>
      <c r="AO9313" s="21">
        <v>37.797788033333298</v>
      </c>
      <c r="AP9313" s="21" t="s">
        <v>951</v>
      </c>
    </row>
    <row r="9314" spans="1:42">
      <c r="A9314" s="20">
        <v>43881.504351851901</v>
      </c>
      <c r="B9314" s="21">
        <v>4</v>
      </c>
      <c r="C9314" s="21">
        <v>303</v>
      </c>
      <c r="D9314" s="21">
        <v>10229</v>
      </c>
      <c r="E9314" t="s">
        <v>37</v>
      </c>
      <c r="F9314" s="21" t="s">
        <v>38</v>
      </c>
      <c r="G9314" s="21" t="s">
        <v>4270</v>
      </c>
      <c r="H9314" s="21">
        <v>22</v>
      </c>
      <c r="I9314" s="21" t="s">
        <v>6511</v>
      </c>
      <c r="J9314" s="21"/>
      <c r="K9314" s="21" t="s">
        <v>61</v>
      </c>
      <c r="L9314" s="21" t="s">
        <v>141</v>
      </c>
      <c r="M9314" s="21"/>
      <c r="N9314" s="21" t="s">
        <v>40</v>
      </c>
      <c r="O9314" s="21">
        <v>51</v>
      </c>
      <c r="P9314" s="21"/>
      <c r="Q9314" s="21"/>
      <c r="R9314" s="21"/>
      <c r="S9314" s="21">
        <v>0</v>
      </c>
      <c r="T9314" s="21">
        <v>0</v>
      </c>
      <c r="U9314" s="21">
        <v>0</v>
      </c>
      <c r="V9314" s="21">
        <v>1</v>
      </c>
      <c r="W9314" s="21">
        <v>0</v>
      </c>
      <c r="X9314" s="21">
        <v>0</v>
      </c>
      <c r="Y9314" s="21">
        <v>0</v>
      </c>
      <c r="Z9314" s="21">
        <v>0</v>
      </c>
      <c r="AA9314" s="21">
        <v>0</v>
      </c>
      <c r="AB9314" s="21">
        <v>0</v>
      </c>
      <c r="AC9314" s="21">
        <v>0</v>
      </c>
      <c r="AD9314" s="21">
        <v>0</v>
      </c>
      <c r="AE9314" s="21">
        <v>0</v>
      </c>
      <c r="AF9314" s="21">
        <v>0</v>
      </c>
      <c r="AG9314" s="21">
        <v>0</v>
      </c>
      <c r="AH9314" s="27">
        <f t="shared" si="194"/>
        <v>64</v>
      </c>
      <c r="AI9314" s="21"/>
      <c r="AJ9314" s="21" t="s">
        <v>51</v>
      </c>
      <c r="AK9314" s="21" t="s">
        <v>95</v>
      </c>
      <c r="AL9314" s="21"/>
      <c r="AM9314" s="21" t="s">
        <v>6512</v>
      </c>
      <c r="AN9314" s="21">
        <v>-122.399804783333</v>
      </c>
      <c r="AO9314" s="21">
        <v>37.798436516666598</v>
      </c>
      <c r="AP9314" s="21" t="s">
        <v>951</v>
      </c>
    </row>
    <row r="9315" spans="1:42">
      <c r="A9315" s="20">
        <v>43881.504351851901</v>
      </c>
      <c r="B9315" s="21">
        <v>4</v>
      </c>
      <c r="C9315" s="21">
        <v>303</v>
      </c>
      <c r="D9315" s="21">
        <v>10229</v>
      </c>
      <c r="E9315" t="s">
        <v>37</v>
      </c>
      <c r="F9315" s="21" t="s">
        <v>38</v>
      </c>
      <c r="G9315" s="21" t="s">
        <v>4270</v>
      </c>
      <c r="H9315" s="21">
        <v>23</v>
      </c>
      <c r="I9315" s="21" t="s">
        <v>6513</v>
      </c>
      <c r="J9315" s="21"/>
      <c r="K9315" s="21" t="s">
        <v>386</v>
      </c>
      <c r="L9315" s="21" t="s">
        <v>141</v>
      </c>
      <c r="M9315" s="21"/>
      <c r="N9315" s="21" t="s">
        <v>40</v>
      </c>
      <c r="O9315" s="21">
        <v>60</v>
      </c>
      <c r="P9315" s="21"/>
      <c r="Q9315" s="21"/>
      <c r="R9315" s="21"/>
      <c r="S9315" s="21">
        <v>0</v>
      </c>
      <c r="T9315" s="21">
        <v>0</v>
      </c>
      <c r="U9315" s="21">
        <v>0</v>
      </c>
      <c r="V9315" s="21">
        <v>2</v>
      </c>
      <c r="W9315" s="21">
        <v>0</v>
      </c>
      <c r="X9315" s="21">
        <v>0</v>
      </c>
      <c r="Y9315" s="21">
        <v>0</v>
      </c>
      <c r="Z9315" s="21">
        <v>0</v>
      </c>
      <c r="AA9315" s="21">
        <v>0</v>
      </c>
      <c r="AB9315" s="21">
        <v>0</v>
      </c>
      <c r="AC9315" s="21">
        <v>0</v>
      </c>
      <c r="AD9315" s="21">
        <v>0</v>
      </c>
      <c r="AE9315" s="21">
        <v>0</v>
      </c>
      <c r="AF9315" s="21">
        <v>0</v>
      </c>
      <c r="AG9315" s="21">
        <v>0</v>
      </c>
      <c r="AH9315" s="27">
        <f t="shared" si="194"/>
        <v>128</v>
      </c>
      <c r="AI9315" s="21"/>
      <c r="AJ9315" s="21" t="s">
        <v>51</v>
      </c>
      <c r="AK9315" s="21" t="s">
        <v>95</v>
      </c>
      <c r="AL9315" s="21"/>
      <c r="AM9315" s="21" t="s">
        <v>6514</v>
      </c>
      <c r="AN9315" s="21">
        <v>-122.397549433333</v>
      </c>
      <c r="AO9315" s="21">
        <v>37.798836733333303</v>
      </c>
      <c r="AP9315" s="21" t="s">
        <v>951</v>
      </c>
    </row>
    <row r="9316" spans="1:42">
      <c r="A9316" s="20">
        <v>43881.504351851901</v>
      </c>
      <c r="B9316" s="21">
        <v>4</v>
      </c>
      <c r="C9316" s="21">
        <v>303</v>
      </c>
      <c r="D9316" s="21">
        <v>10229</v>
      </c>
      <c r="E9316" t="s">
        <v>37</v>
      </c>
      <c r="F9316" s="21" t="s">
        <v>38</v>
      </c>
      <c r="G9316" s="21" t="s">
        <v>4270</v>
      </c>
      <c r="H9316" s="21">
        <v>24</v>
      </c>
      <c r="I9316" s="21" t="s">
        <v>6515</v>
      </c>
      <c r="J9316" s="21"/>
      <c r="K9316" s="21" t="s">
        <v>2240</v>
      </c>
      <c r="L9316" s="21" t="s">
        <v>114</v>
      </c>
      <c r="M9316" s="21" t="s">
        <v>95</v>
      </c>
      <c r="N9316" s="21" t="s">
        <v>40</v>
      </c>
      <c r="O9316" s="21">
        <v>86</v>
      </c>
      <c r="P9316" s="21"/>
      <c r="Q9316" s="21"/>
      <c r="R9316" s="21"/>
      <c r="S9316" s="21">
        <v>0</v>
      </c>
      <c r="T9316" s="21">
        <v>0</v>
      </c>
      <c r="U9316" s="21">
        <v>0</v>
      </c>
      <c r="V9316" s="21">
        <v>3</v>
      </c>
      <c r="W9316" s="21">
        <v>0</v>
      </c>
      <c r="X9316" s="21">
        <v>0</v>
      </c>
      <c r="Y9316" s="21">
        <v>0</v>
      </c>
      <c r="Z9316" s="21">
        <v>0</v>
      </c>
      <c r="AA9316" s="21">
        <v>0</v>
      </c>
      <c r="AB9316" s="21">
        <v>0</v>
      </c>
      <c r="AC9316" s="21">
        <v>0</v>
      </c>
      <c r="AD9316" s="21">
        <v>0</v>
      </c>
      <c r="AE9316" s="21">
        <v>0</v>
      </c>
      <c r="AF9316" s="21">
        <v>0</v>
      </c>
      <c r="AG9316" s="21">
        <v>0</v>
      </c>
      <c r="AH9316" s="27">
        <f t="shared" si="194"/>
        <v>192</v>
      </c>
      <c r="AI9316" s="21"/>
      <c r="AJ9316" s="21" t="s">
        <v>51</v>
      </c>
      <c r="AK9316" s="21" t="s">
        <v>95</v>
      </c>
      <c r="AL9316" s="21"/>
      <c r="AM9316" s="21" t="s">
        <v>6516</v>
      </c>
      <c r="AN9316" s="21">
        <v>-122.395712066667</v>
      </c>
      <c r="AO9316" s="21">
        <v>37.796672483333303</v>
      </c>
      <c r="AP9316" s="21" t="s">
        <v>951</v>
      </c>
    </row>
    <row r="9317" spans="1:42">
      <c r="A9317" s="20">
        <v>43881.504351851901</v>
      </c>
      <c r="B9317" s="21">
        <v>4</v>
      </c>
      <c r="C9317" s="21">
        <v>303</v>
      </c>
      <c r="D9317" s="21">
        <v>10229</v>
      </c>
      <c r="E9317" t="s">
        <v>37</v>
      </c>
      <c r="F9317" s="21" t="s">
        <v>38</v>
      </c>
      <c r="G9317" s="21" t="s">
        <v>4270</v>
      </c>
      <c r="H9317" s="21">
        <v>25</v>
      </c>
      <c r="I9317" s="21" t="s">
        <v>4202</v>
      </c>
      <c r="J9317" s="21"/>
      <c r="K9317" s="21" t="s">
        <v>61</v>
      </c>
      <c r="L9317" s="21" t="s">
        <v>141</v>
      </c>
      <c r="M9317" s="21"/>
      <c r="N9317" s="21" t="s">
        <v>40</v>
      </c>
      <c r="O9317" s="21">
        <v>45</v>
      </c>
      <c r="P9317" s="21"/>
      <c r="Q9317" s="21"/>
      <c r="R9317" s="21"/>
      <c r="S9317" s="21">
        <v>0</v>
      </c>
      <c r="T9317" s="21">
        <v>0</v>
      </c>
      <c r="U9317" s="21">
        <v>1</v>
      </c>
      <c r="V9317" s="21">
        <v>0</v>
      </c>
      <c r="W9317" s="21">
        <v>0</v>
      </c>
      <c r="X9317" s="21">
        <v>0</v>
      </c>
      <c r="Y9317" s="21">
        <v>0</v>
      </c>
      <c r="Z9317" s="21">
        <v>0</v>
      </c>
      <c r="AA9317" s="21">
        <v>0</v>
      </c>
      <c r="AB9317" s="21">
        <v>0</v>
      </c>
      <c r="AC9317" s="21">
        <v>0</v>
      </c>
      <c r="AD9317" s="21">
        <v>0</v>
      </c>
      <c r="AE9317" s="21">
        <v>0</v>
      </c>
      <c r="AF9317" s="21">
        <v>0</v>
      </c>
      <c r="AG9317" s="21">
        <v>0</v>
      </c>
      <c r="AH9317" s="27">
        <f t="shared" si="194"/>
        <v>32</v>
      </c>
      <c r="AI9317" s="21"/>
      <c r="AJ9317" s="21" t="s">
        <v>51</v>
      </c>
      <c r="AK9317" s="21" t="s">
        <v>95</v>
      </c>
      <c r="AL9317" s="21"/>
      <c r="AM9317" s="21" t="s">
        <v>6517</v>
      </c>
      <c r="AN9317" s="21">
        <v>-122.39970719999999</v>
      </c>
      <c r="AO9317" s="21">
        <v>37.797619650000001</v>
      </c>
      <c r="AP9317" s="21" t="s">
        <v>951</v>
      </c>
    </row>
    <row r="9318" spans="1:42">
      <c r="A9318" s="20">
        <v>43881.504351851901</v>
      </c>
      <c r="B9318" s="21">
        <v>4</v>
      </c>
      <c r="C9318" s="21">
        <v>303</v>
      </c>
      <c r="D9318" s="21">
        <v>10229</v>
      </c>
      <c r="E9318" t="s">
        <v>37</v>
      </c>
      <c r="F9318" s="21" t="s">
        <v>38</v>
      </c>
      <c r="G9318" s="21" t="s">
        <v>4270</v>
      </c>
      <c r="H9318" s="21">
        <v>26</v>
      </c>
      <c r="I9318" s="21" t="s">
        <v>3798</v>
      </c>
      <c r="J9318" s="21"/>
      <c r="K9318" s="21" t="s">
        <v>2240</v>
      </c>
      <c r="L9318" s="21" t="s">
        <v>141</v>
      </c>
      <c r="M9318" s="21"/>
      <c r="N9318" s="21" t="s">
        <v>40</v>
      </c>
      <c r="O9318" s="21">
        <v>55</v>
      </c>
      <c r="P9318" s="21"/>
      <c r="Q9318" s="21"/>
      <c r="R9318" s="21"/>
      <c r="S9318" s="21">
        <v>0</v>
      </c>
      <c r="T9318" s="21">
        <v>0</v>
      </c>
      <c r="U9318" s="21">
        <v>0</v>
      </c>
      <c r="V9318" s="21">
        <v>2</v>
      </c>
      <c r="W9318" s="21">
        <v>0</v>
      </c>
      <c r="X9318" s="21">
        <v>0</v>
      </c>
      <c r="Y9318" s="21">
        <v>0</v>
      </c>
      <c r="Z9318" s="21">
        <v>0</v>
      </c>
      <c r="AA9318" s="21">
        <v>0</v>
      </c>
      <c r="AB9318" s="21">
        <v>0</v>
      </c>
      <c r="AC9318" s="21">
        <v>0</v>
      </c>
      <c r="AD9318" s="21">
        <v>0</v>
      </c>
      <c r="AE9318" s="21">
        <v>0</v>
      </c>
      <c r="AF9318" s="21">
        <v>0</v>
      </c>
      <c r="AG9318" s="21">
        <v>0</v>
      </c>
      <c r="AH9318" s="27">
        <f t="shared" si="194"/>
        <v>128</v>
      </c>
      <c r="AI9318" s="21"/>
      <c r="AJ9318" s="21" t="s">
        <v>51</v>
      </c>
      <c r="AK9318" s="21" t="s">
        <v>95</v>
      </c>
      <c r="AL9318" s="21"/>
      <c r="AM9318" s="21" t="s">
        <v>6518</v>
      </c>
      <c r="AN9318" s="21">
        <v>-122.40072739999999</v>
      </c>
      <c r="AO9318" s="21">
        <v>37.797206783333301</v>
      </c>
      <c r="AP9318" s="21" t="s">
        <v>951</v>
      </c>
    </row>
    <row r="9319" spans="1:42">
      <c r="A9319" s="20">
        <v>43881.504351851901</v>
      </c>
      <c r="B9319" s="21">
        <v>4</v>
      </c>
      <c r="C9319" s="21">
        <v>303</v>
      </c>
      <c r="D9319" s="21">
        <v>10229</v>
      </c>
      <c r="E9319" t="s">
        <v>37</v>
      </c>
      <c r="F9319" s="21" t="s">
        <v>38</v>
      </c>
      <c r="G9319" s="21" t="s">
        <v>4270</v>
      </c>
      <c r="H9319" s="21">
        <v>27</v>
      </c>
      <c r="I9319" s="21" t="s">
        <v>4651</v>
      </c>
      <c r="J9319" s="21"/>
      <c r="K9319" s="21" t="s">
        <v>2240</v>
      </c>
      <c r="L9319" s="21" t="s">
        <v>141</v>
      </c>
      <c r="M9319" s="21"/>
      <c r="N9319" s="21" t="s">
        <v>40</v>
      </c>
      <c r="O9319" s="21">
        <v>233</v>
      </c>
      <c r="P9319" s="21"/>
      <c r="Q9319" s="21"/>
      <c r="R9319" s="21"/>
      <c r="S9319" s="21">
        <v>0</v>
      </c>
      <c r="T9319" s="21">
        <v>0</v>
      </c>
      <c r="U9319" s="21">
        <v>9</v>
      </c>
      <c r="V9319" s="21">
        <v>1</v>
      </c>
      <c r="W9319" s="21">
        <v>0</v>
      </c>
      <c r="X9319" s="21">
        <v>0</v>
      </c>
      <c r="Y9319" s="21">
        <v>0</v>
      </c>
      <c r="Z9319" s="21">
        <v>0</v>
      </c>
      <c r="AA9319" s="21">
        <v>0</v>
      </c>
      <c r="AB9319" s="21">
        <v>0</v>
      </c>
      <c r="AC9319" s="21">
        <v>0</v>
      </c>
      <c r="AD9319" s="21">
        <v>0</v>
      </c>
      <c r="AE9319" s="21">
        <v>0</v>
      </c>
      <c r="AF9319" s="21">
        <v>0</v>
      </c>
      <c r="AG9319" s="21">
        <v>0</v>
      </c>
      <c r="AH9319" s="27">
        <f t="shared" si="194"/>
        <v>352</v>
      </c>
      <c r="AI9319" s="21"/>
      <c r="AJ9319" s="21" t="s">
        <v>51</v>
      </c>
      <c r="AK9319" s="21" t="s">
        <v>95</v>
      </c>
      <c r="AL9319" s="21"/>
      <c r="AM9319" s="21" t="s">
        <v>6519</v>
      </c>
      <c r="AN9319" s="21">
        <v>-122.400076016667</v>
      </c>
      <c r="AO9319" s="21">
        <v>37.796807416666702</v>
      </c>
      <c r="AP9319" s="21" t="s">
        <v>951</v>
      </c>
    </row>
    <row r="9320" spans="1:42">
      <c r="A9320" s="20">
        <v>43881.504351851901</v>
      </c>
      <c r="B9320" s="21">
        <v>4</v>
      </c>
      <c r="C9320" s="21">
        <v>303</v>
      </c>
      <c r="D9320" s="21">
        <v>10229</v>
      </c>
      <c r="E9320" t="s">
        <v>37</v>
      </c>
      <c r="F9320" s="21" t="s">
        <v>38</v>
      </c>
      <c r="G9320" s="21" t="s">
        <v>4270</v>
      </c>
      <c r="H9320" s="21">
        <v>28</v>
      </c>
      <c r="I9320" s="21" t="s">
        <v>6520</v>
      </c>
      <c r="J9320" s="21"/>
      <c r="K9320" t="s">
        <v>605</v>
      </c>
      <c r="L9320" s="21" t="s">
        <v>141</v>
      </c>
      <c r="M9320" s="21" t="s">
        <v>95</v>
      </c>
      <c r="N9320" s="21" t="s">
        <v>40</v>
      </c>
      <c r="O9320" s="21">
        <v>72</v>
      </c>
      <c r="P9320" s="21"/>
      <c r="Q9320" s="21"/>
      <c r="R9320" s="21"/>
      <c r="S9320" s="21">
        <v>0</v>
      </c>
      <c r="T9320" s="21">
        <v>0</v>
      </c>
      <c r="U9320" s="21">
        <v>1</v>
      </c>
      <c r="V9320" s="21">
        <v>1</v>
      </c>
      <c r="W9320" s="21">
        <v>0</v>
      </c>
      <c r="X9320" s="21">
        <v>0</v>
      </c>
      <c r="Y9320" s="21">
        <v>0</v>
      </c>
      <c r="Z9320" s="21">
        <v>0</v>
      </c>
      <c r="AA9320" s="21">
        <v>0</v>
      </c>
      <c r="AB9320" s="21">
        <v>0</v>
      </c>
      <c r="AC9320" s="21">
        <v>0</v>
      </c>
      <c r="AD9320" s="21">
        <v>0</v>
      </c>
      <c r="AE9320" s="21">
        <v>0</v>
      </c>
      <c r="AF9320" s="21">
        <v>0</v>
      </c>
      <c r="AG9320" s="21">
        <v>0</v>
      </c>
      <c r="AH9320" s="27">
        <f t="shared" si="194"/>
        <v>96</v>
      </c>
      <c r="AI9320" s="21"/>
      <c r="AJ9320" s="21" t="s">
        <v>51</v>
      </c>
      <c r="AK9320" s="21" t="s">
        <v>95</v>
      </c>
      <c r="AL9320" s="21"/>
      <c r="AM9320" s="21" t="s">
        <v>6521</v>
      </c>
      <c r="AN9320" s="21">
        <v>-122.402907683333</v>
      </c>
      <c r="AO9320" s="21">
        <v>37.797553933333297</v>
      </c>
      <c r="AP9320" s="21" t="s">
        <v>951</v>
      </c>
    </row>
    <row r="9321" spans="1:42">
      <c r="A9321" s="20">
        <v>43881.504351851901</v>
      </c>
      <c r="B9321" s="21">
        <v>4</v>
      </c>
      <c r="C9321" s="21">
        <v>303</v>
      </c>
      <c r="D9321" s="21">
        <v>10229</v>
      </c>
      <c r="E9321" t="s">
        <v>37</v>
      </c>
      <c r="F9321" s="21" t="s">
        <v>38</v>
      </c>
      <c r="G9321" s="21" t="s">
        <v>4270</v>
      </c>
      <c r="H9321" s="21">
        <v>29</v>
      </c>
      <c r="I9321" s="21" t="s">
        <v>6235</v>
      </c>
      <c r="J9321" s="21"/>
      <c r="K9321" t="s">
        <v>605</v>
      </c>
      <c r="L9321" s="21" t="s">
        <v>114</v>
      </c>
      <c r="M9321" s="21"/>
      <c r="N9321" s="21" t="s">
        <v>40</v>
      </c>
      <c r="O9321" s="21">
        <v>176</v>
      </c>
      <c r="P9321" s="21"/>
      <c r="Q9321" s="21"/>
      <c r="R9321" s="21"/>
      <c r="S9321" s="21">
        <v>0</v>
      </c>
      <c r="T9321" s="21">
        <v>0</v>
      </c>
      <c r="U9321" s="21">
        <v>0</v>
      </c>
      <c r="V9321" s="21">
        <v>5</v>
      </c>
      <c r="W9321" s="21">
        <v>0</v>
      </c>
      <c r="X9321" s="21">
        <v>0</v>
      </c>
      <c r="Y9321" s="21">
        <v>0</v>
      </c>
      <c r="Z9321" s="21">
        <v>0</v>
      </c>
      <c r="AA9321" s="21">
        <v>0</v>
      </c>
      <c r="AB9321" s="21">
        <v>0</v>
      </c>
      <c r="AC9321" s="21">
        <v>0</v>
      </c>
      <c r="AD9321" s="21">
        <v>0</v>
      </c>
      <c r="AE9321" s="21">
        <v>0</v>
      </c>
      <c r="AF9321" s="21">
        <v>0</v>
      </c>
      <c r="AG9321" s="21">
        <v>0</v>
      </c>
      <c r="AH9321" s="27">
        <f t="shared" si="194"/>
        <v>320</v>
      </c>
      <c r="AI9321" s="21"/>
      <c r="AJ9321" s="21" t="s">
        <v>54</v>
      </c>
      <c r="AK9321" s="21" t="s">
        <v>95</v>
      </c>
      <c r="AL9321" s="21" t="s">
        <v>6522</v>
      </c>
      <c r="AM9321" s="21" t="s">
        <v>6523</v>
      </c>
      <c r="AN9321" s="21">
        <v>-122.403587183333</v>
      </c>
      <c r="AO9321" s="21">
        <v>37.7968753166666</v>
      </c>
      <c r="AP9321" s="21" t="s">
        <v>951</v>
      </c>
    </row>
    <row r="9322" spans="1:42">
      <c r="A9322" s="20">
        <v>43881.504351851901</v>
      </c>
      <c r="B9322" s="21">
        <v>4</v>
      </c>
      <c r="C9322" s="21">
        <v>303</v>
      </c>
      <c r="D9322" s="21">
        <v>10229</v>
      </c>
      <c r="E9322" t="s">
        <v>37</v>
      </c>
      <c r="F9322" s="21" t="s">
        <v>38</v>
      </c>
      <c r="G9322" s="21" t="s">
        <v>4270</v>
      </c>
      <c r="H9322" s="21">
        <v>30</v>
      </c>
      <c r="I9322" s="21" t="s">
        <v>6524</v>
      </c>
      <c r="J9322" s="21"/>
      <c r="K9322" s="21" t="s">
        <v>119</v>
      </c>
      <c r="L9322" s="21" t="s">
        <v>114</v>
      </c>
      <c r="M9322" s="21"/>
      <c r="N9322" s="21" t="s">
        <v>40</v>
      </c>
      <c r="O9322" s="21">
        <v>54</v>
      </c>
      <c r="P9322" s="21"/>
      <c r="Q9322" s="21"/>
      <c r="R9322" s="21"/>
      <c r="S9322" s="21">
        <v>0</v>
      </c>
      <c r="T9322" s="21">
        <v>0</v>
      </c>
      <c r="U9322" s="21">
        <v>1</v>
      </c>
      <c r="V9322" s="21">
        <v>0</v>
      </c>
      <c r="W9322" s="21">
        <v>0</v>
      </c>
      <c r="X9322" s="21">
        <v>0</v>
      </c>
      <c r="Y9322" s="21">
        <v>0</v>
      </c>
      <c r="Z9322" s="21">
        <v>0</v>
      </c>
      <c r="AA9322" s="21">
        <v>0</v>
      </c>
      <c r="AB9322" s="21">
        <v>0</v>
      </c>
      <c r="AC9322" s="21">
        <v>0</v>
      </c>
      <c r="AD9322" s="21">
        <v>0</v>
      </c>
      <c r="AE9322" s="21">
        <v>0</v>
      </c>
      <c r="AF9322" s="21">
        <v>0</v>
      </c>
      <c r="AG9322" s="21">
        <v>0</v>
      </c>
      <c r="AH9322" s="27">
        <f t="shared" si="194"/>
        <v>32</v>
      </c>
      <c r="AI9322" s="21"/>
      <c r="AJ9322" s="21" t="s">
        <v>51</v>
      </c>
      <c r="AK9322" s="21" t="s">
        <v>95</v>
      </c>
      <c r="AL9322" s="21"/>
      <c r="AM9322" s="21" t="s">
        <v>6525</v>
      </c>
      <c r="AN9322" s="21">
        <v>-122.407874233333</v>
      </c>
      <c r="AO9322" s="21">
        <v>37.799678566666699</v>
      </c>
      <c r="AP9322" s="21" t="s">
        <v>951</v>
      </c>
    </row>
    <row r="9323" spans="1:42">
      <c r="A9323" s="20">
        <v>43881.504351851901</v>
      </c>
      <c r="B9323" s="21">
        <v>4</v>
      </c>
      <c r="C9323" s="21">
        <v>303</v>
      </c>
      <c r="D9323" s="21">
        <v>10229</v>
      </c>
      <c r="E9323" t="s">
        <v>37</v>
      </c>
      <c r="F9323" s="21" t="s">
        <v>38</v>
      </c>
      <c r="G9323" s="21" t="s">
        <v>4270</v>
      </c>
      <c r="H9323" s="21">
        <v>31</v>
      </c>
      <c r="I9323" s="21" t="s">
        <v>5735</v>
      </c>
      <c r="J9323" s="21"/>
      <c r="K9323" s="21" t="s">
        <v>119</v>
      </c>
      <c r="L9323" s="21" t="s">
        <v>114</v>
      </c>
      <c r="M9323" s="21"/>
      <c r="N9323" s="21" t="s">
        <v>40</v>
      </c>
      <c r="O9323" s="21">
        <v>33</v>
      </c>
      <c r="P9323" s="21"/>
      <c r="Q9323" s="21"/>
      <c r="R9323" s="21"/>
      <c r="S9323" s="21">
        <v>0</v>
      </c>
      <c r="T9323" s="21">
        <v>0</v>
      </c>
      <c r="U9323" s="21">
        <v>0</v>
      </c>
      <c r="V9323" s="21">
        <v>1</v>
      </c>
      <c r="W9323" s="21">
        <v>0</v>
      </c>
      <c r="X9323" s="21">
        <v>0</v>
      </c>
      <c r="Y9323" s="21">
        <v>0</v>
      </c>
      <c r="Z9323" s="21">
        <v>0</v>
      </c>
      <c r="AA9323" s="21">
        <v>0</v>
      </c>
      <c r="AB9323" s="21">
        <v>0</v>
      </c>
      <c r="AC9323" s="21">
        <v>0</v>
      </c>
      <c r="AD9323" s="21">
        <v>0</v>
      </c>
      <c r="AE9323" s="21">
        <v>0</v>
      </c>
      <c r="AF9323" s="21">
        <v>0</v>
      </c>
      <c r="AG9323" s="21">
        <v>0</v>
      </c>
      <c r="AH9323" s="27">
        <f t="shared" si="194"/>
        <v>64</v>
      </c>
      <c r="AI9323" s="21"/>
      <c r="AJ9323" s="21" t="s">
        <v>51</v>
      </c>
      <c r="AK9323" s="21" t="s">
        <v>95</v>
      </c>
      <c r="AL9323" s="21"/>
      <c r="AM9323" s="21" t="s">
        <v>6526</v>
      </c>
      <c r="AN9323" s="21">
        <v>-122.408152266667</v>
      </c>
      <c r="AO9323" s="21">
        <v>37.799672616666697</v>
      </c>
      <c r="AP9323" s="21" t="s">
        <v>951</v>
      </c>
    </row>
    <row r="9324" spans="1:42">
      <c r="A9324" s="20">
        <v>43881.504351851901</v>
      </c>
      <c r="B9324" s="21">
        <v>4</v>
      </c>
      <c r="C9324" s="21">
        <v>303</v>
      </c>
      <c r="D9324" s="21">
        <v>10229</v>
      </c>
      <c r="E9324" t="s">
        <v>37</v>
      </c>
      <c r="F9324" s="21" t="s">
        <v>38</v>
      </c>
      <c r="G9324" s="21" t="s">
        <v>4270</v>
      </c>
      <c r="H9324" s="21">
        <v>32</v>
      </c>
      <c r="I9324" s="21" t="s">
        <v>3399</v>
      </c>
      <c r="J9324" s="21"/>
      <c r="K9324" s="21" t="s">
        <v>119</v>
      </c>
      <c r="L9324" s="21" t="s">
        <v>114</v>
      </c>
      <c r="M9324" s="21"/>
      <c r="N9324" s="21" t="s">
        <v>40</v>
      </c>
      <c r="O9324" s="21">
        <v>130</v>
      </c>
      <c r="P9324" s="21"/>
      <c r="Q9324" s="21"/>
      <c r="R9324" s="21"/>
      <c r="S9324" s="21">
        <v>0</v>
      </c>
      <c r="T9324" s="21">
        <v>0</v>
      </c>
      <c r="U9324" s="21">
        <v>0</v>
      </c>
      <c r="V9324" s="21">
        <v>2</v>
      </c>
      <c r="W9324" s="21">
        <v>0</v>
      </c>
      <c r="X9324" s="21">
        <v>0</v>
      </c>
      <c r="Y9324" s="21">
        <v>0</v>
      </c>
      <c r="Z9324" s="21">
        <v>0</v>
      </c>
      <c r="AA9324" s="21">
        <v>0</v>
      </c>
      <c r="AB9324" s="21">
        <v>0</v>
      </c>
      <c r="AC9324" s="21">
        <v>0</v>
      </c>
      <c r="AD9324" s="21">
        <v>0</v>
      </c>
      <c r="AE9324" s="21">
        <v>1</v>
      </c>
      <c r="AF9324" s="21">
        <v>0</v>
      </c>
      <c r="AG9324" s="21">
        <v>0</v>
      </c>
      <c r="AH9324" s="27">
        <f t="shared" si="194"/>
        <v>128</v>
      </c>
      <c r="AI9324" s="21"/>
      <c r="AJ9324" s="21" t="s">
        <v>51</v>
      </c>
      <c r="AK9324" s="21" t="s">
        <v>95</v>
      </c>
      <c r="AL9324" s="21" t="s">
        <v>6527</v>
      </c>
      <c r="AM9324" s="21" t="s">
        <v>6528</v>
      </c>
      <c r="AN9324" s="21">
        <v>-122.40772663488499</v>
      </c>
      <c r="AO9324" s="21">
        <v>37.798107195533603</v>
      </c>
      <c r="AP9324" s="21" t="s">
        <v>951</v>
      </c>
    </row>
    <row r="9325" spans="1:42">
      <c r="A9325" s="20">
        <v>43881.504351851901</v>
      </c>
      <c r="B9325" s="21">
        <v>4</v>
      </c>
      <c r="C9325" s="21">
        <v>303</v>
      </c>
      <c r="D9325" s="21">
        <v>10229</v>
      </c>
      <c r="E9325" t="s">
        <v>37</v>
      </c>
      <c r="F9325" s="21" t="s">
        <v>38</v>
      </c>
      <c r="G9325" s="21" t="s">
        <v>4270</v>
      </c>
      <c r="H9325" s="21">
        <v>33</v>
      </c>
      <c r="I9325" s="21" t="s">
        <v>6529</v>
      </c>
      <c r="J9325" s="21"/>
      <c r="K9325" s="21" t="s">
        <v>119</v>
      </c>
      <c r="L9325" s="21" t="s">
        <v>114</v>
      </c>
      <c r="M9325" s="21"/>
      <c r="N9325" s="21" t="s">
        <v>40</v>
      </c>
      <c r="O9325" s="21">
        <v>71</v>
      </c>
      <c r="P9325" s="21"/>
      <c r="Q9325" s="21"/>
      <c r="R9325" s="21"/>
      <c r="S9325" s="21">
        <v>0</v>
      </c>
      <c r="T9325" s="21">
        <v>0</v>
      </c>
      <c r="U9325" s="21">
        <v>0</v>
      </c>
      <c r="V9325" s="21">
        <v>2</v>
      </c>
      <c r="W9325" s="21">
        <v>0</v>
      </c>
      <c r="X9325" s="21">
        <v>0</v>
      </c>
      <c r="Y9325" s="21">
        <v>0</v>
      </c>
      <c r="Z9325" s="21">
        <v>0</v>
      </c>
      <c r="AA9325" s="21">
        <v>0</v>
      </c>
      <c r="AB9325" s="21">
        <v>0</v>
      </c>
      <c r="AC9325" s="21">
        <v>0</v>
      </c>
      <c r="AD9325" s="21">
        <v>0</v>
      </c>
      <c r="AE9325" s="21">
        <v>0</v>
      </c>
      <c r="AF9325" s="21">
        <v>0</v>
      </c>
      <c r="AG9325" s="21">
        <v>0</v>
      </c>
      <c r="AH9325" s="27">
        <f t="shared" si="194"/>
        <v>128</v>
      </c>
      <c r="AI9325" s="21"/>
      <c r="AJ9325" s="21" t="s">
        <v>51</v>
      </c>
      <c r="AK9325" s="21" t="s">
        <v>95</v>
      </c>
      <c r="AL9325" s="21"/>
      <c r="AM9325" s="21" t="s">
        <v>6530</v>
      </c>
      <c r="AN9325" s="21">
        <v>-122.408453516667</v>
      </c>
      <c r="AO9325" s="21">
        <v>37.799561850000003</v>
      </c>
      <c r="AP9325" s="21" t="s">
        <v>951</v>
      </c>
    </row>
    <row r="9326" spans="1:42">
      <c r="A9326" s="20">
        <v>43881.504351851901</v>
      </c>
      <c r="B9326" s="21">
        <v>4</v>
      </c>
      <c r="C9326" s="21">
        <v>303</v>
      </c>
      <c r="D9326" s="21">
        <v>10229</v>
      </c>
      <c r="E9326" t="s">
        <v>37</v>
      </c>
      <c r="F9326" s="21" t="s">
        <v>38</v>
      </c>
      <c r="G9326" s="21" t="s">
        <v>4270</v>
      </c>
      <c r="H9326" s="21">
        <v>34</v>
      </c>
      <c r="I9326" s="21" t="s">
        <v>6524</v>
      </c>
      <c r="J9326" s="21"/>
      <c r="K9326" s="21" t="s">
        <v>119</v>
      </c>
      <c r="L9326" s="21" t="s">
        <v>114</v>
      </c>
      <c r="M9326" s="21"/>
      <c r="N9326" s="21" t="s">
        <v>40</v>
      </c>
      <c r="O9326" s="21">
        <v>59</v>
      </c>
      <c r="P9326" s="21"/>
      <c r="Q9326" s="21"/>
      <c r="R9326" s="21"/>
      <c r="S9326" s="21">
        <v>0</v>
      </c>
      <c r="T9326" s="21">
        <v>0</v>
      </c>
      <c r="U9326" s="21">
        <v>0</v>
      </c>
      <c r="V9326" s="21">
        <v>2</v>
      </c>
      <c r="W9326" s="21">
        <v>0</v>
      </c>
      <c r="X9326" s="21">
        <v>0</v>
      </c>
      <c r="Y9326" s="21">
        <v>0</v>
      </c>
      <c r="Z9326" s="21">
        <v>0</v>
      </c>
      <c r="AA9326" s="21">
        <v>0</v>
      </c>
      <c r="AB9326" s="21">
        <v>0</v>
      </c>
      <c r="AC9326" s="21">
        <v>0</v>
      </c>
      <c r="AD9326" s="21">
        <v>0</v>
      </c>
      <c r="AE9326" s="21">
        <v>0</v>
      </c>
      <c r="AF9326" s="21">
        <v>0</v>
      </c>
      <c r="AG9326" s="21">
        <v>0</v>
      </c>
      <c r="AH9326" s="27">
        <f t="shared" si="194"/>
        <v>128</v>
      </c>
      <c r="AI9326" s="21"/>
      <c r="AJ9326" s="21" t="s">
        <v>51</v>
      </c>
      <c r="AK9326" s="21" t="s">
        <v>52</v>
      </c>
      <c r="AL9326" s="21"/>
      <c r="AM9326" s="21" t="s">
        <v>6531</v>
      </c>
      <c r="AN9326" s="21">
        <v>-122.408119816667</v>
      </c>
      <c r="AO9326" s="21">
        <v>37.8005380166667</v>
      </c>
      <c r="AP9326" s="21" t="s">
        <v>951</v>
      </c>
    </row>
    <row r="9327" spans="1:42">
      <c r="A9327" s="20">
        <v>43881.504351851901</v>
      </c>
      <c r="B9327" s="21">
        <v>4</v>
      </c>
      <c r="C9327" s="21">
        <v>303</v>
      </c>
      <c r="D9327" s="21">
        <v>10229</v>
      </c>
      <c r="E9327" t="s">
        <v>37</v>
      </c>
      <c r="F9327" s="21" t="s">
        <v>38</v>
      </c>
      <c r="G9327" s="21" t="s">
        <v>4270</v>
      </c>
      <c r="H9327" s="21">
        <v>35</v>
      </c>
      <c r="I9327" s="21" t="s">
        <v>6532</v>
      </c>
      <c r="J9327" s="21"/>
      <c r="K9327" s="21" t="s">
        <v>6503</v>
      </c>
      <c r="L9327" s="21"/>
      <c r="M9327" s="21"/>
      <c r="N9327" s="21" t="s">
        <v>44</v>
      </c>
      <c r="O9327" s="21">
        <v>115</v>
      </c>
      <c r="P9327" s="21"/>
      <c r="Q9327" s="21"/>
      <c r="R9327" s="21"/>
      <c r="S9327" s="21">
        <v>0</v>
      </c>
      <c r="T9327" s="21">
        <v>0</v>
      </c>
      <c r="U9327" s="21">
        <v>0</v>
      </c>
      <c r="V9327" s="21">
        <v>1</v>
      </c>
      <c r="W9327" s="21">
        <v>0</v>
      </c>
      <c r="X9327" s="21">
        <v>0</v>
      </c>
      <c r="Y9327" s="21">
        <v>0</v>
      </c>
      <c r="Z9327" s="21">
        <v>0</v>
      </c>
      <c r="AA9327" s="21">
        <v>0</v>
      </c>
      <c r="AB9327" s="21">
        <v>0</v>
      </c>
      <c r="AC9327" s="21">
        <v>0</v>
      </c>
      <c r="AD9327" s="21">
        <v>0</v>
      </c>
      <c r="AE9327" s="21">
        <v>0</v>
      </c>
      <c r="AF9327" s="21">
        <v>0</v>
      </c>
      <c r="AG9327" s="21">
        <v>0</v>
      </c>
      <c r="AH9327" s="27">
        <f t="shared" si="194"/>
        <v>64</v>
      </c>
      <c r="AI9327" s="21"/>
      <c r="AJ9327" s="21" t="s">
        <v>54</v>
      </c>
      <c r="AK9327" s="21" t="s">
        <v>95</v>
      </c>
      <c r="AL9327" s="21" t="s">
        <v>1545</v>
      </c>
      <c r="AM9327" s="21" t="s">
        <v>6533</v>
      </c>
      <c r="AN9327" s="21">
        <v>-122.407564883333</v>
      </c>
      <c r="AO9327" s="21">
        <v>37.800588716666702</v>
      </c>
      <c r="AP9327" s="21" t="s">
        <v>951</v>
      </c>
    </row>
    <row r="9328" spans="1:42">
      <c r="A9328" s="20">
        <v>43881.504351851901</v>
      </c>
      <c r="B9328" s="21">
        <v>4</v>
      </c>
      <c r="C9328" s="21">
        <v>303</v>
      </c>
      <c r="D9328" s="21">
        <v>10229</v>
      </c>
      <c r="E9328" t="s">
        <v>37</v>
      </c>
      <c r="F9328" s="21" t="s">
        <v>38</v>
      </c>
      <c r="G9328" s="21" t="s">
        <v>4270</v>
      </c>
      <c r="H9328" s="21">
        <v>36</v>
      </c>
      <c r="I9328" s="21" t="s">
        <v>6534</v>
      </c>
      <c r="J9328" s="21"/>
      <c r="K9328" s="21" t="s">
        <v>6503</v>
      </c>
      <c r="L9328" s="21"/>
      <c r="M9328" s="21"/>
      <c r="N9328" s="21" t="s">
        <v>44</v>
      </c>
      <c r="O9328" s="21">
        <v>96</v>
      </c>
      <c r="P9328" s="21"/>
      <c r="Q9328" s="21"/>
      <c r="R9328" s="21"/>
      <c r="S9328" s="21">
        <v>0</v>
      </c>
      <c r="T9328" s="21">
        <v>0</v>
      </c>
      <c r="U9328" s="21">
        <v>0</v>
      </c>
      <c r="V9328" s="21">
        <v>1</v>
      </c>
      <c r="W9328" s="21">
        <v>0</v>
      </c>
      <c r="X9328" s="21">
        <v>0</v>
      </c>
      <c r="Y9328" s="21">
        <v>0</v>
      </c>
      <c r="Z9328" s="21">
        <v>0</v>
      </c>
      <c r="AA9328" s="21">
        <v>0</v>
      </c>
      <c r="AB9328" s="21">
        <v>0</v>
      </c>
      <c r="AC9328" s="21">
        <v>0</v>
      </c>
      <c r="AD9328" s="21">
        <v>0</v>
      </c>
      <c r="AE9328" s="21">
        <v>0</v>
      </c>
      <c r="AF9328" s="21">
        <v>0</v>
      </c>
      <c r="AG9328" s="21">
        <v>0</v>
      </c>
      <c r="AH9328" s="27">
        <f t="shared" si="194"/>
        <v>64</v>
      </c>
      <c r="AI9328" s="21"/>
      <c r="AJ9328" s="21" t="s">
        <v>54</v>
      </c>
      <c r="AK9328" s="21" t="s">
        <v>95</v>
      </c>
      <c r="AL9328" s="21"/>
      <c r="AM9328" s="21" t="s">
        <v>6535</v>
      </c>
      <c r="AN9328" s="21">
        <v>-122.40425191666699</v>
      </c>
      <c r="AO9328" s="21">
        <v>37.799626716666701</v>
      </c>
      <c r="AP9328" s="21" t="s">
        <v>951</v>
      </c>
    </row>
    <row r="9329" spans="1:42">
      <c r="A9329" s="20">
        <v>43881.504351851901</v>
      </c>
      <c r="B9329" s="21">
        <v>4</v>
      </c>
      <c r="C9329" s="21">
        <v>303</v>
      </c>
      <c r="D9329" s="21">
        <v>10229</v>
      </c>
      <c r="E9329" t="s">
        <v>37</v>
      </c>
      <c r="F9329" s="21" t="s">
        <v>38</v>
      </c>
      <c r="G9329" s="21" t="s">
        <v>4270</v>
      </c>
      <c r="H9329" s="21">
        <v>37</v>
      </c>
      <c r="I9329" s="21" t="s">
        <v>6536</v>
      </c>
      <c r="J9329" s="21"/>
      <c r="K9329" s="21" t="s">
        <v>6503</v>
      </c>
      <c r="L9329" s="21" t="s">
        <v>141</v>
      </c>
      <c r="M9329" s="21"/>
      <c r="N9329" s="21" t="s">
        <v>40</v>
      </c>
      <c r="O9329" s="21">
        <v>45</v>
      </c>
      <c r="P9329" s="21"/>
      <c r="Q9329" s="21"/>
      <c r="R9329" s="21"/>
      <c r="S9329" s="21">
        <v>0</v>
      </c>
      <c r="T9329" s="21">
        <v>0</v>
      </c>
      <c r="U9329" s="21">
        <v>1</v>
      </c>
      <c r="V9329" s="21">
        <v>0</v>
      </c>
      <c r="W9329" s="21">
        <v>0</v>
      </c>
      <c r="X9329" s="21">
        <v>0</v>
      </c>
      <c r="Y9329" s="21">
        <v>0</v>
      </c>
      <c r="Z9329" s="21">
        <v>0</v>
      </c>
      <c r="AA9329" s="21">
        <v>0</v>
      </c>
      <c r="AB9329" s="21">
        <v>0</v>
      </c>
      <c r="AC9329" s="21">
        <v>0</v>
      </c>
      <c r="AD9329" s="21">
        <v>0</v>
      </c>
      <c r="AE9329" s="21">
        <v>0</v>
      </c>
      <c r="AF9329" s="21">
        <v>0</v>
      </c>
      <c r="AG9329" s="21">
        <v>0</v>
      </c>
      <c r="AH9329" s="27">
        <f t="shared" si="194"/>
        <v>32</v>
      </c>
      <c r="AI9329" s="21"/>
      <c r="AJ9329" s="21" t="s">
        <v>54</v>
      </c>
      <c r="AK9329" s="21" t="s">
        <v>95</v>
      </c>
      <c r="AL9329" s="21"/>
      <c r="AM9329" s="21" t="s">
        <v>6537</v>
      </c>
      <c r="AN9329" s="21">
        <v>-122.40410009999999</v>
      </c>
      <c r="AO9329" s="21">
        <v>37.799460216666603</v>
      </c>
      <c r="AP9329" s="21" t="s">
        <v>951</v>
      </c>
    </row>
    <row r="9330" spans="1:42">
      <c r="A9330" s="20">
        <v>43881.504351851901</v>
      </c>
      <c r="B9330" s="21">
        <v>4</v>
      </c>
      <c r="C9330" s="21">
        <v>303</v>
      </c>
      <c r="D9330" s="21">
        <v>10229</v>
      </c>
      <c r="E9330" t="s">
        <v>37</v>
      </c>
      <c r="F9330" s="21" t="s">
        <v>38</v>
      </c>
      <c r="G9330" s="21" t="s">
        <v>4270</v>
      </c>
      <c r="H9330" s="21">
        <v>38</v>
      </c>
      <c r="I9330" s="21" t="s">
        <v>6538</v>
      </c>
      <c r="J9330" s="21"/>
      <c r="K9330" t="s">
        <v>585</v>
      </c>
      <c r="L9330" s="21"/>
      <c r="M9330" s="21"/>
      <c r="N9330" s="21" t="s">
        <v>44</v>
      </c>
      <c r="O9330" s="21">
        <v>90</v>
      </c>
      <c r="P9330" s="21"/>
      <c r="Q9330" s="21"/>
      <c r="R9330" s="21"/>
      <c r="S9330" s="21">
        <v>0</v>
      </c>
      <c r="T9330" s="21">
        <v>0</v>
      </c>
      <c r="U9330" s="21">
        <v>0</v>
      </c>
      <c r="V9330" s="21">
        <v>1</v>
      </c>
      <c r="W9330" s="21">
        <v>0</v>
      </c>
      <c r="X9330" s="21">
        <v>0</v>
      </c>
      <c r="Y9330" s="21">
        <v>0</v>
      </c>
      <c r="Z9330" s="21">
        <v>0</v>
      </c>
      <c r="AA9330" s="21">
        <v>0</v>
      </c>
      <c r="AB9330" s="21">
        <v>0</v>
      </c>
      <c r="AC9330" s="21">
        <v>0</v>
      </c>
      <c r="AD9330" s="21">
        <v>0</v>
      </c>
      <c r="AE9330" s="21">
        <v>0</v>
      </c>
      <c r="AF9330" s="21">
        <v>0</v>
      </c>
      <c r="AG9330" s="21">
        <v>0</v>
      </c>
      <c r="AH9330" s="27">
        <f t="shared" si="194"/>
        <v>64</v>
      </c>
      <c r="AI9330" s="21"/>
      <c r="AJ9330" s="21" t="s">
        <v>54</v>
      </c>
      <c r="AK9330" s="21" t="s">
        <v>95</v>
      </c>
      <c r="AL9330" s="21"/>
      <c r="AM9330" s="21" t="s">
        <v>6539</v>
      </c>
      <c r="AN9330" s="21">
        <v>-122.403590116667</v>
      </c>
      <c r="AO9330" s="21">
        <v>37.799250383333302</v>
      </c>
      <c r="AP9330" s="21" t="s">
        <v>951</v>
      </c>
    </row>
    <row r="9331" spans="1:42">
      <c r="A9331" s="20">
        <v>43881.504351851901</v>
      </c>
      <c r="B9331" s="21">
        <v>4</v>
      </c>
      <c r="C9331" s="21">
        <v>303</v>
      </c>
      <c r="D9331" s="21">
        <v>10229</v>
      </c>
      <c r="E9331" t="s">
        <v>37</v>
      </c>
      <c r="F9331" s="21" t="s">
        <v>38</v>
      </c>
      <c r="G9331" s="21" t="s">
        <v>4270</v>
      </c>
      <c r="H9331" s="21">
        <v>39</v>
      </c>
      <c r="I9331" s="21" t="s">
        <v>6540</v>
      </c>
      <c r="J9331" s="21"/>
      <c r="K9331" t="s">
        <v>585</v>
      </c>
      <c r="L9331" s="21" t="s">
        <v>114</v>
      </c>
      <c r="M9331" s="21"/>
      <c r="N9331" s="21" t="s">
        <v>40</v>
      </c>
      <c r="O9331" s="21">
        <v>105</v>
      </c>
      <c r="P9331" s="21"/>
      <c r="Q9331" s="21"/>
      <c r="R9331" s="21"/>
      <c r="S9331" s="21">
        <v>0</v>
      </c>
      <c r="T9331" s="21">
        <v>0</v>
      </c>
      <c r="U9331" s="21">
        <v>2</v>
      </c>
      <c r="V9331" s="21">
        <v>0</v>
      </c>
      <c r="W9331" s="21">
        <v>0</v>
      </c>
      <c r="X9331" s="21">
        <v>0</v>
      </c>
      <c r="Y9331" s="21">
        <v>0</v>
      </c>
      <c r="Z9331" s="21">
        <v>0</v>
      </c>
      <c r="AA9331" s="21">
        <v>0</v>
      </c>
      <c r="AB9331" s="21">
        <v>0</v>
      </c>
      <c r="AC9331" s="21">
        <v>0</v>
      </c>
      <c r="AD9331" s="21">
        <v>0</v>
      </c>
      <c r="AE9331" s="21">
        <v>0</v>
      </c>
      <c r="AF9331" s="21">
        <v>0</v>
      </c>
      <c r="AG9331" s="21">
        <v>0</v>
      </c>
      <c r="AH9331" s="27">
        <f t="shared" si="194"/>
        <v>64</v>
      </c>
      <c r="AI9331" s="21"/>
      <c r="AJ9331" s="21" t="s">
        <v>54</v>
      </c>
      <c r="AK9331" s="21" t="s">
        <v>95</v>
      </c>
      <c r="AL9331" s="21"/>
      <c r="AM9331" s="21" t="s">
        <v>6541</v>
      </c>
      <c r="AN9331" s="21">
        <v>-122.403048494533</v>
      </c>
      <c r="AO9331" s="21">
        <v>37.797651902264299</v>
      </c>
      <c r="AP9331" s="21" t="s">
        <v>951</v>
      </c>
    </row>
    <row r="9332" spans="1:42">
      <c r="A9332" s="20">
        <v>43881.504351851901</v>
      </c>
      <c r="B9332" s="21">
        <v>4</v>
      </c>
      <c r="C9332" s="21">
        <v>303</v>
      </c>
      <c r="D9332" s="21">
        <v>10229</v>
      </c>
      <c r="E9332" t="s">
        <v>37</v>
      </c>
      <c r="F9332" s="21" t="s">
        <v>38</v>
      </c>
      <c r="G9332" s="21" t="s">
        <v>4270</v>
      </c>
      <c r="H9332" s="21">
        <v>40</v>
      </c>
      <c r="I9332" s="21" t="s">
        <v>6542</v>
      </c>
      <c r="J9332" s="21"/>
      <c r="K9332" s="21" t="s">
        <v>6543</v>
      </c>
      <c r="L9332" s="21"/>
      <c r="M9332" s="21" t="s">
        <v>95</v>
      </c>
      <c r="N9332" s="21" t="s">
        <v>42</v>
      </c>
      <c r="O9332" s="21">
        <v>130</v>
      </c>
      <c r="P9332" s="21"/>
      <c r="Q9332" s="21"/>
      <c r="R9332" s="21"/>
      <c r="S9332" s="21">
        <v>0</v>
      </c>
      <c r="T9332" s="21">
        <v>0</v>
      </c>
      <c r="U9332" s="21">
        <v>2</v>
      </c>
      <c r="V9332" s="21">
        <v>1</v>
      </c>
      <c r="W9332" s="21">
        <v>0</v>
      </c>
      <c r="X9332" s="21">
        <v>0</v>
      </c>
      <c r="Y9332" s="21">
        <v>0</v>
      </c>
      <c r="Z9332" s="21">
        <v>0</v>
      </c>
      <c r="AA9332" s="21">
        <v>0</v>
      </c>
      <c r="AB9332" s="21">
        <v>0</v>
      </c>
      <c r="AC9332" s="21">
        <v>0</v>
      </c>
      <c r="AD9332" s="21">
        <v>0</v>
      </c>
      <c r="AE9332" s="21">
        <v>0</v>
      </c>
      <c r="AF9332" s="21">
        <v>0</v>
      </c>
      <c r="AG9332" s="21">
        <v>0</v>
      </c>
      <c r="AH9332" s="27">
        <f t="shared" si="194"/>
        <v>128</v>
      </c>
      <c r="AI9332" s="21"/>
      <c r="AJ9332" s="21" t="s">
        <v>51</v>
      </c>
      <c r="AK9332" s="21" t="s">
        <v>95</v>
      </c>
      <c r="AL9332" s="21" t="s">
        <v>6544</v>
      </c>
      <c r="AM9332" s="21" t="s">
        <v>6545</v>
      </c>
      <c r="AN9332" s="21">
        <v>-122.403224733333</v>
      </c>
      <c r="AO9332" s="21">
        <v>37.799140533333301</v>
      </c>
      <c r="AP9332" s="21" t="s">
        <v>951</v>
      </c>
    </row>
    <row r="9333" spans="1:42">
      <c r="A9333" s="20">
        <v>43881.504351851901</v>
      </c>
      <c r="B9333" s="21">
        <v>4</v>
      </c>
      <c r="C9333" s="21">
        <v>303</v>
      </c>
      <c r="D9333" s="21">
        <v>10229</v>
      </c>
      <c r="E9333" t="s">
        <v>37</v>
      </c>
      <c r="F9333" s="21" t="s">
        <v>38</v>
      </c>
      <c r="G9333" s="21" t="s">
        <v>4270</v>
      </c>
      <c r="H9333" s="21">
        <v>41</v>
      </c>
      <c r="I9333" s="21" t="s">
        <v>6546</v>
      </c>
      <c r="J9333" s="21"/>
      <c r="K9333" t="s">
        <v>585</v>
      </c>
      <c r="L9333" s="21"/>
      <c r="M9333" s="21"/>
      <c r="N9333" s="21" t="s">
        <v>44</v>
      </c>
      <c r="O9333" s="21">
        <v>52</v>
      </c>
      <c r="P9333" s="21"/>
      <c r="Q9333" s="21"/>
      <c r="R9333" s="21"/>
      <c r="S9333" s="21">
        <v>0</v>
      </c>
      <c r="T9333" s="21">
        <v>0</v>
      </c>
      <c r="U9333" s="21">
        <v>0</v>
      </c>
      <c r="V9333" s="21">
        <v>1</v>
      </c>
      <c r="W9333" s="21">
        <v>0</v>
      </c>
      <c r="X9333" s="21">
        <v>0</v>
      </c>
      <c r="Y9333" s="21">
        <v>0</v>
      </c>
      <c r="Z9333" s="21">
        <v>0</v>
      </c>
      <c r="AA9333" s="21">
        <v>0</v>
      </c>
      <c r="AB9333" s="21">
        <v>0</v>
      </c>
      <c r="AC9333" s="21">
        <v>0</v>
      </c>
      <c r="AD9333" s="21">
        <v>0</v>
      </c>
      <c r="AE9333" s="21">
        <v>0</v>
      </c>
      <c r="AF9333" s="21">
        <v>0</v>
      </c>
      <c r="AG9333" s="21">
        <v>0</v>
      </c>
      <c r="AH9333" s="27">
        <f t="shared" si="194"/>
        <v>64</v>
      </c>
      <c r="AI9333" s="21"/>
      <c r="AJ9333" s="21" t="s">
        <v>54</v>
      </c>
      <c r="AK9333" s="21" t="s">
        <v>95</v>
      </c>
      <c r="AL9333" s="21"/>
      <c r="AM9333" s="21" t="s">
        <v>6547</v>
      </c>
      <c r="AN9333" s="21">
        <v>-122.40311555</v>
      </c>
      <c r="AO9333" s="21">
        <v>37.799253899999997</v>
      </c>
      <c r="AP9333" s="21" t="s">
        <v>951</v>
      </c>
    </row>
    <row r="9334" spans="1:42">
      <c r="A9334" s="20">
        <v>43881.504351851901</v>
      </c>
      <c r="B9334" s="21">
        <v>4</v>
      </c>
      <c r="C9334" s="21">
        <v>303</v>
      </c>
      <c r="D9334" s="21">
        <v>10229</v>
      </c>
      <c r="E9334" t="s">
        <v>37</v>
      </c>
      <c r="F9334" s="21" t="s">
        <v>38</v>
      </c>
      <c r="G9334" s="21" t="s">
        <v>4270</v>
      </c>
      <c r="H9334" s="21">
        <v>42</v>
      </c>
      <c r="I9334" s="21" t="s">
        <v>6548</v>
      </c>
      <c r="J9334" s="21"/>
      <c r="K9334" t="s">
        <v>585</v>
      </c>
      <c r="L9334" s="21"/>
      <c r="M9334" s="21" t="s">
        <v>95</v>
      </c>
      <c r="N9334" s="21" t="s">
        <v>44</v>
      </c>
      <c r="O9334" s="21">
        <v>150</v>
      </c>
      <c r="P9334" s="21"/>
      <c r="Q9334" s="21"/>
      <c r="R9334" s="21"/>
      <c r="S9334" s="21">
        <v>0</v>
      </c>
      <c r="T9334" s="21">
        <v>0</v>
      </c>
      <c r="U9334" s="21">
        <v>0</v>
      </c>
      <c r="V9334" s="21">
        <v>2</v>
      </c>
      <c r="W9334" s="21">
        <v>0</v>
      </c>
      <c r="X9334" s="21">
        <v>0</v>
      </c>
      <c r="Y9334" s="21">
        <v>0</v>
      </c>
      <c r="Z9334" s="21">
        <v>0</v>
      </c>
      <c r="AA9334" s="21">
        <v>0</v>
      </c>
      <c r="AB9334" s="21">
        <v>0</v>
      </c>
      <c r="AC9334" s="21">
        <v>0</v>
      </c>
      <c r="AD9334" s="21">
        <v>0</v>
      </c>
      <c r="AE9334" s="21">
        <v>0</v>
      </c>
      <c r="AF9334" s="21">
        <v>0</v>
      </c>
      <c r="AG9334" s="21">
        <v>0</v>
      </c>
      <c r="AH9334" s="27">
        <f t="shared" si="194"/>
        <v>128</v>
      </c>
      <c r="AI9334" s="21"/>
      <c r="AJ9334" s="21" t="s">
        <v>54</v>
      </c>
      <c r="AK9334" s="21" t="s">
        <v>95</v>
      </c>
      <c r="AL9334" s="21" t="s">
        <v>6549</v>
      </c>
      <c r="AM9334" s="21" t="s">
        <v>6550</v>
      </c>
      <c r="AN9334" s="21">
        <v>-122.402855166667</v>
      </c>
      <c r="AO9334" s="21">
        <v>37.799309733333303</v>
      </c>
      <c r="AP9334" s="21" t="s">
        <v>951</v>
      </c>
    </row>
    <row r="9335" spans="1:42">
      <c r="A9335" s="20">
        <v>43881.504351851901</v>
      </c>
      <c r="B9335" s="21">
        <v>4</v>
      </c>
      <c r="C9335" s="21">
        <v>303</v>
      </c>
      <c r="D9335" s="21">
        <v>10229</v>
      </c>
      <c r="E9335" t="s">
        <v>37</v>
      </c>
      <c r="F9335" s="21" t="s">
        <v>38</v>
      </c>
      <c r="G9335" s="21" t="s">
        <v>4270</v>
      </c>
      <c r="H9335" s="21">
        <v>43</v>
      </c>
      <c r="I9335" s="21" t="s">
        <v>6551</v>
      </c>
      <c r="J9335" s="21"/>
      <c r="K9335" s="21" t="s">
        <v>6503</v>
      </c>
      <c r="L9335" s="21"/>
      <c r="M9335" s="21" t="s">
        <v>95</v>
      </c>
      <c r="N9335" s="21" t="s">
        <v>42</v>
      </c>
      <c r="O9335" s="21"/>
      <c r="P9335" s="21">
        <v>530</v>
      </c>
      <c r="Q9335" s="21"/>
      <c r="R9335" s="21">
        <v>3</v>
      </c>
      <c r="S9335" s="21">
        <v>0</v>
      </c>
      <c r="T9335" s="21">
        <v>0</v>
      </c>
      <c r="U9335" s="21">
        <v>6</v>
      </c>
      <c r="V9335" s="21">
        <v>2</v>
      </c>
      <c r="W9335" s="21">
        <v>0</v>
      </c>
      <c r="X9335" s="21">
        <v>0</v>
      </c>
      <c r="Y9335" s="21">
        <v>0</v>
      </c>
      <c r="Z9335" s="21">
        <v>0</v>
      </c>
      <c r="AA9335" s="21">
        <v>0</v>
      </c>
      <c r="AB9335" s="21">
        <v>0</v>
      </c>
      <c r="AC9335" s="21">
        <v>0</v>
      </c>
      <c r="AD9335" s="21">
        <v>0</v>
      </c>
      <c r="AE9335" s="21">
        <v>0</v>
      </c>
      <c r="AF9335" s="21">
        <v>0</v>
      </c>
      <c r="AG9335" s="21">
        <v>0</v>
      </c>
      <c r="AH9335" s="27">
        <f t="shared" si="194"/>
        <v>320</v>
      </c>
      <c r="AI9335" s="21"/>
      <c r="AJ9335" s="21" t="s">
        <v>51</v>
      </c>
      <c r="AK9335" s="21" t="s">
        <v>95</v>
      </c>
      <c r="AL9335" s="21" t="s">
        <v>6552</v>
      </c>
      <c r="AM9335" s="21" t="s">
        <v>6553</v>
      </c>
      <c r="AN9335" s="21">
        <v>-122.40202643333301</v>
      </c>
      <c r="AO9335" s="21">
        <v>37.798458066666697</v>
      </c>
      <c r="AP9335" s="21" t="s">
        <v>951</v>
      </c>
    </row>
    <row r="9336" spans="1:42">
      <c r="A9336" s="20">
        <v>43881.504351851901</v>
      </c>
      <c r="B9336" s="21">
        <v>4</v>
      </c>
      <c r="C9336" s="21">
        <v>303</v>
      </c>
      <c r="D9336" s="21">
        <v>10229</v>
      </c>
      <c r="E9336" t="s">
        <v>37</v>
      </c>
      <c r="F9336" s="21" t="s">
        <v>38</v>
      </c>
      <c r="G9336" s="21" t="s">
        <v>4270</v>
      </c>
      <c r="H9336" s="21">
        <v>44</v>
      </c>
      <c r="I9336" s="21" t="s">
        <v>6554</v>
      </c>
      <c r="J9336" s="21"/>
      <c r="K9336" s="21" t="s">
        <v>148</v>
      </c>
      <c r="L9336" s="21" t="s">
        <v>114</v>
      </c>
      <c r="M9336" s="21"/>
      <c r="N9336" s="21" t="s">
        <v>40</v>
      </c>
      <c r="O9336" s="21">
        <v>50</v>
      </c>
      <c r="P9336" s="21"/>
      <c r="Q9336" s="21"/>
      <c r="R9336" s="21"/>
      <c r="S9336" s="21">
        <v>0</v>
      </c>
      <c r="T9336" s="21">
        <v>0</v>
      </c>
      <c r="U9336" s="21">
        <v>1</v>
      </c>
      <c r="V9336" s="21">
        <v>0</v>
      </c>
      <c r="W9336" s="21">
        <v>0</v>
      </c>
      <c r="X9336" s="21">
        <v>0</v>
      </c>
      <c r="Y9336" s="21">
        <v>0</v>
      </c>
      <c r="Z9336" s="21">
        <v>0</v>
      </c>
      <c r="AA9336" s="21">
        <v>0</v>
      </c>
      <c r="AB9336" s="21">
        <v>0</v>
      </c>
      <c r="AC9336" s="21">
        <v>0</v>
      </c>
      <c r="AD9336" s="21">
        <v>0</v>
      </c>
      <c r="AE9336" s="21">
        <v>0</v>
      </c>
      <c r="AF9336" s="21">
        <v>0</v>
      </c>
      <c r="AG9336" s="21">
        <v>0</v>
      </c>
      <c r="AH9336" s="27">
        <f t="shared" si="194"/>
        <v>32</v>
      </c>
      <c r="AI9336" s="21"/>
      <c r="AJ9336" s="21" t="s">
        <v>54</v>
      </c>
      <c r="AK9336" s="21" t="s">
        <v>95</v>
      </c>
      <c r="AL9336" s="21"/>
      <c r="AM9336" s="21" t="s">
        <v>6555</v>
      </c>
      <c r="AN9336" s="21">
        <v>-122.407019316667</v>
      </c>
      <c r="AO9336" s="21">
        <v>37.801615300000002</v>
      </c>
      <c r="AP9336" s="21" t="s">
        <v>951</v>
      </c>
    </row>
    <row r="9337" spans="1:42">
      <c r="A9337" s="20">
        <v>43881.504351851901</v>
      </c>
      <c r="B9337" s="21">
        <v>4</v>
      </c>
      <c r="C9337" s="21">
        <v>303</v>
      </c>
      <c r="D9337" s="21">
        <v>10229</v>
      </c>
      <c r="E9337" t="s">
        <v>37</v>
      </c>
      <c r="F9337" s="21" t="s">
        <v>38</v>
      </c>
      <c r="G9337" s="21" t="s">
        <v>4270</v>
      </c>
      <c r="H9337" s="21">
        <v>45</v>
      </c>
      <c r="I9337" s="21" t="s">
        <v>6556</v>
      </c>
      <c r="J9337" s="21"/>
      <c r="K9337" s="21" t="s">
        <v>148</v>
      </c>
      <c r="L9337" s="21" t="s">
        <v>114</v>
      </c>
      <c r="M9337" s="21"/>
      <c r="N9337" s="21" t="s">
        <v>40</v>
      </c>
      <c r="O9337" s="21">
        <v>35</v>
      </c>
      <c r="P9337" s="21"/>
      <c r="Q9337" s="21"/>
      <c r="R9337" s="21"/>
      <c r="S9337" s="21">
        <v>0</v>
      </c>
      <c r="T9337" s="21">
        <v>0</v>
      </c>
      <c r="U9337" s="21">
        <v>1</v>
      </c>
      <c r="V9337" s="21">
        <v>0</v>
      </c>
      <c r="W9337" s="21">
        <v>0</v>
      </c>
      <c r="X9337" s="21">
        <v>0</v>
      </c>
      <c r="Y9337" s="21">
        <v>0</v>
      </c>
      <c r="Z9337" s="21">
        <v>0</v>
      </c>
      <c r="AA9337" s="21">
        <v>0</v>
      </c>
      <c r="AB9337" s="21">
        <v>0</v>
      </c>
      <c r="AC9337" s="21">
        <v>0</v>
      </c>
      <c r="AD9337" s="21">
        <v>0</v>
      </c>
      <c r="AE9337" s="21">
        <v>0</v>
      </c>
      <c r="AF9337" s="21">
        <v>0</v>
      </c>
      <c r="AG9337" s="21">
        <v>0</v>
      </c>
      <c r="AH9337" s="27">
        <f t="shared" si="194"/>
        <v>32</v>
      </c>
      <c r="AI9337" s="21"/>
      <c r="AJ9337" s="21" t="s">
        <v>54</v>
      </c>
      <c r="AK9337" s="21" t="s">
        <v>95</v>
      </c>
      <c r="AL9337" s="21"/>
      <c r="AM9337" s="21" t="s">
        <v>6557</v>
      </c>
      <c r="AN9337" s="21">
        <v>-122.407192516667</v>
      </c>
      <c r="AO9337" s="21">
        <v>37.801739916666698</v>
      </c>
      <c r="AP9337" s="21" t="s">
        <v>951</v>
      </c>
    </row>
    <row r="9338" spans="1:42">
      <c r="A9338" s="20">
        <v>43881.504351851901</v>
      </c>
      <c r="B9338" s="21">
        <v>4</v>
      </c>
      <c r="C9338" s="21">
        <v>303</v>
      </c>
      <c r="D9338" s="21">
        <v>10229</v>
      </c>
      <c r="E9338" t="s">
        <v>37</v>
      </c>
      <c r="F9338" s="21" t="s">
        <v>38</v>
      </c>
      <c r="G9338" s="21" t="s">
        <v>4270</v>
      </c>
      <c r="H9338" s="21">
        <v>46</v>
      </c>
      <c r="I9338" s="21" t="s">
        <v>6558</v>
      </c>
      <c r="J9338" s="21"/>
      <c r="K9338" s="21" t="s">
        <v>148</v>
      </c>
      <c r="L9338" s="21" t="s">
        <v>114</v>
      </c>
      <c r="M9338" s="21"/>
      <c r="N9338" s="21" t="s">
        <v>40</v>
      </c>
      <c r="O9338" s="21">
        <v>48</v>
      </c>
      <c r="P9338" s="21"/>
      <c r="Q9338" s="21"/>
      <c r="R9338" s="21"/>
      <c r="S9338" s="21">
        <v>0</v>
      </c>
      <c r="T9338" s="21">
        <v>0</v>
      </c>
      <c r="U9338" s="21">
        <v>2</v>
      </c>
      <c r="V9338" s="21">
        <v>0</v>
      </c>
      <c r="W9338" s="21">
        <v>0</v>
      </c>
      <c r="X9338" s="21">
        <v>0</v>
      </c>
      <c r="Y9338" s="21">
        <v>0</v>
      </c>
      <c r="Z9338" s="21">
        <v>0</v>
      </c>
      <c r="AA9338" s="21">
        <v>0</v>
      </c>
      <c r="AB9338" s="21">
        <v>0</v>
      </c>
      <c r="AC9338" s="21">
        <v>0</v>
      </c>
      <c r="AD9338" s="21">
        <v>0</v>
      </c>
      <c r="AE9338" s="21">
        <v>0</v>
      </c>
      <c r="AF9338" s="21">
        <v>0</v>
      </c>
      <c r="AG9338" s="21">
        <v>0</v>
      </c>
      <c r="AH9338" s="27">
        <f t="shared" si="194"/>
        <v>64</v>
      </c>
      <c r="AI9338" s="21"/>
      <c r="AJ9338" s="21" t="s">
        <v>54</v>
      </c>
      <c r="AK9338" s="21" t="s">
        <v>95</v>
      </c>
      <c r="AL9338" s="21"/>
      <c r="AM9338" s="21" t="s">
        <v>6559</v>
      </c>
      <c r="AN9338" s="21">
        <v>-122.40724166666701</v>
      </c>
      <c r="AO9338" s="21">
        <v>37.801726866666698</v>
      </c>
      <c r="AP9338" s="21" t="s">
        <v>951</v>
      </c>
    </row>
    <row r="9339" spans="1:42">
      <c r="A9339" s="20">
        <v>43881.504351851901</v>
      </c>
      <c r="B9339" s="21">
        <v>4</v>
      </c>
      <c r="C9339" s="21">
        <v>303</v>
      </c>
      <c r="D9339" s="21">
        <v>10229</v>
      </c>
      <c r="E9339" t="s">
        <v>37</v>
      </c>
      <c r="F9339" s="21" t="s">
        <v>38</v>
      </c>
      <c r="G9339" s="21" t="s">
        <v>4270</v>
      </c>
      <c r="H9339" s="21">
        <v>47</v>
      </c>
      <c r="I9339" s="21" t="s">
        <v>4159</v>
      </c>
      <c r="J9339" s="21"/>
      <c r="K9339" s="21" t="s">
        <v>148</v>
      </c>
      <c r="L9339" s="21" t="s">
        <v>114</v>
      </c>
      <c r="M9339" s="21" t="s">
        <v>95</v>
      </c>
      <c r="N9339" s="21" t="s">
        <v>44</v>
      </c>
      <c r="O9339" s="21">
        <v>147</v>
      </c>
      <c r="P9339" s="21"/>
      <c r="Q9339" s="21"/>
      <c r="R9339" s="21"/>
      <c r="S9339" s="21">
        <v>0</v>
      </c>
      <c r="T9339" s="21">
        <v>0</v>
      </c>
      <c r="U9339" s="21">
        <v>2</v>
      </c>
      <c r="V9339" s="21">
        <v>0</v>
      </c>
      <c r="W9339" s="21">
        <v>0</v>
      </c>
      <c r="X9339" s="21">
        <v>0</v>
      </c>
      <c r="Y9339" s="21">
        <v>0</v>
      </c>
      <c r="Z9339" s="21">
        <v>0</v>
      </c>
      <c r="AA9339" s="21">
        <v>0</v>
      </c>
      <c r="AB9339" s="21">
        <v>0</v>
      </c>
      <c r="AC9339" s="21">
        <v>0</v>
      </c>
      <c r="AD9339" s="21">
        <v>0</v>
      </c>
      <c r="AE9339" s="21">
        <v>0</v>
      </c>
      <c r="AF9339" s="21">
        <v>0</v>
      </c>
      <c r="AG9339" s="21">
        <v>0</v>
      </c>
      <c r="AH9339" s="27">
        <f t="shared" si="194"/>
        <v>64</v>
      </c>
      <c r="AI9339" s="21"/>
      <c r="AJ9339" s="21" t="s">
        <v>54</v>
      </c>
      <c r="AK9339" s="21" t="s">
        <v>95</v>
      </c>
      <c r="AL9339" s="21"/>
      <c r="AM9339" s="21" t="s">
        <v>6560</v>
      </c>
      <c r="AN9339" s="21">
        <v>-122.40741756666699</v>
      </c>
      <c r="AO9339" s="21">
        <v>37.801689099999997</v>
      </c>
      <c r="AP9339" s="21" t="s">
        <v>951</v>
      </c>
    </row>
    <row r="9340" spans="1:42">
      <c r="A9340" s="20">
        <v>43881.504351851901</v>
      </c>
      <c r="B9340" s="21">
        <v>4</v>
      </c>
      <c r="C9340" s="21">
        <v>303</v>
      </c>
      <c r="D9340" s="21">
        <v>10229</v>
      </c>
      <c r="E9340" t="s">
        <v>37</v>
      </c>
      <c r="F9340" s="21" t="s">
        <v>38</v>
      </c>
      <c r="G9340" s="21" t="s">
        <v>4270</v>
      </c>
      <c r="H9340" s="21">
        <v>48</v>
      </c>
      <c r="I9340" s="21" t="s">
        <v>6561</v>
      </c>
      <c r="J9340" s="21"/>
      <c r="K9340" s="21" t="s">
        <v>210</v>
      </c>
      <c r="L9340" s="21"/>
      <c r="M9340" s="21"/>
      <c r="N9340" s="21" t="s">
        <v>44</v>
      </c>
      <c r="O9340" s="21">
        <v>98</v>
      </c>
      <c r="P9340" s="21"/>
      <c r="Q9340" s="21"/>
      <c r="R9340" s="21"/>
      <c r="S9340" s="21">
        <v>0</v>
      </c>
      <c r="T9340" s="21">
        <v>0</v>
      </c>
      <c r="U9340" s="21">
        <v>0</v>
      </c>
      <c r="V9340" s="21">
        <v>1</v>
      </c>
      <c r="W9340" s="21">
        <v>0</v>
      </c>
      <c r="X9340" s="21">
        <v>0</v>
      </c>
      <c r="Y9340" s="21">
        <v>0</v>
      </c>
      <c r="Z9340" s="21">
        <v>0</v>
      </c>
      <c r="AA9340" s="21">
        <v>0</v>
      </c>
      <c r="AB9340" s="21">
        <v>0</v>
      </c>
      <c r="AC9340" s="21">
        <v>0</v>
      </c>
      <c r="AD9340" s="21">
        <v>0</v>
      </c>
      <c r="AE9340" s="21">
        <v>0</v>
      </c>
      <c r="AF9340" s="21">
        <v>0</v>
      </c>
      <c r="AG9340" s="21">
        <v>0</v>
      </c>
      <c r="AH9340" s="27">
        <f t="shared" si="194"/>
        <v>64</v>
      </c>
      <c r="AI9340" s="21"/>
      <c r="AJ9340" s="21" t="s">
        <v>51</v>
      </c>
      <c r="AK9340" s="21" t="s">
        <v>95</v>
      </c>
      <c r="AL9340" s="21"/>
      <c r="AM9340" s="21" t="s">
        <v>6562</v>
      </c>
      <c r="AN9340" s="21">
        <v>-122.40815341666701</v>
      </c>
      <c r="AO9340" s="21">
        <v>37.803219716666703</v>
      </c>
      <c r="AP9340" s="21" t="s">
        <v>951</v>
      </c>
    </row>
    <row r="9341" spans="1:42">
      <c r="A9341" s="20">
        <v>43881.504351851901</v>
      </c>
      <c r="B9341" s="21">
        <v>4</v>
      </c>
      <c r="C9341" s="21">
        <v>303</v>
      </c>
      <c r="D9341" s="21">
        <v>10229</v>
      </c>
      <c r="E9341" t="s">
        <v>37</v>
      </c>
      <c r="F9341" s="21" t="s">
        <v>38</v>
      </c>
      <c r="G9341" s="21" t="s">
        <v>4270</v>
      </c>
      <c r="H9341" s="21">
        <v>49</v>
      </c>
      <c r="I9341" s="21" t="s">
        <v>6563</v>
      </c>
      <c r="J9341" s="21"/>
      <c r="K9341" s="21" t="s">
        <v>210</v>
      </c>
      <c r="L9341" s="21" t="s">
        <v>141</v>
      </c>
      <c r="M9341" s="21"/>
      <c r="N9341" s="21" t="s">
        <v>40</v>
      </c>
      <c r="O9341" s="21">
        <v>51</v>
      </c>
      <c r="P9341" s="21"/>
      <c r="Q9341" s="21"/>
      <c r="R9341" s="21"/>
      <c r="S9341" s="21">
        <v>0</v>
      </c>
      <c r="T9341" s="21">
        <v>0</v>
      </c>
      <c r="U9341" s="21">
        <v>2</v>
      </c>
      <c r="V9341" s="21">
        <v>0</v>
      </c>
      <c r="W9341" s="21">
        <v>0</v>
      </c>
      <c r="X9341" s="21">
        <v>0</v>
      </c>
      <c r="Y9341" s="21">
        <v>0</v>
      </c>
      <c r="Z9341" s="21">
        <v>0</v>
      </c>
      <c r="AA9341" s="21">
        <v>0</v>
      </c>
      <c r="AB9341" s="21">
        <v>0</v>
      </c>
      <c r="AC9341" s="21">
        <v>0</v>
      </c>
      <c r="AD9341" s="21">
        <v>0</v>
      </c>
      <c r="AE9341" s="21">
        <v>0</v>
      </c>
      <c r="AF9341" s="21">
        <v>0</v>
      </c>
      <c r="AG9341" s="21">
        <v>0</v>
      </c>
      <c r="AH9341" s="27">
        <f t="shared" si="194"/>
        <v>64</v>
      </c>
      <c r="AI9341" s="21"/>
      <c r="AJ9341" s="21" t="s">
        <v>51</v>
      </c>
      <c r="AK9341" s="21" t="s">
        <v>95</v>
      </c>
      <c r="AL9341" s="21"/>
      <c r="AM9341" s="21" t="s">
        <v>6564</v>
      </c>
      <c r="AN9341" s="21">
        <v>-122.40737785</v>
      </c>
      <c r="AO9341" s="21">
        <v>37.803527566666702</v>
      </c>
      <c r="AP9341" s="21" t="s">
        <v>951</v>
      </c>
    </row>
    <row r="9342" spans="1:42">
      <c r="A9342" s="20">
        <v>43881.504351851901</v>
      </c>
      <c r="B9342" s="21">
        <v>4</v>
      </c>
      <c r="C9342" s="21">
        <v>303</v>
      </c>
      <c r="D9342" s="21">
        <v>10229</v>
      </c>
      <c r="E9342" t="s">
        <v>37</v>
      </c>
      <c r="F9342" s="21" t="s">
        <v>38</v>
      </c>
      <c r="G9342" s="21" t="s">
        <v>4270</v>
      </c>
      <c r="H9342" s="21">
        <v>50</v>
      </c>
      <c r="I9342" s="21" t="s">
        <v>6565</v>
      </c>
      <c r="J9342" s="21"/>
      <c r="K9342" s="21" t="s">
        <v>210</v>
      </c>
      <c r="L9342" s="21" t="s">
        <v>114</v>
      </c>
      <c r="M9342" s="21" t="s">
        <v>95</v>
      </c>
      <c r="N9342" s="21" t="s">
        <v>42</v>
      </c>
      <c r="O9342" s="21">
        <v>110</v>
      </c>
      <c r="P9342" s="21"/>
      <c r="Q9342" s="21"/>
      <c r="R9342" s="21"/>
      <c r="S9342" s="21">
        <v>0</v>
      </c>
      <c r="T9342" s="21">
        <v>0</v>
      </c>
      <c r="U9342" s="21">
        <v>2</v>
      </c>
      <c r="V9342" s="21">
        <v>0</v>
      </c>
      <c r="W9342" s="21">
        <v>0</v>
      </c>
      <c r="X9342" s="21">
        <v>0</v>
      </c>
      <c r="Y9342" s="21">
        <v>0</v>
      </c>
      <c r="Z9342" s="21">
        <v>0</v>
      </c>
      <c r="AA9342" s="21">
        <v>0</v>
      </c>
      <c r="AB9342" s="21">
        <v>0</v>
      </c>
      <c r="AC9342" s="21">
        <v>0</v>
      </c>
      <c r="AD9342" s="21">
        <v>0</v>
      </c>
      <c r="AE9342" s="21">
        <v>0</v>
      </c>
      <c r="AF9342" s="21">
        <v>0</v>
      </c>
      <c r="AG9342" s="21">
        <v>0</v>
      </c>
      <c r="AH9342" s="27">
        <f t="shared" si="194"/>
        <v>64</v>
      </c>
      <c r="AI9342" s="21"/>
      <c r="AJ9342" s="21" t="s">
        <v>51</v>
      </c>
      <c r="AK9342" s="21" t="s">
        <v>95</v>
      </c>
      <c r="AL9342" s="21"/>
      <c r="AM9342" s="21" t="s">
        <v>6566</v>
      </c>
      <c r="AN9342" s="21">
        <v>-122.40736636666701</v>
      </c>
      <c r="AO9342" s="21">
        <v>37.803517200000002</v>
      </c>
      <c r="AP9342" s="21" t="s">
        <v>951</v>
      </c>
    </row>
    <row r="9343" spans="1:42">
      <c r="A9343" s="20">
        <v>43881.504351851901</v>
      </c>
      <c r="B9343" s="21">
        <v>4</v>
      </c>
      <c r="C9343" s="21">
        <v>303</v>
      </c>
      <c r="D9343" s="21">
        <v>10229</v>
      </c>
      <c r="E9343" t="s">
        <v>37</v>
      </c>
      <c r="F9343" s="21" t="s">
        <v>38</v>
      </c>
      <c r="G9343" s="21" t="s">
        <v>4270</v>
      </c>
      <c r="H9343" s="21">
        <v>51</v>
      </c>
      <c r="I9343" s="21" t="s">
        <v>6567</v>
      </c>
      <c r="J9343" s="21"/>
      <c r="K9343" s="21" t="s">
        <v>210</v>
      </c>
      <c r="L9343" s="21" t="s">
        <v>141</v>
      </c>
      <c r="M9343" s="21" t="s">
        <v>95</v>
      </c>
      <c r="N9343" s="21" t="s">
        <v>40</v>
      </c>
      <c r="O9343" s="21">
        <v>110</v>
      </c>
      <c r="P9343" s="21"/>
      <c r="Q9343" s="21"/>
      <c r="R9343" s="21"/>
      <c r="S9343" s="21">
        <v>0</v>
      </c>
      <c r="T9343" s="21">
        <v>0</v>
      </c>
      <c r="U9343" s="21">
        <v>1</v>
      </c>
      <c r="V9343" s="21">
        <v>2</v>
      </c>
      <c r="W9343" s="21">
        <v>0</v>
      </c>
      <c r="X9343" s="21">
        <v>0</v>
      </c>
      <c r="Y9343" s="21">
        <v>0</v>
      </c>
      <c r="Z9343" s="21">
        <v>0</v>
      </c>
      <c r="AA9343" s="21">
        <v>0</v>
      </c>
      <c r="AB9343" s="21">
        <v>0</v>
      </c>
      <c r="AC9343" s="21">
        <v>0</v>
      </c>
      <c r="AD9343" s="21">
        <v>0</v>
      </c>
      <c r="AE9343" s="21">
        <v>0</v>
      </c>
      <c r="AF9343" s="21">
        <v>0</v>
      </c>
      <c r="AG9343" s="21">
        <v>0</v>
      </c>
      <c r="AH9343" s="27">
        <f t="shared" si="194"/>
        <v>160</v>
      </c>
      <c r="AI9343" s="21"/>
      <c r="AJ9343" s="21" t="s">
        <v>51</v>
      </c>
      <c r="AK9343" s="21" t="s">
        <v>95</v>
      </c>
      <c r="AL9343" s="21"/>
      <c r="AM9343" s="21" t="s">
        <v>6568</v>
      </c>
      <c r="AN9343" s="21">
        <v>-122.407358733333</v>
      </c>
      <c r="AO9343" s="21">
        <v>37.803490750000002</v>
      </c>
      <c r="AP9343" s="21" t="s">
        <v>951</v>
      </c>
    </row>
    <row r="9344" spans="1:42">
      <c r="A9344" s="20">
        <v>43881.504351851901</v>
      </c>
      <c r="B9344" s="21">
        <v>4</v>
      </c>
      <c r="C9344" s="21">
        <v>303</v>
      </c>
      <c r="D9344" s="21">
        <v>10229</v>
      </c>
      <c r="E9344" t="s">
        <v>37</v>
      </c>
      <c r="F9344" s="21" t="s">
        <v>38</v>
      </c>
      <c r="G9344" s="21" t="s">
        <v>4270</v>
      </c>
      <c r="H9344" s="21">
        <v>52</v>
      </c>
      <c r="I9344" s="21" t="s">
        <v>6569</v>
      </c>
      <c r="J9344" s="21"/>
      <c r="K9344" s="21" t="s">
        <v>210</v>
      </c>
      <c r="L9344" s="21"/>
      <c r="M9344" s="21"/>
      <c r="N9344" s="21" t="s">
        <v>44</v>
      </c>
      <c r="O9344" s="21">
        <v>75</v>
      </c>
      <c r="P9344" s="21"/>
      <c r="Q9344" s="21"/>
      <c r="R9344" s="21"/>
      <c r="S9344" s="21">
        <v>0</v>
      </c>
      <c r="T9344" s="21">
        <v>0</v>
      </c>
      <c r="U9344" s="21">
        <v>1</v>
      </c>
      <c r="V9344" s="21">
        <v>0</v>
      </c>
      <c r="W9344" s="21">
        <v>0</v>
      </c>
      <c r="X9344" s="21">
        <v>0</v>
      </c>
      <c r="Y9344" s="21">
        <v>0</v>
      </c>
      <c r="Z9344" s="21">
        <v>0</v>
      </c>
      <c r="AA9344" s="21">
        <v>0</v>
      </c>
      <c r="AB9344" s="21">
        <v>0</v>
      </c>
      <c r="AC9344" s="21">
        <v>0</v>
      </c>
      <c r="AD9344" s="21">
        <v>0</v>
      </c>
      <c r="AE9344" s="21">
        <v>0</v>
      </c>
      <c r="AF9344" s="21">
        <v>0</v>
      </c>
      <c r="AG9344" s="21">
        <v>0</v>
      </c>
      <c r="AH9344" s="27">
        <f t="shared" si="194"/>
        <v>32</v>
      </c>
      <c r="AI9344" s="21"/>
      <c r="AJ9344" s="21" t="s">
        <v>51</v>
      </c>
      <c r="AK9344" s="21" t="s">
        <v>95</v>
      </c>
      <c r="AL9344" s="21"/>
      <c r="AM9344" s="21" t="s">
        <v>6570</v>
      </c>
      <c r="AN9344" s="21">
        <v>-122.406666966667</v>
      </c>
      <c r="AO9344" s="21">
        <v>37.802672033333302</v>
      </c>
      <c r="AP9344" s="21" t="s">
        <v>951</v>
      </c>
    </row>
    <row r="9345" spans="1:42">
      <c r="A9345" s="20">
        <v>43881.504351851901</v>
      </c>
      <c r="B9345" s="21">
        <v>4</v>
      </c>
      <c r="C9345" s="21">
        <v>303</v>
      </c>
      <c r="D9345" s="21">
        <v>10229</v>
      </c>
      <c r="E9345" t="s">
        <v>37</v>
      </c>
      <c r="F9345" s="21" t="s">
        <v>38</v>
      </c>
      <c r="G9345" s="21" t="s">
        <v>4270</v>
      </c>
      <c r="H9345" s="21">
        <v>53</v>
      </c>
      <c r="I9345" s="21" t="s">
        <v>3519</v>
      </c>
      <c r="J9345" s="21"/>
      <c r="K9345" s="21" t="s">
        <v>6571</v>
      </c>
      <c r="L9345" s="21"/>
      <c r="M9345" s="21"/>
      <c r="N9345" s="21" t="s">
        <v>44</v>
      </c>
      <c r="O9345" s="21">
        <v>93</v>
      </c>
      <c r="P9345" s="21"/>
      <c r="Q9345" s="21"/>
      <c r="R9345" s="21"/>
      <c r="S9345" s="21">
        <v>0</v>
      </c>
      <c r="T9345" s="21">
        <v>0</v>
      </c>
      <c r="U9345" s="21">
        <v>1</v>
      </c>
      <c r="V9345" s="21">
        <v>0</v>
      </c>
      <c r="W9345" s="21">
        <v>0</v>
      </c>
      <c r="X9345" s="21">
        <v>0</v>
      </c>
      <c r="Y9345" s="21">
        <v>0</v>
      </c>
      <c r="Z9345" s="21">
        <v>0</v>
      </c>
      <c r="AA9345" s="21">
        <v>0</v>
      </c>
      <c r="AB9345" s="21">
        <v>0</v>
      </c>
      <c r="AC9345" s="21">
        <v>0</v>
      </c>
      <c r="AD9345" s="21">
        <v>0</v>
      </c>
      <c r="AE9345" s="21">
        <v>0</v>
      </c>
      <c r="AF9345" s="21">
        <v>0</v>
      </c>
      <c r="AG9345" s="21">
        <v>0</v>
      </c>
      <c r="AH9345" s="27">
        <f t="shared" si="194"/>
        <v>32</v>
      </c>
      <c r="AI9345" s="21"/>
      <c r="AJ9345" s="21" t="s">
        <v>51</v>
      </c>
      <c r="AK9345" s="21" t="s">
        <v>95</v>
      </c>
      <c r="AL9345" s="21"/>
      <c r="AM9345" s="21" t="s">
        <v>6572</v>
      </c>
      <c r="AN9345" s="21">
        <v>-122.40667013333299</v>
      </c>
      <c r="AO9345" s="21">
        <v>37.802801466666601</v>
      </c>
      <c r="AP9345" s="21" t="s">
        <v>951</v>
      </c>
    </row>
    <row r="9346" spans="1:42">
      <c r="A9346" s="20">
        <v>43881.504351851901</v>
      </c>
      <c r="B9346" s="21">
        <v>4</v>
      </c>
      <c r="C9346" s="21">
        <v>303</v>
      </c>
      <c r="D9346" s="21">
        <v>10229</v>
      </c>
      <c r="E9346" t="s">
        <v>37</v>
      </c>
      <c r="F9346" s="21" t="s">
        <v>38</v>
      </c>
      <c r="G9346" s="21" t="s">
        <v>4270</v>
      </c>
      <c r="H9346" s="21">
        <v>54</v>
      </c>
      <c r="I9346" s="21" t="s">
        <v>3442</v>
      </c>
      <c r="J9346" s="21"/>
      <c r="K9346" s="21" t="s">
        <v>6571</v>
      </c>
      <c r="L9346" s="21"/>
      <c r="M9346" s="21"/>
      <c r="N9346" s="21" t="s">
        <v>44</v>
      </c>
      <c r="O9346" s="21">
        <v>237</v>
      </c>
      <c r="P9346" s="21"/>
      <c r="Q9346" s="21"/>
      <c r="R9346" s="21"/>
      <c r="S9346" s="21">
        <v>0</v>
      </c>
      <c r="T9346" s="21">
        <v>0</v>
      </c>
      <c r="U9346" s="21">
        <v>3</v>
      </c>
      <c r="V9346" s="21">
        <v>0</v>
      </c>
      <c r="W9346" s="21">
        <v>0</v>
      </c>
      <c r="X9346" s="21">
        <v>0</v>
      </c>
      <c r="Y9346" s="21">
        <v>0</v>
      </c>
      <c r="Z9346" s="21">
        <v>0</v>
      </c>
      <c r="AA9346" s="21">
        <v>0</v>
      </c>
      <c r="AB9346" s="21">
        <v>0</v>
      </c>
      <c r="AC9346" s="21">
        <v>0</v>
      </c>
      <c r="AD9346" s="21">
        <v>0</v>
      </c>
      <c r="AE9346" s="21">
        <v>0</v>
      </c>
      <c r="AF9346" s="21">
        <v>0</v>
      </c>
      <c r="AG9346" s="21">
        <v>0</v>
      </c>
      <c r="AH9346" s="27">
        <f t="shared" si="194"/>
        <v>96</v>
      </c>
      <c r="AI9346" s="21"/>
      <c r="AJ9346" s="21" t="s">
        <v>51</v>
      </c>
      <c r="AK9346" s="21" t="s">
        <v>95</v>
      </c>
      <c r="AL9346" s="21" t="s">
        <v>6573</v>
      </c>
      <c r="AM9346" s="21" t="s">
        <v>6574</v>
      </c>
      <c r="AN9346" s="21">
        <v>-122.405900166667</v>
      </c>
      <c r="AO9346" s="21">
        <v>37.802693866666701</v>
      </c>
      <c r="AP9346" s="21" t="s">
        <v>951</v>
      </c>
    </row>
    <row r="9347" spans="1:42">
      <c r="A9347" s="20">
        <v>43881.504351851901</v>
      </c>
      <c r="B9347" s="21">
        <v>4</v>
      </c>
      <c r="C9347" s="21">
        <v>303</v>
      </c>
      <c r="D9347" s="21">
        <v>10229</v>
      </c>
      <c r="E9347" t="s">
        <v>37</v>
      </c>
      <c r="F9347" s="21" t="s">
        <v>38</v>
      </c>
      <c r="G9347" s="21" t="s">
        <v>4270</v>
      </c>
      <c r="H9347" s="21">
        <v>55</v>
      </c>
      <c r="I9347" s="21" t="s">
        <v>5103</v>
      </c>
      <c r="J9347" s="21"/>
      <c r="K9347" s="21" t="s">
        <v>6575</v>
      </c>
      <c r="L9347" s="21"/>
      <c r="M9347" s="21" t="s">
        <v>95</v>
      </c>
      <c r="N9347" s="21" t="s">
        <v>40</v>
      </c>
      <c r="O9347" s="21"/>
      <c r="P9347" s="21">
        <v>142</v>
      </c>
      <c r="Q9347" s="21"/>
      <c r="R9347" s="21"/>
      <c r="S9347" s="21">
        <v>0</v>
      </c>
      <c r="T9347" s="21">
        <v>0</v>
      </c>
      <c r="U9347" s="21">
        <v>4</v>
      </c>
      <c r="V9347" s="21">
        <v>1</v>
      </c>
      <c r="W9347" s="21">
        <v>0</v>
      </c>
      <c r="X9347" s="21">
        <v>0</v>
      </c>
      <c r="Y9347" s="21">
        <v>0</v>
      </c>
      <c r="Z9347" s="21">
        <v>0</v>
      </c>
      <c r="AA9347" s="21">
        <v>0</v>
      </c>
      <c r="AB9347" s="21">
        <v>0</v>
      </c>
      <c r="AC9347" s="21">
        <v>0</v>
      </c>
      <c r="AD9347" s="21">
        <v>0</v>
      </c>
      <c r="AE9347" s="21">
        <v>0</v>
      </c>
      <c r="AF9347" s="21">
        <v>0</v>
      </c>
      <c r="AG9347" s="21">
        <v>0</v>
      </c>
      <c r="AH9347" s="27">
        <f t="shared" si="194"/>
        <v>192</v>
      </c>
      <c r="AI9347" s="21"/>
      <c r="AJ9347" s="21" t="s">
        <v>51</v>
      </c>
      <c r="AK9347" s="21" t="s">
        <v>95</v>
      </c>
      <c r="AL9347" s="21" t="s">
        <v>6576</v>
      </c>
      <c r="AM9347" s="21" t="s">
        <v>6577</v>
      </c>
      <c r="AN9347" s="21">
        <v>-122.406957083333</v>
      </c>
      <c r="AO9347" s="21">
        <v>37.804052616666603</v>
      </c>
      <c r="AP9347" s="21" t="s">
        <v>951</v>
      </c>
    </row>
    <row r="9348" spans="1:42">
      <c r="A9348" s="20">
        <v>43881.504351851901</v>
      </c>
      <c r="B9348" s="21">
        <v>4</v>
      </c>
      <c r="C9348" s="21">
        <v>303</v>
      </c>
      <c r="D9348" s="21">
        <v>10229</v>
      </c>
      <c r="E9348" t="s">
        <v>37</v>
      </c>
      <c r="F9348" s="21" t="s">
        <v>38</v>
      </c>
      <c r="G9348" s="21" t="s">
        <v>4270</v>
      </c>
      <c r="H9348" s="21">
        <v>56</v>
      </c>
      <c r="I9348" s="21" t="s">
        <v>4138</v>
      </c>
      <c r="J9348" s="21"/>
      <c r="K9348" s="21" t="s">
        <v>210</v>
      </c>
      <c r="L9348" s="21"/>
      <c r="M9348" s="21"/>
      <c r="N9348" s="21" t="s">
        <v>44</v>
      </c>
      <c r="O9348" s="21">
        <v>58</v>
      </c>
      <c r="P9348" s="21"/>
      <c r="Q9348" s="21"/>
      <c r="R9348" s="21"/>
      <c r="S9348" s="21">
        <v>0</v>
      </c>
      <c r="T9348" s="21">
        <v>0</v>
      </c>
      <c r="U9348" s="21">
        <v>0</v>
      </c>
      <c r="V9348" s="21">
        <v>1</v>
      </c>
      <c r="W9348" s="21">
        <v>0</v>
      </c>
      <c r="X9348" s="21">
        <v>0</v>
      </c>
      <c r="Y9348" s="21">
        <v>0</v>
      </c>
      <c r="Z9348" s="21">
        <v>0</v>
      </c>
      <c r="AA9348" s="21">
        <v>0</v>
      </c>
      <c r="AB9348" s="21">
        <v>0</v>
      </c>
      <c r="AC9348" s="21">
        <v>0</v>
      </c>
      <c r="AD9348" s="21">
        <v>0</v>
      </c>
      <c r="AE9348" s="21">
        <v>0</v>
      </c>
      <c r="AF9348" s="21">
        <v>0</v>
      </c>
      <c r="AG9348" s="21">
        <v>0</v>
      </c>
      <c r="AH9348" s="27">
        <f t="shared" si="194"/>
        <v>64</v>
      </c>
      <c r="AI9348" s="21"/>
      <c r="AJ9348" s="21" t="s">
        <v>51</v>
      </c>
      <c r="AK9348" s="21" t="s">
        <v>95</v>
      </c>
      <c r="AL9348" s="21"/>
      <c r="AM9348" s="21" t="s">
        <v>6578</v>
      </c>
      <c r="AN9348" s="21">
        <v>-122.406699533333</v>
      </c>
      <c r="AO9348" s="21">
        <v>37.803925433333298</v>
      </c>
      <c r="AP9348" s="21" t="s">
        <v>951</v>
      </c>
    </row>
    <row r="9349" spans="1:42">
      <c r="A9349" s="20">
        <v>43881.504351851901</v>
      </c>
      <c r="B9349" s="21">
        <v>4</v>
      </c>
      <c r="C9349" s="21">
        <v>303</v>
      </c>
      <c r="D9349" s="21">
        <v>10229</v>
      </c>
      <c r="E9349" t="s">
        <v>37</v>
      </c>
      <c r="F9349" s="21" t="s">
        <v>38</v>
      </c>
      <c r="G9349" s="21" t="s">
        <v>4270</v>
      </c>
      <c r="H9349" s="21">
        <v>57</v>
      </c>
      <c r="I9349" s="21" t="s">
        <v>6579</v>
      </c>
      <c r="J9349" s="21"/>
      <c r="K9349" s="21" t="s">
        <v>210</v>
      </c>
      <c r="L9349" s="21"/>
      <c r="M9349" s="21"/>
      <c r="N9349" s="21" t="s">
        <v>44</v>
      </c>
      <c r="O9349" s="21">
        <v>80</v>
      </c>
      <c r="P9349" s="21"/>
      <c r="Q9349" s="21"/>
      <c r="R9349" s="21"/>
      <c r="S9349" s="21">
        <v>0</v>
      </c>
      <c r="T9349" s="21">
        <v>0</v>
      </c>
      <c r="U9349" s="21">
        <v>1</v>
      </c>
      <c r="V9349" s="21">
        <v>0</v>
      </c>
      <c r="W9349" s="21">
        <v>0</v>
      </c>
      <c r="X9349" s="21">
        <v>0</v>
      </c>
      <c r="Y9349" s="21">
        <v>0</v>
      </c>
      <c r="Z9349" s="21">
        <v>0</v>
      </c>
      <c r="AA9349" s="21">
        <v>0</v>
      </c>
      <c r="AB9349" s="21">
        <v>0</v>
      </c>
      <c r="AC9349" s="21">
        <v>0</v>
      </c>
      <c r="AD9349" s="21">
        <v>0</v>
      </c>
      <c r="AE9349" s="21">
        <v>0</v>
      </c>
      <c r="AF9349" s="21">
        <v>0</v>
      </c>
      <c r="AG9349" s="21">
        <v>0</v>
      </c>
      <c r="AH9349" s="27">
        <f t="shared" si="194"/>
        <v>32</v>
      </c>
      <c r="AI9349" s="21"/>
      <c r="AJ9349" s="21" t="s">
        <v>51</v>
      </c>
      <c r="AK9349" s="21" t="s">
        <v>95</v>
      </c>
      <c r="AL9349" s="21" t="s">
        <v>1545</v>
      </c>
      <c r="AM9349" s="21" t="s">
        <v>6580</v>
      </c>
      <c r="AN9349" s="21">
        <v>-122.407956633333</v>
      </c>
      <c r="AO9349" s="21">
        <v>37.803435149999999</v>
      </c>
      <c r="AP9349" s="21" t="s">
        <v>951</v>
      </c>
    </row>
    <row r="9350" spans="1:42">
      <c r="A9350" s="20">
        <v>43881.504351851901</v>
      </c>
      <c r="B9350" s="21">
        <v>4</v>
      </c>
      <c r="C9350" s="21">
        <v>303</v>
      </c>
      <c r="D9350" s="21">
        <v>10229</v>
      </c>
      <c r="E9350" t="s">
        <v>37</v>
      </c>
      <c r="F9350" s="21" t="s">
        <v>38</v>
      </c>
      <c r="G9350" s="21" t="s">
        <v>4270</v>
      </c>
      <c r="H9350" s="21">
        <v>58</v>
      </c>
      <c r="I9350" s="21" t="s">
        <v>6581</v>
      </c>
      <c r="J9350" s="21"/>
      <c r="K9350" s="21" t="s">
        <v>6582</v>
      </c>
      <c r="L9350" s="21" t="s">
        <v>114</v>
      </c>
      <c r="M9350" s="21" t="s">
        <v>95</v>
      </c>
      <c r="N9350" s="21" t="s">
        <v>42</v>
      </c>
      <c r="O9350" s="21">
        <v>185</v>
      </c>
      <c r="P9350" s="21"/>
      <c r="Q9350" s="21"/>
      <c r="R9350" s="21"/>
      <c r="S9350" s="21">
        <v>0</v>
      </c>
      <c r="T9350" s="21">
        <v>0</v>
      </c>
      <c r="U9350" s="21">
        <v>4</v>
      </c>
      <c r="V9350" s="21">
        <v>0</v>
      </c>
      <c r="W9350" s="21">
        <v>0</v>
      </c>
      <c r="X9350" s="21">
        <v>0</v>
      </c>
      <c r="Y9350" s="21">
        <v>0</v>
      </c>
      <c r="Z9350" s="21">
        <v>0</v>
      </c>
      <c r="AA9350" s="21">
        <v>0</v>
      </c>
      <c r="AB9350" s="21">
        <v>0</v>
      </c>
      <c r="AC9350" s="21">
        <v>0</v>
      </c>
      <c r="AD9350" s="21">
        <v>0</v>
      </c>
      <c r="AE9350" s="21">
        <v>0</v>
      </c>
      <c r="AF9350" s="21">
        <v>0</v>
      </c>
      <c r="AG9350" s="21">
        <v>0</v>
      </c>
      <c r="AH9350" s="27">
        <f t="shared" si="194"/>
        <v>128</v>
      </c>
      <c r="AI9350" s="21"/>
      <c r="AJ9350" s="21" t="s">
        <v>51</v>
      </c>
      <c r="AK9350" s="21" t="s">
        <v>95</v>
      </c>
      <c r="AL9350" s="21" t="s">
        <v>6583</v>
      </c>
      <c r="AM9350" s="21" t="s">
        <v>6584</v>
      </c>
      <c r="AN9350" s="21">
        <v>-122.407938866667</v>
      </c>
      <c r="AO9350" s="21">
        <v>37.803971216666604</v>
      </c>
      <c r="AP9350" s="21" t="s">
        <v>951</v>
      </c>
    </row>
    <row r="9351" spans="1:42">
      <c r="A9351" s="20">
        <v>43881.504351851901</v>
      </c>
      <c r="B9351" s="21">
        <v>4</v>
      </c>
      <c r="C9351" s="21">
        <v>303</v>
      </c>
      <c r="D9351" s="21">
        <v>10229</v>
      </c>
      <c r="E9351" t="s">
        <v>37</v>
      </c>
      <c r="F9351" s="21" t="s">
        <v>38</v>
      </c>
      <c r="G9351" s="21" t="s">
        <v>4270</v>
      </c>
      <c r="H9351" s="21">
        <v>59</v>
      </c>
      <c r="I9351" s="21" t="s">
        <v>6585</v>
      </c>
      <c r="J9351" s="21"/>
      <c r="K9351" s="21" t="s">
        <v>210</v>
      </c>
      <c r="L9351" s="21"/>
      <c r="M9351" s="21"/>
      <c r="N9351" s="21" t="s">
        <v>44</v>
      </c>
      <c r="O9351" s="21">
        <v>73</v>
      </c>
      <c r="P9351" s="21"/>
      <c r="Q9351" s="21"/>
      <c r="R9351" s="21"/>
      <c r="S9351" s="21">
        <v>0</v>
      </c>
      <c r="T9351" s="21">
        <v>0</v>
      </c>
      <c r="U9351" s="21">
        <v>0</v>
      </c>
      <c r="V9351" s="21">
        <v>1</v>
      </c>
      <c r="W9351" s="21">
        <v>0</v>
      </c>
      <c r="X9351" s="21">
        <v>0</v>
      </c>
      <c r="Y9351" s="21">
        <v>0</v>
      </c>
      <c r="Z9351" s="21">
        <v>0</v>
      </c>
      <c r="AA9351" s="21">
        <v>0</v>
      </c>
      <c r="AB9351" s="21">
        <v>0</v>
      </c>
      <c r="AC9351" s="21">
        <v>0</v>
      </c>
      <c r="AD9351" s="21">
        <v>0</v>
      </c>
      <c r="AE9351" s="21">
        <v>0</v>
      </c>
      <c r="AF9351" s="21">
        <v>0</v>
      </c>
      <c r="AG9351" s="21">
        <v>0</v>
      </c>
      <c r="AH9351" s="27">
        <f t="shared" si="194"/>
        <v>64</v>
      </c>
      <c r="AI9351" s="21"/>
      <c r="AJ9351" s="21" t="s">
        <v>51</v>
      </c>
      <c r="AK9351" s="21" t="s">
        <v>52</v>
      </c>
      <c r="AL9351" s="21"/>
      <c r="AM9351" s="21" t="s">
        <v>6586</v>
      </c>
      <c r="AN9351" s="21">
        <v>-122.40792755</v>
      </c>
      <c r="AO9351" s="21">
        <v>37.803438999999997</v>
      </c>
      <c r="AP9351" s="21" t="s">
        <v>951</v>
      </c>
    </row>
    <row r="9352" spans="1:42">
      <c r="A9352" s="20">
        <v>43881.504351851901</v>
      </c>
      <c r="B9352" s="21">
        <v>4</v>
      </c>
      <c r="C9352" s="21">
        <v>303</v>
      </c>
      <c r="D9352" s="21">
        <v>10229</v>
      </c>
      <c r="E9352" t="s">
        <v>37</v>
      </c>
      <c r="F9352" s="21" t="s">
        <v>38</v>
      </c>
      <c r="G9352" s="21" t="s">
        <v>4270</v>
      </c>
      <c r="H9352" s="21">
        <v>60</v>
      </c>
      <c r="I9352" s="21" t="s">
        <v>6585</v>
      </c>
      <c r="J9352" s="21"/>
      <c r="K9352" s="21" t="s">
        <v>210</v>
      </c>
      <c r="L9352" s="21"/>
      <c r="M9352" s="21"/>
      <c r="N9352" s="21" t="s">
        <v>44</v>
      </c>
      <c r="O9352" s="21">
        <v>65</v>
      </c>
      <c r="P9352" s="21"/>
      <c r="Q9352" s="21"/>
      <c r="R9352" s="21"/>
      <c r="S9352" s="21">
        <v>0</v>
      </c>
      <c r="T9352" s="21">
        <v>0</v>
      </c>
      <c r="U9352" s="21">
        <v>1</v>
      </c>
      <c r="V9352" s="21">
        <v>0</v>
      </c>
      <c r="W9352" s="21">
        <v>0</v>
      </c>
      <c r="X9352" s="21">
        <v>0</v>
      </c>
      <c r="Y9352" s="21">
        <v>0</v>
      </c>
      <c r="Z9352" s="21">
        <v>0</v>
      </c>
      <c r="AA9352" s="21">
        <v>0</v>
      </c>
      <c r="AB9352" s="21">
        <v>0</v>
      </c>
      <c r="AC9352" s="21">
        <v>0</v>
      </c>
      <c r="AD9352" s="21">
        <v>0</v>
      </c>
      <c r="AE9352" s="21">
        <v>0</v>
      </c>
      <c r="AF9352" s="21">
        <v>0</v>
      </c>
      <c r="AG9352" s="21">
        <v>0</v>
      </c>
      <c r="AH9352" s="27">
        <f t="shared" si="194"/>
        <v>32</v>
      </c>
      <c r="AI9352" s="21"/>
      <c r="AJ9352" s="21" t="s">
        <v>51</v>
      </c>
      <c r="AK9352" s="21" t="s">
        <v>95</v>
      </c>
      <c r="AL9352" s="21"/>
      <c r="AM9352" s="21" t="s">
        <v>6587</v>
      </c>
      <c r="AN9352" s="21">
        <v>-122.408137966667</v>
      </c>
      <c r="AO9352" s="21">
        <v>37.803399816666698</v>
      </c>
      <c r="AP9352" s="21" t="s">
        <v>951</v>
      </c>
    </row>
    <row r="9353" spans="1:42">
      <c r="A9353" s="20">
        <v>43881.504351851901</v>
      </c>
      <c r="B9353" s="21">
        <v>4</v>
      </c>
      <c r="C9353" s="21">
        <v>303</v>
      </c>
      <c r="D9353" s="21">
        <v>10229</v>
      </c>
      <c r="E9353" t="s">
        <v>37</v>
      </c>
      <c r="F9353" s="21" t="s">
        <v>38</v>
      </c>
      <c r="G9353" s="21" t="s">
        <v>4270</v>
      </c>
      <c r="H9353" s="21">
        <v>61</v>
      </c>
      <c r="I9353" s="21" t="s">
        <v>5373</v>
      </c>
      <c r="J9353" s="21"/>
      <c r="K9353" s="21" t="s">
        <v>48</v>
      </c>
      <c r="L9353" s="21"/>
      <c r="M9353" s="21"/>
      <c r="N9353" s="21" t="s">
        <v>44</v>
      </c>
      <c r="O9353" s="21">
        <v>207</v>
      </c>
      <c r="P9353" s="21"/>
      <c r="Q9353" s="21"/>
      <c r="R9353" s="21"/>
      <c r="S9353" s="21">
        <v>0</v>
      </c>
      <c r="T9353" s="21">
        <v>0</v>
      </c>
      <c r="U9353" s="21">
        <v>0</v>
      </c>
      <c r="V9353" s="21">
        <v>1</v>
      </c>
      <c r="W9353" s="21">
        <v>0</v>
      </c>
      <c r="X9353" s="21">
        <v>0</v>
      </c>
      <c r="Y9353" s="21">
        <v>0</v>
      </c>
      <c r="Z9353" s="21">
        <v>0</v>
      </c>
      <c r="AA9353" s="21">
        <v>0</v>
      </c>
      <c r="AB9353" s="21">
        <v>0</v>
      </c>
      <c r="AC9353" s="21">
        <v>0</v>
      </c>
      <c r="AD9353" s="21">
        <v>0</v>
      </c>
      <c r="AE9353" s="21">
        <v>0</v>
      </c>
      <c r="AF9353" s="21">
        <v>0</v>
      </c>
      <c r="AG9353" s="21">
        <v>0</v>
      </c>
      <c r="AH9353" s="27">
        <f t="shared" si="194"/>
        <v>64</v>
      </c>
      <c r="AI9353" s="21"/>
      <c r="AJ9353" s="21" t="s">
        <v>51</v>
      </c>
      <c r="AK9353" s="21" t="s">
        <v>95</v>
      </c>
      <c r="AL9353" s="21" t="s">
        <v>6588</v>
      </c>
      <c r="AM9353" s="21" t="s">
        <v>6589</v>
      </c>
      <c r="AN9353" s="21">
        <v>-122.408201033333</v>
      </c>
      <c r="AO9353" s="21">
        <v>37.803707533333302</v>
      </c>
      <c r="AP9353" s="21" t="s">
        <v>951</v>
      </c>
    </row>
    <row r="9354" spans="1:42">
      <c r="A9354" s="20">
        <v>43881.504351851901</v>
      </c>
      <c r="B9354" s="21">
        <v>4</v>
      </c>
      <c r="C9354" s="21">
        <v>303</v>
      </c>
      <c r="D9354" s="21">
        <v>10229</v>
      </c>
      <c r="E9354" t="s">
        <v>37</v>
      </c>
      <c r="F9354" s="21" t="s">
        <v>38</v>
      </c>
      <c r="G9354" s="21" t="s">
        <v>4270</v>
      </c>
      <c r="H9354" s="21">
        <v>62</v>
      </c>
      <c r="I9354" s="21" t="s">
        <v>6590</v>
      </c>
      <c r="J9354" s="21"/>
      <c r="K9354" s="21" t="s">
        <v>48</v>
      </c>
      <c r="L9354" s="21"/>
      <c r="M9354" s="21"/>
      <c r="N9354" s="21" t="s">
        <v>44</v>
      </c>
      <c r="O9354" s="21">
        <v>106</v>
      </c>
      <c r="P9354" s="21"/>
      <c r="Q9354" s="21"/>
      <c r="R9354" s="21"/>
      <c r="S9354" s="21">
        <v>0</v>
      </c>
      <c r="T9354" s="21">
        <v>0</v>
      </c>
      <c r="U9354" s="21">
        <v>1</v>
      </c>
      <c r="V9354" s="21">
        <v>0</v>
      </c>
      <c r="W9354" s="21">
        <v>0</v>
      </c>
      <c r="X9354" s="21">
        <v>0</v>
      </c>
      <c r="Y9354" s="21">
        <v>0</v>
      </c>
      <c r="Z9354" s="21">
        <v>0</v>
      </c>
      <c r="AA9354" s="21">
        <v>0</v>
      </c>
      <c r="AB9354" s="21">
        <v>0</v>
      </c>
      <c r="AC9354" s="21">
        <v>0</v>
      </c>
      <c r="AD9354" s="21">
        <v>0</v>
      </c>
      <c r="AE9354" s="21">
        <v>0</v>
      </c>
      <c r="AF9354" s="21">
        <v>0</v>
      </c>
      <c r="AG9354" s="21">
        <v>0</v>
      </c>
      <c r="AH9354" s="27">
        <f t="shared" si="194"/>
        <v>32</v>
      </c>
      <c r="AI9354" s="21"/>
      <c r="AJ9354" s="21" t="s">
        <v>51</v>
      </c>
      <c r="AK9354" s="21" t="s">
        <v>95</v>
      </c>
      <c r="AL9354" s="21"/>
      <c r="AM9354" s="21" t="s">
        <v>6591</v>
      </c>
      <c r="AN9354" s="21">
        <v>-122.40829986666699</v>
      </c>
      <c r="AO9354" s="21">
        <v>37.803877133333302</v>
      </c>
      <c r="AP9354" s="21" t="s">
        <v>951</v>
      </c>
    </row>
    <row r="9355" spans="1:42">
      <c r="A9355" s="20">
        <v>43881.504351851901</v>
      </c>
      <c r="B9355" s="21">
        <v>4</v>
      </c>
      <c r="C9355" s="21">
        <v>303</v>
      </c>
      <c r="D9355" s="21">
        <v>10229</v>
      </c>
      <c r="E9355" t="s">
        <v>37</v>
      </c>
      <c r="F9355" s="21" t="s">
        <v>38</v>
      </c>
      <c r="G9355" s="21" t="s">
        <v>4270</v>
      </c>
      <c r="H9355" s="21">
        <v>63</v>
      </c>
      <c r="I9355" s="21" t="s">
        <v>6592</v>
      </c>
      <c r="J9355" s="21"/>
      <c r="K9355" s="21" t="s">
        <v>39</v>
      </c>
      <c r="L9355" s="21" t="s">
        <v>114</v>
      </c>
      <c r="M9355" s="21" t="s">
        <v>95</v>
      </c>
      <c r="N9355" s="21" t="s">
        <v>42</v>
      </c>
      <c r="O9355" s="21">
        <v>120</v>
      </c>
      <c r="P9355" s="21"/>
      <c r="Q9355" s="21"/>
      <c r="R9355" s="21"/>
      <c r="S9355" s="21">
        <v>0</v>
      </c>
      <c r="T9355" s="21">
        <v>0</v>
      </c>
      <c r="U9355" s="21">
        <v>1</v>
      </c>
      <c r="V9355" s="21">
        <v>2</v>
      </c>
      <c r="W9355" s="21">
        <v>0</v>
      </c>
      <c r="X9355" s="21">
        <v>0</v>
      </c>
      <c r="Y9355" s="21">
        <v>0</v>
      </c>
      <c r="Z9355" s="21">
        <v>0</v>
      </c>
      <c r="AA9355" s="21">
        <v>0</v>
      </c>
      <c r="AB9355" s="21">
        <v>0</v>
      </c>
      <c r="AC9355" s="21">
        <v>0</v>
      </c>
      <c r="AD9355" s="21">
        <v>0</v>
      </c>
      <c r="AE9355" s="21">
        <v>0</v>
      </c>
      <c r="AF9355" s="21">
        <v>0</v>
      </c>
      <c r="AG9355" s="21">
        <v>0</v>
      </c>
      <c r="AH9355" s="27">
        <f t="shared" si="194"/>
        <v>160</v>
      </c>
      <c r="AI9355" s="21"/>
      <c r="AJ9355" s="21" t="s">
        <v>51</v>
      </c>
      <c r="AK9355" s="21" t="s">
        <v>95</v>
      </c>
      <c r="AL9355" s="21" t="s">
        <v>6593</v>
      </c>
      <c r="AM9355" s="21" t="s">
        <v>6594</v>
      </c>
      <c r="AN9355" s="21">
        <v>-122.40693431666701</v>
      </c>
      <c r="AO9355" s="21">
        <v>37.804435533333297</v>
      </c>
      <c r="AP9355" s="21" t="s">
        <v>951</v>
      </c>
    </row>
    <row r="9356" spans="1:42">
      <c r="A9356" s="20">
        <v>43881.504351851901</v>
      </c>
      <c r="B9356" s="21">
        <v>4</v>
      </c>
      <c r="C9356" s="21">
        <v>303</v>
      </c>
      <c r="D9356" s="21">
        <v>10229</v>
      </c>
      <c r="E9356" t="s">
        <v>37</v>
      </c>
      <c r="F9356" s="21" t="s">
        <v>38</v>
      </c>
      <c r="G9356" s="21" t="s">
        <v>4270</v>
      </c>
      <c r="H9356" s="21">
        <v>64</v>
      </c>
      <c r="I9356" s="21" t="s">
        <v>6595</v>
      </c>
      <c r="J9356" s="21"/>
      <c r="K9356" s="21" t="s">
        <v>324</v>
      </c>
      <c r="L9356" s="21" t="s">
        <v>141</v>
      </c>
      <c r="M9356" s="21"/>
      <c r="N9356" s="21" t="s">
        <v>42</v>
      </c>
      <c r="O9356" s="21">
        <v>121</v>
      </c>
      <c r="P9356" s="21"/>
      <c r="Q9356" s="21"/>
      <c r="R9356" s="21"/>
      <c r="S9356" s="21">
        <v>0</v>
      </c>
      <c r="T9356" s="21">
        <v>0</v>
      </c>
      <c r="U9356" s="21">
        <v>2</v>
      </c>
      <c r="V9356" s="21">
        <v>0</v>
      </c>
      <c r="W9356" s="21">
        <v>0</v>
      </c>
      <c r="X9356" s="21">
        <v>0</v>
      </c>
      <c r="Y9356" s="21">
        <v>0</v>
      </c>
      <c r="Z9356" s="21">
        <v>0</v>
      </c>
      <c r="AA9356" s="21">
        <v>0</v>
      </c>
      <c r="AB9356" s="21">
        <v>0</v>
      </c>
      <c r="AC9356" s="21">
        <v>0</v>
      </c>
      <c r="AD9356" s="21">
        <v>0</v>
      </c>
      <c r="AE9356" s="21">
        <v>0</v>
      </c>
      <c r="AF9356" s="21">
        <v>0</v>
      </c>
      <c r="AG9356" s="21">
        <v>0</v>
      </c>
      <c r="AH9356" s="27">
        <f t="shared" si="194"/>
        <v>64</v>
      </c>
      <c r="AI9356" s="21"/>
      <c r="AJ9356" s="21" t="s">
        <v>51</v>
      </c>
      <c r="AK9356" s="21" t="s">
        <v>95</v>
      </c>
      <c r="AL9356" s="21"/>
      <c r="AM9356" s="21" t="s">
        <v>6596</v>
      </c>
      <c r="AN9356" s="21">
        <v>-122.406602466667</v>
      </c>
      <c r="AO9356" s="21">
        <v>37.804535950000002</v>
      </c>
      <c r="AP9356" s="21" t="s">
        <v>951</v>
      </c>
    </row>
    <row r="9357" spans="1:42">
      <c r="A9357" s="20">
        <v>43881.504351851901</v>
      </c>
      <c r="B9357" s="21">
        <v>4</v>
      </c>
      <c r="C9357" s="21">
        <v>303</v>
      </c>
      <c r="D9357" s="21">
        <v>10229</v>
      </c>
      <c r="E9357" t="s">
        <v>37</v>
      </c>
      <c r="F9357" s="21" t="s">
        <v>38</v>
      </c>
      <c r="G9357" s="21" t="s">
        <v>4270</v>
      </c>
      <c r="H9357" s="21">
        <v>65</v>
      </c>
      <c r="I9357" s="21" t="s">
        <v>3671</v>
      </c>
      <c r="J9357" s="21"/>
      <c r="K9357" s="21" t="s">
        <v>324</v>
      </c>
      <c r="L9357" s="21" t="s">
        <v>141</v>
      </c>
      <c r="M9357" s="21" t="s">
        <v>95</v>
      </c>
      <c r="N9357" s="21" t="s">
        <v>40</v>
      </c>
      <c r="O9357" s="21">
        <v>91</v>
      </c>
      <c r="P9357" s="21"/>
      <c r="Q9357" s="21"/>
      <c r="R9357" s="21"/>
      <c r="S9357" s="21">
        <v>0</v>
      </c>
      <c r="T9357" s="21">
        <v>0</v>
      </c>
      <c r="U9357" s="21">
        <v>2</v>
      </c>
      <c r="V9357" s="21">
        <v>0</v>
      </c>
      <c r="W9357" s="21">
        <v>0</v>
      </c>
      <c r="X9357" s="21">
        <v>0</v>
      </c>
      <c r="Y9357" s="21">
        <v>0</v>
      </c>
      <c r="Z9357" s="21">
        <v>0</v>
      </c>
      <c r="AA9357" s="21">
        <v>0</v>
      </c>
      <c r="AB9357" s="21">
        <v>0</v>
      </c>
      <c r="AC9357" s="21">
        <v>0</v>
      </c>
      <c r="AD9357" s="21">
        <v>0</v>
      </c>
      <c r="AE9357" s="21">
        <v>0</v>
      </c>
      <c r="AF9357" s="21">
        <v>0</v>
      </c>
      <c r="AG9357" s="21">
        <v>0</v>
      </c>
      <c r="AH9357" s="27">
        <f t="shared" si="194"/>
        <v>64</v>
      </c>
      <c r="AI9357" s="21"/>
      <c r="AJ9357" s="21" t="s">
        <v>51</v>
      </c>
      <c r="AK9357" s="21" t="s">
        <v>95</v>
      </c>
      <c r="AL9357" s="21"/>
      <c r="AM9357" s="21" t="s">
        <v>6597</v>
      </c>
      <c r="AN9357" s="21">
        <v>-122.40743392763</v>
      </c>
      <c r="AO9357" s="21">
        <v>37.803683292788001</v>
      </c>
      <c r="AP9357" s="21" t="s">
        <v>951</v>
      </c>
    </row>
    <row r="9358" spans="1:42">
      <c r="A9358" s="20">
        <v>43881.504351851901</v>
      </c>
      <c r="B9358" s="21">
        <v>4</v>
      </c>
      <c r="C9358" s="21">
        <v>303</v>
      </c>
      <c r="D9358" s="21">
        <v>10229</v>
      </c>
      <c r="E9358" t="s">
        <v>37</v>
      </c>
      <c r="F9358" s="21" t="s">
        <v>38</v>
      </c>
      <c r="G9358" s="21" t="s">
        <v>4270</v>
      </c>
      <c r="H9358" s="21">
        <v>66</v>
      </c>
      <c r="I9358" s="21" t="s">
        <v>6598</v>
      </c>
      <c r="J9358" s="21"/>
      <c r="K9358" s="21" t="s">
        <v>324</v>
      </c>
      <c r="L9358" s="21"/>
      <c r="M9358" s="21" t="s">
        <v>95</v>
      </c>
      <c r="N9358" s="21" t="s">
        <v>40</v>
      </c>
      <c r="O9358" s="21"/>
      <c r="P9358" s="21">
        <v>168</v>
      </c>
      <c r="Q9358" s="21"/>
      <c r="R9358" s="21"/>
      <c r="S9358" s="21">
        <v>0</v>
      </c>
      <c r="T9358" s="21">
        <v>0</v>
      </c>
      <c r="U9358" s="21">
        <v>3</v>
      </c>
      <c r="V9358" s="21">
        <v>1</v>
      </c>
      <c r="W9358" s="21">
        <v>0</v>
      </c>
      <c r="X9358" s="21">
        <v>0</v>
      </c>
      <c r="Y9358" s="21">
        <v>0</v>
      </c>
      <c r="Z9358" s="21">
        <v>0</v>
      </c>
      <c r="AA9358" s="21">
        <v>0</v>
      </c>
      <c r="AB9358" s="21">
        <v>0</v>
      </c>
      <c r="AC9358" s="21">
        <v>0</v>
      </c>
      <c r="AD9358" s="21">
        <v>0</v>
      </c>
      <c r="AE9358" s="21">
        <v>0</v>
      </c>
      <c r="AF9358" s="21">
        <v>0</v>
      </c>
      <c r="AG9358" s="21">
        <v>0</v>
      </c>
      <c r="AH9358" s="27">
        <f t="shared" si="194"/>
        <v>160</v>
      </c>
      <c r="AI9358" s="21"/>
      <c r="AJ9358" s="21" t="s">
        <v>51</v>
      </c>
      <c r="AK9358" s="21" t="s">
        <v>95</v>
      </c>
      <c r="AL9358" s="21"/>
      <c r="AM9358" s="21" t="s">
        <v>6599</v>
      </c>
      <c r="AN9358" s="21">
        <v>-122.40813541666699</v>
      </c>
      <c r="AO9358" s="21">
        <v>37.804384083333296</v>
      </c>
      <c r="AP9358" s="21" t="s">
        <v>951</v>
      </c>
    </row>
    <row r="9359" spans="1:42">
      <c r="A9359" s="20">
        <v>43881.504351851901</v>
      </c>
      <c r="B9359" s="21">
        <v>4</v>
      </c>
      <c r="C9359" s="21">
        <v>303</v>
      </c>
      <c r="D9359" s="21">
        <v>10229</v>
      </c>
      <c r="E9359" t="s">
        <v>37</v>
      </c>
      <c r="F9359" s="21" t="s">
        <v>38</v>
      </c>
      <c r="G9359" s="21" t="s">
        <v>4270</v>
      </c>
      <c r="H9359" s="21">
        <v>67</v>
      </c>
      <c r="I9359" s="21" t="s">
        <v>6237</v>
      </c>
      <c r="J9359" s="21"/>
      <c r="K9359" s="21" t="s">
        <v>213</v>
      </c>
      <c r="L9359" s="21"/>
      <c r="M9359" s="21"/>
      <c r="N9359" s="21" t="s">
        <v>44</v>
      </c>
      <c r="O9359" s="21">
        <v>63</v>
      </c>
      <c r="P9359" s="21"/>
      <c r="Q9359" s="21"/>
      <c r="R9359" s="21"/>
      <c r="S9359" s="21">
        <v>0</v>
      </c>
      <c r="T9359" s="21">
        <v>0</v>
      </c>
      <c r="U9359" s="21">
        <v>1</v>
      </c>
      <c r="V9359" s="21">
        <v>1</v>
      </c>
      <c r="W9359" s="21">
        <v>0</v>
      </c>
      <c r="X9359" s="21">
        <v>0</v>
      </c>
      <c r="Y9359" s="21">
        <v>0</v>
      </c>
      <c r="Z9359" s="21">
        <v>0</v>
      </c>
      <c r="AA9359" s="21">
        <v>0</v>
      </c>
      <c r="AB9359" s="21">
        <v>0</v>
      </c>
      <c r="AC9359" s="21">
        <v>0</v>
      </c>
      <c r="AD9359" s="21">
        <v>0</v>
      </c>
      <c r="AE9359" s="21">
        <v>0</v>
      </c>
      <c r="AF9359" s="21">
        <v>0</v>
      </c>
      <c r="AG9359" s="21">
        <v>0</v>
      </c>
      <c r="AH9359" s="27">
        <f t="shared" ref="AH9359:AH9369" si="195">(S9359*16)+(T9359*20)+(U9359*32)+(V9359*64)+(W9359*96)</f>
        <v>96</v>
      </c>
      <c r="AI9359" s="21"/>
      <c r="AJ9359" s="21" t="s">
        <v>51</v>
      </c>
      <c r="AK9359" s="21" t="s">
        <v>95</v>
      </c>
      <c r="AL9359" s="21"/>
      <c r="AM9359" s="21" t="s">
        <v>6600</v>
      </c>
      <c r="AN9359" s="21">
        <v>-122.406756283333</v>
      </c>
      <c r="AO9359" s="21">
        <v>37.802621633333302</v>
      </c>
      <c r="AP9359" s="21" t="s">
        <v>951</v>
      </c>
    </row>
    <row r="9360" spans="1:42">
      <c r="A9360" s="20">
        <v>43881.504351851901</v>
      </c>
      <c r="B9360" s="21">
        <v>4</v>
      </c>
      <c r="C9360" s="21">
        <v>303</v>
      </c>
      <c r="D9360" s="21">
        <v>10229</v>
      </c>
      <c r="E9360" t="s">
        <v>37</v>
      </c>
      <c r="F9360" s="21" t="s">
        <v>38</v>
      </c>
      <c r="G9360" s="21" t="s">
        <v>4270</v>
      </c>
      <c r="H9360" s="21">
        <v>68</v>
      </c>
      <c r="I9360" s="21" t="s">
        <v>6601</v>
      </c>
      <c r="J9360" s="21"/>
      <c r="K9360" s="21" t="s">
        <v>213</v>
      </c>
      <c r="L9360" s="21"/>
      <c r="M9360" s="21"/>
      <c r="N9360" s="21" t="s">
        <v>44</v>
      </c>
      <c r="O9360" s="21">
        <v>79</v>
      </c>
      <c r="P9360" s="21"/>
      <c r="Q9360" s="21"/>
      <c r="R9360" s="21"/>
      <c r="S9360" s="21">
        <v>0</v>
      </c>
      <c r="T9360" s="21">
        <v>0</v>
      </c>
      <c r="U9360" s="21">
        <v>0</v>
      </c>
      <c r="V9360" s="21">
        <v>1</v>
      </c>
      <c r="W9360" s="21">
        <v>0</v>
      </c>
      <c r="X9360" s="21">
        <v>0</v>
      </c>
      <c r="Y9360" s="21">
        <v>0</v>
      </c>
      <c r="Z9360" s="21">
        <v>0</v>
      </c>
      <c r="AA9360" s="21">
        <v>0</v>
      </c>
      <c r="AB9360" s="21">
        <v>0</v>
      </c>
      <c r="AC9360" s="21">
        <v>0</v>
      </c>
      <c r="AD9360" s="21">
        <v>0</v>
      </c>
      <c r="AE9360" s="21">
        <v>0</v>
      </c>
      <c r="AF9360" s="21">
        <v>0</v>
      </c>
      <c r="AG9360" s="21">
        <v>0</v>
      </c>
      <c r="AH9360" s="27">
        <f t="shared" si="195"/>
        <v>64</v>
      </c>
      <c r="AI9360" s="21"/>
      <c r="AJ9360" s="21" t="s">
        <v>51</v>
      </c>
      <c r="AK9360" s="21" t="s">
        <v>95</v>
      </c>
      <c r="AL9360" s="21"/>
      <c r="AM9360" s="21" t="s">
        <v>6602</v>
      </c>
      <c r="AN9360" s="21">
        <v>-122.40667171666701</v>
      </c>
      <c r="AO9360" s="21">
        <v>37.802607166666597</v>
      </c>
      <c r="AP9360" s="21" t="s">
        <v>951</v>
      </c>
    </row>
    <row r="9361" spans="1:42">
      <c r="A9361" s="20">
        <v>43881.504351851901</v>
      </c>
      <c r="B9361" s="21">
        <v>4</v>
      </c>
      <c r="C9361" s="21">
        <v>303</v>
      </c>
      <c r="D9361" s="21">
        <v>10229</v>
      </c>
      <c r="E9361" t="s">
        <v>37</v>
      </c>
      <c r="F9361" s="21" t="s">
        <v>38</v>
      </c>
      <c r="G9361" s="21" t="s">
        <v>4270</v>
      </c>
      <c r="H9361" s="21">
        <v>69</v>
      </c>
      <c r="I9361" s="21" t="s">
        <v>6221</v>
      </c>
      <c r="J9361" s="21"/>
      <c r="K9361" s="21" t="s">
        <v>213</v>
      </c>
      <c r="L9361" s="21"/>
      <c r="M9361" s="21"/>
      <c r="N9361" s="21" t="s">
        <v>44</v>
      </c>
      <c r="O9361" s="21">
        <v>158</v>
      </c>
      <c r="P9361" s="21"/>
      <c r="Q9361" s="21"/>
      <c r="R9361" s="21"/>
      <c r="S9361" s="21">
        <v>0</v>
      </c>
      <c r="T9361" s="21">
        <v>0</v>
      </c>
      <c r="U9361" s="21">
        <v>1</v>
      </c>
      <c r="V9361" s="21">
        <v>0</v>
      </c>
      <c r="W9361" s="21">
        <v>0</v>
      </c>
      <c r="X9361" s="21">
        <v>0</v>
      </c>
      <c r="Y9361" s="21">
        <v>0</v>
      </c>
      <c r="Z9361" s="21">
        <v>0</v>
      </c>
      <c r="AA9361" s="21">
        <v>0</v>
      </c>
      <c r="AB9361" s="21">
        <v>0</v>
      </c>
      <c r="AC9361" s="21">
        <v>0</v>
      </c>
      <c r="AD9361" s="21">
        <v>0</v>
      </c>
      <c r="AE9361" s="21">
        <v>0</v>
      </c>
      <c r="AF9361" s="21">
        <v>0</v>
      </c>
      <c r="AG9361" s="21">
        <v>0</v>
      </c>
      <c r="AH9361" s="27">
        <f t="shared" si="195"/>
        <v>32</v>
      </c>
      <c r="AI9361" s="21"/>
      <c r="AJ9361" s="21" t="s">
        <v>51</v>
      </c>
      <c r="AK9361" s="21" t="s">
        <v>95</v>
      </c>
      <c r="AL9361" s="21" t="s">
        <v>6603</v>
      </c>
      <c r="AM9361" s="21" t="s">
        <v>6604</v>
      </c>
      <c r="AN9361" s="21">
        <v>-122.40713785</v>
      </c>
      <c r="AO9361" s="21">
        <v>37.802600033333299</v>
      </c>
      <c r="AP9361" s="21" t="s">
        <v>951</v>
      </c>
    </row>
    <row r="9362" spans="1:42">
      <c r="A9362" s="20">
        <v>43881.504351851901</v>
      </c>
      <c r="B9362" s="21">
        <v>4</v>
      </c>
      <c r="C9362" s="21">
        <v>303</v>
      </c>
      <c r="D9362" s="21">
        <v>10229</v>
      </c>
      <c r="E9362" t="s">
        <v>37</v>
      </c>
      <c r="F9362" s="21" t="s">
        <v>38</v>
      </c>
      <c r="G9362" s="21" t="s">
        <v>4270</v>
      </c>
      <c r="H9362" s="21">
        <v>70</v>
      </c>
      <c r="I9362" s="21" t="s">
        <v>6605</v>
      </c>
      <c r="J9362" s="21"/>
      <c r="K9362" s="21" t="s">
        <v>213</v>
      </c>
      <c r="L9362" s="21"/>
      <c r="M9362" s="21"/>
      <c r="N9362" s="21" t="s">
        <v>44</v>
      </c>
      <c r="O9362" s="21">
        <v>240</v>
      </c>
      <c r="P9362" s="21"/>
      <c r="Q9362" s="21"/>
      <c r="R9362" s="21"/>
      <c r="S9362" s="21">
        <v>0</v>
      </c>
      <c r="T9362" s="21">
        <v>0</v>
      </c>
      <c r="U9362" s="21">
        <v>0</v>
      </c>
      <c r="V9362" s="21">
        <v>1</v>
      </c>
      <c r="W9362" s="21">
        <v>0</v>
      </c>
      <c r="X9362" s="21">
        <v>0</v>
      </c>
      <c r="Y9362" s="21">
        <v>0</v>
      </c>
      <c r="Z9362" s="21">
        <v>0</v>
      </c>
      <c r="AA9362" s="21">
        <v>0</v>
      </c>
      <c r="AB9362" s="21">
        <v>0</v>
      </c>
      <c r="AC9362" s="21">
        <v>0</v>
      </c>
      <c r="AD9362" s="21">
        <v>0</v>
      </c>
      <c r="AE9362" s="21">
        <v>0</v>
      </c>
      <c r="AF9362" s="21">
        <v>0</v>
      </c>
      <c r="AG9362" s="21">
        <v>0</v>
      </c>
      <c r="AH9362" s="27">
        <f t="shared" si="195"/>
        <v>64</v>
      </c>
      <c r="AI9362" s="21"/>
      <c r="AJ9362" s="21" t="s">
        <v>51</v>
      </c>
      <c r="AK9362" s="21" t="s">
        <v>95</v>
      </c>
      <c r="AL9362" s="21" t="s">
        <v>6606</v>
      </c>
      <c r="AM9362" s="21" t="s">
        <v>6607</v>
      </c>
      <c r="AN9362" s="21">
        <v>-122.407402566667</v>
      </c>
      <c r="AO9362" s="21">
        <v>37.802542216666701</v>
      </c>
      <c r="AP9362" s="21" t="s">
        <v>951</v>
      </c>
    </row>
    <row r="9363" spans="1:42">
      <c r="A9363" s="20">
        <v>43881.504351851901</v>
      </c>
      <c r="B9363" s="21">
        <v>4</v>
      </c>
      <c r="C9363" s="21">
        <v>303</v>
      </c>
      <c r="D9363" s="21">
        <v>10229</v>
      </c>
      <c r="E9363" t="s">
        <v>37</v>
      </c>
      <c r="F9363" s="21" t="s">
        <v>38</v>
      </c>
      <c r="G9363" s="21" t="s">
        <v>4270</v>
      </c>
      <c r="H9363" s="21">
        <v>71</v>
      </c>
      <c r="I9363" s="21" t="s">
        <v>6068</v>
      </c>
      <c r="J9363" s="21"/>
      <c r="K9363" s="21" t="s">
        <v>103</v>
      </c>
      <c r="L9363" s="21"/>
      <c r="M9363" s="21"/>
      <c r="N9363" s="21" t="s">
        <v>44</v>
      </c>
      <c r="O9363" s="21">
        <v>111</v>
      </c>
      <c r="P9363" s="21"/>
      <c r="Q9363" s="21"/>
      <c r="R9363" s="21"/>
      <c r="S9363" s="21">
        <v>0</v>
      </c>
      <c r="T9363" s="21">
        <v>0</v>
      </c>
      <c r="U9363" s="21">
        <v>0</v>
      </c>
      <c r="V9363" s="21">
        <v>2</v>
      </c>
      <c r="W9363" s="21">
        <v>0</v>
      </c>
      <c r="X9363" s="21">
        <v>0</v>
      </c>
      <c r="Y9363" s="21">
        <v>0</v>
      </c>
      <c r="Z9363" s="21">
        <v>0</v>
      </c>
      <c r="AA9363" s="21">
        <v>0</v>
      </c>
      <c r="AB9363" s="21">
        <v>0</v>
      </c>
      <c r="AC9363" s="21">
        <v>0</v>
      </c>
      <c r="AD9363" s="21">
        <v>0</v>
      </c>
      <c r="AE9363" s="21">
        <v>0</v>
      </c>
      <c r="AF9363" s="21">
        <v>0</v>
      </c>
      <c r="AG9363" s="21">
        <v>0</v>
      </c>
      <c r="AH9363" s="27">
        <f t="shared" si="195"/>
        <v>128</v>
      </c>
      <c r="AI9363" s="21"/>
      <c r="AJ9363" s="21" t="s">
        <v>51</v>
      </c>
      <c r="AK9363" s="21" t="s">
        <v>95</v>
      </c>
      <c r="AL9363" s="21" t="s">
        <v>1444</v>
      </c>
      <c r="AM9363" s="21" t="s">
        <v>6608</v>
      </c>
      <c r="AN9363" s="21">
        <v>-122.41435686666701</v>
      </c>
      <c r="AO9363" s="21">
        <v>37.792844233333298</v>
      </c>
      <c r="AP9363" s="21" t="s">
        <v>951</v>
      </c>
    </row>
    <row r="9364" spans="1:42">
      <c r="A9364" s="20">
        <v>43881.504351851901</v>
      </c>
      <c r="B9364" s="21">
        <v>4</v>
      </c>
      <c r="C9364" s="21">
        <v>303</v>
      </c>
      <c r="D9364" s="21">
        <v>10229</v>
      </c>
      <c r="E9364" t="s">
        <v>37</v>
      </c>
      <c r="F9364" s="21" t="s">
        <v>38</v>
      </c>
      <c r="G9364" s="21" t="s">
        <v>4270</v>
      </c>
      <c r="H9364" s="21">
        <v>72</v>
      </c>
      <c r="I9364" s="21" t="s">
        <v>6609</v>
      </c>
      <c r="J9364" s="21"/>
      <c r="K9364" s="21" t="s">
        <v>103</v>
      </c>
      <c r="L9364" s="21"/>
      <c r="M9364" s="21"/>
      <c r="N9364" s="21" t="s">
        <v>44</v>
      </c>
      <c r="O9364" s="21">
        <v>117</v>
      </c>
      <c r="P9364" s="21"/>
      <c r="Q9364" s="21"/>
      <c r="R9364" s="21"/>
      <c r="S9364" s="21">
        <v>0</v>
      </c>
      <c r="T9364" s="21">
        <v>0</v>
      </c>
      <c r="U9364" s="21">
        <v>0</v>
      </c>
      <c r="V9364" s="21">
        <v>1</v>
      </c>
      <c r="W9364" s="21">
        <v>0</v>
      </c>
      <c r="X9364" s="21">
        <v>0</v>
      </c>
      <c r="Y9364" s="21">
        <v>0</v>
      </c>
      <c r="Z9364" s="21">
        <v>0</v>
      </c>
      <c r="AA9364" s="21">
        <v>0</v>
      </c>
      <c r="AB9364" s="21">
        <v>0</v>
      </c>
      <c r="AC9364" s="21">
        <v>0</v>
      </c>
      <c r="AD9364" s="21">
        <v>0</v>
      </c>
      <c r="AE9364" s="21">
        <v>0</v>
      </c>
      <c r="AF9364" s="21">
        <v>0</v>
      </c>
      <c r="AG9364" s="21">
        <v>0</v>
      </c>
      <c r="AH9364" s="27">
        <f t="shared" si="195"/>
        <v>64</v>
      </c>
      <c r="AI9364" s="21"/>
      <c r="AJ9364" s="21" t="s">
        <v>51</v>
      </c>
      <c r="AK9364" s="21" t="s">
        <v>95</v>
      </c>
      <c r="AL9364" s="21"/>
      <c r="AM9364" s="21" t="s">
        <v>6610</v>
      </c>
      <c r="AN9364" s="21">
        <v>-122.41446651666701</v>
      </c>
      <c r="AO9364" s="21">
        <v>37.792941366666703</v>
      </c>
      <c r="AP9364" s="21" t="s">
        <v>951</v>
      </c>
    </row>
    <row r="9365" spans="1:42">
      <c r="A9365" s="20">
        <v>43881.504351851901</v>
      </c>
      <c r="B9365" s="21">
        <v>4</v>
      </c>
      <c r="C9365" s="21">
        <v>303</v>
      </c>
      <c r="D9365" s="21">
        <v>10229</v>
      </c>
      <c r="E9365" t="s">
        <v>37</v>
      </c>
      <c r="F9365" s="21" t="s">
        <v>38</v>
      </c>
      <c r="G9365" s="21" t="s">
        <v>4270</v>
      </c>
      <c r="H9365" s="21">
        <v>73</v>
      </c>
      <c r="I9365" s="21" t="s">
        <v>3159</v>
      </c>
      <c r="J9365" s="21"/>
      <c r="K9365" s="21" t="s">
        <v>103</v>
      </c>
      <c r="L9365" s="21"/>
      <c r="M9365" s="21"/>
      <c r="N9365" s="21" t="s">
        <v>44</v>
      </c>
      <c r="O9365" s="21">
        <v>98</v>
      </c>
      <c r="P9365" s="21"/>
      <c r="Q9365" s="21"/>
      <c r="R9365" s="21"/>
      <c r="S9365" s="21">
        <v>0</v>
      </c>
      <c r="T9365" s="21">
        <v>0</v>
      </c>
      <c r="U9365" s="21">
        <v>0</v>
      </c>
      <c r="V9365" s="21">
        <v>1</v>
      </c>
      <c r="W9365" s="21">
        <v>0</v>
      </c>
      <c r="X9365" s="21">
        <v>0</v>
      </c>
      <c r="Y9365" s="21">
        <v>0</v>
      </c>
      <c r="Z9365" s="21">
        <v>0</v>
      </c>
      <c r="AA9365" s="21">
        <v>0</v>
      </c>
      <c r="AB9365" s="21">
        <v>0</v>
      </c>
      <c r="AC9365" s="21">
        <v>0</v>
      </c>
      <c r="AD9365" s="21">
        <v>0</v>
      </c>
      <c r="AE9365" s="21">
        <v>0</v>
      </c>
      <c r="AF9365" s="21">
        <v>0</v>
      </c>
      <c r="AG9365" s="21">
        <v>0</v>
      </c>
      <c r="AH9365" s="27">
        <f t="shared" si="195"/>
        <v>64</v>
      </c>
      <c r="AI9365" s="21"/>
      <c r="AJ9365" s="21" t="s">
        <v>51</v>
      </c>
      <c r="AK9365" s="21" t="s">
        <v>95</v>
      </c>
      <c r="AL9365" s="21"/>
      <c r="AM9365" s="21" t="s">
        <v>6611</v>
      </c>
      <c r="AN9365" s="21">
        <v>-122.4144446</v>
      </c>
      <c r="AO9365" s="21">
        <v>37.792667216666601</v>
      </c>
      <c r="AP9365" s="21" t="s">
        <v>951</v>
      </c>
    </row>
    <row r="9366" spans="1:42">
      <c r="A9366" s="20">
        <v>43881.504351851901</v>
      </c>
      <c r="B9366" s="21">
        <v>4</v>
      </c>
      <c r="C9366" s="21">
        <v>303</v>
      </c>
      <c r="D9366" s="21">
        <v>10229</v>
      </c>
      <c r="E9366" t="s">
        <v>37</v>
      </c>
      <c r="F9366" s="21" t="s">
        <v>38</v>
      </c>
      <c r="G9366" s="21" t="s">
        <v>4270</v>
      </c>
      <c r="H9366" s="21">
        <v>74</v>
      </c>
      <c r="I9366" s="21" t="s">
        <v>6612</v>
      </c>
      <c r="J9366" s="21"/>
      <c r="K9366" s="21" t="s">
        <v>103</v>
      </c>
      <c r="L9366" s="21"/>
      <c r="M9366" s="21"/>
      <c r="N9366" s="21" t="s">
        <v>44</v>
      </c>
      <c r="O9366" s="21">
        <v>100</v>
      </c>
      <c r="P9366" s="21"/>
      <c r="Q9366" s="21"/>
      <c r="R9366" s="21"/>
      <c r="S9366" s="21">
        <v>0</v>
      </c>
      <c r="T9366" s="21">
        <v>0</v>
      </c>
      <c r="U9366" s="21">
        <v>0</v>
      </c>
      <c r="V9366" s="21">
        <v>3</v>
      </c>
      <c r="W9366" s="21">
        <v>0</v>
      </c>
      <c r="X9366" s="21">
        <v>0</v>
      </c>
      <c r="Y9366" s="21">
        <v>0</v>
      </c>
      <c r="Z9366" s="21">
        <v>0</v>
      </c>
      <c r="AA9366" s="21">
        <v>0</v>
      </c>
      <c r="AB9366" s="21">
        <v>0</v>
      </c>
      <c r="AC9366" s="21">
        <v>0</v>
      </c>
      <c r="AD9366" s="21">
        <v>0</v>
      </c>
      <c r="AE9366" s="21">
        <v>0</v>
      </c>
      <c r="AF9366" s="21">
        <v>0</v>
      </c>
      <c r="AG9366" s="21">
        <v>0</v>
      </c>
      <c r="AH9366" s="27">
        <f t="shared" si="195"/>
        <v>192</v>
      </c>
      <c r="AI9366" s="21"/>
      <c r="AJ9366" s="21" t="s">
        <v>51</v>
      </c>
      <c r="AK9366" s="21" t="s">
        <v>52</v>
      </c>
      <c r="AL9366" s="21" t="s">
        <v>1089</v>
      </c>
      <c r="AM9366" s="21" t="s">
        <v>6613</v>
      </c>
      <c r="AN9366" s="21">
        <v>-122.414402183333</v>
      </c>
      <c r="AO9366" s="21">
        <v>37.792691683333302</v>
      </c>
      <c r="AP9366" s="21" t="s">
        <v>951</v>
      </c>
    </row>
    <row r="9367" spans="1:42">
      <c r="A9367" s="20">
        <v>43881.504351851901</v>
      </c>
      <c r="B9367" s="21">
        <v>4</v>
      </c>
      <c r="C9367" s="21">
        <v>303</v>
      </c>
      <c r="D9367" s="21">
        <v>10229</v>
      </c>
      <c r="E9367" t="s">
        <v>37</v>
      </c>
      <c r="F9367" s="21" t="s">
        <v>38</v>
      </c>
      <c r="G9367" s="21" t="s">
        <v>4270</v>
      </c>
      <c r="H9367" s="21">
        <v>75</v>
      </c>
      <c r="I9367" s="21" t="s">
        <v>3225</v>
      </c>
      <c r="J9367" s="21"/>
      <c r="K9367" s="21" t="s">
        <v>2125</v>
      </c>
      <c r="L9367" s="21"/>
      <c r="M9367" s="21"/>
      <c r="N9367" s="21" t="s">
        <v>40</v>
      </c>
      <c r="O9367" s="21">
        <v>66</v>
      </c>
      <c r="P9367" s="21"/>
      <c r="Q9367" s="21"/>
      <c r="R9367" s="21"/>
      <c r="S9367" s="21">
        <v>0</v>
      </c>
      <c r="T9367" s="21">
        <v>0</v>
      </c>
      <c r="U9367" s="21">
        <v>0</v>
      </c>
      <c r="V9367" s="21">
        <v>2</v>
      </c>
      <c r="W9367" s="21">
        <v>0</v>
      </c>
      <c r="X9367" s="21">
        <v>0</v>
      </c>
      <c r="Y9367" s="21">
        <v>0</v>
      </c>
      <c r="Z9367" s="21">
        <v>0</v>
      </c>
      <c r="AA9367" s="21">
        <v>0</v>
      </c>
      <c r="AB9367" s="21">
        <v>0</v>
      </c>
      <c r="AC9367" s="21">
        <v>0</v>
      </c>
      <c r="AD9367" s="21">
        <v>0</v>
      </c>
      <c r="AE9367" s="21">
        <v>0</v>
      </c>
      <c r="AF9367" s="21">
        <v>0</v>
      </c>
      <c r="AG9367" s="21">
        <v>0</v>
      </c>
      <c r="AH9367" s="27">
        <f t="shared" si="195"/>
        <v>128</v>
      </c>
      <c r="AI9367" s="21"/>
      <c r="AJ9367" s="21" t="s">
        <v>51</v>
      </c>
      <c r="AK9367" s="21" t="s">
        <v>95</v>
      </c>
      <c r="AL9367" s="21"/>
      <c r="AM9367" s="21" t="s">
        <v>6614</v>
      </c>
      <c r="AN9367" s="21">
        <v>-122.41194976666699</v>
      </c>
      <c r="AO9367" s="21">
        <v>37.792491149999996</v>
      </c>
      <c r="AP9367" s="21" t="s">
        <v>951</v>
      </c>
    </row>
    <row r="9368" spans="1:42">
      <c r="A9368" s="20">
        <v>43881.504351851901</v>
      </c>
      <c r="B9368" s="21">
        <v>4</v>
      </c>
      <c r="C9368" s="21">
        <v>303</v>
      </c>
      <c r="D9368" s="21">
        <v>10229</v>
      </c>
      <c r="E9368" t="s">
        <v>37</v>
      </c>
      <c r="F9368" s="21" t="s">
        <v>38</v>
      </c>
      <c r="G9368" s="21" t="s">
        <v>4270</v>
      </c>
      <c r="H9368" s="21">
        <v>76</v>
      </c>
      <c r="I9368" s="21" t="s">
        <v>3369</v>
      </c>
      <c r="J9368" s="21"/>
      <c r="K9368" s="21" t="s">
        <v>1446</v>
      </c>
      <c r="L9368" s="21" t="s">
        <v>141</v>
      </c>
      <c r="M9368" s="21" t="s">
        <v>95</v>
      </c>
      <c r="N9368" s="21" t="s">
        <v>42</v>
      </c>
      <c r="O9368" s="21">
        <v>118</v>
      </c>
      <c r="P9368" s="21"/>
      <c r="Q9368" s="21"/>
      <c r="R9368" s="21"/>
      <c r="S9368" s="21">
        <v>0</v>
      </c>
      <c r="T9368" s="21">
        <v>0</v>
      </c>
      <c r="U9368" s="21">
        <v>0</v>
      </c>
      <c r="V9368" s="21">
        <v>2</v>
      </c>
      <c r="W9368" s="21">
        <v>0</v>
      </c>
      <c r="X9368" s="21">
        <v>0</v>
      </c>
      <c r="Y9368" s="21">
        <v>0</v>
      </c>
      <c r="Z9368" s="21">
        <v>0</v>
      </c>
      <c r="AA9368" s="21">
        <v>0</v>
      </c>
      <c r="AB9368" s="21">
        <v>0</v>
      </c>
      <c r="AC9368" s="21">
        <v>0</v>
      </c>
      <c r="AD9368" s="21">
        <v>0</v>
      </c>
      <c r="AE9368" s="21">
        <v>0</v>
      </c>
      <c r="AF9368" s="21">
        <v>0</v>
      </c>
      <c r="AG9368" s="21">
        <v>0</v>
      </c>
      <c r="AH9368" s="27">
        <f t="shared" si="195"/>
        <v>128</v>
      </c>
      <c r="AI9368" s="21"/>
      <c r="AJ9368" s="21" t="s">
        <v>51</v>
      </c>
      <c r="AK9368" s="21" t="s">
        <v>95</v>
      </c>
      <c r="AL9368" s="21"/>
      <c r="AM9368" s="21" t="s">
        <v>6615</v>
      </c>
      <c r="AN9368" s="21">
        <v>-122.415802333333</v>
      </c>
      <c r="AO9368" s="21">
        <v>37.792184183333298</v>
      </c>
      <c r="AP9368" s="21" t="s">
        <v>951</v>
      </c>
    </row>
    <row r="9369" spans="1:42" ht="15.75" customHeight="1">
      <c r="A9369" s="20">
        <v>43881.504351851901</v>
      </c>
      <c r="B9369" s="21">
        <v>4</v>
      </c>
      <c r="C9369" s="21">
        <v>303</v>
      </c>
      <c r="D9369" s="21">
        <v>10229</v>
      </c>
      <c r="E9369" t="s">
        <v>37</v>
      </c>
      <c r="F9369" s="21" t="s">
        <v>38</v>
      </c>
      <c r="G9369" s="21" t="s">
        <v>4270</v>
      </c>
      <c r="H9369" s="21">
        <v>77</v>
      </c>
      <c r="I9369" s="21" t="s">
        <v>3005</v>
      </c>
      <c r="J9369" s="21"/>
      <c r="K9369" s="21" t="s">
        <v>1446</v>
      </c>
      <c r="L9369" s="21"/>
      <c r="M9369" s="21"/>
      <c r="N9369" s="21" t="s">
        <v>44</v>
      </c>
      <c r="O9369" s="21">
        <v>180</v>
      </c>
      <c r="P9369" s="21"/>
      <c r="Q9369" s="21"/>
      <c r="R9369" s="21"/>
      <c r="S9369" s="21">
        <v>0</v>
      </c>
      <c r="T9369" s="21">
        <v>0</v>
      </c>
      <c r="U9369" s="21">
        <v>0</v>
      </c>
      <c r="V9369" s="21">
        <v>1</v>
      </c>
      <c r="W9369" s="21">
        <v>0</v>
      </c>
      <c r="X9369" s="21">
        <v>0</v>
      </c>
      <c r="Y9369" s="21">
        <v>0</v>
      </c>
      <c r="Z9369" s="21">
        <v>0</v>
      </c>
      <c r="AA9369" s="21">
        <v>0</v>
      </c>
      <c r="AB9369" s="21">
        <v>0</v>
      </c>
      <c r="AC9369" s="21">
        <v>0</v>
      </c>
      <c r="AD9369" s="21">
        <v>0</v>
      </c>
      <c r="AE9369" s="21">
        <v>0</v>
      </c>
      <c r="AF9369" s="21">
        <v>0</v>
      </c>
      <c r="AG9369" s="21">
        <v>0</v>
      </c>
      <c r="AH9369" s="27">
        <f t="shared" si="195"/>
        <v>64</v>
      </c>
      <c r="AI9369" s="21"/>
      <c r="AJ9369" s="21" t="s">
        <v>51</v>
      </c>
      <c r="AK9369" s="21" t="s">
        <v>95</v>
      </c>
      <c r="AL9369" s="21" t="s">
        <v>6616</v>
      </c>
      <c r="AM9369" s="21" t="s">
        <v>6617</v>
      </c>
      <c r="AN9369" s="21">
        <v>-122.417429226289</v>
      </c>
      <c r="AO9369" s="21">
        <v>37.793602443056301</v>
      </c>
      <c r="AP9369" s="21" t="s">
        <v>951</v>
      </c>
    </row>
    <row r="9370" spans="1:42">
      <c r="A9370" s="20">
        <v>43850</v>
      </c>
      <c r="B9370" s="21">
        <v>1</v>
      </c>
      <c r="C9370" s="21">
        <v>231</v>
      </c>
      <c r="D9370" s="21">
        <v>14468</v>
      </c>
      <c r="E9370" s="21" t="s">
        <v>112</v>
      </c>
      <c r="F9370" s="21" t="s">
        <v>104</v>
      </c>
      <c r="G9370" s="21">
        <v>2</v>
      </c>
      <c r="H9370" s="21">
        <v>1</v>
      </c>
      <c r="I9370" s="21" t="s">
        <v>3000</v>
      </c>
      <c r="J9370" s="21"/>
      <c r="K9370" s="21" t="s">
        <v>3001</v>
      </c>
      <c r="L9370" s="21"/>
      <c r="M9370" s="21" t="s">
        <v>6618</v>
      </c>
      <c r="N9370" s="21" t="s">
        <v>40</v>
      </c>
      <c r="O9370" s="21">
        <f>60+60+45</f>
        <v>165</v>
      </c>
      <c r="P9370" s="21"/>
      <c r="Q9370" s="21">
        <f>SUM(S9370:AE9370)</f>
        <v>3</v>
      </c>
      <c r="R9370" s="21">
        <v>1</v>
      </c>
      <c r="S9370" s="21">
        <v>0</v>
      </c>
      <c r="T9370" s="21">
        <v>0</v>
      </c>
      <c r="U9370" s="21">
        <v>1</v>
      </c>
      <c r="V9370" s="21">
        <v>2</v>
      </c>
      <c r="W9370" s="21">
        <v>0</v>
      </c>
      <c r="X9370" s="21">
        <v>0</v>
      </c>
      <c r="Y9370" s="21">
        <v>0</v>
      </c>
      <c r="Z9370" s="21">
        <v>0</v>
      </c>
      <c r="AA9370" s="21">
        <v>0</v>
      </c>
      <c r="AB9370" s="21">
        <v>0</v>
      </c>
      <c r="AC9370" s="21">
        <v>0</v>
      </c>
      <c r="AD9370" s="21">
        <v>0</v>
      </c>
      <c r="AE9370" s="21">
        <v>0</v>
      </c>
      <c r="AF9370" s="21">
        <v>0</v>
      </c>
      <c r="AG9370" s="21">
        <v>0</v>
      </c>
      <c r="AH9370" s="21">
        <f>(S9370*16)+(T9370*20)+(U9370*32)+(V9370*64)+(W9370*96)</f>
        <v>160</v>
      </c>
      <c r="AI9370" s="21"/>
      <c r="AJ9370" s="21" t="s">
        <v>51</v>
      </c>
      <c r="AK9370" s="21" t="s">
        <v>95</v>
      </c>
      <c r="AL9370" s="21" t="s">
        <v>3002</v>
      </c>
      <c r="AM9370" s="21" t="s">
        <v>3003</v>
      </c>
      <c r="AN9370" s="21">
        <v>-122.420140783333</v>
      </c>
      <c r="AO9370" s="21">
        <v>37.786999866666697</v>
      </c>
      <c r="AP9370" s="21" t="s">
        <v>1915</v>
      </c>
    </row>
    <row r="9371" spans="1:42">
      <c r="A9371" s="20">
        <v>43850</v>
      </c>
      <c r="B9371" s="21">
        <v>1</v>
      </c>
      <c r="C9371" s="21">
        <v>231</v>
      </c>
      <c r="D9371" s="21">
        <v>14468</v>
      </c>
      <c r="E9371" s="21" t="s">
        <v>112</v>
      </c>
      <c r="F9371" s="21" t="s">
        <v>104</v>
      </c>
      <c r="G9371" s="21">
        <v>2</v>
      </c>
      <c r="H9371" s="21">
        <v>2</v>
      </c>
      <c r="I9371" s="21" t="s">
        <v>3000</v>
      </c>
      <c r="J9371" s="21"/>
      <c r="K9371" s="21" t="s">
        <v>414</v>
      </c>
      <c r="L9371" s="21"/>
      <c r="M9371" s="21"/>
      <c r="N9371" s="21" t="s">
        <v>40</v>
      </c>
      <c r="O9371" s="21">
        <f>60+60+5</f>
        <v>125</v>
      </c>
      <c r="P9371" s="21"/>
      <c r="Q9371" s="21">
        <f t="shared" ref="Q9371:Q9434" si="196">SUM(S9371:AE9371)</f>
        <v>2</v>
      </c>
      <c r="R9371" s="21">
        <v>1</v>
      </c>
      <c r="S9371" s="21">
        <v>0</v>
      </c>
      <c r="T9371" s="21">
        <v>0</v>
      </c>
      <c r="U9371" s="21">
        <v>1</v>
      </c>
      <c r="V9371" s="21">
        <v>0</v>
      </c>
      <c r="W9371" s="21">
        <v>1</v>
      </c>
      <c r="X9371" s="21">
        <v>0</v>
      </c>
      <c r="Y9371" s="21">
        <v>0</v>
      </c>
      <c r="Z9371" s="21">
        <v>0</v>
      </c>
      <c r="AA9371" s="21">
        <v>0</v>
      </c>
      <c r="AB9371" s="21">
        <v>0</v>
      </c>
      <c r="AC9371" s="21">
        <v>0</v>
      </c>
      <c r="AD9371" s="21">
        <v>0</v>
      </c>
      <c r="AE9371" s="21">
        <v>0</v>
      </c>
      <c r="AF9371" s="21">
        <v>0</v>
      </c>
      <c r="AG9371" s="21">
        <v>0</v>
      </c>
      <c r="AH9371" s="21">
        <f t="shared" ref="AH9371:AH9434" si="197">(S9371*16)+(T9371*20)+(U9371*32)+(V9371*64)+(W9371*96)</f>
        <v>128</v>
      </c>
      <c r="AI9371" s="21"/>
      <c r="AJ9371" s="21" t="s">
        <v>51</v>
      </c>
      <c r="AK9371" s="21" t="s">
        <v>95</v>
      </c>
      <c r="AL9371" s="21"/>
      <c r="AM9371" s="21" t="s">
        <v>3004</v>
      </c>
      <c r="AN9371" s="21">
        <v>-122.42012193333299</v>
      </c>
      <c r="AO9371" s="21">
        <v>37.787718883333298</v>
      </c>
      <c r="AP9371" s="21" t="s">
        <v>1915</v>
      </c>
    </row>
    <row r="9372" spans="1:42">
      <c r="A9372" s="20">
        <v>43850</v>
      </c>
      <c r="B9372" s="21">
        <v>1</v>
      </c>
      <c r="C9372" s="21">
        <v>231</v>
      </c>
      <c r="D9372" s="21">
        <v>14468</v>
      </c>
      <c r="E9372" s="21" t="s">
        <v>112</v>
      </c>
      <c r="F9372" s="21" t="s">
        <v>104</v>
      </c>
      <c r="G9372" s="21">
        <v>2</v>
      </c>
      <c r="H9372" s="21">
        <v>3</v>
      </c>
      <c r="I9372" s="21" t="s">
        <v>3005</v>
      </c>
      <c r="J9372" s="21"/>
      <c r="K9372" s="21" t="s">
        <v>414</v>
      </c>
      <c r="L9372" s="21"/>
      <c r="M9372" s="21"/>
      <c r="N9372" s="21" t="s">
        <v>40</v>
      </c>
      <c r="O9372" s="21">
        <f>60+23</f>
        <v>83</v>
      </c>
      <c r="P9372" s="21"/>
      <c r="Q9372" s="21">
        <f t="shared" si="196"/>
        <v>2</v>
      </c>
      <c r="R9372" s="21">
        <v>1</v>
      </c>
      <c r="S9372" s="21">
        <v>0</v>
      </c>
      <c r="T9372" s="21">
        <v>0</v>
      </c>
      <c r="U9372" s="21">
        <v>1</v>
      </c>
      <c r="V9372" s="21">
        <v>0</v>
      </c>
      <c r="W9372" s="21">
        <v>1</v>
      </c>
      <c r="X9372" s="21">
        <v>0</v>
      </c>
      <c r="Y9372" s="21">
        <v>0</v>
      </c>
      <c r="Z9372" s="21">
        <v>0</v>
      </c>
      <c r="AA9372" s="21">
        <v>0</v>
      </c>
      <c r="AB9372" s="21">
        <v>0</v>
      </c>
      <c r="AC9372" s="21">
        <v>0</v>
      </c>
      <c r="AD9372" s="21">
        <v>0</v>
      </c>
      <c r="AE9372" s="21">
        <v>0</v>
      </c>
      <c r="AF9372" s="21">
        <v>0</v>
      </c>
      <c r="AG9372" s="21">
        <v>0</v>
      </c>
      <c r="AH9372" s="21">
        <f t="shared" si="197"/>
        <v>128</v>
      </c>
      <c r="AI9372" s="21"/>
      <c r="AJ9372" s="21" t="s">
        <v>51</v>
      </c>
      <c r="AK9372" s="21" t="s">
        <v>52</v>
      </c>
      <c r="AL9372" s="21" t="s">
        <v>3006</v>
      </c>
      <c r="AM9372" s="21" t="s">
        <v>3007</v>
      </c>
      <c r="AN9372" s="21">
        <v>-122.420146883333</v>
      </c>
      <c r="AO9372" s="21">
        <v>37.7879117833333</v>
      </c>
      <c r="AP9372" s="21" t="s">
        <v>1915</v>
      </c>
    </row>
    <row r="9373" spans="1:42">
      <c r="A9373" s="20">
        <v>43850</v>
      </c>
      <c r="B9373" s="21">
        <v>1</v>
      </c>
      <c r="C9373" s="21">
        <v>231</v>
      </c>
      <c r="D9373" s="21">
        <v>14468</v>
      </c>
      <c r="E9373" s="21" t="s">
        <v>112</v>
      </c>
      <c r="F9373" s="21" t="s">
        <v>104</v>
      </c>
      <c r="G9373" s="21">
        <v>2</v>
      </c>
      <c r="H9373" s="21">
        <v>4</v>
      </c>
      <c r="I9373" s="21" t="s">
        <v>3005</v>
      </c>
      <c r="J9373" s="21"/>
      <c r="K9373" s="21" t="s">
        <v>414</v>
      </c>
      <c r="L9373" s="21"/>
      <c r="M9373" s="21"/>
      <c r="N9373" s="21" t="s">
        <v>40</v>
      </c>
      <c r="O9373" s="21">
        <f>60+5</f>
        <v>65</v>
      </c>
      <c r="P9373" s="21"/>
      <c r="Q9373" s="21">
        <f t="shared" si="196"/>
        <v>2</v>
      </c>
      <c r="R9373" s="21">
        <v>1</v>
      </c>
      <c r="S9373" s="21">
        <v>0</v>
      </c>
      <c r="T9373" s="21">
        <v>0</v>
      </c>
      <c r="U9373" s="21">
        <v>0</v>
      </c>
      <c r="V9373" s="21">
        <v>1</v>
      </c>
      <c r="W9373" s="21">
        <v>1</v>
      </c>
      <c r="X9373" s="21">
        <v>0</v>
      </c>
      <c r="Y9373" s="21">
        <v>0</v>
      </c>
      <c r="Z9373" s="21">
        <v>0</v>
      </c>
      <c r="AA9373" s="21">
        <v>0</v>
      </c>
      <c r="AB9373" s="21">
        <v>0</v>
      </c>
      <c r="AC9373" s="21">
        <v>0</v>
      </c>
      <c r="AD9373" s="21">
        <v>0</v>
      </c>
      <c r="AE9373" s="21">
        <v>0</v>
      </c>
      <c r="AF9373" s="21">
        <v>0</v>
      </c>
      <c r="AG9373" s="21">
        <v>0</v>
      </c>
      <c r="AH9373" s="21">
        <f t="shared" si="197"/>
        <v>160</v>
      </c>
      <c r="AI9373" s="21"/>
      <c r="AJ9373" s="21"/>
      <c r="AK9373" s="21"/>
      <c r="AL9373" s="21" t="s">
        <v>3008</v>
      </c>
      <c r="AM9373" s="21" t="s">
        <v>3009</v>
      </c>
      <c r="AN9373" s="21">
        <v>-122.420213233333</v>
      </c>
      <c r="AO9373" s="21">
        <v>37.788265666666597</v>
      </c>
      <c r="AP9373" s="21" t="s">
        <v>1915</v>
      </c>
    </row>
    <row r="9374" spans="1:42">
      <c r="A9374" s="20">
        <v>43850</v>
      </c>
      <c r="B9374" s="21">
        <v>1</v>
      </c>
      <c r="C9374" s="21">
        <v>231</v>
      </c>
      <c r="D9374" s="21">
        <v>14468</v>
      </c>
      <c r="E9374" s="21" t="s">
        <v>112</v>
      </c>
      <c r="F9374" s="21" t="s">
        <v>104</v>
      </c>
      <c r="G9374" s="21">
        <v>2</v>
      </c>
      <c r="H9374" s="21">
        <v>5</v>
      </c>
      <c r="I9374" s="21" t="s">
        <v>3005</v>
      </c>
      <c r="J9374" s="21"/>
      <c r="K9374" s="21" t="s">
        <v>414</v>
      </c>
      <c r="L9374" s="21"/>
      <c r="M9374" s="21"/>
      <c r="N9374" s="21" t="s">
        <v>40</v>
      </c>
      <c r="O9374" s="21">
        <v>20</v>
      </c>
      <c r="P9374" s="21"/>
      <c r="Q9374" s="21">
        <f t="shared" si="196"/>
        <v>1</v>
      </c>
      <c r="R9374" s="21">
        <v>1</v>
      </c>
      <c r="S9374" s="21">
        <v>0</v>
      </c>
      <c r="T9374" s="21">
        <v>0</v>
      </c>
      <c r="U9374" s="21">
        <v>1</v>
      </c>
      <c r="V9374" s="21">
        <v>0</v>
      </c>
      <c r="W9374" s="21">
        <v>0</v>
      </c>
      <c r="X9374" s="21">
        <v>0</v>
      </c>
      <c r="Y9374" s="21">
        <v>0</v>
      </c>
      <c r="Z9374" s="21">
        <v>0</v>
      </c>
      <c r="AA9374" s="21">
        <v>0</v>
      </c>
      <c r="AB9374" s="21">
        <v>0</v>
      </c>
      <c r="AC9374" s="21">
        <v>0</v>
      </c>
      <c r="AD9374" s="21">
        <v>0</v>
      </c>
      <c r="AE9374" s="21">
        <v>0</v>
      </c>
      <c r="AF9374" s="21">
        <v>0</v>
      </c>
      <c r="AG9374" s="21">
        <v>0</v>
      </c>
      <c r="AH9374" s="21">
        <f t="shared" si="197"/>
        <v>32</v>
      </c>
      <c r="AI9374" s="21"/>
      <c r="AJ9374" s="21"/>
      <c r="AK9374" s="21"/>
      <c r="AL9374" s="21" t="s">
        <v>470</v>
      </c>
      <c r="AM9374" s="21" t="s">
        <v>3010</v>
      </c>
      <c r="AN9374" s="21">
        <v>-122.420494866667</v>
      </c>
      <c r="AO9374" s="21">
        <v>37.788961683333298</v>
      </c>
      <c r="AP9374" s="21" t="s">
        <v>1915</v>
      </c>
    </row>
    <row r="9375" spans="1:42">
      <c r="A9375" s="20">
        <v>43850</v>
      </c>
      <c r="B9375" s="21">
        <v>1</v>
      </c>
      <c r="C9375" s="21">
        <v>231</v>
      </c>
      <c r="D9375" s="21">
        <v>14468</v>
      </c>
      <c r="E9375" s="21" t="s">
        <v>112</v>
      </c>
      <c r="F9375" s="21" t="s">
        <v>104</v>
      </c>
      <c r="G9375" s="21">
        <v>2</v>
      </c>
      <c r="H9375" s="21">
        <v>6</v>
      </c>
      <c r="I9375" s="21" t="s">
        <v>3011</v>
      </c>
      <c r="J9375" s="21"/>
      <c r="K9375" s="21" t="s">
        <v>414</v>
      </c>
      <c r="L9375" s="21"/>
      <c r="M9375" s="21"/>
      <c r="N9375" s="21" t="s">
        <v>40</v>
      </c>
      <c r="O9375" s="21">
        <v>26</v>
      </c>
      <c r="P9375" s="21"/>
      <c r="Q9375" s="21">
        <f t="shared" si="196"/>
        <v>1</v>
      </c>
      <c r="R9375" s="21">
        <v>1</v>
      </c>
      <c r="S9375" s="21">
        <v>0</v>
      </c>
      <c r="T9375" s="21">
        <v>0</v>
      </c>
      <c r="U9375" s="21">
        <v>1</v>
      </c>
      <c r="V9375" s="21">
        <v>0</v>
      </c>
      <c r="W9375" s="21">
        <v>0</v>
      </c>
      <c r="X9375" s="21">
        <v>0</v>
      </c>
      <c r="Y9375" s="21">
        <v>0</v>
      </c>
      <c r="Z9375" s="21">
        <v>0</v>
      </c>
      <c r="AA9375" s="21">
        <v>0</v>
      </c>
      <c r="AB9375" s="21">
        <v>0</v>
      </c>
      <c r="AC9375" s="21">
        <v>0</v>
      </c>
      <c r="AD9375" s="21">
        <v>0</v>
      </c>
      <c r="AE9375" s="21">
        <v>0</v>
      </c>
      <c r="AF9375" s="21">
        <v>0</v>
      </c>
      <c r="AG9375" s="21">
        <v>0</v>
      </c>
      <c r="AH9375" s="21">
        <f t="shared" si="197"/>
        <v>32</v>
      </c>
      <c r="AI9375" s="21"/>
      <c r="AJ9375" s="21"/>
      <c r="AK9375" s="21"/>
      <c r="AL9375" s="21" t="s">
        <v>470</v>
      </c>
      <c r="AM9375" s="21" t="s">
        <v>3012</v>
      </c>
      <c r="AN9375" s="21">
        <v>-122.420452966667</v>
      </c>
      <c r="AO9375" s="21">
        <v>37.789584650000002</v>
      </c>
      <c r="AP9375" s="21" t="s">
        <v>1915</v>
      </c>
    </row>
    <row r="9376" spans="1:42">
      <c r="A9376" s="20">
        <v>43850</v>
      </c>
      <c r="B9376" s="21">
        <v>1</v>
      </c>
      <c r="C9376" s="21">
        <v>231</v>
      </c>
      <c r="D9376" s="21">
        <v>14468</v>
      </c>
      <c r="E9376" s="21" t="s">
        <v>112</v>
      </c>
      <c r="F9376" s="21" t="s">
        <v>104</v>
      </c>
      <c r="G9376" s="21">
        <v>2</v>
      </c>
      <c r="H9376" s="21">
        <v>7</v>
      </c>
      <c r="I9376" s="21" t="s">
        <v>3013</v>
      </c>
      <c r="J9376" s="21"/>
      <c r="K9376" s="21" t="s">
        <v>414</v>
      </c>
      <c r="L9376" s="21"/>
      <c r="M9376" s="21"/>
      <c r="N9376" s="21" t="s">
        <v>40</v>
      </c>
      <c r="O9376" s="21">
        <v>48</v>
      </c>
      <c r="P9376" s="21"/>
      <c r="Q9376" s="21">
        <f t="shared" si="196"/>
        <v>2</v>
      </c>
      <c r="R9376" s="21">
        <v>1</v>
      </c>
      <c r="S9376" s="21">
        <v>0</v>
      </c>
      <c r="T9376" s="21">
        <v>0</v>
      </c>
      <c r="U9376" s="21">
        <v>2</v>
      </c>
      <c r="V9376" s="21">
        <v>0</v>
      </c>
      <c r="W9376" s="21">
        <v>0</v>
      </c>
      <c r="X9376" s="21">
        <v>0</v>
      </c>
      <c r="Y9376" s="21">
        <v>0</v>
      </c>
      <c r="Z9376" s="21">
        <v>0</v>
      </c>
      <c r="AA9376" s="21">
        <v>0</v>
      </c>
      <c r="AB9376" s="21">
        <v>0</v>
      </c>
      <c r="AC9376" s="21">
        <v>0</v>
      </c>
      <c r="AD9376" s="21">
        <v>0</v>
      </c>
      <c r="AE9376" s="21">
        <v>0</v>
      </c>
      <c r="AF9376" s="21">
        <v>0</v>
      </c>
      <c r="AG9376" s="21">
        <v>0</v>
      </c>
      <c r="AH9376" s="21">
        <f t="shared" si="197"/>
        <v>64</v>
      </c>
      <c r="AI9376" s="21"/>
      <c r="AJ9376" s="21"/>
      <c r="AK9376" s="21"/>
      <c r="AL9376" s="21" t="s">
        <v>3014</v>
      </c>
      <c r="AM9376" s="21" t="s">
        <v>3015</v>
      </c>
      <c r="AN9376" s="21">
        <v>-122.420673416667</v>
      </c>
      <c r="AO9376" s="21">
        <v>37.789938883333299</v>
      </c>
      <c r="AP9376" s="21" t="s">
        <v>1915</v>
      </c>
    </row>
    <row r="9377" spans="1:42">
      <c r="A9377" s="20">
        <v>43850</v>
      </c>
      <c r="B9377" s="21">
        <v>1</v>
      </c>
      <c r="C9377" s="21">
        <v>231</v>
      </c>
      <c r="D9377" s="21">
        <v>14468</v>
      </c>
      <c r="E9377" s="21" t="s">
        <v>112</v>
      </c>
      <c r="F9377" s="21" t="s">
        <v>104</v>
      </c>
      <c r="G9377" s="21">
        <v>2</v>
      </c>
      <c r="H9377" s="21">
        <v>8</v>
      </c>
      <c r="I9377" s="21" t="s">
        <v>3013</v>
      </c>
      <c r="J9377" s="21"/>
      <c r="K9377" s="21" t="s">
        <v>414</v>
      </c>
      <c r="L9377" s="21"/>
      <c r="M9377" s="21"/>
      <c r="N9377" s="21" t="s">
        <v>40</v>
      </c>
      <c r="O9377" s="21">
        <f>60+11</f>
        <v>71</v>
      </c>
      <c r="P9377" s="21"/>
      <c r="Q9377" s="21">
        <f t="shared" si="196"/>
        <v>1</v>
      </c>
      <c r="R9377" s="21">
        <v>1</v>
      </c>
      <c r="S9377" s="21">
        <v>0</v>
      </c>
      <c r="T9377" s="21">
        <v>0</v>
      </c>
      <c r="U9377" s="21">
        <v>0</v>
      </c>
      <c r="V9377" s="21">
        <v>1</v>
      </c>
      <c r="W9377" s="21">
        <v>0</v>
      </c>
      <c r="X9377" s="21">
        <v>0</v>
      </c>
      <c r="Y9377" s="21">
        <v>0</v>
      </c>
      <c r="Z9377" s="21">
        <v>0</v>
      </c>
      <c r="AA9377" s="21">
        <v>0</v>
      </c>
      <c r="AB9377" s="21">
        <v>0</v>
      </c>
      <c r="AC9377" s="21">
        <v>0</v>
      </c>
      <c r="AD9377" s="21">
        <v>0</v>
      </c>
      <c r="AE9377" s="21">
        <v>0</v>
      </c>
      <c r="AF9377" s="21">
        <v>0</v>
      </c>
      <c r="AG9377" s="21">
        <v>0</v>
      </c>
      <c r="AH9377" s="21">
        <f t="shared" si="197"/>
        <v>64</v>
      </c>
      <c r="AI9377" s="21"/>
      <c r="AJ9377" s="21" t="s">
        <v>54</v>
      </c>
      <c r="AK9377" s="21" t="s">
        <v>95</v>
      </c>
      <c r="AL9377" s="21"/>
      <c r="AM9377" s="21" t="s">
        <v>3016</v>
      </c>
      <c r="AN9377" s="21">
        <v>-122.420586483333</v>
      </c>
      <c r="AO9377" s="21">
        <v>37.789980733333302</v>
      </c>
      <c r="AP9377" s="21" t="s">
        <v>1915</v>
      </c>
    </row>
    <row r="9378" spans="1:42">
      <c r="A9378" s="20">
        <v>43850</v>
      </c>
      <c r="B9378" s="21">
        <v>1</v>
      </c>
      <c r="C9378" s="21">
        <v>231</v>
      </c>
      <c r="D9378" s="21">
        <v>14468</v>
      </c>
      <c r="E9378" s="21" t="s">
        <v>112</v>
      </c>
      <c r="F9378" s="21" t="s">
        <v>104</v>
      </c>
      <c r="G9378" s="21">
        <v>2</v>
      </c>
      <c r="H9378" s="21">
        <v>9</v>
      </c>
      <c r="I9378" s="21" t="s">
        <v>3013</v>
      </c>
      <c r="J9378" s="21"/>
      <c r="K9378" s="21" t="s">
        <v>414</v>
      </c>
      <c r="L9378" s="21" t="s">
        <v>114</v>
      </c>
      <c r="M9378" s="21"/>
      <c r="N9378" s="21" t="s">
        <v>40</v>
      </c>
      <c r="O9378" s="21">
        <v>60</v>
      </c>
      <c r="P9378" s="21"/>
      <c r="Q9378" s="21">
        <f t="shared" si="196"/>
        <v>2</v>
      </c>
      <c r="R9378" s="21">
        <v>1</v>
      </c>
      <c r="S9378" s="21">
        <v>0</v>
      </c>
      <c r="T9378" s="21">
        <v>0</v>
      </c>
      <c r="U9378" s="21">
        <v>1</v>
      </c>
      <c r="V9378" s="21">
        <v>1</v>
      </c>
      <c r="W9378" s="21">
        <v>0</v>
      </c>
      <c r="X9378" s="21">
        <v>0</v>
      </c>
      <c r="Y9378" s="21">
        <v>0</v>
      </c>
      <c r="Z9378" s="21">
        <v>0</v>
      </c>
      <c r="AA9378" s="21">
        <v>0</v>
      </c>
      <c r="AB9378" s="21">
        <v>0</v>
      </c>
      <c r="AC9378" s="21">
        <v>0</v>
      </c>
      <c r="AD9378" s="21">
        <v>0</v>
      </c>
      <c r="AE9378" s="21">
        <v>0</v>
      </c>
      <c r="AF9378" s="21">
        <v>0</v>
      </c>
      <c r="AG9378" s="21">
        <v>0</v>
      </c>
      <c r="AH9378" s="21">
        <f t="shared" si="197"/>
        <v>96</v>
      </c>
      <c r="AI9378" s="21"/>
      <c r="AJ9378" s="21"/>
      <c r="AK9378" s="21"/>
      <c r="AL9378" s="21"/>
      <c r="AM9378" s="21" t="s">
        <v>3017</v>
      </c>
      <c r="AN9378" s="21">
        <v>-122.420679283333</v>
      </c>
      <c r="AO9378" s="21">
        <v>37.790064916666601</v>
      </c>
      <c r="AP9378" s="21" t="s">
        <v>1915</v>
      </c>
    </row>
    <row r="9379" spans="1:42">
      <c r="A9379" s="20">
        <v>43850</v>
      </c>
      <c r="B9379" s="21">
        <v>1</v>
      </c>
      <c r="C9379" s="21">
        <v>231</v>
      </c>
      <c r="D9379" s="21">
        <v>14468</v>
      </c>
      <c r="E9379" s="21" t="s">
        <v>112</v>
      </c>
      <c r="F9379" s="21" t="s">
        <v>104</v>
      </c>
      <c r="G9379" s="21">
        <v>2</v>
      </c>
      <c r="H9379" s="21">
        <v>10</v>
      </c>
      <c r="I9379" s="21" t="s">
        <v>3013</v>
      </c>
      <c r="J9379" s="21"/>
      <c r="K9379" s="21" t="s">
        <v>414</v>
      </c>
      <c r="L9379" s="21"/>
      <c r="M9379" s="21"/>
      <c r="N9379" s="21" t="s">
        <v>40</v>
      </c>
      <c r="O9379" s="21">
        <v>42</v>
      </c>
      <c r="P9379" s="21"/>
      <c r="Q9379" s="21">
        <f t="shared" si="196"/>
        <v>1</v>
      </c>
      <c r="R9379" s="21">
        <v>1</v>
      </c>
      <c r="S9379" s="21">
        <v>0</v>
      </c>
      <c r="T9379" s="21">
        <v>0</v>
      </c>
      <c r="U9379" s="21">
        <v>1</v>
      </c>
      <c r="V9379" s="21">
        <v>0</v>
      </c>
      <c r="W9379" s="21">
        <v>0</v>
      </c>
      <c r="X9379" s="21">
        <v>0</v>
      </c>
      <c r="Y9379" s="21">
        <v>0</v>
      </c>
      <c r="Z9379" s="21">
        <v>0</v>
      </c>
      <c r="AA9379" s="21">
        <v>0</v>
      </c>
      <c r="AB9379" s="21">
        <v>0</v>
      </c>
      <c r="AC9379" s="21">
        <v>0</v>
      </c>
      <c r="AD9379" s="21">
        <v>0</v>
      </c>
      <c r="AE9379" s="21">
        <v>0</v>
      </c>
      <c r="AF9379" s="21">
        <v>0</v>
      </c>
      <c r="AG9379" s="21">
        <v>0</v>
      </c>
      <c r="AH9379" s="21">
        <f t="shared" si="197"/>
        <v>32</v>
      </c>
      <c r="AI9379" s="21"/>
      <c r="AJ9379" s="21" t="s">
        <v>51</v>
      </c>
      <c r="AK9379" s="21" t="s">
        <v>95</v>
      </c>
      <c r="AL9379" s="21" t="s">
        <v>3018</v>
      </c>
      <c r="AM9379" s="21" t="s">
        <v>3019</v>
      </c>
      <c r="AN9379" s="21">
        <v>-122.420644516667</v>
      </c>
      <c r="AO9379" s="21">
        <v>37.790449350000003</v>
      </c>
      <c r="AP9379" s="21" t="s">
        <v>1915</v>
      </c>
    </row>
    <row r="9380" spans="1:42">
      <c r="A9380" s="20">
        <v>43850</v>
      </c>
      <c r="B9380" s="21">
        <v>1</v>
      </c>
      <c r="C9380" s="21">
        <v>231</v>
      </c>
      <c r="D9380" s="21">
        <v>14468</v>
      </c>
      <c r="E9380" s="21" t="s">
        <v>112</v>
      </c>
      <c r="F9380" s="21" t="s">
        <v>104</v>
      </c>
      <c r="G9380" s="21">
        <v>2</v>
      </c>
      <c r="H9380" s="21">
        <v>11</v>
      </c>
      <c r="I9380" s="21" t="s">
        <v>3013</v>
      </c>
      <c r="J9380" s="21"/>
      <c r="K9380" s="21" t="s">
        <v>414</v>
      </c>
      <c r="L9380" s="21" t="s">
        <v>141</v>
      </c>
      <c r="M9380" s="21"/>
      <c r="N9380" s="21" t="s">
        <v>40</v>
      </c>
      <c r="O9380" s="21">
        <v>29</v>
      </c>
      <c r="P9380" s="21"/>
      <c r="Q9380" s="21">
        <f t="shared" si="196"/>
        <v>1</v>
      </c>
      <c r="R9380" s="21">
        <v>1</v>
      </c>
      <c r="S9380" s="21">
        <v>0</v>
      </c>
      <c r="T9380" s="21">
        <v>0</v>
      </c>
      <c r="U9380" s="21">
        <v>1</v>
      </c>
      <c r="V9380" s="21">
        <v>0</v>
      </c>
      <c r="W9380" s="21">
        <v>0</v>
      </c>
      <c r="X9380" s="21">
        <v>0</v>
      </c>
      <c r="Y9380" s="21">
        <v>0</v>
      </c>
      <c r="Z9380" s="21">
        <v>0</v>
      </c>
      <c r="AA9380" s="21">
        <v>0</v>
      </c>
      <c r="AB9380" s="21">
        <v>0</v>
      </c>
      <c r="AC9380" s="21">
        <v>0</v>
      </c>
      <c r="AD9380" s="21">
        <v>0</v>
      </c>
      <c r="AE9380" s="21">
        <v>0</v>
      </c>
      <c r="AF9380" s="21">
        <v>0</v>
      </c>
      <c r="AG9380" s="21">
        <v>0</v>
      </c>
      <c r="AH9380" s="21">
        <f t="shared" si="197"/>
        <v>32</v>
      </c>
      <c r="AI9380" s="21"/>
      <c r="AJ9380" s="21"/>
      <c r="AK9380" s="21"/>
      <c r="AL9380" s="21" t="s">
        <v>456</v>
      </c>
      <c r="AM9380" s="21" t="s">
        <v>3020</v>
      </c>
      <c r="AN9380" s="21">
        <v>-122.4210049</v>
      </c>
      <c r="AO9380" s="21">
        <v>37.790269383333303</v>
      </c>
      <c r="AP9380" s="21" t="s">
        <v>1915</v>
      </c>
    </row>
    <row r="9381" spans="1:42">
      <c r="A9381" s="20">
        <v>43850</v>
      </c>
      <c r="B9381" s="21">
        <v>1</v>
      </c>
      <c r="C9381" s="21">
        <v>231</v>
      </c>
      <c r="D9381" s="21">
        <v>14468</v>
      </c>
      <c r="E9381" s="21" t="s">
        <v>112</v>
      </c>
      <c r="F9381" s="21" t="s">
        <v>104</v>
      </c>
      <c r="G9381" s="21">
        <v>2</v>
      </c>
      <c r="H9381" s="21">
        <v>12</v>
      </c>
      <c r="I9381" s="21" t="s">
        <v>3013</v>
      </c>
      <c r="J9381" s="21"/>
      <c r="K9381" s="21" t="s">
        <v>414</v>
      </c>
      <c r="L9381" s="21"/>
      <c r="M9381" s="21"/>
      <c r="N9381" s="21" t="s">
        <v>40</v>
      </c>
      <c r="O9381" s="21">
        <f>60+22</f>
        <v>82</v>
      </c>
      <c r="P9381" s="21"/>
      <c r="Q9381" s="21">
        <f t="shared" si="196"/>
        <v>2</v>
      </c>
      <c r="R9381" s="21">
        <v>1</v>
      </c>
      <c r="S9381" s="21">
        <v>0</v>
      </c>
      <c r="T9381" s="21">
        <v>0</v>
      </c>
      <c r="U9381" s="21">
        <v>0</v>
      </c>
      <c r="V9381" s="21">
        <v>2</v>
      </c>
      <c r="W9381" s="21">
        <v>0</v>
      </c>
      <c r="X9381" s="21">
        <v>0</v>
      </c>
      <c r="Y9381" s="21">
        <v>0</v>
      </c>
      <c r="Z9381" s="21">
        <v>0</v>
      </c>
      <c r="AA9381" s="21">
        <v>0</v>
      </c>
      <c r="AB9381" s="21">
        <v>0</v>
      </c>
      <c r="AC9381" s="21">
        <v>0</v>
      </c>
      <c r="AD9381" s="21">
        <v>0</v>
      </c>
      <c r="AE9381" s="21">
        <v>0</v>
      </c>
      <c r="AF9381" s="21">
        <v>2</v>
      </c>
      <c r="AG9381" s="21">
        <v>0</v>
      </c>
      <c r="AH9381" s="21">
        <f t="shared" si="197"/>
        <v>128</v>
      </c>
      <c r="AI9381" s="21"/>
      <c r="AJ9381" s="21" t="s">
        <v>51</v>
      </c>
      <c r="AK9381" s="21" t="s">
        <v>95</v>
      </c>
      <c r="AL9381" s="21" t="s">
        <v>3021</v>
      </c>
      <c r="AM9381" s="21" t="s">
        <v>3022</v>
      </c>
      <c r="AN9381" s="21">
        <v>-122.420648766667</v>
      </c>
      <c r="AO9381" s="21">
        <v>37.790207766666597</v>
      </c>
      <c r="AP9381" s="21" t="s">
        <v>1915</v>
      </c>
    </row>
    <row r="9382" spans="1:42">
      <c r="A9382" s="20">
        <v>43850</v>
      </c>
      <c r="B9382" s="21">
        <v>1</v>
      </c>
      <c r="C9382" s="21">
        <v>231</v>
      </c>
      <c r="D9382" s="21">
        <v>14468</v>
      </c>
      <c r="E9382" s="21" t="s">
        <v>112</v>
      </c>
      <c r="F9382" s="21" t="s">
        <v>104</v>
      </c>
      <c r="G9382" s="21">
        <v>2</v>
      </c>
      <c r="H9382" s="21">
        <v>13</v>
      </c>
      <c r="I9382" s="21" t="s">
        <v>3013</v>
      </c>
      <c r="J9382" s="21"/>
      <c r="K9382" s="21" t="s">
        <v>414</v>
      </c>
      <c r="L9382" s="21" t="s">
        <v>141</v>
      </c>
      <c r="M9382" s="21"/>
      <c r="N9382" s="21" t="s">
        <v>40</v>
      </c>
      <c r="O9382" s="21">
        <f>60+60+60+4</f>
        <v>184</v>
      </c>
      <c r="P9382" s="21"/>
      <c r="Q9382" s="21">
        <f t="shared" si="196"/>
        <v>5</v>
      </c>
      <c r="R9382" s="21">
        <v>1</v>
      </c>
      <c r="S9382" s="21">
        <v>0</v>
      </c>
      <c r="T9382" s="21">
        <v>0</v>
      </c>
      <c r="U9382" s="21">
        <v>2</v>
      </c>
      <c r="V9382" s="21">
        <v>2</v>
      </c>
      <c r="W9382" s="21">
        <v>1</v>
      </c>
      <c r="X9382" s="21">
        <v>0</v>
      </c>
      <c r="Y9382" s="21">
        <v>0</v>
      </c>
      <c r="Z9382" s="21">
        <v>0</v>
      </c>
      <c r="AA9382" s="21">
        <v>0</v>
      </c>
      <c r="AB9382" s="21">
        <v>0</v>
      </c>
      <c r="AC9382" s="21">
        <v>0</v>
      </c>
      <c r="AD9382" s="21">
        <v>0</v>
      </c>
      <c r="AE9382" s="21">
        <v>0</v>
      </c>
      <c r="AF9382" s="21">
        <v>3</v>
      </c>
      <c r="AG9382" s="21">
        <v>0</v>
      </c>
      <c r="AH9382" s="21">
        <f t="shared" si="197"/>
        <v>288</v>
      </c>
      <c r="AI9382" s="21"/>
      <c r="AJ9382" s="21" t="s">
        <v>3023</v>
      </c>
      <c r="AK9382" s="21" t="s">
        <v>95</v>
      </c>
      <c r="AL9382" s="21" t="s">
        <v>3024</v>
      </c>
      <c r="AM9382" s="21" t="s">
        <v>3025</v>
      </c>
      <c r="AN9382" s="21">
        <v>-122.42067186666701</v>
      </c>
      <c r="AO9382" s="21">
        <v>37.790115683333298</v>
      </c>
      <c r="AP9382" s="21" t="s">
        <v>1915</v>
      </c>
    </row>
    <row r="9383" spans="1:42">
      <c r="A9383" s="20">
        <v>43850</v>
      </c>
      <c r="B9383" s="21">
        <v>1</v>
      </c>
      <c r="C9383" s="21">
        <v>231</v>
      </c>
      <c r="D9383" s="21">
        <v>14468</v>
      </c>
      <c r="E9383" s="21" t="s">
        <v>112</v>
      </c>
      <c r="F9383" s="21" t="s">
        <v>104</v>
      </c>
      <c r="G9383" s="21">
        <v>2</v>
      </c>
      <c r="H9383" s="21">
        <v>14</v>
      </c>
      <c r="I9383" s="21" t="s">
        <v>3013</v>
      </c>
      <c r="J9383" s="21"/>
      <c r="K9383" s="21" t="s">
        <v>414</v>
      </c>
      <c r="L9383" s="21"/>
      <c r="M9383" s="21"/>
      <c r="N9383" s="21"/>
      <c r="O9383" s="21">
        <v>37</v>
      </c>
      <c r="P9383" s="21"/>
      <c r="Q9383" s="21">
        <f t="shared" si="196"/>
        <v>1</v>
      </c>
      <c r="R9383" s="21">
        <v>1</v>
      </c>
      <c r="S9383" s="21">
        <v>0</v>
      </c>
      <c r="T9383" s="21">
        <v>0</v>
      </c>
      <c r="U9383" s="21">
        <v>1</v>
      </c>
      <c r="V9383" s="21">
        <v>0</v>
      </c>
      <c r="W9383" s="21">
        <v>0</v>
      </c>
      <c r="X9383" s="21">
        <v>0</v>
      </c>
      <c r="Y9383" s="21">
        <v>0</v>
      </c>
      <c r="Z9383" s="21">
        <v>0</v>
      </c>
      <c r="AA9383" s="21">
        <v>0</v>
      </c>
      <c r="AB9383" s="21">
        <v>0</v>
      </c>
      <c r="AC9383" s="21">
        <v>0</v>
      </c>
      <c r="AD9383" s="21">
        <v>0</v>
      </c>
      <c r="AE9383" s="21">
        <v>0</v>
      </c>
      <c r="AF9383" s="21">
        <v>0</v>
      </c>
      <c r="AG9383" s="21">
        <v>1</v>
      </c>
      <c r="AH9383" s="21">
        <f t="shared" si="197"/>
        <v>32</v>
      </c>
      <c r="AI9383" s="21"/>
      <c r="AJ9383" s="21" t="s">
        <v>51</v>
      </c>
      <c r="AK9383" s="21" t="s">
        <v>95</v>
      </c>
      <c r="AL9383" s="21"/>
      <c r="AM9383" s="21" t="s">
        <v>6619</v>
      </c>
      <c r="AN9383" s="21">
        <v>-122.420610716667</v>
      </c>
      <c r="AO9383" s="21">
        <v>37.7899867</v>
      </c>
      <c r="AP9383" s="21" t="s">
        <v>1915</v>
      </c>
    </row>
    <row r="9384" spans="1:42">
      <c r="A9384" s="20">
        <v>43850</v>
      </c>
      <c r="B9384" s="21">
        <v>1</v>
      </c>
      <c r="C9384" s="21">
        <v>231</v>
      </c>
      <c r="D9384" s="21">
        <v>14468</v>
      </c>
      <c r="E9384" s="21" t="s">
        <v>112</v>
      </c>
      <c r="F9384" s="21" t="s">
        <v>104</v>
      </c>
      <c r="G9384" s="21">
        <v>2</v>
      </c>
      <c r="H9384" s="21">
        <v>15</v>
      </c>
      <c r="I9384" s="21" t="s">
        <v>3013</v>
      </c>
      <c r="J9384" s="21"/>
      <c r="K9384" s="21" t="s">
        <v>414</v>
      </c>
      <c r="L9384" s="21" t="s">
        <v>141</v>
      </c>
      <c r="M9384" s="21"/>
      <c r="N9384" s="21" t="s">
        <v>40</v>
      </c>
      <c r="O9384" s="21">
        <f>60+60+60+40</f>
        <v>220</v>
      </c>
      <c r="P9384" s="21"/>
      <c r="Q9384" s="21">
        <f t="shared" si="196"/>
        <v>7</v>
      </c>
      <c r="R9384" s="21">
        <v>1</v>
      </c>
      <c r="S9384" s="21">
        <v>0</v>
      </c>
      <c r="T9384" s="21">
        <v>0</v>
      </c>
      <c r="U9384" s="21">
        <v>2</v>
      </c>
      <c r="V9384" s="21">
        <v>3</v>
      </c>
      <c r="W9384" s="21">
        <v>2</v>
      </c>
      <c r="X9384" s="21">
        <v>0</v>
      </c>
      <c r="Y9384" s="21">
        <v>0</v>
      </c>
      <c r="Z9384" s="21">
        <v>0</v>
      </c>
      <c r="AA9384" s="21">
        <v>0</v>
      </c>
      <c r="AB9384" s="21">
        <v>0</v>
      </c>
      <c r="AC9384" s="21">
        <v>0</v>
      </c>
      <c r="AD9384" s="21">
        <v>0</v>
      </c>
      <c r="AE9384" s="21">
        <v>0</v>
      </c>
      <c r="AF9384" s="21">
        <v>0</v>
      </c>
      <c r="AG9384" s="21">
        <v>2</v>
      </c>
      <c r="AH9384" s="21">
        <f t="shared" si="197"/>
        <v>448</v>
      </c>
      <c r="AI9384" s="21"/>
      <c r="AJ9384" s="21" t="s">
        <v>51</v>
      </c>
      <c r="AK9384" s="21" t="s">
        <v>95</v>
      </c>
      <c r="AL9384" s="21"/>
      <c r="AM9384" s="21" t="s">
        <v>3026</v>
      </c>
      <c r="AN9384" s="21">
        <v>-122.4205764</v>
      </c>
      <c r="AO9384" s="21">
        <v>37.789744683333303</v>
      </c>
      <c r="AP9384" s="21" t="s">
        <v>1915</v>
      </c>
    </row>
    <row r="9385" spans="1:42">
      <c r="A9385" s="20">
        <v>43850</v>
      </c>
      <c r="B9385" s="21">
        <v>1</v>
      </c>
      <c r="C9385" s="21">
        <v>231</v>
      </c>
      <c r="D9385" s="21">
        <v>14468</v>
      </c>
      <c r="E9385" s="21" t="s">
        <v>112</v>
      </c>
      <c r="F9385" s="21" t="s">
        <v>104</v>
      </c>
      <c r="G9385" s="21">
        <v>2</v>
      </c>
      <c r="H9385" s="21">
        <v>16</v>
      </c>
      <c r="I9385" s="21" t="s">
        <v>3011</v>
      </c>
      <c r="J9385" s="21"/>
      <c r="K9385" s="21" t="s">
        <v>414</v>
      </c>
      <c r="L9385" s="21"/>
      <c r="M9385" s="21"/>
      <c r="N9385" s="21" t="s">
        <v>40</v>
      </c>
      <c r="O9385" s="21">
        <f>60+4</f>
        <v>64</v>
      </c>
      <c r="P9385" s="21"/>
      <c r="Q9385" s="21">
        <f t="shared" si="196"/>
        <v>2</v>
      </c>
      <c r="R9385" s="21">
        <v>1</v>
      </c>
      <c r="S9385" s="21">
        <v>0</v>
      </c>
      <c r="T9385" s="21">
        <v>0</v>
      </c>
      <c r="U9385" s="21">
        <v>1</v>
      </c>
      <c r="V9385" s="21">
        <v>0</v>
      </c>
      <c r="W9385" s="21">
        <v>1</v>
      </c>
      <c r="X9385" s="21">
        <v>0</v>
      </c>
      <c r="Y9385" s="21">
        <v>0</v>
      </c>
      <c r="Z9385" s="21">
        <v>0</v>
      </c>
      <c r="AA9385" s="21">
        <v>0</v>
      </c>
      <c r="AB9385" s="21">
        <v>0</v>
      </c>
      <c r="AC9385" s="21">
        <v>0</v>
      </c>
      <c r="AD9385" s="21">
        <v>0</v>
      </c>
      <c r="AE9385" s="21">
        <v>0</v>
      </c>
      <c r="AF9385" s="21">
        <v>1</v>
      </c>
      <c r="AG9385" s="21">
        <v>0</v>
      </c>
      <c r="AH9385" s="21">
        <f t="shared" si="197"/>
        <v>128</v>
      </c>
      <c r="AI9385" s="21"/>
      <c r="AJ9385" s="21" t="s">
        <v>6620</v>
      </c>
      <c r="AK9385" s="21" t="s">
        <v>95</v>
      </c>
      <c r="AL9385" s="21" t="s">
        <v>3027</v>
      </c>
      <c r="AM9385" s="21" t="s">
        <v>3028</v>
      </c>
      <c r="AN9385" s="21">
        <v>-122.420517916667</v>
      </c>
      <c r="AO9385" s="21">
        <v>37.789511716666702</v>
      </c>
      <c r="AP9385" s="21" t="s">
        <v>1915</v>
      </c>
    </row>
    <row r="9386" spans="1:42">
      <c r="A9386" s="20">
        <v>43850</v>
      </c>
      <c r="B9386" s="21">
        <v>1</v>
      </c>
      <c r="C9386" s="21">
        <v>231</v>
      </c>
      <c r="D9386" s="21">
        <v>14468</v>
      </c>
      <c r="E9386" s="21" t="s">
        <v>112</v>
      </c>
      <c r="F9386" s="21" t="s">
        <v>104</v>
      </c>
      <c r="G9386" s="21">
        <v>2</v>
      </c>
      <c r="H9386" s="21">
        <v>17</v>
      </c>
      <c r="I9386" s="21" t="s">
        <v>3011</v>
      </c>
      <c r="J9386" s="21"/>
      <c r="K9386" s="21" t="s">
        <v>414</v>
      </c>
      <c r="L9386" s="21" t="s">
        <v>114</v>
      </c>
      <c r="M9386" s="21" t="s">
        <v>6618</v>
      </c>
      <c r="N9386" s="21" t="s">
        <v>40</v>
      </c>
      <c r="O9386" s="21">
        <f>60+36</f>
        <v>96</v>
      </c>
      <c r="P9386" s="21"/>
      <c r="Q9386" s="21">
        <f t="shared" si="196"/>
        <v>2</v>
      </c>
      <c r="R9386" s="21">
        <v>1</v>
      </c>
      <c r="S9386" s="21">
        <v>0</v>
      </c>
      <c r="T9386" s="21">
        <v>0</v>
      </c>
      <c r="U9386" s="21">
        <v>0</v>
      </c>
      <c r="V9386" s="21">
        <v>2</v>
      </c>
      <c r="W9386" s="21">
        <v>0</v>
      </c>
      <c r="X9386" s="21">
        <v>0</v>
      </c>
      <c r="Y9386" s="21">
        <v>0</v>
      </c>
      <c r="Z9386" s="21">
        <v>0</v>
      </c>
      <c r="AA9386" s="21">
        <v>0</v>
      </c>
      <c r="AB9386" s="21">
        <v>0</v>
      </c>
      <c r="AC9386" s="21">
        <v>0</v>
      </c>
      <c r="AD9386" s="21">
        <v>0</v>
      </c>
      <c r="AE9386" s="21">
        <v>0</v>
      </c>
      <c r="AF9386" s="21">
        <v>0</v>
      </c>
      <c r="AG9386" s="21">
        <v>0</v>
      </c>
      <c r="AH9386" s="21">
        <f t="shared" si="197"/>
        <v>128</v>
      </c>
      <c r="AI9386" s="21"/>
      <c r="AJ9386" s="21" t="s">
        <v>3023</v>
      </c>
      <c r="AK9386" s="21" t="s">
        <v>95</v>
      </c>
      <c r="AL9386" s="21"/>
      <c r="AM9386" s="21" t="s">
        <v>3029</v>
      </c>
      <c r="AN9386" s="21">
        <v>-122.4204416</v>
      </c>
      <c r="AO9386" s="21">
        <v>37.789279116666698</v>
      </c>
      <c r="AP9386" s="21" t="s">
        <v>1915</v>
      </c>
    </row>
    <row r="9387" spans="1:42">
      <c r="A9387" s="20">
        <v>43850</v>
      </c>
      <c r="B9387" s="21">
        <v>1</v>
      </c>
      <c r="C9387" s="21">
        <v>231</v>
      </c>
      <c r="D9387" s="21">
        <v>14468</v>
      </c>
      <c r="E9387" s="21" t="s">
        <v>112</v>
      </c>
      <c r="F9387" s="21" t="s">
        <v>104</v>
      </c>
      <c r="G9387" s="21">
        <v>2</v>
      </c>
      <c r="H9387" s="21">
        <v>18</v>
      </c>
      <c r="I9387" s="21" t="s">
        <v>3011</v>
      </c>
      <c r="J9387" s="21"/>
      <c r="K9387" s="21" t="s">
        <v>414</v>
      </c>
      <c r="L9387" s="21" t="s">
        <v>141</v>
      </c>
      <c r="M9387" s="21"/>
      <c r="N9387" s="21" t="s">
        <v>40</v>
      </c>
      <c r="O9387" s="21">
        <f>60+22</f>
        <v>82</v>
      </c>
      <c r="P9387" s="21"/>
      <c r="Q9387" s="21">
        <f t="shared" si="196"/>
        <v>2</v>
      </c>
      <c r="R9387" s="21">
        <v>1</v>
      </c>
      <c r="S9387" s="21">
        <v>0</v>
      </c>
      <c r="T9387" s="21">
        <v>0</v>
      </c>
      <c r="U9387" s="21">
        <v>2</v>
      </c>
      <c r="V9387" s="21">
        <v>0</v>
      </c>
      <c r="W9387" s="21">
        <v>0</v>
      </c>
      <c r="X9387" s="21">
        <v>0</v>
      </c>
      <c r="Y9387" s="21">
        <v>0</v>
      </c>
      <c r="Z9387" s="21">
        <v>0</v>
      </c>
      <c r="AA9387" s="21">
        <v>0</v>
      </c>
      <c r="AB9387" s="21">
        <v>0</v>
      </c>
      <c r="AC9387" s="21">
        <v>0</v>
      </c>
      <c r="AD9387" s="21">
        <v>0</v>
      </c>
      <c r="AE9387" s="21">
        <v>0</v>
      </c>
      <c r="AF9387" s="21">
        <v>0</v>
      </c>
      <c r="AG9387" s="21">
        <v>0</v>
      </c>
      <c r="AH9387" s="21">
        <f t="shared" si="197"/>
        <v>64</v>
      </c>
      <c r="AI9387" s="21"/>
      <c r="AJ9387" s="21" t="s">
        <v>51</v>
      </c>
      <c r="AK9387" s="21" t="s">
        <v>95</v>
      </c>
      <c r="AL9387" s="21" t="s">
        <v>3030</v>
      </c>
      <c r="AM9387" s="21" t="s">
        <v>3031</v>
      </c>
      <c r="AN9387" s="21">
        <v>-122.420395916667</v>
      </c>
      <c r="AO9387" s="21">
        <v>37.789124433333299</v>
      </c>
      <c r="AP9387" s="21" t="s">
        <v>1915</v>
      </c>
    </row>
    <row r="9388" spans="1:42">
      <c r="A9388" s="20">
        <v>43850</v>
      </c>
      <c r="B9388" s="21">
        <v>1</v>
      </c>
      <c r="C9388" s="21">
        <v>231</v>
      </c>
      <c r="D9388" s="21">
        <v>14468</v>
      </c>
      <c r="E9388" s="21" t="s">
        <v>112</v>
      </c>
      <c r="F9388" s="21" t="s">
        <v>104</v>
      </c>
      <c r="G9388" s="21">
        <v>2</v>
      </c>
      <c r="H9388" s="21">
        <v>19</v>
      </c>
      <c r="I9388" s="21" t="s">
        <v>3011</v>
      </c>
      <c r="J9388" s="21"/>
      <c r="K9388" s="21" t="s">
        <v>414</v>
      </c>
      <c r="L9388" s="21" t="s">
        <v>141</v>
      </c>
      <c r="M9388" s="21"/>
      <c r="N9388" s="21" t="s">
        <v>40</v>
      </c>
      <c r="O9388" s="21">
        <v>45</v>
      </c>
      <c r="P9388" s="21"/>
      <c r="Q9388" s="21">
        <f t="shared" si="196"/>
        <v>1</v>
      </c>
      <c r="R9388" s="21">
        <v>1</v>
      </c>
      <c r="S9388" s="21">
        <v>0</v>
      </c>
      <c r="T9388" s="21">
        <v>0</v>
      </c>
      <c r="U9388" s="21">
        <v>1</v>
      </c>
      <c r="V9388" s="21">
        <v>0</v>
      </c>
      <c r="W9388" s="21">
        <v>0</v>
      </c>
      <c r="X9388" s="21">
        <v>0</v>
      </c>
      <c r="Y9388" s="21">
        <v>0</v>
      </c>
      <c r="Z9388" s="21">
        <v>0</v>
      </c>
      <c r="AA9388" s="21">
        <v>0</v>
      </c>
      <c r="AB9388" s="21">
        <v>0</v>
      </c>
      <c r="AC9388" s="21">
        <v>0</v>
      </c>
      <c r="AD9388" s="21">
        <v>0</v>
      </c>
      <c r="AE9388" s="21">
        <v>0</v>
      </c>
      <c r="AF9388" s="21">
        <v>0</v>
      </c>
      <c r="AG9388" s="21">
        <v>0</v>
      </c>
      <c r="AH9388" s="21">
        <f t="shared" si="197"/>
        <v>32</v>
      </c>
      <c r="AI9388" s="21"/>
      <c r="AJ9388" s="21" t="s">
        <v>51</v>
      </c>
      <c r="AK9388" s="21" t="s">
        <v>95</v>
      </c>
      <c r="AL9388" s="21"/>
      <c r="AM9388" s="21" t="s">
        <v>3032</v>
      </c>
      <c r="AN9388" s="21">
        <v>-122.42035678333301</v>
      </c>
      <c r="AO9388" s="21">
        <v>37.788945666666699</v>
      </c>
      <c r="AP9388" s="21" t="s">
        <v>1915</v>
      </c>
    </row>
    <row r="9389" spans="1:42">
      <c r="A9389" s="20">
        <v>43850</v>
      </c>
      <c r="B9389" s="21">
        <v>1</v>
      </c>
      <c r="C9389" s="21">
        <v>231</v>
      </c>
      <c r="D9389" s="21">
        <v>14468</v>
      </c>
      <c r="E9389" s="21" t="s">
        <v>112</v>
      </c>
      <c r="F9389" s="21" t="s">
        <v>104</v>
      </c>
      <c r="G9389" s="21">
        <v>2</v>
      </c>
      <c r="H9389" s="21">
        <v>20</v>
      </c>
      <c r="I9389" s="21" t="s">
        <v>3011</v>
      </c>
      <c r="J9389" s="21"/>
      <c r="K9389" s="21" t="s">
        <v>414</v>
      </c>
      <c r="L9389" s="21" t="s">
        <v>141</v>
      </c>
      <c r="M9389" s="21"/>
      <c r="N9389" s="21" t="s">
        <v>40</v>
      </c>
      <c r="O9389" s="21">
        <f>60+30</f>
        <v>90</v>
      </c>
      <c r="P9389" s="21"/>
      <c r="Q9389" s="21">
        <f t="shared" si="196"/>
        <v>1</v>
      </c>
      <c r="R9389" s="21">
        <v>1</v>
      </c>
      <c r="S9389" s="21">
        <v>0</v>
      </c>
      <c r="T9389" s="21">
        <v>0</v>
      </c>
      <c r="U9389" s="21">
        <v>1</v>
      </c>
      <c r="V9389" s="21">
        <v>0</v>
      </c>
      <c r="W9389" s="21">
        <v>0</v>
      </c>
      <c r="X9389" s="21">
        <v>0</v>
      </c>
      <c r="Y9389" s="21">
        <v>0</v>
      </c>
      <c r="Z9389" s="21">
        <v>0</v>
      </c>
      <c r="AA9389" s="21">
        <v>0</v>
      </c>
      <c r="AB9389" s="21">
        <v>0</v>
      </c>
      <c r="AC9389" s="21">
        <v>0</v>
      </c>
      <c r="AD9389" s="21">
        <v>0</v>
      </c>
      <c r="AE9389" s="21">
        <v>0</v>
      </c>
      <c r="AF9389" s="21">
        <v>1</v>
      </c>
      <c r="AG9389" s="21">
        <v>0</v>
      </c>
      <c r="AH9389" s="21">
        <f t="shared" si="197"/>
        <v>32</v>
      </c>
      <c r="AI9389" s="21"/>
      <c r="AJ9389" s="21" t="s">
        <v>51</v>
      </c>
      <c r="AK9389" s="21" t="s">
        <v>95</v>
      </c>
      <c r="AL9389" s="21"/>
      <c r="AM9389" s="21" t="s">
        <v>3033</v>
      </c>
      <c r="AN9389" s="21">
        <v>-122.420302466667</v>
      </c>
      <c r="AO9389" s="21">
        <v>37.788758516666697</v>
      </c>
      <c r="AP9389" s="21" t="s">
        <v>1915</v>
      </c>
    </row>
    <row r="9390" spans="1:42">
      <c r="A9390" s="20">
        <v>43850</v>
      </c>
      <c r="B9390" s="21">
        <v>1</v>
      </c>
      <c r="C9390" s="21">
        <v>231</v>
      </c>
      <c r="D9390" s="21">
        <v>14468</v>
      </c>
      <c r="E9390" s="21" t="s">
        <v>112</v>
      </c>
      <c r="F9390" s="21" t="s">
        <v>104</v>
      </c>
      <c r="G9390" s="21">
        <v>2</v>
      </c>
      <c r="H9390" s="21">
        <v>21</v>
      </c>
      <c r="I9390" s="21" t="s">
        <v>3034</v>
      </c>
      <c r="J9390" s="21"/>
      <c r="K9390" s="21" t="s">
        <v>414</v>
      </c>
      <c r="L9390" s="21" t="s">
        <v>141</v>
      </c>
      <c r="M9390" s="21"/>
      <c r="N9390" s="21" t="s">
        <v>40</v>
      </c>
      <c r="O9390" s="21">
        <f>60+60+60+30</f>
        <v>210</v>
      </c>
      <c r="P9390" s="21"/>
      <c r="Q9390" s="21">
        <f t="shared" si="196"/>
        <v>6</v>
      </c>
      <c r="R9390" s="21">
        <v>1</v>
      </c>
      <c r="S9390" s="21">
        <v>0</v>
      </c>
      <c r="T9390" s="21">
        <v>0</v>
      </c>
      <c r="U9390" s="21">
        <v>2</v>
      </c>
      <c r="V9390" s="21">
        <v>3</v>
      </c>
      <c r="W9390" s="21">
        <v>1</v>
      </c>
      <c r="X9390" s="21">
        <v>0</v>
      </c>
      <c r="Y9390" s="21">
        <v>0</v>
      </c>
      <c r="Z9390" s="21">
        <v>0</v>
      </c>
      <c r="AA9390" s="21">
        <v>0</v>
      </c>
      <c r="AB9390" s="21">
        <v>0</v>
      </c>
      <c r="AC9390" s="21">
        <v>0</v>
      </c>
      <c r="AD9390" s="21">
        <v>0</v>
      </c>
      <c r="AE9390" s="21">
        <v>0</v>
      </c>
      <c r="AF9390" s="21">
        <v>0</v>
      </c>
      <c r="AG9390" s="21">
        <v>0</v>
      </c>
      <c r="AH9390" s="21">
        <f t="shared" si="197"/>
        <v>352</v>
      </c>
      <c r="AI9390" s="21"/>
      <c r="AJ9390" s="21" t="s">
        <v>54</v>
      </c>
      <c r="AK9390" s="21" t="s">
        <v>95</v>
      </c>
      <c r="AL9390" s="21"/>
      <c r="AM9390" s="21" t="s">
        <v>3035</v>
      </c>
      <c r="AN9390" s="21">
        <v>-122.4202799</v>
      </c>
      <c r="AO9390" s="21">
        <v>37.788426433333299</v>
      </c>
      <c r="AP9390" s="21" t="s">
        <v>1915</v>
      </c>
    </row>
    <row r="9391" spans="1:42">
      <c r="A9391" s="20">
        <v>43850</v>
      </c>
      <c r="B9391" s="21">
        <v>1</v>
      </c>
      <c r="C9391" s="21">
        <v>231</v>
      </c>
      <c r="D9391" s="21">
        <v>14468</v>
      </c>
      <c r="E9391" s="21" t="s">
        <v>112</v>
      </c>
      <c r="F9391" s="21" t="s">
        <v>104</v>
      </c>
      <c r="G9391" s="21">
        <v>2</v>
      </c>
      <c r="H9391" s="21">
        <v>22</v>
      </c>
      <c r="I9391" s="21" t="s">
        <v>3036</v>
      </c>
      <c r="J9391" s="21"/>
      <c r="K9391" s="21" t="s">
        <v>414</v>
      </c>
      <c r="L9391" s="21" t="s">
        <v>141</v>
      </c>
      <c r="M9391" s="21"/>
      <c r="N9391" s="21" t="s">
        <v>40</v>
      </c>
      <c r="O9391" s="21">
        <v>53</v>
      </c>
      <c r="P9391" s="21"/>
      <c r="Q9391" s="21">
        <f t="shared" si="196"/>
        <v>1</v>
      </c>
      <c r="R9391" s="21">
        <v>1</v>
      </c>
      <c r="S9391" s="21">
        <v>0</v>
      </c>
      <c r="T9391" s="21">
        <v>0</v>
      </c>
      <c r="U9391" s="21">
        <v>0</v>
      </c>
      <c r="V9391" s="21">
        <v>1</v>
      </c>
      <c r="W9391" s="21">
        <v>0</v>
      </c>
      <c r="X9391" s="21">
        <v>0</v>
      </c>
      <c r="Y9391" s="21">
        <v>0</v>
      </c>
      <c r="Z9391" s="21">
        <v>0</v>
      </c>
      <c r="AA9391" s="21">
        <v>0</v>
      </c>
      <c r="AB9391" s="21">
        <v>0</v>
      </c>
      <c r="AC9391" s="21">
        <v>0</v>
      </c>
      <c r="AD9391" s="21">
        <v>0</v>
      </c>
      <c r="AE9391" s="21">
        <v>0</v>
      </c>
      <c r="AF9391" s="21">
        <v>2</v>
      </c>
      <c r="AG9391" s="21">
        <v>0</v>
      </c>
      <c r="AH9391" s="21">
        <f t="shared" si="197"/>
        <v>64</v>
      </c>
      <c r="AI9391" s="21"/>
      <c r="AJ9391" s="21" t="s">
        <v>51</v>
      </c>
      <c r="AK9391" s="21" t="s">
        <v>95</v>
      </c>
      <c r="AL9391" s="21" t="s">
        <v>3037</v>
      </c>
      <c r="AM9391" s="21" t="s">
        <v>3038</v>
      </c>
      <c r="AN9391" s="21">
        <v>-122.42011763333301</v>
      </c>
      <c r="AO9391" s="21">
        <v>37.788073750000002</v>
      </c>
      <c r="AP9391" s="21" t="s">
        <v>1915</v>
      </c>
    </row>
    <row r="9392" spans="1:42">
      <c r="A9392" s="20">
        <v>43850</v>
      </c>
      <c r="B9392" s="21">
        <v>1</v>
      </c>
      <c r="C9392" s="21">
        <v>231</v>
      </c>
      <c r="D9392" s="21">
        <v>14468</v>
      </c>
      <c r="E9392" s="21" t="s">
        <v>112</v>
      </c>
      <c r="F9392" s="21" t="s">
        <v>104</v>
      </c>
      <c r="G9392" s="21">
        <v>2</v>
      </c>
      <c r="H9392" s="21">
        <v>23</v>
      </c>
      <c r="I9392" s="21" t="s">
        <v>3005</v>
      </c>
      <c r="J9392" s="21"/>
      <c r="K9392" s="21" t="s">
        <v>49</v>
      </c>
      <c r="L9392" s="21"/>
      <c r="M9392" s="21"/>
      <c r="N9392" s="21" t="s">
        <v>40</v>
      </c>
      <c r="O9392" s="21">
        <f>60+22</f>
        <v>82</v>
      </c>
      <c r="P9392" s="21"/>
      <c r="Q9392" s="21">
        <f t="shared" si="196"/>
        <v>1</v>
      </c>
      <c r="R9392" s="21">
        <v>1</v>
      </c>
      <c r="S9392" s="21">
        <v>0</v>
      </c>
      <c r="T9392" s="21">
        <v>0</v>
      </c>
      <c r="U9392" s="21">
        <v>1</v>
      </c>
      <c r="V9392" s="21">
        <v>0</v>
      </c>
      <c r="W9392" s="21">
        <v>0</v>
      </c>
      <c r="X9392" s="21">
        <v>0</v>
      </c>
      <c r="Y9392" s="21">
        <v>0</v>
      </c>
      <c r="Z9392" s="21">
        <v>0</v>
      </c>
      <c r="AA9392" s="21">
        <v>0</v>
      </c>
      <c r="AB9392" s="21">
        <v>0</v>
      </c>
      <c r="AC9392" s="21">
        <v>0</v>
      </c>
      <c r="AD9392" s="21">
        <v>0</v>
      </c>
      <c r="AE9392" s="21">
        <v>0</v>
      </c>
      <c r="AF9392" s="21">
        <v>0</v>
      </c>
      <c r="AG9392" s="21">
        <v>0</v>
      </c>
      <c r="AH9392" s="21">
        <f t="shared" si="197"/>
        <v>32</v>
      </c>
      <c r="AI9392" s="21"/>
      <c r="AJ9392" s="21" t="s">
        <v>51</v>
      </c>
      <c r="AK9392" s="21" t="s">
        <v>95</v>
      </c>
      <c r="AL9392" s="21" t="s">
        <v>3039</v>
      </c>
      <c r="AM9392" s="21" t="s">
        <v>3040</v>
      </c>
      <c r="AN9392" s="21">
        <v>-122.42064360000001</v>
      </c>
      <c r="AO9392" s="21">
        <v>37.787745266666697</v>
      </c>
      <c r="AP9392" s="21" t="s">
        <v>1915</v>
      </c>
    </row>
    <row r="9393" spans="1:42">
      <c r="A9393" s="20">
        <v>43850</v>
      </c>
      <c r="B9393" s="21">
        <v>1</v>
      </c>
      <c r="C9393" s="21">
        <v>231</v>
      </c>
      <c r="D9393" s="21">
        <v>14468</v>
      </c>
      <c r="E9393" s="21" t="s">
        <v>112</v>
      </c>
      <c r="F9393" s="21" t="s">
        <v>104</v>
      </c>
      <c r="G9393" s="21">
        <v>2</v>
      </c>
      <c r="H9393" s="21">
        <v>24</v>
      </c>
      <c r="I9393" s="21" t="s">
        <v>3011</v>
      </c>
      <c r="J9393" s="21"/>
      <c r="K9393" s="21" t="s">
        <v>415</v>
      </c>
      <c r="L9393" s="21" t="s">
        <v>114</v>
      </c>
      <c r="M9393" s="21"/>
      <c r="N9393" s="21" t="s">
        <v>40</v>
      </c>
      <c r="O9393" s="21">
        <f>60+36</f>
        <v>96</v>
      </c>
      <c r="P9393" s="21"/>
      <c r="Q9393" s="21">
        <f t="shared" si="196"/>
        <v>4</v>
      </c>
      <c r="R9393" s="21">
        <v>1</v>
      </c>
      <c r="S9393" s="21">
        <v>0</v>
      </c>
      <c r="T9393" s="21">
        <v>0</v>
      </c>
      <c r="U9393" s="21">
        <v>2</v>
      </c>
      <c r="V9393" s="21">
        <v>2</v>
      </c>
      <c r="W9393" s="21">
        <v>0</v>
      </c>
      <c r="X9393" s="21">
        <v>0</v>
      </c>
      <c r="Y9393" s="21">
        <v>0</v>
      </c>
      <c r="Z9393" s="21">
        <v>0</v>
      </c>
      <c r="AA9393" s="21">
        <v>0</v>
      </c>
      <c r="AB9393" s="21">
        <v>0</v>
      </c>
      <c r="AC9393" s="21">
        <v>0</v>
      </c>
      <c r="AD9393" s="21">
        <v>0</v>
      </c>
      <c r="AE9393" s="21">
        <v>0</v>
      </c>
      <c r="AF9393" s="21">
        <v>0</v>
      </c>
      <c r="AG9393" s="21">
        <v>0</v>
      </c>
      <c r="AH9393" s="21">
        <f t="shared" si="197"/>
        <v>192</v>
      </c>
      <c r="AI9393" s="21"/>
      <c r="AJ9393" s="21" t="s">
        <v>51</v>
      </c>
      <c r="AK9393" s="21" t="s">
        <v>95</v>
      </c>
      <c r="AL9393" s="21" t="s">
        <v>1954</v>
      </c>
      <c r="AM9393" s="21" t="s">
        <v>3041</v>
      </c>
      <c r="AN9393" s="21">
        <v>-122.42182913333301</v>
      </c>
      <c r="AO9393" s="21">
        <v>37.788186033333297</v>
      </c>
      <c r="AP9393" s="21" t="s">
        <v>1915</v>
      </c>
    </row>
    <row r="9394" spans="1:42">
      <c r="A9394" s="20">
        <v>43850</v>
      </c>
      <c r="B9394" s="21">
        <v>1</v>
      </c>
      <c r="C9394" s="21">
        <v>231</v>
      </c>
      <c r="D9394" s="21">
        <v>14468</v>
      </c>
      <c r="E9394" s="21" t="s">
        <v>112</v>
      </c>
      <c r="F9394" s="21" t="s">
        <v>104</v>
      </c>
      <c r="G9394" s="21">
        <v>2</v>
      </c>
      <c r="H9394" s="21">
        <v>25</v>
      </c>
      <c r="I9394" s="21" t="s">
        <v>3013</v>
      </c>
      <c r="J9394" s="21"/>
      <c r="K9394" s="21" t="s">
        <v>415</v>
      </c>
      <c r="L9394" s="21" t="s">
        <v>114</v>
      </c>
      <c r="M9394" s="21"/>
      <c r="N9394" s="21" t="s">
        <v>44</v>
      </c>
      <c r="O9394" s="21">
        <f>60+60+42</f>
        <v>162</v>
      </c>
      <c r="P9394" s="21"/>
      <c r="Q9394" s="21">
        <f t="shared" si="196"/>
        <v>3</v>
      </c>
      <c r="R9394" s="21">
        <v>1</v>
      </c>
      <c r="S9394" s="21">
        <v>0</v>
      </c>
      <c r="T9394" s="21">
        <v>0</v>
      </c>
      <c r="U9394" s="21">
        <v>0</v>
      </c>
      <c r="V9394" s="21">
        <v>1</v>
      </c>
      <c r="W9394" s="21">
        <v>2</v>
      </c>
      <c r="X9394" s="21">
        <v>0</v>
      </c>
      <c r="Y9394" s="21">
        <v>0</v>
      </c>
      <c r="Z9394" s="21">
        <v>0</v>
      </c>
      <c r="AA9394" s="21">
        <v>0</v>
      </c>
      <c r="AB9394" s="21">
        <v>0</v>
      </c>
      <c r="AC9394" s="21">
        <v>0</v>
      </c>
      <c r="AD9394" s="21">
        <v>0</v>
      </c>
      <c r="AE9394" s="21">
        <v>0</v>
      </c>
      <c r="AF9394" s="21">
        <v>0</v>
      </c>
      <c r="AG9394" s="21">
        <v>0</v>
      </c>
      <c r="AH9394" s="21">
        <f t="shared" si="197"/>
        <v>256</v>
      </c>
      <c r="AI9394" s="21"/>
      <c r="AJ9394" s="21" t="s">
        <v>54</v>
      </c>
      <c r="AK9394" s="21" t="s">
        <v>95</v>
      </c>
      <c r="AL9394" s="21" t="s">
        <v>1957</v>
      </c>
      <c r="AM9394" s="21" t="s">
        <v>3042</v>
      </c>
      <c r="AN9394" s="21">
        <v>-122.42111078333301</v>
      </c>
      <c r="AO9394" s="21">
        <v>37.788783883333302</v>
      </c>
      <c r="AP9394" s="21" t="s">
        <v>1915</v>
      </c>
    </row>
    <row r="9395" spans="1:42">
      <c r="A9395" s="20">
        <v>43850</v>
      </c>
      <c r="B9395" s="21">
        <v>1</v>
      </c>
      <c r="C9395" s="21">
        <v>231</v>
      </c>
      <c r="D9395" s="21">
        <v>14468</v>
      </c>
      <c r="E9395" s="21" t="s">
        <v>112</v>
      </c>
      <c r="F9395" s="21" t="s">
        <v>104</v>
      </c>
      <c r="G9395" s="21">
        <v>2</v>
      </c>
      <c r="H9395" s="21">
        <v>26</v>
      </c>
      <c r="I9395" s="21" t="s">
        <v>3043</v>
      </c>
      <c r="J9395" s="21"/>
      <c r="K9395" s="21" t="s">
        <v>70</v>
      </c>
      <c r="L9395" s="21" t="s">
        <v>114</v>
      </c>
      <c r="M9395" s="21"/>
      <c r="N9395" s="21" t="s">
        <v>44</v>
      </c>
      <c r="O9395" s="21">
        <f>60+60+50</f>
        <v>170</v>
      </c>
      <c r="P9395" s="21"/>
      <c r="Q9395" s="21">
        <f t="shared" si="196"/>
        <v>3</v>
      </c>
      <c r="R9395" s="21">
        <v>1</v>
      </c>
      <c r="S9395" s="21">
        <v>0</v>
      </c>
      <c r="T9395" s="21">
        <v>0</v>
      </c>
      <c r="U9395" s="21">
        <v>0</v>
      </c>
      <c r="V9395" s="21">
        <v>2</v>
      </c>
      <c r="W9395" s="21">
        <v>1</v>
      </c>
      <c r="X9395" s="21">
        <v>0</v>
      </c>
      <c r="Y9395" s="21">
        <v>0</v>
      </c>
      <c r="Z9395" s="21">
        <v>0</v>
      </c>
      <c r="AA9395" s="21">
        <v>0</v>
      </c>
      <c r="AB9395" s="21">
        <v>0</v>
      </c>
      <c r="AC9395" s="21">
        <v>0</v>
      </c>
      <c r="AD9395" s="21">
        <v>0</v>
      </c>
      <c r="AE9395" s="21">
        <v>0</v>
      </c>
      <c r="AF9395" s="21">
        <v>0</v>
      </c>
      <c r="AG9395" s="21">
        <v>0</v>
      </c>
      <c r="AH9395" s="21">
        <f t="shared" si="197"/>
        <v>224</v>
      </c>
      <c r="AI9395" s="21"/>
      <c r="AJ9395" s="21" t="s">
        <v>54</v>
      </c>
      <c r="AK9395" s="21" t="s">
        <v>95</v>
      </c>
      <c r="AL9395" s="21" t="s">
        <v>3044</v>
      </c>
      <c r="AM9395" s="21" t="s">
        <v>3045</v>
      </c>
      <c r="AN9395" s="21">
        <v>-122.421109316667</v>
      </c>
      <c r="AO9395" s="21">
        <v>37.788624583333302</v>
      </c>
      <c r="AP9395" s="21" t="s">
        <v>1915</v>
      </c>
    </row>
    <row r="9396" spans="1:42">
      <c r="A9396" s="20">
        <v>43850</v>
      </c>
      <c r="B9396" s="21">
        <v>1</v>
      </c>
      <c r="C9396" s="21">
        <v>231</v>
      </c>
      <c r="D9396" s="21">
        <v>14468</v>
      </c>
      <c r="E9396" s="21" t="s">
        <v>112</v>
      </c>
      <c r="F9396" s="21" t="s">
        <v>104</v>
      </c>
      <c r="G9396" s="21">
        <v>2</v>
      </c>
      <c r="H9396" s="21">
        <v>27</v>
      </c>
      <c r="I9396" s="21" t="s">
        <v>3005</v>
      </c>
      <c r="J9396" s="21"/>
      <c r="K9396" s="21" t="s">
        <v>420</v>
      </c>
      <c r="L9396" s="21"/>
      <c r="M9396" s="21"/>
      <c r="N9396" s="21" t="s">
        <v>40</v>
      </c>
      <c r="O9396" s="21">
        <f>60+34</f>
        <v>94</v>
      </c>
      <c r="P9396" s="21"/>
      <c r="Q9396" s="21">
        <f t="shared" si="196"/>
        <v>1</v>
      </c>
      <c r="R9396" s="21">
        <v>1</v>
      </c>
      <c r="S9396" s="21">
        <v>0</v>
      </c>
      <c r="T9396" s="21">
        <v>0</v>
      </c>
      <c r="U9396" s="21">
        <v>1</v>
      </c>
      <c r="V9396" s="21">
        <v>0</v>
      </c>
      <c r="W9396" s="21">
        <v>0</v>
      </c>
      <c r="X9396" s="21">
        <v>0</v>
      </c>
      <c r="Y9396" s="21">
        <v>0</v>
      </c>
      <c r="Z9396" s="21">
        <v>0</v>
      </c>
      <c r="AA9396" s="21">
        <v>0</v>
      </c>
      <c r="AB9396" s="21">
        <v>0</v>
      </c>
      <c r="AC9396" s="21">
        <v>0</v>
      </c>
      <c r="AD9396" s="21">
        <v>0</v>
      </c>
      <c r="AE9396" s="21">
        <v>0</v>
      </c>
      <c r="AF9396" s="21">
        <v>0</v>
      </c>
      <c r="AG9396" s="21">
        <v>0</v>
      </c>
      <c r="AH9396" s="21">
        <f t="shared" si="197"/>
        <v>32</v>
      </c>
      <c r="AI9396" s="21"/>
      <c r="AJ9396" s="21" t="s">
        <v>51</v>
      </c>
      <c r="AK9396" s="21" t="s">
        <v>95</v>
      </c>
      <c r="AL9396" s="21" t="s">
        <v>456</v>
      </c>
      <c r="AM9396" s="21" t="s">
        <v>3046</v>
      </c>
      <c r="AN9396" s="21">
        <v>-122.41872378333299</v>
      </c>
      <c r="AO9396" s="21">
        <v>37.788957316666597</v>
      </c>
      <c r="AP9396" s="21" t="s">
        <v>1915</v>
      </c>
    </row>
    <row r="9397" spans="1:42">
      <c r="A9397" s="20">
        <v>43850</v>
      </c>
      <c r="B9397" s="21">
        <v>1</v>
      </c>
      <c r="C9397" s="21">
        <v>231</v>
      </c>
      <c r="D9397" s="21">
        <v>14468</v>
      </c>
      <c r="E9397" s="21" t="s">
        <v>112</v>
      </c>
      <c r="F9397" s="21" t="s">
        <v>104</v>
      </c>
      <c r="G9397" s="21">
        <v>2</v>
      </c>
      <c r="H9397" s="21">
        <v>28</v>
      </c>
      <c r="I9397" s="21" t="s">
        <v>3047</v>
      </c>
      <c r="J9397" s="21"/>
      <c r="K9397" s="21" t="s">
        <v>69</v>
      </c>
      <c r="L9397" s="21"/>
      <c r="M9397" s="21"/>
      <c r="N9397" s="21" t="s">
        <v>44</v>
      </c>
      <c r="O9397" s="21">
        <f>60+56</f>
        <v>116</v>
      </c>
      <c r="P9397" s="21"/>
      <c r="Q9397" s="21">
        <f t="shared" si="196"/>
        <v>3</v>
      </c>
      <c r="R9397" s="21">
        <v>1</v>
      </c>
      <c r="S9397" s="21">
        <v>0</v>
      </c>
      <c r="T9397" s="21">
        <v>0</v>
      </c>
      <c r="U9397" s="21">
        <v>0</v>
      </c>
      <c r="V9397" s="21">
        <v>1</v>
      </c>
      <c r="W9397" s="21">
        <v>2</v>
      </c>
      <c r="X9397" s="21">
        <v>0</v>
      </c>
      <c r="Y9397" s="21">
        <v>0</v>
      </c>
      <c r="Z9397" s="21">
        <v>0</v>
      </c>
      <c r="AA9397" s="21">
        <v>0</v>
      </c>
      <c r="AB9397" s="21">
        <v>0</v>
      </c>
      <c r="AC9397" s="21">
        <v>0</v>
      </c>
      <c r="AD9397" s="21">
        <v>0</v>
      </c>
      <c r="AE9397" s="21">
        <v>0</v>
      </c>
      <c r="AF9397" s="21">
        <v>0</v>
      </c>
      <c r="AG9397" s="21">
        <v>0</v>
      </c>
      <c r="AH9397" s="21">
        <f t="shared" si="197"/>
        <v>256</v>
      </c>
      <c r="AI9397" s="21"/>
      <c r="AJ9397" s="21" t="s">
        <v>51</v>
      </c>
      <c r="AK9397" s="21" t="s">
        <v>95</v>
      </c>
      <c r="AL9397" s="21" t="s">
        <v>2292</v>
      </c>
      <c r="AM9397" s="21" t="s">
        <v>3048</v>
      </c>
      <c r="AN9397" s="21">
        <v>-122.419344633333</v>
      </c>
      <c r="AO9397" s="21">
        <v>37.789391583333298</v>
      </c>
      <c r="AP9397" s="21" t="s">
        <v>1915</v>
      </c>
    </row>
    <row r="9398" spans="1:42">
      <c r="A9398" s="20">
        <v>43850</v>
      </c>
      <c r="B9398" s="21">
        <v>1</v>
      </c>
      <c r="C9398" s="21">
        <v>231</v>
      </c>
      <c r="D9398" s="21">
        <v>14468</v>
      </c>
      <c r="E9398" s="21" t="s">
        <v>112</v>
      </c>
      <c r="F9398" s="21" t="s">
        <v>104</v>
      </c>
      <c r="G9398" s="21">
        <v>2</v>
      </c>
      <c r="H9398" s="21">
        <v>29</v>
      </c>
      <c r="I9398" s="21" t="s">
        <v>3013</v>
      </c>
      <c r="J9398" s="21"/>
      <c r="K9398" s="21" t="s">
        <v>1963</v>
      </c>
      <c r="L9398" s="21"/>
      <c r="M9398" s="21"/>
      <c r="N9398" s="21" t="s">
        <v>44</v>
      </c>
      <c r="O9398" s="21">
        <f>60+60+36</f>
        <v>156</v>
      </c>
      <c r="P9398" s="21"/>
      <c r="Q9398" s="21">
        <f t="shared" si="196"/>
        <v>2</v>
      </c>
      <c r="R9398" s="21">
        <v>1</v>
      </c>
      <c r="S9398" s="21">
        <v>0</v>
      </c>
      <c r="T9398" s="21">
        <v>0</v>
      </c>
      <c r="U9398" s="21">
        <v>0</v>
      </c>
      <c r="V9398" s="21">
        <v>0</v>
      </c>
      <c r="W9398" s="21">
        <v>2</v>
      </c>
      <c r="X9398" s="21">
        <v>0</v>
      </c>
      <c r="Y9398" s="21">
        <v>0</v>
      </c>
      <c r="Z9398" s="21">
        <v>0</v>
      </c>
      <c r="AA9398" s="21">
        <v>0</v>
      </c>
      <c r="AB9398" s="21">
        <v>0</v>
      </c>
      <c r="AC9398" s="21">
        <v>0</v>
      </c>
      <c r="AD9398" s="21">
        <v>0</v>
      </c>
      <c r="AE9398" s="21">
        <v>0</v>
      </c>
      <c r="AF9398" s="21">
        <v>0</v>
      </c>
      <c r="AG9398" s="21">
        <v>0</v>
      </c>
      <c r="AH9398" s="21">
        <f t="shared" si="197"/>
        <v>192</v>
      </c>
      <c r="AI9398" s="21"/>
      <c r="AJ9398" s="21"/>
      <c r="AK9398" s="21"/>
      <c r="AL9398" s="21" t="s">
        <v>2091</v>
      </c>
      <c r="AM9398" s="21" t="s">
        <v>3049</v>
      </c>
      <c r="AN9398" s="21">
        <v>-122.41999695</v>
      </c>
      <c r="AO9398" s="21">
        <v>37.789277883333298</v>
      </c>
      <c r="AP9398" s="21" t="s">
        <v>1915</v>
      </c>
    </row>
    <row r="9399" spans="1:42">
      <c r="A9399" s="20">
        <v>43850</v>
      </c>
      <c r="B9399" s="21">
        <v>1</v>
      </c>
      <c r="C9399" s="21">
        <v>231</v>
      </c>
      <c r="D9399" s="21">
        <v>14468</v>
      </c>
      <c r="E9399" s="21" t="s">
        <v>112</v>
      </c>
      <c r="F9399" s="21" t="s">
        <v>104</v>
      </c>
      <c r="G9399" s="21">
        <v>2</v>
      </c>
      <c r="H9399" s="21">
        <v>30</v>
      </c>
      <c r="I9399" s="21" t="s">
        <v>3005</v>
      </c>
      <c r="J9399" s="21"/>
      <c r="K9399" s="21" t="s">
        <v>414</v>
      </c>
      <c r="L9399" s="21"/>
      <c r="M9399" s="21"/>
      <c r="N9399" s="21" t="s">
        <v>44</v>
      </c>
      <c r="O9399" s="21">
        <f>60+60+42</f>
        <v>162</v>
      </c>
      <c r="P9399" s="21"/>
      <c r="Q9399" s="21">
        <f t="shared" si="196"/>
        <v>3</v>
      </c>
      <c r="R9399" s="21">
        <v>1</v>
      </c>
      <c r="S9399" s="21">
        <v>0</v>
      </c>
      <c r="T9399" s="21">
        <v>0</v>
      </c>
      <c r="U9399" s="21">
        <v>0</v>
      </c>
      <c r="V9399" s="21">
        <v>1</v>
      </c>
      <c r="W9399" s="21">
        <v>2</v>
      </c>
      <c r="X9399" s="21">
        <v>0</v>
      </c>
      <c r="Y9399" s="21">
        <v>0</v>
      </c>
      <c r="Z9399" s="21">
        <v>0</v>
      </c>
      <c r="AA9399" s="21">
        <v>0</v>
      </c>
      <c r="AB9399" s="21">
        <v>0</v>
      </c>
      <c r="AC9399" s="21">
        <v>0</v>
      </c>
      <c r="AD9399" s="21">
        <v>0</v>
      </c>
      <c r="AE9399" s="21">
        <v>0</v>
      </c>
      <c r="AF9399" s="21">
        <v>0</v>
      </c>
      <c r="AG9399" s="21">
        <v>0</v>
      </c>
      <c r="AH9399" s="21">
        <f t="shared" si="197"/>
        <v>256</v>
      </c>
      <c r="AI9399" s="21"/>
      <c r="AJ9399" s="21" t="s">
        <v>54</v>
      </c>
      <c r="AK9399" s="21" t="s">
        <v>52</v>
      </c>
      <c r="AL9399" s="21"/>
      <c r="AM9399" s="21" t="s">
        <v>3050</v>
      </c>
      <c r="AN9399" s="21">
        <v>-122.420932733333</v>
      </c>
      <c r="AO9399" s="21">
        <v>37.788359499999999</v>
      </c>
      <c r="AP9399" s="21" t="s">
        <v>1915</v>
      </c>
    </row>
    <row r="9400" spans="1:42">
      <c r="A9400" s="20">
        <v>43850</v>
      </c>
      <c r="B9400" s="21">
        <v>1</v>
      </c>
      <c r="C9400" s="21">
        <v>231</v>
      </c>
      <c r="D9400" s="21">
        <v>14468</v>
      </c>
      <c r="E9400" s="21" t="s">
        <v>112</v>
      </c>
      <c r="F9400" s="21" t="s">
        <v>104</v>
      </c>
      <c r="G9400" s="21">
        <v>2</v>
      </c>
      <c r="H9400" s="21">
        <v>31</v>
      </c>
      <c r="I9400" s="21" t="s">
        <v>3051</v>
      </c>
      <c r="J9400" s="21"/>
      <c r="K9400" s="21" t="s">
        <v>3052</v>
      </c>
      <c r="L9400" s="21"/>
      <c r="M9400" s="21"/>
      <c r="N9400" s="21" t="s">
        <v>44</v>
      </c>
      <c r="O9400" s="21">
        <f>60+60+60+14</f>
        <v>194</v>
      </c>
      <c r="P9400" s="21"/>
      <c r="Q9400" s="21">
        <f t="shared" si="196"/>
        <v>2</v>
      </c>
      <c r="R9400" s="21">
        <v>1</v>
      </c>
      <c r="S9400" s="21">
        <v>0</v>
      </c>
      <c r="T9400" s="21">
        <v>0</v>
      </c>
      <c r="U9400" s="21">
        <v>0</v>
      </c>
      <c r="V9400" s="21">
        <v>0</v>
      </c>
      <c r="W9400" s="21">
        <v>2</v>
      </c>
      <c r="X9400" s="21">
        <v>0</v>
      </c>
      <c r="Y9400" s="21">
        <v>0</v>
      </c>
      <c r="Z9400" s="21">
        <v>0</v>
      </c>
      <c r="AA9400" s="21">
        <v>0</v>
      </c>
      <c r="AB9400" s="21">
        <v>0</v>
      </c>
      <c r="AC9400" s="21">
        <v>0</v>
      </c>
      <c r="AD9400" s="21">
        <v>0</v>
      </c>
      <c r="AE9400" s="21">
        <v>0</v>
      </c>
      <c r="AF9400" s="21">
        <v>0</v>
      </c>
      <c r="AG9400" s="21">
        <v>0</v>
      </c>
      <c r="AH9400" s="21">
        <f t="shared" si="197"/>
        <v>192</v>
      </c>
      <c r="AI9400" s="21"/>
      <c r="AJ9400" s="21" t="s">
        <v>54</v>
      </c>
      <c r="AK9400" s="21" t="s">
        <v>52</v>
      </c>
      <c r="AL9400" s="21" t="s">
        <v>3053</v>
      </c>
      <c r="AM9400" s="21" t="s">
        <v>3054</v>
      </c>
      <c r="AN9400" s="21">
        <v>-122.4206772</v>
      </c>
      <c r="AO9400" s="21">
        <v>37.7882145833333</v>
      </c>
      <c r="AP9400" s="21" t="s">
        <v>1915</v>
      </c>
    </row>
    <row r="9401" spans="1:42">
      <c r="A9401" s="20">
        <v>43850</v>
      </c>
      <c r="B9401" s="21">
        <v>1</v>
      </c>
      <c r="C9401" s="21">
        <v>231</v>
      </c>
      <c r="D9401" s="21">
        <v>14468</v>
      </c>
      <c r="E9401" s="21" t="s">
        <v>112</v>
      </c>
      <c r="F9401" s="21" t="s">
        <v>104</v>
      </c>
      <c r="G9401" s="21">
        <v>2</v>
      </c>
      <c r="H9401" s="21">
        <v>32</v>
      </c>
      <c r="I9401" s="21" t="s">
        <v>3055</v>
      </c>
      <c r="J9401" s="21"/>
      <c r="K9401" s="21" t="s">
        <v>3056</v>
      </c>
      <c r="L9401" s="21"/>
      <c r="M9401" s="21"/>
      <c r="N9401" s="21" t="s">
        <v>44</v>
      </c>
      <c r="O9401" s="21">
        <f>60+60+21</f>
        <v>141</v>
      </c>
      <c r="P9401" s="21"/>
      <c r="Q9401" s="21">
        <f t="shared" si="196"/>
        <v>1</v>
      </c>
      <c r="R9401" s="21">
        <v>1</v>
      </c>
      <c r="S9401" s="21">
        <v>0</v>
      </c>
      <c r="T9401" s="21">
        <v>0</v>
      </c>
      <c r="U9401" s="21">
        <v>0</v>
      </c>
      <c r="V9401" s="21">
        <v>1</v>
      </c>
      <c r="W9401" s="21">
        <v>0</v>
      </c>
      <c r="X9401" s="21">
        <v>0</v>
      </c>
      <c r="Y9401" s="21">
        <v>0</v>
      </c>
      <c r="Z9401" s="21">
        <v>0</v>
      </c>
      <c r="AA9401" s="21">
        <v>0</v>
      </c>
      <c r="AB9401" s="21">
        <v>0</v>
      </c>
      <c r="AC9401" s="21">
        <v>0</v>
      </c>
      <c r="AD9401" s="21">
        <v>0</v>
      </c>
      <c r="AE9401" s="21">
        <v>0</v>
      </c>
      <c r="AF9401" s="21">
        <v>0</v>
      </c>
      <c r="AG9401" s="21">
        <v>0</v>
      </c>
      <c r="AH9401" s="21">
        <f t="shared" si="197"/>
        <v>64</v>
      </c>
      <c r="AI9401" s="21"/>
      <c r="AJ9401" s="21" t="s">
        <v>51</v>
      </c>
      <c r="AK9401" s="21" t="s">
        <v>95</v>
      </c>
      <c r="AL9401" s="21" t="s">
        <v>1937</v>
      </c>
      <c r="AM9401" s="21" t="s">
        <v>3057</v>
      </c>
      <c r="AN9401" s="21">
        <v>-122.419588116667</v>
      </c>
      <c r="AO9401" s="21">
        <v>37.788355733333297</v>
      </c>
      <c r="AP9401" s="21" t="s">
        <v>1915</v>
      </c>
    </row>
    <row r="9402" spans="1:42">
      <c r="A9402" s="20">
        <v>43850</v>
      </c>
      <c r="B9402" s="21">
        <v>1</v>
      </c>
      <c r="C9402" s="21">
        <v>231</v>
      </c>
      <c r="D9402" s="21">
        <v>14468</v>
      </c>
      <c r="E9402" s="21" t="s">
        <v>112</v>
      </c>
      <c r="F9402" s="21" t="s">
        <v>104</v>
      </c>
      <c r="G9402" s="21">
        <v>2</v>
      </c>
      <c r="H9402" s="21">
        <v>33</v>
      </c>
      <c r="I9402" s="21" t="s">
        <v>3058</v>
      </c>
      <c r="J9402" s="21"/>
      <c r="K9402" s="21" t="s">
        <v>49</v>
      </c>
      <c r="L9402" s="21"/>
      <c r="M9402" s="21"/>
      <c r="N9402" s="21" t="s">
        <v>44</v>
      </c>
      <c r="O9402" s="21">
        <f>60+60+60+60+60+60+60+13</f>
        <v>433</v>
      </c>
      <c r="P9402" s="21"/>
      <c r="Q9402" s="21">
        <f t="shared" si="196"/>
        <v>3</v>
      </c>
      <c r="R9402" s="21">
        <v>1</v>
      </c>
      <c r="S9402" s="21">
        <v>0</v>
      </c>
      <c r="T9402" s="21">
        <v>0</v>
      </c>
      <c r="U9402" s="21">
        <v>0</v>
      </c>
      <c r="V9402" s="21">
        <v>0</v>
      </c>
      <c r="W9402" s="21">
        <v>3</v>
      </c>
      <c r="X9402" s="21">
        <v>0</v>
      </c>
      <c r="Y9402" s="21">
        <v>0</v>
      </c>
      <c r="Z9402" s="21">
        <v>0</v>
      </c>
      <c r="AA9402" s="21">
        <v>0</v>
      </c>
      <c r="AB9402" s="21">
        <v>0</v>
      </c>
      <c r="AC9402" s="21">
        <v>0</v>
      </c>
      <c r="AD9402" s="21">
        <v>0</v>
      </c>
      <c r="AE9402" s="21">
        <v>0</v>
      </c>
      <c r="AF9402" s="21">
        <v>0</v>
      </c>
      <c r="AG9402" s="21">
        <v>0</v>
      </c>
      <c r="AH9402" s="21">
        <f t="shared" si="197"/>
        <v>288</v>
      </c>
      <c r="AI9402" s="21"/>
      <c r="AJ9402" s="21" t="s">
        <v>51</v>
      </c>
      <c r="AK9402" s="21" t="s">
        <v>95</v>
      </c>
      <c r="AL9402" s="21" t="s">
        <v>3059</v>
      </c>
      <c r="AM9402" s="21" t="s">
        <v>3060</v>
      </c>
      <c r="AN9402" s="21">
        <v>-122.419577933333</v>
      </c>
      <c r="AO9402" s="21">
        <v>37.788361083333299</v>
      </c>
      <c r="AP9402" s="21" t="s">
        <v>1915</v>
      </c>
    </row>
    <row r="9403" spans="1:42">
      <c r="A9403" s="20">
        <v>43850</v>
      </c>
      <c r="B9403" s="21">
        <v>1</v>
      </c>
      <c r="C9403" s="21">
        <v>231</v>
      </c>
      <c r="D9403" s="21">
        <v>14468</v>
      </c>
      <c r="E9403" s="21" t="s">
        <v>112</v>
      </c>
      <c r="F9403" s="21" t="s">
        <v>104</v>
      </c>
      <c r="G9403" s="21">
        <v>2</v>
      </c>
      <c r="H9403" s="21">
        <v>34</v>
      </c>
      <c r="I9403" s="21" t="s">
        <v>3055</v>
      </c>
      <c r="J9403" s="21"/>
      <c r="K9403" s="21" t="s">
        <v>3056</v>
      </c>
      <c r="L9403" s="21"/>
      <c r="M9403" s="21"/>
      <c r="N9403" s="21" t="s">
        <v>44</v>
      </c>
      <c r="O9403" s="21">
        <f>60+60+41</f>
        <v>161</v>
      </c>
      <c r="P9403" s="21"/>
      <c r="Q9403" s="21">
        <f t="shared" si="196"/>
        <v>3</v>
      </c>
      <c r="R9403" s="21">
        <v>1</v>
      </c>
      <c r="S9403" s="21">
        <v>0</v>
      </c>
      <c r="T9403" s="21">
        <v>0</v>
      </c>
      <c r="U9403" s="21">
        <v>0</v>
      </c>
      <c r="V9403" s="21">
        <v>1</v>
      </c>
      <c r="W9403" s="21">
        <v>2</v>
      </c>
      <c r="X9403" s="21">
        <v>0</v>
      </c>
      <c r="Y9403" s="21">
        <v>0</v>
      </c>
      <c r="Z9403" s="21">
        <v>0</v>
      </c>
      <c r="AA9403" s="21">
        <v>0</v>
      </c>
      <c r="AB9403" s="21">
        <v>0</v>
      </c>
      <c r="AC9403" s="21">
        <v>0</v>
      </c>
      <c r="AD9403" s="21">
        <v>0</v>
      </c>
      <c r="AE9403" s="21">
        <v>0</v>
      </c>
      <c r="AF9403" s="21">
        <v>0</v>
      </c>
      <c r="AG9403" s="21">
        <v>0</v>
      </c>
      <c r="AH9403" s="21">
        <f t="shared" si="197"/>
        <v>256</v>
      </c>
      <c r="AI9403" s="21"/>
      <c r="AJ9403" s="21" t="s">
        <v>51</v>
      </c>
      <c r="AK9403" s="21" t="s">
        <v>95</v>
      </c>
      <c r="AL9403" s="21" t="s">
        <v>3061</v>
      </c>
      <c r="AM9403" s="21" t="s">
        <v>3062</v>
      </c>
      <c r="AN9403" s="21">
        <v>-122.419457633333</v>
      </c>
      <c r="AO9403" s="21">
        <v>37.788356666666601</v>
      </c>
      <c r="AP9403" s="21" t="s">
        <v>1915</v>
      </c>
    </row>
    <row r="9404" spans="1:42">
      <c r="A9404" s="20">
        <v>43850</v>
      </c>
      <c r="B9404" s="21">
        <v>1</v>
      </c>
      <c r="C9404" s="21">
        <v>231</v>
      </c>
      <c r="D9404" s="21">
        <v>14468</v>
      </c>
      <c r="E9404" s="21" t="s">
        <v>112</v>
      </c>
      <c r="F9404" s="21" t="s">
        <v>104</v>
      </c>
      <c r="G9404" s="21">
        <v>2</v>
      </c>
      <c r="H9404" s="21">
        <v>35</v>
      </c>
      <c r="I9404" s="21" t="s">
        <v>3055</v>
      </c>
      <c r="J9404" s="21"/>
      <c r="K9404" s="21" t="s">
        <v>3056</v>
      </c>
      <c r="L9404" s="21"/>
      <c r="M9404" s="21"/>
      <c r="N9404" s="21" t="s">
        <v>44</v>
      </c>
      <c r="O9404" s="21">
        <f>60+60+60+36</f>
        <v>216</v>
      </c>
      <c r="P9404" s="21"/>
      <c r="Q9404" s="21">
        <f t="shared" si="196"/>
        <v>2</v>
      </c>
      <c r="R9404" s="21">
        <v>1</v>
      </c>
      <c r="S9404" s="21">
        <v>0</v>
      </c>
      <c r="T9404" s="21">
        <v>0</v>
      </c>
      <c r="U9404" s="21">
        <v>1</v>
      </c>
      <c r="V9404" s="21">
        <v>0</v>
      </c>
      <c r="W9404" s="21">
        <v>1</v>
      </c>
      <c r="X9404" s="21">
        <v>0</v>
      </c>
      <c r="Y9404" s="21">
        <v>0</v>
      </c>
      <c r="Z9404" s="21">
        <v>0</v>
      </c>
      <c r="AA9404" s="21">
        <v>0</v>
      </c>
      <c r="AB9404" s="21">
        <v>0</v>
      </c>
      <c r="AC9404" s="21">
        <v>0</v>
      </c>
      <c r="AD9404" s="21">
        <v>0</v>
      </c>
      <c r="AE9404" s="21">
        <v>0</v>
      </c>
      <c r="AF9404" s="21">
        <v>0</v>
      </c>
      <c r="AG9404" s="21">
        <v>0</v>
      </c>
      <c r="AH9404" s="21">
        <f t="shared" si="197"/>
        <v>128</v>
      </c>
      <c r="AI9404" s="21"/>
      <c r="AJ9404" s="21" t="s">
        <v>51</v>
      </c>
      <c r="AK9404" s="21" t="s">
        <v>95</v>
      </c>
      <c r="AL9404" s="21" t="s">
        <v>587</v>
      </c>
      <c r="AM9404" s="21" t="s">
        <v>3063</v>
      </c>
      <c r="AN9404" s="21">
        <v>-122.41930075</v>
      </c>
      <c r="AO9404" s="21">
        <v>37.788355166666598</v>
      </c>
      <c r="AP9404" s="21" t="s">
        <v>1915</v>
      </c>
    </row>
    <row r="9405" spans="1:42">
      <c r="A9405" s="20">
        <v>43850</v>
      </c>
      <c r="B9405" s="21">
        <v>1</v>
      </c>
      <c r="C9405" s="21">
        <v>231</v>
      </c>
      <c r="D9405" s="21">
        <v>14468</v>
      </c>
      <c r="E9405" s="21" t="s">
        <v>112</v>
      </c>
      <c r="F9405" s="21" t="s">
        <v>104</v>
      </c>
      <c r="G9405" s="21">
        <v>2</v>
      </c>
      <c r="H9405" s="21">
        <v>36</v>
      </c>
      <c r="I9405" s="21" t="s">
        <v>3055</v>
      </c>
      <c r="J9405" s="21"/>
      <c r="K9405" s="21" t="s">
        <v>3056</v>
      </c>
      <c r="L9405" s="21"/>
      <c r="M9405" s="21"/>
      <c r="N9405" s="21" t="s">
        <v>44</v>
      </c>
      <c r="O9405" s="21">
        <f>60+60+20</f>
        <v>140</v>
      </c>
      <c r="P9405" s="21"/>
      <c r="Q9405" s="21">
        <f t="shared" si="196"/>
        <v>4</v>
      </c>
      <c r="R9405" s="21">
        <v>1</v>
      </c>
      <c r="S9405" s="21">
        <v>0</v>
      </c>
      <c r="T9405" s="21">
        <v>0</v>
      </c>
      <c r="U9405" s="21">
        <v>0</v>
      </c>
      <c r="V9405" s="21">
        <v>4</v>
      </c>
      <c r="W9405" s="21">
        <v>0</v>
      </c>
      <c r="X9405" s="21">
        <v>0</v>
      </c>
      <c r="Y9405" s="21">
        <v>0</v>
      </c>
      <c r="Z9405" s="21">
        <v>0</v>
      </c>
      <c r="AA9405" s="21">
        <v>0</v>
      </c>
      <c r="AB9405" s="21">
        <v>0</v>
      </c>
      <c r="AC9405" s="21">
        <v>0</v>
      </c>
      <c r="AD9405" s="21">
        <v>0</v>
      </c>
      <c r="AE9405" s="21">
        <v>0</v>
      </c>
      <c r="AF9405" s="21">
        <v>0</v>
      </c>
      <c r="AG9405" s="21">
        <v>0</v>
      </c>
      <c r="AH9405" s="21">
        <f t="shared" si="197"/>
        <v>256</v>
      </c>
      <c r="AI9405" s="21"/>
      <c r="AJ9405" s="21" t="s">
        <v>51</v>
      </c>
      <c r="AK9405" s="21" t="s">
        <v>95</v>
      </c>
      <c r="AL9405" s="21" t="s">
        <v>3064</v>
      </c>
      <c r="AM9405" s="21" t="s">
        <v>3065</v>
      </c>
      <c r="AN9405" s="21">
        <v>-122.419130083333</v>
      </c>
      <c r="AO9405" s="21">
        <v>37.788420933333299</v>
      </c>
      <c r="AP9405" s="21" t="s">
        <v>1915</v>
      </c>
    </row>
    <row r="9406" spans="1:42">
      <c r="A9406" s="20">
        <v>43850</v>
      </c>
      <c r="B9406" s="21">
        <v>1</v>
      </c>
      <c r="C9406" s="21">
        <v>231</v>
      </c>
      <c r="D9406" s="21">
        <v>14468</v>
      </c>
      <c r="E9406" s="21" t="s">
        <v>112</v>
      </c>
      <c r="F9406" s="21" t="s">
        <v>104</v>
      </c>
      <c r="G9406" s="21">
        <v>2</v>
      </c>
      <c r="H9406" s="21">
        <v>37</v>
      </c>
      <c r="I9406" s="21" t="s">
        <v>3000</v>
      </c>
      <c r="J9406" s="21"/>
      <c r="K9406" s="21" t="s">
        <v>49</v>
      </c>
      <c r="L9406" s="21" t="s">
        <v>114</v>
      </c>
      <c r="M9406" s="21"/>
      <c r="N9406" s="21" t="s">
        <v>40</v>
      </c>
      <c r="O9406" s="21">
        <f>60+60+32</f>
        <v>152</v>
      </c>
      <c r="P9406" s="21"/>
      <c r="Q9406" s="21">
        <f t="shared" si="196"/>
        <v>4</v>
      </c>
      <c r="R9406" s="21">
        <v>1</v>
      </c>
      <c r="S9406" s="21">
        <v>0</v>
      </c>
      <c r="T9406" s="21">
        <v>0</v>
      </c>
      <c r="U9406" s="21">
        <v>0</v>
      </c>
      <c r="V9406" s="21">
        <v>0</v>
      </c>
      <c r="W9406" s="21">
        <v>4</v>
      </c>
      <c r="X9406" s="21">
        <v>0</v>
      </c>
      <c r="Y9406" s="21">
        <v>0</v>
      </c>
      <c r="Z9406" s="21">
        <v>0</v>
      </c>
      <c r="AA9406" s="21">
        <v>0</v>
      </c>
      <c r="AB9406" s="21">
        <v>0</v>
      </c>
      <c r="AC9406" s="21">
        <v>0</v>
      </c>
      <c r="AD9406" s="21">
        <v>0</v>
      </c>
      <c r="AE9406" s="21">
        <v>0</v>
      </c>
      <c r="AF9406" s="21">
        <v>0</v>
      </c>
      <c r="AG9406" s="21">
        <v>0</v>
      </c>
      <c r="AH9406" s="21">
        <f t="shared" si="197"/>
        <v>384</v>
      </c>
      <c r="AI9406" s="21"/>
      <c r="AJ9406" s="21" t="s">
        <v>51</v>
      </c>
      <c r="AK9406" s="21" t="s">
        <v>95</v>
      </c>
      <c r="AL9406" s="21" t="s">
        <v>3066</v>
      </c>
      <c r="AM9406" s="21" t="s">
        <v>3067</v>
      </c>
      <c r="AN9406" s="21">
        <v>-122.418719516667</v>
      </c>
      <c r="AO9406" s="21">
        <v>37.787986116666701</v>
      </c>
      <c r="AP9406" s="21" t="s">
        <v>1915</v>
      </c>
    </row>
    <row r="9407" spans="1:42">
      <c r="A9407" s="20">
        <v>43850</v>
      </c>
      <c r="B9407" s="21">
        <v>1</v>
      </c>
      <c r="C9407" s="21">
        <v>231</v>
      </c>
      <c r="D9407" s="21">
        <v>14468</v>
      </c>
      <c r="E9407" s="21" t="s">
        <v>112</v>
      </c>
      <c r="F9407" s="21" t="s">
        <v>104</v>
      </c>
      <c r="G9407" s="21">
        <v>2</v>
      </c>
      <c r="H9407" s="21">
        <v>38</v>
      </c>
      <c r="I9407" s="21" t="s">
        <v>3068</v>
      </c>
      <c r="J9407" s="21"/>
      <c r="K9407" s="21" t="s">
        <v>49</v>
      </c>
      <c r="L9407" s="21"/>
      <c r="M9407" s="21"/>
      <c r="N9407" s="21" t="s">
        <v>44</v>
      </c>
      <c r="O9407" s="21">
        <f>60+60+60+60+46</f>
        <v>286</v>
      </c>
      <c r="P9407" s="21"/>
      <c r="Q9407" s="21">
        <f t="shared" si="196"/>
        <v>4</v>
      </c>
      <c r="R9407" s="21">
        <v>1</v>
      </c>
      <c r="S9407" s="21">
        <v>0</v>
      </c>
      <c r="T9407" s="21">
        <v>0</v>
      </c>
      <c r="U9407" s="21">
        <v>0</v>
      </c>
      <c r="V9407" s="21">
        <v>0</v>
      </c>
      <c r="W9407" s="21">
        <v>4</v>
      </c>
      <c r="X9407" s="21">
        <v>0</v>
      </c>
      <c r="Y9407" s="21">
        <v>0</v>
      </c>
      <c r="Z9407" s="21">
        <v>0</v>
      </c>
      <c r="AA9407" s="21">
        <v>0</v>
      </c>
      <c r="AB9407" s="21">
        <v>0</v>
      </c>
      <c r="AC9407" s="21">
        <v>0</v>
      </c>
      <c r="AD9407" s="21">
        <v>0</v>
      </c>
      <c r="AE9407" s="21">
        <v>0</v>
      </c>
      <c r="AF9407" s="21">
        <v>0</v>
      </c>
      <c r="AG9407" s="21">
        <v>0</v>
      </c>
      <c r="AH9407" s="21">
        <f t="shared" si="197"/>
        <v>384</v>
      </c>
      <c r="AI9407" s="21"/>
      <c r="AJ9407" s="21" t="s">
        <v>51</v>
      </c>
      <c r="AK9407" s="21" t="s">
        <v>52</v>
      </c>
      <c r="AL9407" s="21"/>
      <c r="AM9407" s="21" t="s">
        <v>3069</v>
      </c>
      <c r="AN9407" s="21">
        <v>-122.4189928</v>
      </c>
      <c r="AO9407" s="21">
        <v>37.7879847166666</v>
      </c>
      <c r="AP9407" s="21" t="s">
        <v>1915</v>
      </c>
    </row>
    <row r="9408" spans="1:42">
      <c r="A9408" s="20">
        <v>43850</v>
      </c>
      <c r="B9408" s="21">
        <v>1</v>
      </c>
      <c r="C9408" s="21">
        <v>231</v>
      </c>
      <c r="D9408" s="21">
        <v>14468</v>
      </c>
      <c r="E9408" s="21" t="s">
        <v>112</v>
      </c>
      <c r="F9408" s="21" t="s">
        <v>104</v>
      </c>
      <c r="G9408" s="21">
        <v>2</v>
      </c>
      <c r="H9408" s="21">
        <v>39</v>
      </c>
      <c r="I9408" s="21" t="s">
        <v>3000</v>
      </c>
      <c r="J9408" s="21"/>
      <c r="K9408" s="21" t="s">
        <v>49</v>
      </c>
      <c r="L9408" s="21"/>
      <c r="M9408" s="21"/>
      <c r="N9408" s="21" t="s">
        <v>40</v>
      </c>
      <c r="O9408" s="21">
        <f>60+15</f>
        <v>75</v>
      </c>
      <c r="P9408" s="21"/>
      <c r="Q9408" s="21">
        <f t="shared" si="196"/>
        <v>2</v>
      </c>
      <c r="R9408" s="21">
        <v>1</v>
      </c>
      <c r="S9408" s="21">
        <v>0</v>
      </c>
      <c r="T9408" s="21">
        <v>0</v>
      </c>
      <c r="U9408" s="21">
        <v>1</v>
      </c>
      <c r="V9408" s="21">
        <v>1</v>
      </c>
      <c r="W9408" s="21">
        <v>0</v>
      </c>
      <c r="X9408" s="21">
        <v>0</v>
      </c>
      <c r="Y9408" s="21">
        <v>0</v>
      </c>
      <c r="Z9408" s="21">
        <v>0</v>
      </c>
      <c r="AA9408" s="21">
        <v>0</v>
      </c>
      <c r="AB9408" s="21">
        <v>0</v>
      </c>
      <c r="AC9408" s="21">
        <v>0</v>
      </c>
      <c r="AD9408" s="21">
        <v>0</v>
      </c>
      <c r="AE9408" s="21">
        <v>0</v>
      </c>
      <c r="AF9408" s="21">
        <v>0</v>
      </c>
      <c r="AG9408" s="21">
        <v>1</v>
      </c>
      <c r="AH9408" s="21">
        <f t="shared" si="197"/>
        <v>96</v>
      </c>
      <c r="AI9408" s="21"/>
      <c r="AJ9408" s="21" t="s">
        <v>51</v>
      </c>
      <c r="AK9408" s="21" t="s">
        <v>52</v>
      </c>
      <c r="AL9408" s="21" t="s">
        <v>1954</v>
      </c>
      <c r="AM9408" s="21" t="s">
        <v>3070</v>
      </c>
      <c r="AN9408" s="21">
        <v>-122.41920493333301</v>
      </c>
      <c r="AO9408" s="21">
        <v>37.787937550000002</v>
      </c>
      <c r="AP9408" s="21" t="s">
        <v>1915</v>
      </c>
    </row>
    <row r="9409" spans="1:42">
      <c r="A9409" s="20">
        <v>43850</v>
      </c>
      <c r="B9409" s="21">
        <v>1</v>
      </c>
      <c r="C9409" s="21">
        <v>231</v>
      </c>
      <c r="D9409" s="21">
        <v>14468</v>
      </c>
      <c r="E9409" s="21" t="s">
        <v>112</v>
      </c>
      <c r="F9409" s="21" t="s">
        <v>104</v>
      </c>
      <c r="G9409" s="21">
        <v>2</v>
      </c>
      <c r="H9409" s="21">
        <v>40</v>
      </c>
      <c r="I9409" s="21" t="s">
        <v>3000</v>
      </c>
      <c r="J9409" s="21"/>
      <c r="K9409" s="21" t="s">
        <v>49</v>
      </c>
      <c r="L9409" s="21" t="s">
        <v>114</v>
      </c>
      <c r="M9409" s="21"/>
      <c r="N9409" s="21" t="s">
        <v>40</v>
      </c>
      <c r="O9409" s="21">
        <f>60+11</f>
        <v>71</v>
      </c>
      <c r="P9409" s="21"/>
      <c r="Q9409" s="21">
        <f t="shared" si="196"/>
        <v>1</v>
      </c>
      <c r="R9409" s="21">
        <v>1</v>
      </c>
      <c r="S9409" s="21">
        <v>0</v>
      </c>
      <c r="T9409" s="21">
        <v>0</v>
      </c>
      <c r="U9409" s="21">
        <v>0</v>
      </c>
      <c r="V9409" s="21">
        <v>0</v>
      </c>
      <c r="W9409" s="21">
        <v>1</v>
      </c>
      <c r="X9409" s="21">
        <v>0</v>
      </c>
      <c r="Y9409" s="21">
        <v>0</v>
      </c>
      <c r="Z9409" s="21">
        <v>0</v>
      </c>
      <c r="AA9409" s="21">
        <v>0</v>
      </c>
      <c r="AB9409" s="21">
        <v>0</v>
      </c>
      <c r="AC9409" s="21">
        <v>0</v>
      </c>
      <c r="AD9409" s="21">
        <v>0</v>
      </c>
      <c r="AE9409" s="21">
        <v>0</v>
      </c>
      <c r="AF9409" s="21">
        <v>0</v>
      </c>
      <c r="AG9409" s="21">
        <v>0</v>
      </c>
      <c r="AH9409" s="21">
        <f t="shared" si="197"/>
        <v>96</v>
      </c>
      <c r="AI9409" s="21"/>
      <c r="AJ9409" s="21" t="s">
        <v>51</v>
      </c>
      <c r="AK9409" s="21" t="s">
        <v>52</v>
      </c>
      <c r="AL9409" s="21"/>
      <c r="AM9409" s="21" t="s">
        <v>3071</v>
      </c>
      <c r="AN9409" s="21">
        <v>-122.419846366667</v>
      </c>
      <c r="AO9409" s="21">
        <v>37.7879054666667</v>
      </c>
      <c r="AP9409" s="21" t="s">
        <v>1915</v>
      </c>
    </row>
    <row r="9410" spans="1:42">
      <c r="A9410" s="20">
        <v>43850</v>
      </c>
      <c r="B9410" s="21">
        <v>1</v>
      </c>
      <c r="C9410" s="21">
        <v>231</v>
      </c>
      <c r="D9410" s="21">
        <v>14468</v>
      </c>
      <c r="E9410" s="21" t="s">
        <v>112</v>
      </c>
      <c r="F9410" s="21" t="s">
        <v>104</v>
      </c>
      <c r="G9410" s="21">
        <v>2</v>
      </c>
      <c r="H9410" s="21">
        <v>41</v>
      </c>
      <c r="I9410" s="21" t="s">
        <v>3013</v>
      </c>
      <c r="J9410" s="21"/>
      <c r="K9410" s="21" t="s">
        <v>69</v>
      </c>
      <c r="L9410" s="21"/>
      <c r="M9410" s="21" t="s">
        <v>6618</v>
      </c>
      <c r="N9410" s="21" t="s">
        <v>40</v>
      </c>
      <c r="O9410" s="21">
        <f>60+19</f>
        <v>79</v>
      </c>
      <c r="P9410" s="21"/>
      <c r="Q9410" s="21">
        <f t="shared" si="196"/>
        <v>1</v>
      </c>
      <c r="R9410" s="21">
        <v>1</v>
      </c>
      <c r="S9410" s="21">
        <v>0</v>
      </c>
      <c r="T9410" s="21">
        <v>0</v>
      </c>
      <c r="U9410" s="21">
        <v>1</v>
      </c>
      <c r="V9410" s="21">
        <v>0</v>
      </c>
      <c r="W9410" s="21">
        <v>0</v>
      </c>
      <c r="X9410" s="21">
        <v>0</v>
      </c>
      <c r="Y9410" s="21">
        <v>0</v>
      </c>
      <c r="Z9410" s="21">
        <v>0</v>
      </c>
      <c r="AA9410" s="21">
        <v>0</v>
      </c>
      <c r="AB9410" s="21">
        <v>0</v>
      </c>
      <c r="AC9410" s="21">
        <v>0</v>
      </c>
      <c r="AD9410" s="21">
        <v>0</v>
      </c>
      <c r="AE9410" s="21">
        <v>0</v>
      </c>
      <c r="AF9410" s="21">
        <v>0</v>
      </c>
      <c r="AG9410" s="21">
        <v>0</v>
      </c>
      <c r="AH9410" s="21">
        <f t="shared" si="197"/>
        <v>32</v>
      </c>
      <c r="AI9410" s="21"/>
      <c r="AJ9410" s="21" t="s">
        <v>51</v>
      </c>
      <c r="AK9410" s="21" t="s">
        <v>95</v>
      </c>
      <c r="AL9410" s="21" t="s">
        <v>3072</v>
      </c>
      <c r="AM9410" s="21" t="s">
        <v>3073</v>
      </c>
      <c r="AN9410" s="21">
        <v>-122.41895706666701</v>
      </c>
      <c r="AO9410" s="21">
        <v>37.789820266666602</v>
      </c>
      <c r="AP9410" s="21" t="s">
        <v>1915</v>
      </c>
    </row>
    <row r="9411" spans="1:42">
      <c r="A9411" s="20">
        <v>43850</v>
      </c>
      <c r="B9411" s="21">
        <v>1</v>
      </c>
      <c r="C9411" s="21">
        <v>231</v>
      </c>
      <c r="D9411" s="21">
        <v>14468</v>
      </c>
      <c r="E9411" s="21" t="s">
        <v>112</v>
      </c>
      <c r="F9411" s="21" t="s">
        <v>104</v>
      </c>
      <c r="G9411" s="21">
        <v>2</v>
      </c>
      <c r="H9411" s="21">
        <v>42</v>
      </c>
      <c r="I9411" s="21" t="s">
        <v>3074</v>
      </c>
      <c r="J9411" s="21"/>
      <c r="K9411" s="21" t="s">
        <v>420</v>
      </c>
      <c r="L9411" s="21"/>
      <c r="M9411" s="21"/>
      <c r="N9411" s="21" t="s">
        <v>44</v>
      </c>
      <c r="O9411" s="21">
        <f>60+60+10</f>
        <v>130</v>
      </c>
      <c r="P9411" s="21"/>
      <c r="Q9411" s="21">
        <f t="shared" si="196"/>
        <v>1</v>
      </c>
      <c r="R9411" s="21">
        <v>1</v>
      </c>
      <c r="S9411" s="21">
        <v>0</v>
      </c>
      <c r="T9411" s="21">
        <v>0</v>
      </c>
      <c r="U9411" s="21">
        <v>0</v>
      </c>
      <c r="V9411" s="21">
        <v>0</v>
      </c>
      <c r="W9411" s="21">
        <v>1</v>
      </c>
      <c r="X9411" s="21">
        <v>0</v>
      </c>
      <c r="Y9411" s="21">
        <v>0</v>
      </c>
      <c r="Z9411" s="21">
        <v>0</v>
      </c>
      <c r="AA9411" s="21">
        <v>0</v>
      </c>
      <c r="AB9411" s="21">
        <v>0</v>
      </c>
      <c r="AC9411" s="21">
        <v>0</v>
      </c>
      <c r="AD9411" s="21">
        <v>0</v>
      </c>
      <c r="AE9411" s="21">
        <v>0</v>
      </c>
      <c r="AF9411" s="21">
        <v>0</v>
      </c>
      <c r="AG9411" s="21">
        <v>0</v>
      </c>
      <c r="AH9411" s="21">
        <f t="shared" si="197"/>
        <v>96</v>
      </c>
      <c r="AI9411" s="21"/>
      <c r="AJ9411" s="21"/>
      <c r="AK9411" s="21"/>
      <c r="AL9411" s="21"/>
      <c r="AM9411" s="21" t="s">
        <v>3075</v>
      </c>
      <c r="AN9411" s="21">
        <v>-122.4188518</v>
      </c>
      <c r="AO9411" s="21">
        <v>37.790029466666702</v>
      </c>
      <c r="AP9411" s="21" t="s">
        <v>1915</v>
      </c>
    </row>
    <row r="9412" spans="1:42">
      <c r="A9412" s="20">
        <v>43850</v>
      </c>
      <c r="B9412" s="21">
        <v>1</v>
      </c>
      <c r="C9412" s="21">
        <v>231</v>
      </c>
      <c r="D9412" s="21">
        <v>14468</v>
      </c>
      <c r="E9412" s="21" t="s">
        <v>112</v>
      </c>
      <c r="F9412" s="21" t="s">
        <v>104</v>
      </c>
      <c r="G9412" s="21">
        <v>2</v>
      </c>
      <c r="H9412" s="21">
        <v>43</v>
      </c>
      <c r="I9412" s="21" t="s">
        <v>3076</v>
      </c>
      <c r="J9412" s="21"/>
      <c r="K9412" s="21" t="s">
        <v>420</v>
      </c>
      <c r="L9412" s="21" t="s">
        <v>141</v>
      </c>
      <c r="M9412" s="21"/>
      <c r="N9412" s="21" t="s">
        <v>44</v>
      </c>
      <c r="O9412" s="21">
        <f>60+60+43</f>
        <v>163</v>
      </c>
      <c r="P9412" s="21"/>
      <c r="Q9412" s="21">
        <f t="shared" si="196"/>
        <v>2</v>
      </c>
      <c r="R9412" s="21">
        <v>1</v>
      </c>
      <c r="S9412" s="21">
        <v>0</v>
      </c>
      <c r="T9412" s="21">
        <v>0</v>
      </c>
      <c r="U9412" s="21">
        <v>0</v>
      </c>
      <c r="V9412" s="21">
        <v>0</v>
      </c>
      <c r="W9412" s="21">
        <v>2</v>
      </c>
      <c r="X9412" s="21">
        <v>0</v>
      </c>
      <c r="Y9412" s="21">
        <v>0</v>
      </c>
      <c r="Z9412" s="21">
        <v>0</v>
      </c>
      <c r="AA9412" s="21">
        <v>0</v>
      </c>
      <c r="AB9412" s="21">
        <v>0</v>
      </c>
      <c r="AC9412" s="21">
        <v>0</v>
      </c>
      <c r="AD9412" s="21">
        <v>0</v>
      </c>
      <c r="AE9412" s="21">
        <v>0</v>
      </c>
      <c r="AF9412" s="21">
        <v>0</v>
      </c>
      <c r="AG9412" s="21">
        <v>0</v>
      </c>
      <c r="AH9412" s="21">
        <f t="shared" si="197"/>
        <v>192</v>
      </c>
      <c r="AI9412" s="21"/>
      <c r="AJ9412" s="21"/>
      <c r="AK9412" s="21"/>
      <c r="AL9412" s="21" t="s">
        <v>3077</v>
      </c>
      <c r="AM9412" s="21" t="s">
        <v>3078</v>
      </c>
      <c r="AN9412" s="21">
        <v>-122.418973783333</v>
      </c>
      <c r="AO9412" s="21">
        <v>37.790164333333301</v>
      </c>
      <c r="AP9412" s="21" t="s">
        <v>1915</v>
      </c>
    </row>
    <row r="9413" spans="1:42">
      <c r="A9413" s="20">
        <v>43850</v>
      </c>
      <c r="B9413" s="21">
        <v>1</v>
      </c>
      <c r="C9413" s="21">
        <v>231</v>
      </c>
      <c r="D9413" s="21">
        <v>14468</v>
      </c>
      <c r="E9413" s="21" t="s">
        <v>112</v>
      </c>
      <c r="F9413" s="21" t="s">
        <v>104</v>
      </c>
      <c r="G9413" s="21">
        <v>2</v>
      </c>
      <c r="H9413" s="21">
        <v>44</v>
      </c>
      <c r="I9413" s="21" t="s">
        <v>3074</v>
      </c>
      <c r="J9413" s="21"/>
      <c r="K9413" s="21" t="s">
        <v>420</v>
      </c>
      <c r="L9413" s="21"/>
      <c r="M9413" s="21"/>
      <c r="N9413" s="21" t="s">
        <v>44</v>
      </c>
      <c r="O9413" s="21">
        <f>60+60+60+31</f>
        <v>211</v>
      </c>
      <c r="P9413" s="21"/>
      <c r="Q9413" s="21">
        <f t="shared" si="196"/>
        <v>3</v>
      </c>
      <c r="R9413" s="21">
        <v>1</v>
      </c>
      <c r="S9413" s="21">
        <v>0</v>
      </c>
      <c r="T9413" s="21">
        <v>0</v>
      </c>
      <c r="U9413" s="21">
        <v>0</v>
      </c>
      <c r="V9413" s="21">
        <v>0</v>
      </c>
      <c r="W9413" s="21">
        <v>3</v>
      </c>
      <c r="X9413" s="21">
        <v>0</v>
      </c>
      <c r="Y9413" s="21">
        <v>0</v>
      </c>
      <c r="Z9413" s="21">
        <v>0</v>
      </c>
      <c r="AA9413" s="21">
        <v>0</v>
      </c>
      <c r="AB9413" s="21">
        <v>0</v>
      </c>
      <c r="AC9413" s="21">
        <v>0</v>
      </c>
      <c r="AD9413" s="21">
        <v>0</v>
      </c>
      <c r="AE9413" s="21">
        <v>0</v>
      </c>
      <c r="AF9413" s="21">
        <v>0</v>
      </c>
      <c r="AG9413" s="21">
        <v>0</v>
      </c>
      <c r="AH9413" s="21">
        <f t="shared" si="197"/>
        <v>288</v>
      </c>
      <c r="AI9413" s="21"/>
      <c r="AJ9413" s="21" t="s">
        <v>54</v>
      </c>
      <c r="AK9413" s="21" t="s">
        <v>52</v>
      </c>
      <c r="AL9413" s="21"/>
      <c r="AM9413" s="21" t="s">
        <v>3079</v>
      </c>
      <c r="AN9413" s="21">
        <v>-122.41905801666699</v>
      </c>
      <c r="AO9413" s="21">
        <v>37.790489450000003</v>
      </c>
      <c r="AP9413" s="21" t="s">
        <v>1915</v>
      </c>
    </row>
    <row r="9414" spans="1:42">
      <c r="A9414" s="20">
        <v>43850</v>
      </c>
      <c r="B9414" s="21">
        <v>1</v>
      </c>
      <c r="C9414" s="21">
        <v>231</v>
      </c>
      <c r="D9414" s="21">
        <v>14468</v>
      </c>
      <c r="E9414" s="21" t="s">
        <v>112</v>
      </c>
      <c r="F9414" s="21" t="s">
        <v>104</v>
      </c>
      <c r="G9414" s="21">
        <v>2</v>
      </c>
      <c r="H9414" s="21">
        <v>45</v>
      </c>
      <c r="I9414" s="21" t="s">
        <v>3013</v>
      </c>
      <c r="J9414" s="21"/>
      <c r="K9414" s="21" t="s">
        <v>56</v>
      </c>
      <c r="L9414" s="21"/>
      <c r="M9414" s="21"/>
      <c r="N9414" s="21" t="s">
        <v>40</v>
      </c>
      <c r="O9414" s="21">
        <f>60+35</f>
        <v>95</v>
      </c>
      <c r="P9414" s="21"/>
      <c r="Q9414" s="21">
        <f t="shared" si="196"/>
        <v>3</v>
      </c>
      <c r="R9414" s="21">
        <v>1</v>
      </c>
      <c r="S9414" s="21">
        <v>0</v>
      </c>
      <c r="T9414" s="21">
        <v>0</v>
      </c>
      <c r="U9414" s="21">
        <v>0</v>
      </c>
      <c r="V9414" s="21">
        <v>3</v>
      </c>
      <c r="W9414" s="21">
        <v>0</v>
      </c>
      <c r="X9414" s="21">
        <v>0</v>
      </c>
      <c r="Y9414" s="21">
        <v>0</v>
      </c>
      <c r="Z9414" s="21">
        <v>0</v>
      </c>
      <c r="AA9414" s="21">
        <v>0</v>
      </c>
      <c r="AB9414" s="21">
        <v>0</v>
      </c>
      <c r="AC9414" s="21">
        <v>0</v>
      </c>
      <c r="AD9414" s="21">
        <v>0</v>
      </c>
      <c r="AE9414" s="21">
        <v>0</v>
      </c>
      <c r="AF9414" s="21">
        <v>0</v>
      </c>
      <c r="AG9414" s="21">
        <v>0</v>
      </c>
      <c r="AH9414" s="21">
        <f t="shared" si="197"/>
        <v>192</v>
      </c>
      <c r="AI9414" s="21"/>
      <c r="AJ9414" s="21" t="s">
        <v>54</v>
      </c>
      <c r="AK9414" s="21" t="s">
        <v>52</v>
      </c>
      <c r="AL9414" s="21"/>
      <c r="AM9414" s="21" t="s">
        <v>3080</v>
      </c>
      <c r="AN9414" s="21">
        <v>-122.41778415</v>
      </c>
      <c r="AO9414" s="21">
        <v>37.7908950666666</v>
      </c>
      <c r="AP9414" s="21" t="s">
        <v>1915</v>
      </c>
    </row>
    <row r="9415" spans="1:42">
      <c r="A9415" s="20">
        <v>43850</v>
      </c>
      <c r="B9415" s="21">
        <v>1</v>
      </c>
      <c r="C9415" s="21">
        <v>231</v>
      </c>
      <c r="D9415" s="21">
        <v>14468</v>
      </c>
      <c r="E9415" s="21" t="s">
        <v>112</v>
      </c>
      <c r="F9415" s="21" t="s">
        <v>104</v>
      </c>
      <c r="G9415" s="21">
        <v>2</v>
      </c>
      <c r="H9415" s="21">
        <v>46</v>
      </c>
      <c r="I9415" s="21" t="s">
        <v>3013</v>
      </c>
      <c r="J9415" s="21"/>
      <c r="K9415" s="21" t="s">
        <v>56</v>
      </c>
      <c r="L9415" s="21"/>
      <c r="M9415" s="21"/>
      <c r="N9415" s="21"/>
      <c r="O9415" s="21">
        <v>38</v>
      </c>
      <c r="P9415" s="21"/>
      <c r="Q9415" s="21">
        <f t="shared" si="196"/>
        <v>1</v>
      </c>
      <c r="R9415" s="21">
        <v>1</v>
      </c>
      <c r="S9415" s="21">
        <v>0</v>
      </c>
      <c r="T9415" s="21">
        <v>0</v>
      </c>
      <c r="U9415" s="21">
        <v>1</v>
      </c>
      <c r="V9415" s="21">
        <v>0</v>
      </c>
      <c r="W9415" s="21">
        <v>0</v>
      </c>
      <c r="X9415" s="21">
        <v>0</v>
      </c>
      <c r="Y9415" s="21">
        <v>0</v>
      </c>
      <c r="Z9415" s="21">
        <v>0</v>
      </c>
      <c r="AA9415" s="21">
        <v>0</v>
      </c>
      <c r="AB9415" s="21">
        <v>0</v>
      </c>
      <c r="AC9415" s="21">
        <v>0</v>
      </c>
      <c r="AD9415" s="21">
        <v>0</v>
      </c>
      <c r="AE9415" s="21">
        <v>0</v>
      </c>
      <c r="AF9415" s="21">
        <v>0</v>
      </c>
      <c r="AG9415" s="21">
        <v>0</v>
      </c>
      <c r="AH9415" s="21">
        <f t="shared" si="197"/>
        <v>32</v>
      </c>
      <c r="AI9415" s="21"/>
      <c r="AJ9415" s="21" t="s">
        <v>54</v>
      </c>
      <c r="AK9415" s="21" t="s">
        <v>95</v>
      </c>
      <c r="AL9415" s="21" t="s">
        <v>456</v>
      </c>
      <c r="AM9415" s="21" t="s">
        <v>3081</v>
      </c>
      <c r="AN9415" s="21">
        <v>-122.417606616667</v>
      </c>
      <c r="AO9415" s="21">
        <v>37.790921033333298</v>
      </c>
      <c r="AP9415" s="21" t="s">
        <v>1915</v>
      </c>
    </row>
    <row r="9416" spans="1:42">
      <c r="A9416" s="20">
        <v>43850</v>
      </c>
      <c r="B9416" s="21">
        <v>1</v>
      </c>
      <c r="C9416" s="21">
        <v>231</v>
      </c>
      <c r="D9416" s="21">
        <v>14468</v>
      </c>
      <c r="E9416" s="21" t="s">
        <v>112</v>
      </c>
      <c r="F9416" s="21" t="s">
        <v>104</v>
      </c>
      <c r="G9416" s="21">
        <v>2</v>
      </c>
      <c r="H9416" s="21">
        <v>47</v>
      </c>
      <c r="I9416" s="21" t="s">
        <v>3013</v>
      </c>
      <c r="J9416" s="21"/>
      <c r="K9416" s="21" t="s">
        <v>56</v>
      </c>
      <c r="L9416" s="21" t="s">
        <v>114</v>
      </c>
      <c r="M9416" s="21"/>
      <c r="N9416" s="21" t="s">
        <v>40</v>
      </c>
      <c r="O9416" s="21">
        <f>60+18</f>
        <v>78</v>
      </c>
      <c r="P9416" s="21"/>
      <c r="Q9416" s="21">
        <f t="shared" si="196"/>
        <v>2</v>
      </c>
      <c r="R9416" s="21">
        <v>1</v>
      </c>
      <c r="S9416" s="21">
        <v>0</v>
      </c>
      <c r="T9416" s="21">
        <v>0</v>
      </c>
      <c r="U9416" s="21">
        <v>0</v>
      </c>
      <c r="V9416" s="21">
        <v>2</v>
      </c>
      <c r="W9416" s="21">
        <v>0</v>
      </c>
      <c r="X9416" s="21">
        <v>0</v>
      </c>
      <c r="Y9416" s="21">
        <v>0</v>
      </c>
      <c r="Z9416" s="21">
        <v>0</v>
      </c>
      <c r="AA9416" s="21">
        <v>0</v>
      </c>
      <c r="AB9416" s="21">
        <v>0</v>
      </c>
      <c r="AC9416" s="21">
        <v>0</v>
      </c>
      <c r="AD9416" s="21">
        <v>0</v>
      </c>
      <c r="AE9416" s="21">
        <v>0</v>
      </c>
      <c r="AF9416" s="21">
        <v>0</v>
      </c>
      <c r="AG9416" s="21">
        <v>0</v>
      </c>
      <c r="AH9416" s="21">
        <f t="shared" si="197"/>
        <v>128</v>
      </c>
      <c r="AI9416" s="21"/>
      <c r="AJ9416" s="21" t="s">
        <v>54</v>
      </c>
      <c r="AK9416" s="21" t="s">
        <v>52</v>
      </c>
      <c r="AL9416" s="21"/>
      <c r="AM9416" s="21" t="s">
        <v>3082</v>
      </c>
      <c r="AN9416" s="21">
        <v>-122.41778076666699</v>
      </c>
      <c r="AO9416" s="21">
        <v>37.791076449999998</v>
      </c>
      <c r="AP9416" s="21" t="s">
        <v>1915</v>
      </c>
    </row>
    <row r="9417" spans="1:42">
      <c r="A9417" s="20">
        <v>43850</v>
      </c>
      <c r="B9417" s="21">
        <v>1</v>
      </c>
      <c r="C9417" s="21">
        <v>231</v>
      </c>
      <c r="D9417" s="21">
        <v>14468</v>
      </c>
      <c r="E9417" s="21" t="s">
        <v>112</v>
      </c>
      <c r="F9417" s="21" t="s">
        <v>104</v>
      </c>
      <c r="G9417" s="21">
        <v>2</v>
      </c>
      <c r="H9417" s="21">
        <v>48</v>
      </c>
      <c r="I9417" s="21" t="s">
        <v>3083</v>
      </c>
      <c r="J9417" s="21"/>
      <c r="K9417" s="21" t="s">
        <v>56</v>
      </c>
      <c r="L9417" s="21"/>
      <c r="M9417" s="21"/>
      <c r="N9417" s="21" t="s">
        <v>44</v>
      </c>
      <c r="O9417" s="21">
        <f>60+60+20</f>
        <v>140</v>
      </c>
      <c r="P9417" s="21"/>
      <c r="Q9417" s="21">
        <f t="shared" si="196"/>
        <v>1</v>
      </c>
      <c r="R9417" s="21">
        <v>1</v>
      </c>
      <c r="S9417" s="21">
        <v>0</v>
      </c>
      <c r="T9417" s="21">
        <v>0</v>
      </c>
      <c r="U9417" s="21">
        <v>0</v>
      </c>
      <c r="V9417" s="21">
        <v>0</v>
      </c>
      <c r="W9417" s="21">
        <v>1</v>
      </c>
      <c r="X9417" s="21">
        <v>0</v>
      </c>
      <c r="Y9417" s="21">
        <v>0</v>
      </c>
      <c r="Z9417" s="21">
        <v>0</v>
      </c>
      <c r="AA9417" s="21">
        <v>0</v>
      </c>
      <c r="AB9417" s="21">
        <v>0</v>
      </c>
      <c r="AC9417" s="21">
        <v>0</v>
      </c>
      <c r="AD9417" s="21">
        <v>0</v>
      </c>
      <c r="AE9417" s="21">
        <v>0</v>
      </c>
      <c r="AF9417" s="21">
        <v>0</v>
      </c>
      <c r="AG9417" s="21">
        <v>0</v>
      </c>
      <c r="AH9417" s="21">
        <f t="shared" si="197"/>
        <v>96</v>
      </c>
      <c r="AI9417" s="21"/>
      <c r="AJ9417" s="21" t="s">
        <v>54</v>
      </c>
      <c r="AK9417" s="21" t="s">
        <v>52</v>
      </c>
      <c r="AL9417" s="21"/>
      <c r="AM9417" s="21" t="s">
        <v>3084</v>
      </c>
      <c r="AN9417" s="21">
        <v>-122.417898633333</v>
      </c>
      <c r="AO9417" s="21">
        <v>37.791024066666701</v>
      </c>
      <c r="AP9417" s="21" t="s">
        <v>1915</v>
      </c>
    </row>
    <row r="9418" spans="1:42">
      <c r="A9418" s="20">
        <v>43850</v>
      </c>
      <c r="B9418" s="21">
        <v>1</v>
      </c>
      <c r="C9418" s="21">
        <v>231</v>
      </c>
      <c r="D9418" s="21">
        <v>14468</v>
      </c>
      <c r="E9418" s="21" t="s">
        <v>112</v>
      </c>
      <c r="F9418" s="21" t="s">
        <v>104</v>
      </c>
      <c r="G9418" s="21">
        <v>2</v>
      </c>
      <c r="H9418" s="21">
        <v>49</v>
      </c>
      <c r="I9418" s="21" t="s">
        <v>3085</v>
      </c>
      <c r="J9418" s="21"/>
      <c r="K9418" s="21" t="s">
        <v>56</v>
      </c>
      <c r="L9418" s="21" t="s">
        <v>114</v>
      </c>
      <c r="M9418" s="21"/>
      <c r="N9418" s="21" t="s">
        <v>44</v>
      </c>
      <c r="O9418" s="21">
        <f>60+60+60+60+25</f>
        <v>265</v>
      </c>
      <c r="P9418" s="21"/>
      <c r="Q9418" s="21">
        <f t="shared" si="196"/>
        <v>4</v>
      </c>
      <c r="R9418" s="21">
        <v>1</v>
      </c>
      <c r="S9418" s="21">
        <v>0</v>
      </c>
      <c r="T9418" s="21">
        <v>0</v>
      </c>
      <c r="U9418" s="21">
        <v>0</v>
      </c>
      <c r="V9418" s="21">
        <v>0</v>
      </c>
      <c r="W9418" s="21">
        <v>4</v>
      </c>
      <c r="X9418" s="21">
        <v>0</v>
      </c>
      <c r="Y9418" s="21">
        <v>0</v>
      </c>
      <c r="Z9418" s="21">
        <v>0</v>
      </c>
      <c r="AA9418" s="21">
        <v>0</v>
      </c>
      <c r="AB9418" s="21">
        <v>0</v>
      </c>
      <c r="AC9418" s="21">
        <v>0</v>
      </c>
      <c r="AD9418" s="21">
        <v>0</v>
      </c>
      <c r="AE9418" s="21">
        <v>0</v>
      </c>
      <c r="AF9418" s="21">
        <v>0</v>
      </c>
      <c r="AG9418" s="21">
        <v>0</v>
      </c>
      <c r="AH9418" s="21">
        <f t="shared" si="197"/>
        <v>384</v>
      </c>
      <c r="AI9418" s="21"/>
      <c r="AJ9418" s="21" t="s">
        <v>54</v>
      </c>
      <c r="AK9418" s="21" t="s">
        <v>95</v>
      </c>
      <c r="AL9418" s="21"/>
      <c r="AM9418" s="21" t="s">
        <v>3086</v>
      </c>
      <c r="AN9418" s="21">
        <v>-122.418092683333</v>
      </c>
      <c r="AO9418" s="21">
        <v>37.790950016666699</v>
      </c>
      <c r="AP9418" s="21" t="s">
        <v>1915</v>
      </c>
    </row>
    <row r="9419" spans="1:42">
      <c r="A9419" s="20">
        <v>43850</v>
      </c>
      <c r="B9419" s="21">
        <v>1</v>
      </c>
      <c r="C9419" s="21">
        <v>231</v>
      </c>
      <c r="D9419" s="21">
        <v>14468</v>
      </c>
      <c r="E9419" s="21" t="s">
        <v>112</v>
      </c>
      <c r="F9419" s="21" t="s">
        <v>104</v>
      </c>
      <c r="G9419" s="21">
        <v>2</v>
      </c>
      <c r="H9419" s="21">
        <v>50</v>
      </c>
      <c r="I9419" s="21" t="s">
        <v>3043</v>
      </c>
      <c r="J9419" s="21"/>
      <c r="K9419" s="21" t="s">
        <v>56</v>
      </c>
      <c r="L9419" s="21"/>
      <c r="M9419" s="21"/>
      <c r="N9419" s="21" t="s">
        <v>44</v>
      </c>
      <c r="O9419" s="21">
        <f>60+22</f>
        <v>82</v>
      </c>
      <c r="P9419" s="21"/>
      <c r="Q9419" s="21">
        <f t="shared" si="196"/>
        <v>1</v>
      </c>
      <c r="R9419" s="21">
        <v>1</v>
      </c>
      <c r="S9419" s="21">
        <v>0</v>
      </c>
      <c r="T9419" s="21">
        <v>0</v>
      </c>
      <c r="U9419" s="21">
        <v>0</v>
      </c>
      <c r="V9419" s="21">
        <v>0</v>
      </c>
      <c r="W9419" s="21">
        <v>1</v>
      </c>
      <c r="X9419" s="21">
        <v>0</v>
      </c>
      <c r="Y9419" s="21">
        <v>0</v>
      </c>
      <c r="Z9419" s="21">
        <v>0</v>
      </c>
      <c r="AA9419" s="21">
        <v>0</v>
      </c>
      <c r="AB9419" s="21">
        <v>0</v>
      </c>
      <c r="AC9419" s="21">
        <v>0</v>
      </c>
      <c r="AD9419" s="21">
        <v>0</v>
      </c>
      <c r="AE9419" s="21">
        <v>0</v>
      </c>
      <c r="AF9419" s="21">
        <v>0</v>
      </c>
      <c r="AG9419" s="21">
        <v>0</v>
      </c>
      <c r="AH9419" s="21">
        <f t="shared" si="197"/>
        <v>96</v>
      </c>
      <c r="AI9419" s="21"/>
      <c r="AJ9419" s="21" t="s">
        <v>54</v>
      </c>
      <c r="AK9419" s="21" t="s">
        <v>95</v>
      </c>
      <c r="AL9419" s="21"/>
      <c r="AM9419" s="21" t="s">
        <v>3087</v>
      </c>
      <c r="AN9419" s="21">
        <v>-122.418293083333</v>
      </c>
      <c r="AO9419" s="21">
        <v>37.790935949999998</v>
      </c>
      <c r="AP9419" s="21" t="s">
        <v>1915</v>
      </c>
    </row>
    <row r="9420" spans="1:42">
      <c r="A9420" s="20">
        <v>43850</v>
      </c>
      <c r="B9420" s="21">
        <v>1</v>
      </c>
      <c r="C9420" s="21">
        <v>231</v>
      </c>
      <c r="D9420" s="21">
        <v>14468</v>
      </c>
      <c r="E9420" s="21" t="s">
        <v>112</v>
      </c>
      <c r="F9420" s="21" t="s">
        <v>104</v>
      </c>
      <c r="G9420" s="21">
        <v>2</v>
      </c>
      <c r="H9420" s="21">
        <v>51</v>
      </c>
      <c r="I9420" s="21" t="s">
        <v>3088</v>
      </c>
      <c r="J9420" s="21"/>
      <c r="K9420" s="21" t="s">
        <v>56</v>
      </c>
      <c r="L9420" s="21" t="s">
        <v>114</v>
      </c>
      <c r="M9420" s="21"/>
      <c r="N9420" s="21" t="s">
        <v>44</v>
      </c>
      <c r="O9420" s="21">
        <f>60+60+60+60+60</f>
        <v>300</v>
      </c>
      <c r="P9420" s="21"/>
      <c r="Q9420" s="21">
        <f t="shared" si="196"/>
        <v>3</v>
      </c>
      <c r="R9420" s="21">
        <v>1</v>
      </c>
      <c r="S9420" s="21">
        <v>0</v>
      </c>
      <c r="T9420" s="21">
        <v>0</v>
      </c>
      <c r="U9420" s="21">
        <v>0</v>
      </c>
      <c r="V9420" s="21">
        <v>0</v>
      </c>
      <c r="W9420" s="21">
        <v>3</v>
      </c>
      <c r="X9420" s="21">
        <v>0</v>
      </c>
      <c r="Y9420" s="21">
        <v>0</v>
      </c>
      <c r="Z9420" s="21">
        <v>0</v>
      </c>
      <c r="AA9420" s="21">
        <v>0</v>
      </c>
      <c r="AB9420" s="21">
        <v>0</v>
      </c>
      <c r="AC9420" s="21">
        <v>0</v>
      </c>
      <c r="AD9420" s="21">
        <v>0</v>
      </c>
      <c r="AE9420" s="21">
        <v>0</v>
      </c>
      <c r="AF9420" s="21">
        <v>0</v>
      </c>
      <c r="AG9420" s="21">
        <v>0</v>
      </c>
      <c r="AH9420" s="21">
        <f t="shared" si="197"/>
        <v>288</v>
      </c>
      <c r="AI9420" s="21"/>
      <c r="AJ9420" s="21" t="s">
        <v>54</v>
      </c>
      <c r="AK9420" s="21" t="s">
        <v>95</v>
      </c>
      <c r="AL9420" s="21" t="s">
        <v>3089</v>
      </c>
      <c r="AM9420" s="21" t="s">
        <v>3090</v>
      </c>
      <c r="AN9420" s="21">
        <v>-122.4184818</v>
      </c>
      <c r="AO9420" s="21">
        <v>37.790962299999997</v>
      </c>
      <c r="AP9420" s="21" t="s">
        <v>1915</v>
      </c>
    </row>
    <row r="9421" spans="1:42">
      <c r="A9421" s="20">
        <v>43850</v>
      </c>
      <c r="B9421" s="21">
        <v>1</v>
      </c>
      <c r="C9421" s="21">
        <v>231</v>
      </c>
      <c r="D9421" s="21">
        <v>14468</v>
      </c>
      <c r="E9421" s="21" t="s">
        <v>112</v>
      </c>
      <c r="F9421" s="21" t="s">
        <v>104</v>
      </c>
      <c r="G9421" s="21">
        <v>2</v>
      </c>
      <c r="H9421" s="21">
        <v>52</v>
      </c>
      <c r="I9421" s="21" t="s">
        <v>3091</v>
      </c>
      <c r="J9421" s="21"/>
      <c r="K9421" s="21" t="s">
        <v>56</v>
      </c>
      <c r="L9421" s="21"/>
      <c r="M9421" s="21"/>
      <c r="N9421" s="21" t="s">
        <v>42</v>
      </c>
      <c r="O9421" s="21">
        <f>60+60+60+26</f>
        <v>206</v>
      </c>
      <c r="P9421" s="21"/>
      <c r="Q9421" s="21">
        <f t="shared" si="196"/>
        <v>5</v>
      </c>
      <c r="R9421" s="21">
        <v>1</v>
      </c>
      <c r="S9421" s="21">
        <v>0</v>
      </c>
      <c r="T9421" s="21">
        <v>0</v>
      </c>
      <c r="U9421" s="21">
        <v>0</v>
      </c>
      <c r="V9421" s="21">
        <v>4</v>
      </c>
      <c r="W9421" s="21">
        <v>1</v>
      </c>
      <c r="X9421" s="21">
        <v>0</v>
      </c>
      <c r="Y9421" s="21">
        <v>0</v>
      </c>
      <c r="Z9421" s="21">
        <v>0</v>
      </c>
      <c r="AA9421" s="21">
        <v>0</v>
      </c>
      <c r="AB9421" s="21">
        <v>0</v>
      </c>
      <c r="AC9421" s="21">
        <v>0</v>
      </c>
      <c r="AD9421" s="21">
        <v>0</v>
      </c>
      <c r="AE9421" s="21">
        <v>0</v>
      </c>
      <c r="AF9421" s="21">
        <v>0</v>
      </c>
      <c r="AG9421" s="21">
        <v>0</v>
      </c>
      <c r="AH9421" s="21">
        <f t="shared" si="197"/>
        <v>352</v>
      </c>
      <c r="AI9421" s="21"/>
      <c r="AJ9421" s="21" t="s">
        <v>54</v>
      </c>
      <c r="AK9421" s="21" t="s">
        <v>52</v>
      </c>
      <c r="AL9421" s="21" t="s">
        <v>3092</v>
      </c>
      <c r="AM9421" s="21" t="s">
        <v>3093</v>
      </c>
      <c r="AN9421" s="21">
        <v>-122.419286489543</v>
      </c>
      <c r="AO9421" s="21">
        <v>37.790187183864901</v>
      </c>
      <c r="AP9421" s="21" t="s">
        <v>1915</v>
      </c>
    </row>
    <row r="9422" spans="1:42">
      <c r="A9422" s="20">
        <v>43850</v>
      </c>
      <c r="B9422" s="21">
        <v>1</v>
      </c>
      <c r="C9422" s="21">
        <v>231</v>
      </c>
      <c r="D9422" s="21">
        <v>14468</v>
      </c>
      <c r="E9422" s="21" t="s">
        <v>112</v>
      </c>
      <c r="F9422" s="21" t="s">
        <v>104</v>
      </c>
      <c r="G9422" s="21">
        <v>2</v>
      </c>
      <c r="H9422" s="21">
        <v>53</v>
      </c>
      <c r="I9422" s="21" t="s">
        <v>3094</v>
      </c>
      <c r="J9422" s="21"/>
      <c r="K9422" s="21" t="s">
        <v>2125</v>
      </c>
      <c r="L9422" s="21"/>
      <c r="M9422" s="21"/>
      <c r="N9422" s="21" t="s">
        <v>44</v>
      </c>
      <c r="O9422" s="21">
        <f>60+60+60+41</f>
        <v>221</v>
      </c>
      <c r="P9422" s="21"/>
      <c r="Q9422" s="21">
        <f t="shared" si="196"/>
        <v>2</v>
      </c>
      <c r="R9422" s="21">
        <v>1</v>
      </c>
      <c r="S9422" s="21">
        <v>0</v>
      </c>
      <c r="T9422" s="21">
        <v>0</v>
      </c>
      <c r="U9422" s="21">
        <v>0</v>
      </c>
      <c r="V9422" s="21">
        <v>0</v>
      </c>
      <c r="W9422" s="21">
        <v>2</v>
      </c>
      <c r="X9422" s="21">
        <v>0</v>
      </c>
      <c r="Y9422" s="21">
        <v>0</v>
      </c>
      <c r="Z9422" s="21">
        <v>0</v>
      </c>
      <c r="AA9422" s="21">
        <v>0</v>
      </c>
      <c r="AB9422" s="21">
        <v>0</v>
      </c>
      <c r="AC9422" s="21">
        <v>0</v>
      </c>
      <c r="AD9422" s="21">
        <v>0</v>
      </c>
      <c r="AE9422" s="21">
        <v>0</v>
      </c>
      <c r="AF9422" s="21">
        <v>0</v>
      </c>
      <c r="AG9422" s="21">
        <v>0</v>
      </c>
      <c r="AH9422" s="21">
        <f t="shared" si="197"/>
        <v>192</v>
      </c>
      <c r="AI9422" s="21"/>
      <c r="AJ9422" s="21" t="s">
        <v>54</v>
      </c>
      <c r="AK9422" s="21" t="s">
        <v>95</v>
      </c>
      <c r="AL9422" s="21"/>
      <c r="AM9422" s="21" t="s">
        <v>3095</v>
      </c>
      <c r="AN9422" s="21">
        <v>-122.419552966667</v>
      </c>
      <c r="AO9422" s="21">
        <v>37.790759966666698</v>
      </c>
      <c r="AP9422" s="21" t="s">
        <v>1915</v>
      </c>
    </row>
    <row r="9423" spans="1:42">
      <c r="A9423" s="20">
        <v>43850</v>
      </c>
      <c r="B9423" s="21">
        <v>1</v>
      </c>
      <c r="C9423" s="21">
        <v>231</v>
      </c>
      <c r="D9423" s="21">
        <v>14468</v>
      </c>
      <c r="E9423" s="21" t="s">
        <v>112</v>
      </c>
      <c r="F9423" s="21" t="s">
        <v>104</v>
      </c>
      <c r="G9423" s="21">
        <v>2</v>
      </c>
      <c r="H9423" s="21">
        <v>54</v>
      </c>
      <c r="I9423" s="21" t="s">
        <v>3096</v>
      </c>
      <c r="J9423" s="21"/>
      <c r="K9423" s="21" t="s">
        <v>2125</v>
      </c>
      <c r="L9423" s="21"/>
      <c r="M9423" s="21"/>
      <c r="N9423" s="21" t="s">
        <v>40</v>
      </c>
      <c r="O9423" s="21">
        <f>50+50+39</f>
        <v>139</v>
      </c>
      <c r="P9423" s="21"/>
      <c r="Q9423" s="21">
        <f t="shared" si="196"/>
        <v>4</v>
      </c>
      <c r="R9423" s="21">
        <v>1</v>
      </c>
      <c r="S9423" s="21">
        <v>0</v>
      </c>
      <c r="T9423" s="21">
        <v>0</v>
      </c>
      <c r="U9423" s="21">
        <v>1</v>
      </c>
      <c r="V9423" s="21">
        <v>0</v>
      </c>
      <c r="W9423" s="21">
        <v>3</v>
      </c>
      <c r="X9423" s="21">
        <v>0</v>
      </c>
      <c r="Y9423" s="21">
        <v>0</v>
      </c>
      <c r="Z9423" s="21">
        <v>0</v>
      </c>
      <c r="AA9423" s="21">
        <v>0</v>
      </c>
      <c r="AB9423" s="21">
        <v>0</v>
      </c>
      <c r="AC9423" s="21">
        <v>0</v>
      </c>
      <c r="AD9423" s="21">
        <v>0</v>
      </c>
      <c r="AE9423" s="21">
        <v>0</v>
      </c>
      <c r="AF9423" s="21">
        <v>0</v>
      </c>
      <c r="AG9423" s="21">
        <v>1</v>
      </c>
      <c r="AH9423" s="21">
        <f t="shared" si="197"/>
        <v>320</v>
      </c>
      <c r="AI9423" s="21"/>
      <c r="AJ9423" s="21" t="s">
        <v>54</v>
      </c>
      <c r="AK9423" s="21" t="s">
        <v>95</v>
      </c>
      <c r="AL9423" s="21"/>
      <c r="AM9423" s="21" t="s">
        <v>3097</v>
      </c>
      <c r="AN9423" s="21">
        <v>-122.419818233333</v>
      </c>
      <c r="AO9423" s="21">
        <v>37.790765416666702</v>
      </c>
      <c r="AP9423" s="21" t="s">
        <v>1915</v>
      </c>
    </row>
    <row r="9424" spans="1:42">
      <c r="A9424" s="20">
        <v>43850</v>
      </c>
      <c r="B9424" s="21">
        <v>1</v>
      </c>
      <c r="C9424" s="21">
        <v>231</v>
      </c>
      <c r="D9424" s="21">
        <v>14468</v>
      </c>
      <c r="E9424" s="21" t="s">
        <v>112</v>
      </c>
      <c r="F9424" s="21" t="s">
        <v>104</v>
      </c>
      <c r="G9424" s="21">
        <v>2</v>
      </c>
      <c r="H9424" s="21">
        <v>55</v>
      </c>
      <c r="I9424" s="21" t="s">
        <v>3098</v>
      </c>
      <c r="J9424" s="21"/>
      <c r="K9424" s="21" t="s">
        <v>56</v>
      </c>
      <c r="L9424" s="21"/>
      <c r="M9424" s="21"/>
      <c r="N9424" s="21" t="s">
        <v>40</v>
      </c>
      <c r="O9424" s="21">
        <v>60</v>
      </c>
      <c r="P9424" s="21"/>
      <c r="Q9424" s="21">
        <f t="shared" si="196"/>
        <v>2</v>
      </c>
      <c r="R9424" s="21">
        <v>1</v>
      </c>
      <c r="S9424" s="21">
        <v>0</v>
      </c>
      <c r="T9424" s="21">
        <v>0</v>
      </c>
      <c r="U9424" s="21">
        <v>1</v>
      </c>
      <c r="V9424" s="21">
        <v>1</v>
      </c>
      <c r="W9424" s="21">
        <v>0</v>
      </c>
      <c r="X9424" s="21">
        <v>0</v>
      </c>
      <c r="Y9424" s="21">
        <v>0</v>
      </c>
      <c r="Z9424" s="21">
        <v>0</v>
      </c>
      <c r="AA9424" s="21">
        <v>0</v>
      </c>
      <c r="AB9424" s="21">
        <v>0</v>
      </c>
      <c r="AC9424" s="21">
        <v>0</v>
      </c>
      <c r="AD9424" s="21">
        <v>0</v>
      </c>
      <c r="AE9424" s="21">
        <v>0</v>
      </c>
      <c r="AF9424" s="21">
        <v>0</v>
      </c>
      <c r="AG9424" s="21">
        <v>0</v>
      </c>
      <c r="AH9424" s="21">
        <f t="shared" si="197"/>
        <v>96</v>
      </c>
      <c r="AI9424" s="21"/>
      <c r="AJ9424" s="21" t="s">
        <v>54</v>
      </c>
      <c r="AK9424" s="21" t="s">
        <v>95</v>
      </c>
      <c r="AL9424" s="21"/>
      <c r="AM9424" s="21" t="s">
        <v>3099</v>
      </c>
      <c r="AN9424" s="21">
        <v>-122.420022266667</v>
      </c>
      <c r="AO9424" s="21">
        <v>37.790756366666699</v>
      </c>
      <c r="AP9424" s="21" t="s">
        <v>1915</v>
      </c>
    </row>
    <row r="9425" spans="1:42">
      <c r="A9425" s="20">
        <v>43850</v>
      </c>
      <c r="B9425" s="21">
        <v>1</v>
      </c>
      <c r="C9425" s="21">
        <v>231</v>
      </c>
      <c r="D9425" s="21">
        <v>14468</v>
      </c>
      <c r="E9425" s="21" t="s">
        <v>112</v>
      </c>
      <c r="F9425" s="21" t="s">
        <v>104</v>
      </c>
      <c r="G9425" s="21">
        <v>2</v>
      </c>
      <c r="H9425" s="21">
        <v>56</v>
      </c>
      <c r="I9425" s="21" t="s">
        <v>3100</v>
      </c>
      <c r="J9425" s="21"/>
      <c r="K9425" s="21" t="s">
        <v>414</v>
      </c>
      <c r="L9425" s="21"/>
      <c r="M9425" s="21"/>
      <c r="N9425" s="21" t="s">
        <v>40</v>
      </c>
      <c r="O9425" s="21">
        <v>32</v>
      </c>
      <c r="P9425" s="21"/>
      <c r="Q9425" s="21">
        <f t="shared" si="196"/>
        <v>1</v>
      </c>
      <c r="R9425" s="21">
        <v>1</v>
      </c>
      <c r="S9425" s="21">
        <v>0</v>
      </c>
      <c r="T9425" s="21">
        <v>0</v>
      </c>
      <c r="U9425" s="21">
        <v>1</v>
      </c>
      <c r="V9425" s="21">
        <v>0</v>
      </c>
      <c r="W9425" s="21">
        <v>0</v>
      </c>
      <c r="X9425" s="21">
        <v>0</v>
      </c>
      <c r="Y9425" s="21">
        <v>0</v>
      </c>
      <c r="Z9425" s="21">
        <v>0</v>
      </c>
      <c r="AA9425" s="21">
        <v>0</v>
      </c>
      <c r="AB9425" s="21">
        <v>0</v>
      </c>
      <c r="AC9425" s="21">
        <v>0</v>
      </c>
      <c r="AD9425" s="21">
        <v>0</v>
      </c>
      <c r="AE9425" s="21">
        <v>0</v>
      </c>
      <c r="AF9425" s="21">
        <v>0</v>
      </c>
      <c r="AG9425" s="21">
        <v>0</v>
      </c>
      <c r="AH9425" s="21">
        <f t="shared" si="197"/>
        <v>32</v>
      </c>
      <c r="AI9425" s="21"/>
      <c r="AJ9425" s="21" t="s">
        <v>51</v>
      </c>
      <c r="AK9425" s="21" t="s">
        <v>95</v>
      </c>
      <c r="AL9425" s="21"/>
      <c r="AM9425" s="21" t="s">
        <v>3101</v>
      </c>
      <c r="AN9425" s="21">
        <v>-122.420867716667</v>
      </c>
      <c r="AO9425" s="21">
        <v>37.791509066666698</v>
      </c>
      <c r="AP9425" s="21" t="s">
        <v>1915</v>
      </c>
    </row>
    <row r="9426" spans="1:42">
      <c r="A9426" s="20">
        <v>43850</v>
      </c>
      <c r="B9426" s="21">
        <v>1</v>
      </c>
      <c r="C9426" s="21">
        <v>231</v>
      </c>
      <c r="D9426" s="21">
        <v>14468</v>
      </c>
      <c r="E9426" s="21" t="s">
        <v>112</v>
      </c>
      <c r="F9426" s="21" t="s">
        <v>104</v>
      </c>
      <c r="G9426" s="21">
        <v>2</v>
      </c>
      <c r="H9426" s="21">
        <v>57</v>
      </c>
      <c r="I9426" s="21" t="s">
        <v>2787</v>
      </c>
      <c r="J9426" s="21"/>
      <c r="K9426" s="21" t="s">
        <v>2215</v>
      </c>
      <c r="L9426" s="21"/>
      <c r="M9426" s="21"/>
      <c r="N9426" s="21" t="s">
        <v>40</v>
      </c>
      <c r="O9426" s="21">
        <f>60+38</f>
        <v>98</v>
      </c>
      <c r="P9426" s="21"/>
      <c r="Q9426" s="21">
        <f t="shared" si="196"/>
        <v>2</v>
      </c>
      <c r="R9426" s="21">
        <v>1</v>
      </c>
      <c r="S9426" s="21">
        <v>0</v>
      </c>
      <c r="T9426" s="21">
        <v>0</v>
      </c>
      <c r="U9426" s="21">
        <v>1</v>
      </c>
      <c r="V9426" s="21">
        <v>1</v>
      </c>
      <c r="W9426" s="21">
        <v>0</v>
      </c>
      <c r="X9426" s="21">
        <v>0</v>
      </c>
      <c r="Y9426" s="21">
        <v>0</v>
      </c>
      <c r="Z9426" s="21">
        <v>0</v>
      </c>
      <c r="AA9426" s="21">
        <v>0</v>
      </c>
      <c r="AB9426" s="21">
        <v>0</v>
      </c>
      <c r="AC9426" s="21">
        <v>0</v>
      </c>
      <c r="AD9426" s="21">
        <v>0</v>
      </c>
      <c r="AE9426" s="21">
        <v>0</v>
      </c>
      <c r="AF9426" s="21">
        <v>0</v>
      </c>
      <c r="AG9426" s="21">
        <v>0</v>
      </c>
      <c r="AH9426" s="21">
        <f t="shared" si="197"/>
        <v>96</v>
      </c>
      <c r="AI9426" s="21"/>
      <c r="AJ9426" s="21" t="s">
        <v>51</v>
      </c>
      <c r="AK9426" s="21" t="s">
        <v>95</v>
      </c>
      <c r="AL9426" s="21" t="s">
        <v>456</v>
      </c>
      <c r="AM9426" s="21" t="s">
        <v>3102</v>
      </c>
      <c r="AN9426" s="21">
        <v>-122.421163533333</v>
      </c>
      <c r="AO9426" s="21">
        <v>37.791542733333301</v>
      </c>
      <c r="AP9426" s="21" t="s">
        <v>1915</v>
      </c>
    </row>
    <row r="9427" spans="1:42">
      <c r="A9427" s="20">
        <v>43850</v>
      </c>
      <c r="B9427" s="21">
        <v>1</v>
      </c>
      <c r="C9427" s="21">
        <v>231</v>
      </c>
      <c r="D9427" s="21">
        <v>14468</v>
      </c>
      <c r="E9427" s="21" t="s">
        <v>112</v>
      </c>
      <c r="F9427" s="21" t="s">
        <v>104</v>
      </c>
      <c r="G9427" s="21">
        <v>2</v>
      </c>
      <c r="H9427" s="21">
        <v>58</v>
      </c>
      <c r="I9427" s="21" t="s">
        <v>3103</v>
      </c>
      <c r="J9427" s="21"/>
      <c r="K9427" s="21" t="s">
        <v>2215</v>
      </c>
      <c r="L9427" s="21"/>
      <c r="M9427" s="21"/>
      <c r="N9427" s="21" t="s">
        <v>44</v>
      </c>
      <c r="O9427" s="21">
        <f>60+60+60+60+60+50</f>
        <v>350</v>
      </c>
      <c r="P9427" s="21"/>
      <c r="Q9427" s="21">
        <f t="shared" si="196"/>
        <v>3</v>
      </c>
      <c r="R9427" s="21">
        <v>1</v>
      </c>
      <c r="S9427" s="21">
        <v>0</v>
      </c>
      <c r="T9427" s="21">
        <v>0</v>
      </c>
      <c r="U9427" s="21">
        <v>0</v>
      </c>
      <c r="V9427" s="21">
        <v>0</v>
      </c>
      <c r="W9427" s="21">
        <v>3</v>
      </c>
      <c r="X9427" s="21">
        <v>0</v>
      </c>
      <c r="Y9427" s="21">
        <v>0</v>
      </c>
      <c r="Z9427" s="21">
        <v>0</v>
      </c>
      <c r="AA9427" s="21">
        <v>0</v>
      </c>
      <c r="AB9427" s="21">
        <v>0</v>
      </c>
      <c r="AC9427" s="21">
        <v>0</v>
      </c>
      <c r="AD9427" s="21">
        <v>0</v>
      </c>
      <c r="AE9427" s="21">
        <v>0</v>
      </c>
      <c r="AF9427" s="21">
        <v>0</v>
      </c>
      <c r="AG9427" s="21">
        <v>0</v>
      </c>
      <c r="AH9427" s="21">
        <f t="shared" si="197"/>
        <v>288</v>
      </c>
      <c r="AI9427" s="21"/>
      <c r="AJ9427" s="21" t="s">
        <v>51</v>
      </c>
      <c r="AK9427" s="21" t="s">
        <v>52</v>
      </c>
      <c r="AL9427" s="21"/>
      <c r="AM9427" s="21" t="s">
        <v>3104</v>
      </c>
      <c r="AN9427" s="21">
        <v>-122.421625466667</v>
      </c>
      <c r="AO9427" s="21">
        <v>37.791457416666702</v>
      </c>
      <c r="AP9427" s="21" t="s">
        <v>1915</v>
      </c>
    </row>
    <row r="9428" spans="1:42">
      <c r="A9428" s="20">
        <v>43850</v>
      </c>
      <c r="B9428" s="21">
        <v>1</v>
      </c>
      <c r="C9428" s="21">
        <v>231</v>
      </c>
      <c r="D9428" s="21">
        <v>14468</v>
      </c>
      <c r="E9428" s="21" t="s">
        <v>112</v>
      </c>
      <c r="F9428" s="21" t="s">
        <v>104</v>
      </c>
      <c r="G9428" s="21">
        <v>2</v>
      </c>
      <c r="H9428" s="21">
        <v>59</v>
      </c>
      <c r="I9428" s="21" t="s">
        <v>3105</v>
      </c>
      <c r="J9428" s="21"/>
      <c r="K9428" s="21" t="s">
        <v>68</v>
      </c>
      <c r="L9428" s="21"/>
      <c r="M9428" s="21" t="s">
        <v>6618</v>
      </c>
      <c r="N9428" s="21" t="s">
        <v>44</v>
      </c>
      <c r="O9428" s="21">
        <f>60+60+60+60+0+60+60+46</f>
        <v>406</v>
      </c>
      <c r="P9428" s="21"/>
      <c r="Q9428" s="21">
        <f t="shared" si="196"/>
        <v>3</v>
      </c>
      <c r="R9428" s="21">
        <v>1</v>
      </c>
      <c r="S9428" s="21">
        <v>0</v>
      </c>
      <c r="T9428" s="21">
        <v>0</v>
      </c>
      <c r="U9428" s="21">
        <v>0</v>
      </c>
      <c r="V9428" s="21">
        <v>0</v>
      </c>
      <c r="W9428" s="21">
        <v>3</v>
      </c>
      <c r="X9428" s="21">
        <v>0</v>
      </c>
      <c r="Y9428" s="21">
        <v>0</v>
      </c>
      <c r="Z9428" s="21">
        <v>0</v>
      </c>
      <c r="AA9428" s="21">
        <v>0</v>
      </c>
      <c r="AB9428" s="21">
        <v>0</v>
      </c>
      <c r="AC9428" s="21">
        <v>0</v>
      </c>
      <c r="AD9428" s="21">
        <v>0</v>
      </c>
      <c r="AE9428" s="21">
        <v>0</v>
      </c>
      <c r="AF9428" s="21">
        <v>0</v>
      </c>
      <c r="AG9428" s="21">
        <v>0</v>
      </c>
      <c r="AH9428" s="21">
        <f t="shared" si="197"/>
        <v>288</v>
      </c>
      <c r="AI9428" s="21"/>
      <c r="AJ9428" s="21" t="s">
        <v>54</v>
      </c>
      <c r="AK9428" s="21" t="s">
        <v>52</v>
      </c>
      <c r="AL9428" s="21" t="s">
        <v>3106</v>
      </c>
      <c r="AM9428" s="21" t="s">
        <v>3107</v>
      </c>
      <c r="AN9428" s="21">
        <v>-122.4215332</v>
      </c>
      <c r="AO9428" s="21">
        <v>37.792365983333298</v>
      </c>
      <c r="AP9428" s="21" t="s">
        <v>1915</v>
      </c>
    </row>
    <row r="9429" spans="1:42">
      <c r="A9429" s="20">
        <v>43850</v>
      </c>
      <c r="B9429" s="21">
        <v>1</v>
      </c>
      <c r="C9429" s="21">
        <v>231</v>
      </c>
      <c r="D9429" s="21">
        <v>14468</v>
      </c>
      <c r="E9429" s="21" t="s">
        <v>112</v>
      </c>
      <c r="F9429" s="21" t="s">
        <v>104</v>
      </c>
      <c r="G9429" s="21">
        <v>2</v>
      </c>
      <c r="H9429" s="21">
        <v>60</v>
      </c>
      <c r="I9429" s="21" t="s">
        <v>3108</v>
      </c>
      <c r="J9429" s="21"/>
      <c r="K9429" s="21" t="s">
        <v>2125</v>
      </c>
      <c r="L9429" s="21"/>
      <c r="M9429" s="21"/>
      <c r="N9429" s="21" t="s">
        <v>40</v>
      </c>
      <c r="O9429" s="21">
        <v>36</v>
      </c>
      <c r="P9429" s="21"/>
      <c r="Q9429" s="21">
        <f t="shared" si="196"/>
        <v>1</v>
      </c>
      <c r="R9429" s="21">
        <v>1</v>
      </c>
      <c r="S9429" s="21">
        <v>0</v>
      </c>
      <c r="T9429" s="21">
        <v>0</v>
      </c>
      <c r="U9429" s="21">
        <v>0</v>
      </c>
      <c r="V9429" s="21">
        <v>1</v>
      </c>
      <c r="W9429" s="21">
        <v>0</v>
      </c>
      <c r="X9429" s="21">
        <v>0</v>
      </c>
      <c r="Y9429" s="21">
        <v>0</v>
      </c>
      <c r="Z9429" s="21">
        <v>0</v>
      </c>
      <c r="AA9429" s="21">
        <v>0</v>
      </c>
      <c r="AB9429" s="21">
        <v>0</v>
      </c>
      <c r="AC9429" s="21">
        <v>0</v>
      </c>
      <c r="AD9429" s="21">
        <v>0</v>
      </c>
      <c r="AE9429" s="21">
        <v>0</v>
      </c>
      <c r="AF9429" s="21">
        <v>0</v>
      </c>
      <c r="AG9429" s="21">
        <v>0</v>
      </c>
      <c r="AH9429" s="21">
        <f t="shared" si="197"/>
        <v>64</v>
      </c>
      <c r="AI9429" s="21"/>
      <c r="AJ9429" s="21"/>
      <c r="AK9429" s="21" t="s">
        <v>52</v>
      </c>
      <c r="AL9429" s="21"/>
      <c r="AM9429" s="21" t="s">
        <v>3109</v>
      </c>
      <c r="AN9429" s="21">
        <v>-122.42045625</v>
      </c>
      <c r="AO9429" s="21">
        <v>37.790595466666602</v>
      </c>
      <c r="AP9429" s="21" t="s">
        <v>1915</v>
      </c>
    </row>
    <row r="9430" spans="1:42">
      <c r="A9430" s="20">
        <v>43850</v>
      </c>
      <c r="B9430" s="21">
        <v>1</v>
      </c>
      <c r="C9430" s="21">
        <v>231</v>
      </c>
      <c r="D9430" s="21">
        <v>14468</v>
      </c>
      <c r="E9430" s="21" t="s">
        <v>112</v>
      </c>
      <c r="F9430" s="21" t="s">
        <v>104</v>
      </c>
      <c r="G9430" s="21">
        <v>2</v>
      </c>
      <c r="H9430" s="21">
        <v>61</v>
      </c>
      <c r="I9430" s="21" t="s">
        <v>3096</v>
      </c>
      <c r="J9430" s="21"/>
      <c r="K9430" s="21" t="s">
        <v>415</v>
      </c>
      <c r="L9430" s="21"/>
      <c r="M9430" s="21"/>
      <c r="N9430" s="21" t="s">
        <v>44</v>
      </c>
      <c r="O9430" s="21">
        <f>60+60+60+60+60+60+60+60+34</f>
        <v>514</v>
      </c>
      <c r="P9430" s="21"/>
      <c r="Q9430" s="21">
        <f t="shared" si="196"/>
        <v>9</v>
      </c>
      <c r="R9430" s="21">
        <v>1</v>
      </c>
      <c r="S9430" s="21">
        <v>0</v>
      </c>
      <c r="T9430" s="21">
        <v>0</v>
      </c>
      <c r="U9430" s="21">
        <v>0</v>
      </c>
      <c r="V9430" s="21">
        <v>7</v>
      </c>
      <c r="W9430" s="21">
        <v>2</v>
      </c>
      <c r="X9430" s="21">
        <v>0</v>
      </c>
      <c r="Y9430" s="21">
        <v>0</v>
      </c>
      <c r="Z9430" s="21">
        <v>0</v>
      </c>
      <c r="AA9430" s="21">
        <v>0</v>
      </c>
      <c r="AB9430" s="21">
        <v>0</v>
      </c>
      <c r="AC9430" s="21">
        <v>0</v>
      </c>
      <c r="AD9430" s="21">
        <v>0</v>
      </c>
      <c r="AE9430" s="21">
        <v>0</v>
      </c>
      <c r="AF9430" s="21">
        <v>0</v>
      </c>
      <c r="AG9430" s="21">
        <v>0</v>
      </c>
      <c r="AH9430" s="21">
        <f t="shared" si="197"/>
        <v>640</v>
      </c>
      <c r="AI9430" s="21"/>
      <c r="AJ9430" s="21" t="s">
        <v>54</v>
      </c>
      <c r="AK9430" s="21" t="s">
        <v>95</v>
      </c>
      <c r="AL9430" s="21" t="s">
        <v>1957</v>
      </c>
      <c r="AM9430" s="21" t="s">
        <v>3110</v>
      </c>
      <c r="AN9430" s="21">
        <v>-122.421455583333</v>
      </c>
      <c r="AO9430" s="21">
        <v>37.789552216666699</v>
      </c>
      <c r="AP9430" s="21" t="s">
        <v>1915</v>
      </c>
    </row>
    <row r="9431" spans="1:42">
      <c r="A9431" s="20">
        <v>43850</v>
      </c>
      <c r="B9431" s="21">
        <v>1</v>
      </c>
      <c r="C9431" s="21">
        <v>231</v>
      </c>
      <c r="D9431" s="21">
        <v>14468</v>
      </c>
      <c r="E9431" s="21" t="s">
        <v>112</v>
      </c>
      <c r="F9431" s="21" t="s">
        <v>104</v>
      </c>
      <c r="G9431" s="21">
        <v>2</v>
      </c>
      <c r="H9431" s="21">
        <v>62</v>
      </c>
      <c r="I9431" s="21" t="s">
        <v>3100</v>
      </c>
      <c r="J9431" s="21"/>
      <c r="K9431" s="21" t="s">
        <v>2125</v>
      </c>
      <c r="L9431" s="21"/>
      <c r="M9431" s="21"/>
      <c r="N9431" s="21" t="s">
        <v>40</v>
      </c>
      <c r="O9431" s="21">
        <v>40</v>
      </c>
      <c r="P9431" s="21"/>
      <c r="Q9431" s="21">
        <f t="shared" si="196"/>
        <v>2</v>
      </c>
      <c r="R9431" s="21">
        <v>1</v>
      </c>
      <c r="S9431" s="21">
        <v>0</v>
      </c>
      <c r="T9431" s="21">
        <v>0</v>
      </c>
      <c r="U9431" s="21">
        <v>1</v>
      </c>
      <c r="V9431" s="21">
        <v>1</v>
      </c>
      <c r="W9431" s="21">
        <v>0</v>
      </c>
      <c r="X9431" s="21">
        <v>0</v>
      </c>
      <c r="Y9431" s="21">
        <v>0</v>
      </c>
      <c r="Z9431" s="21">
        <v>0</v>
      </c>
      <c r="AA9431" s="21">
        <v>0</v>
      </c>
      <c r="AB9431" s="21">
        <v>0</v>
      </c>
      <c r="AC9431" s="21">
        <v>0</v>
      </c>
      <c r="AD9431" s="21">
        <v>0</v>
      </c>
      <c r="AE9431" s="21">
        <v>0</v>
      </c>
      <c r="AF9431" s="21">
        <v>0</v>
      </c>
      <c r="AG9431" s="21">
        <v>0</v>
      </c>
      <c r="AH9431" s="21">
        <f t="shared" si="197"/>
        <v>96</v>
      </c>
      <c r="AI9431" s="21"/>
      <c r="AJ9431" s="21" t="s">
        <v>54</v>
      </c>
      <c r="AK9431" s="21" t="s">
        <v>95</v>
      </c>
      <c r="AL9431" s="21" t="s">
        <v>3111</v>
      </c>
      <c r="AM9431" s="21" t="s">
        <v>3112</v>
      </c>
      <c r="AN9431" s="21">
        <v>-122.421779</v>
      </c>
      <c r="AO9431" s="21">
        <v>37.790421250000001</v>
      </c>
      <c r="AP9431" s="21" t="s">
        <v>1915</v>
      </c>
    </row>
    <row r="9432" spans="1:42">
      <c r="A9432" s="20">
        <v>43850</v>
      </c>
      <c r="B9432" s="21">
        <v>1</v>
      </c>
      <c r="C9432" s="21">
        <v>231</v>
      </c>
      <c r="D9432" s="21">
        <v>14468</v>
      </c>
      <c r="E9432" s="21" t="s">
        <v>112</v>
      </c>
      <c r="F9432" s="21" t="s">
        <v>104</v>
      </c>
      <c r="G9432" s="21">
        <v>2</v>
      </c>
      <c r="H9432" s="21">
        <v>63</v>
      </c>
      <c r="I9432" s="21" t="s">
        <v>3100</v>
      </c>
      <c r="J9432" s="21"/>
      <c r="K9432" s="21" t="s">
        <v>56</v>
      </c>
      <c r="L9432" s="21"/>
      <c r="M9432" s="21"/>
      <c r="N9432" s="21" t="s">
        <v>40</v>
      </c>
      <c r="O9432" s="21">
        <v>65</v>
      </c>
      <c r="P9432" s="21"/>
      <c r="Q9432" s="21">
        <f t="shared" si="196"/>
        <v>1</v>
      </c>
      <c r="R9432" s="21">
        <v>1</v>
      </c>
      <c r="S9432" s="21">
        <v>0</v>
      </c>
      <c r="T9432" s="21">
        <v>0</v>
      </c>
      <c r="U9432" s="21">
        <v>0</v>
      </c>
      <c r="V9432" s="21">
        <v>1</v>
      </c>
      <c r="W9432" s="21">
        <v>0</v>
      </c>
      <c r="X9432" s="21">
        <v>0</v>
      </c>
      <c r="Y9432" s="21">
        <v>0</v>
      </c>
      <c r="Z9432" s="21">
        <v>0</v>
      </c>
      <c r="AA9432" s="21">
        <v>0</v>
      </c>
      <c r="AB9432" s="21">
        <v>0</v>
      </c>
      <c r="AC9432" s="21">
        <v>0</v>
      </c>
      <c r="AD9432" s="21">
        <v>0</v>
      </c>
      <c r="AE9432" s="21">
        <v>0</v>
      </c>
      <c r="AF9432" s="21">
        <v>0</v>
      </c>
      <c r="AG9432" s="21">
        <v>0</v>
      </c>
      <c r="AH9432" s="21">
        <f t="shared" si="197"/>
        <v>64</v>
      </c>
      <c r="AI9432" s="21"/>
      <c r="AJ9432" s="21" t="s">
        <v>54</v>
      </c>
      <c r="AK9432" s="21" t="s">
        <v>95</v>
      </c>
      <c r="AL9432" s="21" t="s">
        <v>3113</v>
      </c>
      <c r="AM9432" s="21" t="s">
        <v>3114</v>
      </c>
      <c r="AN9432" s="21">
        <v>-122.42164765</v>
      </c>
      <c r="AO9432" s="21">
        <v>37.790464683333298</v>
      </c>
      <c r="AP9432" s="21" t="s">
        <v>1915</v>
      </c>
    </row>
    <row r="9433" spans="1:42">
      <c r="A9433" s="20">
        <v>43850</v>
      </c>
      <c r="B9433" s="21">
        <v>1</v>
      </c>
      <c r="C9433" s="21">
        <v>231</v>
      </c>
      <c r="D9433" s="21">
        <v>14468</v>
      </c>
      <c r="E9433" s="21" t="s">
        <v>112</v>
      </c>
      <c r="F9433" s="21" t="s">
        <v>104</v>
      </c>
      <c r="G9433" s="21">
        <v>2</v>
      </c>
      <c r="H9433" s="21">
        <v>64</v>
      </c>
      <c r="I9433" s="21" t="s">
        <v>3115</v>
      </c>
      <c r="J9433" s="21"/>
      <c r="K9433" s="21" t="s">
        <v>828</v>
      </c>
      <c r="L9433" s="21"/>
      <c r="M9433" s="21"/>
      <c r="N9433" s="21" t="s">
        <v>42</v>
      </c>
      <c r="O9433" s="21">
        <f>60+60+60+58</f>
        <v>238</v>
      </c>
      <c r="P9433" s="21"/>
      <c r="Q9433" s="21">
        <f t="shared" si="196"/>
        <v>3</v>
      </c>
      <c r="R9433" s="21">
        <v>1</v>
      </c>
      <c r="S9433" s="21">
        <v>0</v>
      </c>
      <c r="T9433" s="21">
        <v>0</v>
      </c>
      <c r="U9433" s="21">
        <v>1</v>
      </c>
      <c r="V9433" s="21">
        <v>1</v>
      </c>
      <c r="W9433" s="21">
        <v>1</v>
      </c>
      <c r="X9433" s="21">
        <v>0</v>
      </c>
      <c r="Y9433" s="21">
        <v>0</v>
      </c>
      <c r="Z9433" s="21">
        <v>0</v>
      </c>
      <c r="AA9433" s="21">
        <v>0</v>
      </c>
      <c r="AB9433" s="21">
        <v>0</v>
      </c>
      <c r="AC9433" s="21">
        <v>0</v>
      </c>
      <c r="AD9433" s="21">
        <v>0</v>
      </c>
      <c r="AE9433" s="21">
        <v>0</v>
      </c>
      <c r="AF9433" s="21">
        <v>0</v>
      </c>
      <c r="AG9433" s="21">
        <v>0</v>
      </c>
      <c r="AH9433" s="21">
        <f t="shared" si="197"/>
        <v>192</v>
      </c>
      <c r="AI9433" s="21"/>
      <c r="AJ9433" s="21" t="s">
        <v>51</v>
      </c>
      <c r="AK9433" s="21" t="s">
        <v>95</v>
      </c>
      <c r="AL9433" s="21"/>
      <c r="AM9433" s="21" t="s">
        <v>3116</v>
      </c>
      <c r="AN9433" s="21">
        <v>-122.4174137</v>
      </c>
      <c r="AO9433" s="21">
        <v>37.7906220666667</v>
      </c>
      <c r="AP9433" s="21" t="s">
        <v>1915</v>
      </c>
    </row>
    <row r="9434" spans="1:42">
      <c r="A9434" s="20">
        <v>43850</v>
      </c>
      <c r="B9434" s="21">
        <v>1</v>
      </c>
      <c r="C9434" s="21">
        <v>231</v>
      </c>
      <c r="D9434" s="21">
        <v>14468</v>
      </c>
      <c r="E9434" s="21" t="s">
        <v>112</v>
      </c>
      <c r="F9434" s="21" t="s">
        <v>104</v>
      </c>
      <c r="G9434" s="21">
        <v>2</v>
      </c>
      <c r="H9434" s="21">
        <v>65</v>
      </c>
      <c r="I9434" s="21" t="s">
        <v>3117</v>
      </c>
      <c r="J9434" s="21"/>
      <c r="K9434" s="21" t="s">
        <v>828</v>
      </c>
      <c r="L9434" s="21" t="s">
        <v>141</v>
      </c>
      <c r="M9434" s="21" t="s">
        <v>6618</v>
      </c>
      <c r="N9434" s="21" t="s">
        <v>42</v>
      </c>
      <c r="O9434" s="21">
        <f>60+60+60+60+60+60+54</f>
        <v>414</v>
      </c>
      <c r="P9434" s="21"/>
      <c r="Q9434" s="21">
        <f t="shared" si="196"/>
        <v>6</v>
      </c>
      <c r="R9434" s="21">
        <v>1</v>
      </c>
      <c r="S9434" s="21">
        <v>0</v>
      </c>
      <c r="T9434" s="21">
        <v>0</v>
      </c>
      <c r="U9434" s="21">
        <v>0</v>
      </c>
      <c r="V9434" s="21">
        <v>1</v>
      </c>
      <c r="W9434" s="21">
        <v>5</v>
      </c>
      <c r="X9434" s="21">
        <v>0</v>
      </c>
      <c r="Y9434" s="21">
        <v>0</v>
      </c>
      <c r="Z9434" s="21">
        <v>0</v>
      </c>
      <c r="AA9434" s="21">
        <v>0</v>
      </c>
      <c r="AB9434" s="21">
        <v>0</v>
      </c>
      <c r="AC9434" s="21">
        <v>0</v>
      </c>
      <c r="AD9434" s="21">
        <v>0</v>
      </c>
      <c r="AE9434" s="21">
        <v>0</v>
      </c>
      <c r="AF9434" s="21">
        <v>0</v>
      </c>
      <c r="AG9434" s="21">
        <v>0</v>
      </c>
      <c r="AH9434" s="21">
        <f t="shared" si="197"/>
        <v>544</v>
      </c>
      <c r="AI9434" s="21"/>
      <c r="AJ9434" s="21" t="s">
        <v>54</v>
      </c>
      <c r="AK9434" s="21" t="s">
        <v>95</v>
      </c>
      <c r="AL9434" s="21" t="s">
        <v>654</v>
      </c>
      <c r="AM9434" s="21" t="s">
        <v>3118</v>
      </c>
      <c r="AN9434" s="21">
        <v>-122.41724714999999</v>
      </c>
      <c r="AO9434" s="21">
        <v>37.790360333333297</v>
      </c>
      <c r="AP9434" s="21" t="s">
        <v>1915</v>
      </c>
    </row>
    <row r="9435" spans="1:42">
      <c r="A9435" s="20">
        <v>43850</v>
      </c>
      <c r="B9435" s="21">
        <v>1</v>
      </c>
      <c r="C9435" s="21">
        <v>231</v>
      </c>
      <c r="D9435" s="21">
        <v>14468</v>
      </c>
      <c r="E9435" s="21" t="s">
        <v>112</v>
      </c>
      <c r="F9435" s="21" t="s">
        <v>104</v>
      </c>
      <c r="G9435" s="21">
        <v>2</v>
      </c>
      <c r="H9435" s="21">
        <v>66</v>
      </c>
      <c r="I9435" s="21" t="s">
        <v>3119</v>
      </c>
      <c r="J9435" s="21"/>
      <c r="K9435" s="21" t="s">
        <v>828</v>
      </c>
      <c r="L9435" s="21"/>
      <c r="M9435" s="21"/>
      <c r="N9435" s="21" t="s">
        <v>44</v>
      </c>
      <c r="O9435" s="21">
        <f>60+60+4</f>
        <v>124</v>
      </c>
      <c r="P9435" s="21"/>
      <c r="Q9435" s="21">
        <f t="shared" ref="Q9435:Q9498" si="198">SUM(S9435:AE9435)</f>
        <v>1</v>
      </c>
      <c r="R9435" s="21">
        <v>1</v>
      </c>
      <c r="S9435" s="21">
        <v>0</v>
      </c>
      <c r="T9435" s="21">
        <v>0</v>
      </c>
      <c r="U9435" s="21">
        <v>0</v>
      </c>
      <c r="V9435" s="21">
        <v>0</v>
      </c>
      <c r="W9435" s="21">
        <v>1</v>
      </c>
      <c r="X9435" s="21">
        <v>0</v>
      </c>
      <c r="Y9435" s="21">
        <v>0</v>
      </c>
      <c r="Z9435" s="21">
        <v>0</v>
      </c>
      <c r="AA9435" s="21">
        <v>0</v>
      </c>
      <c r="AB9435" s="21">
        <v>0</v>
      </c>
      <c r="AC9435" s="21">
        <v>0</v>
      </c>
      <c r="AD9435" s="21">
        <v>0</v>
      </c>
      <c r="AE9435" s="21">
        <v>0</v>
      </c>
      <c r="AF9435" s="21">
        <v>0</v>
      </c>
      <c r="AG9435" s="21">
        <v>0</v>
      </c>
      <c r="AH9435" s="21">
        <f t="shared" ref="AH9435:AH9498" si="199">(S9435*16)+(T9435*20)+(U9435*32)+(V9435*64)+(W9435*96)</f>
        <v>96</v>
      </c>
      <c r="AI9435" s="21"/>
      <c r="AJ9435" s="21"/>
      <c r="AK9435" s="21"/>
      <c r="AL9435" s="21"/>
      <c r="AM9435" s="21" t="s">
        <v>3120</v>
      </c>
      <c r="AN9435" s="21">
        <v>-122.417496433333</v>
      </c>
      <c r="AO9435" s="21">
        <v>37.790101116666698</v>
      </c>
      <c r="AP9435" s="21" t="s">
        <v>1915</v>
      </c>
    </row>
    <row r="9436" spans="1:42">
      <c r="A9436" s="20">
        <v>43850</v>
      </c>
      <c r="B9436" s="21">
        <v>1</v>
      </c>
      <c r="C9436" s="21">
        <v>231</v>
      </c>
      <c r="D9436" s="21">
        <v>14468</v>
      </c>
      <c r="E9436" s="21" t="s">
        <v>112</v>
      </c>
      <c r="F9436" s="21" t="s">
        <v>104</v>
      </c>
      <c r="G9436" s="21">
        <v>2</v>
      </c>
      <c r="H9436" s="21">
        <v>67</v>
      </c>
      <c r="I9436" s="21" t="s">
        <v>3121</v>
      </c>
      <c r="J9436" s="21"/>
      <c r="K9436" s="21" t="s">
        <v>828</v>
      </c>
      <c r="L9436" s="21"/>
      <c r="M9436" s="21"/>
      <c r="N9436" s="21" t="s">
        <v>44</v>
      </c>
      <c r="O9436" s="21">
        <f>60+60+60+60+17</f>
        <v>257</v>
      </c>
      <c r="P9436" s="21"/>
      <c r="Q9436" s="21">
        <f t="shared" si="198"/>
        <v>3</v>
      </c>
      <c r="R9436" s="21">
        <v>1</v>
      </c>
      <c r="S9436" s="21">
        <v>0</v>
      </c>
      <c r="T9436" s="21">
        <v>0</v>
      </c>
      <c r="U9436" s="21">
        <v>0</v>
      </c>
      <c r="V9436" s="21">
        <v>0</v>
      </c>
      <c r="W9436" s="21">
        <v>3</v>
      </c>
      <c r="X9436" s="21">
        <v>0</v>
      </c>
      <c r="Y9436" s="21">
        <v>0</v>
      </c>
      <c r="Z9436" s="21">
        <v>0</v>
      </c>
      <c r="AA9436" s="21">
        <v>0</v>
      </c>
      <c r="AB9436" s="21">
        <v>0</v>
      </c>
      <c r="AC9436" s="21">
        <v>0</v>
      </c>
      <c r="AD9436" s="21">
        <v>0</v>
      </c>
      <c r="AE9436" s="21">
        <v>0</v>
      </c>
      <c r="AF9436" s="21">
        <v>0</v>
      </c>
      <c r="AG9436" s="21">
        <v>0</v>
      </c>
      <c r="AH9436" s="21">
        <f t="shared" si="199"/>
        <v>288</v>
      </c>
      <c r="AI9436" s="21"/>
      <c r="AJ9436" s="21"/>
      <c r="AK9436" s="21"/>
      <c r="AL9436" s="21"/>
      <c r="AM9436" s="21" t="s">
        <v>3122</v>
      </c>
      <c r="AN9436" s="21">
        <v>-122.417218366667</v>
      </c>
      <c r="AO9436" s="21">
        <v>37.789752183333299</v>
      </c>
      <c r="AP9436" s="21" t="s">
        <v>1915</v>
      </c>
    </row>
    <row r="9437" spans="1:42">
      <c r="A9437" s="20">
        <v>43850</v>
      </c>
      <c r="B9437" s="21">
        <v>1</v>
      </c>
      <c r="C9437" s="21">
        <v>231</v>
      </c>
      <c r="D9437" s="21">
        <v>14468</v>
      </c>
      <c r="E9437" s="21" t="s">
        <v>112</v>
      </c>
      <c r="F9437" s="21" t="s">
        <v>104</v>
      </c>
      <c r="G9437" s="21">
        <v>2</v>
      </c>
      <c r="H9437" s="21">
        <v>68</v>
      </c>
      <c r="I9437" s="21" t="s">
        <v>3123</v>
      </c>
      <c r="J9437" s="21"/>
      <c r="K9437" s="21" t="s">
        <v>828</v>
      </c>
      <c r="L9437" s="21"/>
      <c r="M9437" s="21"/>
      <c r="N9437" s="21" t="s">
        <v>40</v>
      </c>
      <c r="O9437" s="21">
        <f>60+23</f>
        <v>83</v>
      </c>
      <c r="P9437" s="21"/>
      <c r="Q9437" s="21">
        <f t="shared" si="198"/>
        <v>1</v>
      </c>
      <c r="R9437" s="21">
        <v>1</v>
      </c>
      <c r="S9437" s="21">
        <v>0</v>
      </c>
      <c r="T9437" s="21">
        <v>0</v>
      </c>
      <c r="U9437" s="21">
        <v>1</v>
      </c>
      <c r="V9437" s="21">
        <v>0</v>
      </c>
      <c r="W9437" s="21">
        <v>0</v>
      </c>
      <c r="X9437" s="21">
        <v>0</v>
      </c>
      <c r="Y9437" s="21">
        <v>0</v>
      </c>
      <c r="Z9437" s="21">
        <v>0</v>
      </c>
      <c r="AA9437" s="21">
        <v>0</v>
      </c>
      <c r="AB9437" s="21">
        <v>0</v>
      </c>
      <c r="AC9437" s="21">
        <v>0</v>
      </c>
      <c r="AD9437" s="21">
        <v>0</v>
      </c>
      <c r="AE9437" s="21">
        <v>0</v>
      </c>
      <c r="AF9437" s="21">
        <v>0</v>
      </c>
      <c r="AG9437" s="21">
        <v>0</v>
      </c>
      <c r="AH9437" s="21">
        <f t="shared" si="199"/>
        <v>32</v>
      </c>
      <c r="AI9437" s="21"/>
      <c r="AJ9437" s="21" t="s">
        <v>51</v>
      </c>
      <c r="AK9437" s="21" t="s">
        <v>95</v>
      </c>
      <c r="AL9437" s="21" t="s">
        <v>456</v>
      </c>
      <c r="AM9437" s="21" t="s">
        <v>3124</v>
      </c>
      <c r="AN9437" s="21">
        <v>-122.417107266667</v>
      </c>
      <c r="AO9437" s="21">
        <v>37.789235683333303</v>
      </c>
      <c r="AP9437" s="21" t="s">
        <v>1915</v>
      </c>
    </row>
    <row r="9438" spans="1:42">
      <c r="A9438" s="20">
        <v>43850</v>
      </c>
      <c r="B9438" s="21">
        <v>1</v>
      </c>
      <c r="C9438" s="21">
        <v>231</v>
      </c>
      <c r="D9438" s="21">
        <v>14468</v>
      </c>
      <c r="E9438" s="21" t="s">
        <v>112</v>
      </c>
      <c r="F9438" s="21" t="s">
        <v>104</v>
      </c>
      <c r="G9438" s="21">
        <v>2</v>
      </c>
      <c r="H9438" s="21">
        <v>69</v>
      </c>
      <c r="I9438" s="21" t="s">
        <v>3000</v>
      </c>
      <c r="J9438" s="21"/>
      <c r="K9438" s="21" t="s">
        <v>46</v>
      </c>
      <c r="L9438" s="21"/>
      <c r="M9438" s="21"/>
      <c r="N9438" s="21" t="s">
        <v>40</v>
      </c>
      <c r="O9438" s="21">
        <f>60+20</f>
        <v>80</v>
      </c>
      <c r="P9438" s="21"/>
      <c r="Q9438" s="21">
        <f t="shared" si="198"/>
        <v>2</v>
      </c>
      <c r="R9438" s="21">
        <v>1</v>
      </c>
      <c r="S9438" s="21">
        <v>0</v>
      </c>
      <c r="T9438" s="21">
        <v>0</v>
      </c>
      <c r="U9438" s="21">
        <v>0</v>
      </c>
      <c r="V9438" s="21">
        <v>0</v>
      </c>
      <c r="W9438" s="21">
        <v>2</v>
      </c>
      <c r="X9438" s="21">
        <v>0</v>
      </c>
      <c r="Y9438" s="21">
        <v>0</v>
      </c>
      <c r="Z9438" s="21">
        <v>0</v>
      </c>
      <c r="AA9438" s="21">
        <v>0</v>
      </c>
      <c r="AB9438" s="21">
        <v>0</v>
      </c>
      <c r="AC9438" s="21">
        <v>0</v>
      </c>
      <c r="AD9438" s="21">
        <v>0</v>
      </c>
      <c r="AE9438" s="21">
        <v>0</v>
      </c>
      <c r="AF9438" s="21">
        <v>0</v>
      </c>
      <c r="AG9438" s="21">
        <v>0</v>
      </c>
      <c r="AH9438" s="21">
        <f t="shared" si="199"/>
        <v>192</v>
      </c>
      <c r="AI9438" s="21"/>
      <c r="AJ9438" s="21" t="s">
        <v>51</v>
      </c>
      <c r="AK9438" s="21" t="s">
        <v>95</v>
      </c>
      <c r="AL9438" s="21" t="s">
        <v>3125</v>
      </c>
      <c r="AM9438" s="21" t="s">
        <v>3126</v>
      </c>
      <c r="AN9438" s="21">
        <v>-122.41623161666701</v>
      </c>
      <c r="AO9438" s="21">
        <v>37.789270316666602</v>
      </c>
      <c r="AP9438" s="21" t="s">
        <v>1915</v>
      </c>
    </row>
    <row r="9439" spans="1:42">
      <c r="A9439" s="20">
        <v>43850</v>
      </c>
      <c r="B9439" s="21">
        <v>1</v>
      </c>
      <c r="C9439" s="21">
        <v>231</v>
      </c>
      <c r="D9439" s="21">
        <v>14468</v>
      </c>
      <c r="E9439" s="21" t="s">
        <v>112</v>
      </c>
      <c r="F9439" s="21" t="s">
        <v>104</v>
      </c>
      <c r="G9439" s="21">
        <v>2</v>
      </c>
      <c r="H9439" s="21">
        <v>70</v>
      </c>
      <c r="I9439" s="21" t="s">
        <v>3127</v>
      </c>
      <c r="J9439" s="21"/>
      <c r="K9439" s="21" t="s">
        <v>46</v>
      </c>
      <c r="L9439" s="21" t="s">
        <v>141</v>
      </c>
      <c r="M9439" s="21"/>
      <c r="N9439" s="21" t="s">
        <v>44</v>
      </c>
      <c r="O9439" s="21">
        <f>60+60+60+21</f>
        <v>201</v>
      </c>
      <c r="P9439" s="21"/>
      <c r="Q9439" s="21">
        <f t="shared" si="198"/>
        <v>2</v>
      </c>
      <c r="R9439" s="21">
        <v>1</v>
      </c>
      <c r="S9439" s="21">
        <v>0</v>
      </c>
      <c r="T9439" s="21">
        <v>0</v>
      </c>
      <c r="U9439" s="21">
        <v>0</v>
      </c>
      <c r="V9439" s="21">
        <v>0</v>
      </c>
      <c r="W9439" s="21">
        <v>2</v>
      </c>
      <c r="X9439" s="21">
        <v>0</v>
      </c>
      <c r="Y9439" s="21">
        <v>0</v>
      </c>
      <c r="Z9439" s="21">
        <v>0</v>
      </c>
      <c r="AA9439" s="21">
        <v>0</v>
      </c>
      <c r="AB9439" s="21">
        <v>0</v>
      </c>
      <c r="AC9439" s="21">
        <v>0</v>
      </c>
      <c r="AD9439" s="21">
        <v>0</v>
      </c>
      <c r="AE9439" s="21">
        <v>0</v>
      </c>
      <c r="AF9439" s="21">
        <v>0</v>
      </c>
      <c r="AG9439" s="21">
        <v>0</v>
      </c>
      <c r="AH9439" s="21">
        <f t="shared" si="199"/>
        <v>192</v>
      </c>
      <c r="AI9439" s="21"/>
      <c r="AJ9439" s="21" t="s">
        <v>51</v>
      </c>
      <c r="AK9439" s="21" t="s">
        <v>52</v>
      </c>
      <c r="AL9439" s="21" t="s">
        <v>3128</v>
      </c>
      <c r="AM9439" s="21" t="s">
        <v>3129</v>
      </c>
      <c r="AN9439" s="21">
        <v>-122.41577246666699</v>
      </c>
      <c r="AO9439" s="21">
        <v>37.789306750000002</v>
      </c>
      <c r="AP9439" s="21" t="s">
        <v>1915</v>
      </c>
    </row>
    <row r="9440" spans="1:42">
      <c r="A9440" s="20">
        <v>43850</v>
      </c>
      <c r="B9440" s="21">
        <v>1</v>
      </c>
      <c r="C9440" s="21">
        <v>231</v>
      </c>
      <c r="D9440" s="21">
        <v>14468</v>
      </c>
      <c r="E9440" s="21" t="s">
        <v>112</v>
      </c>
      <c r="F9440" s="21" t="s">
        <v>104</v>
      </c>
      <c r="G9440" s="21">
        <v>2</v>
      </c>
      <c r="H9440" s="21">
        <v>71</v>
      </c>
      <c r="I9440" s="21" t="s">
        <v>3005</v>
      </c>
      <c r="J9440" s="21"/>
      <c r="K9440" s="21" t="s">
        <v>69</v>
      </c>
      <c r="L9440" s="21"/>
      <c r="M9440" s="21"/>
      <c r="N9440" s="21" t="s">
        <v>42</v>
      </c>
      <c r="O9440" s="21">
        <f>60+60+60+60+60+60+58</f>
        <v>418</v>
      </c>
      <c r="P9440" s="21"/>
      <c r="Q9440" s="21">
        <f t="shared" si="198"/>
        <v>7</v>
      </c>
      <c r="R9440" s="21">
        <v>1</v>
      </c>
      <c r="S9440" s="21">
        <v>0</v>
      </c>
      <c r="T9440" s="21">
        <v>0</v>
      </c>
      <c r="U9440" s="21">
        <v>1</v>
      </c>
      <c r="V9440" s="21">
        <v>6</v>
      </c>
      <c r="W9440" s="21">
        <v>0</v>
      </c>
      <c r="X9440" s="21">
        <v>0</v>
      </c>
      <c r="Y9440" s="21">
        <v>0</v>
      </c>
      <c r="Z9440" s="21">
        <v>0</v>
      </c>
      <c r="AA9440" s="21">
        <v>0</v>
      </c>
      <c r="AB9440" s="21">
        <v>0</v>
      </c>
      <c r="AC9440" s="21">
        <v>0</v>
      </c>
      <c r="AD9440" s="21">
        <v>0</v>
      </c>
      <c r="AE9440" s="21">
        <v>0</v>
      </c>
      <c r="AF9440" s="21">
        <v>0</v>
      </c>
      <c r="AG9440" s="21">
        <v>0</v>
      </c>
      <c r="AH9440" s="21">
        <f t="shared" si="199"/>
        <v>416</v>
      </c>
      <c r="AI9440" s="21"/>
      <c r="AJ9440" s="21" t="s">
        <v>54</v>
      </c>
      <c r="AK9440" s="21" t="s">
        <v>95</v>
      </c>
      <c r="AL9440" s="21" t="s">
        <v>3130</v>
      </c>
      <c r="AM9440" s="21" t="s">
        <v>3131</v>
      </c>
      <c r="AN9440" s="21">
        <v>-122.416675833333</v>
      </c>
      <c r="AO9440" s="21">
        <v>37.7900319833333</v>
      </c>
      <c r="AP9440" s="21" t="s">
        <v>1915</v>
      </c>
    </row>
    <row r="9441" spans="1:42">
      <c r="A9441" s="20">
        <v>43850</v>
      </c>
      <c r="B9441" s="21">
        <v>1</v>
      </c>
      <c r="C9441" s="21">
        <v>231</v>
      </c>
      <c r="D9441" s="21">
        <v>14468</v>
      </c>
      <c r="E9441" s="21" t="s">
        <v>112</v>
      </c>
      <c r="F9441" s="21" t="s">
        <v>104</v>
      </c>
      <c r="G9441" s="21">
        <v>2</v>
      </c>
      <c r="H9441" s="21">
        <v>72</v>
      </c>
      <c r="I9441" s="21" t="s">
        <v>3123</v>
      </c>
      <c r="J9441" s="21"/>
      <c r="K9441" s="21" t="s">
        <v>828</v>
      </c>
      <c r="L9441" s="21"/>
      <c r="M9441" s="21"/>
      <c r="N9441" s="21" t="s">
        <v>44</v>
      </c>
      <c r="O9441" s="21">
        <f>60+60+60+22</f>
        <v>202</v>
      </c>
      <c r="P9441" s="21"/>
      <c r="Q9441" s="21">
        <f t="shared" si="198"/>
        <v>2</v>
      </c>
      <c r="R9441" s="21">
        <v>1</v>
      </c>
      <c r="S9441" s="21">
        <v>0</v>
      </c>
      <c r="T9441" s="21">
        <v>0</v>
      </c>
      <c r="U9441" s="21">
        <v>0</v>
      </c>
      <c r="V9441" s="21">
        <v>0</v>
      </c>
      <c r="W9441" s="21">
        <v>2</v>
      </c>
      <c r="X9441" s="21">
        <v>0</v>
      </c>
      <c r="Y9441" s="21">
        <v>0</v>
      </c>
      <c r="Z9441" s="21">
        <v>0</v>
      </c>
      <c r="AA9441" s="21">
        <v>0</v>
      </c>
      <c r="AB9441" s="21">
        <v>0</v>
      </c>
      <c r="AC9441" s="21">
        <v>0</v>
      </c>
      <c r="AD9441" s="21">
        <v>0</v>
      </c>
      <c r="AE9441" s="21">
        <v>0</v>
      </c>
      <c r="AF9441" s="21">
        <v>0</v>
      </c>
      <c r="AG9441" s="21">
        <v>0</v>
      </c>
      <c r="AH9441" s="21">
        <f t="shared" si="199"/>
        <v>192</v>
      </c>
      <c r="AI9441" s="21"/>
      <c r="AJ9441" s="21" t="s">
        <v>54</v>
      </c>
      <c r="AK9441" s="21" t="s">
        <v>95</v>
      </c>
      <c r="AL9441" s="21" t="s">
        <v>3132</v>
      </c>
      <c r="AM9441" s="21" t="s">
        <v>3133</v>
      </c>
      <c r="AN9441" s="21">
        <v>-122.416410116667</v>
      </c>
      <c r="AO9441" s="21">
        <v>37.788711883333299</v>
      </c>
      <c r="AP9441" s="21" t="s">
        <v>1915</v>
      </c>
    </row>
    <row r="9442" spans="1:42">
      <c r="A9442" s="20">
        <v>43850</v>
      </c>
      <c r="B9442" s="21">
        <v>1</v>
      </c>
      <c r="C9442" s="21">
        <v>231</v>
      </c>
      <c r="D9442" s="21">
        <v>14468</v>
      </c>
      <c r="E9442" s="21" t="s">
        <v>112</v>
      </c>
      <c r="F9442" s="21" t="s">
        <v>104</v>
      </c>
      <c r="G9442" s="21">
        <v>2</v>
      </c>
      <c r="H9442" s="21">
        <v>73</v>
      </c>
      <c r="I9442" s="21" t="s">
        <v>3134</v>
      </c>
      <c r="J9442" s="21"/>
      <c r="K9442" s="21" t="s">
        <v>828</v>
      </c>
      <c r="L9442" s="21"/>
      <c r="M9442" s="21"/>
      <c r="N9442" s="21" t="s">
        <v>44</v>
      </c>
      <c r="O9442" s="21">
        <f>60+60+60+40</f>
        <v>220</v>
      </c>
      <c r="P9442" s="21"/>
      <c r="Q9442" s="21">
        <f t="shared" si="198"/>
        <v>2</v>
      </c>
      <c r="R9442" s="21">
        <v>1</v>
      </c>
      <c r="S9442" s="21">
        <v>0</v>
      </c>
      <c r="T9442" s="21">
        <v>0</v>
      </c>
      <c r="U9442" s="21">
        <v>0</v>
      </c>
      <c r="V9442" s="21">
        <v>0</v>
      </c>
      <c r="W9442" s="21">
        <v>2</v>
      </c>
      <c r="X9442" s="21">
        <v>0</v>
      </c>
      <c r="Y9442" s="21">
        <v>0</v>
      </c>
      <c r="Z9442" s="21">
        <v>0</v>
      </c>
      <c r="AA9442" s="21">
        <v>0</v>
      </c>
      <c r="AB9442" s="21">
        <v>0</v>
      </c>
      <c r="AC9442" s="21">
        <v>0</v>
      </c>
      <c r="AD9442" s="21">
        <v>0</v>
      </c>
      <c r="AE9442" s="21">
        <v>0</v>
      </c>
      <c r="AF9442" s="21">
        <v>0</v>
      </c>
      <c r="AG9442" s="21">
        <v>0</v>
      </c>
      <c r="AH9442" s="21">
        <f t="shared" si="199"/>
        <v>192</v>
      </c>
      <c r="AI9442" s="21"/>
      <c r="AJ9442" s="21" t="s">
        <v>3135</v>
      </c>
      <c r="AK9442" s="21" t="s">
        <v>52</v>
      </c>
      <c r="AL9442" s="21"/>
      <c r="AM9442" s="21" t="s">
        <v>3136</v>
      </c>
      <c r="AN9442" s="21">
        <v>-122.416617066667</v>
      </c>
      <c r="AO9442" s="21">
        <v>37.788603583333298</v>
      </c>
      <c r="AP9442" s="21" t="s">
        <v>1915</v>
      </c>
    </row>
    <row r="9443" spans="1:42">
      <c r="A9443" s="20">
        <v>43850</v>
      </c>
      <c r="B9443" s="21">
        <v>1</v>
      </c>
      <c r="C9443" s="21">
        <v>231</v>
      </c>
      <c r="D9443" s="21">
        <v>14468</v>
      </c>
      <c r="E9443" s="21" t="s">
        <v>112</v>
      </c>
      <c r="F9443" s="21" t="s">
        <v>104</v>
      </c>
      <c r="G9443" s="21">
        <v>2</v>
      </c>
      <c r="H9443" s="21">
        <v>74</v>
      </c>
      <c r="I9443" s="21" t="s">
        <v>3137</v>
      </c>
      <c r="J9443" s="21"/>
      <c r="K9443" s="21" t="s">
        <v>828</v>
      </c>
      <c r="L9443" s="21"/>
      <c r="M9443" s="21"/>
      <c r="N9443" s="21" t="s">
        <v>40</v>
      </c>
      <c r="O9443" s="21">
        <v>40</v>
      </c>
      <c r="P9443" s="21"/>
      <c r="Q9443" s="21">
        <f t="shared" si="198"/>
        <v>0</v>
      </c>
      <c r="R9443" s="21">
        <v>1</v>
      </c>
      <c r="S9443" s="21">
        <v>0</v>
      </c>
      <c r="T9443" s="21">
        <v>0</v>
      </c>
      <c r="U9443" s="21">
        <v>0</v>
      </c>
      <c r="V9443" s="21">
        <v>0</v>
      </c>
      <c r="W9443" s="21">
        <v>0</v>
      </c>
      <c r="X9443" s="21">
        <v>0</v>
      </c>
      <c r="Y9443" s="21">
        <v>0</v>
      </c>
      <c r="Z9443" s="21">
        <v>0</v>
      </c>
      <c r="AA9443" s="21">
        <v>0</v>
      </c>
      <c r="AB9443" s="21">
        <v>0</v>
      </c>
      <c r="AC9443" s="21">
        <v>0</v>
      </c>
      <c r="AD9443" s="21">
        <v>0</v>
      </c>
      <c r="AE9443" s="21">
        <v>0</v>
      </c>
      <c r="AF9443" s="21">
        <v>0</v>
      </c>
      <c r="AG9443" s="21">
        <v>0</v>
      </c>
      <c r="AH9443" s="21">
        <f t="shared" si="199"/>
        <v>0</v>
      </c>
      <c r="AI9443" s="21"/>
      <c r="AJ9443" s="21" t="s">
        <v>54</v>
      </c>
      <c r="AK9443" s="21" t="s">
        <v>52</v>
      </c>
      <c r="AL9443" s="21"/>
      <c r="AM9443" s="21" t="s">
        <v>3138</v>
      </c>
      <c r="AN9443" s="21">
        <v>-122.41675783333299</v>
      </c>
      <c r="AO9443" s="21">
        <v>37.788582116666703</v>
      </c>
      <c r="AP9443" s="21" t="s">
        <v>1915</v>
      </c>
    </row>
    <row r="9444" spans="1:42">
      <c r="A9444" s="20">
        <v>43850</v>
      </c>
      <c r="B9444" s="21">
        <v>1</v>
      </c>
      <c r="C9444" s="21">
        <v>231</v>
      </c>
      <c r="D9444" s="21">
        <v>14468</v>
      </c>
      <c r="E9444" s="21" t="s">
        <v>112</v>
      </c>
      <c r="F9444" s="21" t="s">
        <v>104</v>
      </c>
      <c r="G9444" s="21">
        <v>2</v>
      </c>
      <c r="H9444" s="21">
        <v>75</v>
      </c>
      <c r="I9444" s="21" t="s">
        <v>3137</v>
      </c>
      <c r="J9444" s="21"/>
      <c r="K9444" s="21" t="s">
        <v>3139</v>
      </c>
      <c r="L9444" s="21"/>
      <c r="M9444" s="21" t="s">
        <v>6618</v>
      </c>
      <c r="N9444" s="21" t="s">
        <v>44</v>
      </c>
      <c r="O9444" s="21">
        <f>60+60+60+60+60+60+60+19</f>
        <v>439</v>
      </c>
      <c r="P9444" s="21"/>
      <c r="Q9444" s="21">
        <f t="shared" si="198"/>
        <v>9</v>
      </c>
      <c r="R9444" s="21">
        <v>1</v>
      </c>
      <c r="S9444" s="21">
        <v>0</v>
      </c>
      <c r="T9444" s="21">
        <v>0</v>
      </c>
      <c r="U9444" s="21">
        <v>0</v>
      </c>
      <c r="V9444" s="21">
        <v>2</v>
      </c>
      <c r="W9444" s="21">
        <v>7</v>
      </c>
      <c r="X9444" s="21">
        <v>0</v>
      </c>
      <c r="Y9444" s="21">
        <v>0</v>
      </c>
      <c r="Z9444" s="21">
        <v>0</v>
      </c>
      <c r="AA9444" s="21">
        <v>0</v>
      </c>
      <c r="AB9444" s="21">
        <v>0</v>
      </c>
      <c r="AC9444" s="21">
        <v>0</v>
      </c>
      <c r="AD9444" s="21">
        <v>0</v>
      </c>
      <c r="AE9444" s="21">
        <v>0</v>
      </c>
      <c r="AF9444" s="21">
        <v>0</v>
      </c>
      <c r="AG9444" s="21">
        <v>0</v>
      </c>
      <c r="AH9444" s="21">
        <f t="shared" si="199"/>
        <v>800</v>
      </c>
      <c r="AI9444" s="21"/>
      <c r="AJ9444" s="21" t="s">
        <v>54</v>
      </c>
      <c r="AK9444" s="21" t="s">
        <v>52</v>
      </c>
      <c r="AL9444" s="21"/>
      <c r="AM9444" s="21" t="s">
        <v>3140</v>
      </c>
      <c r="AN9444" s="21">
        <v>-122.416743383333</v>
      </c>
      <c r="AO9444" s="21">
        <v>37.788333966666698</v>
      </c>
      <c r="AP9444" s="21" t="s">
        <v>1915</v>
      </c>
    </row>
    <row r="9445" spans="1:42">
      <c r="A9445" s="20">
        <v>43850</v>
      </c>
      <c r="B9445" s="21">
        <v>1</v>
      </c>
      <c r="C9445" s="21">
        <v>231</v>
      </c>
      <c r="D9445" s="21">
        <v>14468</v>
      </c>
      <c r="E9445" s="21" t="s">
        <v>112</v>
      </c>
      <c r="F9445" s="21" t="s">
        <v>104</v>
      </c>
      <c r="G9445" s="21">
        <v>2</v>
      </c>
      <c r="H9445" s="21">
        <v>76</v>
      </c>
      <c r="I9445" s="21" t="s">
        <v>3000</v>
      </c>
      <c r="J9445" s="21"/>
      <c r="K9445" s="21" t="s">
        <v>3141</v>
      </c>
      <c r="L9445" s="21"/>
      <c r="M9445" s="21"/>
      <c r="N9445" s="21" t="s">
        <v>44</v>
      </c>
      <c r="O9445" s="21">
        <f>60+60+60+60+60+60+60+60+60+17</f>
        <v>557</v>
      </c>
      <c r="P9445" s="21"/>
      <c r="Q9445" s="21">
        <f t="shared" si="198"/>
        <v>5</v>
      </c>
      <c r="R9445" s="21">
        <v>1</v>
      </c>
      <c r="S9445" s="21">
        <v>0</v>
      </c>
      <c r="T9445" s="21">
        <v>0</v>
      </c>
      <c r="U9445" s="21">
        <v>0</v>
      </c>
      <c r="V9445" s="21">
        <v>2</v>
      </c>
      <c r="W9445" s="21">
        <v>3</v>
      </c>
      <c r="X9445" s="21">
        <v>0</v>
      </c>
      <c r="Y9445" s="21">
        <v>0</v>
      </c>
      <c r="Z9445" s="21">
        <v>0</v>
      </c>
      <c r="AA9445" s="21">
        <v>0</v>
      </c>
      <c r="AB9445" s="21">
        <v>0</v>
      </c>
      <c r="AC9445" s="21">
        <v>0</v>
      </c>
      <c r="AD9445" s="21">
        <v>0</v>
      </c>
      <c r="AE9445" s="21">
        <v>0</v>
      </c>
      <c r="AF9445" s="21">
        <v>0</v>
      </c>
      <c r="AG9445" s="21">
        <v>0</v>
      </c>
      <c r="AH9445" s="21">
        <f t="shared" si="199"/>
        <v>416</v>
      </c>
      <c r="AI9445" s="21"/>
      <c r="AJ9445" s="21" t="s">
        <v>54</v>
      </c>
      <c r="AK9445" s="21" t="s">
        <v>95</v>
      </c>
      <c r="AL9445" s="21" t="s">
        <v>3142</v>
      </c>
      <c r="AM9445" s="21" t="s">
        <v>3143</v>
      </c>
      <c r="AN9445" s="21">
        <v>-122.41861873333301</v>
      </c>
      <c r="AO9445" s="21">
        <v>37.788293316666703</v>
      </c>
      <c r="AP9445" s="21" t="s">
        <v>1915</v>
      </c>
    </row>
    <row r="9446" spans="1:42">
      <c r="A9446" s="20">
        <v>43850</v>
      </c>
      <c r="B9446" s="21">
        <v>1</v>
      </c>
      <c r="C9446" s="21">
        <v>231</v>
      </c>
      <c r="D9446" s="21">
        <v>14468</v>
      </c>
      <c r="E9446" s="21" t="s">
        <v>112</v>
      </c>
      <c r="F9446" s="21" t="s">
        <v>104</v>
      </c>
      <c r="G9446" s="21">
        <v>2</v>
      </c>
      <c r="H9446" s="21">
        <v>77</v>
      </c>
      <c r="I9446" s="21" t="s">
        <v>3144</v>
      </c>
      <c r="J9446" s="21"/>
      <c r="K9446" s="21" t="s">
        <v>70</v>
      </c>
      <c r="L9446" s="21"/>
      <c r="M9446" s="21"/>
      <c r="N9446" s="21" t="s">
        <v>44</v>
      </c>
      <c r="O9446" s="21">
        <f>60+60+43</f>
        <v>163</v>
      </c>
      <c r="P9446" s="21"/>
      <c r="Q9446" s="21">
        <f t="shared" si="198"/>
        <v>2</v>
      </c>
      <c r="R9446" s="21">
        <v>1</v>
      </c>
      <c r="S9446" s="21">
        <v>0</v>
      </c>
      <c r="T9446" s="21">
        <v>0</v>
      </c>
      <c r="U9446" s="21">
        <v>0</v>
      </c>
      <c r="V9446" s="21">
        <v>1</v>
      </c>
      <c r="W9446" s="21">
        <v>1</v>
      </c>
      <c r="X9446" s="21">
        <v>0</v>
      </c>
      <c r="Y9446" s="21">
        <v>0</v>
      </c>
      <c r="Z9446" s="21">
        <v>0</v>
      </c>
      <c r="AA9446" s="21">
        <v>0</v>
      </c>
      <c r="AB9446" s="21">
        <v>0</v>
      </c>
      <c r="AC9446" s="21">
        <v>0</v>
      </c>
      <c r="AD9446" s="21">
        <v>0</v>
      </c>
      <c r="AE9446" s="21">
        <v>0</v>
      </c>
      <c r="AF9446" s="21">
        <v>0</v>
      </c>
      <c r="AG9446" s="21">
        <v>0</v>
      </c>
      <c r="AH9446" s="21">
        <f t="shared" si="199"/>
        <v>160</v>
      </c>
      <c r="AI9446" s="21"/>
      <c r="AJ9446" s="21" t="s">
        <v>54</v>
      </c>
      <c r="AK9446" s="21" t="s">
        <v>52</v>
      </c>
      <c r="AL9446" s="21" t="s">
        <v>3145</v>
      </c>
      <c r="AM9446" s="21" t="s">
        <v>3146</v>
      </c>
      <c r="AN9446" s="21">
        <v>-122.418314331647</v>
      </c>
      <c r="AO9446" s="21">
        <v>37.787916250878801</v>
      </c>
      <c r="AP9446" s="21" t="s">
        <v>1915</v>
      </c>
    </row>
    <row r="9447" spans="1:42">
      <c r="A9447" s="20">
        <v>43850</v>
      </c>
      <c r="B9447" s="21">
        <v>1</v>
      </c>
      <c r="C9447" s="21">
        <v>231</v>
      </c>
      <c r="D9447" s="21">
        <v>14468</v>
      </c>
      <c r="E9447" s="21" t="s">
        <v>112</v>
      </c>
      <c r="F9447" s="21" t="s">
        <v>104</v>
      </c>
      <c r="G9447" s="21">
        <v>2</v>
      </c>
      <c r="H9447" s="21">
        <v>78</v>
      </c>
      <c r="I9447" s="21" t="s">
        <v>3005</v>
      </c>
      <c r="J9447" s="21"/>
      <c r="K9447" s="21" t="s">
        <v>46</v>
      </c>
      <c r="L9447" s="21"/>
      <c r="M9447" s="21"/>
      <c r="N9447" s="21" t="s">
        <v>44</v>
      </c>
      <c r="O9447" s="21">
        <f>60+60+26</f>
        <v>146</v>
      </c>
      <c r="P9447" s="21"/>
      <c r="Q9447" s="21">
        <f t="shared" si="198"/>
        <v>1</v>
      </c>
      <c r="R9447" s="21">
        <v>1</v>
      </c>
      <c r="S9447" s="21">
        <v>0</v>
      </c>
      <c r="T9447" s="21">
        <v>0</v>
      </c>
      <c r="U9447" s="21">
        <v>0</v>
      </c>
      <c r="V9447" s="21">
        <v>0</v>
      </c>
      <c r="W9447" s="21">
        <v>1</v>
      </c>
      <c r="X9447" s="21">
        <v>0</v>
      </c>
      <c r="Y9447" s="21">
        <v>0</v>
      </c>
      <c r="Z9447" s="21">
        <v>0</v>
      </c>
      <c r="AA9447" s="21">
        <v>0</v>
      </c>
      <c r="AB9447" s="21">
        <v>0</v>
      </c>
      <c r="AC9447" s="21">
        <v>0</v>
      </c>
      <c r="AD9447" s="21">
        <v>0</v>
      </c>
      <c r="AE9447" s="21">
        <v>0</v>
      </c>
      <c r="AF9447" s="21">
        <v>0</v>
      </c>
      <c r="AG9447" s="21">
        <v>0</v>
      </c>
      <c r="AH9447" s="21">
        <f t="shared" si="199"/>
        <v>96</v>
      </c>
      <c r="AI9447" s="21"/>
      <c r="AJ9447" s="21" t="s">
        <v>6621</v>
      </c>
      <c r="AK9447" s="21" t="s">
        <v>95</v>
      </c>
      <c r="AL9447" s="21"/>
      <c r="AM9447" s="21" t="s">
        <v>3147</v>
      </c>
      <c r="AN9447" s="21">
        <v>-122.41825728333301</v>
      </c>
      <c r="AO9447" s="21">
        <v>37.789021283333298</v>
      </c>
      <c r="AP9447" s="21" t="s">
        <v>1915</v>
      </c>
    </row>
    <row r="9448" spans="1:42">
      <c r="A9448" s="20">
        <v>43850</v>
      </c>
      <c r="B9448" s="21">
        <v>1</v>
      </c>
      <c r="C9448" s="21">
        <v>231</v>
      </c>
      <c r="D9448" s="21">
        <v>14468</v>
      </c>
      <c r="E9448" s="21" t="s">
        <v>112</v>
      </c>
      <c r="F9448" s="21" t="s">
        <v>104</v>
      </c>
      <c r="G9448" s="21">
        <v>2</v>
      </c>
      <c r="H9448" s="21">
        <v>79</v>
      </c>
      <c r="I9448" s="21" t="s">
        <v>3148</v>
      </c>
      <c r="J9448" s="21"/>
      <c r="K9448" s="21" t="s">
        <v>46</v>
      </c>
      <c r="L9448" s="21" t="s">
        <v>141</v>
      </c>
      <c r="M9448" s="21"/>
      <c r="N9448" s="21" t="s">
        <v>40</v>
      </c>
      <c r="O9448" s="21">
        <f>60+60+60+60+25</f>
        <v>265</v>
      </c>
      <c r="P9448" s="21"/>
      <c r="Q9448" s="21">
        <f t="shared" si="198"/>
        <v>4</v>
      </c>
      <c r="R9448" s="21">
        <v>1</v>
      </c>
      <c r="S9448" s="21">
        <v>0</v>
      </c>
      <c r="T9448" s="21">
        <v>0</v>
      </c>
      <c r="U9448" s="21">
        <v>0</v>
      </c>
      <c r="V9448" s="21">
        <v>0</v>
      </c>
      <c r="W9448" s="21">
        <v>4</v>
      </c>
      <c r="X9448" s="21">
        <v>0</v>
      </c>
      <c r="Y9448" s="21">
        <v>0</v>
      </c>
      <c r="Z9448" s="21">
        <v>0</v>
      </c>
      <c r="AA9448" s="21">
        <v>0</v>
      </c>
      <c r="AB9448" s="21">
        <v>0</v>
      </c>
      <c r="AC9448" s="21">
        <v>0</v>
      </c>
      <c r="AD9448" s="21">
        <v>0</v>
      </c>
      <c r="AE9448" s="21">
        <v>0</v>
      </c>
      <c r="AF9448" s="21">
        <v>0</v>
      </c>
      <c r="AG9448" s="21">
        <v>0</v>
      </c>
      <c r="AH9448" s="21">
        <f t="shared" si="199"/>
        <v>384</v>
      </c>
      <c r="AI9448" s="21"/>
      <c r="AJ9448" s="21" t="s">
        <v>54</v>
      </c>
      <c r="AK9448" s="21" t="s">
        <v>95</v>
      </c>
      <c r="AL9448" s="21"/>
      <c r="AM9448" s="21" t="s">
        <v>3149</v>
      </c>
      <c r="AN9448" s="21">
        <v>-122.41789281666701</v>
      </c>
      <c r="AO9448" s="21">
        <v>37.789047183333302</v>
      </c>
      <c r="AP9448" s="21" t="s">
        <v>1915</v>
      </c>
    </row>
    <row r="9449" spans="1:42">
      <c r="A9449" s="20">
        <v>43850</v>
      </c>
      <c r="B9449" s="21">
        <v>1</v>
      </c>
      <c r="C9449" s="21">
        <v>231</v>
      </c>
      <c r="D9449" s="21">
        <v>14468</v>
      </c>
      <c r="E9449" s="21" t="s">
        <v>112</v>
      </c>
      <c r="F9449" s="21" t="s">
        <v>104</v>
      </c>
      <c r="G9449" s="21">
        <v>2</v>
      </c>
      <c r="H9449" s="21">
        <v>80</v>
      </c>
      <c r="I9449" s="21" t="s">
        <v>3150</v>
      </c>
      <c r="J9449" s="21"/>
      <c r="K9449" s="21" t="s">
        <v>46</v>
      </c>
      <c r="L9449" s="21"/>
      <c r="M9449" s="21"/>
      <c r="N9449" s="21" t="s">
        <v>44</v>
      </c>
      <c r="O9449" s="21">
        <f>60+30</f>
        <v>90</v>
      </c>
      <c r="P9449" s="21"/>
      <c r="Q9449" s="21">
        <f t="shared" si="198"/>
        <v>1</v>
      </c>
      <c r="R9449" s="21">
        <v>1</v>
      </c>
      <c r="S9449" s="21">
        <v>0</v>
      </c>
      <c r="T9449" s="21">
        <v>0</v>
      </c>
      <c r="U9449" s="21">
        <v>0</v>
      </c>
      <c r="V9449" s="21">
        <v>0</v>
      </c>
      <c r="W9449" s="21">
        <v>1</v>
      </c>
      <c r="X9449" s="21">
        <v>0</v>
      </c>
      <c r="Y9449" s="21">
        <v>0</v>
      </c>
      <c r="Z9449" s="21">
        <v>0</v>
      </c>
      <c r="AA9449" s="21">
        <v>0</v>
      </c>
      <c r="AB9449" s="21">
        <v>0</v>
      </c>
      <c r="AC9449" s="21">
        <v>0</v>
      </c>
      <c r="AD9449" s="21">
        <v>0</v>
      </c>
      <c r="AE9449" s="21">
        <v>0</v>
      </c>
      <c r="AF9449" s="21">
        <v>0</v>
      </c>
      <c r="AG9449" s="21">
        <v>0</v>
      </c>
      <c r="AH9449" s="21">
        <f t="shared" si="199"/>
        <v>96</v>
      </c>
      <c r="AI9449" s="21"/>
      <c r="AJ9449" s="21" t="s">
        <v>54</v>
      </c>
      <c r="AK9449" s="21" t="s">
        <v>95</v>
      </c>
      <c r="AL9449" s="21"/>
      <c r="AM9449" s="21" t="s">
        <v>3151</v>
      </c>
      <c r="AN9449" s="21">
        <v>-122.41769650000001</v>
      </c>
      <c r="AO9449" s="21">
        <v>37.789050833333299</v>
      </c>
      <c r="AP9449" s="21" t="s">
        <v>1915</v>
      </c>
    </row>
    <row r="9450" spans="1:42">
      <c r="A9450" s="20">
        <v>43850</v>
      </c>
      <c r="B9450" s="21">
        <v>1</v>
      </c>
      <c r="C9450" s="21">
        <v>231</v>
      </c>
      <c r="D9450" s="21">
        <v>14468</v>
      </c>
      <c r="E9450" s="21" t="s">
        <v>112</v>
      </c>
      <c r="F9450" s="21" t="s">
        <v>104</v>
      </c>
      <c r="G9450" s="21">
        <v>2</v>
      </c>
      <c r="H9450" s="21">
        <v>81</v>
      </c>
      <c r="I9450" s="21" t="s">
        <v>3005</v>
      </c>
      <c r="J9450" s="21"/>
      <c r="K9450" s="21" t="s">
        <v>46</v>
      </c>
      <c r="L9450" s="21"/>
      <c r="M9450" s="21"/>
      <c r="N9450" s="21" t="s">
        <v>44</v>
      </c>
      <c r="O9450" s="21">
        <f>60+60+44</f>
        <v>164</v>
      </c>
      <c r="P9450" s="21"/>
      <c r="Q9450" s="21">
        <f t="shared" si="198"/>
        <v>2</v>
      </c>
      <c r="R9450" s="21">
        <v>1</v>
      </c>
      <c r="S9450" s="21">
        <v>0</v>
      </c>
      <c r="T9450" s="21">
        <v>0</v>
      </c>
      <c r="U9450" s="21">
        <v>0</v>
      </c>
      <c r="V9450" s="21">
        <v>1</v>
      </c>
      <c r="W9450" s="21">
        <v>1</v>
      </c>
      <c r="X9450" s="21">
        <v>0</v>
      </c>
      <c r="Y9450" s="21">
        <v>0</v>
      </c>
      <c r="Z9450" s="21">
        <v>0</v>
      </c>
      <c r="AA9450" s="21">
        <v>0</v>
      </c>
      <c r="AB9450" s="21">
        <v>0</v>
      </c>
      <c r="AC9450" s="21">
        <v>0</v>
      </c>
      <c r="AD9450" s="21">
        <v>0</v>
      </c>
      <c r="AE9450" s="21">
        <v>0</v>
      </c>
      <c r="AF9450" s="21">
        <v>0</v>
      </c>
      <c r="AG9450" s="21">
        <v>0</v>
      </c>
      <c r="AH9450" s="21">
        <f t="shared" si="199"/>
        <v>160</v>
      </c>
      <c r="AI9450" s="21"/>
      <c r="AJ9450" s="21" t="s">
        <v>54</v>
      </c>
      <c r="AK9450" s="21" t="s">
        <v>95</v>
      </c>
      <c r="AL9450" s="21" t="s">
        <v>3152</v>
      </c>
      <c r="AM9450" s="21" t="s">
        <v>3153</v>
      </c>
      <c r="AN9450" s="21">
        <v>-122.417578733333</v>
      </c>
      <c r="AO9450" s="21">
        <v>37.789123516666699</v>
      </c>
      <c r="AP9450" s="21" t="s">
        <v>1915</v>
      </c>
    </row>
    <row r="9451" spans="1:42">
      <c r="A9451" s="20">
        <v>43850</v>
      </c>
      <c r="B9451" s="21">
        <v>1</v>
      </c>
      <c r="C9451" s="21">
        <v>231</v>
      </c>
      <c r="D9451" s="21">
        <v>14468</v>
      </c>
      <c r="E9451" s="21" t="s">
        <v>112</v>
      </c>
      <c r="F9451" s="21" t="s">
        <v>104</v>
      </c>
      <c r="G9451" s="21">
        <v>2</v>
      </c>
      <c r="H9451" s="21">
        <v>82</v>
      </c>
      <c r="I9451" s="21" t="s">
        <v>3154</v>
      </c>
      <c r="J9451" s="21"/>
      <c r="K9451" s="21" t="s">
        <v>46</v>
      </c>
      <c r="L9451" s="21"/>
      <c r="M9451" s="21" t="s">
        <v>6618</v>
      </c>
      <c r="N9451" s="21" t="s">
        <v>44</v>
      </c>
      <c r="O9451" s="21">
        <f>60+60+60+60+31</f>
        <v>271</v>
      </c>
      <c r="P9451" s="21"/>
      <c r="Q9451" s="21">
        <f t="shared" si="198"/>
        <v>3</v>
      </c>
      <c r="R9451" s="21">
        <v>1</v>
      </c>
      <c r="S9451" s="21">
        <v>0</v>
      </c>
      <c r="T9451" s="21">
        <v>0</v>
      </c>
      <c r="U9451" s="21">
        <v>0</v>
      </c>
      <c r="V9451" s="21">
        <v>1</v>
      </c>
      <c r="W9451" s="21">
        <v>1</v>
      </c>
      <c r="X9451" s="21">
        <v>0</v>
      </c>
      <c r="Y9451" s="21">
        <v>0</v>
      </c>
      <c r="Z9451" s="21">
        <v>0</v>
      </c>
      <c r="AA9451" s="21">
        <v>0</v>
      </c>
      <c r="AB9451" s="21">
        <v>0</v>
      </c>
      <c r="AC9451" s="21">
        <v>1</v>
      </c>
      <c r="AD9451" s="21">
        <v>0</v>
      </c>
      <c r="AE9451" s="21">
        <v>0</v>
      </c>
      <c r="AF9451" s="21">
        <v>0</v>
      </c>
      <c r="AG9451" s="21">
        <v>0</v>
      </c>
      <c r="AH9451" s="21">
        <f t="shared" si="199"/>
        <v>160</v>
      </c>
      <c r="AI9451" s="21"/>
      <c r="AJ9451" s="21" t="s">
        <v>54</v>
      </c>
      <c r="AK9451" s="21" t="s">
        <v>95</v>
      </c>
      <c r="AL9451" s="21" t="s">
        <v>3155</v>
      </c>
      <c r="AM9451" s="21" t="s">
        <v>3156</v>
      </c>
      <c r="AN9451" s="21">
        <v>-122.417284216667</v>
      </c>
      <c r="AO9451" s="21">
        <v>37.789126783333302</v>
      </c>
      <c r="AP9451" s="21" t="s">
        <v>1915</v>
      </c>
    </row>
    <row r="9452" spans="1:42">
      <c r="A9452" s="20">
        <v>43850</v>
      </c>
      <c r="B9452" s="21">
        <v>1</v>
      </c>
      <c r="C9452" s="21">
        <v>231</v>
      </c>
      <c r="D9452" s="21">
        <v>14468</v>
      </c>
      <c r="E9452" s="21" t="s">
        <v>112</v>
      </c>
      <c r="F9452" s="21" t="s">
        <v>104</v>
      </c>
      <c r="G9452" s="21">
        <v>2</v>
      </c>
      <c r="H9452" s="21">
        <v>83</v>
      </c>
      <c r="I9452" s="21" t="s">
        <v>3157</v>
      </c>
      <c r="J9452" s="21"/>
      <c r="K9452" s="21" t="s">
        <v>46</v>
      </c>
      <c r="L9452" s="21"/>
      <c r="M9452" s="21"/>
      <c r="N9452" s="21" t="s">
        <v>44</v>
      </c>
      <c r="O9452" s="21">
        <f>60+60+60+60+60+60+60+60+60+7</f>
        <v>547</v>
      </c>
      <c r="P9452" s="21"/>
      <c r="Q9452" s="21">
        <f t="shared" si="198"/>
        <v>5</v>
      </c>
      <c r="R9452" s="21">
        <v>1</v>
      </c>
      <c r="S9452" s="21">
        <v>0</v>
      </c>
      <c r="T9452" s="21">
        <v>0</v>
      </c>
      <c r="U9452" s="21">
        <v>0</v>
      </c>
      <c r="V9452" s="21">
        <v>1</v>
      </c>
      <c r="W9452" s="21">
        <v>4</v>
      </c>
      <c r="X9452" s="21">
        <v>0</v>
      </c>
      <c r="Y9452" s="21">
        <v>0</v>
      </c>
      <c r="Z9452" s="21">
        <v>0</v>
      </c>
      <c r="AA9452" s="21">
        <v>0</v>
      </c>
      <c r="AB9452" s="21">
        <v>0</v>
      </c>
      <c r="AC9452" s="21">
        <v>0</v>
      </c>
      <c r="AD9452" s="21">
        <v>0</v>
      </c>
      <c r="AE9452" s="21">
        <v>0</v>
      </c>
      <c r="AF9452" s="21">
        <v>0</v>
      </c>
      <c r="AG9452" s="21">
        <v>0</v>
      </c>
      <c r="AH9452" s="21">
        <f t="shared" si="199"/>
        <v>448</v>
      </c>
      <c r="AI9452" s="21"/>
      <c r="AJ9452" s="21" t="s">
        <v>51</v>
      </c>
      <c r="AK9452" s="21" t="s">
        <v>52</v>
      </c>
      <c r="AL9452" s="21"/>
      <c r="AM9452" s="21" t="s">
        <v>3158</v>
      </c>
      <c r="AN9452" s="21">
        <v>-122.41572461666701</v>
      </c>
      <c r="AO9452" s="21">
        <v>37.789319466666697</v>
      </c>
      <c r="AP9452" s="21" t="s">
        <v>1915</v>
      </c>
    </row>
    <row r="9453" spans="1:42">
      <c r="A9453" s="20">
        <v>43850</v>
      </c>
      <c r="B9453" s="21">
        <v>1</v>
      </c>
      <c r="C9453" s="21">
        <v>231</v>
      </c>
      <c r="D9453" s="21">
        <v>14468</v>
      </c>
      <c r="E9453" s="21" t="s">
        <v>112</v>
      </c>
      <c r="F9453" s="21" t="s">
        <v>104</v>
      </c>
      <c r="G9453" s="21">
        <v>2</v>
      </c>
      <c r="H9453" s="21">
        <v>84</v>
      </c>
      <c r="I9453" s="21" t="s">
        <v>3159</v>
      </c>
      <c r="J9453" s="21"/>
      <c r="K9453" s="21" t="s">
        <v>69</v>
      </c>
      <c r="L9453" s="21"/>
      <c r="M9453" s="21" t="s">
        <v>6618</v>
      </c>
      <c r="N9453" s="21" t="s">
        <v>44</v>
      </c>
      <c r="O9453" s="21">
        <f>60+60+60+60+60+60+60+60+60+10</f>
        <v>550</v>
      </c>
      <c r="P9453" s="21"/>
      <c r="Q9453" s="21">
        <f t="shared" si="198"/>
        <v>5</v>
      </c>
      <c r="R9453" s="21">
        <v>1</v>
      </c>
      <c r="S9453" s="21">
        <v>0</v>
      </c>
      <c r="T9453" s="21">
        <v>0</v>
      </c>
      <c r="U9453" s="21">
        <v>0</v>
      </c>
      <c r="V9453" s="21">
        <v>1</v>
      </c>
      <c r="W9453" s="21">
        <v>4</v>
      </c>
      <c r="X9453" s="21">
        <v>0</v>
      </c>
      <c r="Y9453" s="21">
        <v>0</v>
      </c>
      <c r="Z9453" s="21">
        <v>0</v>
      </c>
      <c r="AA9453" s="21">
        <v>0</v>
      </c>
      <c r="AB9453" s="21">
        <v>0</v>
      </c>
      <c r="AC9453" s="21">
        <v>0</v>
      </c>
      <c r="AD9453" s="21">
        <v>0</v>
      </c>
      <c r="AE9453" s="21">
        <v>0</v>
      </c>
      <c r="AF9453" s="21">
        <v>0</v>
      </c>
      <c r="AG9453" s="21">
        <v>0</v>
      </c>
      <c r="AH9453" s="21">
        <f t="shared" si="199"/>
        <v>448</v>
      </c>
      <c r="AI9453" s="21"/>
      <c r="AJ9453" s="21" t="s">
        <v>54</v>
      </c>
      <c r="AK9453" s="21" t="s">
        <v>95</v>
      </c>
      <c r="AL9453" s="21" t="s">
        <v>3160</v>
      </c>
      <c r="AM9453" s="21" t="s">
        <v>3161</v>
      </c>
      <c r="AN9453" s="21">
        <v>-122.41601665</v>
      </c>
      <c r="AO9453" s="21">
        <v>37.790251683333302</v>
      </c>
      <c r="AP9453" s="21" t="s">
        <v>1915</v>
      </c>
    </row>
    <row r="9454" spans="1:42">
      <c r="A9454" s="20">
        <v>43850</v>
      </c>
      <c r="B9454" s="21">
        <v>1</v>
      </c>
      <c r="C9454" s="21">
        <v>231</v>
      </c>
      <c r="D9454" s="21">
        <v>14468</v>
      </c>
      <c r="E9454" s="21" t="s">
        <v>112</v>
      </c>
      <c r="F9454" s="21" t="s">
        <v>104</v>
      </c>
      <c r="G9454" s="21">
        <v>2</v>
      </c>
      <c r="H9454" s="21">
        <v>85</v>
      </c>
      <c r="I9454" s="21" t="s">
        <v>3005</v>
      </c>
      <c r="J9454" s="21"/>
      <c r="K9454" s="21" t="s">
        <v>69</v>
      </c>
      <c r="L9454" s="21"/>
      <c r="M9454" s="21"/>
      <c r="N9454" s="21" t="s">
        <v>44</v>
      </c>
      <c r="O9454" s="21">
        <f>60+60+60+60+60+60+60+16</f>
        <v>436</v>
      </c>
      <c r="P9454" s="21"/>
      <c r="Q9454" s="21">
        <f t="shared" si="198"/>
        <v>3</v>
      </c>
      <c r="R9454" s="21">
        <v>1</v>
      </c>
      <c r="S9454" s="21">
        <v>0</v>
      </c>
      <c r="T9454" s="21">
        <v>0</v>
      </c>
      <c r="U9454" s="21">
        <v>0</v>
      </c>
      <c r="V9454" s="21">
        <v>0</v>
      </c>
      <c r="W9454" s="21">
        <v>3</v>
      </c>
      <c r="X9454" s="21">
        <v>0</v>
      </c>
      <c r="Y9454" s="21">
        <v>0</v>
      </c>
      <c r="Z9454" s="21">
        <v>0</v>
      </c>
      <c r="AA9454" s="21">
        <v>0</v>
      </c>
      <c r="AB9454" s="21">
        <v>0</v>
      </c>
      <c r="AC9454" s="21">
        <v>0</v>
      </c>
      <c r="AD9454" s="21">
        <v>0</v>
      </c>
      <c r="AE9454" s="21">
        <v>0</v>
      </c>
      <c r="AF9454" s="21">
        <v>0</v>
      </c>
      <c r="AG9454" s="21">
        <v>0</v>
      </c>
      <c r="AH9454" s="21">
        <f t="shared" si="199"/>
        <v>288</v>
      </c>
      <c r="AI9454" s="21"/>
      <c r="AJ9454" s="21" t="s">
        <v>54</v>
      </c>
      <c r="AK9454" s="21" t="s">
        <v>95</v>
      </c>
      <c r="AL9454" s="21" t="s">
        <v>3162</v>
      </c>
      <c r="AM9454" s="21" t="s">
        <v>3163</v>
      </c>
      <c r="AN9454" s="21">
        <v>-122.416951833333</v>
      </c>
      <c r="AO9454" s="21">
        <v>37.790100366666699</v>
      </c>
      <c r="AP9454" s="21" t="s">
        <v>1915</v>
      </c>
    </row>
    <row r="9455" spans="1:42">
      <c r="A9455" s="20">
        <v>43850</v>
      </c>
      <c r="B9455" s="21">
        <v>1</v>
      </c>
      <c r="C9455" s="21">
        <v>231</v>
      </c>
      <c r="D9455" s="21">
        <v>14468</v>
      </c>
      <c r="E9455" s="21" t="s">
        <v>112</v>
      </c>
      <c r="F9455" s="21" t="s">
        <v>104</v>
      </c>
      <c r="G9455" s="21">
        <v>2</v>
      </c>
      <c r="H9455" s="21">
        <v>86</v>
      </c>
      <c r="I9455" s="21" t="s">
        <v>3164</v>
      </c>
      <c r="J9455" s="21"/>
      <c r="K9455" s="21" t="s">
        <v>69</v>
      </c>
      <c r="L9455" s="21"/>
      <c r="M9455" s="21"/>
      <c r="N9455" s="21" t="s">
        <v>40</v>
      </c>
      <c r="O9455" s="21">
        <f>60+30</f>
        <v>90</v>
      </c>
      <c r="P9455" s="21"/>
      <c r="Q9455" s="21">
        <f t="shared" si="198"/>
        <v>4</v>
      </c>
      <c r="R9455" s="21">
        <v>1</v>
      </c>
      <c r="S9455" s="21">
        <v>0</v>
      </c>
      <c r="T9455" s="21">
        <v>0</v>
      </c>
      <c r="U9455" s="21">
        <v>4</v>
      </c>
      <c r="V9455" s="21">
        <v>0</v>
      </c>
      <c r="W9455" s="21">
        <v>0</v>
      </c>
      <c r="X9455" s="21">
        <v>0</v>
      </c>
      <c r="Y9455" s="21">
        <v>0</v>
      </c>
      <c r="Z9455" s="21">
        <v>0</v>
      </c>
      <c r="AA9455" s="21">
        <v>0</v>
      </c>
      <c r="AB9455" s="21">
        <v>0</v>
      </c>
      <c r="AC9455" s="21">
        <v>0</v>
      </c>
      <c r="AD9455" s="21">
        <v>0</v>
      </c>
      <c r="AE9455" s="21">
        <v>0</v>
      </c>
      <c r="AF9455" s="21">
        <v>0</v>
      </c>
      <c r="AG9455" s="21">
        <v>0</v>
      </c>
      <c r="AH9455" s="21">
        <f t="shared" si="199"/>
        <v>128</v>
      </c>
      <c r="AI9455" s="21"/>
      <c r="AJ9455" s="21"/>
      <c r="AK9455" s="21"/>
      <c r="AL9455" s="21"/>
      <c r="AM9455" s="21" t="s">
        <v>3165</v>
      </c>
      <c r="AN9455" s="21">
        <v>-122.418180366667</v>
      </c>
      <c r="AO9455" s="21">
        <v>37.7900043</v>
      </c>
      <c r="AP9455" s="21" t="s">
        <v>1915</v>
      </c>
    </row>
    <row r="9456" spans="1:42">
      <c r="A9456" s="20">
        <v>43850</v>
      </c>
      <c r="B9456" s="21">
        <v>1</v>
      </c>
      <c r="C9456" s="21">
        <v>231</v>
      </c>
      <c r="D9456" s="21">
        <v>14468</v>
      </c>
      <c r="E9456" s="21" t="s">
        <v>112</v>
      </c>
      <c r="F9456" s="21" t="s">
        <v>104</v>
      </c>
      <c r="G9456" s="21">
        <v>2</v>
      </c>
      <c r="H9456" s="21">
        <v>87</v>
      </c>
      <c r="I9456" s="21" t="s">
        <v>3013</v>
      </c>
      <c r="J9456" s="21"/>
      <c r="K9456" s="21" t="s">
        <v>69</v>
      </c>
      <c r="L9456" s="21"/>
      <c r="M9456" s="21"/>
      <c r="N9456" s="21" t="s">
        <v>40</v>
      </c>
      <c r="O9456" s="21">
        <f>60+4</f>
        <v>64</v>
      </c>
      <c r="P9456" s="21"/>
      <c r="Q9456" s="21">
        <f t="shared" si="198"/>
        <v>1</v>
      </c>
      <c r="R9456" s="21">
        <v>1</v>
      </c>
      <c r="S9456" s="21">
        <v>0</v>
      </c>
      <c r="T9456" s="21">
        <v>0</v>
      </c>
      <c r="U9456" s="21">
        <v>0</v>
      </c>
      <c r="V9456" s="21">
        <v>1</v>
      </c>
      <c r="W9456" s="21">
        <v>0</v>
      </c>
      <c r="X9456" s="21">
        <v>0</v>
      </c>
      <c r="Y9456" s="21">
        <v>0</v>
      </c>
      <c r="Z9456" s="21">
        <v>0</v>
      </c>
      <c r="AA9456" s="21">
        <v>0</v>
      </c>
      <c r="AB9456" s="21">
        <v>0</v>
      </c>
      <c r="AC9456" s="21">
        <v>0</v>
      </c>
      <c r="AD9456" s="21">
        <v>0</v>
      </c>
      <c r="AE9456" s="21">
        <v>0</v>
      </c>
      <c r="AF9456" s="21">
        <v>0</v>
      </c>
      <c r="AG9456" s="21">
        <v>0</v>
      </c>
      <c r="AH9456" s="21">
        <f t="shared" si="199"/>
        <v>64</v>
      </c>
      <c r="AI9456" s="21"/>
      <c r="AJ9456" s="21" t="s">
        <v>51</v>
      </c>
      <c r="AK9456" s="21" t="s">
        <v>95</v>
      </c>
      <c r="AL9456" s="21"/>
      <c r="AM9456" s="21" t="s">
        <v>3166</v>
      </c>
      <c r="AN9456" s="21">
        <v>-122.42036393333299</v>
      </c>
      <c r="AO9456" s="21">
        <v>37.789650566666602</v>
      </c>
      <c r="AP9456" s="21" t="s">
        <v>1915</v>
      </c>
    </row>
    <row r="9457" spans="1:42">
      <c r="A9457" s="20">
        <v>43850</v>
      </c>
      <c r="B9457" s="21">
        <v>1</v>
      </c>
      <c r="C9457" s="21">
        <v>231</v>
      </c>
      <c r="D9457" s="21">
        <v>14468</v>
      </c>
      <c r="E9457" s="21" t="s">
        <v>112</v>
      </c>
      <c r="F9457" s="21" t="s">
        <v>104</v>
      </c>
      <c r="G9457" s="21">
        <v>2</v>
      </c>
      <c r="H9457" s="21">
        <v>88</v>
      </c>
      <c r="I9457" s="21" t="s">
        <v>3051</v>
      </c>
      <c r="J9457" s="21"/>
      <c r="K9457" s="21" t="s">
        <v>1085</v>
      </c>
      <c r="L9457" s="21"/>
      <c r="M9457" s="21"/>
      <c r="N9457" s="21" t="s">
        <v>40</v>
      </c>
      <c r="O9457" s="21">
        <f>60+17</f>
        <v>77</v>
      </c>
      <c r="P9457" s="21"/>
      <c r="Q9457" s="21">
        <f t="shared" si="198"/>
        <v>1</v>
      </c>
      <c r="R9457" s="21">
        <v>1</v>
      </c>
      <c r="S9457" s="21">
        <v>0</v>
      </c>
      <c r="T9457" s="21">
        <v>0</v>
      </c>
      <c r="U9457" s="21">
        <v>0</v>
      </c>
      <c r="V9457" s="21">
        <v>0</v>
      </c>
      <c r="W9457" s="21">
        <v>1</v>
      </c>
      <c r="X9457" s="21">
        <v>0</v>
      </c>
      <c r="Y9457" s="21">
        <v>0</v>
      </c>
      <c r="Z9457" s="21">
        <v>0</v>
      </c>
      <c r="AA9457" s="21">
        <v>0</v>
      </c>
      <c r="AB9457" s="21">
        <v>0</v>
      </c>
      <c r="AC9457" s="21">
        <v>0</v>
      </c>
      <c r="AD9457" s="21">
        <v>0</v>
      </c>
      <c r="AE9457" s="21">
        <v>0</v>
      </c>
      <c r="AF9457" s="21">
        <v>0</v>
      </c>
      <c r="AG9457" s="21">
        <v>0</v>
      </c>
      <c r="AH9457" s="21">
        <f t="shared" si="199"/>
        <v>96</v>
      </c>
      <c r="AI9457" s="21"/>
      <c r="AJ9457" s="21" t="s">
        <v>54</v>
      </c>
      <c r="AK9457" s="21" t="s">
        <v>95</v>
      </c>
      <c r="AL9457" s="21" t="s">
        <v>1950</v>
      </c>
      <c r="AM9457" s="21" t="s">
        <v>3167</v>
      </c>
      <c r="AN9457" s="21">
        <v>-122.421652083333</v>
      </c>
      <c r="AO9457" s="21">
        <v>37.788952833333298</v>
      </c>
      <c r="AP9457" s="21" t="s">
        <v>1915</v>
      </c>
    </row>
    <row r="9458" spans="1:42">
      <c r="A9458" s="20">
        <v>43850</v>
      </c>
      <c r="B9458" s="21">
        <v>1</v>
      </c>
      <c r="C9458" s="21">
        <v>231</v>
      </c>
      <c r="D9458" s="21">
        <v>14468</v>
      </c>
      <c r="E9458" s="21" t="s">
        <v>112</v>
      </c>
      <c r="F9458" s="21" t="s">
        <v>104</v>
      </c>
      <c r="G9458" s="21">
        <v>2</v>
      </c>
      <c r="H9458" s="21">
        <v>89</v>
      </c>
      <c r="I9458" s="21" t="s">
        <v>3051</v>
      </c>
      <c r="J9458" s="21"/>
      <c r="K9458" s="21" t="s">
        <v>1085</v>
      </c>
      <c r="L9458" s="21"/>
      <c r="M9458" s="21"/>
      <c r="N9458" s="21" t="s">
        <v>44</v>
      </c>
      <c r="O9458" s="21">
        <f>60+60+60+24</f>
        <v>204</v>
      </c>
      <c r="P9458" s="21"/>
      <c r="Q9458" s="21">
        <f t="shared" si="198"/>
        <v>3</v>
      </c>
      <c r="R9458" s="21">
        <v>1</v>
      </c>
      <c r="S9458" s="21">
        <v>0</v>
      </c>
      <c r="T9458" s="21">
        <v>0</v>
      </c>
      <c r="U9458" s="21">
        <v>0</v>
      </c>
      <c r="V9458" s="21">
        <v>1</v>
      </c>
      <c r="W9458" s="21">
        <v>2</v>
      </c>
      <c r="X9458" s="21">
        <v>0</v>
      </c>
      <c r="Y9458" s="21">
        <v>0</v>
      </c>
      <c r="Z9458" s="21">
        <v>0</v>
      </c>
      <c r="AA9458" s="21">
        <v>0</v>
      </c>
      <c r="AB9458" s="21">
        <v>0</v>
      </c>
      <c r="AC9458" s="21">
        <v>0</v>
      </c>
      <c r="AD9458" s="21">
        <v>0</v>
      </c>
      <c r="AE9458" s="21">
        <v>0</v>
      </c>
      <c r="AF9458" s="21">
        <v>0</v>
      </c>
      <c r="AG9458" s="21">
        <v>0</v>
      </c>
      <c r="AH9458" s="21">
        <f t="shared" si="199"/>
        <v>256</v>
      </c>
      <c r="AI9458" s="21"/>
      <c r="AJ9458" s="21" t="s">
        <v>54</v>
      </c>
      <c r="AK9458" s="21" t="s">
        <v>95</v>
      </c>
      <c r="AL9458" s="21"/>
      <c r="AM9458" s="21" t="s">
        <v>3168</v>
      </c>
      <c r="AN9458" s="21">
        <v>-122.421505666667</v>
      </c>
      <c r="AO9458" s="21">
        <v>37.789082116666599</v>
      </c>
      <c r="AP9458" s="21" t="s">
        <v>1915</v>
      </c>
    </row>
    <row r="9459" spans="1:42">
      <c r="A9459" s="20">
        <v>43850</v>
      </c>
      <c r="B9459" s="21">
        <v>1</v>
      </c>
      <c r="C9459" s="21">
        <v>231</v>
      </c>
      <c r="D9459" s="21">
        <v>14468</v>
      </c>
      <c r="E9459" s="21" t="s">
        <v>112</v>
      </c>
      <c r="F9459" s="21" t="s">
        <v>104</v>
      </c>
      <c r="G9459" s="21">
        <v>2</v>
      </c>
      <c r="H9459" s="21">
        <v>90</v>
      </c>
      <c r="I9459" s="21" t="s">
        <v>3051</v>
      </c>
      <c r="J9459" s="21"/>
      <c r="K9459" s="21" t="s">
        <v>1085</v>
      </c>
      <c r="L9459" s="21"/>
      <c r="M9459" s="21"/>
      <c r="N9459" s="21" t="s">
        <v>42</v>
      </c>
      <c r="O9459" s="21">
        <f>60+60+22</f>
        <v>142</v>
      </c>
      <c r="P9459" s="21"/>
      <c r="Q9459" s="21">
        <f t="shared" si="198"/>
        <v>2</v>
      </c>
      <c r="R9459" s="21">
        <v>1</v>
      </c>
      <c r="S9459" s="21">
        <v>0</v>
      </c>
      <c r="T9459" s="21">
        <v>0</v>
      </c>
      <c r="U9459" s="21">
        <v>0</v>
      </c>
      <c r="V9459" s="21">
        <v>0</v>
      </c>
      <c r="W9459" s="21">
        <v>2</v>
      </c>
      <c r="X9459" s="21">
        <v>0</v>
      </c>
      <c r="Y9459" s="21">
        <v>0</v>
      </c>
      <c r="Z9459" s="21">
        <v>0</v>
      </c>
      <c r="AA9459" s="21">
        <v>0</v>
      </c>
      <c r="AB9459" s="21">
        <v>0</v>
      </c>
      <c r="AC9459" s="21">
        <v>0</v>
      </c>
      <c r="AD9459" s="21">
        <v>0</v>
      </c>
      <c r="AE9459" s="21">
        <v>0</v>
      </c>
      <c r="AF9459" s="21">
        <v>0</v>
      </c>
      <c r="AG9459" s="21">
        <v>0</v>
      </c>
      <c r="AH9459" s="21">
        <f t="shared" si="199"/>
        <v>192</v>
      </c>
      <c r="AI9459" s="21"/>
      <c r="AJ9459" s="21" t="s">
        <v>54</v>
      </c>
      <c r="AK9459" s="21" t="s">
        <v>95</v>
      </c>
      <c r="AL9459" s="21" t="s">
        <v>3169</v>
      </c>
      <c r="AM9459" s="21" t="s">
        <v>3170</v>
      </c>
      <c r="AN9459" s="21">
        <v>-122.421188366667</v>
      </c>
      <c r="AO9459" s="21">
        <v>37.788979916666698</v>
      </c>
      <c r="AP9459" s="21" t="s">
        <v>1915</v>
      </c>
    </row>
    <row r="9460" spans="1:42">
      <c r="A9460" s="20">
        <v>43850</v>
      </c>
      <c r="B9460" s="21">
        <v>1</v>
      </c>
      <c r="C9460" s="21">
        <v>231</v>
      </c>
      <c r="D9460" s="21">
        <v>14468</v>
      </c>
      <c r="E9460" s="21" t="s">
        <v>112</v>
      </c>
      <c r="F9460" s="21" t="s">
        <v>104</v>
      </c>
      <c r="G9460" s="21">
        <v>2</v>
      </c>
      <c r="H9460" s="21">
        <v>91</v>
      </c>
      <c r="I9460" s="21" t="s">
        <v>3171</v>
      </c>
      <c r="J9460" s="21"/>
      <c r="K9460" s="21" t="s">
        <v>414</v>
      </c>
      <c r="L9460" s="21"/>
      <c r="M9460" s="21"/>
      <c r="N9460" s="21" t="s">
        <v>44</v>
      </c>
      <c r="O9460" s="21">
        <f>60+60+60+58</f>
        <v>238</v>
      </c>
      <c r="P9460" s="21"/>
      <c r="Q9460" s="21">
        <f t="shared" si="198"/>
        <v>4</v>
      </c>
      <c r="R9460" s="21">
        <v>1</v>
      </c>
      <c r="S9460" s="21">
        <v>0</v>
      </c>
      <c r="T9460" s="21">
        <v>0</v>
      </c>
      <c r="U9460" s="21">
        <v>0</v>
      </c>
      <c r="V9460" s="21">
        <v>2</v>
      </c>
      <c r="W9460" s="21">
        <v>2</v>
      </c>
      <c r="X9460" s="21">
        <v>0</v>
      </c>
      <c r="Y9460" s="21">
        <v>0</v>
      </c>
      <c r="Z9460" s="21">
        <v>0</v>
      </c>
      <c r="AA9460" s="21">
        <v>0</v>
      </c>
      <c r="AB9460" s="21">
        <v>0</v>
      </c>
      <c r="AC9460" s="21">
        <v>0</v>
      </c>
      <c r="AD9460" s="21">
        <v>0</v>
      </c>
      <c r="AE9460" s="21">
        <v>0</v>
      </c>
      <c r="AF9460" s="21">
        <v>0</v>
      </c>
      <c r="AG9460" s="21">
        <v>0</v>
      </c>
      <c r="AH9460" s="21">
        <f t="shared" si="199"/>
        <v>320</v>
      </c>
      <c r="AI9460" s="21"/>
      <c r="AJ9460" s="21" t="s">
        <v>54</v>
      </c>
      <c r="AK9460" s="21" t="s">
        <v>95</v>
      </c>
      <c r="AL9460" s="21"/>
      <c r="AM9460" s="21" t="s">
        <v>3172</v>
      </c>
      <c r="AN9460" s="21">
        <v>-122.42070271666699</v>
      </c>
      <c r="AO9460" s="21">
        <v>37.789073233333298</v>
      </c>
      <c r="AP9460" s="21" t="s">
        <v>1915</v>
      </c>
    </row>
    <row r="9461" spans="1:42">
      <c r="A9461" s="20">
        <v>43892</v>
      </c>
      <c r="B9461" s="21">
        <v>1</v>
      </c>
      <c r="C9461" s="21">
        <v>570</v>
      </c>
      <c r="D9461" s="21">
        <v>11414</v>
      </c>
      <c r="E9461" s="21" t="s">
        <v>377</v>
      </c>
      <c r="F9461" s="21" t="s">
        <v>436</v>
      </c>
      <c r="G9461" s="21">
        <v>1</v>
      </c>
      <c r="H9461" s="21">
        <v>1</v>
      </c>
      <c r="I9461" s="21" t="s">
        <v>6567</v>
      </c>
      <c r="J9461" s="21"/>
      <c r="K9461" s="21" t="s">
        <v>1110</v>
      </c>
      <c r="L9461" s="21"/>
      <c r="M9461" s="21"/>
      <c r="N9461" s="21" t="s">
        <v>1703</v>
      </c>
      <c r="O9461" s="21">
        <v>121</v>
      </c>
      <c r="P9461" s="21">
        <v>0</v>
      </c>
      <c r="Q9461" s="21">
        <f t="shared" si="198"/>
        <v>1</v>
      </c>
      <c r="R9461" s="21">
        <v>1</v>
      </c>
      <c r="S9461" s="21">
        <v>0</v>
      </c>
      <c r="T9461" s="21">
        <v>0</v>
      </c>
      <c r="U9461" s="21">
        <v>0</v>
      </c>
      <c r="V9461" s="21">
        <v>0</v>
      </c>
      <c r="W9461" s="21">
        <v>0</v>
      </c>
      <c r="X9461" s="21">
        <v>0</v>
      </c>
      <c r="Y9461" s="21">
        <v>0</v>
      </c>
      <c r="Z9461" s="21">
        <v>0</v>
      </c>
      <c r="AA9461" s="21">
        <v>0</v>
      </c>
      <c r="AB9461" s="21">
        <v>0</v>
      </c>
      <c r="AC9461" s="21">
        <v>1</v>
      </c>
      <c r="AD9461" s="21">
        <v>0</v>
      </c>
      <c r="AE9461" s="21">
        <v>0</v>
      </c>
      <c r="AF9461" s="21">
        <v>0</v>
      </c>
      <c r="AG9461" s="21">
        <v>0</v>
      </c>
      <c r="AH9461" s="21">
        <f t="shared" si="199"/>
        <v>0</v>
      </c>
      <c r="AI9461" s="21"/>
      <c r="AJ9461" s="21" t="s">
        <v>51</v>
      </c>
      <c r="AK9461" s="21" t="s">
        <v>95</v>
      </c>
      <c r="AL9461" s="21" t="s">
        <v>6622</v>
      </c>
      <c r="AP9461" s="21" t="s">
        <v>1915</v>
      </c>
    </row>
    <row r="9462" spans="1:42">
      <c r="A9462" s="20">
        <v>43892</v>
      </c>
      <c r="B9462" s="21">
        <v>1</v>
      </c>
      <c r="C9462" s="21">
        <v>570</v>
      </c>
      <c r="D9462" s="21">
        <v>11414</v>
      </c>
      <c r="E9462" s="21" t="s">
        <v>377</v>
      </c>
      <c r="F9462" s="21" t="s">
        <v>436</v>
      </c>
      <c r="G9462" s="21">
        <v>1</v>
      </c>
      <c r="H9462" s="21">
        <v>2</v>
      </c>
      <c r="I9462" s="21" t="s">
        <v>6623</v>
      </c>
      <c r="J9462" s="21"/>
      <c r="K9462" s="21" t="s">
        <v>384</v>
      </c>
      <c r="L9462" s="21"/>
      <c r="M9462" s="21"/>
      <c r="N9462" s="21" t="s">
        <v>44</v>
      </c>
      <c r="O9462" s="21">
        <f>60+53</f>
        <v>113</v>
      </c>
      <c r="P9462" s="21">
        <v>0</v>
      </c>
      <c r="Q9462" s="21">
        <f t="shared" si="198"/>
        <v>1</v>
      </c>
      <c r="R9462" s="21">
        <v>1</v>
      </c>
      <c r="S9462" s="21">
        <v>0</v>
      </c>
      <c r="T9462" s="21">
        <v>0</v>
      </c>
      <c r="U9462" s="21">
        <v>0</v>
      </c>
      <c r="V9462" s="21">
        <v>0</v>
      </c>
      <c r="W9462" s="21">
        <v>0</v>
      </c>
      <c r="X9462" s="21">
        <v>0</v>
      </c>
      <c r="Y9462" s="21">
        <v>0</v>
      </c>
      <c r="Z9462" s="21">
        <v>0</v>
      </c>
      <c r="AA9462" s="21">
        <v>0</v>
      </c>
      <c r="AB9462" s="21">
        <v>1</v>
      </c>
      <c r="AC9462" s="21">
        <v>0</v>
      </c>
      <c r="AD9462" s="21">
        <v>0</v>
      </c>
      <c r="AE9462" s="21">
        <v>0</v>
      </c>
      <c r="AF9462" s="21">
        <v>0</v>
      </c>
      <c r="AG9462" s="21">
        <v>0</v>
      </c>
      <c r="AH9462" s="21">
        <f t="shared" si="199"/>
        <v>0</v>
      </c>
      <c r="AI9462" s="21"/>
      <c r="AJ9462" s="21" t="s">
        <v>51</v>
      </c>
      <c r="AK9462" s="21" t="s">
        <v>95</v>
      </c>
      <c r="AL9462" s="21" t="s">
        <v>6624</v>
      </c>
      <c r="AP9462" s="21" t="s">
        <v>1915</v>
      </c>
    </row>
    <row r="9463" spans="1:42">
      <c r="A9463" s="20">
        <v>43892</v>
      </c>
      <c r="B9463" s="21">
        <v>1</v>
      </c>
      <c r="C9463" s="21">
        <v>570</v>
      </c>
      <c r="D9463" s="21">
        <v>11414</v>
      </c>
      <c r="E9463" s="21" t="s">
        <v>377</v>
      </c>
      <c r="F9463" s="21" t="s">
        <v>436</v>
      </c>
      <c r="G9463" s="21">
        <v>1</v>
      </c>
      <c r="H9463" s="21">
        <v>3</v>
      </c>
      <c r="I9463" s="21" t="s">
        <v>6625</v>
      </c>
      <c r="J9463" s="21"/>
      <c r="K9463" s="21" t="s">
        <v>384</v>
      </c>
      <c r="L9463" s="21"/>
      <c r="M9463" s="21"/>
      <c r="N9463" s="21" t="s">
        <v>44</v>
      </c>
      <c r="O9463" s="21">
        <f>60+42</f>
        <v>102</v>
      </c>
      <c r="P9463" s="21">
        <v>0</v>
      </c>
      <c r="Q9463" s="21">
        <f t="shared" si="198"/>
        <v>1</v>
      </c>
      <c r="R9463" s="21">
        <v>1</v>
      </c>
      <c r="S9463" s="21">
        <v>0</v>
      </c>
      <c r="T9463" s="21">
        <v>0</v>
      </c>
      <c r="U9463" s="21">
        <v>0</v>
      </c>
      <c r="V9463" s="21">
        <v>0</v>
      </c>
      <c r="W9463" s="21">
        <v>0</v>
      </c>
      <c r="X9463" s="21">
        <v>0</v>
      </c>
      <c r="Y9463" s="21">
        <v>0</v>
      </c>
      <c r="Z9463" s="21">
        <v>0</v>
      </c>
      <c r="AA9463" s="21">
        <v>0</v>
      </c>
      <c r="AB9463" s="21">
        <v>1</v>
      </c>
      <c r="AC9463" s="21">
        <v>0</v>
      </c>
      <c r="AD9463" s="21">
        <v>0</v>
      </c>
      <c r="AE9463" s="21">
        <v>0</v>
      </c>
      <c r="AF9463" s="21">
        <v>0</v>
      </c>
      <c r="AG9463" s="21">
        <v>0</v>
      </c>
      <c r="AH9463" s="21">
        <f t="shared" si="199"/>
        <v>0</v>
      </c>
      <c r="AI9463" s="21"/>
      <c r="AJ9463" s="21" t="s">
        <v>51</v>
      </c>
      <c r="AK9463" s="21" t="s">
        <v>95</v>
      </c>
      <c r="AL9463" s="21" t="s">
        <v>6626</v>
      </c>
      <c r="AP9463" s="21" t="s">
        <v>1915</v>
      </c>
    </row>
    <row r="9464" spans="1:42">
      <c r="A9464" s="20">
        <v>43892</v>
      </c>
      <c r="B9464" s="21">
        <v>1</v>
      </c>
      <c r="C9464" s="21">
        <v>570</v>
      </c>
      <c r="D9464" s="21">
        <v>11414</v>
      </c>
      <c r="E9464" s="21" t="s">
        <v>377</v>
      </c>
      <c r="F9464" s="21" t="s">
        <v>436</v>
      </c>
      <c r="G9464" s="21">
        <v>1</v>
      </c>
      <c r="H9464" s="21">
        <v>4</v>
      </c>
      <c r="I9464" s="21" t="s">
        <v>3186</v>
      </c>
      <c r="J9464" s="21"/>
      <c r="K9464" s="21" t="s">
        <v>384</v>
      </c>
      <c r="L9464" s="21"/>
      <c r="M9464" s="21"/>
      <c r="N9464" s="21" t="s">
        <v>40</v>
      </c>
      <c r="O9464" s="21">
        <v>37</v>
      </c>
      <c r="P9464" s="21">
        <v>0</v>
      </c>
      <c r="Q9464" s="21">
        <f t="shared" si="198"/>
        <v>1</v>
      </c>
      <c r="R9464" s="21">
        <v>1</v>
      </c>
      <c r="S9464" s="21">
        <v>0</v>
      </c>
      <c r="T9464" s="21">
        <v>0</v>
      </c>
      <c r="U9464" s="21">
        <v>0</v>
      </c>
      <c r="V9464" s="21">
        <v>0</v>
      </c>
      <c r="W9464" s="21">
        <v>0</v>
      </c>
      <c r="X9464" s="21">
        <v>0</v>
      </c>
      <c r="Y9464" s="21">
        <v>1</v>
      </c>
      <c r="Z9464" s="21">
        <v>0</v>
      </c>
      <c r="AA9464" s="21">
        <v>0</v>
      </c>
      <c r="AB9464" s="21">
        <v>0</v>
      </c>
      <c r="AC9464" s="21">
        <v>0</v>
      </c>
      <c r="AD9464" s="21">
        <v>0</v>
      </c>
      <c r="AE9464" s="21">
        <v>0</v>
      </c>
      <c r="AF9464" s="21">
        <v>0</v>
      </c>
      <c r="AG9464" s="21">
        <v>0</v>
      </c>
      <c r="AH9464" s="21">
        <f t="shared" si="199"/>
        <v>0</v>
      </c>
      <c r="AI9464" s="21"/>
      <c r="AJ9464" s="21" t="s">
        <v>51</v>
      </c>
      <c r="AK9464" s="21" t="s">
        <v>95</v>
      </c>
      <c r="AL9464" s="21"/>
      <c r="AP9464" s="21" t="s">
        <v>1915</v>
      </c>
    </row>
    <row r="9465" spans="1:42">
      <c r="A9465" s="20">
        <v>43892</v>
      </c>
      <c r="B9465" s="21">
        <v>1</v>
      </c>
      <c r="C9465" s="21">
        <v>570</v>
      </c>
      <c r="D9465" s="21">
        <v>11414</v>
      </c>
      <c r="E9465" s="21" t="s">
        <v>377</v>
      </c>
      <c r="F9465" s="21" t="s">
        <v>436</v>
      </c>
      <c r="G9465" s="21">
        <v>1</v>
      </c>
      <c r="H9465" s="21">
        <v>5</v>
      </c>
      <c r="I9465" s="21" t="s">
        <v>3519</v>
      </c>
      <c r="J9465" s="21"/>
      <c r="K9465" s="21" t="s">
        <v>391</v>
      </c>
      <c r="L9465" s="21"/>
      <c r="M9465" s="21"/>
      <c r="N9465" s="21" t="s">
        <v>44</v>
      </c>
      <c r="O9465" s="21">
        <f>120+21</f>
        <v>141</v>
      </c>
      <c r="P9465" s="21">
        <v>0</v>
      </c>
      <c r="Q9465" s="21">
        <f t="shared" si="198"/>
        <v>1</v>
      </c>
      <c r="R9465" s="21">
        <v>1</v>
      </c>
      <c r="S9465" s="21">
        <v>0</v>
      </c>
      <c r="T9465" s="21">
        <v>0</v>
      </c>
      <c r="U9465" s="21">
        <v>0</v>
      </c>
      <c r="V9465" s="21">
        <v>0</v>
      </c>
      <c r="W9465" s="21">
        <v>0</v>
      </c>
      <c r="X9465" s="21">
        <v>0</v>
      </c>
      <c r="Y9465" s="21">
        <v>0</v>
      </c>
      <c r="Z9465" s="21">
        <v>0</v>
      </c>
      <c r="AA9465" s="21">
        <v>0</v>
      </c>
      <c r="AB9465" s="21">
        <v>0</v>
      </c>
      <c r="AC9465" s="21">
        <v>1</v>
      </c>
      <c r="AD9465" s="21">
        <v>0</v>
      </c>
      <c r="AE9465" s="21">
        <v>0</v>
      </c>
      <c r="AF9465" s="21">
        <v>0</v>
      </c>
      <c r="AG9465" s="21">
        <v>0</v>
      </c>
      <c r="AH9465" s="21">
        <f t="shared" si="199"/>
        <v>0</v>
      </c>
      <c r="AI9465" s="21"/>
      <c r="AJ9465" s="21" t="s">
        <v>51</v>
      </c>
      <c r="AK9465" s="21" t="s">
        <v>95</v>
      </c>
      <c r="AL9465" s="21" t="s">
        <v>6627</v>
      </c>
      <c r="AP9465" s="21" t="s">
        <v>1915</v>
      </c>
    </row>
    <row r="9466" spans="1:42">
      <c r="A9466" s="20">
        <v>43892</v>
      </c>
      <c r="B9466" s="21">
        <v>1</v>
      </c>
      <c r="C9466" s="21">
        <v>570</v>
      </c>
      <c r="D9466" s="21">
        <v>11414</v>
      </c>
      <c r="E9466" s="21" t="s">
        <v>377</v>
      </c>
      <c r="F9466" s="21" t="s">
        <v>436</v>
      </c>
      <c r="G9466" s="21">
        <v>1</v>
      </c>
      <c r="H9466" s="21">
        <v>6</v>
      </c>
      <c r="I9466" s="21" t="s">
        <v>3479</v>
      </c>
      <c r="J9466" s="21"/>
      <c r="K9466" s="21" t="s">
        <v>394</v>
      </c>
      <c r="L9466" s="21"/>
      <c r="M9466" s="21"/>
      <c r="N9466" s="21" t="s">
        <v>40</v>
      </c>
      <c r="O9466" s="21">
        <v>39</v>
      </c>
      <c r="P9466" s="21">
        <v>0</v>
      </c>
      <c r="Q9466" s="21">
        <f t="shared" si="198"/>
        <v>0</v>
      </c>
      <c r="R9466" s="21">
        <v>1</v>
      </c>
      <c r="S9466" s="21">
        <v>0</v>
      </c>
      <c r="T9466" s="21">
        <v>0</v>
      </c>
      <c r="U9466" s="21">
        <v>0</v>
      </c>
      <c r="V9466" s="21">
        <v>0</v>
      </c>
      <c r="W9466" s="21">
        <v>0</v>
      </c>
      <c r="X9466" s="21">
        <v>0</v>
      </c>
      <c r="Y9466" s="21">
        <v>0</v>
      </c>
      <c r="Z9466" s="21">
        <v>0</v>
      </c>
      <c r="AA9466" s="21">
        <v>0</v>
      </c>
      <c r="AB9466" s="21">
        <v>0</v>
      </c>
      <c r="AC9466" s="21">
        <v>0</v>
      </c>
      <c r="AD9466" s="21">
        <v>0</v>
      </c>
      <c r="AE9466" s="21">
        <v>0</v>
      </c>
      <c r="AF9466" s="21">
        <v>0</v>
      </c>
      <c r="AG9466" s="21">
        <v>0</v>
      </c>
      <c r="AH9466" s="21">
        <f t="shared" si="199"/>
        <v>0</v>
      </c>
      <c r="AI9466" s="21"/>
      <c r="AJ9466" s="21" t="s">
        <v>51</v>
      </c>
      <c r="AK9466" s="21" t="s">
        <v>95</v>
      </c>
      <c r="AL9466" s="21"/>
      <c r="AP9466" s="21" t="s">
        <v>1915</v>
      </c>
    </row>
    <row r="9467" spans="1:42">
      <c r="A9467" s="20">
        <v>43892</v>
      </c>
      <c r="B9467" s="21">
        <v>1</v>
      </c>
      <c r="C9467" s="21">
        <v>570</v>
      </c>
      <c r="D9467" s="21">
        <v>11414</v>
      </c>
      <c r="E9467" s="21" t="s">
        <v>377</v>
      </c>
      <c r="F9467" s="21" t="s">
        <v>436</v>
      </c>
      <c r="G9467" s="21">
        <v>1</v>
      </c>
      <c r="H9467" s="21">
        <v>7</v>
      </c>
      <c r="I9467" s="21" t="s">
        <v>3369</v>
      </c>
      <c r="J9467" s="21"/>
      <c r="K9467" s="21" t="s">
        <v>391</v>
      </c>
      <c r="L9467" s="21"/>
      <c r="M9467" s="21"/>
      <c r="N9467" s="21" t="s">
        <v>40</v>
      </c>
      <c r="O9467" s="21">
        <f>60+29</f>
        <v>89</v>
      </c>
      <c r="P9467" s="21">
        <v>0</v>
      </c>
      <c r="Q9467" s="21">
        <f t="shared" si="198"/>
        <v>1</v>
      </c>
      <c r="R9467" s="21">
        <v>1</v>
      </c>
      <c r="S9467" s="21">
        <v>0</v>
      </c>
      <c r="T9467" s="21">
        <v>0</v>
      </c>
      <c r="U9467" s="21">
        <v>0</v>
      </c>
      <c r="V9467" s="21">
        <v>0</v>
      </c>
      <c r="W9467" s="21">
        <v>0</v>
      </c>
      <c r="X9467" s="21">
        <v>0</v>
      </c>
      <c r="Y9467" s="21">
        <v>0</v>
      </c>
      <c r="Z9467" s="21">
        <v>0</v>
      </c>
      <c r="AA9467" s="21">
        <v>1</v>
      </c>
      <c r="AB9467" s="21">
        <v>0</v>
      </c>
      <c r="AC9467" s="21">
        <v>0</v>
      </c>
      <c r="AD9467" s="21">
        <v>0</v>
      </c>
      <c r="AE9467" s="21">
        <v>0</v>
      </c>
      <c r="AF9467" s="21">
        <v>0</v>
      </c>
      <c r="AG9467" s="21">
        <v>0</v>
      </c>
      <c r="AH9467" s="21">
        <f t="shared" si="199"/>
        <v>0</v>
      </c>
      <c r="AI9467" s="21"/>
      <c r="AJ9467" s="21" t="s">
        <v>51</v>
      </c>
      <c r="AK9467" s="21" t="s">
        <v>52</v>
      </c>
      <c r="AL9467" s="21" t="s">
        <v>6628</v>
      </c>
      <c r="AP9467" s="21" t="s">
        <v>1915</v>
      </c>
    </row>
    <row r="9468" spans="1:42">
      <c r="A9468" s="20">
        <v>43892</v>
      </c>
      <c r="B9468" s="21">
        <v>1</v>
      </c>
      <c r="C9468" s="21">
        <v>570</v>
      </c>
      <c r="D9468" s="21">
        <v>11414</v>
      </c>
      <c r="E9468" s="21" t="s">
        <v>377</v>
      </c>
      <c r="F9468" s="21" t="s">
        <v>436</v>
      </c>
      <c r="G9468" s="21">
        <v>1</v>
      </c>
      <c r="H9468" s="21">
        <v>8</v>
      </c>
      <c r="I9468" s="21" t="s">
        <v>6629</v>
      </c>
      <c r="J9468" s="21"/>
      <c r="K9468" s="21" t="s">
        <v>387</v>
      </c>
      <c r="L9468" s="21"/>
      <c r="M9468" s="21"/>
      <c r="N9468" s="21" t="s">
        <v>44</v>
      </c>
      <c r="O9468" s="21">
        <f>120+27</f>
        <v>147</v>
      </c>
      <c r="P9468" s="21">
        <v>0</v>
      </c>
      <c r="Q9468" s="21">
        <f t="shared" si="198"/>
        <v>2</v>
      </c>
      <c r="R9468" s="21">
        <v>1</v>
      </c>
      <c r="S9468" s="21">
        <v>0</v>
      </c>
      <c r="T9468" s="21">
        <v>0</v>
      </c>
      <c r="U9468" s="21">
        <v>0</v>
      </c>
      <c r="V9468" s="21">
        <v>0</v>
      </c>
      <c r="W9468" s="21">
        <v>0</v>
      </c>
      <c r="X9468" s="21">
        <v>0</v>
      </c>
      <c r="Y9468" s="21">
        <v>0</v>
      </c>
      <c r="Z9468" s="21">
        <v>0</v>
      </c>
      <c r="AA9468" s="21">
        <v>0</v>
      </c>
      <c r="AB9468" s="21">
        <v>1</v>
      </c>
      <c r="AC9468" s="21">
        <v>1</v>
      </c>
      <c r="AD9468" s="21">
        <v>0</v>
      </c>
      <c r="AE9468" s="21">
        <v>0</v>
      </c>
      <c r="AF9468" s="21">
        <v>0</v>
      </c>
      <c r="AG9468" s="21">
        <v>0</v>
      </c>
      <c r="AH9468" s="21">
        <f t="shared" si="199"/>
        <v>0</v>
      </c>
      <c r="AI9468" s="21"/>
      <c r="AJ9468" s="21"/>
      <c r="AK9468" s="21"/>
      <c r="AL9468" s="21" t="s">
        <v>6630</v>
      </c>
      <c r="AP9468" s="21" t="s">
        <v>1915</v>
      </c>
    </row>
    <row r="9469" spans="1:42">
      <c r="A9469" s="20">
        <v>43892</v>
      </c>
      <c r="B9469" s="21">
        <v>1</v>
      </c>
      <c r="C9469" s="21">
        <v>570</v>
      </c>
      <c r="D9469" s="21">
        <v>11414</v>
      </c>
      <c r="E9469" s="21" t="s">
        <v>377</v>
      </c>
      <c r="F9469" s="21" t="s">
        <v>436</v>
      </c>
      <c r="G9469" s="21">
        <v>1</v>
      </c>
      <c r="H9469" s="21">
        <v>9</v>
      </c>
      <c r="I9469" s="21" t="s">
        <v>3051</v>
      </c>
      <c r="J9469" s="21"/>
      <c r="K9469" s="21" t="s">
        <v>56</v>
      </c>
      <c r="L9469" s="21"/>
      <c r="M9469" s="21"/>
      <c r="N9469" s="21" t="s">
        <v>40</v>
      </c>
      <c r="O9469" s="21">
        <f>60+21</f>
        <v>81</v>
      </c>
      <c r="P9469" s="21">
        <v>0</v>
      </c>
      <c r="Q9469" s="21">
        <f t="shared" si="198"/>
        <v>1</v>
      </c>
      <c r="R9469" s="21">
        <v>1</v>
      </c>
      <c r="S9469" s="21">
        <v>0</v>
      </c>
      <c r="T9469" s="21">
        <v>0</v>
      </c>
      <c r="U9469" s="21">
        <v>0</v>
      </c>
      <c r="V9469" s="21">
        <v>0</v>
      </c>
      <c r="W9469" s="21">
        <v>0</v>
      </c>
      <c r="X9469" s="21">
        <v>0</v>
      </c>
      <c r="Y9469" s="21">
        <v>0</v>
      </c>
      <c r="Z9469" s="21">
        <v>0</v>
      </c>
      <c r="AA9469" s="21">
        <v>0</v>
      </c>
      <c r="AB9469" s="21">
        <v>0</v>
      </c>
      <c r="AC9469" s="21">
        <v>1</v>
      </c>
      <c r="AD9469" s="21">
        <v>0</v>
      </c>
      <c r="AE9469" s="21">
        <v>0</v>
      </c>
      <c r="AF9469" s="21">
        <v>0</v>
      </c>
      <c r="AG9469" s="21">
        <v>0</v>
      </c>
      <c r="AH9469" s="21">
        <f t="shared" si="199"/>
        <v>0</v>
      </c>
      <c r="AI9469" s="21"/>
      <c r="AJ9469" s="21" t="s">
        <v>51</v>
      </c>
      <c r="AK9469" s="21" t="s">
        <v>95</v>
      </c>
      <c r="AL9469" s="21" t="s">
        <v>6631</v>
      </c>
      <c r="AP9469" s="21" t="s">
        <v>1915</v>
      </c>
    </row>
    <row r="9470" spans="1:42">
      <c r="A9470" s="20">
        <v>43892</v>
      </c>
      <c r="B9470" s="21">
        <v>1</v>
      </c>
      <c r="C9470" s="21">
        <v>570</v>
      </c>
      <c r="D9470" s="21">
        <v>11414</v>
      </c>
      <c r="E9470" s="21" t="s">
        <v>377</v>
      </c>
      <c r="F9470" s="21" t="s">
        <v>436</v>
      </c>
      <c r="G9470" s="21">
        <v>1</v>
      </c>
      <c r="H9470" s="21">
        <v>10</v>
      </c>
      <c r="I9470" s="21" t="s">
        <v>6554</v>
      </c>
      <c r="J9470" s="21"/>
      <c r="K9470" s="21" t="s">
        <v>407</v>
      </c>
      <c r="L9470" s="21"/>
      <c r="M9470" s="21"/>
      <c r="N9470" s="21" t="s">
        <v>40</v>
      </c>
      <c r="O9470" s="21">
        <v>69</v>
      </c>
      <c r="P9470" s="21">
        <v>0</v>
      </c>
      <c r="Q9470" s="21">
        <f t="shared" si="198"/>
        <v>1</v>
      </c>
      <c r="R9470" s="21">
        <v>1</v>
      </c>
      <c r="S9470" s="21">
        <v>0</v>
      </c>
      <c r="T9470" s="21">
        <v>0</v>
      </c>
      <c r="U9470" s="21">
        <v>0</v>
      </c>
      <c r="V9470" s="21">
        <v>0</v>
      </c>
      <c r="W9470" s="21">
        <v>0</v>
      </c>
      <c r="X9470" s="21">
        <v>0</v>
      </c>
      <c r="Y9470" s="21">
        <v>0</v>
      </c>
      <c r="Z9470" s="21">
        <v>0</v>
      </c>
      <c r="AA9470" s="21">
        <v>0</v>
      </c>
      <c r="AB9470" s="21">
        <v>1</v>
      </c>
      <c r="AC9470" s="21">
        <v>0</v>
      </c>
      <c r="AD9470" s="21">
        <v>0</v>
      </c>
      <c r="AE9470" s="21">
        <v>0</v>
      </c>
      <c r="AF9470" s="21">
        <v>0</v>
      </c>
      <c r="AG9470" s="21">
        <v>0</v>
      </c>
      <c r="AH9470" s="21">
        <f t="shared" si="199"/>
        <v>0</v>
      </c>
      <c r="AI9470" s="21"/>
      <c r="AJ9470" s="21" t="s">
        <v>51</v>
      </c>
      <c r="AK9470" s="21" t="s">
        <v>52</v>
      </c>
      <c r="AL9470" s="21" t="s">
        <v>6632</v>
      </c>
      <c r="AP9470" s="21" t="s">
        <v>1915</v>
      </c>
    </row>
    <row r="9471" spans="1:42">
      <c r="A9471" s="20">
        <v>43892</v>
      </c>
      <c r="B9471" s="21">
        <v>1</v>
      </c>
      <c r="C9471" s="21">
        <v>570</v>
      </c>
      <c r="D9471" s="21">
        <v>11414</v>
      </c>
      <c r="E9471" s="21" t="s">
        <v>377</v>
      </c>
      <c r="F9471" s="21" t="s">
        <v>436</v>
      </c>
      <c r="G9471" s="21">
        <v>1</v>
      </c>
      <c r="H9471" s="21">
        <v>11</v>
      </c>
      <c r="I9471" s="21" t="s">
        <v>6633</v>
      </c>
      <c r="J9471" s="21"/>
      <c r="K9471" s="21" t="s">
        <v>56</v>
      </c>
      <c r="L9471" s="21"/>
      <c r="M9471" s="21"/>
      <c r="N9471" s="21" t="s">
        <v>44</v>
      </c>
      <c r="O9471" s="21">
        <f>120+120+52</f>
        <v>292</v>
      </c>
      <c r="P9471" s="21">
        <v>0</v>
      </c>
      <c r="Q9471" s="21">
        <f t="shared" si="198"/>
        <v>1</v>
      </c>
      <c r="R9471" s="21">
        <v>1</v>
      </c>
      <c r="S9471" s="21">
        <v>0</v>
      </c>
      <c r="T9471" s="21">
        <v>0</v>
      </c>
      <c r="U9471" s="21">
        <v>0</v>
      </c>
      <c r="V9471" s="21">
        <v>0</v>
      </c>
      <c r="W9471" s="21">
        <v>0</v>
      </c>
      <c r="X9471" s="21">
        <v>0</v>
      </c>
      <c r="Y9471" s="21">
        <v>0</v>
      </c>
      <c r="Z9471" s="21">
        <v>0</v>
      </c>
      <c r="AA9471" s="21">
        <v>0</v>
      </c>
      <c r="AB9471" s="21">
        <v>1</v>
      </c>
      <c r="AC9471" s="21">
        <v>0</v>
      </c>
      <c r="AD9471" s="21">
        <v>0</v>
      </c>
      <c r="AE9471" s="21">
        <v>0</v>
      </c>
      <c r="AF9471" s="21">
        <v>0</v>
      </c>
      <c r="AG9471" s="21">
        <v>0</v>
      </c>
      <c r="AH9471" s="21">
        <f t="shared" si="199"/>
        <v>0</v>
      </c>
      <c r="AI9471" s="21"/>
      <c r="AJ9471" s="21" t="s">
        <v>51</v>
      </c>
      <c r="AK9471" s="21" t="s">
        <v>95</v>
      </c>
      <c r="AL9471" s="21" t="s">
        <v>6634</v>
      </c>
      <c r="AP9471" s="21" t="s">
        <v>1915</v>
      </c>
    </row>
    <row r="9472" spans="1:42">
      <c r="A9472" s="20">
        <v>43892</v>
      </c>
      <c r="B9472" s="21">
        <v>1</v>
      </c>
      <c r="C9472" s="21">
        <v>570</v>
      </c>
      <c r="D9472" s="21">
        <v>11414</v>
      </c>
      <c r="E9472" s="21" t="s">
        <v>377</v>
      </c>
      <c r="F9472" s="21" t="s">
        <v>436</v>
      </c>
      <c r="G9472" s="21">
        <v>1</v>
      </c>
      <c r="H9472" s="21">
        <v>12</v>
      </c>
      <c r="I9472" s="21" t="s">
        <v>6635</v>
      </c>
      <c r="J9472" s="21"/>
      <c r="K9472" s="21" t="s">
        <v>49</v>
      </c>
      <c r="L9472" s="21"/>
      <c r="M9472" s="21"/>
      <c r="N9472" s="21" t="s">
        <v>40</v>
      </c>
      <c r="O9472" s="21">
        <f>60+53</f>
        <v>113</v>
      </c>
      <c r="P9472" s="21">
        <v>0</v>
      </c>
      <c r="Q9472" s="21">
        <f t="shared" si="198"/>
        <v>1</v>
      </c>
      <c r="R9472" s="21">
        <v>1</v>
      </c>
      <c r="S9472" s="21">
        <v>0</v>
      </c>
      <c r="T9472" s="21">
        <v>0</v>
      </c>
      <c r="U9472" s="21">
        <v>0</v>
      </c>
      <c r="V9472" s="21">
        <v>0</v>
      </c>
      <c r="W9472" s="21">
        <v>0</v>
      </c>
      <c r="X9472" s="21">
        <v>0</v>
      </c>
      <c r="Y9472" s="21">
        <v>0</v>
      </c>
      <c r="Z9472" s="21">
        <v>0</v>
      </c>
      <c r="AA9472" s="21">
        <v>1</v>
      </c>
      <c r="AB9472" s="21">
        <v>0</v>
      </c>
      <c r="AC9472" s="21">
        <v>0</v>
      </c>
      <c r="AD9472" s="21">
        <v>0</v>
      </c>
      <c r="AE9472" s="21">
        <v>0</v>
      </c>
      <c r="AF9472" s="21">
        <v>0</v>
      </c>
      <c r="AG9472" s="21">
        <v>0</v>
      </c>
      <c r="AH9472" s="21">
        <f t="shared" si="199"/>
        <v>0</v>
      </c>
      <c r="AI9472" s="21"/>
      <c r="AJ9472" s="21"/>
      <c r="AK9472" s="21"/>
      <c r="AL9472" s="21" t="s">
        <v>4193</v>
      </c>
      <c r="AP9472" s="21" t="s">
        <v>1915</v>
      </c>
    </row>
    <row r="9473" spans="1:42">
      <c r="A9473" s="20">
        <v>43892</v>
      </c>
      <c r="B9473" s="21">
        <v>1</v>
      </c>
      <c r="C9473" s="21">
        <v>570</v>
      </c>
      <c r="D9473" s="21">
        <v>11414</v>
      </c>
      <c r="E9473" s="21" t="s">
        <v>377</v>
      </c>
      <c r="F9473" s="21" t="s">
        <v>436</v>
      </c>
      <c r="G9473" s="21">
        <v>1</v>
      </c>
      <c r="H9473" s="21">
        <v>13</v>
      </c>
      <c r="I9473" s="21" t="s">
        <v>5780</v>
      </c>
      <c r="J9473" s="21"/>
      <c r="K9473" s="21" t="s">
        <v>49</v>
      </c>
      <c r="L9473" s="21"/>
      <c r="M9473" s="21"/>
      <c r="N9473" s="21" t="s">
        <v>44</v>
      </c>
      <c r="O9473" s="21">
        <f>60+46</f>
        <v>106</v>
      </c>
      <c r="P9473" s="21">
        <v>0</v>
      </c>
      <c r="Q9473" s="21">
        <f t="shared" si="198"/>
        <v>1</v>
      </c>
      <c r="R9473" s="21">
        <v>1</v>
      </c>
      <c r="S9473" s="21">
        <v>0</v>
      </c>
      <c r="T9473" s="21">
        <v>0</v>
      </c>
      <c r="U9473" s="21">
        <v>0</v>
      </c>
      <c r="V9473" s="21">
        <v>0</v>
      </c>
      <c r="W9473" s="21">
        <v>0</v>
      </c>
      <c r="X9473" s="21">
        <v>0</v>
      </c>
      <c r="Y9473" s="21">
        <v>0</v>
      </c>
      <c r="Z9473" s="21">
        <v>0</v>
      </c>
      <c r="AA9473" s="21">
        <v>1</v>
      </c>
      <c r="AB9473" s="21">
        <v>0</v>
      </c>
      <c r="AC9473" s="21">
        <v>0</v>
      </c>
      <c r="AD9473" s="21">
        <v>0</v>
      </c>
      <c r="AE9473" s="21">
        <v>0</v>
      </c>
      <c r="AF9473" s="21">
        <v>0</v>
      </c>
      <c r="AG9473" s="21">
        <v>0</v>
      </c>
      <c r="AH9473" s="21">
        <f t="shared" si="199"/>
        <v>0</v>
      </c>
      <c r="AI9473" s="21"/>
      <c r="AJ9473" s="21" t="s">
        <v>51</v>
      </c>
      <c r="AK9473" s="21" t="s">
        <v>95</v>
      </c>
      <c r="AL9473" s="21" t="s">
        <v>6636</v>
      </c>
      <c r="AP9473" s="21" t="s">
        <v>1915</v>
      </c>
    </row>
    <row r="9474" spans="1:42">
      <c r="A9474" s="20">
        <v>43892</v>
      </c>
      <c r="B9474" s="21">
        <v>1</v>
      </c>
      <c r="C9474" s="21">
        <v>570</v>
      </c>
      <c r="D9474" s="21">
        <v>11414</v>
      </c>
      <c r="E9474" s="21" t="s">
        <v>377</v>
      </c>
      <c r="F9474" s="21" t="s">
        <v>436</v>
      </c>
      <c r="G9474" s="21">
        <v>1</v>
      </c>
      <c r="H9474" s="21">
        <v>14</v>
      </c>
      <c r="I9474" s="21" t="s">
        <v>4237</v>
      </c>
      <c r="J9474" s="21"/>
      <c r="K9474" s="21" t="s">
        <v>6637</v>
      </c>
      <c r="L9474" s="21"/>
      <c r="M9474" s="21"/>
      <c r="N9474" s="21" t="s">
        <v>44</v>
      </c>
      <c r="O9474" s="21">
        <f>120+32</f>
        <v>152</v>
      </c>
      <c r="P9474" s="21">
        <v>0</v>
      </c>
      <c r="Q9474" s="21">
        <f t="shared" si="198"/>
        <v>1</v>
      </c>
      <c r="R9474" s="21">
        <v>1</v>
      </c>
      <c r="S9474" s="21">
        <v>0</v>
      </c>
      <c r="T9474" s="21">
        <v>0</v>
      </c>
      <c r="U9474" s="21">
        <v>0</v>
      </c>
      <c r="V9474" s="21">
        <v>0</v>
      </c>
      <c r="W9474" s="21">
        <v>0</v>
      </c>
      <c r="X9474" s="21">
        <v>0</v>
      </c>
      <c r="Y9474" s="21">
        <v>0</v>
      </c>
      <c r="Z9474" s="21">
        <v>0</v>
      </c>
      <c r="AA9474" s="21">
        <v>0</v>
      </c>
      <c r="AB9474" s="21">
        <v>1</v>
      </c>
      <c r="AC9474" s="21">
        <v>0</v>
      </c>
      <c r="AD9474" s="21">
        <v>0</v>
      </c>
      <c r="AE9474" s="21">
        <v>0</v>
      </c>
      <c r="AF9474" s="21">
        <v>0</v>
      </c>
      <c r="AG9474" s="21">
        <v>0</v>
      </c>
      <c r="AH9474" s="21">
        <f t="shared" si="199"/>
        <v>0</v>
      </c>
      <c r="AI9474" s="21"/>
      <c r="AJ9474" s="21" t="s">
        <v>51</v>
      </c>
      <c r="AK9474" s="21" t="s">
        <v>95</v>
      </c>
      <c r="AL9474" s="21" t="s">
        <v>6638</v>
      </c>
      <c r="AP9474" s="21" t="s">
        <v>1915</v>
      </c>
    </row>
    <row r="9475" spans="1:42">
      <c r="A9475" s="20">
        <v>43892</v>
      </c>
      <c r="B9475" s="21">
        <v>1</v>
      </c>
      <c r="C9475" s="21">
        <v>570</v>
      </c>
      <c r="D9475" s="21">
        <v>11414</v>
      </c>
      <c r="E9475" s="21" t="s">
        <v>377</v>
      </c>
      <c r="F9475" s="21" t="s">
        <v>436</v>
      </c>
      <c r="G9475" s="21">
        <v>1</v>
      </c>
      <c r="H9475" s="21">
        <v>15</v>
      </c>
      <c r="I9475" s="21" t="s">
        <v>3340</v>
      </c>
      <c r="J9475" s="21"/>
      <c r="K9475" s="21" t="s">
        <v>50</v>
      </c>
      <c r="L9475" s="21"/>
      <c r="M9475" s="21"/>
      <c r="N9475" s="21" t="s">
        <v>44</v>
      </c>
      <c r="O9475" s="21">
        <f>120+124</f>
        <v>244</v>
      </c>
      <c r="P9475" s="21">
        <v>0</v>
      </c>
      <c r="Q9475" s="21">
        <f t="shared" si="198"/>
        <v>1</v>
      </c>
      <c r="R9475" s="21">
        <v>1</v>
      </c>
      <c r="S9475" s="21">
        <v>0</v>
      </c>
      <c r="T9475" s="21">
        <v>0</v>
      </c>
      <c r="U9475" s="21">
        <v>0</v>
      </c>
      <c r="V9475" s="21">
        <v>0</v>
      </c>
      <c r="W9475" s="21">
        <v>0</v>
      </c>
      <c r="X9475" s="21">
        <v>0</v>
      </c>
      <c r="Y9475" s="21">
        <v>0</v>
      </c>
      <c r="Z9475" s="21">
        <v>0</v>
      </c>
      <c r="AA9475" s="21">
        <v>0</v>
      </c>
      <c r="AB9475" s="21">
        <v>1</v>
      </c>
      <c r="AC9475" s="21">
        <v>0</v>
      </c>
      <c r="AD9475" s="21">
        <v>0</v>
      </c>
      <c r="AE9475" s="21">
        <v>0</v>
      </c>
      <c r="AF9475" s="21">
        <v>0</v>
      </c>
      <c r="AG9475" s="21">
        <v>0</v>
      </c>
      <c r="AH9475" s="21">
        <f t="shared" si="199"/>
        <v>0</v>
      </c>
      <c r="AI9475" s="21"/>
      <c r="AJ9475" s="21" t="s">
        <v>54</v>
      </c>
      <c r="AK9475" s="21" t="s">
        <v>95</v>
      </c>
      <c r="AL9475" s="21" t="s">
        <v>6639</v>
      </c>
      <c r="AP9475" s="21" t="s">
        <v>1915</v>
      </c>
    </row>
    <row r="9476" spans="1:42">
      <c r="A9476" s="20">
        <v>43892</v>
      </c>
      <c r="B9476" s="21">
        <v>1</v>
      </c>
      <c r="C9476" s="21">
        <v>570</v>
      </c>
      <c r="D9476" s="21">
        <v>11414</v>
      </c>
      <c r="E9476" s="21" t="s">
        <v>377</v>
      </c>
      <c r="F9476" s="21" t="s">
        <v>436</v>
      </c>
      <c r="G9476" s="21">
        <v>1</v>
      </c>
      <c r="H9476" s="21">
        <v>16</v>
      </c>
      <c r="I9476" s="21" t="s">
        <v>4287</v>
      </c>
      <c r="J9476" s="21"/>
      <c r="K9476" s="21" t="s">
        <v>56</v>
      </c>
      <c r="L9476" s="21"/>
      <c r="M9476" s="21"/>
      <c r="N9476" s="21" t="s">
        <v>44</v>
      </c>
      <c r="O9476" s="21">
        <v>124</v>
      </c>
      <c r="P9476" s="21">
        <v>0</v>
      </c>
      <c r="Q9476" s="21">
        <f t="shared" si="198"/>
        <v>2</v>
      </c>
      <c r="R9476" s="21">
        <v>1</v>
      </c>
      <c r="S9476" s="21">
        <v>0</v>
      </c>
      <c r="T9476" s="21">
        <v>0</v>
      </c>
      <c r="U9476" s="21">
        <v>0</v>
      </c>
      <c r="V9476" s="21">
        <v>0</v>
      </c>
      <c r="W9476" s="21">
        <v>0</v>
      </c>
      <c r="X9476" s="21">
        <v>0</v>
      </c>
      <c r="Y9476" s="21">
        <v>0</v>
      </c>
      <c r="Z9476" s="21">
        <v>0</v>
      </c>
      <c r="AA9476" s="21">
        <v>1</v>
      </c>
      <c r="AB9476" s="21">
        <v>0</v>
      </c>
      <c r="AC9476" s="21">
        <v>1</v>
      </c>
      <c r="AD9476" s="21">
        <v>0</v>
      </c>
      <c r="AE9476" s="21">
        <v>0</v>
      </c>
      <c r="AF9476" s="21">
        <v>0</v>
      </c>
      <c r="AG9476" s="21">
        <v>0</v>
      </c>
      <c r="AH9476" s="21">
        <f t="shared" si="199"/>
        <v>0</v>
      </c>
      <c r="AI9476" s="21"/>
      <c r="AJ9476" s="21" t="s">
        <v>51</v>
      </c>
      <c r="AK9476" s="21"/>
      <c r="AL9476" s="21"/>
      <c r="AP9476" s="21" t="s">
        <v>1915</v>
      </c>
    </row>
    <row r="9477" spans="1:42">
      <c r="A9477" s="20">
        <v>43892</v>
      </c>
      <c r="B9477" s="21">
        <v>1</v>
      </c>
      <c r="C9477" s="21">
        <v>570</v>
      </c>
      <c r="D9477" s="21">
        <v>11414</v>
      </c>
      <c r="E9477" s="21" t="s">
        <v>377</v>
      </c>
      <c r="F9477" s="21" t="s">
        <v>436</v>
      </c>
      <c r="G9477" s="21">
        <v>1</v>
      </c>
      <c r="H9477" s="21">
        <v>17</v>
      </c>
      <c r="I9477" s="21" t="s">
        <v>6640</v>
      </c>
      <c r="J9477" s="21"/>
      <c r="K9477" s="21" t="s">
        <v>56</v>
      </c>
      <c r="L9477" s="21"/>
      <c r="M9477" s="21"/>
      <c r="N9477" s="21" t="s">
        <v>44</v>
      </c>
      <c r="O9477" s="21">
        <v>130</v>
      </c>
      <c r="P9477" s="21">
        <v>0</v>
      </c>
      <c r="Q9477" s="21">
        <f t="shared" si="198"/>
        <v>1</v>
      </c>
      <c r="R9477" s="21">
        <v>1</v>
      </c>
      <c r="S9477" s="21">
        <v>0</v>
      </c>
      <c r="T9477" s="21">
        <v>0</v>
      </c>
      <c r="U9477" s="21">
        <v>0</v>
      </c>
      <c r="V9477" s="21">
        <v>0</v>
      </c>
      <c r="W9477" s="21">
        <v>0</v>
      </c>
      <c r="X9477" s="21">
        <v>0</v>
      </c>
      <c r="Y9477" s="21">
        <v>0</v>
      </c>
      <c r="Z9477" s="21">
        <v>0</v>
      </c>
      <c r="AA9477" s="21">
        <v>1</v>
      </c>
      <c r="AB9477" s="21">
        <v>0</v>
      </c>
      <c r="AC9477" s="21">
        <v>0</v>
      </c>
      <c r="AD9477" s="21">
        <v>0</v>
      </c>
      <c r="AE9477" s="21">
        <v>0</v>
      </c>
      <c r="AF9477" s="21">
        <v>0</v>
      </c>
      <c r="AG9477" s="21">
        <v>0</v>
      </c>
      <c r="AH9477" s="21">
        <f t="shared" si="199"/>
        <v>0</v>
      </c>
      <c r="AI9477" s="21"/>
      <c r="AJ9477" s="21" t="s">
        <v>54</v>
      </c>
      <c r="AK9477" s="21" t="s">
        <v>95</v>
      </c>
      <c r="AL9477" s="21" t="s">
        <v>6641</v>
      </c>
      <c r="AP9477" s="21" t="s">
        <v>1915</v>
      </c>
    </row>
    <row r="9478" spans="1:42">
      <c r="A9478" s="20">
        <v>43892</v>
      </c>
      <c r="B9478" s="21">
        <v>1</v>
      </c>
      <c r="C9478" s="21">
        <v>570</v>
      </c>
      <c r="D9478" s="21">
        <v>11414</v>
      </c>
      <c r="E9478" s="21" t="s">
        <v>377</v>
      </c>
      <c r="F9478" s="21" t="s">
        <v>436</v>
      </c>
      <c r="G9478" s="21">
        <v>1</v>
      </c>
      <c r="H9478" s="21">
        <v>18</v>
      </c>
      <c r="I9478" s="21" t="s">
        <v>5666</v>
      </c>
      <c r="J9478" s="21"/>
      <c r="K9478" s="21" t="s">
        <v>6642</v>
      </c>
      <c r="L9478" s="21"/>
      <c r="M9478" s="21"/>
      <c r="N9478" s="21" t="s">
        <v>40</v>
      </c>
      <c r="O9478" s="21">
        <f>60+45</f>
        <v>105</v>
      </c>
      <c r="P9478" s="21">
        <v>0</v>
      </c>
      <c r="Q9478" s="21">
        <f t="shared" si="198"/>
        <v>1</v>
      </c>
      <c r="R9478" s="21">
        <v>1</v>
      </c>
      <c r="S9478" s="21">
        <v>0</v>
      </c>
      <c r="T9478" s="21">
        <v>0</v>
      </c>
      <c r="U9478" s="21">
        <v>0</v>
      </c>
      <c r="V9478" s="21">
        <v>0</v>
      </c>
      <c r="W9478" s="21">
        <v>0</v>
      </c>
      <c r="X9478" s="21">
        <v>0</v>
      </c>
      <c r="Y9478" s="21">
        <v>0</v>
      </c>
      <c r="Z9478" s="21">
        <v>0</v>
      </c>
      <c r="AA9478" s="21">
        <v>0</v>
      </c>
      <c r="AB9478" s="21">
        <v>1</v>
      </c>
      <c r="AC9478" s="21">
        <v>0</v>
      </c>
      <c r="AD9478" s="21">
        <v>0</v>
      </c>
      <c r="AE9478" s="21">
        <v>0</v>
      </c>
      <c r="AF9478" s="21">
        <v>0</v>
      </c>
      <c r="AG9478" s="21">
        <v>0</v>
      </c>
      <c r="AH9478" s="21">
        <f t="shared" si="199"/>
        <v>0</v>
      </c>
      <c r="AI9478" s="21"/>
      <c r="AJ9478" s="21" t="s">
        <v>51</v>
      </c>
      <c r="AK9478" s="21" t="s">
        <v>95</v>
      </c>
      <c r="AL9478" s="21" t="s">
        <v>379</v>
      </c>
      <c r="AP9478" s="21" t="s">
        <v>1915</v>
      </c>
    </row>
    <row r="9479" spans="1:42">
      <c r="A9479" s="20">
        <v>43892</v>
      </c>
      <c r="B9479" s="21">
        <v>1</v>
      </c>
      <c r="C9479" s="21">
        <v>570</v>
      </c>
      <c r="D9479" s="21">
        <v>11414</v>
      </c>
      <c r="E9479" s="21" t="s">
        <v>377</v>
      </c>
      <c r="F9479" s="21" t="s">
        <v>436</v>
      </c>
      <c r="G9479" s="21">
        <v>1</v>
      </c>
      <c r="H9479" s="21">
        <v>19</v>
      </c>
      <c r="I9479" s="21" t="s">
        <v>5666</v>
      </c>
      <c r="J9479" s="21"/>
      <c r="K9479" s="21" t="s">
        <v>516</v>
      </c>
      <c r="L9479" s="21"/>
      <c r="M9479" s="21"/>
      <c r="N9479" s="21" t="s">
        <v>44</v>
      </c>
      <c r="O9479" s="21">
        <f>120+40</f>
        <v>160</v>
      </c>
      <c r="P9479" s="21">
        <v>0</v>
      </c>
      <c r="Q9479" s="21">
        <f t="shared" si="198"/>
        <v>1</v>
      </c>
      <c r="R9479" s="21">
        <v>1</v>
      </c>
      <c r="S9479" s="21">
        <v>0</v>
      </c>
      <c r="T9479" s="21">
        <v>0</v>
      </c>
      <c r="U9479" s="21">
        <v>0</v>
      </c>
      <c r="V9479" s="21">
        <v>0</v>
      </c>
      <c r="W9479" s="21">
        <v>0</v>
      </c>
      <c r="X9479" s="21">
        <v>0</v>
      </c>
      <c r="Y9479" s="21">
        <v>0</v>
      </c>
      <c r="Z9479" s="21">
        <v>0</v>
      </c>
      <c r="AA9479" s="21">
        <v>1</v>
      </c>
      <c r="AB9479" s="21">
        <v>0</v>
      </c>
      <c r="AC9479" s="21">
        <v>0</v>
      </c>
      <c r="AD9479" s="21">
        <v>0</v>
      </c>
      <c r="AE9479" s="21">
        <v>0</v>
      </c>
      <c r="AF9479" s="21">
        <v>0</v>
      </c>
      <c r="AG9479" s="21">
        <v>0</v>
      </c>
      <c r="AH9479" s="21">
        <f t="shared" si="199"/>
        <v>0</v>
      </c>
      <c r="AI9479" s="21"/>
      <c r="AJ9479" s="21" t="s">
        <v>51</v>
      </c>
      <c r="AK9479" s="21" t="s">
        <v>95</v>
      </c>
      <c r="AL9479" s="21" t="s">
        <v>6643</v>
      </c>
      <c r="AP9479" s="21" t="s">
        <v>1915</v>
      </c>
    </row>
    <row r="9480" spans="1:42">
      <c r="A9480" s="20">
        <v>43892</v>
      </c>
      <c r="B9480" s="21">
        <v>1</v>
      </c>
      <c r="C9480" s="21">
        <v>570</v>
      </c>
      <c r="D9480" s="21">
        <v>11414</v>
      </c>
      <c r="E9480" s="21" t="s">
        <v>377</v>
      </c>
      <c r="F9480" s="21" t="s">
        <v>436</v>
      </c>
      <c r="G9480" s="21">
        <v>1</v>
      </c>
      <c r="H9480" s="21">
        <v>20</v>
      </c>
      <c r="I9480" s="21" t="s">
        <v>4658</v>
      </c>
      <c r="J9480" s="21"/>
      <c r="K9480" s="21" t="s">
        <v>46</v>
      </c>
      <c r="L9480" s="21"/>
      <c r="M9480" s="21"/>
      <c r="N9480" s="21" t="s">
        <v>40</v>
      </c>
      <c r="O9480" s="21">
        <v>139</v>
      </c>
      <c r="P9480" s="21">
        <v>0</v>
      </c>
      <c r="Q9480" s="21">
        <f t="shared" si="198"/>
        <v>1</v>
      </c>
      <c r="R9480" s="21">
        <v>1</v>
      </c>
      <c r="S9480" s="21">
        <v>0</v>
      </c>
      <c r="T9480" s="21">
        <v>0</v>
      </c>
      <c r="U9480" s="21">
        <v>0</v>
      </c>
      <c r="V9480" s="21">
        <v>0</v>
      </c>
      <c r="W9480" s="21">
        <v>0</v>
      </c>
      <c r="X9480" s="21">
        <v>0</v>
      </c>
      <c r="Y9480" s="21">
        <v>0</v>
      </c>
      <c r="Z9480" s="21">
        <v>0</v>
      </c>
      <c r="AA9480" s="21">
        <v>0</v>
      </c>
      <c r="AB9480" s="21">
        <v>0</v>
      </c>
      <c r="AC9480" s="21">
        <v>1</v>
      </c>
      <c r="AD9480" s="21">
        <v>0</v>
      </c>
      <c r="AE9480" s="21">
        <v>0</v>
      </c>
      <c r="AF9480" s="21">
        <v>0</v>
      </c>
      <c r="AG9480" s="21">
        <v>0</v>
      </c>
      <c r="AH9480" s="21">
        <f t="shared" si="199"/>
        <v>0</v>
      </c>
      <c r="AI9480" s="21"/>
      <c r="AJ9480" s="21" t="s">
        <v>51</v>
      </c>
      <c r="AK9480" s="21" t="s">
        <v>52</v>
      </c>
      <c r="AL9480" s="21" t="s">
        <v>6644</v>
      </c>
      <c r="AP9480" s="21" t="s">
        <v>1915</v>
      </c>
    </row>
    <row r="9481" spans="1:42">
      <c r="A9481" s="20">
        <v>43892</v>
      </c>
      <c r="B9481" s="21">
        <v>1</v>
      </c>
      <c r="C9481" s="21">
        <v>570</v>
      </c>
      <c r="D9481" s="21">
        <v>11414</v>
      </c>
      <c r="E9481" s="21" t="s">
        <v>377</v>
      </c>
      <c r="F9481" s="21" t="s">
        <v>436</v>
      </c>
      <c r="G9481" s="21">
        <v>1</v>
      </c>
      <c r="H9481" s="21">
        <v>21</v>
      </c>
      <c r="I9481" s="21" t="s">
        <v>6645</v>
      </c>
      <c r="J9481" s="21"/>
      <c r="K9481" s="21" t="s">
        <v>73</v>
      </c>
      <c r="L9481" s="21"/>
      <c r="M9481" s="21"/>
      <c r="N9481" s="21" t="s">
        <v>44</v>
      </c>
      <c r="O9481" s="21">
        <f>60+55</f>
        <v>115</v>
      </c>
      <c r="P9481" s="21">
        <v>0</v>
      </c>
      <c r="Q9481" s="21">
        <f t="shared" si="198"/>
        <v>1</v>
      </c>
      <c r="R9481" s="21">
        <v>1</v>
      </c>
      <c r="S9481" s="21">
        <v>0</v>
      </c>
      <c r="T9481" s="21">
        <v>0</v>
      </c>
      <c r="U9481" s="21">
        <v>0</v>
      </c>
      <c r="V9481" s="21">
        <v>0</v>
      </c>
      <c r="W9481" s="21">
        <v>0</v>
      </c>
      <c r="X9481" s="21">
        <v>0</v>
      </c>
      <c r="Y9481" s="21">
        <v>0</v>
      </c>
      <c r="Z9481" s="21">
        <v>0</v>
      </c>
      <c r="AA9481" s="21">
        <v>0</v>
      </c>
      <c r="AB9481" s="21">
        <v>1</v>
      </c>
      <c r="AC9481" s="21">
        <v>0</v>
      </c>
      <c r="AD9481" s="21">
        <v>0</v>
      </c>
      <c r="AE9481" s="21">
        <v>0</v>
      </c>
      <c r="AF9481" s="21">
        <v>0</v>
      </c>
      <c r="AG9481" s="21">
        <v>0</v>
      </c>
      <c r="AH9481" s="21">
        <f t="shared" si="199"/>
        <v>0</v>
      </c>
      <c r="AI9481" s="21"/>
      <c r="AJ9481" s="21" t="s">
        <v>51</v>
      </c>
      <c r="AK9481" s="21" t="s">
        <v>95</v>
      </c>
      <c r="AL9481" s="21" t="s">
        <v>6646</v>
      </c>
      <c r="AP9481" s="21" t="s">
        <v>1915</v>
      </c>
    </row>
    <row r="9482" spans="1:42">
      <c r="A9482" s="20">
        <v>43892</v>
      </c>
      <c r="B9482" s="21">
        <v>1</v>
      </c>
      <c r="C9482" s="21">
        <v>570</v>
      </c>
      <c r="D9482" s="21">
        <v>11414</v>
      </c>
      <c r="E9482" s="21" t="s">
        <v>377</v>
      </c>
      <c r="F9482" s="21" t="s">
        <v>436</v>
      </c>
      <c r="G9482" s="21">
        <v>1</v>
      </c>
      <c r="H9482" s="21">
        <v>22</v>
      </c>
      <c r="I9482" s="21" t="s">
        <v>4213</v>
      </c>
      <c r="J9482" s="21"/>
      <c r="K9482" s="21" t="s">
        <v>394</v>
      </c>
      <c r="L9482" s="21"/>
      <c r="M9482" s="21"/>
      <c r="N9482" s="21" t="s">
        <v>40</v>
      </c>
      <c r="O9482" s="21">
        <v>42</v>
      </c>
      <c r="P9482" s="21">
        <v>0</v>
      </c>
      <c r="Q9482" s="21">
        <f t="shared" si="198"/>
        <v>1</v>
      </c>
      <c r="R9482" s="21">
        <v>1</v>
      </c>
      <c r="S9482" s="21">
        <v>0</v>
      </c>
      <c r="T9482" s="21">
        <v>0</v>
      </c>
      <c r="U9482" s="21">
        <v>0</v>
      </c>
      <c r="V9482" s="21">
        <v>0</v>
      </c>
      <c r="W9482" s="21">
        <v>0</v>
      </c>
      <c r="X9482" s="21">
        <v>0</v>
      </c>
      <c r="Y9482" s="21">
        <v>0</v>
      </c>
      <c r="Z9482" s="21">
        <v>0</v>
      </c>
      <c r="AA9482" s="21">
        <v>0</v>
      </c>
      <c r="AB9482" s="21">
        <v>0</v>
      </c>
      <c r="AC9482" s="21">
        <v>1</v>
      </c>
      <c r="AD9482" s="21">
        <v>0</v>
      </c>
      <c r="AE9482" s="21">
        <v>0</v>
      </c>
      <c r="AF9482" s="21">
        <v>0</v>
      </c>
      <c r="AG9482" s="21">
        <v>0</v>
      </c>
      <c r="AH9482" s="21">
        <f t="shared" si="199"/>
        <v>0</v>
      </c>
      <c r="AI9482" s="21"/>
      <c r="AJ9482" s="21" t="s">
        <v>51</v>
      </c>
      <c r="AK9482" s="21" t="s">
        <v>52</v>
      </c>
      <c r="AL9482" s="21"/>
      <c r="AP9482" s="21" t="s">
        <v>1915</v>
      </c>
    </row>
    <row r="9483" spans="1:42">
      <c r="A9483" s="20">
        <v>43892</v>
      </c>
      <c r="B9483" s="21">
        <v>1</v>
      </c>
      <c r="C9483" s="21">
        <v>570</v>
      </c>
      <c r="D9483" s="21">
        <v>11414</v>
      </c>
      <c r="E9483" s="21" t="s">
        <v>377</v>
      </c>
      <c r="F9483" s="21" t="s">
        <v>436</v>
      </c>
      <c r="G9483" s="21">
        <v>1</v>
      </c>
      <c r="H9483" s="21">
        <v>23</v>
      </c>
      <c r="I9483" s="21" t="s">
        <v>6647</v>
      </c>
      <c r="J9483" s="21"/>
      <c r="K9483" s="21" t="s">
        <v>399</v>
      </c>
      <c r="L9483" s="21"/>
      <c r="M9483" s="21"/>
      <c r="N9483" s="21" t="s">
        <v>1703</v>
      </c>
      <c r="O9483" s="21">
        <v>61</v>
      </c>
      <c r="P9483" s="21">
        <v>0</v>
      </c>
      <c r="Q9483" s="21">
        <f t="shared" si="198"/>
        <v>1</v>
      </c>
      <c r="R9483" s="21">
        <v>1</v>
      </c>
      <c r="S9483" s="21">
        <v>0</v>
      </c>
      <c r="T9483" s="21">
        <v>0</v>
      </c>
      <c r="U9483" s="21">
        <v>0</v>
      </c>
      <c r="V9483" s="21">
        <v>0</v>
      </c>
      <c r="W9483" s="21">
        <v>0</v>
      </c>
      <c r="X9483" s="21">
        <v>0</v>
      </c>
      <c r="Y9483" s="21">
        <v>0</v>
      </c>
      <c r="Z9483" s="21">
        <v>0</v>
      </c>
      <c r="AA9483" s="21">
        <v>1</v>
      </c>
      <c r="AB9483" s="21">
        <v>0</v>
      </c>
      <c r="AC9483" s="21">
        <v>0</v>
      </c>
      <c r="AD9483" s="21">
        <v>0</v>
      </c>
      <c r="AE9483" s="21">
        <v>0</v>
      </c>
      <c r="AF9483" s="21">
        <v>0</v>
      </c>
      <c r="AG9483" s="21">
        <v>0</v>
      </c>
      <c r="AH9483" s="21">
        <f t="shared" si="199"/>
        <v>0</v>
      </c>
      <c r="AI9483" s="21"/>
      <c r="AJ9483" s="21" t="s">
        <v>51</v>
      </c>
      <c r="AK9483" s="21" t="s">
        <v>95</v>
      </c>
      <c r="AL9483" s="21"/>
      <c r="AP9483" s="21" t="s">
        <v>1915</v>
      </c>
    </row>
    <row r="9484" spans="1:42">
      <c r="A9484" s="20">
        <v>43892</v>
      </c>
      <c r="B9484" s="21">
        <v>1</v>
      </c>
      <c r="C9484" s="21">
        <v>570</v>
      </c>
      <c r="D9484" s="21">
        <v>11414</v>
      </c>
      <c r="E9484" s="21" t="s">
        <v>377</v>
      </c>
      <c r="F9484" s="21" t="s">
        <v>436</v>
      </c>
      <c r="G9484" s="21">
        <v>1</v>
      </c>
      <c r="H9484" s="21">
        <v>24</v>
      </c>
      <c r="I9484" s="21" t="s">
        <v>6648</v>
      </c>
      <c r="J9484" s="21"/>
      <c r="K9484" s="21" t="s">
        <v>380</v>
      </c>
      <c r="L9484" s="21"/>
      <c r="M9484" s="21"/>
      <c r="N9484" s="21" t="s">
        <v>44</v>
      </c>
      <c r="O9484" s="21">
        <f>120+57</f>
        <v>177</v>
      </c>
      <c r="P9484" s="21">
        <v>0</v>
      </c>
      <c r="Q9484" s="21">
        <f t="shared" si="198"/>
        <v>1</v>
      </c>
      <c r="R9484" s="21">
        <v>1</v>
      </c>
      <c r="S9484" s="21">
        <v>0</v>
      </c>
      <c r="T9484" s="21">
        <v>0</v>
      </c>
      <c r="U9484" s="21">
        <v>0</v>
      </c>
      <c r="V9484" s="21">
        <v>0</v>
      </c>
      <c r="W9484" s="21">
        <v>0</v>
      </c>
      <c r="X9484" s="21">
        <v>0</v>
      </c>
      <c r="Y9484" s="21">
        <v>0</v>
      </c>
      <c r="Z9484" s="21">
        <v>1</v>
      </c>
      <c r="AA9484" s="21">
        <v>0</v>
      </c>
      <c r="AB9484" s="21">
        <v>0</v>
      </c>
      <c r="AC9484" s="21">
        <v>0</v>
      </c>
      <c r="AD9484" s="21">
        <v>0</v>
      </c>
      <c r="AE9484" s="21">
        <v>0</v>
      </c>
      <c r="AF9484" s="21">
        <v>0</v>
      </c>
      <c r="AG9484" s="21">
        <v>0</v>
      </c>
      <c r="AH9484" s="21">
        <f t="shared" si="199"/>
        <v>0</v>
      </c>
      <c r="AI9484" s="21"/>
      <c r="AJ9484" s="21" t="s">
        <v>51</v>
      </c>
      <c r="AK9484" s="21" t="s">
        <v>95</v>
      </c>
      <c r="AL9484" s="21" t="s">
        <v>6649</v>
      </c>
      <c r="AP9484" s="21" t="s">
        <v>1915</v>
      </c>
    </row>
    <row r="9485" spans="1:42">
      <c r="A9485" s="20">
        <v>43892</v>
      </c>
      <c r="B9485" s="21">
        <v>1</v>
      </c>
      <c r="C9485" s="21">
        <v>570</v>
      </c>
      <c r="D9485" s="21">
        <v>11414</v>
      </c>
      <c r="E9485" s="21" t="s">
        <v>377</v>
      </c>
      <c r="F9485" s="21" t="s">
        <v>436</v>
      </c>
      <c r="G9485" s="21">
        <v>1</v>
      </c>
      <c r="H9485" s="21">
        <v>25</v>
      </c>
      <c r="I9485" s="21" t="s">
        <v>3677</v>
      </c>
      <c r="J9485" s="21"/>
      <c r="K9485" s="21" t="s">
        <v>380</v>
      </c>
      <c r="L9485" s="21"/>
      <c r="M9485" s="21"/>
      <c r="N9485" s="21" t="s">
        <v>1703</v>
      </c>
      <c r="O9485" s="21">
        <f>60+33</f>
        <v>93</v>
      </c>
      <c r="P9485" s="21">
        <v>0</v>
      </c>
      <c r="Q9485" s="21">
        <f t="shared" si="198"/>
        <v>1</v>
      </c>
      <c r="R9485" s="21">
        <v>1</v>
      </c>
      <c r="S9485" s="21">
        <v>0</v>
      </c>
      <c r="T9485" s="21">
        <v>0</v>
      </c>
      <c r="U9485" s="21">
        <v>0</v>
      </c>
      <c r="V9485" s="21">
        <v>0</v>
      </c>
      <c r="W9485" s="21">
        <v>0</v>
      </c>
      <c r="X9485" s="21">
        <v>0</v>
      </c>
      <c r="Y9485" s="21">
        <v>0</v>
      </c>
      <c r="Z9485" s="21">
        <v>0</v>
      </c>
      <c r="AA9485" s="21">
        <v>0</v>
      </c>
      <c r="AB9485" s="21">
        <v>1</v>
      </c>
      <c r="AC9485" s="21">
        <v>0</v>
      </c>
      <c r="AD9485" s="21">
        <v>0</v>
      </c>
      <c r="AE9485" s="21">
        <v>0</v>
      </c>
      <c r="AF9485" s="21">
        <v>0</v>
      </c>
      <c r="AG9485" s="21">
        <v>0</v>
      </c>
      <c r="AH9485" s="21">
        <f t="shared" si="199"/>
        <v>0</v>
      </c>
      <c r="AI9485" s="21"/>
      <c r="AJ9485" s="21" t="s">
        <v>51</v>
      </c>
      <c r="AK9485" s="21" t="s">
        <v>95</v>
      </c>
      <c r="AL9485" s="21" t="s">
        <v>6650</v>
      </c>
      <c r="AP9485" s="21" t="s">
        <v>1915</v>
      </c>
    </row>
    <row r="9486" spans="1:42">
      <c r="A9486" s="20">
        <v>43892</v>
      </c>
      <c r="B9486" s="21">
        <v>1</v>
      </c>
      <c r="C9486" s="21">
        <v>570</v>
      </c>
      <c r="D9486" s="21">
        <v>11414</v>
      </c>
      <c r="E9486" s="21" t="s">
        <v>377</v>
      </c>
      <c r="F9486" s="21" t="s">
        <v>436</v>
      </c>
      <c r="G9486" s="21">
        <v>1</v>
      </c>
      <c r="H9486" s="21">
        <v>26</v>
      </c>
      <c r="I9486" s="21" t="s">
        <v>3487</v>
      </c>
      <c r="J9486" s="21"/>
      <c r="K9486" s="21" t="s">
        <v>6651</v>
      </c>
      <c r="L9486" s="21"/>
      <c r="M9486" s="21"/>
      <c r="N9486" s="21" t="s">
        <v>40</v>
      </c>
      <c r="O9486" s="21">
        <v>60</v>
      </c>
      <c r="P9486" s="21">
        <v>0</v>
      </c>
      <c r="Q9486" s="21">
        <f t="shared" si="198"/>
        <v>1</v>
      </c>
      <c r="R9486" s="21">
        <v>1</v>
      </c>
      <c r="S9486" s="21">
        <v>0</v>
      </c>
      <c r="T9486" s="21">
        <v>0</v>
      </c>
      <c r="U9486" s="21">
        <v>0</v>
      </c>
      <c r="V9486" s="21">
        <v>0</v>
      </c>
      <c r="W9486" s="21">
        <v>0</v>
      </c>
      <c r="X9486" s="21">
        <v>0</v>
      </c>
      <c r="Y9486" s="21">
        <v>0</v>
      </c>
      <c r="Z9486" s="21">
        <v>0</v>
      </c>
      <c r="AA9486" s="21">
        <v>1</v>
      </c>
      <c r="AB9486" s="21">
        <v>0</v>
      </c>
      <c r="AC9486" s="21">
        <v>0</v>
      </c>
      <c r="AD9486" s="21">
        <v>0</v>
      </c>
      <c r="AE9486" s="21">
        <v>0</v>
      </c>
      <c r="AF9486" s="21">
        <v>0</v>
      </c>
      <c r="AG9486" s="21">
        <v>0</v>
      </c>
      <c r="AH9486" s="21">
        <f t="shared" si="199"/>
        <v>0</v>
      </c>
      <c r="AI9486" s="21"/>
      <c r="AJ9486" s="21" t="s">
        <v>51</v>
      </c>
      <c r="AK9486" s="21" t="s">
        <v>95</v>
      </c>
      <c r="AL9486" s="21"/>
      <c r="AP9486" s="21" t="s">
        <v>1915</v>
      </c>
    </row>
    <row r="9487" spans="1:42">
      <c r="A9487" s="20">
        <v>43892</v>
      </c>
      <c r="B9487" s="21">
        <v>1</v>
      </c>
      <c r="C9487" s="21">
        <v>570</v>
      </c>
      <c r="D9487" s="21">
        <v>11414</v>
      </c>
      <c r="E9487" s="21" t="s">
        <v>377</v>
      </c>
      <c r="F9487" s="21" t="s">
        <v>436</v>
      </c>
      <c r="G9487" s="21">
        <v>1</v>
      </c>
      <c r="H9487" s="21">
        <v>27</v>
      </c>
      <c r="I9487" s="21" t="s">
        <v>6652</v>
      </c>
      <c r="J9487" s="21"/>
      <c r="K9487" s="21" t="s">
        <v>394</v>
      </c>
      <c r="L9487" s="21"/>
      <c r="M9487" s="21"/>
      <c r="N9487" s="21" t="s">
        <v>40</v>
      </c>
      <c r="O9487" s="21">
        <v>124</v>
      </c>
      <c r="P9487" s="21">
        <v>0</v>
      </c>
      <c r="Q9487" s="21">
        <f t="shared" si="198"/>
        <v>2</v>
      </c>
      <c r="R9487" s="21">
        <v>1</v>
      </c>
      <c r="S9487" s="21">
        <v>0</v>
      </c>
      <c r="T9487" s="21">
        <v>0</v>
      </c>
      <c r="U9487" s="21">
        <v>0</v>
      </c>
      <c r="V9487" s="21">
        <v>0</v>
      </c>
      <c r="W9487" s="21">
        <v>0</v>
      </c>
      <c r="X9487" s="21">
        <v>0</v>
      </c>
      <c r="Y9487" s="21">
        <v>0</v>
      </c>
      <c r="Z9487" s="21">
        <v>0</v>
      </c>
      <c r="AA9487" s="21">
        <v>0</v>
      </c>
      <c r="AB9487" s="21">
        <v>0</v>
      </c>
      <c r="AC9487" s="21">
        <v>2</v>
      </c>
      <c r="AD9487" s="21">
        <v>0</v>
      </c>
      <c r="AE9487" s="21">
        <v>0</v>
      </c>
      <c r="AF9487" s="21">
        <v>0</v>
      </c>
      <c r="AG9487" s="21">
        <v>0</v>
      </c>
      <c r="AH9487" s="21">
        <f t="shared" si="199"/>
        <v>0</v>
      </c>
      <c r="AI9487" s="21"/>
      <c r="AJ9487" s="21" t="s">
        <v>51</v>
      </c>
      <c r="AK9487" s="21" t="s">
        <v>95</v>
      </c>
      <c r="AL9487" s="21"/>
      <c r="AP9487" s="21" t="s">
        <v>1915</v>
      </c>
    </row>
    <row r="9488" spans="1:42">
      <c r="A9488" s="20">
        <v>43892</v>
      </c>
      <c r="B9488" s="21">
        <v>1</v>
      </c>
      <c r="C9488" s="21">
        <v>570</v>
      </c>
      <c r="D9488" s="21">
        <v>11414</v>
      </c>
      <c r="E9488" s="21" t="s">
        <v>377</v>
      </c>
      <c r="F9488" s="21" t="s">
        <v>436</v>
      </c>
      <c r="G9488" s="21">
        <v>1</v>
      </c>
      <c r="H9488" s="21">
        <v>28</v>
      </c>
      <c r="I9488" s="21" t="s">
        <v>4296</v>
      </c>
      <c r="J9488" s="21"/>
      <c r="K9488" s="21" t="s">
        <v>391</v>
      </c>
      <c r="L9488" s="21"/>
      <c r="M9488" s="21"/>
      <c r="N9488" s="21" t="s">
        <v>1703</v>
      </c>
      <c r="O9488" s="21">
        <f>60+44</f>
        <v>104</v>
      </c>
      <c r="P9488" s="21">
        <v>0</v>
      </c>
      <c r="Q9488" s="21">
        <f t="shared" si="198"/>
        <v>1</v>
      </c>
      <c r="R9488" s="21">
        <v>1</v>
      </c>
      <c r="S9488" s="21">
        <v>0</v>
      </c>
      <c r="T9488" s="21">
        <v>0</v>
      </c>
      <c r="U9488" s="21">
        <v>0</v>
      </c>
      <c r="V9488" s="21">
        <v>0</v>
      </c>
      <c r="W9488" s="21">
        <v>0</v>
      </c>
      <c r="X9488" s="21">
        <v>0</v>
      </c>
      <c r="Y9488" s="21">
        <v>0</v>
      </c>
      <c r="Z9488" s="21">
        <v>0</v>
      </c>
      <c r="AA9488" s="21">
        <v>0</v>
      </c>
      <c r="AB9488" s="21">
        <v>1</v>
      </c>
      <c r="AC9488" s="21">
        <v>0</v>
      </c>
      <c r="AD9488" s="21">
        <v>0</v>
      </c>
      <c r="AE9488" s="21">
        <v>0</v>
      </c>
      <c r="AF9488" s="21">
        <v>0</v>
      </c>
      <c r="AG9488" s="21">
        <v>0</v>
      </c>
      <c r="AH9488" s="21">
        <f t="shared" si="199"/>
        <v>0</v>
      </c>
      <c r="AI9488" s="21"/>
      <c r="AJ9488" s="21" t="s">
        <v>51</v>
      </c>
      <c r="AK9488" s="21" t="s">
        <v>95</v>
      </c>
      <c r="AL9488" s="21"/>
      <c r="AP9488" s="21" t="s">
        <v>1915</v>
      </c>
    </row>
    <row r="9489" spans="1:42">
      <c r="A9489" s="20">
        <v>43892</v>
      </c>
      <c r="B9489" s="21">
        <v>1</v>
      </c>
      <c r="C9489" s="21">
        <v>570</v>
      </c>
      <c r="D9489" s="21">
        <v>11414</v>
      </c>
      <c r="E9489" s="21" t="s">
        <v>377</v>
      </c>
      <c r="F9489" s="21" t="s">
        <v>436</v>
      </c>
      <c r="G9489" s="21">
        <v>1</v>
      </c>
      <c r="H9489" s="21">
        <v>29</v>
      </c>
      <c r="I9489" s="21" t="s">
        <v>4296</v>
      </c>
      <c r="J9489" s="21"/>
      <c r="K9489" s="21" t="s">
        <v>391</v>
      </c>
      <c r="L9489" s="21"/>
      <c r="M9489" s="21"/>
      <c r="N9489" s="21" t="s">
        <v>44</v>
      </c>
      <c r="O9489" s="21">
        <f>60+54</f>
        <v>114</v>
      </c>
      <c r="P9489" s="21">
        <v>0</v>
      </c>
      <c r="Q9489" s="21">
        <f t="shared" si="198"/>
        <v>1</v>
      </c>
      <c r="R9489" s="21">
        <v>1</v>
      </c>
      <c r="S9489" s="21">
        <v>0</v>
      </c>
      <c r="T9489" s="21">
        <v>0</v>
      </c>
      <c r="U9489" s="21">
        <v>0</v>
      </c>
      <c r="V9489" s="21">
        <v>0</v>
      </c>
      <c r="W9489" s="21">
        <v>0</v>
      </c>
      <c r="X9489" s="21">
        <v>0</v>
      </c>
      <c r="Y9489" s="21">
        <v>0</v>
      </c>
      <c r="Z9489" s="21">
        <v>0</v>
      </c>
      <c r="AA9489" s="21">
        <v>0</v>
      </c>
      <c r="AB9489" s="21">
        <v>1</v>
      </c>
      <c r="AC9489" s="21">
        <v>0</v>
      </c>
      <c r="AD9489" s="21">
        <v>0</v>
      </c>
      <c r="AE9489" s="21">
        <v>0</v>
      </c>
      <c r="AF9489" s="21">
        <v>0</v>
      </c>
      <c r="AG9489" s="21">
        <v>0</v>
      </c>
      <c r="AH9489" s="21">
        <f t="shared" si="199"/>
        <v>0</v>
      </c>
      <c r="AI9489" s="21"/>
      <c r="AJ9489" s="21" t="s">
        <v>51</v>
      </c>
      <c r="AK9489" s="21" t="s">
        <v>95</v>
      </c>
      <c r="AL9489" s="21" t="s">
        <v>6653</v>
      </c>
      <c r="AP9489" s="21" t="s">
        <v>1915</v>
      </c>
    </row>
    <row r="9490" spans="1:42">
      <c r="A9490" s="20">
        <v>43892</v>
      </c>
      <c r="B9490" s="21">
        <v>1</v>
      </c>
      <c r="C9490" s="21">
        <v>570</v>
      </c>
      <c r="D9490" s="21">
        <v>11414</v>
      </c>
      <c r="E9490" s="21" t="s">
        <v>377</v>
      </c>
      <c r="F9490" s="21" t="s">
        <v>436</v>
      </c>
      <c r="G9490" s="21">
        <v>1</v>
      </c>
      <c r="H9490" s="21">
        <v>30</v>
      </c>
      <c r="I9490" s="21" t="s">
        <v>6648</v>
      </c>
      <c r="J9490" s="21"/>
      <c r="K9490" s="21" t="s">
        <v>387</v>
      </c>
      <c r="L9490" s="21"/>
      <c r="M9490" s="21"/>
      <c r="N9490" s="21" t="s">
        <v>44</v>
      </c>
      <c r="O9490" s="21">
        <f>60+35</f>
        <v>95</v>
      </c>
      <c r="P9490" s="21">
        <v>0</v>
      </c>
      <c r="Q9490" s="21">
        <f t="shared" si="198"/>
        <v>1</v>
      </c>
      <c r="R9490" s="21">
        <v>1</v>
      </c>
      <c r="S9490" s="21">
        <v>0</v>
      </c>
      <c r="T9490" s="21">
        <v>0</v>
      </c>
      <c r="U9490" s="21">
        <v>0</v>
      </c>
      <c r="V9490" s="21">
        <v>0</v>
      </c>
      <c r="W9490" s="21">
        <v>0</v>
      </c>
      <c r="X9490" s="21">
        <v>0</v>
      </c>
      <c r="Y9490" s="21">
        <v>0</v>
      </c>
      <c r="Z9490" s="21">
        <v>0</v>
      </c>
      <c r="AA9490" s="21">
        <v>0</v>
      </c>
      <c r="AB9490" s="21">
        <v>1</v>
      </c>
      <c r="AC9490" s="21">
        <v>0</v>
      </c>
      <c r="AD9490" s="21">
        <v>0</v>
      </c>
      <c r="AE9490" s="21">
        <v>0</v>
      </c>
      <c r="AF9490" s="21">
        <v>0</v>
      </c>
      <c r="AG9490" s="21">
        <v>0</v>
      </c>
      <c r="AH9490" s="21">
        <f t="shared" si="199"/>
        <v>0</v>
      </c>
      <c r="AI9490" s="21"/>
      <c r="AJ9490" s="21"/>
      <c r="AK9490" s="21"/>
      <c r="AL9490" s="21" t="s">
        <v>6654</v>
      </c>
      <c r="AP9490" s="21" t="s">
        <v>1915</v>
      </c>
    </row>
    <row r="9491" spans="1:42">
      <c r="A9491" s="20">
        <v>43892</v>
      </c>
      <c r="B9491" s="21">
        <v>1</v>
      </c>
      <c r="C9491" s="21">
        <v>570</v>
      </c>
      <c r="D9491" s="21">
        <v>11414</v>
      </c>
      <c r="E9491" s="21" t="s">
        <v>377</v>
      </c>
      <c r="F9491" s="21" t="s">
        <v>436</v>
      </c>
      <c r="G9491" s="21">
        <v>1</v>
      </c>
      <c r="H9491" s="21">
        <v>31</v>
      </c>
      <c r="I9491" s="21" t="s">
        <v>5767</v>
      </c>
      <c r="J9491" s="21"/>
      <c r="K9491" s="21" t="s">
        <v>380</v>
      </c>
      <c r="L9491" s="21"/>
      <c r="M9491" s="21"/>
      <c r="N9491" s="21" t="s">
        <v>1703</v>
      </c>
      <c r="O9491" s="21">
        <f>60+43</f>
        <v>103</v>
      </c>
      <c r="P9491" s="21">
        <v>0</v>
      </c>
      <c r="Q9491" s="21">
        <f t="shared" si="198"/>
        <v>1</v>
      </c>
      <c r="R9491" s="21">
        <v>1</v>
      </c>
      <c r="S9491" s="21">
        <v>0</v>
      </c>
      <c r="T9491" s="21">
        <v>0</v>
      </c>
      <c r="U9491" s="21">
        <v>0</v>
      </c>
      <c r="V9491" s="21">
        <v>0</v>
      </c>
      <c r="W9491" s="21">
        <v>0</v>
      </c>
      <c r="X9491" s="21">
        <v>0</v>
      </c>
      <c r="Y9491" s="21">
        <v>1</v>
      </c>
      <c r="Z9491" s="21">
        <v>0</v>
      </c>
      <c r="AA9491" s="21">
        <v>0</v>
      </c>
      <c r="AB9491" s="21">
        <v>0</v>
      </c>
      <c r="AC9491" s="21">
        <v>0</v>
      </c>
      <c r="AD9491" s="21">
        <v>0</v>
      </c>
      <c r="AE9491" s="21">
        <v>0</v>
      </c>
      <c r="AF9491" s="21">
        <v>0</v>
      </c>
      <c r="AG9491" s="21">
        <v>0</v>
      </c>
      <c r="AH9491" s="21">
        <f t="shared" si="199"/>
        <v>0</v>
      </c>
      <c r="AI9491" s="21"/>
      <c r="AJ9491" s="21" t="s">
        <v>51</v>
      </c>
      <c r="AK9491" s="21" t="s">
        <v>95</v>
      </c>
      <c r="AL9491" s="21" t="s">
        <v>4193</v>
      </c>
      <c r="AP9491" s="21" t="s">
        <v>1915</v>
      </c>
    </row>
    <row r="9492" spans="1:42">
      <c r="A9492" s="20">
        <v>43892</v>
      </c>
      <c r="B9492" s="21">
        <v>1</v>
      </c>
      <c r="C9492" s="21">
        <v>570</v>
      </c>
      <c r="D9492" s="21">
        <v>11414</v>
      </c>
      <c r="E9492" s="21" t="s">
        <v>377</v>
      </c>
      <c r="F9492" s="21" t="s">
        <v>436</v>
      </c>
      <c r="G9492" s="21">
        <v>1</v>
      </c>
      <c r="H9492" s="21">
        <v>32</v>
      </c>
      <c r="I9492" s="21" t="s">
        <v>6655</v>
      </c>
      <c r="J9492" s="21"/>
      <c r="K9492" s="21" t="s">
        <v>380</v>
      </c>
      <c r="L9492" s="21"/>
      <c r="M9492" s="21"/>
      <c r="N9492" s="21" t="s">
        <v>40</v>
      </c>
      <c r="O9492" s="21">
        <f>60+42</f>
        <v>102</v>
      </c>
      <c r="P9492" s="21">
        <v>0</v>
      </c>
      <c r="Q9492" s="21">
        <f t="shared" si="198"/>
        <v>2</v>
      </c>
      <c r="R9492" s="21">
        <v>1</v>
      </c>
      <c r="S9492" s="21">
        <v>0</v>
      </c>
      <c r="T9492" s="21">
        <v>0</v>
      </c>
      <c r="U9492" s="21">
        <v>0</v>
      </c>
      <c r="V9492" s="21">
        <v>0</v>
      </c>
      <c r="W9492" s="21">
        <v>0</v>
      </c>
      <c r="X9492" s="21">
        <v>0</v>
      </c>
      <c r="Y9492" s="21">
        <v>0</v>
      </c>
      <c r="Z9492" s="21">
        <v>0</v>
      </c>
      <c r="AA9492" s="21">
        <v>2</v>
      </c>
      <c r="AB9492" s="21">
        <v>0</v>
      </c>
      <c r="AC9492" s="21">
        <v>0</v>
      </c>
      <c r="AD9492" s="21">
        <v>0</v>
      </c>
      <c r="AE9492" s="21">
        <v>0</v>
      </c>
      <c r="AF9492" s="21">
        <v>0</v>
      </c>
      <c r="AG9492" s="21">
        <v>0</v>
      </c>
      <c r="AH9492" s="21">
        <f t="shared" si="199"/>
        <v>0</v>
      </c>
      <c r="AI9492" s="21"/>
      <c r="AJ9492" s="21" t="s">
        <v>51</v>
      </c>
      <c r="AK9492" s="21" t="s">
        <v>95</v>
      </c>
      <c r="AL9492" s="21" t="s">
        <v>6656</v>
      </c>
      <c r="AP9492" s="21" t="s">
        <v>1915</v>
      </c>
    </row>
    <row r="9493" spans="1:42">
      <c r="A9493" s="20">
        <v>43892</v>
      </c>
      <c r="B9493" s="21">
        <v>1</v>
      </c>
      <c r="C9493" s="21">
        <v>570</v>
      </c>
      <c r="D9493" s="21">
        <v>11414</v>
      </c>
      <c r="E9493" s="21" t="s">
        <v>377</v>
      </c>
      <c r="F9493" s="21" t="s">
        <v>436</v>
      </c>
      <c r="G9493" s="21">
        <v>1</v>
      </c>
      <c r="H9493" s="21">
        <v>33</v>
      </c>
      <c r="I9493" s="21" t="s">
        <v>3198</v>
      </c>
      <c r="J9493" s="21"/>
      <c r="K9493" s="21" t="s">
        <v>380</v>
      </c>
      <c r="L9493" s="21"/>
      <c r="M9493" s="21"/>
      <c r="N9493" s="21" t="s">
        <v>44</v>
      </c>
      <c r="O9493" s="21">
        <f>120+14</f>
        <v>134</v>
      </c>
      <c r="P9493" s="21">
        <v>0</v>
      </c>
      <c r="Q9493" s="21">
        <f t="shared" si="198"/>
        <v>1</v>
      </c>
      <c r="R9493" s="21">
        <v>1</v>
      </c>
      <c r="S9493" s="21">
        <v>0</v>
      </c>
      <c r="T9493" s="21">
        <v>0</v>
      </c>
      <c r="U9493" s="21">
        <v>0</v>
      </c>
      <c r="V9493" s="21">
        <v>0</v>
      </c>
      <c r="W9493" s="21">
        <v>0</v>
      </c>
      <c r="X9493" s="21">
        <v>0</v>
      </c>
      <c r="Y9493" s="21">
        <v>0</v>
      </c>
      <c r="Z9493" s="21">
        <v>0</v>
      </c>
      <c r="AA9493" s="21">
        <v>0</v>
      </c>
      <c r="AB9493" s="21">
        <v>0</v>
      </c>
      <c r="AC9493" s="21">
        <v>1</v>
      </c>
      <c r="AD9493" s="21">
        <v>0</v>
      </c>
      <c r="AE9493" s="21">
        <v>0</v>
      </c>
      <c r="AF9493" s="21">
        <v>0</v>
      </c>
      <c r="AG9493" s="21">
        <v>0</v>
      </c>
      <c r="AH9493" s="21">
        <f t="shared" si="199"/>
        <v>0</v>
      </c>
      <c r="AI9493" s="21"/>
      <c r="AJ9493" s="21" t="s">
        <v>51</v>
      </c>
      <c r="AK9493" s="21" t="s">
        <v>95</v>
      </c>
      <c r="AL9493" s="21" t="s">
        <v>6657</v>
      </c>
      <c r="AP9493" s="21" t="s">
        <v>1915</v>
      </c>
    </row>
    <row r="9494" spans="1:42">
      <c r="A9494" s="20">
        <v>43892</v>
      </c>
      <c r="B9494" s="21">
        <v>1</v>
      </c>
      <c r="C9494" s="21">
        <v>570</v>
      </c>
      <c r="D9494" s="21">
        <v>11414</v>
      </c>
      <c r="E9494" s="21" t="s">
        <v>377</v>
      </c>
      <c r="F9494" s="21" t="s">
        <v>436</v>
      </c>
      <c r="G9494" s="21">
        <v>1</v>
      </c>
      <c r="H9494" s="21">
        <v>34</v>
      </c>
      <c r="I9494" s="21" t="s">
        <v>6554</v>
      </c>
      <c r="J9494" s="21"/>
      <c r="K9494" s="21" t="s">
        <v>107</v>
      </c>
      <c r="L9494" s="21"/>
      <c r="M9494" s="21"/>
      <c r="N9494" s="21" t="s">
        <v>1703</v>
      </c>
      <c r="O9494" s="21">
        <f>120+60+51</f>
        <v>231</v>
      </c>
      <c r="P9494" s="21">
        <v>0</v>
      </c>
      <c r="Q9494" s="21">
        <f t="shared" si="198"/>
        <v>2</v>
      </c>
      <c r="R9494" s="21">
        <v>1</v>
      </c>
      <c r="S9494" s="21">
        <v>0</v>
      </c>
      <c r="T9494" s="21">
        <v>0</v>
      </c>
      <c r="U9494" s="21">
        <v>0</v>
      </c>
      <c r="V9494" s="21">
        <v>0</v>
      </c>
      <c r="W9494" s="21">
        <v>0</v>
      </c>
      <c r="X9494" s="21">
        <v>0</v>
      </c>
      <c r="Y9494" s="21">
        <v>0</v>
      </c>
      <c r="Z9494" s="21">
        <v>0</v>
      </c>
      <c r="AA9494" s="21">
        <v>0</v>
      </c>
      <c r="AB9494" s="21">
        <v>2</v>
      </c>
      <c r="AC9494" s="21">
        <v>0</v>
      </c>
      <c r="AD9494" s="21">
        <v>0</v>
      </c>
      <c r="AE9494" s="21">
        <v>0</v>
      </c>
      <c r="AF9494" s="21">
        <v>0</v>
      </c>
      <c r="AG9494" s="21">
        <v>0</v>
      </c>
      <c r="AH9494" s="21">
        <f t="shared" si="199"/>
        <v>0</v>
      </c>
      <c r="AI9494" s="21"/>
      <c r="AJ9494" s="21" t="s">
        <v>54</v>
      </c>
      <c r="AK9494" s="21" t="s">
        <v>95</v>
      </c>
      <c r="AL9494" s="21"/>
      <c r="AP9494" s="21" t="s">
        <v>1915</v>
      </c>
    </row>
    <row r="9495" spans="1:42">
      <c r="A9495" s="20">
        <v>43892</v>
      </c>
      <c r="B9495" s="21">
        <v>1</v>
      </c>
      <c r="C9495" s="21">
        <v>570</v>
      </c>
      <c r="D9495" s="21">
        <v>11414</v>
      </c>
      <c r="E9495" s="21" t="s">
        <v>377</v>
      </c>
      <c r="F9495" s="21" t="s">
        <v>436</v>
      </c>
      <c r="G9495" s="21">
        <v>1</v>
      </c>
      <c r="H9495" s="21">
        <v>35</v>
      </c>
      <c r="I9495" s="21" t="s">
        <v>6658</v>
      </c>
      <c r="J9495" s="21"/>
      <c r="K9495" s="21" t="s">
        <v>391</v>
      </c>
      <c r="L9495" s="21"/>
      <c r="M9495" s="21"/>
      <c r="N9495" s="21" t="s">
        <v>44</v>
      </c>
      <c r="O9495" s="21">
        <f>120+60+14</f>
        <v>194</v>
      </c>
      <c r="P9495" s="21">
        <v>0</v>
      </c>
      <c r="Q9495" s="21">
        <f t="shared" si="198"/>
        <v>1</v>
      </c>
      <c r="R9495" s="21">
        <v>1</v>
      </c>
      <c r="S9495" s="21">
        <v>0</v>
      </c>
      <c r="T9495" s="21">
        <v>0</v>
      </c>
      <c r="U9495" s="21">
        <v>0</v>
      </c>
      <c r="V9495" s="21">
        <v>0</v>
      </c>
      <c r="W9495" s="21">
        <v>0</v>
      </c>
      <c r="X9495" s="21">
        <v>0</v>
      </c>
      <c r="Y9495" s="21">
        <v>0</v>
      </c>
      <c r="Z9495" s="21">
        <v>1</v>
      </c>
      <c r="AA9495" s="21">
        <v>0</v>
      </c>
      <c r="AB9495" s="21">
        <v>0</v>
      </c>
      <c r="AC9495" s="21">
        <v>0</v>
      </c>
      <c r="AD9495" s="21">
        <v>0</v>
      </c>
      <c r="AE9495" s="21">
        <v>0</v>
      </c>
      <c r="AF9495" s="21">
        <v>0</v>
      </c>
      <c r="AG9495" s="21">
        <v>0</v>
      </c>
      <c r="AH9495" s="21">
        <f t="shared" si="199"/>
        <v>0</v>
      </c>
      <c r="AI9495" s="21"/>
      <c r="AJ9495" s="21"/>
      <c r="AK9495" s="21"/>
      <c r="AL9495" s="21" t="s">
        <v>6659</v>
      </c>
      <c r="AP9495" s="21" t="s">
        <v>1915</v>
      </c>
    </row>
    <row r="9496" spans="1:42">
      <c r="A9496" s="20">
        <v>43892</v>
      </c>
      <c r="B9496" s="21">
        <v>1</v>
      </c>
      <c r="C9496" s="21">
        <v>570</v>
      </c>
      <c r="D9496" s="21">
        <v>11414</v>
      </c>
      <c r="E9496" s="21" t="s">
        <v>377</v>
      </c>
      <c r="F9496" s="21" t="s">
        <v>436</v>
      </c>
      <c r="G9496" s="21">
        <v>1</v>
      </c>
      <c r="H9496" s="21">
        <v>36</v>
      </c>
      <c r="I9496" s="21" t="s">
        <v>4541</v>
      </c>
      <c r="J9496" s="21"/>
      <c r="K9496" s="21" t="s">
        <v>6660</v>
      </c>
      <c r="L9496" s="21"/>
      <c r="M9496" s="21"/>
      <c r="N9496" s="21" t="s">
        <v>40</v>
      </c>
      <c r="O9496" s="21">
        <f>120+35</f>
        <v>155</v>
      </c>
      <c r="P9496" s="21">
        <v>0</v>
      </c>
      <c r="Q9496" s="21">
        <f t="shared" si="198"/>
        <v>2</v>
      </c>
      <c r="R9496" s="21">
        <v>1</v>
      </c>
      <c r="S9496" s="21">
        <v>0</v>
      </c>
      <c r="T9496" s="21">
        <v>0</v>
      </c>
      <c r="U9496" s="21">
        <v>0</v>
      </c>
      <c r="V9496" s="21">
        <v>0</v>
      </c>
      <c r="W9496" s="21">
        <v>0</v>
      </c>
      <c r="X9496" s="21">
        <v>0</v>
      </c>
      <c r="Y9496" s="21">
        <v>0</v>
      </c>
      <c r="Z9496" s="21">
        <v>0</v>
      </c>
      <c r="AA9496" s="21">
        <v>0</v>
      </c>
      <c r="AB9496" s="21">
        <v>2</v>
      </c>
      <c r="AC9496" s="21">
        <v>0</v>
      </c>
      <c r="AD9496" s="21">
        <v>0</v>
      </c>
      <c r="AE9496" s="21">
        <v>0</v>
      </c>
      <c r="AF9496" s="21">
        <v>0</v>
      </c>
      <c r="AG9496" s="21">
        <v>0</v>
      </c>
      <c r="AH9496" s="21">
        <f t="shared" si="199"/>
        <v>0</v>
      </c>
      <c r="AI9496" s="21"/>
      <c r="AJ9496" s="21" t="s">
        <v>51</v>
      </c>
      <c r="AK9496" s="21" t="s">
        <v>95</v>
      </c>
      <c r="AL9496" s="21" t="s">
        <v>3365</v>
      </c>
      <c r="AP9496" s="21" t="s">
        <v>1915</v>
      </c>
    </row>
    <row r="9497" spans="1:42">
      <c r="A9497" s="20">
        <v>43892</v>
      </c>
      <c r="B9497" s="21">
        <v>1</v>
      </c>
      <c r="C9497" s="21">
        <v>570</v>
      </c>
      <c r="D9497" s="21">
        <v>11414</v>
      </c>
      <c r="E9497" s="21" t="s">
        <v>377</v>
      </c>
      <c r="F9497" s="21" t="s">
        <v>436</v>
      </c>
      <c r="G9497" s="21">
        <v>1</v>
      </c>
      <c r="H9497" s="21">
        <v>37</v>
      </c>
      <c r="I9497" s="21" t="s">
        <v>5110</v>
      </c>
      <c r="J9497" s="21"/>
      <c r="K9497" s="21" t="s">
        <v>6661</v>
      </c>
      <c r="L9497" s="21"/>
      <c r="M9497" s="21"/>
      <c r="N9497" s="21" t="s">
        <v>40</v>
      </c>
      <c r="O9497" s="21">
        <v>35</v>
      </c>
      <c r="P9497" s="21">
        <v>0</v>
      </c>
      <c r="Q9497" s="21">
        <f t="shared" si="198"/>
        <v>1</v>
      </c>
      <c r="R9497" s="21">
        <v>1</v>
      </c>
      <c r="S9497" s="21">
        <v>0</v>
      </c>
      <c r="T9497" s="21">
        <v>0</v>
      </c>
      <c r="U9497" s="21">
        <v>0</v>
      </c>
      <c r="V9497" s="21">
        <v>0</v>
      </c>
      <c r="W9497" s="21">
        <v>0</v>
      </c>
      <c r="X9497" s="21">
        <v>0</v>
      </c>
      <c r="Y9497" s="21">
        <v>0</v>
      </c>
      <c r="Z9497" s="21">
        <v>0</v>
      </c>
      <c r="AA9497" s="21">
        <v>0</v>
      </c>
      <c r="AB9497" s="21">
        <v>1</v>
      </c>
      <c r="AC9497" s="21">
        <v>0</v>
      </c>
      <c r="AD9497" s="21">
        <v>0</v>
      </c>
      <c r="AE9497" s="21">
        <v>0</v>
      </c>
      <c r="AF9497" s="21">
        <v>0</v>
      </c>
      <c r="AG9497" s="21">
        <v>0</v>
      </c>
      <c r="AH9497" s="21">
        <f t="shared" si="199"/>
        <v>0</v>
      </c>
      <c r="AI9497" s="21"/>
      <c r="AJ9497" s="21"/>
      <c r="AK9497" s="21"/>
      <c r="AL9497" s="21"/>
      <c r="AP9497" s="21" t="s">
        <v>1915</v>
      </c>
    </row>
    <row r="9498" spans="1:42">
      <c r="A9498" s="20">
        <v>43892</v>
      </c>
      <c r="B9498" s="21">
        <v>1</v>
      </c>
      <c r="C9498" s="21">
        <v>570</v>
      </c>
      <c r="D9498" s="21">
        <v>11414</v>
      </c>
      <c r="E9498" s="21" t="s">
        <v>377</v>
      </c>
      <c r="F9498" s="21" t="s">
        <v>436</v>
      </c>
      <c r="G9498" s="21">
        <v>1</v>
      </c>
      <c r="H9498" s="21">
        <v>38</v>
      </c>
      <c r="I9498" s="21" t="s">
        <v>6662</v>
      </c>
      <c r="J9498" s="21"/>
      <c r="K9498" s="21" t="s">
        <v>380</v>
      </c>
      <c r="L9498" s="21"/>
      <c r="M9498" s="21"/>
      <c r="N9498" s="21" t="s">
        <v>40</v>
      </c>
      <c r="O9498" s="21">
        <f>120+48</f>
        <v>168</v>
      </c>
      <c r="P9498" s="21">
        <v>0</v>
      </c>
      <c r="Q9498" s="21">
        <f t="shared" si="198"/>
        <v>2</v>
      </c>
      <c r="R9498" s="21">
        <v>1</v>
      </c>
      <c r="S9498" s="21">
        <v>0</v>
      </c>
      <c r="T9498" s="21">
        <v>0</v>
      </c>
      <c r="U9498" s="21">
        <v>0</v>
      </c>
      <c r="V9498" s="21">
        <v>0</v>
      </c>
      <c r="W9498" s="21">
        <v>0</v>
      </c>
      <c r="X9498" s="21">
        <v>0</v>
      </c>
      <c r="Y9498" s="21">
        <v>0</v>
      </c>
      <c r="Z9498" s="21">
        <v>0</v>
      </c>
      <c r="AA9498" s="21">
        <v>0</v>
      </c>
      <c r="AB9498" s="21">
        <v>0</v>
      </c>
      <c r="AC9498" s="21">
        <v>2</v>
      </c>
      <c r="AD9498" s="21">
        <v>0</v>
      </c>
      <c r="AE9498" s="21">
        <v>0</v>
      </c>
      <c r="AF9498" s="21">
        <v>0</v>
      </c>
      <c r="AG9498" s="21">
        <v>0</v>
      </c>
      <c r="AH9498" s="21">
        <f t="shared" si="199"/>
        <v>0</v>
      </c>
      <c r="AI9498" s="21"/>
      <c r="AJ9498" s="21" t="s">
        <v>51</v>
      </c>
      <c r="AK9498" s="21" t="s">
        <v>95</v>
      </c>
      <c r="AL9498" s="21" t="s">
        <v>6663</v>
      </c>
      <c r="AP9498" s="21" t="s">
        <v>1915</v>
      </c>
    </row>
    <row r="9499" spans="1:42">
      <c r="A9499" s="1">
        <v>43893</v>
      </c>
      <c r="B9499" s="21">
        <v>2</v>
      </c>
      <c r="C9499" s="21">
        <v>570</v>
      </c>
      <c r="D9499" s="21">
        <v>11414</v>
      </c>
      <c r="E9499" s="21" t="s">
        <v>377</v>
      </c>
      <c r="F9499" s="21" t="s">
        <v>436</v>
      </c>
      <c r="G9499" s="21">
        <v>1</v>
      </c>
      <c r="H9499" s="21">
        <v>1</v>
      </c>
      <c r="I9499" s="21" t="s">
        <v>6664</v>
      </c>
      <c r="K9499" s="21" t="s">
        <v>380</v>
      </c>
      <c r="N9499" s="21" t="s">
        <v>40</v>
      </c>
      <c r="O9499" s="21">
        <f>60+53</f>
        <v>113</v>
      </c>
      <c r="Q9499" s="21">
        <f t="shared" ref="Q9499:Q9562" si="200">SUM(S9499:AE9499)</f>
        <v>2</v>
      </c>
      <c r="R9499" s="21">
        <v>1</v>
      </c>
      <c r="S9499" s="21">
        <v>0</v>
      </c>
      <c r="T9499" s="21">
        <v>0</v>
      </c>
      <c r="U9499" s="21">
        <v>0</v>
      </c>
      <c r="V9499" s="21">
        <v>0</v>
      </c>
      <c r="W9499" s="21">
        <v>0</v>
      </c>
      <c r="X9499" s="21">
        <v>0</v>
      </c>
      <c r="Y9499" s="21">
        <v>1</v>
      </c>
      <c r="Z9499" s="21">
        <v>0</v>
      </c>
      <c r="AA9499" s="21">
        <v>0</v>
      </c>
      <c r="AB9499" s="21">
        <v>1</v>
      </c>
      <c r="AC9499" s="21">
        <v>0</v>
      </c>
      <c r="AD9499" s="21">
        <v>0</v>
      </c>
      <c r="AE9499" s="21">
        <v>0</v>
      </c>
      <c r="AF9499" s="21">
        <v>0</v>
      </c>
      <c r="AG9499" s="21">
        <v>0</v>
      </c>
      <c r="AH9499" s="21">
        <f t="shared" ref="AH9499:AH9562" si="201">(S9499*16)+(T9499*20)+(U9499*32)+(V9499*64)+(W9499*96)</f>
        <v>0</v>
      </c>
      <c r="AJ9499" s="21" t="s">
        <v>51</v>
      </c>
      <c r="AK9499" s="21" t="s">
        <v>95</v>
      </c>
      <c r="AL9499" s="21" t="s">
        <v>6665</v>
      </c>
      <c r="AM9499" s="21" t="s">
        <v>6666</v>
      </c>
      <c r="AN9499" s="21">
        <v>-122.399712033333</v>
      </c>
      <c r="AO9499" s="21">
        <v>37.788529850000003</v>
      </c>
      <c r="AP9499" s="21" t="s">
        <v>1915</v>
      </c>
    </row>
    <row r="9500" spans="1:42">
      <c r="A9500" s="1">
        <v>43893</v>
      </c>
      <c r="B9500" s="21">
        <v>2</v>
      </c>
      <c r="C9500" s="21">
        <v>570</v>
      </c>
      <c r="D9500" s="21">
        <v>11414</v>
      </c>
      <c r="E9500" s="21" t="s">
        <v>377</v>
      </c>
      <c r="F9500" s="21" t="s">
        <v>436</v>
      </c>
      <c r="G9500" s="21">
        <v>1</v>
      </c>
      <c r="H9500" s="21">
        <v>2</v>
      </c>
      <c r="I9500" s="21" t="s">
        <v>6667</v>
      </c>
      <c r="K9500" s="21" t="s">
        <v>394</v>
      </c>
      <c r="N9500" s="21" t="s">
        <v>40</v>
      </c>
      <c r="O9500" s="21">
        <v>34</v>
      </c>
      <c r="Q9500" s="21">
        <f t="shared" si="200"/>
        <v>1</v>
      </c>
      <c r="R9500" s="21">
        <v>1</v>
      </c>
      <c r="S9500" s="21">
        <v>0</v>
      </c>
      <c r="T9500" s="21">
        <v>0</v>
      </c>
      <c r="U9500" s="21">
        <v>0</v>
      </c>
      <c r="V9500" s="21">
        <v>0</v>
      </c>
      <c r="W9500" s="21">
        <v>0</v>
      </c>
      <c r="X9500" s="21">
        <v>0</v>
      </c>
      <c r="Y9500" s="21">
        <v>0</v>
      </c>
      <c r="Z9500" s="21">
        <v>0</v>
      </c>
      <c r="AA9500" s="21">
        <v>0</v>
      </c>
      <c r="AB9500" s="21">
        <v>1</v>
      </c>
      <c r="AC9500" s="21">
        <v>0</v>
      </c>
      <c r="AD9500" s="21">
        <v>0</v>
      </c>
      <c r="AE9500" s="21">
        <v>0</v>
      </c>
      <c r="AF9500" s="21">
        <v>0</v>
      </c>
      <c r="AG9500" s="21">
        <v>0</v>
      </c>
      <c r="AH9500" s="21">
        <f t="shared" si="201"/>
        <v>0</v>
      </c>
      <c r="AJ9500" s="21" t="s">
        <v>51</v>
      </c>
      <c r="AK9500" s="21" t="s">
        <v>95</v>
      </c>
      <c r="AL9500" s="21"/>
      <c r="AM9500" s="21" t="s">
        <v>6668</v>
      </c>
      <c r="AN9500" s="21">
        <v>-122.400392083333</v>
      </c>
      <c r="AO9500" s="21">
        <v>37.788664083333302</v>
      </c>
      <c r="AP9500" s="21" t="s">
        <v>1915</v>
      </c>
    </row>
    <row r="9501" spans="1:42">
      <c r="A9501" s="1">
        <v>43893</v>
      </c>
      <c r="B9501" s="21">
        <v>2</v>
      </c>
      <c r="C9501" s="21">
        <v>570</v>
      </c>
      <c r="D9501" s="21">
        <v>11414</v>
      </c>
      <c r="E9501" s="21" t="s">
        <v>377</v>
      </c>
      <c r="F9501" s="21" t="s">
        <v>436</v>
      </c>
      <c r="G9501" s="21">
        <v>1</v>
      </c>
      <c r="H9501" s="21">
        <v>3</v>
      </c>
      <c r="I9501" s="21" t="s">
        <v>3707</v>
      </c>
      <c r="K9501" s="21" t="s">
        <v>501</v>
      </c>
      <c r="N9501" s="21" t="s">
        <v>40</v>
      </c>
      <c r="O9501" s="21">
        <v>41</v>
      </c>
      <c r="Q9501" s="21">
        <f t="shared" si="200"/>
        <v>1</v>
      </c>
      <c r="R9501" s="21">
        <v>1</v>
      </c>
      <c r="S9501" s="21">
        <v>0</v>
      </c>
      <c r="T9501" s="21">
        <v>0</v>
      </c>
      <c r="U9501" s="21">
        <v>0</v>
      </c>
      <c r="V9501" s="21">
        <v>0</v>
      </c>
      <c r="W9501" s="21">
        <v>0</v>
      </c>
      <c r="X9501" s="21">
        <v>0</v>
      </c>
      <c r="Y9501" s="21">
        <v>0</v>
      </c>
      <c r="Z9501" s="21">
        <v>0</v>
      </c>
      <c r="AA9501" s="21">
        <v>0</v>
      </c>
      <c r="AB9501" s="21">
        <v>1</v>
      </c>
      <c r="AC9501" s="21">
        <v>0</v>
      </c>
      <c r="AD9501" s="21">
        <v>0</v>
      </c>
      <c r="AE9501" s="21">
        <v>0</v>
      </c>
      <c r="AF9501" s="21">
        <v>0</v>
      </c>
      <c r="AG9501" s="21">
        <v>0</v>
      </c>
      <c r="AH9501" s="21">
        <f t="shared" si="201"/>
        <v>0</v>
      </c>
      <c r="AJ9501" s="21" t="s">
        <v>51</v>
      </c>
      <c r="AK9501" s="21" t="s">
        <v>95</v>
      </c>
      <c r="AL9501" s="21" t="s">
        <v>1979</v>
      </c>
      <c r="AM9501" s="21" t="s">
        <v>6669</v>
      </c>
      <c r="AN9501" s="21">
        <v>-122.400292583333</v>
      </c>
      <c r="AO9501" s="21">
        <v>37.788688450000002</v>
      </c>
      <c r="AP9501" s="21" t="s">
        <v>1915</v>
      </c>
    </row>
    <row r="9502" spans="1:42">
      <c r="A9502" s="1">
        <v>43893</v>
      </c>
      <c r="B9502">
        <v>2</v>
      </c>
      <c r="C9502" s="21">
        <v>570</v>
      </c>
      <c r="D9502" s="21">
        <v>11414</v>
      </c>
      <c r="E9502" s="21" t="s">
        <v>377</v>
      </c>
      <c r="F9502" s="21" t="s">
        <v>436</v>
      </c>
      <c r="G9502" s="21">
        <v>1</v>
      </c>
      <c r="H9502" s="21">
        <v>4</v>
      </c>
      <c r="I9502" s="21" t="s">
        <v>3707</v>
      </c>
      <c r="K9502" s="21" t="s">
        <v>501</v>
      </c>
      <c r="N9502" s="21" t="s">
        <v>40</v>
      </c>
      <c r="O9502" s="21">
        <v>1.3</v>
      </c>
      <c r="Q9502" s="21">
        <f t="shared" si="200"/>
        <v>1</v>
      </c>
      <c r="R9502" s="21">
        <v>1</v>
      </c>
      <c r="S9502" s="21">
        <v>0</v>
      </c>
      <c r="T9502" s="21">
        <v>0</v>
      </c>
      <c r="U9502" s="21">
        <v>0</v>
      </c>
      <c r="V9502" s="21">
        <v>0</v>
      </c>
      <c r="W9502" s="21">
        <v>0</v>
      </c>
      <c r="X9502" s="21">
        <v>0</v>
      </c>
      <c r="Y9502" s="21">
        <v>0</v>
      </c>
      <c r="Z9502" s="21">
        <v>0</v>
      </c>
      <c r="AA9502" s="21">
        <v>1</v>
      </c>
      <c r="AB9502" s="21">
        <v>0</v>
      </c>
      <c r="AC9502" s="21">
        <v>0</v>
      </c>
      <c r="AD9502" s="21">
        <v>0</v>
      </c>
      <c r="AE9502" s="21">
        <v>0</v>
      </c>
      <c r="AF9502" s="21">
        <v>0</v>
      </c>
      <c r="AG9502" s="21">
        <v>0</v>
      </c>
      <c r="AH9502" s="21">
        <f t="shared" si="201"/>
        <v>0</v>
      </c>
      <c r="AJ9502" s="21" t="s">
        <v>51</v>
      </c>
      <c r="AK9502" s="21" t="s">
        <v>95</v>
      </c>
      <c r="AL9502" s="21" t="s">
        <v>6670</v>
      </c>
      <c r="AM9502" s="21" t="s">
        <v>6671</v>
      </c>
      <c r="AN9502" s="21">
        <v>-122.399369733333</v>
      </c>
      <c r="AO9502" s="21">
        <v>37.789223999999997</v>
      </c>
      <c r="AP9502" s="21" t="s">
        <v>1915</v>
      </c>
    </row>
    <row r="9503" spans="1:42">
      <c r="A9503" s="1">
        <v>43893</v>
      </c>
      <c r="B9503">
        <v>2</v>
      </c>
      <c r="C9503" s="21">
        <v>570</v>
      </c>
      <c r="D9503" s="21">
        <v>11414</v>
      </c>
      <c r="E9503" s="21" t="s">
        <v>377</v>
      </c>
      <c r="F9503" s="21" t="s">
        <v>436</v>
      </c>
      <c r="G9503" s="21">
        <v>1</v>
      </c>
      <c r="H9503" s="21">
        <v>5</v>
      </c>
      <c r="I9503" s="21" t="s">
        <v>4241</v>
      </c>
      <c r="K9503" s="21" t="s">
        <v>6672</v>
      </c>
      <c r="N9503" s="21" t="s">
        <v>40</v>
      </c>
      <c r="O9503" s="21">
        <v>70</v>
      </c>
      <c r="Q9503" s="21">
        <f t="shared" si="200"/>
        <v>2</v>
      </c>
      <c r="R9503" s="21">
        <v>1</v>
      </c>
      <c r="S9503" s="21">
        <v>0</v>
      </c>
      <c r="T9503" s="21">
        <v>0</v>
      </c>
      <c r="U9503" s="21">
        <v>0</v>
      </c>
      <c r="V9503" s="21">
        <v>0</v>
      </c>
      <c r="W9503" s="21">
        <v>0</v>
      </c>
      <c r="X9503" s="21">
        <v>0</v>
      </c>
      <c r="Y9503" s="21">
        <v>0</v>
      </c>
      <c r="Z9503" s="21">
        <v>0</v>
      </c>
      <c r="AA9503" s="21">
        <v>0</v>
      </c>
      <c r="AB9503" s="21">
        <v>2</v>
      </c>
      <c r="AC9503" s="21">
        <v>0</v>
      </c>
      <c r="AD9503" s="21">
        <v>0</v>
      </c>
      <c r="AE9503" s="21">
        <v>0</v>
      </c>
      <c r="AF9503" s="21">
        <v>0</v>
      </c>
      <c r="AG9503" s="21">
        <v>0</v>
      </c>
      <c r="AH9503" s="21">
        <f t="shared" si="201"/>
        <v>0</v>
      </c>
      <c r="AJ9503" s="21" t="s">
        <v>51</v>
      </c>
      <c r="AK9503" s="21" t="s">
        <v>95</v>
      </c>
      <c r="AL9503" s="21"/>
      <c r="AM9503" s="21" t="s">
        <v>6673</v>
      </c>
      <c r="AN9503" s="21">
        <v>-122.39796794999999</v>
      </c>
      <c r="AO9503" s="21">
        <v>37.795053416666597</v>
      </c>
      <c r="AP9503" s="21" t="s">
        <v>1915</v>
      </c>
    </row>
    <row r="9504" spans="1:42">
      <c r="A9504" s="1">
        <v>43893</v>
      </c>
      <c r="B9504" s="21">
        <v>2</v>
      </c>
      <c r="C9504" s="21">
        <v>570</v>
      </c>
      <c r="D9504" s="21">
        <v>11414</v>
      </c>
      <c r="E9504" s="21" t="s">
        <v>377</v>
      </c>
      <c r="F9504" s="21" t="s">
        <v>436</v>
      </c>
      <c r="G9504" s="21">
        <v>1</v>
      </c>
      <c r="H9504" s="21">
        <v>6</v>
      </c>
      <c r="I9504" s="21" t="s">
        <v>3051</v>
      </c>
      <c r="K9504" s="21" t="s">
        <v>56</v>
      </c>
      <c r="N9504" s="21" t="s">
        <v>40</v>
      </c>
      <c r="O9504" s="21">
        <f>60+29</f>
        <v>89</v>
      </c>
      <c r="Q9504" s="21">
        <f t="shared" si="200"/>
        <v>1</v>
      </c>
      <c r="R9504" s="21">
        <v>1</v>
      </c>
      <c r="S9504" s="21">
        <v>0</v>
      </c>
      <c r="T9504" s="21">
        <v>0</v>
      </c>
      <c r="U9504" s="21">
        <v>0</v>
      </c>
      <c r="V9504" s="21">
        <v>0</v>
      </c>
      <c r="W9504" s="21">
        <v>0</v>
      </c>
      <c r="X9504" s="21">
        <v>0</v>
      </c>
      <c r="Y9504" s="21">
        <v>0</v>
      </c>
      <c r="Z9504" s="21">
        <v>0</v>
      </c>
      <c r="AA9504" s="21">
        <v>0</v>
      </c>
      <c r="AB9504" s="21">
        <v>0</v>
      </c>
      <c r="AC9504" s="21">
        <v>1</v>
      </c>
      <c r="AD9504" s="21">
        <v>0</v>
      </c>
      <c r="AE9504" s="21">
        <v>0</v>
      </c>
      <c r="AF9504" s="21">
        <v>0</v>
      </c>
      <c r="AG9504" s="21">
        <v>0</v>
      </c>
      <c r="AH9504" s="21">
        <f t="shared" si="201"/>
        <v>0</v>
      </c>
      <c r="AJ9504" s="21" t="s">
        <v>51</v>
      </c>
      <c r="AK9504" s="21"/>
      <c r="AL9504" s="21" t="s">
        <v>6674</v>
      </c>
      <c r="AM9504" s="21" t="s">
        <v>6675</v>
      </c>
      <c r="AN9504" s="21">
        <v>-122.39833426666701</v>
      </c>
      <c r="AO9504" s="21">
        <v>37.794662466666701</v>
      </c>
      <c r="AP9504" s="21" t="s">
        <v>1915</v>
      </c>
    </row>
    <row r="9505" spans="1:42">
      <c r="A9505" s="1">
        <v>43893</v>
      </c>
      <c r="B9505">
        <v>2</v>
      </c>
      <c r="C9505" s="21">
        <v>570</v>
      </c>
      <c r="D9505" s="21">
        <v>11414</v>
      </c>
      <c r="E9505" s="21" t="s">
        <v>377</v>
      </c>
      <c r="F9505" s="21" t="s">
        <v>436</v>
      </c>
      <c r="G9505" s="21">
        <v>1</v>
      </c>
      <c r="H9505" s="21">
        <v>7</v>
      </c>
      <c r="I9505" s="21" t="s">
        <v>6676</v>
      </c>
      <c r="K9505" s="21" t="s">
        <v>62</v>
      </c>
      <c r="N9505" s="21" t="s">
        <v>44</v>
      </c>
      <c r="O9505" s="21">
        <f>120+70</f>
        <v>190</v>
      </c>
      <c r="Q9505" s="21">
        <f t="shared" si="200"/>
        <v>2</v>
      </c>
      <c r="R9505" s="21">
        <v>1</v>
      </c>
      <c r="S9505" s="21">
        <v>0</v>
      </c>
      <c r="T9505" s="21">
        <v>0</v>
      </c>
      <c r="U9505" s="21">
        <v>0</v>
      </c>
      <c r="V9505" s="21">
        <v>0</v>
      </c>
      <c r="W9505" s="21">
        <v>0</v>
      </c>
      <c r="X9505" s="21">
        <v>0</v>
      </c>
      <c r="Y9505" s="21">
        <v>0</v>
      </c>
      <c r="Z9505" s="21">
        <v>0</v>
      </c>
      <c r="AA9505" s="21">
        <v>2</v>
      </c>
      <c r="AB9505" s="21">
        <v>0</v>
      </c>
      <c r="AC9505" s="21">
        <v>0</v>
      </c>
      <c r="AD9505" s="21">
        <v>0</v>
      </c>
      <c r="AE9505" s="21">
        <v>0</v>
      </c>
      <c r="AF9505" s="21">
        <v>0</v>
      </c>
      <c r="AG9505" s="21">
        <v>0</v>
      </c>
      <c r="AH9505" s="21">
        <f t="shared" si="201"/>
        <v>0</v>
      </c>
      <c r="AJ9505" s="21"/>
      <c r="AK9505" s="21"/>
      <c r="AL9505" s="21" t="s">
        <v>6677</v>
      </c>
      <c r="AM9505" s="21" t="s">
        <v>6678</v>
      </c>
      <c r="AN9505" s="21">
        <v>-122.399809733333</v>
      </c>
      <c r="AO9505" s="21">
        <v>37.7938713333333</v>
      </c>
      <c r="AP9505" s="21" t="s">
        <v>1915</v>
      </c>
    </row>
    <row r="9506" spans="1:42">
      <c r="A9506" s="1">
        <v>43893</v>
      </c>
      <c r="B9506">
        <v>2</v>
      </c>
      <c r="C9506" s="21">
        <v>570</v>
      </c>
      <c r="D9506" s="21">
        <v>11414</v>
      </c>
      <c r="E9506" s="21" t="s">
        <v>377</v>
      </c>
      <c r="F9506" s="21" t="s">
        <v>436</v>
      </c>
      <c r="G9506" s="21">
        <v>1</v>
      </c>
      <c r="H9506" s="21">
        <v>8</v>
      </c>
      <c r="I9506" s="21" t="s">
        <v>3198</v>
      </c>
      <c r="K9506" s="21" t="s">
        <v>61</v>
      </c>
      <c r="N9506" s="21" t="s">
        <v>40</v>
      </c>
      <c r="O9506" s="21">
        <v>42</v>
      </c>
      <c r="Q9506" s="21">
        <f t="shared" si="200"/>
        <v>1</v>
      </c>
      <c r="R9506" s="21">
        <v>1</v>
      </c>
      <c r="S9506" s="21">
        <v>0</v>
      </c>
      <c r="T9506" s="21">
        <v>0</v>
      </c>
      <c r="U9506" s="21">
        <v>0</v>
      </c>
      <c r="V9506" s="21">
        <v>0</v>
      </c>
      <c r="W9506" s="21">
        <v>0</v>
      </c>
      <c r="X9506" s="21">
        <v>0</v>
      </c>
      <c r="Y9506" s="21">
        <v>0</v>
      </c>
      <c r="Z9506" s="21">
        <v>0</v>
      </c>
      <c r="AA9506" s="21">
        <v>1</v>
      </c>
      <c r="AB9506" s="21">
        <v>0</v>
      </c>
      <c r="AC9506" s="21">
        <v>0</v>
      </c>
      <c r="AD9506" s="21">
        <v>0</v>
      </c>
      <c r="AE9506" s="21">
        <v>0</v>
      </c>
      <c r="AF9506" s="21">
        <v>0</v>
      </c>
      <c r="AG9506" s="21">
        <v>0</v>
      </c>
      <c r="AH9506" s="21">
        <f t="shared" si="201"/>
        <v>0</v>
      </c>
      <c r="AJ9506" s="21" t="s">
        <v>51</v>
      </c>
      <c r="AK9506" s="21" t="s">
        <v>95</v>
      </c>
      <c r="AL9506" s="21"/>
      <c r="AM9506" s="21" t="s">
        <v>6679</v>
      </c>
      <c r="AN9506" s="21">
        <v>-122.399766016667</v>
      </c>
      <c r="AO9506" s="21">
        <v>37.7937923</v>
      </c>
      <c r="AP9506" s="21" t="s">
        <v>1915</v>
      </c>
    </row>
    <row r="9507" spans="1:42">
      <c r="A9507" s="1">
        <v>43893</v>
      </c>
      <c r="B9507" s="21">
        <v>2</v>
      </c>
      <c r="C9507" s="21">
        <v>570</v>
      </c>
      <c r="D9507" s="21">
        <v>11414</v>
      </c>
      <c r="E9507" s="21" t="s">
        <v>377</v>
      </c>
      <c r="F9507" s="21" t="s">
        <v>436</v>
      </c>
      <c r="G9507" s="21">
        <v>1</v>
      </c>
      <c r="H9507" s="21">
        <v>9</v>
      </c>
      <c r="I9507" s="21" t="s">
        <v>4296</v>
      </c>
      <c r="K9507" s="21" t="s">
        <v>2125</v>
      </c>
      <c r="N9507" s="21" t="s">
        <v>1703</v>
      </c>
      <c r="O9507" s="21">
        <f>60+58</f>
        <v>118</v>
      </c>
      <c r="Q9507" s="21">
        <f t="shared" si="200"/>
        <v>1</v>
      </c>
      <c r="R9507" s="21">
        <v>1</v>
      </c>
      <c r="S9507" s="21">
        <v>0</v>
      </c>
      <c r="T9507" s="21">
        <v>0</v>
      </c>
      <c r="U9507" s="21">
        <v>0</v>
      </c>
      <c r="V9507" s="21">
        <v>0</v>
      </c>
      <c r="W9507" s="21">
        <v>0</v>
      </c>
      <c r="X9507" s="21">
        <v>0</v>
      </c>
      <c r="Y9507" s="21">
        <v>0</v>
      </c>
      <c r="Z9507" s="21">
        <v>0</v>
      </c>
      <c r="AA9507" s="21">
        <v>0</v>
      </c>
      <c r="AB9507" s="21">
        <v>1</v>
      </c>
      <c r="AC9507" s="21">
        <v>0</v>
      </c>
      <c r="AD9507" s="21">
        <v>0</v>
      </c>
      <c r="AE9507" s="21">
        <v>0</v>
      </c>
      <c r="AF9507" s="21">
        <v>0</v>
      </c>
      <c r="AG9507" s="21">
        <v>0</v>
      </c>
      <c r="AH9507" s="21">
        <f t="shared" si="201"/>
        <v>0</v>
      </c>
      <c r="AJ9507" s="21" t="s">
        <v>51</v>
      </c>
      <c r="AK9507" s="21" t="s">
        <v>95</v>
      </c>
      <c r="AL9507" s="21" t="s">
        <v>6680</v>
      </c>
      <c r="AM9507" s="21" t="s">
        <v>6681</v>
      </c>
      <c r="AN9507" s="21">
        <v>-122.400726783333</v>
      </c>
      <c r="AO9507" s="21">
        <v>37.794264483333301</v>
      </c>
      <c r="AP9507" s="21" t="s">
        <v>1915</v>
      </c>
    </row>
    <row r="9508" spans="1:42">
      <c r="A9508" s="1">
        <v>43893</v>
      </c>
      <c r="B9508">
        <v>2</v>
      </c>
      <c r="C9508" s="21">
        <v>570</v>
      </c>
      <c r="D9508" s="21">
        <v>11414</v>
      </c>
      <c r="E9508" s="21" t="s">
        <v>377</v>
      </c>
      <c r="F9508" s="21" t="s">
        <v>436</v>
      </c>
      <c r="G9508" s="21">
        <v>1</v>
      </c>
      <c r="H9508" s="21">
        <v>10</v>
      </c>
      <c r="I9508" s="21" t="s">
        <v>6201</v>
      </c>
      <c r="K9508" s="21" t="s">
        <v>60</v>
      </c>
      <c r="N9508" s="21" t="s">
        <v>40</v>
      </c>
      <c r="O9508" s="21">
        <v>68</v>
      </c>
      <c r="Q9508" s="21">
        <f t="shared" si="200"/>
        <v>2</v>
      </c>
      <c r="R9508" s="21">
        <v>1</v>
      </c>
      <c r="S9508" s="21">
        <v>0</v>
      </c>
      <c r="T9508" s="21">
        <v>0</v>
      </c>
      <c r="U9508" s="21">
        <v>0</v>
      </c>
      <c r="V9508" s="21">
        <v>0</v>
      </c>
      <c r="W9508" s="21">
        <v>0</v>
      </c>
      <c r="X9508" s="21">
        <v>0</v>
      </c>
      <c r="Y9508" s="21">
        <v>0</v>
      </c>
      <c r="Z9508" s="21">
        <v>0</v>
      </c>
      <c r="AA9508" s="21">
        <v>0</v>
      </c>
      <c r="AB9508" s="21">
        <v>2</v>
      </c>
      <c r="AC9508" s="21">
        <v>0</v>
      </c>
      <c r="AD9508" s="21">
        <v>0</v>
      </c>
      <c r="AE9508" s="21">
        <v>0</v>
      </c>
      <c r="AF9508" s="21">
        <v>0</v>
      </c>
      <c r="AG9508" s="21">
        <v>0</v>
      </c>
      <c r="AH9508" s="21">
        <f t="shared" si="201"/>
        <v>0</v>
      </c>
      <c r="AJ9508" s="21" t="s">
        <v>51</v>
      </c>
      <c r="AK9508" s="21" t="s">
        <v>95</v>
      </c>
      <c r="AL9508" s="21"/>
      <c r="AM9508" s="21" t="s">
        <v>6682</v>
      </c>
      <c r="AN9508" s="21">
        <v>-122.40055131666701</v>
      </c>
      <c r="AO9508" s="21">
        <v>37.794115966666702</v>
      </c>
      <c r="AP9508" s="21" t="s">
        <v>1915</v>
      </c>
    </row>
    <row r="9509" spans="1:42">
      <c r="A9509" s="1">
        <v>43893</v>
      </c>
      <c r="B9509">
        <v>2</v>
      </c>
      <c r="C9509" s="21">
        <v>570</v>
      </c>
      <c r="D9509" s="21">
        <v>11414</v>
      </c>
      <c r="E9509" s="21" t="s">
        <v>377</v>
      </c>
      <c r="F9509" s="21" t="s">
        <v>436</v>
      </c>
      <c r="G9509" s="21">
        <v>1</v>
      </c>
      <c r="H9509" s="21">
        <v>11</v>
      </c>
      <c r="I9509" s="21" t="s">
        <v>4243</v>
      </c>
      <c r="K9509" s="21" t="s">
        <v>58</v>
      </c>
      <c r="N9509" s="21" t="s">
        <v>40</v>
      </c>
      <c r="O9509" s="21">
        <f>60+13</f>
        <v>73</v>
      </c>
      <c r="Q9509" s="21">
        <f t="shared" si="200"/>
        <v>1</v>
      </c>
      <c r="R9509" s="21">
        <v>1</v>
      </c>
      <c r="S9509" s="21">
        <v>0</v>
      </c>
      <c r="T9509" s="21">
        <v>0</v>
      </c>
      <c r="U9509" s="21">
        <v>0</v>
      </c>
      <c r="V9509" s="21">
        <v>0</v>
      </c>
      <c r="W9509" s="21">
        <v>0</v>
      </c>
      <c r="X9509" s="21">
        <v>0</v>
      </c>
      <c r="Y9509" s="21">
        <v>0</v>
      </c>
      <c r="Z9509" s="21">
        <v>0</v>
      </c>
      <c r="AA9509" s="21">
        <v>0</v>
      </c>
      <c r="AB9509" s="21">
        <v>0</v>
      </c>
      <c r="AC9509" s="21">
        <v>1</v>
      </c>
      <c r="AD9509" s="21">
        <v>0</v>
      </c>
      <c r="AE9509" s="21">
        <v>0</v>
      </c>
      <c r="AF9509" s="21">
        <v>0</v>
      </c>
      <c r="AG9509" s="21">
        <v>0</v>
      </c>
      <c r="AH9509" s="21">
        <f t="shared" si="201"/>
        <v>0</v>
      </c>
      <c r="AJ9509" s="21" t="s">
        <v>51</v>
      </c>
      <c r="AK9509" s="21" t="s">
        <v>95</v>
      </c>
      <c r="AL9509" s="21"/>
      <c r="AM9509" s="21" t="s">
        <v>6683</v>
      </c>
      <c r="AN9509" s="21">
        <v>-122.40177760414301</v>
      </c>
      <c r="AO9509" s="21">
        <v>37.793478839430897</v>
      </c>
      <c r="AP9509" s="21" t="s">
        <v>1915</v>
      </c>
    </row>
    <row r="9510" spans="1:42">
      <c r="A9510" s="1">
        <v>43893</v>
      </c>
      <c r="B9510" s="21">
        <v>2</v>
      </c>
      <c r="C9510" s="21">
        <v>570</v>
      </c>
      <c r="D9510" s="21">
        <v>11414</v>
      </c>
      <c r="E9510" s="21" t="s">
        <v>377</v>
      </c>
      <c r="F9510" s="21" t="s">
        <v>436</v>
      </c>
      <c r="G9510" s="21">
        <v>1</v>
      </c>
      <c r="H9510" s="21">
        <v>12</v>
      </c>
      <c r="I9510" s="21" t="s">
        <v>6684</v>
      </c>
      <c r="K9510" s="21" t="s">
        <v>68</v>
      </c>
      <c r="N9510" s="21" t="s">
        <v>40</v>
      </c>
      <c r="O9510" s="21">
        <f>60+27</f>
        <v>87</v>
      </c>
      <c r="Q9510" s="21">
        <f t="shared" si="200"/>
        <v>1</v>
      </c>
      <c r="R9510" s="21">
        <v>1</v>
      </c>
      <c r="S9510" s="21">
        <v>0</v>
      </c>
      <c r="T9510" s="21">
        <v>0</v>
      </c>
      <c r="U9510" s="21">
        <v>0</v>
      </c>
      <c r="V9510" s="21">
        <v>0</v>
      </c>
      <c r="W9510" s="21">
        <v>0</v>
      </c>
      <c r="X9510" s="21">
        <v>0</v>
      </c>
      <c r="Y9510" s="21">
        <v>0</v>
      </c>
      <c r="Z9510" s="21">
        <v>0</v>
      </c>
      <c r="AA9510" s="21">
        <v>0</v>
      </c>
      <c r="AB9510" s="21">
        <v>1</v>
      </c>
      <c r="AC9510" s="21">
        <v>0</v>
      </c>
      <c r="AD9510" s="21">
        <v>0</v>
      </c>
      <c r="AE9510" s="21">
        <v>0</v>
      </c>
      <c r="AF9510" s="21">
        <v>0</v>
      </c>
      <c r="AG9510" s="21">
        <v>0</v>
      </c>
      <c r="AH9510" s="21">
        <f t="shared" si="201"/>
        <v>0</v>
      </c>
      <c r="AJ9510" s="21"/>
      <c r="AK9510" s="21"/>
      <c r="AL9510" s="21" t="s">
        <v>1979</v>
      </c>
      <c r="AM9510" s="21" t="s">
        <v>6685</v>
      </c>
      <c r="AN9510" s="21">
        <v>-122.40073915000001</v>
      </c>
      <c r="AO9510" s="21">
        <v>37.796099550000001</v>
      </c>
      <c r="AP9510" s="21" t="s">
        <v>1915</v>
      </c>
    </row>
    <row r="9511" spans="1:42">
      <c r="A9511" s="1">
        <v>43893</v>
      </c>
      <c r="B9511">
        <v>2</v>
      </c>
      <c r="C9511" s="21">
        <v>570</v>
      </c>
      <c r="D9511" s="21">
        <v>11414</v>
      </c>
      <c r="E9511" s="21" t="s">
        <v>377</v>
      </c>
      <c r="F9511" s="21" t="s">
        <v>436</v>
      </c>
      <c r="G9511" s="21">
        <v>1</v>
      </c>
      <c r="H9511" s="21">
        <v>13</v>
      </c>
      <c r="I9511" s="21" t="s">
        <v>5666</v>
      </c>
      <c r="K9511" s="21" t="s">
        <v>6686</v>
      </c>
      <c r="N9511" s="21" t="s">
        <v>40</v>
      </c>
      <c r="O9511" s="21">
        <v>34</v>
      </c>
      <c r="Q9511" s="21">
        <f t="shared" si="200"/>
        <v>1</v>
      </c>
      <c r="R9511" s="21">
        <v>1</v>
      </c>
      <c r="S9511" s="21">
        <v>0</v>
      </c>
      <c r="T9511" s="21">
        <v>0</v>
      </c>
      <c r="U9511" s="21">
        <v>0</v>
      </c>
      <c r="V9511" s="21">
        <v>0</v>
      </c>
      <c r="W9511" s="21">
        <v>0</v>
      </c>
      <c r="X9511" s="21">
        <v>0</v>
      </c>
      <c r="Y9511" s="21">
        <v>0</v>
      </c>
      <c r="Z9511" s="21">
        <v>0</v>
      </c>
      <c r="AA9511" s="21">
        <v>0</v>
      </c>
      <c r="AB9511" s="21">
        <v>0</v>
      </c>
      <c r="AC9511" s="21">
        <v>1</v>
      </c>
      <c r="AD9511" s="21">
        <v>0</v>
      </c>
      <c r="AE9511" s="21">
        <v>0</v>
      </c>
      <c r="AF9511" s="21">
        <v>0</v>
      </c>
      <c r="AG9511" s="21">
        <v>0</v>
      </c>
      <c r="AH9511" s="21">
        <f t="shared" si="201"/>
        <v>0</v>
      </c>
      <c r="AJ9511" s="21" t="s">
        <v>51</v>
      </c>
      <c r="AK9511" s="21" t="s">
        <v>52</v>
      </c>
      <c r="AL9511" s="21" t="s">
        <v>6687</v>
      </c>
      <c r="AM9511" s="21" t="s">
        <v>6688</v>
      </c>
      <c r="AN9511" s="21">
        <v>-122.40002723333301</v>
      </c>
      <c r="AO9511" s="21">
        <v>37.801806966666597</v>
      </c>
      <c r="AP9511" s="21" t="s">
        <v>1915</v>
      </c>
    </row>
    <row r="9512" spans="1:42">
      <c r="A9512" s="1">
        <v>43893</v>
      </c>
      <c r="B9512">
        <v>2</v>
      </c>
      <c r="C9512" s="21">
        <v>570</v>
      </c>
      <c r="D9512" s="21">
        <v>11414</v>
      </c>
      <c r="E9512" s="21" t="s">
        <v>377</v>
      </c>
      <c r="F9512" s="21" t="s">
        <v>436</v>
      </c>
      <c r="G9512" s="21">
        <v>1</v>
      </c>
      <c r="H9512" s="21">
        <v>14</v>
      </c>
      <c r="I9512" s="21" t="s">
        <v>3673</v>
      </c>
      <c r="K9512" s="21" t="s">
        <v>6689</v>
      </c>
      <c r="N9512" s="21" t="s">
        <v>40</v>
      </c>
      <c r="O9512" s="21">
        <v>45</v>
      </c>
      <c r="Q9512" s="21">
        <f t="shared" si="200"/>
        <v>1</v>
      </c>
      <c r="R9512" s="21">
        <v>1</v>
      </c>
      <c r="S9512" s="21">
        <v>0</v>
      </c>
      <c r="T9512" s="21">
        <v>0</v>
      </c>
      <c r="U9512" s="21">
        <v>0</v>
      </c>
      <c r="V9512" s="21">
        <v>0</v>
      </c>
      <c r="W9512" s="21">
        <v>0</v>
      </c>
      <c r="X9512" s="21">
        <v>0</v>
      </c>
      <c r="Y9512" s="21">
        <v>0</v>
      </c>
      <c r="Z9512" s="21">
        <v>0</v>
      </c>
      <c r="AA9512" s="21">
        <v>0</v>
      </c>
      <c r="AB9512" s="21">
        <v>0</v>
      </c>
      <c r="AC9512" s="21">
        <v>1</v>
      </c>
      <c r="AD9512" s="21">
        <v>0</v>
      </c>
      <c r="AE9512" s="21">
        <v>0</v>
      </c>
      <c r="AF9512" s="21">
        <v>0</v>
      </c>
      <c r="AG9512" s="21">
        <v>0</v>
      </c>
      <c r="AH9512" s="21">
        <f t="shared" si="201"/>
        <v>0</v>
      </c>
      <c r="AJ9512" s="21" t="s">
        <v>51</v>
      </c>
      <c r="AK9512" s="21" t="s">
        <v>52</v>
      </c>
      <c r="AL9512" s="21"/>
      <c r="AM9512" s="21" t="s">
        <v>6690</v>
      </c>
      <c r="AN9512" s="21">
        <v>-122.401669516667</v>
      </c>
      <c r="AO9512" s="21">
        <v>37.795372666666701</v>
      </c>
      <c r="AP9512" s="21" t="s">
        <v>1915</v>
      </c>
    </row>
    <row r="9513" spans="1:42">
      <c r="A9513" s="1">
        <v>43893</v>
      </c>
      <c r="B9513" s="21">
        <v>2</v>
      </c>
      <c r="C9513" s="21">
        <v>570</v>
      </c>
      <c r="D9513" s="21">
        <v>11414</v>
      </c>
      <c r="E9513" s="21" t="s">
        <v>377</v>
      </c>
      <c r="F9513" s="21" t="s">
        <v>436</v>
      </c>
      <c r="G9513" s="21">
        <v>1</v>
      </c>
      <c r="H9513" s="21">
        <v>15</v>
      </c>
      <c r="I9513" s="21" t="s">
        <v>3399</v>
      </c>
      <c r="K9513" s="21" t="s">
        <v>56</v>
      </c>
      <c r="N9513" s="21" t="s">
        <v>40</v>
      </c>
      <c r="O9513" s="21">
        <v>35</v>
      </c>
      <c r="Q9513" s="21">
        <f t="shared" si="200"/>
        <v>1</v>
      </c>
      <c r="R9513" s="21">
        <v>1</v>
      </c>
      <c r="S9513" s="21">
        <v>0</v>
      </c>
      <c r="T9513" s="21">
        <v>0</v>
      </c>
      <c r="U9513" s="21">
        <v>0</v>
      </c>
      <c r="V9513" s="21">
        <v>0</v>
      </c>
      <c r="W9513" s="21">
        <v>0</v>
      </c>
      <c r="X9513" s="21">
        <v>0</v>
      </c>
      <c r="Y9513" s="21">
        <v>0</v>
      </c>
      <c r="Z9513" s="21">
        <v>0</v>
      </c>
      <c r="AA9513" s="21">
        <v>0</v>
      </c>
      <c r="AB9513" s="21">
        <v>1</v>
      </c>
      <c r="AC9513" s="21">
        <v>0</v>
      </c>
      <c r="AD9513" s="21">
        <v>0</v>
      </c>
      <c r="AE9513" s="21">
        <v>0</v>
      </c>
      <c r="AF9513" s="21">
        <v>0</v>
      </c>
      <c r="AG9513" s="21">
        <v>0</v>
      </c>
      <c r="AH9513" s="21">
        <f t="shared" si="201"/>
        <v>0</v>
      </c>
      <c r="AJ9513" s="21" t="s">
        <v>54</v>
      </c>
      <c r="AK9513" s="21" t="s">
        <v>52</v>
      </c>
      <c r="AL9513" s="21"/>
      <c r="AM9513" s="21" t="s">
        <v>6691</v>
      </c>
      <c r="AN9513" s="21">
        <v>-122.403832466667</v>
      </c>
      <c r="AO9513" s="21">
        <v>37.793655516666703</v>
      </c>
      <c r="AP9513" s="21" t="s">
        <v>1915</v>
      </c>
    </row>
    <row r="9514" spans="1:42">
      <c r="A9514" s="1">
        <v>43893</v>
      </c>
      <c r="B9514">
        <v>2</v>
      </c>
      <c r="C9514" s="21">
        <v>570</v>
      </c>
      <c r="D9514" s="21">
        <v>11414</v>
      </c>
      <c r="E9514" s="21" t="s">
        <v>377</v>
      </c>
      <c r="F9514" s="21" t="s">
        <v>436</v>
      </c>
      <c r="G9514" s="21">
        <v>1</v>
      </c>
      <c r="H9514" s="21">
        <v>16</v>
      </c>
      <c r="I9514" s="21" t="s">
        <v>4287</v>
      </c>
      <c r="K9514" s="21" t="s">
        <v>56</v>
      </c>
      <c r="N9514" s="21" t="s">
        <v>44</v>
      </c>
      <c r="O9514" s="21">
        <f>60+47</f>
        <v>107</v>
      </c>
      <c r="Q9514" s="21">
        <f t="shared" si="200"/>
        <v>2</v>
      </c>
      <c r="R9514" s="21">
        <v>1</v>
      </c>
      <c r="S9514" s="21">
        <v>0</v>
      </c>
      <c r="T9514" s="21">
        <v>0</v>
      </c>
      <c r="U9514" s="21">
        <v>0</v>
      </c>
      <c r="V9514" s="21">
        <v>0</v>
      </c>
      <c r="W9514" s="21">
        <v>0</v>
      </c>
      <c r="X9514" s="21">
        <v>0</v>
      </c>
      <c r="Y9514" s="21">
        <v>0</v>
      </c>
      <c r="Z9514" s="21">
        <v>0</v>
      </c>
      <c r="AA9514" s="21">
        <v>1</v>
      </c>
      <c r="AB9514" s="21">
        <v>0</v>
      </c>
      <c r="AC9514" s="21">
        <v>1</v>
      </c>
      <c r="AD9514" s="21">
        <v>0</v>
      </c>
      <c r="AE9514" s="21">
        <v>0</v>
      </c>
      <c r="AF9514" s="21">
        <v>0</v>
      </c>
      <c r="AG9514" s="21">
        <v>0</v>
      </c>
      <c r="AH9514" s="21">
        <f t="shared" si="201"/>
        <v>0</v>
      </c>
      <c r="AJ9514" s="21"/>
      <c r="AK9514" s="21"/>
      <c r="AL9514" s="21"/>
      <c r="AM9514" s="21" t="s">
        <v>6692</v>
      </c>
      <c r="AN9514" s="21">
        <v>-122.404608020989</v>
      </c>
      <c r="AO9514" s="21">
        <v>37.7921637962028</v>
      </c>
      <c r="AP9514" s="21" t="s">
        <v>1915</v>
      </c>
    </row>
    <row r="9515" spans="1:42">
      <c r="A9515" s="1">
        <v>43893</v>
      </c>
      <c r="B9515">
        <v>2</v>
      </c>
      <c r="C9515" s="21">
        <v>570</v>
      </c>
      <c r="D9515" s="21">
        <v>11414</v>
      </c>
      <c r="E9515" s="21" t="s">
        <v>377</v>
      </c>
      <c r="F9515" s="21" t="s">
        <v>436</v>
      </c>
      <c r="G9515" s="21">
        <v>1</v>
      </c>
      <c r="H9515" s="21">
        <v>17</v>
      </c>
      <c r="I9515" s="21" t="s">
        <v>5745</v>
      </c>
      <c r="K9515" s="21" t="s">
        <v>56</v>
      </c>
      <c r="N9515" s="21" t="s">
        <v>44</v>
      </c>
      <c r="O9515" s="21">
        <f>60+56</f>
        <v>116</v>
      </c>
      <c r="Q9515" s="21">
        <f t="shared" si="200"/>
        <v>1</v>
      </c>
      <c r="R9515" s="21">
        <v>1</v>
      </c>
      <c r="S9515" s="21">
        <v>0</v>
      </c>
      <c r="T9515" s="21">
        <v>0</v>
      </c>
      <c r="U9515" s="21">
        <v>0</v>
      </c>
      <c r="V9515" s="21">
        <v>0</v>
      </c>
      <c r="W9515" s="21">
        <v>0</v>
      </c>
      <c r="X9515" s="21">
        <v>0</v>
      </c>
      <c r="Y9515" s="21">
        <v>0</v>
      </c>
      <c r="Z9515" s="21">
        <v>0</v>
      </c>
      <c r="AA9515" s="21">
        <v>1</v>
      </c>
      <c r="AB9515" s="21">
        <v>0</v>
      </c>
      <c r="AC9515" s="21">
        <v>0</v>
      </c>
      <c r="AD9515" s="21">
        <v>0</v>
      </c>
      <c r="AE9515" s="21">
        <v>0</v>
      </c>
      <c r="AF9515" s="21">
        <v>0</v>
      </c>
      <c r="AG9515" s="21">
        <v>0</v>
      </c>
      <c r="AH9515" s="21">
        <f t="shared" si="201"/>
        <v>0</v>
      </c>
      <c r="AJ9515" s="21" t="s">
        <v>54</v>
      </c>
      <c r="AK9515" s="21"/>
      <c r="AL9515" s="21" t="s">
        <v>6693</v>
      </c>
      <c r="AM9515" s="21" t="s">
        <v>6694</v>
      </c>
      <c r="AN9515" s="21">
        <v>-122.40536013333301</v>
      </c>
      <c r="AO9515" s="21">
        <v>37.793736233333298</v>
      </c>
      <c r="AP9515" s="21" t="s">
        <v>1915</v>
      </c>
    </row>
    <row r="9516" spans="1:42">
      <c r="A9516" s="1">
        <v>43893</v>
      </c>
      <c r="B9516" s="21">
        <v>2</v>
      </c>
      <c r="C9516" s="21">
        <v>570</v>
      </c>
      <c r="D9516" s="21">
        <v>11414</v>
      </c>
      <c r="E9516" s="21" t="s">
        <v>377</v>
      </c>
      <c r="F9516" s="21" t="s">
        <v>436</v>
      </c>
      <c r="G9516" s="21">
        <v>1</v>
      </c>
      <c r="H9516" s="21">
        <v>18</v>
      </c>
      <c r="I9516" s="21" t="s">
        <v>6554</v>
      </c>
      <c r="K9516" s="21" t="s">
        <v>49</v>
      </c>
      <c r="N9516" s="21" t="s">
        <v>40</v>
      </c>
      <c r="O9516" s="21">
        <f>120+120+120+11</f>
        <v>371</v>
      </c>
      <c r="Q9516" s="21">
        <f t="shared" si="200"/>
        <v>5</v>
      </c>
      <c r="R9516" s="21">
        <v>1</v>
      </c>
      <c r="S9516" s="21">
        <v>0</v>
      </c>
      <c r="T9516" s="21">
        <v>0</v>
      </c>
      <c r="U9516" s="21">
        <v>0</v>
      </c>
      <c r="V9516" s="21">
        <v>0</v>
      </c>
      <c r="W9516" s="21">
        <v>0</v>
      </c>
      <c r="X9516" s="21">
        <v>0</v>
      </c>
      <c r="Y9516" s="21">
        <v>0</v>
      </c>
      <c r="Z9516" s="21">
        <v>5</v>
      </c>
      <c r="AA9516" s="21">
        <v>0</v>
      </c>
      <c r="AB9516" s="21">
        <v>0</v>
      </c>
      <c r="AC9516" s="21">
        <v>0</v>
      </c>
      <c r="AD9516" s="21">
        <v>0</v>
      </c>
      <c r="AE9516" s="21">
        <v>0</v>
      </c>
      <c r="AF9516" s="21">
        <v>0</v>
      </c>
      <c r="AG9516" s="21">
        <v>0</v>
      </c>
      <c r="AH9516" s="21">
        <f t="shared" si="201"/>
        <v>0</v>
      </c>
      <c r="AJ9516" s="21" t="s">
        <v>51</v>
      </c>
      <c r="AK9516" s="21" t="s">
        <v>95</v>
      </c>
      <c r="AL9516" s="21"/>
      <c r="AM9516" s="21" t="s">
        <v>6695</v>
      </c>
      <c r="AN9516" s="21">
        <v>-122.407593583333</v>
      </c>
      <c r="AO9516" s="21">
        <v>37.789320666666697</v>
      </c>
      <c r="AP9516" s="21" t="s">
        <v>1915</v>
      </c>
    </row>
    <row r="9517" spans="1:42">
      <c r="A9517" s="1">
        <v>43893</v>
      </c>
      <c r="B9517">
        <v>2</v>
      </c>
      <c r="C9517" s="21">
        <v>570</v>
      </c>
      <c r="D9517" s="21">
        <v>11414</v>
      </c>
      <c r="E9517" s="21" t="s">
        <v>377</v>
      </c>
      <c r="F9517" s="21" t="s">
        <v>436</v>
      </c>
      <c r="G9517" s="21">
        <v>1</v>
      </c>
      <c r="H9517" s="21">
        <v>19</v>
      </c>
      <c r="I9517" s="21" t="s">
        <v>6696</v>
      </c>
      <c r="K9517" s="21" t="s">
        <v>49</v>
      </c>
      <c r="N9517" s="21" t="s">
        <v>40</v>
      </c>
      <c r="O9517" s="21">
        <f>60+11</f>
        <v>71</v>
      </c>
      <c r="Q9517" s="21">
        <f t="shared" si="200"/>
        <v>1</v>
      </c>
      <c r="R9517" s="21">
        <v>1</v>
      </c>
      <c r="S9517" s="21">
        <v>0</v>
      </c>
      <c r="T9517" s="21">
        <v>0</v>
      </c>
      <c r="U9517" s="21">
        <v>0</v>
      </c>
      <c r="V9517" s="21">
        <v>0</v>
      </c>
      <c r="W9517" s="21">
        <v>0</v>
      </c>
      <c r="X9517" s="21">
        <v>0</v>
      </c>
      <c r="Y9517" s="21">
        <v>0</v>
      </c>
      <c r="Z9517" s="21">
        <v>0</v>
      </c>
      <c r="AA9517" s="21">
        <v>1</v>
      </c>
      <c r="AB9517" s="21">
        <v>0</v>
      </c>
      <c r="AC9517" s="21">
        <v>0</v>
      </c>
      <c r="AD9517" s="21">
        <v>0</v>
      </c>
      <c r="AE9517" s="21">
        <v>0</v>
      </c>
      <c r="AF9517" s="21">
        <v>0</v>
      </c>
      <c r="AG9517" s="21">
        <v>0</v>
      </c>
      <c r="AH9517" s="21">
        <f t="shared" si="201"/>
        <v>0</v>
      </c>
      <c r="AJ9517" s="21" t="s">
        <v>51</v>
      </c>
      <c r="AK9517" s="21" t="s">
        <v>95</v>
      </c>
      <c r="AL9517" s="21" t="s">
        <v>6650</v>
      </c>
      <c r="AM9517" s="21" t="s">
        <v>6697</v>
      </c>
      <c r="AN9517" s="21">
        <v>-122.403911697694</v>
      </c>
      <c r="AO9517" s="21">
        <v>37.788955901405899</v>
      </c>
      <c r="AP9517" s="21" t="s">
        <v>1915</v>
      </c>
    </row>
    <row r="9518" spans="1:42">
      <c r="A9518" s="1">
        <v>43893</v>
      </c>
      <c r="B9518">
        <v>2</v>
      </c>
      <c r="C9518" s="21">
        <v>570</v>
      </c>
      <c r="D9518" s="21">
        <v>11414</v>
      </c>
      <c r="E9518" s="21" t="s">
        <v>377</v>
      </c>
      <c r="F9518" s="21" t="s">
        <v>436</v>
      </c>
      <c r="G9518" s="21">
        <v>1</v>
      </c>
      <c r="H9518" s="21">
        <v>20</v>
      </c>
      <c r="I9518" s="21" t="s">
        <v>6662</v>
      </c>
      <c r="K9518" s="21" t="s">
        <v>6637</v>
      </c>
      <c r="N9518" s="21" t="s">
        <v>40</v>
      </c>
      <c r="O9518" s="21">
        <v>45</v>
      </c>
      <c r="Q9518" s="21">
        <f t="shared" si="200"/>
        <v>1</v>
      </c>
      <c r="R9518" s="21">
        <v>1</v>
      </c>
      <c r="S9518" s="21">
        <v>0</v>
      </c>
      <c r="T9518" s="21">
        <v>0</v>
      </c>
      <c r="U9518" s="21">
        <v>0</v>
      </c>
      <c r="V9518" s="21">
        <v>0</v>
      </c>
      <c r="W9518" s="21">
        <v>0</v>
      </c>
      <c r="X9518" s="21">
        <v>0</v>
      </c>
      <c r="Y9518" s="21">
        <v>0</v>
      </c>
      <c r="Z9518" s="21">
        <v>0</v>
      </c>
      <c r="AA9518" s="21">
        <v>0</v>
      </c>
      <c r="AB9518" s="21">
        <v>1</v>
      </c>
      <c r="AC9518" s="21">
        <v>0</v>
      </c>
      <c r="AD9518" s="21">
        <v>0</v>
      </c>
      <c r="AE9518" s="21">
        <v>0</v>
      </c>
      <c r="AF9518" s="21">
        <v>0</v>
      </c>
      <c r="AG9518" s="21">
        <v>0</v>
      </c>
      <c r="AH9518" s="21">
        <f t="shared" si="201"/>
        <v>0</v>
      </c>
      <c r="AJ9518" s="21" t="s">
        <v>51</v>
      </c>
      <c r="AK9518" s="21" t="s">
        <v>95</v>
      </c>
      <c r="AL9518" s="21"/>
      <c r="AM9518" s="21" t="s">
        <v>6698</v>
      </c>
      <c r="AN9518" s="21">
        <v>-122.403501450991</v>
      </c>
      <c r="AO9518" s="21">
        <v>37.790420681722303</v>
      </c>
      <c r="AP9518" s="21" t="s">
        <v>1915</v>
      </c>
    </row>
    <row r="9519" spans="1:42">
      <c r="A9519" s="1">
        <v>43893</v>
      </c>
      <c r="B9519" s="21">
        <v>2</v>
      </c>
      <c r="C9519" s="21">
        <v>570</v>
      </c>
      <c r="D9519" s="21">
        <v>11414</v>
      </c>
      <c r="E9519" s="21" t="s">
        <v>377</v>
      </c>
      <c r="F9519" s="21" t="s">
        <v>436</v>
      </c>
      <c r="G9519" s="21">
        <v>1</v>
      </c>
      <c r="H9519" s="21">
        <v>21</v>
      </c>
      <c r="I9519" s="21" t="s">
        <v>5780</v>
      </c>
      <c r="K9519" s="21" t="s">
        <v>49</v>
      </c>
      <c r="N9519" s="21" t="s">
        <v>1703</v>
      </c>
      <c r="O9519" s="21">
        <f>60+32</f>
        <v>92</v>
      </c>
      <c r="Q9519" s="21">
        <f t="shared" si="200"/>
        <v>1</v>
      </c>
      <c r="R9519" s="21">
        <v>1</v>
      </c>
      <c r="S9519" s="21">
        <v>0</v>
      </c>
      <c r="T9519" s="21">
        <v>0</v>
      </c>
      <c r="U9519" s="21">
        <v>0</v>
      </c>
      <c r="V9519" s="21">
        <v>0</v>
      </c>
      <c r="W9519" s="21">
        <v>0</v>
      </c>
      <c r="X9519" s="21">
        <v>0</v>
      </c>
      <c r="Y9519" s="21">
        <v>0</v>
      </c>
      <c r="Z9519" s="21">
        <v>0</v>
      </c>
      <c r="AA9519" s="21">
        <v>1</v>
      </c>
      <c r="AB9519" s="21">
        <v>0</v>
      </c>
      <c r="AC9519" s="21">
        <v>0</v>
      </c>
      <c r="AD9519" s="21">
        <v>0</v>
      </c>
      <c r="AE9519" s="21">
        <v>0</v>
      </c>
      <c r="AF9519" s="21">
        <v>0</v>
      </c>
      <c r="AG9519" s="21">
        <v>0</v>
      </c>
      <c r="AH9519" s="21">
        <f t="shared" si="201"/>
        <v>0</v>
      </c>
      <c r="AJ9519" s="21" t="s">
        <v>51</v>
      </c>
      <c r="AK9519" s="21" t="s">
        <v>95</v>
      </c>
      <c r="AL9519" s="21" t="s">
        <v>4193</v>
      </c>
      <c r="AM9519" s="21" t="s">
        <v>6699</v>
      </c>
      <c r="AN9519" s="21">
        <v>-122.40339381666701</v>
      </c>
      <c r="AO9519" s="21">
        <v>37.790346583333303</v>
      </c>
      <c r="AP9519" s="21" t="s">
        <v>1915</v>
      </c>
    </row>
    <row r="9520" spans="1:42">
      <c r="A9520" s="1">
        <v>43893</v>
      </c>
      <c r="B9520">
        <v>2</v>
      </c>
      <c r="C9520" s="21">
        <v>570</v>
      </c>
      <c r="D9520" s="21">
        <v>11414</v>
      </c>
      <c r="E9520" s="21" t="s">
        <v>377</v>
      </c>
      <c r="F9520" s="21" t="s">
        <v>436</v>
      </c>
      <c r="G9520" s="21">
        <v>1</v>
      </c>
      <c r="H9520" s="21">
        <v>22</v>
      </c>
      <c r="I9520" s="21" t="s">
        <v>6217</v>
      </c>
      <c r="K9520" s="21" t="s">
        <v>56</v>
      </c>
      <c r="N9520" s="21" t="s">
        <v>40</v>
      </c>
      <c r="O9520" s="21">
        <v>43</v>
      </c>
      <c r="Q9520" s="21">
        <f t="shared" si="200"/>
        <v>1</v>
      </c>
      <c r="R9520" s="21">
        <v>1</v>
      </c>
      <c r="S9520" s="21">
        <v>0</v>
      </c>
      <c r="T9520" s="21">
        <v>0</v>
      </c>
      <c r="U9520" s="21">
        <v>0</v>
      </c>
      <c r="V9520" s="21">
        <v>0</v>
      </c>
      <c r="W9520" s="21">
        <v>0</v>
      </c>
      <c r="X9520" s="21">
        <v>0</v>
      </c>
      <c r="Y9520" s="21">
        <v>0</v>
      </c>
      <c r="Z9520" s="21">
        <v>1</v>
      </c>
      <c r="AA9520" s="21">
        <v>0</v>
      </c>
      <c r="AB9520" s="21">
        <v>0</v>
      </c>
      <c r="AC9520" s="21">
        <v>0</v>
      </c>
      <c r="AD9520" s="21">
        <v>0</v>
      </c>
      <c r="AE9520" s="21">
        <v>0</v>
      </c>
      <c r="AF9520" s="21">
        <v>0</v>
      </c>
      <c r="AG9520" s="21">
        <v>0</v>
      </c>
      <c r="AH9520" s="21">
        <f t="shared" si="201"/>
        <v>0</v>
      </c>
      <c r="AJ9520" s="21" t="s">
        <v>51</v>
      </c>
      <c r="AK9520" s="21" t="s">
        <v>95</v>
      </c>
      <c r="AL9520" s="21"/>
      <c r="AM9520" s="21" t="s">
        <v>6700</v>
      </c>
      <c r="AN9520" s="21">
        <v>-122.400971916667</v>
      </c>
      <c r="AO9520" s="21">
        <v>37.794801383333301</v>
      </c>
      <c r="AP9520" s="21" t="s">
        <v>1915</v>
      </c>
    </row>
    <row r="9521" spans="1:42">
      <c r="A9521" s="1">
        <v>43893</v>
      </c>
      <c r="B9521">
        <v>2</v>
      </c>
      <c r="C9521" s="21">
        <v>570</v>
      </c>
      <c r="D9521" s="21">
        <v>11414</v>
      </c>
      <c r="E9521" s="21" t="s">
        <v>377</v>
      </c>
      <c r="F9521" s="21" t="s">
        <v>436</v>
      </c>
      <c r="G9521" s="21">
        <v>1</v>
      </c>
      <c r="H9521" s="21">
        <v>23</v>
      </c>
      <c r="I9521" s="21" t="s">
        <v>3448</v>
      </c>
      <c r="K9521" s="21" t="s">
        <v>61</v>
      </c>
      <c r="N9521" s="21" t="s">
        <v>40</v>
      </c>
      <c r="O9521" s="21">
        <f>120+29</f>
        <v>149</v>
      </c>
      <c r="Q9521" s="21">
        <f t="shared" si="200"/>
        <v>2</v>
      </c>
      <c r="R9521" s="21">
        <v>1</v>
      </c>
      <c r="S9521" s="21">
        <v>0</v>
      </c>
      <c r="T9521" s="21">
        <v>0</v>
      </c>
      <c r="U9521" s="21">
        <v>0</v>
      </c>
      <c r="V9521" s="21">
        <v>0</v>
      </c>
      <c r="W9521" s="21">
        <v>0</v>
      </c>
      <c r="X9521" s="21">
        <v>0</v>
      </c>
      <c r="Y9521" s="21">
        <v>0</v>
      </c>
      <c r="Z9521" s="21">
        <v>0</v>
      </c>
      <c r="AA9521" s="21">
        <v>1</v>
      </c>
      <c r="AB9521" s="21">
        <v>0</v>
      </c>
      <c r="AC9521" s="21">
        <v>1</v>
      </c>
      <c r="AD9521" s="21">
        <v>0</v>
      </c>
      <c r="AE9521" s="21">
        <v>0</v>
      </c>
      <c r="AF9521" s="21">
        <v>0</v>
      </c>
      <c r="AG9521" s="21">
        <v>0</v>
      </c>
      <c r="AH9521" s="21">
        <f t="shared" si="201"/>
        <v>0</v>
      </c>
      <c r="AJ9521" s="21" t="s">
        <v>51</v>
      </c>
      <c r="AK9521" s="21" t="s">
        <v>95</v>
      </c>
      <c r="AL9521" s="21"/>
      <c r="AM9521" s="21" t="s">
        <v>6701</v>
      </c>
      <c r="AN9521" s="21">
        <v>-122.399852283333</v>
      </c>
      <c r="AO9521" s="21">
        <v>37.792163016666699</v>
      </c>
      <c r="AP9521" s="21" t="s">
        <v>1915</v>
      </c>
    </row>
    <row r="9522" spans="1:42">
      <c r="A9522" s="1">
        <v>43893</v>
      </c>
      <c r="B9522" s="21">
        <v>2</v>
      </c>
      <c r="C9522" s="21">
        <v>570</v>
      </c>
      <c r="D9522" s="21">
        <v>11414</v>
      </c>
      <c r="E9522" s="21" t="s">
        <v>377</v>
      </c>
      <c r="F9522" s="21" t="s">
        <v>436</v>
      </c>
      <c r="G9522" s="21">
        <v>1</v>
      </c>
      <c r="H9522" s="21">
        <v>24</v>
      </c>
      <c r="I9522" s="21" t="s">
        <v>3051</v>
      </c>
      <c r="K9522" s="21" t="s">
        <v>46</v>
      </c>
      <c r="N9522" s="21" t="s">
        <v>40</v>
      </c>
      <c r="O9522" s="21">
        <v>47</v>
      </c>
      <c r="Q9522" s="21">
        <f t="shared" si="200"/>
        <v>1</v>
      </c>
      <c r="R9522" s="21">
        <v>1</v>
      </c>
      <c r="S9522" s="21">
        <v>0</v>
      </c>
      <c r="T9522" s="21">
        <v>0</v>
      </c>
      <c r="U9522" s="21">
        <v>0</v>
      </c>
      <c r="V9522" s="21">
        <v>0</v>
      </c>
      <c r="W9522" s="21">
        <v>0</v>
      </c>
      <c r="X9522" s="21">
        <v>0</v>
      </c>
      <c r="Y9522" s="21">
        <v>0</v>
      </c>
      <c r="Z9522" s="21">
        <v>0</v>
      </c>
      <c r="AA9522" s="21">
        <v>0</v>
      </c>
      <c r="AB9522" s="21">
        <v>1</v>
      </c>
      <c r="AC9522" s="21">
        <v>0</v>
      </c>
      <c r="AD9522" s="21">
        <v>0</v>
      </c>
      <c r="AE9522" s="21">
        <v>0</v>
      </c>
      <c r="AF9522" s="21">
        <v>0</v>
      </c>
      <c r="AG9522" s="21">
        <v>0</v>
      </c>
      <c r="AH9522" s="21">
        <f t="shared" si="201"/>
        <v>0</v>
      </c>
      <c r="AJ9522" s="21" t="s">
        <v>51</v>
      </c>
      <c r="AK9522" s="21" t="s">
        <v>52</v>
      </c>
      <c r="AL9522" s="21"/>
      <c r="AM9522" s="21" t="s">
        <v>6702</v>
      </c>
      <c r="AN9522" s="21">
        <v>-122.39844840000001</v>
      </c>
      <c r="AO9522" s="21">
        <v>37.792484966666599</v>
      </c>
      <c r="AP9522" s="21" t="s">
        <v>1915</v>
      </c>
    </row>
    <row r="9523" spans="1:42">
      <c r="A9523" s="1">
        <v>43893</v>
      </c>
      <c r="B9523">
        <v>2</v>
      </c>
      <c r="C9523" s="21">
        <v>570</v>
      </c>
      <c r="D9523" s="21">
        <v>11414</v>
      </c>
      <c r="E9523" s="21" t="s">
        <v>377</v>
      </c>
      <c r="F9523" s="21" t="s">
        <v>436</v>
      </c>
      <c r="G9523" s="21">
        <v>1</v>
      </c>
      <c r="H9523" s="21">
        <v>25</v>
      </c>
      <c r="I9523" s="21" t="s">
        <v>6703</v>
      </c>
      <c r="K9523" s="21" t="s">
        <v>73</v>
      </c>
      <c r="N9523" s="21" t="s">
        <v>40</v>
      </c>
      <c r="O9523" s="21">
        <f>120+18</f>
        <v>138</v>
      </c>
      <c r="Q9523" s="21">
        <f t="shared" si="200"/>
        <v>2</v>
      </c>
      <c r="R9523" s="21">
        <v>1</v>
      </c>
      <c r="S9523" s="21">
        <v>0</v>
      </c>
      <c r="T9523" s="21">
        <v>0</v>
      </c>
      <c r="U9523" s="21">
        <v>0</v>
      </c>
      <c r="V9523" s="21">
        <v>0</v>
      </c>
      <c r="W9523" s="21">
        <v>0</v>
      </c>
      <c r="X9523" s="21">
        <v>0</v>
      </c>
      <c r="Y9523" s="21">
        <v>0</v>
      </c>
      <c r="Z9523" s="21">
        <v>0</v>
      </c>
      <c r="AA9523" s="21">
        <v>0</v>
      </c>
      <c r="AB9523" s="21">
        <v>0</v>
      </c>
      <c r="AC9523" s="21">
        <v>2</v>
      </c>
      <c r="AD9523" s="21">
        <v>0</v>
      </c>
      <c r="AE9523" s="21">
        <v>0</v>
      </c>
      <c r="AF9523" s="21">
        <v>0</v>
      </c>
      <c r="AG9523" s="21">
        <v>0</v>
      </c>
      <c r="AH9523" s="21">
        <f t="shared" si="201"/>
        <v>0</v>
      </c>
      <c r="AJ9523" s="21" t="s">
        <v>51</v>
      </c>
      <c r="AK9523" s="21" t="s">
        <v>95</v>
      </c>
      <c r="AL9523" s="21" t="s">
        <v>6704</v>
      </c>
      <c r="AM9523" s="21" t="s">
        <v>6705</v>
      </c>
      <c r="AN9523" s="21">
        <v>-122.399487583333</v>
      </c>
      <c r="AO9523" s="21">
        <v>37.790913266666699</v>
      </c>
      <c r="AP9523" s="21" t="s">
        <v>1915</v>
      </c>
    </row>
    <row r="9524" spans="1:42">
      <c r="A9524" s="1">
        <v>43893</v>
      </c>
      <c r="B9524">
        <v>2</v>
      </c>
      <c r="C9524" s="21">
        <v>570</v>
      </c>
      <c r="D9524" s="21">
        <v>11414</v>
      </c>
      <c r="E9524" s="21" t="s">
        <v>377</v>
      </c>
      <c r="F9524" s="21" t="s">
        <v>436</v>
      </c>
      <c r="G9524" s="21">
        <v>1</v>
      </c>
      <c r="H9524" s="21">
        <v>26</v>
      </c>
      <c r="I9524" s="21" t="s">
        <v>6243</v>
      </c>
      <c r="K9524" s="21" t="s">
        <v>4160</v>
      </c>
      <c r="N9524" s="21" t="s">
        <v>40</v>
      </c>
      <c r="O9524" s="21">
        <v>64</v>
      </c>
      <c r="Q9524" s="21">
        <f t="shared" si="200"/>
        <v>1</v>
      </c>
      <c r="R9524" s="21">
        <v>1</v>
      </c>
      <c r="S9524" s="21">
        <v>0</v>
      </c>
      <c r="T9524" s="21">
        <v>0</v>
      </c>
      <c r="U9524" s="21">
        <v>0</v>
      </c>
      <c r="V9524" s="21">
        <v>0</v>
      </c>
      <c r="W9524" s="21">
        <v>0</v>
      </c>
      <c r="X9524" s="21">
        <v>0</v>
      </c>
      <c r="Y9524" s="21">
        <v>0</v>
      </c>
      <c r="Z9524" s="21">
        <v>0</v>
      </c>
      <c r="AA9524" s="21">
        <v>0</v>
      </c>
      <c r="AB9524" s="21">
        <v>0</v>
      </c>
      <c r="AC9524" s="21">
        <v>1</v>
      </c>
      <c r="AD9524" s="21">
        <v>0</v>
      </c>
      <c r="AE9524" s="21">
        <v>0</v>
      </c>
      <c r="AF9524" s="21">
        <v>0</v>
      </c>
      <c r="AG9524" s="21">
        <v>0</v>
      </c>
      <c r="AH9524" s="21">
        <f t="shared" si="201"/>
        <v>0</v>
      </c>
      <c r="AJ9524" s="21" t="s">
        <v>51</v>
      </c>
      <c r="AK9524" s="21" t="s">
        <v>95</v>
      </c>
      <c r="AL9524" s="21"/>
      <c r="AM9524" s="21" t="s">
        <v>6706</v>
      </c>
      <c r="AN9524" s="21">
        <v>-122.399731033333</v>
      </c>
      <c r="AO9524" s="21">
        <v>37.789250733333297</v>
      </c>
      <c r="AP9524" s="21" t="s">
        <v>1915</v>
      </c>
    </row>
    <row r="9525" spans="1:42">
      <c r="A9525" s="1">
        <v>43893</v>
      </c>
      <c r="B9525" s="21">
        <v>2</v>
      </c>
      <c r="C9525" s="21">
        <v>570</v>
      </c>
      <c r="D9525" s="21">
        <v>11414</v>
      </c>
      <c r="E9525" s="21" t="s">
        <v>377</v>
      </c>
      <c r="F9525" s="21" t="s">
        <v>436</v>
      </c>
      <c r="G9525" s="21">
        <v>1</v>
      </c>
      <c r="H9525" s="21">
        <v>27</v>
      </c>
      <c r="I9525" s="21" t="s">
        <v>6645</v>
      </c>
      <c r="K9525" s="21" t="s">
        <v>73</v>
      </c>
      <c r="N9525" s="21" t="s">
        <v>44</v>
      </c>
      <c r="O9525" s="21">
        <f>120+28</f>
        <v>148</v>
      </c>
      <c r="Q9525" s="21">
        <f t="shared" si="200"/>
        <v>1</v>
      </c>
      <c r="R9525" s="21">
        <v>1</v>
      </c>
      <c r="S9525" s="21">
        <v>0</v>
      </c>
      <c r="T9525" s="21">
        <v>0</v>
      </c>
      <c r="U9525" s="21">
        <v>0</v>
      </c>
      <c r="V9525" s="21">
        <v>0</v>
      </c>
      <c r="W9525" s="21">
        <v>0</v>
      </c>
      <c r="X9525" s="21">
        <v>0</v>
      </c>
      <c r="Y9525" s="21">
        <v>0</v>
      </c>
      <c r="Z9525" s="21">
        <v>0</v>
      </c>
      <c r="AA9525" s="21">
        <v>0</v>
      </c>
      <c r="AB9525" s="21">
        <v>1</v>
      </c>
      <c r="AC9525" s="21">
        <v>0</v>
      </c>
      <c r="AD9525" s="21">
        <v>0</v>
      </c>
      <c r="AE9525" s="21">
        <v>0</v>
      </c>
      <c r="AF9525" s="21">
        <v>0</v>
      </c>
      <c r="AG9525" s="21">
        <v>0</v>
      </c>
      <c r="AH9525" s="21">
        <f t="shared" si="201"/>
        <v>0</v>
      </c>
      <c r="AJ9525" s="21" t="s">
        <v>51</v>
      </c>
      <c r="AK9525" s="21" t="s">
        <v>95</v>
      </c>
      <c r="AL9525" s="21" t="s">
        <v>6707</v>
      </c>
      <c r="AM9525" s="21" t="s">
        <v>6708</v>
      </c>
      <c r="AN9525" s="21">
        <v>-122.39842124999301</v>
      </c>
      <c r="AO9525" s="21">
        <v>37.789430521518597</v>
      </c>
      <c r="AP9525" s="21" t="s">
        <v>1915</v>
      </c>
    </row>
    <row r="9526" spans="1:42">
      <c r="A9526" s="1">
        <v>43893</v>
      </c>
      <c r="B9526">
        <v>2</v>
      </c>
      <c r="C9526" s="21">
        <v>570</v>
      </c>
      <c r="D9526" s="21">
        <v>11414</v>
      </c>
      <c r="E9526" s="21" t="s">
        <v>377</v>
      </c>
      <c r="F9526" s="21" t="s">
        <v>436</v>
      </c>
      <c r="G9526" s="21">
        <v>1</v>
      </c>
      <c r="H9526" s="21">
        <v>28</v>
      </c>
      <c r="I9526" s="21" t="s">
        <v>4541</v>
      </c>
      <c r="K9526" s="21" t="s">
        <v>399</v>
      </c>
      <c r="N9526" s="21" t="s">
        <v>44</v>
      </c>
      <c r="O9526" s="21">
        <f>120+13</f>
        <v>133</v>
      </c>
      <c r="Q9526" s="21">
        <f t="shared" si="200"/>
        <v>1</v>
      </c>
      <c r="R9526" s="21">
        <v>1</v>
      </c>
      <c r="S9526" s="21">
        <v>0</v>
      </c>
      <c r="T9526" s="21">
        <v>0</v>
      </c>
      <c r="U9526" s="21">
        <v>0</v>
      </c>
      <c r="V9526" s="21">
        <v>0</v>
      </c>
      <c r="W9526" s="21">
        <v>0</v>
      </c>
      <c r="X9526" s="21">
        <v>0</v>
      </c>
      <c r="Y9526" s="21">
        <v>0</v>
      </c>
      <c r="Z9526" s="21">
        <v>1</v>
      </c>
      <c r="AA9526" s="21">
        <v>0</v>
      </c>
      <c r="AB9526" s="21">
        <v>0</v>
      </c>
      <c r="AC9526" s="21">
        <v>0</v>
      </c>
      <c r="AD9526" s="21">
        <v>0</v>
      </c>
      <c r="AE9526" s="21">
        <v>0</v>
      </c>
      <c r="AF9526" s="21">
        <v>0</v>
      </c>
      <c r="AG9526" s="21">
        <v>0</v>
      </c>
      <c r="AH9526" s="21">
        <f t="shared" si="201"/>
        <v>0</v>
      </c>
      <c r="AJ9526" s="21" t="s">
        <v>51</v>
      </c>
      <c r="AK9526" s="21" t="s">
        <v>95</v>
      </c>
      <c r="AL9526" s="21" t="s">
        <v>6709</v>
      </c>
      <c r="AM9526" s="21" t="s">
        <v>6710</v>
      </c>
      <c r="AN9526" s="21">
        <v>-122.39835821666701</v>
      </c>
      <c r="AO9526" s="21">
        <v>37.789253166666697</v>
      </c>
      <c r="AP9526" s="21" t="s">
        <v>1915</v>
      </c>
    </row>
    <row r="9527" spans="1:42">
      <c r="A9527" s="1">
        <v>43893</v>
      </c>
      <c r="B9527">
        <v>2</v>
      </c>
      <c r="C9527" s="21">
        <v>570</v>
      </c>
      <c r="D9527" s="21">
        <v>11414</v>
      </c>
      <c r="E9527" s="21" t="s">
        <v>377</v>
      </c>
      <c r="F9527" s="21" t="s">
        <v>436</v>
      </c>
      <c r="G9527" s="21">
        <v>1</v>
      </c>
      <c r="H9527" s="21">
        <v>29</v>
      </c>
      <c r="I9527" s="21" t="s">
        <v>6647</v>
      </c>
      <c r="K9527" s="21" t="s">
        <v>399</v>
      </c>
      <c r="N9527" s="21" t="s">
        <v>1703</v>
      </c>
      <c r="O9527" s="21">
        <f>120+25</f>
        <v>145</v>
      </c>
      <c r="Q9527" s="21">
        <f t="shared" si="200"/>
        <v>2</v>
      </c>
      <c r="R9527" s="21">
        <v>1</v>
      </c>
      <c r="S9527" s="21">
        <v>0</v>
      </c>
      <c r="T9527" s="21">
        <v>0</v>
      </c>
      <c r="U9527" s="21">
        <v>0</v>
      </c>
      <c r="V9527" s="21">
        <v>0</v>
      </c>
      <c r="W9527" s="21">
        <v>0</v>
      </c>
      <c r="X9527" s="21">
        <v>0</v>
      </c>
      <c r="Y9527" s="21">
        <v>0</v>
      </c>
      <c r="Z9527" s="21">
        <v>0</v>
      </c>
      <c r="AA9527" s="21">
        <v>2</v>
      </c>
      <c r="AB9527" s="21">
        <v>0</v>
      </c>
      <c r="AC9527" s="21">
        <v>0</v>
      </c>
      <c r="AD9527" s="21">
        <v>0</v>
      </c>
      <c r="AE9527" s="21">
        <v>0</v>
      </c>
      <c r="AF9527" s="21">
        <v>0</v>
      </c>
      <c r="AG9527" s="21">
        <v>0</v>
      </c>
      <c r="AH9527" s="21">
        <f t="shared" si="201"/>
        <v>0</v>
      </c>
      <c r="AJ9527" s="21" t="s">
        <v>51</v>
      </c>
      <c r="AK9527" s="21" t="s">
        <v>95</v>
      </c>
      <c r="AL9527" s="21" t="s">
        <v>2087</v>
      </c>
      <c r="AM9527" s="21" t="s">
        <v>6711</v>
      </c>
      <c r="AN9527" s="21">
        <v>-122.39912649999999</v>
      </c>
      <c r="AO9527" s="21">
        <v>37.786633666666702</v>
      </c>
      <c r="AP9527" s="21" t="s">
        <v>1915</v>
      </c>
    </row>
    <row r="9528" spans="1:42">
      <c r="A9528" s="1">
        <v>43893</v>
      </c>
      <c r="B9528" s="21">
        <v>2</v>
      </c>
      <c r="C9528" s="21">
        <v>570</v>
      </c>
      <c r="D9528" s="21">
        <v>11414</v>
      </c>
      <c r="E9528" s="21" t="s">
        <v>377</v>
      </c>
      <c r="F9528" s="21" t="s">
        <v>436</v>
      </c>
      <c r="G9528" s="21">
        <v>1</v>
      </c>
      <c r="H9528" s="21">
        <v>30</v>
      </c>
      <c r="I9528" s="21" t="s">
        <v>3471</v>
      </c>
      <c r="K9528" s="21" t="s">
        <v>535</v>
      </c>
      <c r="N9528" s="21" t="s">
        <v>40</v>
      </c>
      <c r="O9528" s="21">
        <f>120+37</f>
        <v>157</v>
      </c>
      <c r="Q9528" s="21">
        <f t="shared" si="200"/>
        <v>3</v>
      </c>
      <c r="R9528" s="21">
        <v>1</v>
      </c>
      <c r="S9528" s="21">
        <v>0</v>
      </c>
      <c r="T9528" s="21">
        <v>0</v>
      </c>
      <c r="U9528" s="21">
        <v>0</v>
      </c>
      <c r="V9528" s="21">
        <v>0</v>
      </c>
      <c r="W9528" s="21">
        <v>0</v>
      </c>
      <c r="X9528" s="21">
        <v>0</v>
      </c>
      <c r="Y9528" s="21">
        <v>0</v>
      </c>
      <c r="Z9528" s="21">
        <v>0</v>
      </c>
      <c r="AA9528" s="21">
        <v>0</v>
      </c>
      <c r="AB9528" s="21">
        <v>3</v>
      </c>
      <c r="AC9528" s="21">
        <v>0</v>
      </c>
      <c r="AD9528" s="21">
        <v>0</v>
      </c>
      <c r="AE9528" s="21">
        <v>0</v>
      </c>
      <c r="AF9528" s="21">
        <v>0</v>
      </c>
      <c r="AG9528" s="21">
        <v>0</v>
      </c>
      <c r="AH9528" s="21">
        <f t="shared" si="201"/>
        <v>0</v>
      </c>
      <c r="AJ9528" s="21" t="s">
        <v>51</v>
      </c>
      <c r="AK9528" s="21" t="s">
        <v>52</v>
      </c>
      <c r="AL9528" s="21"/>
      <c r="AM9528" s="21" t="s">
        <v>6712</v>
      </c>
      <c r="AN9528" s="21">
        <v>-122.392098283333</v>
      </c>
      <c r="AO9528" s="21">
        <v>37.776704816666701</v>
      </c>
      <c r="AP9528" s="21" t="s">
        <v>1915</v>
      </c>
    </row>
    <row r="9529" spans="1:42">
      <c r="A9529" s="1">
        <v>43893</v>
      </c>
      <c r="B9529">
        <v>2</v>
      </c>
      <c r="C9529" s="21">
        <v>570</v>
      </c>
      <c r="D9529" s="21">
        <v>11414</v>
      </c>
      <c r="E9529" s="21" t="s">
        <v>377</v>
      </c>
      <c r="F9529" s="21" t="s">
        <v>436</v>
      </c>
      <c r="G9529" s="21">
        <v>1</v>
      </c>
      <c r="H9529" s="21">
        <v>31</v>
      </c>
      <c r="I9529" s="21" t="s">
        <v>3487</v>
      </c>
      <c r="K9529" s="21" t="s">
        <v>380</v>
      </c>
      <c r="N9529" s="21" t="s">
        <v>40</v>
      </c>
      <c r="O9529" s="21">
        <v>43</v>
      </c>
      <c r="Q9529" s="21">
        <f t="shared" si="200"/>
        <v>1</v>
      </c>
      <c r="R9529" s="21">
        <v>1</v>
      </c>
      <c r="S9529" s="21">
        <v>0</v>
      </c>
      <c r="T9529" s="21">
        <v>0</v>
      </c>
      <c r="U9529" s="21">
        <v>0</v>
      </c>
      <c r="V9529" s="21">
        <v>0</v>
      </c>
      <c r="W9529" s="21">
        <v>0</v>
      </c>
      <c r="X9529" s="21">
        <v>0</v>
      </c>
      <c r="Y9529" s="21">
        <v>0</v>
      </c>
      <c r="Z9529" s="21">
        <v>0</v>
      </c>
      <c r="AA9529" s="21">
        <v>1</v>
      </c>
      <c r="AB9529" s="21">
        <v>0</v>
      </c>
      <c r="AC9529" s="21">
        <v>0</v>
      </c>
      <c r="AD9529" s="21">
        <v>0</v>
      </c>
      <c r="AE9529" s="21">
        <v>0</v>
      </c>
      <c r="AF9529" s="21">
        <v>0</v>
      </c>
      <c r="AG9529" s="21">
        <v>0</v>
      </c>
      <c r="AH9529" s="21">
        <f t="shared" si="201"/>
        <v>0</v>
      </c>
      <c r="AJ9529" s="21" t="s">
        <v>51</v>
      </c>
      <c r="AK9529" s="21" t="s">
        <v>95</v>
      </c>
      <c r="AL9529" s="21" t="s">
        <v>6650</v>
      </c>
      <c r="AM9529" s="21" t="s">
        <v>6713</v>
      </c>
      <c r="AN9529" s="21">
        <v>-122.399459333333</v>
      </c>
      <c r="AO9529" s="21">
        <v>37.788848600000001</v>
      </c>
      <c r="AP9529" s="21" t="s">
        <v>1915</v>
      </c>
    </row>
    <row r="9530" spans="1:42">
      <c r="A9530" s="1">
        <v>43893</v>
      </c>
      <c r="B9530">
        <v>2</v>
      </c>
      <c r="C9530" s="21">
        <v>570</v>
      </c>
      <c r="D9530" s="21">
        <v>11414</v>
      </c>
      <c r="E9530" s="21" t="s">
        <v>377</v>
      </c>
      <c r="F9530" s="21" t="s">
        <v>436</v>
      </c>
      <c r="G9530" s="21">
        <v>1</v>
      </c>
      <c r="H9530" s="21">
        <v>32</v>
      </c>
      <c r="I9530" s="21" t="s">
        <v>6714</v>
      </c>
      <c r="K9530" s="21" t="s">
        <v>73</v>
      </c>
      <c r="N9530" s="21" t="s">
        <v>40</v>
      </c>
      <c r="O9530" s="21">
        <v>40</v>
      </c>
      <c r="Q9530" s="21">
        <f t="shared" si="200"/>
        <v>1</v>
      </c>
      <c r="R9530" s="21">
        <v>1</v>
      </c>
      <c r="S9530" s="21">
        <v>0</v>
      </c>
      <c r="T9530" s="21">
        <v>0</v>
      </c>
      <c r="U9530" s="21">
        <v>0</v>
      </c>
      <c r="V9530" s="21">
        <v>0</v>
      </c>
      <c r="W9530" s="21">
        <v>0</v>
      </c>
      <c r="X9530" s="21">
        <v>0</v>
      </c>
      <c r="Y9530" s="21">
        <v>0</v>
      </c>
      <c r="Z9530" s="21">
        <v>0</v>
      </c>
      <c r="AA9530" s="21">
        <v>0</v>
      </c>
      <c r="AB9530" s="21">
        <v>0</v>
      </c>
      <c r="AC9530" s="21">
        <v>0</v>
      </c>
      <c r="AD9530" s="21">
        <v>1</v>
      </c>
      <c r="AE9530" s="21">
        <v>0</v>
      </c>
      <c r="AF9530" s="21">
        <v>0</v>
      </c>
      <c r="AG9530" s="21">
        <v>0</v>
      </c>
      <c r="AH9530" s="21">
        <f t="shared" si="201"/>
        <v>0</v>
      </c>
      <c r="AJ9530" s="21"/>
      <c r="AK9530" s="21"/>
      <c r="AL9530" s="21"/>
      <c r="AM9530" s="21" t="s">
        <v>6715</v>
      </c>
      <c r="AN9530" s="21">
        <v>-122.39997036666701</v>
      </c>
      <c r="AO9530" s="21">
        <v>37.7881403833333</v>
      </c>
      <c r="AP9530" s="21" t="s">
        <v>1915</v>
      </c>
    </row>
    <row r="9531" spans="1:42">
      <c r="A9531" s="1">
        <v>43893</v>
      </c>
      <c r="B9531" s="21">
        <v>2</v>
      </c>
      <c r="C9531" s="21">
        <v>570</v>
      </c>
      <c r="D9531" s="21">
        <v>11414</v>
      </c>
      <c r="E9531" s="21" t="s">
        <v>377</v>
      </c>
      <c r="F9531" s="21" t="s">
        <v>436</v>
      </c>
      <c r="G9531" s="21">
        <v>1</v>
      </c>
      <c r="H9531" s="21">
        <v>33</v>
      </c>
      <c r="I9531" s="21" t="s">
        <v>6716</v>
      </c>
      <c r="K9531" s="21" t="s">
        <v>73</v>
      </c>
      <c r="N9531" s="21" t="s">
        <v>40</v>
      </c>
      <c r="O9531" s="21">
        <v>40</v>
      </c>
      <c r="Q9531" s="21">
        <f t="shared" si="200"/>
        <v>1</v>
      </c>
      <c r="R9531" s="21">
        <v>1</v>
      </c>
      <c r="S9531" s="21">
        <v>0</v>
      </c>
      <c r="T9531" s="21">
        <v>0</v>
      </c>
      <c r="U9531" s="21">
        <v>0</v>
      </c>
      <c r="V9531" s="21">
        <v>0</v>
      </c>
      <c r="W9531" s="21">
        <v>0</v>
      </c>
      <c r="X9531" s="21">
        <v>0</v>
      </c>
      <c r="Y9531" s="21">
        <v>0</v>
      </c>
      <c r="Z9531" s="21">
        <v>0</v>
      </c>
      <c r="AA9531" s="21">
        <v>0</v>
      </c>
      <c r="AB9531" s="21">
        <v>0</v>
      </c>
      <c r="AC9531" s="21">
        <v>0</v>
      </c>
      <c r="AD9531" s="21">
        <v>1</v>
      </c>
      <c r="AE9531" s="21">
        <v>0</v>
      </c>
      <c r="AF9531" s="21">
        <v>0</v>
      </c>
      <c r="AG9531" s="21">
        <v>0</v>
      </c>
      <c r="AH9531" s="21">
        <f t="shared" si="201"/>
        <v>0</v>
      </c>
      <c r="AJ9531" s="21" t="s">
        <v>51</v>
      </c>
      <c r="AK9531" s="21" t="s">
        <v>95</v>
      </c>
      <c r="AL9531" s="21" t="s">
        <v>3660</v>
      </c>
      <c r="AM9531" s="21" t="s">
        <v>6717</v>
      </c>
      <c r="AN9531" s="21">
        <v>-122.400907660722</v>
      </c>
      <c r="AO9531" s="21">
        <v>37.791916120748503</v>
      </c>
      <c r="AP9531" s="21" t="s">
        <v>1915</v>
      </c>
    </row>
    <row r="9532" spans="1:42">
      <c r="A9532" s="1">
        <v>43893</v>
      </c>
      <c r="B9532">
        <v>2</v>
      </c>
      <c r="C9532" s="21">
        <v>570</v>
      </c>
      <c r="D9532" s="21">
        <v>11414</v>
      </c>
      <c r="E9532" s="21" t="s">
        <v>377</v>
      </c>
      <c r="F9532" s="21" t="s">
        <v>436</v>
      </c>
      <c r="G9532" s="21">
        <v>1</v>
      </c>
      <c r="H9532" s="21">
        <v>34</v>
      </c>
      <c r="I9532" s="21" t="s">
        <v>4213</v>
      </c>
      <c r="K9532" s="21" t="s">
        <v>394</v>
      </c>
      <c r="N9532" s="21" t="s">
        <v>40</v>
      </c>
      <c r="O9532" s="21">
        <v>55</v>
      </c>
      <c r="Q9532" s="21">
        <f t="shared" si="200"/>
        <v>1</v>
      </c>
      <c r="R9532" s="21">
        <v>1</v>
      </c>
      <c r="S9532" s="21">
        <v>0</v>
      </c>
      <c r="T9532" s="21">
        <v>0</v>
      </c>
      <c r="U9532" s="21">
        <v>0</v>
      </c>
      <c r="V9532" s="21">
        <v>0</v>
      </c>
      <c r="W9532" s="21">
        <v>0</v>
      </c>
      <c r="X9532" s="21">
        <v>0</v>
      </c>
      <c r="Y9532" s="21">
        <v>0</v>
      </c>
      <c r="Z9532" s="21">
        <v>0</v>
      </c>
      <c r="AA9532" s="21">
        <v>0</v>
      </c>
      <c r="AB9532" s="21">
        <v>1</v>
      </c>
      <c r="AC9532" s="21">
        <v>0</v>
      </c>
      <c r="AD9532" s="21">
        <v>0</v>
      </c>
      <c r="AE9532" s="21">
        <v>0</v>
      </c>
      <c r="AF9532" s="21">
        <v>0</v>
      </c>
      <c r="AG9532" s="21">
        <v>0</v>
      </c>
      <c r="AH9532" s="21">
        <f t="shared" si="201"/>
        <v>0</v>
      </c>
      <c r="AJ9532" s="21" t="s">
        <v>51</v>
      </c>
      <c r="AK9532" s="21" t="s">
        <v>95</v>
      </c>
      <c r="AL9532" s="21"/>
      <c r="AM9532" s="21" t="s">
        <v>6718</v>
      </c>
      <c r="AN9532" s="21">
        <v>-122.397554233333</v>
      </c>
      <c r="AO9532" s="21">
        <v>37.7885326166667</v>
      </c>
      <c r="AP9532" s="21" t="s">
        <v>1915</v>
      </c>
    </row>
    <row r="9533" spans="1:42">
      <c r="A9533" s="1">
        <v>43893</v>
      </c>
      <c r="B9533">
        <v>2</v>
      </c>
      <c r="C9533" s="21">
        <v>570</v>
      </c>
      <c r="D9533" s="21">
        <v>11414</v>
      </c>
      <c r="E9533" s="21" t="s">
        <v>377</v>
      </c>
      <c r="F9533" s="21" t="s">
        <v>436</v>
      </c>
      <c r="G9533" s="21">
        <v>1</v>
      </c>
      <c r="H9533" s="21">
        <v>35</v>
      </c>
      <c r="I9533" s="21" t="s">
        <v>6719</v>
      </c>
      <c r="K9533" s="21" t="s">
        <v>394</v>
      </c>
      <c r="N9533" s="21" t="s">
        <v>40</v>
      </c>
      <c r="O9533" s="21">
        <v>60</v>
      </c>
      <c r="Q9533" s="21">
        <f t="shared" si="200"/>
        <v>1</v>
      </c>
      <c r="R9533" s="21">
        <v>1</v>
      </c>
      <c r="S9533" s="21">
        <v>0</v>
      </c>
      <c r="T9533" s="21">
        <v>0</v>
      </c>
      <c r="U9533" s="21">
        <v>0</v>
      </c>
      <c r="V9533" s="21">
        <v>0</v>
      </c>
      <c r="W9533" s="21">
        <v>0</v>
      </c>
      <c r="X9533" s="21">
        <v>0</v>
      </c>
      <c r="Y9533" s="21">
        <v>0</v>
      </c>
      <c r="Z9533" s="21">
        <v>0</v>
      </c>
      <c r="AA9533" s="21">
        <v>0</v>
      </c>
      <c r="AB9533" s="21">
        <v>0</v>
      </c>
      <c r="AC9533" s="21">
        <v>1</v>
      </c>
      <c r="AD9533" s="21">
        <v>0</v>
      </c>
      <c r="AE9533" s="21">
        <v>0</v>
      </c>
      <c r="AF9533" s="21">
        <v>0</v>
      </c>
      <c r="AG9533" s="21">
        <v>0</v>
      </c>
      <c r="AH9533" s="21">
        <f t="shared" si="201"/>
        <v>0</v>
      </c>
      <c r="AJ9533" s="21" t="s">
        <v>51</v>
      </c>
      <c r="AK9533" s="21" t="s">
        <v>95</v>
      </c>
      <c r="AL9533" s="21"/>
      <c r="AM9533" s="21" t="s">
        <v>6720</v>
      </c>
      <c r="AN9533" s="21">
        <v>-122.39782036666701</v>
      </c>
      <c r="AO9533" s="21">
        <v>37.788461300000002</v>
      </c>
      <c r="AP9533" s="21" t="s">
        <v>1915</v>
      </c>
    </row>
    <row r="9534" spans="1:42">
      <c r="A9534" s="1">
        <v>43893</v>
      </c>
      <c r="B9534" s="21">
        <v>2</v>
      </c>
      <c r="C9534" s="21">
        <v>570</v>
      </c>
      <c r="D9534" s="21">
        <v>11414</v>
      </c>
      <c r="E9534" s="21" t="s">
        <v>377</v>
      </c>
      <c r="F9534" s="21" t="s">
        <v>436</v>
      </c>
      <c r="G9534" s="21">
        <v>1</v>
      </c>
      <c r="H9534" s="21">
        <v>36</v>
      </c>
      <c r="I9534" s="21" t="s">
        <v>3442</v>
      </c>
      <c r="K9534" s="21" t="s">
        <v>380</v>
      </c>
      <c r="N9534" s="21" t="s">
        <v>40</v>
      </c>
      <c r="O9534" s="21">
        <v>54</v>
      </c>
      <c r="Q9534" s="21">
        <f t="shared" si="200"/>
        <v>1</v>
      </c>
      <c r="R9534" s="21">
        <v>1</v>
      </c>
      <c r="S9534" s="21">
        <v>0</v>
      </c>
      <c r="T9534" s="21">
        <v>0</v>
      </c>
      <c r="U9534" s="21">
        <v>0</v>
      </c>
      <c r="V9534" s="21">
        <v>0</v>
      </c>
      <c r="W9534" s="21">
        <v>0</v>
      </c>
      <c r="X9534" s="21">
        <v>0</v>
      </c>
      <c r="Y9534" s="21">
        <v>0</v>
      </c>
      <c r="Z9534" s="21">
        <v>0</v>
      </c>
      <c r="AA9534" s="21">
        <v>1</v>
      </c>
      <c r="AB9534" s="21">
        <v>0</v>
      </c>
      <c r="AC9534" s="21">
        <v>0</v>
      </c>
      <c r="AD9534" s="21">
        <v>0</v>
      </c>
      <c r="AE9534" s="21">
        <v>0</v>
      </c>
      <c r="AF9534" s="21">
        <v>0</v>
      </c>
      <c r="AG9534" s="21">
        <v>0</v>
      </c>
      <c r="AH9534" s="21">
        <f t="shared" si="201"/>
        <v>0</v>
      </c>
      <c r="AJ9534" s="21" t="s">
        <v>51</v>
      </c>
      <c r="AK9534" s="21" t="s">
        <v>95</v>
      </c>
      <c r="AL9534" s="21"/>
      <c r="AM9534" s="21" t="s">
        <v>6721</v>
      </c>
      <c r="AN9534" s="21">
        <v>-122.39860305000001</v>
      </c>
      <c r="AO9534" s="21">
        <v>37.787654816666702</v>
      </c>
      <c r="AP9534" s="21" t="s">
        <v>1915</v>
      </c>
    </row>
    <row r="9535" spans="1:42">
      <c r="A9535" s="1">
        <v>43893</v>
      </c>
      <c r="B9535">
        <v>2</v>
      </c>
      <c r="C9535" s="21">
        <v>570</v>
      </c>
      <c r="D9535" s="21">
        <v>11414</v>
      </c>
      <c r="E9535" s="21" t="s">
        <v>377</v>
      </c>
      <c r="F9535" s="21" t="s">
        <v>436</v>
      </c>
      <c r="G9535" s="21">
        <v>1</v>
      </c>
      <c r="H9535" s="21">
        <v>37</v>
      </c>
      <c r="I9535" s="21" t="s">
        <v>6722</v>
      </c>
      <c r="K9535" s="21" t="s">
        <v>6723</v>
      </c>
      <c r="N9535" s="21" t="s">
        <v>40</v>
      </c>
      <c r="O9535" s="21">
        <f>120+26</f>
        <v>146</v>
      </c>
      <c r="Q9535" s="21">
        <f t="shared" si="200"/>
        <v>2</v>
      </c>
      <c r="R9535" s="21">
        <v>1</v>
      </c>
      <c r="S9535" s="21">
        <v>0</v>
      </c>
      <c r="T9535" s="21">
        <v>0</v>
      </c>
      <c r="U9535" s="21">
        <v>0</v>
      </c>
      <c r="V9535" s="21">
        <v>0</v>
      </c>
      <c r="W9535" s="21">
        <v>0</v>
      </c>
      <c r="X9535" s="21">
        <v>0</v>
      </c>
      <c r="Y9535" s="21">
        <v>0</v>
      </c>
      <c r="Z9535" s="21">
        <v>0</v>
      </c>
      <c r="AA9535" s="21">
        <v>0</v>
      </c>
      <c r="AB9535" s="21">
        <v>0</v>
      </c>
      <c r="AC9535" s="21">
        <v>2</v>
      </c>
      <c r="AD9535" s="21">
        <v>0</v>
      </c>
      <c r="AE9535" s="21">
        <v>0</v>
      </c>
      <c r="AF9535" s="21">
        <v>0</v>
      </c>
      <c r="AG9535" s="21">
        <v>0</v>
      </c>
      <c r="AH9535" s="21">
        <f t="shared" si="201"/>
        <v>0</v>
      </c>
      <c r="AJ9535" s="21" t="s">
        <v>51</v>
      </c>
      <c r="AK9535" s="21" t="s">
        <v>52</v>
      </c>
      <c r="AL9535" s="21"/>
      <c r="AM9535" s="21" t="s">
        <v>6724</v>
      </c>
      <c r="AN9535" s="21">
        <v>-122.397087483333</v>
      </c>
      <c r="AO9535" s="21">
        <v>37.789351549999999</v>
      </c>
      <c r="AP9535" s="21" t="s">
        <v>1915</v>
      </c>
    </row>
    <row r="9536" spans="1:42">
      <c r="A9536" s="1">
        <v>43893</v>
      </c>
      <c r="B9536">
        <v>2</v>
      </c>
      <c r="C9536" s="21">
        <v>570</v>
      </c>
      <c r="D9536" s="21">
        <v>11414</v>
      </c>
      <c r="E9536" s="21" t="s">
        <v>377</v>
      </c>
      <c r="F9536" s="21" t="s">
        <v>436</v>
      </c>
      <c r="G9536" s="21">
        <v>1</v>
      </c>
      <c r="H9536" s="21">
        <v>38</v>
      </c>
      <c r="I9536" s="21" t="s">
        <v>4296</v>
      </c>
      <c r="K9536" s="21" t="s">
        <v>6723</v>
      </c>
      <c r="N9536" s="21" t="s">
        <v>1703</v>
      </c>
      <c r="O9536" s="21">
        <f>60+17</f>
        <v>77</v>
      </c>
      <c r="Q9536" s="21">
        <f t="shared" si="200"/>
        <v>1</v>
      </c>
      <c r="R9536" s="21">
        <v>1</v>
      </c>
      <c r="S9536" s="21">
        <v>0</v>
      </c>
      <c r="T9536" s="21">
        <v>0</v>
      </c>
      <c r="U9536" s="21">
        <v>0</v>
      </c>
      <c r="V9536" s="21">
        <v>0</v>
      </c>
      <c r="W9536" s="21">
        <v>0</v>
      </c>
      <c r="X9536" s="21">
        <v>0</v>
      </c>
      <c r="Y9536" s="21">
        <v>0</v>
      </c>
      <c r="Z9536" s="21">
        <v>0</v>
      </c>
      <c r="AA9536" s="21">
        <v>0</v>
      </c>
      <c r="AB9536" s="21">
        <v>1</v>
      </c>
      <c r="AC9536" s="21">
        <v>0</v>
      </c>
      <c r="AD9536" s="21">
        <v>0</v>
      </c>
      <c r="AE9536" s="21">
        <v>0</v>
      </c>
      <c r="AF9536" s="21">
        <v>0</v>
      </c>
      <c r="AG9536" s="21">
        <v>0</v>
      </c>
      <c r="AH9536" s="21">
        <f t="shared" si="201"/>
        <v>0</v>
      </c>
      <c r="AJ9536" s="21" t="s">
        <v>51</v>
      </c>
      <c r="AK9536" s="21" t="s">
        <v>95</v>
      </c>
      <c r="AL9536" s="21"/>
      <c r="AM9536" s="21" t="s">
        <v>6725</v>
      </c>
      <c r="AN9536" s="21">
        <v>-122.39610853333301</v>
      </c>
      <c r="AO9536" s="21">
        <v>37.789331766666699</v>
      </c>
      <c r="AP9536" s="21" t="s">
        <v>1915</v>
      </c>
    </row>
    <row r="9537" spans="1:42">
      <c r="A9537" s="1">
        <v>43893</v>
      </c>
      <c r="B9537" s="21">
        <v>2</v>
      </c>
      <c r="C9537" s="21">
        <v>570</v>
      </c>
      <c r="D9537" s="21">
        <v>11414</v>
      </c>
      <c r="E9537" s="21" t="s">
        <v>377</v>
      </c>
      <c r="F9537" s="21" t="s">
        <v>436</v>
      </c>
      <c r="G9537" s="21">
        <v>1</v>
      </c>
      <c r="H9537" s="21">
        <v>39</v>
      </c>
      <c r="I9537" s="21" t="s">
        <v>4240</v>
      </c>
      <c r="K9537" s="21" t="s">
        <v>394</v>
      </c>
      <c r="N9537" s="21" t="s">
        <v>40</v>
      </c>
      <c r="O9537" s="21">
        <v>34</v>
      </c>
      <c r="Q9537" s="21">
        <f t="shared" si="200"/>
        <v>1</v>
      </c>
      <c r="R9537" s="21">
        <v>1</v>
      </c>
      <c r="S9537" s="21">
        <v>0</v>
      </c>
      <c r="T9537" s="21">
        <v>0</v>
      </c>
      <c r="U9537" s="21">
        <v>0</v>
      </c>
      <c r="V9537" s="21">
        <v>0</v>
      </c>
      <c r="W9537" s="21">
        <v>0</v>
      </c>
      <c r="X9537" s="21">
        <v>0</v>
      </c>
      <c r="Y9537" s="21">
        <v>0</v>
      </c>
      <c r="Z9537" s="21">
        <v>0</v>
      </c>
      <c r="AA9537" s="21">
        <v>0</v>
      </c>
      <c r="AB9537" s="21">
        <v>0</v>
      </c>
      <c r="AC9537" s="21">
        <v>1</v>
      </c>
      <c r="AD9537" s="21">
        <v>0</v>
      </c>
      <c r="AE9537" s="21">
        <v>0</v>
      </c>
      <c r="AF9537" s="21">
        <v>0</v>
      </c>
      <c r="AG9537" s="21">
        <v>0</v>
      </c>
      <c r="AH9537" s="21">
        <f t="shared" si="201"/>
        <v>0</v>
      </c>
      <c r="AJ9537" s="21" t="s">
        <v>51</v>
      </c>
      <c r="AK9537" s="21"/>
      <c r="AL9537" s="21"/>
      <c r="AM9537" s="21" t="s">
        <v>6726</v>
      </c>
      <c r="AN9537" s="21">
        <v>-122.399076977232</v>
      </c>
      <c r="AO9537" s="21">
        <v>37.792759916848297</v>
      </c>
      <c r="AP9537" s="21" t="s">
        <v>1915</v>
      </c>
    </row>
    <row r="9538" spans="1:42">
      <c r="A9538" s="1">
        <v>43893</v>
      </c>
      <c r="B9538">
        <v>2</v>
      </c>
      <c r="C9538" s="21">
        <v>570</v>
      </c>
      <c r="D9538" s="21">
        <v>11414</v>
      </c>
      <c r="E9538" s="21" t="s">
        <v>377</v>
      </c>
      <c r="F9538" s="21" t="s">
        <v>436</v>
      </c>
      <c r="G9538" s="21">
        <v>1</v>
      </c>
      <c r="H9538" s="21">
        <v>40</v>
      </c>
      <c r="I9538" s="21" t="s">
        <v>6652</v>
      </c>
      <c r="K9538" s="21" t="s">
        <v>394</v>
      </c>
      <c r="N9538" s="21" t="s">
        <v>1703</v>
      </c>
      <c r="O9538" s="21">
        <f>60+25</f>
        <v>85</v>
      </c>
      <c r="Q9538" s="21">
        <f t="shared" si="200"/>
        <v>1</v>
      </c>
      <c r="R9538" s="21">
        <v>1</v>
      </c>
      <c r="S9538" s="21">
        <v>0</v>
      </c>
      <c r="T9538" s="21">
        <v>0</v>
      </c>
      <c r="U9538" s="21">
        <v>0</v>
      </c>
      <c r="V9538" s="21">
        <v>0</v>
      </c>
      <c r="W9538" s="21">
        <v>0</v>
      </c>
      <c r="X9538" s="21">
        <v>0</v>
      </c>
      <c r="Y9538" s="21">
        <v>0</v>
      </c>
      <c r="Z9538" s="21">
        <v>0</v>
      </c>
      <c r="AA9538" s="21">
        <v>0</v>
      </c>
      <c r="AB9538" s="21">
        <v>1</v>
      </c>
      <c r="AC9538" s="21">
        <v>0</v>
      </c>
      <c r="AD9538" s="21">
        <v>0</v>
      </c>
      <c r="AE9538" s="21">
        <v>0</v>
      </c>
      <c r="AF9538" s="21">
        <v>0</v>
      </c>
      <c r="AG9538" s="21">
        <v>0</v>
      </c>
      <c r="AH9538" s="21">
        <f t="shared" si="201"/>
        <v>0</v>
      </c>
      <c r="AJ9538" s="21" t="s">
        <v>51</v>
      </c>
      <c r="AK9538" s="21" t="s">
        <v>95</v>
      </c>
      <c r="AL9538" s="21" t="s">
        <v>3660</v>
      </c>
      <c r="AM9538" s="21" t="s">
        <v>6727</v>
      </c>
      <c r="AN9538" s="21">
        <v>-122.3978462</v>
      </c>
      <c r="AO9538" s="21">
        <v>37.791118733333299</v>
      </c>
      <c r="AP9538" s="21" t="s">
        <v>1915</v>
      </c>
    </row>
    <row r="9539" spans="1:42">
      <c r="A9539" s="1">
        <v>43893</v>
      </c>
      <c r="B9539">
        <v>2</v>
      </c>
      <c r="C9539" s="21">
        <v>570</v>
      </c>
      <c r="D9539" s="21">
        <v>11414</v>
      </c>
      <c r="E9539" s="21" t="s">
        <v>377</v>
      </c>
      <c r="F9539" s="21" t="s">
        <v>436</v>
      </c>
      <c r="G9539" s="21">
        <v>1</v>
      </c>
      <c r="H9539" s="21">
        <v>41</v>
      </c>
      <c r="I9539" s="21" t="s">
        <v>4626</v>
      </c>
      <c r="K9539" s="21" t="s">
        <v>61</v>
      </c>
      <c r="N9539" s="21" t="s">
        <v>40</v>
      </c>
      <c r="O9539" s="21">
        <f>60+56</f>
        <v>116</v>
      </c>
      <c r="Q9539" s="21">
        <f t="shared" si="200"/>
        <v>2</v>
      </c>
      <c r="R9539" s="21">
        <v>1</v>
      </c>
      <c r="S9539" s="21">
        <v>0</v>
      </c>
      <c r="T9539" s="21">
        <v>0</v>
      </c>
      <c r="U9539" s="21">
        <v>0</v>
      </c>
      <c r="V9539" s="21">
        <v>0</v>
      </c>
      <c r="W9539" s="21">
        <v>0</v>
      </c>
      <c r="X9539" s="21">
        <v>0</v>
      </c>
      <c r="Y9539" s="21">
        <v>0</v>
      </c>
      <c r="Z9539" s="21">
        <v>0</v>
      </c>
      <c r="AA9539" s="21">
        <v>0</v>
      </c>
      <c r="AB9539" s="21">
        <v>2</v>
      </c>
      <c r="AC9539" s="21">
        <v>0</v>
      </c>
      <c r="AD9539" s="21">
        <v>0</v>
      </c>
      <c r="AE9539" s="21">
        <v>0</v>
      </c>
      <c r="AF9539" s="21">
        <v>0</v>
      </c>
      <c r="AG9539" s="21">
        <v>0</v>
      </c>
      <c r="AH9539" s="21">
        <f t="shared" si="201"/>
        <v>0</v>
      </c>
      <c r="AJ9539" s="21" t="s">
        <v>51</v>
      </c>
      <c r="AK9539" s="21" t="s">
        <v>95</v>
      </c>
      <c r="AL9539" s="21" t="s">
        <v>5639</v>
      </c>
      <c r="AM9539" s="21" t="s">
        <v>6728</v>
      </c>
      <c r="AN9539" s="21">
        <v>-122.39719296666701</v>
      </c>
      <c r="AO9539" s="21">
        <v>37.791292216666697</v>
      </c>
      <c r="AP9539" s="21" t="s">
        <v>1915</v>
      </c>
    </row>
    <row r="9540" spans="1:42">
      <c r="A9540" s="1">
        <v>43893</v>
      </c>
      <c r="B9540" s="21">
        <v>2</v>
      </c>
      <c r="C9540" s="21">
        <v>570</v>
      </c>
      <c r="D9540" s="21">
        <v>11414</v>
      </c>
      <c r="E9540" s="21" t="s">
        <v>377</v>
      </c>
      <c r="F9540" s="21" t="s">
        <v>436</v>
      </c>
      <c r="G9540" s="21">
        <v>1</v>
      </c>
      <c r="H9540" s="21">
        <v>42</v>
      </c>
      <c r="I9540" s="21" t="s">
        <v>3437</v>
      </c>
      <c r="K9540" s="21" t="s">
        <v>56</v>
      </c>
      <c r="N9540" s="21" t="s">
        <v>40</v>
      </c>
      <c r="O9540" s="21">
        <v>82</v>
      </c>
      <c r="Q9540" s="21">
        <f t="shared" si="200"/>
        <v>1</v>
      </c>
      <c r="R9540" s="21">
        <v>1</v>
      </c>
      <c r="S9540" s="21">
        <v>0</v>
      </c>
      <c r="T9540" s="21">
        <v>0</v>
      </c>
      <c r="U9540" s="21">
        <v>0</v>
      </c>
      <c r="V9540" s="21">
        <v>0</v>
      </c>
      <c r="W9540" s="21">
        <v>0</v>
      </c>
      <c r="X9540" s="21">
        <v>0</v>
      </c>
      <c r="Y9540" s="21">
        <v>0</v>
      </c>
      <c r="Z9540" s="21">
        <v>0</v>
      </c>
      <c r="AA9540" s="21">
        <v>0</v>
      </c>
      <c r="AB9540" s="21">
        <v>1</v>
      </c>
      <c r="AC9540" s="21">
        <v>0</v>
      </c>
      <c r="AD9540" s="21">
        <v>0</v>
      </c>
      <c r="AE9540" s="21">
        <v>0</v>
      </c>
      <c r="AF9540" s="21">
        <v>0</v>
      </c>
      <c r="AG9540" s="21">
        <v>0</v>
      </c>
      <c r="AH9540" s="21">
        <f t="shared" si="201"/>
        <v>0</v>
      </c>
      <c r="AJ9540" s="21" t="s">
        <v>51</v>
      </c>
      <c r="AK9540" s="21"/>
      <c r="AL9540" s="21"/>
      <c r="AM9540" s="21" t="s">
        <v>6729</v>
      </c>
      <c r="AN9540" s="21">
        <v>-122.39726273333299</v>
      </c>
      <c r="AO9540" s="21">
        <v>37.794491083333298</v>
      </c>
      <c r="AP9540" s="21" t="s">
        <v>1915</v>
      </c>
    </row>
    <row r="9541" spans="1:42">
      <c r="A9541" s="1">
        <v>43893</v>
      </c>
      <c r="B9541">
        <v>2</v>
      </c>
      <c r="C9541" s="21">
        <v>570</v>
      </c>
      <c r="D9541" s="21">
        <v>11414</v>
      </c>
      <c r="E9541" s="21" t="s">
        <v>377</v>
      </c>
      <c r="F9541" s="21" t="s">
        <v>436</v>
      </c>
      <c r="G9541" s="21">
        <v>1</v>
      </c>
      <c r="H9541" s="21">
        <v>43</v>
      </c>
      <c r="I9541" s="21" t="s">
        <v>3448</v>
      </c>
      <c r="K9541" s="21" t="s">
        <v>6730</v>
      </c>
      <c r="N9541" s="21" t="s">
        <v>40</v>
      </c>
      <c r="O9541" s="21">
        <v>63</v>
      </c>
      <c r="Q9541" s="21">
        <f t="shared" si="200"/>
        <v>1</v>
      </c>
      <c r="R9541" s="21">
        <v>1</v>
      </c>
      <c r="S9541" s="21">
        <v>0</v>
      </c>
      <c r="T9541" s="21">
        <v>0</v>
      </c>
      <c r="U9541" s="21">
        <v>0</v>
      </c>
      <c r="V9541" s="21">
        <v>0</v>
      </c>
      <c r="W9541" s="21">
        <v>0</v>
      </c>
      <c r="X9541" s="21">
        <v>0</v>
      </c>
      <c r="Y9541" s="21">
        <v>0</v>
      </c>
      <c r="Z9541" s="21">
        <v>0</v>
      </c>
      <c r="AA9541" s="21">
        <v>0</v>
      </c>
      <c r="AB9541" s="21">
        <v>0</v>
      </c>
      <c r="AC9541" s="21">
        <v>1</v>
      </c>
      <c r="AD9541" s="21">
        <v>0</v>
      </c>
      <c r="AE9541" s="21">
        <v>0</v>
      </c>
      <c r="AF9541" s="21">
        <v>0</v>
      </c>
      <c r="AG9541" s="21">
        <v>0</v>
      </c>
      <c r="AH9541" s="21">
        <f t="shared" si="201"/>
        <v>0</v>
      </c>
      <c r="AJ9541" s="21"/>
      <c r="AK9541" s="21"/>
      <c r="AL9541" s="21" t="s">
        <v>3660</v>
      </c>
      <c r="AM9541" s="21" t="s">
        <v>6731</v>
      </c>
      <c r="AN9541" s="21">
        <v>-122.39777966666701</v>
      </c>
      <c r="AO9541" s="21">
        <v>37.793386650000002</v>
      </c>
      <c r="AP9541" s="21" t="s">
        <v>1915</v>
      </c>
    </row>
    <row r="9542" spans="1:42">
      <c r="A9542" s="1">
        <v>43893</v>
      </c>
      <c r="B9542">
        <v>2</v>
      </c>
      <c r="C9542" s="21">
        <v>570</v>
      </c>
      <c r="D9542" s="21">
        <v>11414</v>
      </c>
      <c r="E9542" s="21" t="s">
        <v>377</v>
      </c>
      <c r="F9542" s="21" t="s">
        <v>436</v>
      </c>
      <c r="G9542" s="21">
        <v>1</v>
      </c>
      <c r="H9542" s="21">
        <v>44</v>
      </c>
      <c r="I9542" s="21" t="s">
        <v>6732</v>
      </c>
      <c r="K9542" s="21" t="s">
        <v>73</v>
      </c>
      <c r="N9542" s="21" t="s">
        <v>40</v>
      </c>
      <c r="O9542" s="21">
        <v>46</v>
      </c>
      <c r="Q9542" s="21">
        <f t="shared" si="200"/>
        <v>1</v>
      </c>
      <c r="R9542" s="21">
        <v>1</v>
      </c>
      <c r="S9542" s="21">
        <v>0</v>
      </c>
      <c r="T9542" s="21">
        <v>0</v>
      </c>
      <c r="U9542" s="21">
        <v>0</v>
      </c>
      <c r="V9542" s="21">
        <v>0</v>
      </c>
      <c r="W9542" s="21">
        <v>0</v>
      </c>
      <c r="X9542" s="21">
        <v>0</v>
      </c>
      <c r="Y9542" s="21">
        <v>0</v>
      </c>
      <c r="Z9542" s="21">
        <v>1</v>
      </c>
      <c r="AA9542" s="21">
        <v>0</v>
      </c>
      <c r="AB9542" s="21">
        <v>0</v>
      </c>
      <c r="AC9542" s="21">
        <v>0</v>
      </c>
      <c r="AD9542" s="21">
        <v>0</v>
      </c>
      <c r="AE9542" s="21">
        <v>0</v>
      </c>
      <c r="AF9542" s="21">
        <v>0</v>
      </c>
      <c r="AG9542" s="21">
        <v>0</v>
      </c>
      <c r="AH9542" s="21">
        <f t="shared" si="201"/>
        <v>0</v>
      </c>
      <c r="AJ9542" s="21" t="s">
        <v>51</v>
      </c>
      <c r="AK9542" s="21" t="s">
        <v>95</v>
      </c>
      <c r="AL9542" s="21" t="s">
        <v>3660</v>
      </c>
      <c r="AM9542" s="21" t="s">
        <v>6733</v>
      </c>
      <c r="AN9542" s="21">
        <v>-122.398048316667</v>
      </c>
      <c r="AO9542" s="21">
        <v>37.792483183333303</v>
      </c>
      <c r="AP9542" s="21" t="s">
        <v>1915</v>
      </c>
    </row>
    <row r="9543" spans="1:42">
      <c r="A9543" s="1">
        <v>43893</v>
      </c>
      <c r="B9543" s="21">
        <v>2</v>
      </c>
      <c r="C9543" s="21">
        <v>570</v>
      </c>
      <c r="D9543" s="21">
        <v>11414</v>
      </c>
      <c r="E9543" s="21" t="s">
        <v>377</v>
      </c>
      <c r="F9543" s="21" t="s">
        <v>436</v>
      </c>
      <c r="G9543" s="21">
        <v>1</v>
      </c>
      <c r="H9543" s="21">
        <v>45</v>
      </c>
      <c r="I9543" s="21" t="s">
        <v>3198</v>
      </c>
      <c r="K9543" s="21" t="s">
        <v>69</v>
      </c>
      <c r="N9543" s="21" t="s">
        <v>40</v>
      </c>
      <c r="O9543" s="21">
        <v>34</v>
      </c>
      <c r="Q9543" s="21">
        <f t="shared" si="200"/>
        <v>1</v>
      </c>
      <c r="R9543" s="21">
        <v>1</v>
      </c>
      <c r="S9543" s="21">
        <v>0</v>
      </c>
      <c r="T9543" s="21">
        <v>0</v>
      </c>
      <c r="U9543" s="21">
        <v>0</v>
      </c>
      <c r="V9543" s="21">
        <v>0</v>
      </c>
      <c r="W9543" s="21">
        <v>0</v>
      </c>
      <c r="X9543" s="21">
        <v>0</v>
      </c>
      <c r="Y9543" s="21">
        <v>0</v>
      </c>
      <c r="Z9543" s="21">
        <v>0</v>
      </c>
      <c r="AA9543" s="21">
        <v>1</v>
      </c>
      <c r="AB9543" s="21">
        <v>0</v>
      </c>
      <c r="AC9543" s="21">
        <v>0</v>
      </c>
      <c r="AD9543" s="21">
        <v>0</v>
      </c>
      <c r="AE9543" s="21">
        <v>0</v>
      </c>
      <c r="AF9543" s="21">
        <v>0</v>
      </c>
      <c r="AG9543" s="21">
        <v>0</v>
      </c>
      <c r="AH9543" s="21">
        <f t="shared" si="201"/>
        <v>0</v>
      </c>
      <c r="AJ9543" s="21" t="s">
        <v>51</v>
      </c>
      <c r="AK9543" s="21" t="s">
        <v>95</v>
      </c>
      <c r="AL9543" s="21"/>
      <c r="AM9543" s="21" t="s">
        <v>6734</v>
      </c>
      <c r="AN9543" s="21">
        <v>-122.400356633333</v>
      </c>
      <c r="AO9543" s="21">
        <v>37.792413766666698</v>
      </c>
      <c r="AP9543" s="21" t="s">
        <v>1915</v>
      </c>
    </row>
    <row r="9544" spans="1:42">
      <c r="A9544" s="1">
        <v>43893</v>
      </c>
      <c r="B9544">
        <v>2</v>
      </c>
      <c r="C9544" s="21">
        <v>570</v>
      </c>
      <c r="D9544" s="21">
        <v>11414</v>
      </c>
      <c r="E9544" s="21" t="s">
        <v>377</v>
      </c>
      <c r="F9544" s="21" t="s">
        <v>436</v>
      </c>
      <c r="G9544" s="21">
        <v>1</v>
      </c>
      <c r="H9544" s="21">
        <v>46</v>
      </c>
      <c r="I9544" s="21" t="s">
        <v>6735</v>
      </c>
      <c r="K9544" s="21" t="s">
        <v>56</v>
      </c>
      <c r="N9544" s="21" t="s">
        <v>44</v>
      </c>
      <c r="O9544" s="21">
        <f>120+60+47</f>
        <v>227</v>
      </c>
      <c r="Q9544" s="21">
        <f t="shared" si="200"/>
        <v>3</v>
      </c>
      <c r="R9544" s="21">
        <v>1</v>
      </c>
      <c r="S9544" s="21">
        <v>0</v>
      </c>
      <c r="T9544" s="21">
        <v>0</v>
      </c>
      <c r="U9544" s="21">
        <v>0</v>
      </c>
      <c r="V9544" s="21">
        <v>0</v>
      </c>
      <c r="W9544" s="21">
        <v>0</v>
      </c>
      <c r="X9544" s="21">
        <v>0</v>
      </c>
      <c r="Y9544" s="21">
        <v>0</v>
      </c>
      <c r="Z9544" s="21">
        <v>0</v>
      </c>
      <c r="AA9544" s="21">
        <v>1</v>
      </c>
      <c r="AB9544" s="21">
        <v>2</v>
      </c>
      <c r="AC9544" s="21">
        <v>0</v>
      </c>
      <c r="AD9544" s="21">
        <v>0</v>
      </c>
      <c r="AE9544" s="21">
        <v>0</v>
      </c>
      <c r="AF9544" s="21">
        <v>0</v>
      </c>
      <c r="AG9544" s="21">
        <v>0</v>
      </c>
      <c r="AH9544" s="21">
        <f t="shared" si="201"/>
        <v>0</v>
      </c>
      <c r="AJ9544" s="21" t="s">
        <v>51</v>
      </c>
      <c r="AK9544" s="21"/>
      <c r="AL9544" s="21" t="s">
        <v>6736</v>
      </c>
      <c r="AM9544" s="21" t="s">
        <v>6737</v>
      </c>
      <c r="AN9544" s="21">
        <v>-122.40048393333301</v>
      </c>
      <c r="AO9544" s="21">
        <v>37.792297699999999</v>
      </c>
      <c r="AP9544" s="21" t="s">
        <v>1915</v>
      </c>
    </row>
    <row r="9545" spans="1:42">
      <c r="A9545" s="1">
        <v>43893</v>
      </c>
      <c r="B9545">
        <v>2</v>
      </c>
      <c r="C9545" s="21">
        <v>570</v>
      </c>
      <c r="D9545" s="21">
        <v>11414</v>
      </c>
      <c r="E9545" s="21" t="s">
        <v>377</v>
      </c>
      <c r="F9545" s="21" t="s">
        <v>436</v>
      </c>
      <c r="G9545" s="21">
        <v>1</v>
      </c>
      <c r="H9545" s="21">
        <v>47</v>
      </c>
      <c r="I9545" s="21" t="s">
        <v>3673</v>
      </c>
      <c r="K9545" s="21" t="s">
        <v>71</v>
      </c>
      <c r="N9545" s="21" t="s">
        <v>1703</v>
      </c>
      <c r="O9545" s="21">
        <v>52</v>
      </c>
      <c r="Q9545" s="21">
        <f t="shared" si="200"/>
        <v>1</v>
      </c>
      <c r="R9545" s="21">
        <v>1</v>
      </c>
      <c r="S9545" s="21">
        <v>0</v>
      </c>
      <c r="T9545" s="21">
        <v>0</v>
      </c>
      <c r="U9545" s="21">
        <v>0</v>
      </c>
      <c r="V9545" s="21">
        <v>0</v>
      </c>
      <c r="W9545" s="21">
        <v>0</v>
      </c>
      <c r="X9545" s="21">
        <v>0</v>
      </c>
      <c r="Y9545" s="21">
        <v>0</v>
      </c>
      <c r="Z9545" s="21">
        <v>0</v>
      </c>
      <c r="AA9545" s="21">
        <v>0</v>
      </c>
      <c r="AB9545" s="21">
        <v>0</v>
      </c>
      <c r="AC9545" s="21">
        <v>1</v>
      </c>
      <c r="AD9545" s="21">
        <v>0</v>
      </c>
      <c r="AE9545" s="21">
        <v>0</v>
      </c>
      <c r="AF9545" s="21">
        <v>0</v>
      </c>
      <c r="AG9545" s="21">
        <v>0</v>
      </c>
      <c r="AH9545" s="21">
        <f t="shared" si="201"/>
        <v>0</v>
      </c>
      <c r="AJ9545" s="21" t="s">
        <v>51</v>
      </c>
      <c r="AK9545" s="21" t="s">
        <v>95</v>
      </c>
      <c r="AL9545" s="21"/>
      <c r="AM9545" s="21" t="s">
        <v>6738</v>
      </c>
      <c r="AN9545" s="21">
        <v>-122.40151228333301</v>
      </c>
      <c r="AO9545" s="21">
        <v>37.792019466666602</v>
      </c>
      <c r="AP9545" s="21" t="s">
        <v>1915</v>
      </c>
    </row>
    <row r="9546" spans="1:42">
      <c r="A9546" s="1">
        <v>43893</v>
      </c>
      <c r="B9546" s="21">
        <v>2</v>
      </c>
      <c r="C9546" s="21">
        <v>570</v>
      </c>
      <c r="D9546" s="21">
        <v>11414</v>
      </c>
      <c r="E9546" s="21" t="s">
        <v>377</v>
      </c>
      <c r="F9546" s="21" t="s">
        <v>436</v>
      </c>
      <c r="G9546" s="21">
        <v>1</v>
      </c>
      <c r="H9546" s="21">
        <v>48</v>
      </c>
      <c r="I9546" s="21" t="s">
        <v>6739</v>
      </c>
      <c r="K9546" s="21" t="s">
        <v>2125</v>
      </c>
      <c r="N9546" s="21" t="s">
        <v>40</v>
      </c>
      <c r="O9546" s="21">
        <v>36</v>
      </c>
      <c r="Q9546" s="21">
        <f t="shared" si="200"/>
        <v>1</v>
      </c>
      <c r="R9546" s="21">
        <v>1</v>
      </c>
      <c r="S9546" s="21">
        <v>0</v>
      </c>
      <c r="T9546" s="21">
        <v>0</v>
      </c>
      <c r="U9546" s="21">
        <v>0</v>
      </c>
      <c r="V9546" s="21">
        <v>0</v>
      </c>
      <c r="W9546" s="21">
        <v>0</v>
      </c>
      <c r="X9546" s="21">
        <v>0</v>
      </c>
      <c r="Y9546" s="21">
        <v>0</v>
      </c>
      <c r="Z9546" s="21">
        <v>0</v>
      </c>
      <c r="AA9546" s="21">
        <v>0</v>
      </c>
      <c r="AB9546" s="21">
        <v>1</v>
      </c>
      <c r="AC9546" s="21">
        <v>0</v>
      </c>
      <c r="AD9546" s="21">
        <v>0</v>
      </c>
      <c r="AE9546" s="21">
        <v>0</v>
      </c>
      <c r="AF9546" s="21">
        <v>0</v>
      </c>
      <c r="AG9546" s="21">
        <v>0</v>
      </c>
      <c r="AH9546" s="21">
        <f t="shared" si="201"/>
        <v>0</v>
      </c>
      <c r="AJ9546" s="21" t="s">
        <v>51</v>
      </c>
      <c r="AK9546" s="21" t="s">
        <v>95</v>
      </c>
      <c r="AL9546" s="21"/>
      <c r="AM9546" s="21" t="s">
        <v>6740</v>
      </c>
      <c r="AN9546" s="21">
        <v>-122.404051633333</v>
      </c>
      <c r="AO9546" s="21">
        <v>37.793065083333303</v>
      </c>
      <c r="AP9546" s="21" t="s">
        <v>1915</v>
      </c>
    </row>
    <row r="9547" spans="1:42">
      <c r="A9547" s="1">
        <v>43893</v>
      </c>
      <c r="B9547">
        <v>2</v>
      </c>
      <c r="C9547" s="21">
        <v>570</v>
      </c>
      <c r="D9547" s="21">
        <v>11414</v>
      </c>
      <c r="E9547" s="21" t="s">
        <v>377</v>
      </c>
      <c r="F9547" s="21" t="s">
        <v>436</v>
      </c>
      <c r="G9547" s="21">
        <v>1</v>
      </c>
      <c r="H9547" s="21">
        <v>49</v>
      </c>
      <c r="I9547" s="21" t="s">
        <v>6741</v>
      </c>
      <c r="K9547" s="21" t="s">
        <v>6503</v>
      </c>
      <c r="N9547" s="21" t="s">
        <v>40</v>
      </c>
      <c r="O9547" s="21">
        <f>60+45</f>
        <v>105</v>
      </c>
      <c r="Q9547" s="21">
        <f t="shared" si="200"/>
        <v>2</v>
      </c>
      <c r="R9547" s="21">
        <v>1</v>
      </c>
      <c r="S9547" s="21">
        <v>0</v>
      </c>
      <c r="T9547" s="21">
        <v>0</v>
      </c>
      <c r="U9547" s="21">
        <v>0</v>
      </c>
      <c r="V9547" s="21">
        <v>0</v>
      </c>
      <c r="W9547" s="21">
        <v>0</v>
      </c>
      <c r="X9547" s="21">
        <v>0</v>
      </c>
      <c r="Y9547" s="21">
        <v>0</v>
      </c>
      <c r="Z9547" s="21">
        <v>0</v>
      </c>
      <c r="AA9547" s="21">
        <v>1</v>
      </c>
      <c r="AB9547" s="21">
        <v>1</v>
      </c>
      <c r="AC9547" s="21">
        <v>0</v>
      </c>
      <c r="AD9547" s="21">
        <v>0</v>
      </c>
      <c r="AE9547" s="21">
        <v>0</v>
      </c>
      <c r="AF9547" s="21">
        <v>0</v>
      </c>
      <c r="AG9547" s="21">
        <v>0</v>
      </c>
      <c r="AH9547" s="21">
        <f t="shared" si="201"/>
        <v>0</v>
      </c>
      <c r="AJ9547" s="21" t="s">
        <v>51</v>
      </c>
      <c r="AK9547" s="21" t="s">
        <v>95</v>
      </c>
      <c r="AL9547" s="21"/>
      <c r="AM9547" s="21" t="s">
        <v>6742</v>
      </c>
      <c r="AN9547" s="21">
        <v>-122.403385633333</v>
      </c>
      <c r="AO9547" s="21">
        <v>37.795243183333298</v>
      </c>
      <c r="AP9547" s="21" t="s">
        <v>1915</v>
      </c>
    </row>
    <row r="9548" spans="1:42">
      <c r="A9548" s="1">
        <v>43893</v>
      </c>
      <c r="B9548">
        <v>2</v>
      </c>
      <c r="C9548" s="21">
        <v>570</v>
      </c>
      <c r="D9548" s="21">
        <v>11414</v>
      </c>
      <c r="E9548" s="21" t="s">
        <v>377</v>
      </c>
      <c r="F9548" s="21" t="s">
        <v>436</v>
      </c>
      <c r="G9548" s="21">
        <v>1</v>
      </c>
      <c r="H9548" s="21">
        <v>50</v>
      </c>
      <c r="I9548" s="21" t="s">
        <v>4188</v>
      </c>
      <c r="K9548" s="21" t="s">
        <v>62</v>
      </c>
      <c r="N9548" s="21" t="s">
        <v>40</v>
      </c>
      <c r="O9548" s="21">
        <v>52</v>
      </c>
      <c r="Q9548" s="21">
        <f t="shared" si="200"/>
        <v>1</v>
      </c>
      <c r="R9548" s="21">
        <v>1</v>
      </c>
      <c r="S9548" s="21">
        <v>0</v>
      </c>
      <c r="T9548" s="21">
        <v>0</v>
      </c>
      <c r="U9548" s="21">
        <v>0</v>
      </c>
      <c r="V9548" s="21">
        <v>0</v>
      </c>
      <c r="W9548" s="21">
        <v>0</v>
      </c>
      <c r="X9548" s="21">
        <v>0</v>
      </c>
      <c r="Y9548" s="21">
        <v>0</v>
      </c>
      <c r="Z9548" s="21">
        <v>0</v>
      </c>
      <c r="AA9548" s="21">
        <v>0</v>
      </c>
      <c r="AB9548" s="21">
        <v>0</v>
      </c>
      <c r="AC9548" s="21">
        <v>1</v>
      </c>
      <c r="AD9548" s="21">
        <v>0</v>
      </c>
      <c r="AE9548" s="21">
        <v>0</v>
      </c>
      <c r="AF9548" s="21">
        <v>0</v>
      </c>
      <c r="AG9548" s="21">
        <v>0</v>
      </c>
      <c r="AH9548" s="21">
        <f t="shared" si="201"/>
        <v>0</v>
      </c>
      <c r="AJ9548" s="21" t="s">
        <v>51</v>
      </c>
      <c r="AK9548" s="21"/>
      <c r="AL9548" s="21"/>
      <c r="AM9548" s="21" t="s">
        <v>6743</v>
      </c>
      <c r="AN9548" s="21">
        <v>-122.402259983333</v>
      </c>
      <c r="AO9548" s="21">
        <v>37.793980750000003</v>
      </c>
      <c r="AP9548" s="21" t="s">
        <v>1915</v>
      </c>
    </row>
    <row r="9549" spans="1:42">
      <c r="A9549" s="1">
        <v>43893</v>
      </c>
      <c r="B9549" s="21">
        <v>2</v>
      </c>
      <c r="C9549" s="21">
        <v>570</v>
      </c>
      <c r="D9549" s="21">
        <v>11414</v>
      </c>
      <c r="E9549" s="21" t="s">
        <v>377</v>
      </c>
      <c r="F9549" s="21" t="s">
        <v>436</v>
      </c>
      <c r="G9549" s="21">
        <v>1</v>
      </c>
      <c r="H9549" s="21">
        <v>51</v>
      </c>
      <c r="I9549" s="21" t="s">
        <v>4658</v>
      </c>
      <c r="K9549" s="21" t="s">
        <v>46</v>
      </c>
      <c r="N9549" s="21" t="s">
        <v>40</v>
      </c>
      <c r="O9549" s="21">
        <f>120+30</f>
        <v>150</v>
      </c>
      <c r="Q9549" s="21">
        <f t="shared" si="200"/>
        <v>2</v>
      </c>
      <c r="R9549" s="21">
        <v>1</v>
      </c>
      <c r="S9549" s="21">
        <v>0</v>
      </c>
      <c r="T9549" s="21">
        <v>0</v>
      </c>
      <c r="U9549" s="21">
        <v>0</v>
      </c>
      <c r="V9549" s="21">
        <v>0</v>
      </c>
      <c r="W9549" s="21">
        <v>0</v>
      </c>
      <c r="X9549" s="21">
        <v>0</v>
      </c>
      <c r="Y9549" s="21">
        <v>0</v>
      </c>
      <c r="Z9549" s="21">
        <v>1</v>
      </c>
      <c r="AA9549" s="21">
        <v>0</v>
      </c>
      <c r="AB9549" s="21">
        <v>1</v>
      </c>
      <c r="AC9549" s="21">
        <v>0</v>
      </c>
      <c r="AD9549" s="21">
        <v>0</v>
      </c>
      <c r="AE9549" s="21">
        <v>0</v>
      </c>
      <c r="AF9549" s="21">
        <v>0</v>
      </c>
      <c r="AG9549" s="21">
        <v>0</v>
      </c>
      <c r="AH9549" s="21">
        <f t="shared" si="201"/>
        <v>0</v>
      </c>
      <c r="AJ9549" s="21" t="s">
        <v>51</v>
      </c>
      <c r="AK9549" s="21" t="s">
        <v>95</v>
      </c>
      <c r="AL9549" s="21"/>
      <c r="AM9549" s="21" t="s">
        <v>6744</v>
      </c>
      <c r="AN9549" s="21">
        <v>-122.401772416667</v>
      </c>
      <c r="AO9549" s="21">
        <v>37.791052649999997</v>
      </c>
      <c r="AP9549" s="21" t="s">
        <v>1915</v>
      </c>
    </row>
    <row r="9550" spans="1:42">
      <c r="A9550" s="1">
        <v>43893</v>
      </c>
      <c r="B9550">
        <v>2</v>
      </c>
      <c r="C9550" s="21">
        <v>570</v>
      </c>
      <c r="D9550" s="21">
        <v>11414</v>
      </c>
      <c r="E9550" s="21" t="s">
        <v>377</v>
      </c>
      <c r="F9550" s="21" t="s">
        <v>436</v>
      </c>
      <c r="G9550" s="21">
        <v>1</v>
      </c>
      <c r="H9550" s="21">
        <v>52</v>
      </c>
      <c r="I9550" s="21" t="s">
        <v>4240</v>
      </c>
      <c r="K9550" s="21" t="s">
        <v>46</v>
      </c>
      <c r="N9550" s="21" t="s">
        <v>40</v>
      </c>
      <c r="O9550" s="21">
        <v>33</v>
      </c>
      <c r="Q9550" s="21">
        <f t="shared" si="200"/>
        <v>1</v>
      </c>
      <c r="R9550" s="21">
        <v>1</v>
      </c>
      <c r="S9550" s="21">
        <v>0</v>
      </c>
      <c r="T9550" s="21">
        <v>0</v>
      </c>
      <c r="U9550" s="21">
        <v>0</v>
      </c>
      <c r="V9550" s="21">
        <v>0</v>
      </c>
      <c r="W9550" s="21">
        <v>0</v>
      </c>
      <c r="X9550" s="21">
        <v>0</v>
      </c>
      <c r="Y9550" s="21">
        <v>0</v>
      </c>
      <c r="Z9550" s="21">
        <v>1</v>
      </c>
      <c r="AA9550" s="21">
        <v>0</v>
      </c>
      <c r="AB9550" s="21">
        <v>0</v>
      </c>
      <c r="AC9550" s="21">
        <v>0</v>
      </c>
      <c r="AD9550" s="21">
        <v>0</v>
      </c>
      <c r="AE9550" s="21">
        <v>0</v>
      </c>
      <c r="AF9550" s="21">
        <v>0</v>
      </c>
      <c r="AG9550" s="21">
        <v>0</v>
      </c>
      <c r="AH9550" s="21">
        <f t="shared" si="201"/>
        <v>0</v>
      </c>
      <c r="AJ9550" s="21" t="s">
        <v>51</v>
      </c>
      <c r="AK9550" s="21" t="s">
        <v>95</v>
      </c>
      <c r="AL9550" s="21"/>
      <c r="AM9550" s="21" t="s">
        <v>6745</v>
      </c>
      <c r="AN9550" s="21">
        <v>-122.402957816667</v>
      </c>
      <c r="AO9550" s="21">
        <v>37.790913816666603</v>
      </c>
      <c r="AP9550" s="21" t="s">
        <v>1915</v>
      </c>
    </row>
    <row r="9551" spans="1:42">
      <c r="A9551" s="1">
        <v>43893</v>
      </c>
      <c r="B9551">
        <v>2</v>
      </c>
      <c r="C9551" s="21">
        <v>570</v>
      </c>
      <c r="D9551" s="21">
        <v>11414</v>
      </c>
      <c r="E9551" s="21" t="s">
        <v>377</v>
      </c>
      <c r="F9551" s="21" t="s">
        <v>436</v>
      </c>
      <c r="G9551" s="21">
        <v>1</v>
      </c>
      <c r="H9551" s="21">
        <v>53</v>
      </c>
      <c r="I9551" s="21" t="s">
        <v>6515</v>
      </c>
      <c r="K9551" s="21" t="s">
        <v>6637</v>
      </c>
      <c r="N9551" s="21" t="s">
        <v>40</v>
      </c>
      <c r="O9551" s="21">
        <f>120+56</f>
        <v>176</v>
      </c>
      <c r="Q9551" s="21">
        <f t="shared" si="200"/>
        <v>3</v>
      </c>
      <c r="R9551" s="21">
        <v>1</v>
      </c>
      <c r="S9551" s="21">
        <v>0</v>
      </c>
      <c r="T9551" s="21">
        <v>0</v>
      </c>
      <c r="U9551" s="21">
        <v>0</v>
      </c>
      <c r="V9551" s="21">
        <v>0</v>
      </c>
      <c r="W9551" s="21">
        <v>0</v>
      </c>
      <c r="X9551" s="21">
        <v>0</v>
      </c>
      <c r="Y9551" s="21">
        <v>0</v>
      </c>
      <c r="Z9551" s="21">
        <v>0</v>
      </c>
      <c r="AA9551" s="21">
        <v>3</v>
      </c>
      <c r="AB9551" s="21">
        <v>0</v>
      </c>
      <c r="AC9551" s="21">
        <v>0</v>
      </c>
      <c r="AD9551" s="21">
        <v>0</v>
      </c>
      <c r="AE9551" s="21">
        <v>0</v>
      </c>
      <c r="AF9551" s="21">
        <v>0</v>
      </c>
      <c r="AG9551" s="21">
        <v>0</v>
      </c>
      <c r="AH9551" s="21">
        <f t="shared" si="201"/>
        <v>0</v>
      </c>
      <c r="AJ9551" s="21" t="s">
        <v>51</v>
      </c>
      <c r="AK9551" s="21" t="s">
        <v>95</v>
      </c>
      <c r="AL9551" s="21"/>
      <c r="AM9551" s="21" t="s">
        <v>6746</v>
      </c>
      <c r="AN9551" s="21">
        <v>-122.403335383333</v>
      </c>
      <c r="AO9551" s="21">
        <v>37.788974699999997</v>
      </c>
      <c r="AP9551" s="21" t="s">
        <v>1915</v>
      </c>
    </row>
    <row r="9552" spans="1:42">
      <c r="A9552" s="1">
        <v>43893</v>
      </c>
      <c r="B9552" s="21">
        <v>2</v>
      </c>
      <c r="C9552" s="21">
        <v>570</v>
      </c>
      <c r="D9552" s="21">
        <v>11414</v>
      </c>
      <c r="E9552" s="21" t="s">
        <v>377</v>
      </c>
      <c r="F9552" s="21" t="s">
        <v>436</v>
      </c>
      <c r="G9552" s="21">
        <v>1</v>
      </c>
      <c r="H9552" s="21">
        <v>54</v>
      </c>
      <c r="I9552" s="21" t="s">
        <v>3448</v>
      </c>
      <c r="K9552" s="21" t="s">
        <v>53</v>
      </c>
      <c r="N9552" s="21" t="s">
        <v>40</v>
      </c>
      <c r="O9552" s="21">
        <f>120+120+54</f>
        <v>294</v>
      </c>
      <c r="Q9552" s="21">
        <f t="shared" si="200"/>
        <v>3</v>
      </c>
      <c r="R9552" s="21">
        <v>1</v>
      </c>
      <c r="S9552" s="21">
        <v>0</v>
      </c>
      <c r="T9552" s="21">
        <v>0</v>
      </c>
      <c r="U9552" s="21">
        <v>0</v>
      </c>
      <c r="V9552" s="21">
        <v>0</v>
      </c>
      <c r="W9552" s="21">
        <v>0</v>
      </c>
      <c r="X9552" s="21">
        <v>0</v>
      </c>
      <c r="Y9552" s="21">
        <v>0</v>
      </c>
      <c r="Z9552" s="21">
        <v>0</v>
      </c>
      <c r="AA9552" s="21">
        <v>3</v>
      </c>
      <c r="AB9552" s="21">
        <v>0</v>
      </c>
      <c r="AC9552" s="21">
        <v>0</v>
      </c>
      <c r="AD9552" s="21">
        <v>0</v>
      </c>
      <c r="AE9552" s="21">
        <v>0</v>
      </c>
      <c r="AF9552" s="21">
        <v>0</v>
      </c>
      <c r="AG9552" s="21">
        <v>0</v>
      </c>
      <c r="AH9552" s="21">
        <f t="shared" si="201"/>
        <v>0</v>
      </c>
      <c r="AJ9552" s="21" t="s">
        <v>51</v>
      </c>
      <c r="AK9552" s="21" t="s">
        <v>52</v>
      </c>
      <c r="AL9552" s="21"/>
      <c r="AM9552" s="21" t="s">
        <v>6747</v>
      </c>
      <c r="AN9552" s="21">
        <v>-122.402953416667</v>
      </c>
      <c r="AO9552" s="21">
        <v>37.789174500000001</v>
      </c>
      <c r="AP9552" s="21" t="s">
        <v>1915</v>
      </c>
    </row>
    <row r="9553" spans="1:42">
      <c r="A9553" s="1">
        <v>43893</v>
      </c>
      <c r="B9553" s="21">
        <v>2</v>
      </c>
      <c r="C9553" s="21">
        <v>505</v>
      </c>
      <c r="D9553" s="21">
        <v>11414</v>
      </c>
      <c r="E9553" s="21" t="s">
        <v>377</v>
      </c>
      <c r="F9553" s="21" t="s">
        <v>436</v>
      </c>
      <c r="G9553" s="21">
        <v>1</v>
      </c>
      <c r="H9553" s="21">
        <v>1</v>
      </c>
      <c r="I9553" s="21" t="s">
        <v>6714</v>
      </c>
      <c r="K9553" s="21" t="s">
        <v>73</v>
      </c>
      <c r="N9553" s="21" t="s">
        <v>40</v>
      </c>
      <c r="O9553" s="21">
        <v>67</v>
      </c>
      <c r="Q9553" s="21">
        <f t="shared" si="200"/>
        <v>1</v>
      </c>
      <c r="R9553" s="21">
        <v>1</v>
      </c>
      <c r="S9553" s="21">
        <v>0</v>
      </c>
      <c r="T9553" s="21">
        <v>0</v>
      </c>
      <c r="U9553" s="21">
        <v>0</v>
      </c>
      <c r="V9553" s="21">
        <v>0</v>
      </c>
      <c r="W9553" s="21">
        <v>0</v>
      </c>
      <c r="X9553" s="21">
        <v>0</v>
      </c>
      <c r="Y9553" s="21">
        <v>0</v>
      </c>
      <c r="Z9553" s="21">
        <v>0</v>
      </c>
      <c r="AA9553" s="21">
        <v>0</v>
      </c>
      <c r="AB9553" s="21">
        <v>0</v>
      </c>
      <c r="AC9553" s="21">
        <v>1</v>
      </c>
      <c r="AD9553" s="21">
        <v>0</v>
      </c>
      <c r="AE9553" s="21">
        <v>0</v>
      </c>
      <c r="AF9553" s="21">
        <v>0</v>
      </c>
      <c r="AG9553" s="21">
        <v>0</v>
      </c>
      <c r="AH9553" s="21">
        <f t="shared" si="201"/>
        <v>0</v>
      </c>
      <c r="AJ9553" s="21" t="s">
        <v>51</v>
      </c>
      <c r="AK9553" s="21" t="s">
        <v>52</v>
      </c>
      <c r="AL9553" s="21" t="s">
        <v>6650</v>
      </c>
      <c r="AM9553" s="21" t="s">
        <v>6748</v>
      </c>
      <c r="AN9553" s="21">
        <v>-122.39148145</v>
      </c>
      <c r="AO9553" s="21">
        <v>37.784067649999997</v>
      </c>
      <c r="AP9553" s="21" t="s">
        <v>1915</v>
      </c>
    </row>
    <row r="9554" spans="1:42">
      <c r="A9554" s="1">
        <v>43893</v>
      </c>
      <c r="B9554" s="21">
        <v>2</v>
      </c>
      <c r="C9554" s="21">
        <v>505</v>
      </c>
      <c r="D9554" s="21">
        <v>11414</v>
      </c>
      <c r="E9554" s="21" t="s">
        <v>377</v>
      </c>
      <c r="F9554" s="21" t="s">
        <v>436</v>
      </c>
      <c r="G9554" s="21">
        <v>1</v>
      </c>
      <c r="H9554" s="21">
        <v>2</v>
      </c>
      <c r="I9554" s="21" t="s">
        <v>6703</v>
      </c>
      <c r="K9554" s="21" t="s">
        <v>73</v>
      </c>
      <c r="N9554" s="21" t="s">
        <v>40</v>
      </c>
      <c r="O9554" s="21">
        <f>120+47</f>
        <v>167</v>
      </c>
      <c r="Q9554" s="21">
        <f t="shared" si="200"/>
        <v>2</v>
      </c>
      <c r="R9554" s="21">
        <v>1</v>
      </c>
      <c r="S9554" s="21">
        <v>0</v>
      </c>
      <c r="T9554" s="21">
        <v>0</v>
      </c>
      <c r="U9554" s="21">
        <v>0</v>
      </c>
      <c r="V9554" s="21">
        <v>0</v>
      </c>
      <c r="W9554" s="21">
        <v>0</v>
      </c>
      <c r="X9554" s="21">
        <v>0</v>
      </c>
      <c r="Y9554" s="21">
        <v>0</v>
      </c>
      <c r="Z9554" s="21">
        <v>0</v>
      </c>
      <c r="AA9554" s="21">
        <v>0</v>
      </c>
      <c r="AB9554" s="21">
        <v>2</v>
      </c>
      <c r="AC9554" s="21">
        <v>0</v>
      </c>
      <c r="AD9554" s="21">
        <v>0</v>
      </c>
      <c r="AE9554" s="21">
        <v>0</v>
      </c>
      <c r="AF9554" s="21">
        <v>0</v>
      </c>
      <c r="AG9554" s="21">
        <v>0</v>
      </c>
      <c r="AH9554" s="21">
        <f t="shared" si="201"/>
        <v>0</v>
      </c>
      <c r="AJ9554" s="21" t="s">
        <v>51</v>
      </c>
      <c r="AK9554" s="21"/>
      <c r="AL9554" s="21"/>
      <c r="AM9554" s="21" t="s">
        <v>6749</v>
      </c>
      <c r="AN9554" s="21">
        <v>-122.39404791666701</v>
      </c>
      <c r="AO9554" s="21">
        <v>37.790485916666597</v>
      </c>
      <c r="AP9554" s="21" t="s">
        <v>1915</v>
      </c>
    </row>
    <row r="9555" spans="1:42">
      <c r="A9555" s="1">
        <v>43893</v>
      </c>
      <c r="B9555" s="21">
        <v>2</v>
      </c>
      <c r="C9555" s="21">
        <v>505</v>
      </c>
      <c r="D9555" s="21">
        <v>11414</v>
      </c>
      <c r="E9555" s="21" t="s">
        <v>377</v>
      </c>
      <c r="F9555" s="21" t="s">
        <v>436</v>
      </c>
      <c r="G9555" s="21">
        <v>1</v>
      </c>
      <c r="H9555" s="21">
        <v>3</v>
      </c>
      <c r="I9555" s="21" t="s">
        <v>6243</v>
      </c>
      <c r="K9555" s="21" t="s">
        <v>4160</v>
      </c>
      <c r="N9555" s="21" t="s">
        <v>40</v>
      </c>
      <c r="O9555" s="21">
        <v>39</v>
      </c>
      <c r="Q9555" s="21">
        <f t="shared" si="200"/>
        <v>1</v>
      </c>
      <c r="R9555" s="21">
        <v>1</v>
      </c>
      <c r="S9555" s="21">
        <v>0</v>
      </c>
      <c r="T9555" s="21">
        <v>0</v>
      </c>
      <c r="U9555" s="21">
        <v>0</v>
      </c>
      <c r="V9555" s="21">
        <v>0</v>
      </c>
      <c r="W9555" s="21">
        <v>0</v>
      </c>
      <c r="X9555" s="21">
        <v>0</v>
      </c>
      <c r="Y9555" s="21">
        <v>0</v>
      </c>
      <c r="Z9555" s="21">
        <v>0</v>
      </c>
      <c r="AA9555" s="21">
        <v>1</v>
      </c>
      <c r="AB9555" s="21">
        <v>0</v>
      </c>
      <c r="AC9555" s="21">
        <v>0</v>
      </c>
      <c r="AD9555" s="21">
        <v>0</v>
      </c>
      <c r="AE9555" s="21">
        <v>0</v>
      </c>
      <c r="AF9555" s="21">
        <v>0</v>
      </c>
      <c r="AG9555" s="21">
        <v>0</v>
      </c>
      <c r="AH9555" s="21">
        <f t="shared" si="201"/>
        <v>0</v>
      </c>
      <c r="AJ9555" s="21" t="s">
        <v>51</v>
      </c>
      <c r="AK9555" s="21" t="s">
        <v>52</v>
      </c>
      <c r="AL9555" s="21"/>
      <c r="AM9555" s="21" t="s">
        <v>6750</v>
      </c>
      <c r="AN9555" s="21">
        <v>-122.394805066667</v>
      </c>
      <c r="AO9555" s="21">
        <v>37.790834416666598</v>
      </c>
      <c r="AP9555" s="21" t="s">
        <v>1915</v>
      </c>
    </row>
    <row r="9556" spans="1:42">
      <c r="A9556" s="1">
        <v>43893</v>
      </c>
      <c r="B9556" s="21">
        <v>2</v>
      </c>
      <c r="C9556" s="21">
        <v>505</v>
      </c>
      <c r="D9556" s="21">
        <v>11414</v>
      </c>
      <c r="E9556" s="21" t="s">
        <v>377</v>
      </c>
      <c r="F9556" s="21" t="s">
        <v>436</v>
      </c>
      <c r="G9556" s="21">
        <v>1</v>
      </c>
      <c r="H9556" s="21">
        <v>4</v>
      </c>
      <c r="I9556" s="21" t="s">
        <v>3417</v>
      </c>
      <c r="K9556" s="21" t="s">
        <v>73</v>
      </c>
      <c r="N9556" s="21" t="s">
        <v>40</v>
      </c>
      <c r="O9556" s="21">
        <v>36</v>
      </c>
      <c r="Q9556" s="21">
        <f t="shared" si="200"/>
        <v>1</v>
      </c>
      <c r="R9556" s="21">
        <v>1</v>
      </c>
      <c r="S9556" s="21">
        <v>0</v>
      </c>
      <c r="T9556" s="21">
        <v>0</v>
      </c>
      <c r="U9556" s="21">
        <v>0</v>
      </c>
      <c r="V9556" s="21">
        <v>0</v>
      </c>
      <c r="W9556" s="21">
        <v>0</v>
      </c>
      <c r="X9556" s="21">
        <v>0</v>
      </c>
      <c r="Y9556" s="21">
        <v>0</v>
      </c>
      <c r="Z9556" s="21">
        <v>0</v>
      </c>
      <c r="AA9556" s="21">
        <v>1</v>
      </c>
      <c r="AB9556" s="21">
        <v>0</v>
      </c>
      <c r="AC9556" s="21">
        <v>0</v>
      </c>
      <c r="AD9556" s="21">
        <v>0</v>
      </c>
      <c r="AE9556" s="21">
        <v>0</v>
      </c>
      <c r="AF9556" s="21">
        <v>0</v>
      </c>
      <c r="AG9556" s="21">
        <v>0</v>
      </c>
      <c r="AH9556" s="21">
        <f t="shared" si="201"/>
        <v>0</v>
      </c>
      <c r="AJ9556" s="21" t="s">
        <v>51</v>
      </c>
      <c r="AK9556" s="21" t="s">
        <v>52</v>
      </c>
      <c r="AL9556" s="21"/>
      <c r="AM9556" s="21" t="s">
        <v>6751</v>
      </c>
      <c r="AN9556" s="21">
        <v>-122.393590116667</v>
      </c>
      <c r="AO9556" s="21">
        <v>37.791910533333301</v>
      </c>
      <c r="AP9556" s="21" t="s">
        <v>1915</v>
      </c>
    </row>
    <row r="9557" spans="1:42">
      <c r="A9557" s="1">
        <v>43893</v>
      </c>
      <c r="B9557" s="21">
        <v>2</v>
      </c>
      <c r="C9557" s="21">
        <v>505</v>
      </c>
      <c r="D9557" s="21">
        <v>11414</v>
      </c>
      <c r="E9557" s="21" t="s">
        <v>377</v>
      </c>
      <c r="F9557" s="21" t="s">
        <v>436</v>
      </c>
      <c r="G9557" s="21">
        <v>1</v>
      </c>
      <c r="H9557" s="21">
        <v>5</v>
      </c>
      <c r="I9557" s="21" t="s">
        <v>4240</v>
      </c>
      <c r="K9557" s="21" t="s">
        <v>394</v>
      </c>
      <c r="N9557" s="21" t="s">
        <v>40</v>
      </c>
      <c r="O9557" s="21">
        <f>60+58</f>
        <v>118</v>
      </c>
      <c r="Q9557" s="21">
        <f t="shared" si="200"/>
        <v>3</v>
      </c>
      <c r="R9557" s="21">
        <v>1</v>
      </c>
      <c r="S9557" s="21">
        <v>0</v>
      </c>
      <c r="T9557" s="21">
        <v>0</v>
      </c>
      <c r="U9557" s="21">
        <v>0</v>
      </c>
      <c r="V9557" s="21">
        <v>0</v>
      </c>
      <c r="W9557" s="21">
        <v>0</v>
      </c>
      <c r="X9557" s="21">
        <v>0</v>
      </c>
      <c r="Y9557" s="21">
        <v>0</v>
      </c>
      <c r="Z9557" s="21">
        <v>0</v>
      </c>
      <c r="AA9557" s="21">
        <v>1</v>
      </c>
      <c r="AB9557" s="21">
        <v>2</v>
      </c>
      <c r="AC9557" s="21">
        <v>0</v>
      </c>
      <c r="AD9557" s="21">
        <v>0</v>
      </c>
      <c r="AE9557" s="21">
        <v>0</v>
      </c>
      <c r="AF9557" s="21">
        <v>0</v>
      </c>
      <c r="AG9557" s="21">
        <v>0</v>
      </c>
      <c r="AH9557" s="21">
        <f t="shared" si="201"/>
        <v>0</v>
      </c>
      <c r="AJ9557" s="21" t="s">
        <v>51</v>
      </c>
      <c r="AK9557" s="21"/>
      <c r="AL9557" s="21"/>
      <c r="AM9557" s="21" t="s">
        <v>6752</v>
      </c>
      <c r="AN9557" s="21">
        <v>-122.390931199348</v>
      </c>
      <c r="AO9557" s="21">
        <v>37.790099680034501</v>
      </c>
      <c r="AP9557" s="21" t="s">
        <v>1915</v>
      </c>
    </row>
    <row r="9558" spans="1:42">
      <c r="A9558" s="1">
        <v>43893</v>
      </c>
      <c r="B9558" s="21">
        <v>2</v>
      </c>
      <c r="C9558" s="21">
        <v>505</v>
      </c>
      <c r="D9558" s="21">
        <v>11414</v>
      </c>
      <c r="E9558" s="21" t="s">
        <v>377</v>
      </c>
      <c r="F9558" s="21" t="s">
        <v>436</v>
      </c>
      <c r="G9558" s="21">
        <v>1</v>
      </c>
      <c r="H9558" s="21">
        <v>6</v>
      </c>
      <c r="I9558" s="21" t="s">
        <v>3186</v>
      </c>
      <c r="K9558" s="21" t="s">
        <v>56</v>
      </c>
      <c r="N9558" s="21" t="s">
        <v>44</v>
      </c>
      <c r="O9558" s="21">
        <f>120+40</f>
        <v>160</v>
      </c>
      <c r="Q9558" s="21">
        <f t="shared" si="200"/>
        <v>1</v>
      </c>
      <c r="R9558" s="21">
        <v>1</v>
      </c>
      <c r="S9558" s="21">
        <v>0</v>
      </c>
      <c r="T9558" s="21">
        <v>0</v>
      </c>
      <c r="U9558" s="21">
        <v>0</v>
      </c>
      <c r="V9558" s="21">
        <v>0</v>
      </c>
      <c r="W9558" s="21">
        <v>0</v>
      </c>
      <c r="X9558" s="21">
        <v>0</v>
      </c>
      <c r="Y9558" s="21">
        <v>0</v>
      </c>
      <c r="Z9558" s="21">
        <v>1</v>
      </c>
      <c r="AA9558" s="21">
        <v>0</v>
      </c>
      <c r="AB9558" s="21">
        <v>0</v>
      </c>
      <c r="AC9558" s="21">
        <v>0</v>
      </c>
      <c r="AD9558" s="21">
        <v>0</v>
      </c>
      <c r="AE9558" s="21">
        <v>0</v>
      </c>
      <c r="AF9558" s="21">
        <v>0</v>
      </c>
      <c r="AG9558" s="21">
        <v>0</v>
      </c>
      <c r="AH9558" s="21">
        <f t="shared" si="201"/>
        <v>0</v>
      </c>
      <c r="AJ9558" s="21"/>
      <c r="AK9558" s="21"/>
      <c r="AL9558" s="21" t="s">
        <v>6753</v>
      </c>
      <c r="AM9558" s="21" t="s">
        <v>6754</v>
      </c>
      <c r="AN9558" s="21">
        <v>-122.395555616667</v>
      </c>
      <c r="AO9558" s="21">
        <v>37.7908099333333</v>
      </c>
      <c r="AP9558" s="21" t="s">
        <v>1915</v>
      </c>
    </row>
    <row r="9559" spans="1:42">
      <c r="A9559" s="1">
        <v>43893</v>
      </c>
      <c r="B9559" s="21">
        <v>2</v>
      </c>
      <c r="C9559" s="21">
        <v>505</v>
      </c>
      <c r="D9559" s="21">
        <v>11414</v>
      </c>
      <c r="E9559" s="21" t="s">
        <v>377</v>
      </c>
      <c r="F9559" s="21" t="s">
        <v>436</v>
      </c>
      <c r="G9559" s="21">
        <v>1</v>
      </c>
      <c r="H9559" s="21">
        <v>7</v>
      </c>
      <c r="I9559" s="21" t="s">
        <v>3437</v>
      </c>
      <c r="K9559" s="21" t="s">
        <v>504</v>
      </c>
      <c r="N9559" s="21" t="s">
        <v>44</v>
      </c>
      <c r="O9559" s="21">
        <f>60+32</f>
        <v>92</v>
      </c>
      <c r="Q9559" s="21">
        <f t="shared" si="200"/>
        <v>1</v>
      </c>
      <c r="R9559" s="21">
        <v>1</v>
      </c>
      <c r="S9559" s="21">
        <v>0</v>
      </c>
      <c r="T9559" s="21">
        <v>0</v>
      </c>
      <c r="U9559" s="21">
        <v>0</v>
      </c>
      <c r="V9559" s="21">
        <v>0</v>
      </c>
      <c r="W9559" s="21">
        <v>0</v>
      </c>
      <c r="X9559" s="21">
        <v>0</v>
      </c>
      <c r="Y9559" s="21">
        <v>0</v>
      </c>
      <c r="Z9559" s="21">
        <v>0</v>
      </c>
      <c r="AA9559" s="21">
        <v>0</v>
      </c>
      <c r="AB9559" s="21">
        <v>1</v>
      </c>
      <c r="AC9559" s="21">
        <v>0</v>
      </c>
      <c r="AD9559" s="21">
        <v>0</v>
      </c>
      <c r="AE9559" s="21">
        <v>0</v>
      </c>
      <c r="AF9559" s="21">
        <v>0</v>
      </c>
      <c r="AG9559" s="21">
        <v>0</v>
      </c>
      <c r="AH9559" s="21">
        <f t="shared" si="201"/>
        <v>0</v>
      </c>
      <c r="AJ9559" s="21"/>
      <c r="AK9559" s="21"/>
      <c r="AL9559" s="21" t="s">
        <v>6755</v>
      </c>
      <c r="AM9559" s="21" t="s">
        <v>6756</v>
      </c>
      <c r="AN9559" s="21">
        <v>-122.394780466667</v>
      </c>
      <c r="AO9559" s="21">
        <v>37.7904593833333</v>
      </c>
      <c r="AP9559" s="21" t="s">
        <v>1915</v>
      </c>
    </row>
    <row r="9560" spans="1:42">
      <c r="A9560" s="1">
        <v>43893</v>
      </c>
      <c r="B9560" s="21">
        <v>2</v>
      </c>
      <c r="C9560" s="21">
        <v>505</v>
      </c>
      <c r="D9560" s="21">
        <v>11414</v>
      </c>
      <c r="E9560" s="21" t="s">
        <v>377</v>
      </c>
      <c r="F9560" s="21" t="s">
        <v>436</v>
      </c>
      <c r="G9560" s="21">
        <v>1</v>
      </c>
      <c r="H9560" s="21">
        <v>8</v>
      </c>
      <c r="I9560" s="21" t="s">
        <v>3442</v>
      </c>
      <c r="K9560" s="21" t="s">
        <v>73</v>
      </c>
      <c r="N9560" s="21" t="s">
        <v>40</v>
      </c>
      <c r="O9560" s="21">
        <f>120+60+46</f>
        <v>226</v>
      </c>
      <c r="Q9560" s="21">
        <f t="shared" si="200"/>
        <v>1</v>
      </c>
      <c r="R9560" s="21">
        <v>1</v>
      </c>
      <c r="S9560" s="21">
        <v>0</v>
      </c>
      <c r="T9560" s="21">
        <v>0</v>
      </c>
      <c r="U9560" s="21">
        <v>0</v>
      </c>
      <c r="V9560" s="21">
        <v>0</v>
      </c>
      <c r="W9560" s="21">
        <v>0</v>
      </c>
      <c r="X9560" s="21">
        <v>0</v>
      </c>
      <c r="Y9560" s="21">
        <v>1</v>
      </c>
      <c r="Z9560" s="21">
        <v>0</v>
      </c>
      <c r="AA9560" s="21">
        <v>0</v>
      </c>
      <c r="AB9560" s="21">
        <v>0</v>
      </c>
      <c r="AC9560" s="21">
        <v>0</v>
      </c>
      <c r="AD9560" s="21">
        <v>0</v>
      </c>
      <c r="AE9560" s="21">
        <v>0</v>
      </c>
      <c r="AF9560" s="21">
        <v>0</v>
      </c>
      <c r="AG9560" s="21">
        <v>0</v>
      </c>
      <c r="AH9560" s="21">
        <f t="shared" si="201"/>
        <v>0</v>
      </c>
      <c r="AJ9560" s="21"/>
      <c r="AK9560" s="21"/>
      <c r="AL9560" s="21" t="s">
        <v>6757</v>
      </c>
      <c r="AM9560" s="21" t="s">
        <v>6758</v>
      </c>
      <c r="AN9560" s="21">
        <v>-122.39698818333299</v>
      </c>
      <c r="AO9560" s="21">
        <v>37.791393333333303</v>
      </c>
      <c r="AP9560" s="21" t="s">
        <v>1915</v>
      </c>
    </row>
    <row r="9561" spans="1:42">
      <c r="A9561" s="1">
        <v>43893</v>
      </c>
      <c r="B9561" s="21">
        <v>2</v>
      </c>
      <c r="C9561" s="21">
        <v>505</v>
      </c>
      <c r="D9561" s="21">
        <v>11414</v>
      </c>
      <c r="E9561" s="21" t="s">
        <v>377</v>
      </c>
      <c r="F9561" s="21" t="s">
        <v>436</v>
      </c>
      <c r="G9561" s="21">
        <v>1</v>
      </c>
      <c r="H9561" s="21">
        <v>9</v>
      </c>
      <c r="I9561" s="21" t="s">
        <v>6759</v>
      </c>
      <c r="K9561" s="21" t="s">
        <v>394</v>
      </c>
      <c r="N9561" s="21" t="s">
        <v>40</v>
      </c>
      <c r="O9561" s="21">
        <v>65</v>
      </c>
      <c r="Q9561" s="21">
        <f t="shared" si="200"/>
        <v>1</v>
      </c>
      <c r="R9561" s="21">
        <v>1</v>
      </c>
      <c r="S9561" s="21">
        <v>0</v>
      </c>
      <c r="T9561" s="21">
        <v>0</v>
      </c>
      <c r="U9561" s="21">
        <v>0</v>
      </c>
      <c r="V9561" s="21">
        <v>0</v>
      </c>
      <c r="W9561" s="21">
        <v>0</v>
      </c>
      <c r="X9561" s="21">
        <v>0</v>
      </c>
      <c r="Y9561" s="21">
        <v>0</v>
      </c>
      <c r="Z9561" s="21">
        <v>0</v>
      </c>
      <c r="AA9561" s="21">
        <v>1</v>
      </c>
      <c r="AB9561" s="21">
        <v>0</v>
      </c>
      <c r="AC9561" s="21">
        <v>0</v>
      </c>
      <c r="AD9561" s="21">
        <v>0</v>
      </c>
      <c r="AE9561" s="21">
        <v>0</v>
      </c>
      <c r="AF9561" s="21">
        <v>0</v>
      </c>
      <c r="AG9561" s="21">
        <v>0</v>
      </c>
      <c r="AH9561" s="21">
        <f t="shared" si="201"/>
        <v>0</v>
      </c>
      <c r="AJ9561" s="21" t="s">
        <v>51</v>
      </c>
      <c r="AK9561" s="21" t="s">
        <v>95</v>
      </c>
      <c r="AL9561" s="21"/>
      <c r="AM9561" s="21" t="s">
        <v>6760</v>
      </c>
      <c r="AN9561" s="21">
        <v>-122.39848725</v>
      </c>
      <c r="AO9561" s="21">
        <v>37.794385183333297</v>
      </c>
      <c r="AP9561" s="21" t="s">
        <v>1915</v>
      </c>
    </row>
    <row r="9562" spans="1:42">
      <c r="A9562" s="1">
        <v>43893</v>
      </c>
      <c r="B9562" s="21">
        <v>2</v>
      </c>
      <c r="C9562" s="21">
        <v>505</v>
      </c>
      <c r="D9562" s="21">
        <v>11414</v>
      </c>
      <c r="E9562" s="21" t="s">
        <v>377</v>
      </c>
      <c r="F9562" s="21" t="s">
        <v>436</v>
      </c>
      <c r="G9562" s="21">
        <v>1</v>
      </c>
      <c r="H9562" s="21">
        <v>10</v>
      </c>
      <c r="I9562" s="21" t="s">
        <v>3448</v>
      </c>
      <c r="K9562" s="21" t="s">
        <v>61</v>
      </c>
      <c r="N9562" s="21" t="s">
        <v>40</v>
      </c>
      <c r="O9562" s="21">
        <f>120+45</f>
        <v>165</v>
      </c>
      <c r="Q9562" s="21">
        <f t="shared" si="200"/>
        <v>2</v>
      </c>
      <c r="R9562" s="21">
        <v>1</v>
      </c>
      <c r="S9562" s="21">
        <v>0</v>
      </c>
      <c r="T9562" s="21">
        <v>0</v>
      </c>
      <c r="U9562" s="21">
        <v>0</v>
      </c>
      <c r="V9562" s="21">
        <v>0</v>
      </c>
      <c r="W9562" s="21">
        <v>0</v>
      </c>
      <c r="X9562" s="21">
        <v>0</v>
      </c>
      <c r="Y9562" s="21">
        <v>0</v>
      </c>
      <c r="Z9562" s="21">
        <v>0</v>
      </c>
      <c r="AA9562" s="21">
        <v>1</v>
      </c>
      <c r="AB9562" s="21">
        <v>0</v>
      </c>
      <c r="AC9562" s="21">
        <v>1</v>
      </c>
      <c r="AD9562" s="21">
        <v>0</v>
      </c>
      <c r="AE9562" s="21">
        <v>0</v>
      </c>
      <c r="AF9562" s="21">
        <v>0</v>
      </c>
      <c r="AG9562" s="21">
        <v>0</v>
      </c>
      <c r="AH9562" s="21">
        <f t="shared" si="201"/>
        <v>0</v>
      </c>
      <c r="AJ9562" s="21" t="s">
        <v>51</v>
      </c>
      <c r="AK9562" s="21"/>
      <c r="AL9562" s="21"/>
      <c r="AM9562" s="21" t="s">
        <v>6761</v>
      </c>
      <c r="AN9562" s="21">
        <v>-122.40819911666701</v>
      </c>
      <c r="AO9562" s="21">
        <v>37.789482183333298</v>
      </c>
      <c r="AP9562" s="21" t="s">
        <v>1915</v>
      </c>
    </row>
    <row r="9563" spans="1:42">
      <c r="A9563" s="1">
        <v>43893</v>
      </c>
      <c r="B9563" s="21">
        <v>2</v>
      </c>
      <c r="C9563" s="21">
        <v>505</v>
      </c>
      <c r="D9563" s="21">
        <v>11414</v>
      </c>
      <c r="E9563" s="21" t="s">
        <v>377</v>
      </c>
      <c r="F9563" s="21" t="s">
        <v>436</v>
      </c>
      <c r="G9563" s="21">
        <v>1</v>
      </c>
      <c r="H9563" s="21">
        <v>11</v>
      </c>
      <c r="I9563" s="21" t="s">
        <v>6735</v>
      </c>
      <c r="K9563" s="21" t="s">
        <v>56</v>
      </c>
      <c r="N9563" s="21" t="s">
        <v>44</v>
      </c>
      <c r="O9563" s="21">
        <f>120+31</f>
        <v>151</v>
      </c>
      <c r="Q9563" s="21">
        <f t="shared" ref="Q9563:Q9715" si="202">SUM(S9563:AE9563)</f>
        <v>2</v>
      </c>
      <c r="R9563" s="21">
        <v>1</v>
      </c>
      <c r="S9563" s="21">
        <v>0</v>
      </c>
      <c r="T9563" s="21">
        <v>0</v>
      </c>
      <c r="U9563" s="21">
        <v>0</v>
      </c>
      <c r="V9563" s="21">
        <v>0</v>
      </c>
      <c r="W9563" s="21">
        <v>0</v>
      </c>
      <c r="X9563" s="21">
        <v>0</v>
      </c>
      <c r="Y9563" s="21">
        <v>0</v>
      </c>
      <c r="Z9563" s="21">
        <v>0</v>
      </c>
      <c r="AA9563" s="21">
        <v>1</v>
      </c>
      <c r="AB9563" s="21">
        <v>0</v>
      </c>
      <c r="AC9563" s="21">
        <v>1</v>
      </c>
      <c r="AD9563" s="21">
        <v>0</v>
      </c>
      <c r="AE9563" s="21">
        <v>0</v>
      </c>
      <c r="AF9563" s="21">
        <v>0</v>
      </c>
      <c r="AG9563" s="21">
        <v>0</v>
      </c>
      <c r="AH9563" s="21">
        <f t="shared" ref="AH9563:AH9716" si="203">(S9563*16)+(T9563*20)+(U9563*32)+(V9563*64)+(W9563*96)</f>
        <v>0</v>
      </c>
      <c r="AJ9563" s="21" t="s">
        <v>51</v>
      </c>
      <c r="AK9563" s="21"/>
      <c r="AL9563" s="21" t="s">
        <v>6762</v>
      </c>
      <c r="AM9563" s="21" t="s">
        <v>6763</v>
      </c>
      <c r="AN9563" s="21">
        <v>-122.410125116667</v>
      </c>
      <c r="AO9563" s="21">
        <v>37.7919141666667</v>
      </c>
      <c r="AP9563" s="21" t="s">
        <v>1915</v>
      </c>
    </row>
    <row r="9564" spans="1:42">
      <c r="A9564" s="1">
        <v>43893</v>
      </c>
      <c r="B9564" s="21">
        <v>2</v>
      </c>
      <c r="C9564" s="21">
        <v>505</v>
      </c>
      <c r="D9564" s="21">
        <v>11414</v>
      </c>
      <c r="E9564" s="21" t="s">
        <v>377</v>
      </c>
      <c r="F9564" s="21" t="s">
        <v>436</v>
      </c>
      <c r="G9564" s="21">
        <v>1</v>
      </c>
      <c r="H9564" s="21">
        <v>12</v>
      </c>
      <c r="I9564" s="21" t="s">
        <v>3673</v>
      </c>
      <c r="K9564" s="21" t="s">
        <v>6764</v>
      </c>
      <c r="N9564" s="21" t="s">
        <v>40</v>
      </c>
      <c r="O9564" s="21">
        <v>55</v>
      </c>
      <c r="Q9564" s="21">
        <f t="shared" si="202"/>
        <v>1</v>
      </c>
      <c r="R9564" s="21">
        <v>1</v>
      </c>
      <c r="S9564" s="21">
        <v>0</v>
      </c>
      <c r="T9564" s="21">
        <v>0</v>
      </c>
      <c r="U9564" s="21">
        <v>0</v>
      </c>
      <c r="V9564" s="21">
        <v>0</v>
      </c>
      <c r="W9564" s="21">
        <v>0</v>
      </c>
      <c r="X9564" s="21">
        <v>0</v>
      </c>
      <c r="Y9564" s="21">
        <v>0</v>
      </c>
      <c r="Z9564" s="21">
        <v>0</v>
      </c>
      <c r="AA9564" s="21">
        <v>0</v>
      </c>
      <c r="AB9564" s="21">
        <v>0</v>
      </c>
      <c r="AC9564" s="21">
        <v>1</v>
      </c>
      <c r="AD9564" s="21">
        <v>0</v>
      </c>
      <c r="AE9564" s="21">
        <v>0</v>
      </c>
      <c r="AF9564" s="21">
        <v>0</v>
      </c>
      <c r="AG9564" s="21">
        <v>0</v>
      </c>
      <c r="AH9564" s="21">
        <f t="shared" si="203"/>
        <v>0</v>
      </c>
      <c r="AJ9564" s="21" t="s">
        <v>51</v>
      </c>
      <c r="AK9564" s="21"/>
      <c r="AL9564" s="21" t="s">
        <v>6765</v>
      </c>
      <c r="AM9564" s="21" t="s">
        <v>6766</v>
      </c>
      <c r="AN9564" s="21">
        <v>-122.403240755185</v>
      </c>
      <c r="AO9564" s="21">
        <v>37.788935039810298</v>
      </c>
      <c r="AP9564" s="21" t="s">
        <v>1915</v>
      </c>
    </row>
    <row r="9565" spans="1:42">
      <c r="A9565" s="1">
        <v>43893</v>
      </c>
      <c r="B9565" s="21">
        <v>2</v>
      </c>
      <c r="C9565" s="21">
        <v>505</v>
      </c>
      <c r="D9565" s="21">
        <v>11414</v>
      </c>
      <c r="E9565" s="21" t="s">
        <v>377</v>
      </c>
      <c r="F9565" s="21" t="s">
        <v>436</v>
      </c>
      <c r="G9565" s="21">
        <v>1</v>
      </c>
      <c r="H9565" s="21">
        <v>13</v>
      </c>
      <c r="I9565" s="21" t="s">
        <v>3198</v>
      </c>
      <c r="K9565" s="21" t="s">
        <v>6764</v>
      </c>
      <c r="N9565" s="21" t="s">
        <v>40</v>
      </c>
      <c r="O9565" s="21">
        <f>120+27</f>
        <v>147</v>
      </c>
      <c r="Q9565" s="21">
        <f t="shared" si="202"/>
        <v>2</v>
      </c>
      <c r="R9565" s="21">
        <v>1</v>
      </c>
      <c r="S9565" s="21">
        <v>0</v>
      </c>
      <c r="T9565" s="21">
        <v>0</v>
      </c>
      <c r="U9565" s="21">
        <v>0</v>
      </c>
      <c r="V9565" s="21">
        <v>0</v>
      </c>
      <c r="W9565" s="21">
        <v>0</v>
      </c>
      <c r="X9565" s="21">
        <v>0</v>
      </c>
      <c r="Y9565" s="21">
        <v>0</v>
      </c>
      <c r="Z9565" s="21">
        <v>0</v>
      </c>
      <c r="AA9565" s="21">
        <v>0</v>
      </c>
      <c r="AB9565" s="21">
        <v>2</v>
      </c>
      <c r="AC9565" s="21">
        <v>0</v>
      </c>
      <c r="AD9565" s="21">
        <v>0</v>
      </c>
      <c r="AE9565" s="21">
        <v>0</v>
      </c>
      <c r="AF9565" s="21">
        <v>0</v>
      </c>
      <c r="AG9565" s="21">
        <v>0</v>
      </c>
      <c r="AH9565" s="21">
        <f t="shared" si="203"/>
        <v>0</v>
      </c>
      <c r="AJ9565" s="21"/>
      <c r="AK9565" s="21"/>
      <c r="AL9565" s="21"/>
      <c r="AM9565" s="21" t="s">
        <v>6767</v>
      </c>
      <c r="AN9565" s="21">
        <v>-122.403624333333</v>
      </c>
      <c r="AO9565" s="21">
        <v>37.790716416666697</v>
      </c>
      <c r="AP9565" s="21" t="s">
        <v>1915</v>
      </c>
    </row>
    <row r="9566" spans="1:42">
      <c r="A9566" s="1">
        <v>43893</v>
      </c>
      <c r="B9566" s="21">
        <v>2</v>
      </c>
      <c r="C9566" s="21">
        <v>505</v>
      </c>
      <c r="D9566" s="21">
        <v>11414</v>
      </c>
      <c r="E9566" s="21" t="s">
        <v>377</v>
      </c>
      <c r="F9566" s="21" t="s">
        <v>436</v>
      </c>
      <c r="G9566" s="21">
        <v>1</v>
      </c>
      <c r="H9566" s="21">
        <v>14</v>
      </c>
      <c r="I9566" s="21" t="s">
        <v>3340</v>
      </c>
      <c r="K9566" s="21" t="s">
        <v>50</v>
      </c>
      <c r="N9566" s="21" t="s">
        <v>40</v>
      </c>
      <c r="O9566" s="21">
        <f>120+120+54</f>
        <v>294</v>
      </c>
      <c r="Q9566" s="21">
        <f t="shared" si="202"/>
        <v>2</v>
      </c>
      <c r="R9566" s="21">
        <v>1</v>
      </c>
      <c r="S9566" s="21">
        <v>0</v>
      </c>
      <c r="T9566" s="21">
        <v>0</v>
      </c>
      <c r="U9566" s="21">
        <v>0</v>
      </c>
      <c r="V9566" s="21">
        <v>0</v>
      </c>
      <c r="W9566" s="21">
        <v>0</v>
      </c>
      <c r="X9566" s="21">
        <v>0</v>
      </c>
      <c r="Y9566" s="21">
        <v>0</v>
      </c>
      <c r="Z9566" s="21">
        <v>0</v>
      </c>
      <c r="AA9566" s="21">
        <v>2</v>
      </c>
      <c r="AB9566" s="21">
        <v>0</v>
      </c>
      <c r="AC9566" s="21">
        <v>0</v>
      </c>
      <c r="AD9566" s="21">
        <v>0</v>
      </c>
      <c r="AE9566" s="21">
        <v>0</v>
      </c>
      <c r="AF9566" s="21">
        <v>0</v>
      </c>
      <c r="AG9566" s="21">
        <v>0</v>
      </c>
      <c r="AH9566" s="21">
        <f t="shared" si="203"/>
        <v>0</v>
      </c>
      <c r="AJ9566" s="21"/>
      <c r="AK9566" s="21"/>
      <c r="AL9566" s="21"/>
      <c r="AM9566" s="21" t="s">
        <v>6768</v>
      </c>
      <c r="AN9566" s="21">
        <v>-122.40454516666701</v>
      </c>
      <c r="AO9566" s="21">
        <v>37.791665866666698</v>
      </c>
      <c r="AP9566" s="21" t="s">
        <v>1915</v>
      </c>
    </row>
    <row r="9567" spans="1:42">
      <c r="A9567" s="1">
        <v>43893</v>
      </c>
      <c r="B9567" s="21">
        <v>2</v>
      </c>
      <c r="C9567" s="21">
        <v>505</v>
      </c>
      <c r="D9567" s="21">
        <v>11414</v>
      </c>
      <c r="E9567" s="21" t="s">
        <v>377</v>
      </c>
      <c r="F9567" s="21" t="s">
        <v>436</v>
      </c>
      <c r="G9567" s="21">
        <v>1</v>
      </c>
      <c r="H9567" s="21">
        <v>15</v>
      </c>
      <c r="I9567" s="21" t="s">
        <v>4287</v>
      </c>
      <c r="K9567" s="21" t="s">
        <v>56</v>
      </c>
      <c r="N9567" s="21" t="s">
        <v>40</v>
      </c>
      <c r="O9567" s="21">
        <v>60</v>
      </c>
      <c r="Q9567" s="21">
        <f t="shared" si="202"/>
        <v>1</v>
      </c>
      <c r="R9567" s="21">
        <v>1</v>
      </c>
      <c r="S9567" s="21">
        <v>0</v>
      </c>
      <c r="T9567" s="21">
        <v>0</v>
      </c>
      <c r="U9567" s="21">
        <v>0</v>
      </c>
      <c r="V9567" s="21">
        <v>0</v>
      </c>
      <c r="W9567" s="21">
        <v>0</v>
      </c>
      <c r="X9567" s="21">
        <v>0</v>
      </c>
      <c r="Y9567" s="21">
        <v>0</v>
      </c>
      <c r="Z9567" s="21">
        <v>0</v>
      </c>
      <c r="AA9567" s="21">
        <v>0</v>
      </c>
      <c r="AB9567" s="21">
        <v>1</v>
      </c>
      <c r="AC9567" s="21">
        <v>0</v>
      </c>
      <c r="AD9567" s="21">
        <v>0</v>
      </c>
      <c r="AE9567" s="21">
        <v>0</v>
      </c>
      <c r="AF9567" s="21">
        <v>0</v>
      </c>
      <c r="AG9567" s="21">
        <v>0</v>
      </c>
      <c r="AH9567" s="21">
        <f t="shared" si="203"/>
        <v>0</v>
      </c>
      <c r="AJ9567" s="21" t="s">
        <v>51</v>
      </c>
      <c r="AK9567" s="21"/>
      <c r="AL9567" s="21"/>
      <c r="AM9567" s="21" t="s">
        <v>6769</v>
      </c>
      <c r="AN9567" s="21">
        <v>-122.406113848998</v>
      </c>
      <c r="AO9567" s="21">
        <v>37.792122565770399</v>
      </c>
      <c r="AP9567" s="21" t="s">
        <v>1915</v>
      </c>
    </row>
    <row r="9568" spans="1:42">
      <c r="A9568" s="1">
        <v>43893</v>
      </c>
      <c r="B9568" s="21">
        <v>2</v>
      </c>
      <c r="C9568" s="21">
        <v>505</v>
      </c>
      <c r="D9568" s="21">
        <v>11414</v>
      </c>
      <c r="E9568" s="21" t="s">
        <v>377</v>
      </c>
      <c r="F9568" s="21" t="s">
        <v>436</v>
      </c>
      <c r="G9568" s="21">
        <v>1</v>
      </c>
      <c r="H9568" s="21">
        <v>16</v>
      </c>
      <c r="I9568" s="21" t="s">
        <v>5745</v>
      </c>
      <c r="K9568" s="21" t="s">
        <v>2125</v>
      </c>
      <c r="N9568" s="21" t="s">
        <v>40</v>
      </c>
      <c r="O9568" s="21">
        <f>120+35</f>
        <v>155</v>
      </c>
      <c r="Q9568" s="21">
        <f t="shared" si="202"/>
        <v>2</v>
      </c>
      <c r="R9568" s="21">
        <v>1</v>
      </c>
      <c r="S9568" s="21">
        <v>0</v>
      </c>
      <c r="T9568" s="21">
        <v>0</v>
      </c>
      <c r="U9568" s="21">
        <v>0</v>
      </c>
      <c r="V9568" s="21">
        <v>0</v>
      </c>
      <c r="W9568" s="21">
        <v>0</v>
      </c>
      <c r="X9568" s="21">
        <v>0</v>
      </c>
      <c r="Y9568" s="21">
        <v>0</v>
      </c>
      <c r="Z9568" s="21">
        <v>0</v>
      </c>
      <c r="AA9568" s="21">
        <v>2</v>
      </c>
      <c r="AB9568" s="21">
        <v>0</v>
      </c>
      <c r="AC9568" s="21">
        <v>0</v>
      </c>
      <c r="AD9568" s="21">
        <v>0</v>
      </c>
      <c r="AE9568" s="21">
        <v>0</v>
      </c>
      <c r="AF9568" s="21">
        <v>0</v>
      </c>
      <c r="AG9568" s="21">
        <v>0</v>
      </c>
      <c r="AH9568" s="21">
        <f t="shared" si="203"/>
        <v>0</v>
      </c>
      <c r="AJ9568" s="21" t="s">
        <v>51</v>
      </c>
      <c r="AK9568" s="21" t="s">
        <v>95</v>
      </c>
      <c r="AL9568" s="21" t="s">
        <v>4193</v>
      </c>
      <c r="AM9568" s="21" t="s">
        <v>6770</v>
      </c>
      <c r="AN9568" s="21">
        <v>-122.40377631554701</v>
      </c>
      <c r="AO9568" s="21">
        <v>37.792988360625401</v>
      </c>
      <c r="AP9568" s="21" t="s">
        <v>1915</v>
      </c>
    </row>
    <row r="9569" spans="1:42">
      <c r="A9569" s="1">
        <v>43893</v>
      </c>
      <c r="B9569" s="21">
        <v>2</v>
      </c>
      <c r="C9569" s="21">
        <v>505</v>
      </c>
      <c r="D9569" s="21">
        <v>11414</v>
      </c>
      <c r="E9569" s="21" t="s">
        <v>377</v>
      </c>
      <c r="F9569" s="21" t="s">
        <v>436</v>
      </c>
      <c r="G9569" s="21">
        <v>1</v>
      </c>
      <c r="H9569" s="21">
        <v>17</v>
      </c>
      <c r="I9569" s="21" t="s">
        <v>3340</v>
      </c>
      <c r="K9569" s="21" t="s">
        <v>2125</v>
      </c>
      <c r="N9569" s="21" t="s">
        <v>40</v>
      </c>
      <c r="O9569" s="21">
        <f>60+35</f>
        <v>95</v>
      </c>
      <c r="Q9569" s="21">
        <f t="shared" si="202"/>
        <v>2</v>
      </c>
      <c r="R9569" s="21">
        <v>1</v>
      </c>
      <c r="S9569" s="21">
        <v>0</v>
      </c>
      <c r="T9569" s="21">
        <v>0</v>
      </c>
      <c r="U9569" s="21">
        <v>0</v>
      </c>
      <c r="V9569" s="21">
        <v>0</v>
      </c>
      <c r="W9569" s="21">
        <v>0</v>
      </c>
      <c r="X9569" s="21">
        <v>0</v>
      </c>
      <c r="Y9569" s="21">
        <v>0</v>
      </c>
      <c r="Z9569" s="21">
        <v>0</v>
      </c>
      <c r="AA9569" s="21">
        <v>0</v>
      </c>
      <c r="AB9569" s="21">
        <v>2</v>
      </c>
      <c r="AC9569" s="21">
        <v>0</v>
      </c>
      <c r="AD9569" s="21">
        <v>0</v>
      </c>
      <c r="AE9569" s="21">
        <v>0</v>
      </c>
      <c r="AF9569" s="21">
        <v>0</v>
      </c>
      <c r="AG9569" s="21">
        <v>0</v>
      </c>
      <c r="AH9569" s="21">
        <f t="shared" si="203"/>
        <v>0</v>
      </c>
      <c r="AJ9569" s="21" t="s">
        <v>54</v>
      </c>
      <c r="AK9569" s="21" t="s">
        <v>95</v>
      </c>
      <c r="AL9569" s="21"/>
      <c r="AM9569" s="21" t="s">
        <v>6771</v>
      </c>
      <c r="AN9569" s="21">
        <v>-122.4052487</v>
      </c>
      <c r="AO9569" s="21">
        <v>37.793495633333301</v>
      </c>
      <c r="AP9569" s="21" t="s">
        <v>1915</v>
      </c>
    </row>
    <row r="9570" spans="1:42">
      <c r="A9570" s="1">
        <v>43893</v>
      </c>
      <c r="B9570" s="21">
        <v>2</v>
      </c>
      <c r="C9570" s="21">
        <v>505</v>
      </c>
      <c r="D9570" s="21">
        <v>11414</v>
      </c>
      <c r="E9570" s="21" t="s">
        <v>377</v>
      </c>
      <c r="F9570" s="21" t="s">
        <v>436</v>
      </c>
      <c r="G9570" s="21">
        <v>1</v>
      </c>
      <c r="H9570" s="21">
        <v>18</v>
      </c>
      <c r="I9570" s="21" t="s">
        <v>5745</v>
      </c>
      <c r="K9570" s="21" t="s">
        <v>56</v>
      </c>
      <c r="N9570" s="21" t="s">
        <v>44</v>
      </c>
      <c r="O9570" s="21">
        <f>60+53</f>
        <v>113</v>
      </c>
      <c r="Q9570" s="21">
        <f t="shared" si="202"/>
        <v>1</v>
      </c>
      <c r="R9570" s="21">
        <v>1</v>
      </c>
      <c r="S9570" s="21">
        <v>0</v>
      </c>
      <c r="T9570" s="21">
        <v>0</v>
      </c>
      <c r="U9570" s="21">
        <v>0</v>
      </c>
      <c r="V9570" s="21">
        <v>0</v>
      </c>
      <c r="W9570" s="21">
        <v>0</v>
      </c>
      <c r="X9570" s="21">
        <v>0</v>
      </c>
      <c r="Y9570" s="21">
        <v>0</v>
      </c>
      <c r="Z9570" s="21">
        <v>0</v>
      </c>
      <c r="AA9570" s="21">
        <v>0</v>
      </c>
      <c r="AB9570" s="21">
        <v>1</v>
      </c>
      <c r="AC9570" s="21">
        <v>0</v>
      </c>
      <c r="AD9570" s="21">
        <v>0</v>
      </c>
      <c r="AE9570" s="21">
        <v>0</v>
      </c>
      <c r="AF9570" s="21">
        <v>0</v>
      </c>
      <c r="AG9570" s="21">
        <v>0</v>
      </c>
      <c r="AH9570" s="21">
        <f t="shared" si="203"/>
        <v>0</v>
      </c>
      <c r="AJ9570" s="21" t="s">
        <v>51</v>
      </c>
      <c r="AK9570" s="21" t="s">
        <v>52</v>
      </c>
      <c r="AL9570" s="21" t="s">
        <v>6762</v>
      </c>
      <c r="AM9570" s="21" t="s">
        <v>6772</v>
      </c>
      <c r="AN9570" s="21">
        <v>-122.40142000507799</v>
      </c>
      <c r="AO9570" s="21">
        <v>37.795441724629399</v>
      </c>
      <c r="AP9570" s="21" t="s">
        <v>1915</v>
      </c>
    </row>
    <row r="9571" spans="1:42">
      <c r="A9571" s="1">
        <v>43893</v>
      </c>
      <c r="B9571" s="21">
        <v>2</v>
      </c>
      <c r="C9571" s="21">
        <v>505</v>
      </c>
      <c r="D9571" s="21">
        <v>11414</v>
      </c>
      <c r="E9571" s="21" t="s">
        <v>377</v>
      </c>
      <c r="F9571" s="21" t="s">
        <v>436</v>
      </c>
      <c r="G9571" s="21">
        <v>1</v>
      </c>
      <c r="H9571" s="21">
        <v>19</v>
      </c>
      <c r="I9571" s="21" t="s">
        <v>6741</v>
      </c>
      <c r="K9571" s="21" t="s">
        <v>71</v>
      </c>
      <c r="N9571" s="21" t="s">
        <v>40</v>
      </c>
      <c r="O9571" s="21">
        <f>120+59</f>
        <v>179</v>
      </c>
      <c r="Q9571" s="21">
        <f t="shared" si="202"/>
        <v>2</v>
      </c>
      <c r="R9571" s="21">
        <v>1</v>
      </c>
      <c r="S9571" s="21">
        <v>0</v>
      </c>
      <c r="T9571" s="21">
        <v>0</v>
      </c>
      <c r="U9571" s="21">
        <v>0</v>
      </c>
      <c r="V9571" s="21">
        <v>0</v>
      </c>
      <c r="W9571" s="21">
        <v>0</v>
      </c>
      <c r="X9571" s="21">
        <v>0</v>
      </c>
      <c r="Y9571" s="21">
        <v>0</v>
      </c>
      <c r="Z9571" s="21">
        <v>0</v>
      </c>
      <c r="AA9571" s="21">
        <v>0</v>
      </c>
      <c r="AB9571" s="21">
        <v>2</v>
      </c>
      <c r="AC9571" s="21">
        <v>0</v>
      </c>
      <c r="AD9571" s="21">
        <v>0</v>
      </c>
      <c r="AE9571" s="21">
        <v>0</v>
      </c>
      <c r="AF9571" s="21">
        <v>0</v>
      </c>
      <c r="AG9571" s="21">
        <v>0</v>
      </c>
      <c r="AH9571" s="21">
        <f t="shared" si="203"/>
        <v>0</v>
      </c>
      <c r="AJ9571" s="21" t="s">
        <v>51</v>
      </c>
      <c r="AK9571" s="21" t="s">
        <v>52</v>
      </c>
      <c r="AL9571" s="21"/>
      <c r="AM9571" s="21" t="s">
        <v>6773</v>
      </c>
      <c r="AN9571" s="21">
        <v>-122.40177806666701</v>
      </c>
      <c r="AO9571" s="21">
        <v>37.796020083333303</v>
      </c>
      <c r="AP9571" s="21" t="s">
        <v>1915</v>
      </c>
    </row>
    <row r="9572" spans="1:42">
      <c r="A9572" s="1">
        <v>43893</v>
      </c>
      <c r="B9572" s="21">
        <v>2</v>
      </c>
      <c r="C9572" s="21">
        <v>505</v>
      </c>
      <c r="D9572" s="21">
        <v>11414</v>
      </c>
      <c r="E9572" s="21" t="s">
        <v>377</v>
      </c>
      <c r="F9572" s="21" t="s">
        <v>436</v>
      </c>
      <c r="G9572" s="21">
        <v>1</v>
      </c>
      <c r="H9572" s="21">
        <v>20</v>
      </c>
      <c r="I9572" s="21" t="s">
        <v>4243</v>
      </c>
      <c r="K9572" s="21" t="s">
        <v>58</v>
      </c>
      <c r="N9572" s="21" t="s">
        <v>40</v>
      </c>
      <c r="O9572" s="21">
        <f>60+51</f>
        <v>111</v>
      </c>
      <c r="Q9572" s="21">
        <f t="shared" si="202"/>
        <v>1</v>
      </c>
      <c r="R9572" s="21">
        <v>1</v>
      </c>
      <c r="S9572" s="21">
        <v>0</v>
      </c>
      <c r="T9572" s="21">
        <v>0</v>
      </c>
      <c r="U9572" s="21">
        <v>0</v>
      </c>
      <c r="V9572" s="21">
        <v>0</v>
      </c>
      <c r="W9572" s="21">
        <v>0</v>
      </c>
      <c r="X9572" s="21">
        <v>0</v>
      </c>
      <c r="Y9572" s="21">
        <v>0</v>
      </c>
      <c r="Z9572" s="21">
        <v>0</v>
      </c>
      <c r="AA9572" s="21">
        <v>0</v>
      </c>
      <c r="AB9572" s="21">
        <v>0</v>
      </c>
      <c r="AC9572" s="21">
        <v>1</v>
      </c>
      <c r="AD9572" s="21">
        <v>0</v>
      </c>
      <c r="AE9572" s="21">
        <v>0</v>
      </c>
      <c r="AF9572" s="21">
        <v>0</v>
      </c>
      <c r="AG9572" s="21">
        <v>0</v>
      </c>
      <c r="AH9572" s="21">
        <f t="shared" si="203"/>
        <v>0</v>
      </c>
      <c r="AJ9572" s="21" t="s">
        <v>51</v>
      </c>
      <c r="AK9572" s="21" t="s">
        <v>52</v>
      </c>
      <c r="AL9572" s="21"/>
      <c r="AM9572" s="21" t="s">
        <v>6774</v>
      </c>
      <c r="AN9572" s="21">
        <v>-122.40178633333301</v>
      </c>
      <c r="AO9572" s="21">
        <v>37.790136799999999</v>
      </c>
      <c r="AP9572" s="21" t="s">
        <v>1915</v>
      </c>
    </row>
    <row r="9573" spans="1:42">
      <c r="A9573" s="1">
        <v>43893</v>
      </c>
      <c r="B9573" s="21">
        <v>2</v>
      </c>
      <c r="C9573" s="21">
        <v>505</v>
      </c>
      <c r="D9573" s="21">
        <v>11414</v>
      </c>
      <c r="E9573" s="21" t="s">
        <v>377</v>
      </c>
      <c r="F9573" s="21" t="s">
        <v>436</v>
      </c>
      <c r="G9573" s="21">
        <v>1</v>
      </c>
      <c r="H9573" s="21">
        <v>21</v>
      </c>
      <c r="I9573" s="21" t="s">
        <v>4188</v>
      </c>
      <c r="K9573" s="21" t="s">
        <v>62</v>
      </c>
      <c r="N9573" s="21" t="s">
        <v>40</v>
      </c>
      <c r="O9573" s="21">
        <f>60+19</f>
        <v>79</v>
      </c>
      <c r="Q9573" s="21">
        <f t="shared" si="202"/>
        <v>1</v>
      </c>
      <c r="R9573" s="21">
        <v>1</v>
      </c>
      <c r="S9573" s="21">
        <v>0</v>
      </c>
      <c r="T9573" s="21">
        <v>0</v>
      </c>
      <c r="U9573" s="21">
        <v>0</v>
      </c>
      <c r="V9573" s="21">
        <v>0</v>
      </c>
      <c r="W9573" s="21">
        <v>0</v>
      </c>
      <c r="X9573" s="21">
        <v>0</v>
      </c>
      <c r="Y9573" s="21">
        <v>0</v>
      </c>
      <c r="Z9573" s="21">
        <v>0</v>
      </c>
      <c r="AA9573" s="21">
        <v>1</v>
      </c>
      <c r="AB9573" s="21">
        <v>0</v>
      </c>
      <c r="AC9573" s="21">
        <v>0</v>
      </c>
      <c r="AD9573" s="21">
        <v>0</v>
      </c>
      <c r="AE9573" s="21">
        <v>0</v>
      </c>
      <c r="AF9573" s="21">
        <v>0</v>
      </c>
      <c r="AG9573" s="21">
        <v>0</v>
      </c>
      <c r="AH9573" s="21">
        <f t="shared" si="203"/>
        <v>0</v>
      </c>
      <c r="AJ9573" s="21" t="s">
        <v>51</v>
      </c>
      <c r="AK9573" s="21"/>
      <c r="AL9573" s="21"/>
      <c r="AM9573" s="21" t="s">
        <v>6775</v>
      </c>
      <c r="AN9573" s="21">
        <v>-122.398571533333</v>
      </c>
      <c r="AO9573" s="21">
        <v>37.789611450000002</v>
      </c>
      <c r="AP9573" s="21" t="s">
        <v>1915</v>
      </c>
    </row>
    <row r="9574" spans="1:42">
      <c r="A9574" s="1">
        <v>43893</v>
      </c>
      <c r="B9574" s="21">
        <v>2</v>
      </c>
      <c r="C9574" s="21">
        <v>505</v>
      </c>
      <c r="D9574" s="21">
        <v>11414</v>
      </c>
      <c r="E9574" s="21" t="s">
        <v>377</v>
      </c>
      <c r="F9574" s="21" t="s">
        <v>436</v>
      </c>
      <c r="G9574" s="21">
        <v>1</v>
      </c>
      <c r="H9574" s="21">
        <v>22</v>
      </c>
      <c r="I9574" s="21" t="s">
        <v>6201</v>
      </c>
      <c r="K9574" s="21" t="s">
        <v>60</v>
      </c>
      <c r="N9574" s="21" t="s">
        <v>40</v>
      </c>
      <c r="O9574" s="21">
        <f>120+41</f>
        <v>161</v>
      </c>
      <c r="Q9574" s="21">
        <f t="shared" si="202"/>
        <v>1</v>
      </c>
      <c r="R9574" s="21">
        <v>1</v>
      </c>
      <c r="S9574" s="21">
        <v>0</v>
      </c>
      <c r="T9574" s="21">
        <v>0</v>
      </c>
      <c r="U9574" s="21">
        <v>0</v>
      </c>
      <c r="V9574" s="21">
        <v>0</v>
      </c>
      <c r="W9574" s="21">
        <v>0</v>
      </c>
      <c r="X9574" s="21">
        <v>0</v>
      </c>
      <c r="Y9574" s="21">
        <v>0</v>
      </c>
      <c r="Z9574" s="21">
        <v>0</v>
      </c>
      <c r="AA9574" s="21">
        <v>0</v>
      </c>
      <c r="AB9574" s="21">
        <v>1</v>
      </c>
      <c r="AC9574" s="21">
        <v>0</v>
      </c>
      <c r="AD9574" s="21">
        <v>0</v>
      </c>
      <c r="AE9574" s="21">
        <v>0</v>
      </c>
      <c r="AF9574" s="21">
        <v>0</v>
      </c>
      <c r="AG9574" s="21">
        <v>0</v>
      </c>
      <c r="AH9574" s="21">
        <f t="shared" si="203"/>
        <v>0</v>
      </c>
      <c r="AJ9574" s="21" t="s">
        <v>51</v>
      </c>
      <c r="AK9574" s="21" t="s">
        <v>95</v>
      </c>
      <c r="AL9574" s="21"/>
      <c r="AM9574" s="21" t="s">
        <v>6776</v>
      </c>
      <c r="AN9574" s="21">
        <v>-122.398977316667</v>
      </c>
      <c r="AO9574" s="21">
        <v>37.788661400000002</v>
      </c>
      <c r="AP9574" s="21" t="s">
        <v>1915</v>
      </c>
    </row>
    <row r="9575" spans="1:42">
      <c r="A9575" s="1">
        <v>43893</v>
      </c>
      <c r="B9575" s="21">
        <v>2</v>
      </c>
      <c r="C9575" s="21">
        <v>505</v>
      </c>
      <c r="D9575" s="21">
        <v>11414</v>
      </c>
      <c r="E9575" s="21" t="s">
        <v>377</v>
      </c>
      <c r="F9575" s="21" t="s">
        <v>436</v>
      </c>
      <c r="G9575" s="21">
        <v>1</v>
      </c>
      <c r="H9575" s="21">
        <v>23</v>
      </c>
      <c r="I9575" s="21" t="s">
        <v>6217</v>
      </c>
      <c r="K9575" s="21" t="s">
        <v>56</v>
      </c>
      <c r="N9575" s="21" t="s">
        <v>40</v>
      </c>
      <c r="O9575" s="21">
        <f>120+60+21</f>
        <v>201</v>
      </c>
      <c r="Q9575" s="21">
        <f t="shared" si="202"/>
        <v>2</v>
      </c>
      <c r="R9575" s="21">
        <v>1</v>
      </c>
      <c r="S9575" s="21">
        <v>0</v>
      </c>
      <c r="T9575" s="21">
        <v>0</v>
      </c>
      <c r="U9575" s="21">
        <v>0</v>
      </c>
      <c r="V9575" s="21">
        <v>0</v>
      </c>
      <c r="W9575" s="21">
        <v>0</v>
      </c>
      <c r="X9575" s="21">
        <v>0</v>
      </c>
      <c r="Y9575" s="21">
        <v>0</v>
      </c>
      <c r="Z9575" s="21">
        <v>2</v>
      </c>
      <c r="AA9575" s="21">
        <v>0</v>
      </c>
      <c r="AB9575" s="21">
        <v>0</v>
      </c>
      <c r="AC9575" s="21">
        <v>0</v>
      </c>
      <c r="AD9575" s="21">
        <v>0</v>
      </c>
      <c r="AE9575" s="21">
        <v>0</v>
      </c>
      <c r="AF9575" s="21">
        <v>0</v>
      </c>
      <c r="AG9575" s="21">
        <v>0</v>
      </c>
      <c r="AH9575" s="21">
        <f t="shared" si="203"/>
        <v>0</v>
      </c>
      <c r="AJ9575" s="21" t="s">
        <v>51</v>
      </c>
      <c r="AK9575" s="21"/>
      <c r="AL9575" s="21"/>
      <c r="AM9575" s="21" t="s">
        <v>6777</v>
      </c>
      <c r="AN9575" s="21">
        <v>-122.399325816667</v>
      </c>
      <c r="AO9575" s="21">
        <v>37.792147583333303</v>
      </c>
      <c r="AP9575" s="21" t="s">
        <v>1915</v>
      </c>
    </row>
    <row r="9576" spans="1:42">
      <c r="A9576" s="1">
        <v>43893</v>
      </c>
      <c r="B9576" s="21">
        <v>2</v>
      </c>
      <c r="C9576" s="21">
        <v>505</v>
      </c>
      <c r="D9576" s="21">
        <v>11414</v>
      </c>
      <c r="E9576" s="21" t="s">
        <v>377</v>
      </c>
      <c r="F9576" s="21" t="s">
        <v>436</v>
      </c>
      <c r="G9576" s="21">
        <v>1</v>
      </c>
      <c r="H9576" s="21">
        <v>24</v>
      </c>
      <c r="I9576" s="21" t="s">
        <v>6778</v>
      </c>
      <c r="K9576" s="21" t="s">
        <v>71</v>
      </c>
      <c r="N9576" s="21" t="s">
        <v>40</v>
      </c>
      <c r="O9576" s="21">
        <f>120+120+27</f>
        <v>267</v>
      </c>
      <c r="Q9576" s="21">
        <f t="shared" si="202"/>
        <v>4</v>
      </c>
      <c r="R9576" s="21">
        <v>1</v>
      </c>
      <c r="S9576" s="21">
        <v>0</v>
      </c>
      <c r="T9576" s="21">
        <v>0</v>
      </c>
      <c r="U9576" s="21">
        <v>0</v>
      </c>
      <c r="V9576" s="21">
        <v>0</v>
      </c>
      <c r="W9576" s="21">
        <v>0</v>
      </c>
      <c r="X9576" s="21">
        <v>0</v>
      </c>
      <c r="Y9576" s="21">
        <v>0</v>
      </c>
      <c r="Z9576" s="21">
        <v>1</v>
      </c>
      <c r="AA9576" s="21">
        <v>0</v>
      </c>
      <c r="AB9576" s="21">
        <v>0</v>
      </c>
      <c r="AC9576" s="21">
        <v>2</v>
      </c>
      <c r="AD9576" s="21">
        <v>1</v>
      </c>
      <c r="AE9576" s="21">
        <v>0</v>
      </c>
      <c r="AF9576" s="21">
        <v>0</v>
      </c>
      <c r="AG9576" s="21">
        <v>0</v>
      </c>
      <c r="AH9576" s="21">
        <f t="shared" si="203"/>
        <v>0</v>
      </c>
      <c r="AJ9576" s="21" t="s">
        <v>54</v>
      </c>
      <c r="AK9576" s="21" t="s">
        <v>95</v>
      </c>
      <c r="AL9576" s="21"/>
      <c r="AM9576" s="21" t="s">
        <v>6779</v>
      </c>
      <c r="AN9576" s="21">
        <v>-122.398699783333</v>
      </c>
      <c r="AO9576" s="21">
        <v>37.787169466666697</v>
      </c>
      <c r="AP9576" s="21" t="s">
        <v>1915</v>
      </c>
    </row>
    <row r="9577" spans="1:42">
      <c r="A9577" s="1">
        <v>43893</v>
      </c>
      <c r="B9577" s="21">
        <v>2</v>
      </c>
      <c r="C9577" s="21">
        <v>505</v>
      </c>
      <c r="D9577" s="21">
        <v>11414</v>
      </c>
      <c r="E9577" s="21" t="s">
        <v>377</v>
      </c>
      <c r="F9577" s="21" t="s">
        <v>436</v>
      </c>
      <c r="G9577" s="21">
        <v>1</v>
      </c>
      <c r="H9577" s="21">
        <v>25</v>
      </c>
      <c r="I9577" s="21" t="s">
        <v>4240</v>
      </c>
      <c r="K9577" s="21" t="s">
        <v>46</v>
      </c>
      <c r="N9577" s="21" t="s">
        <v>40</v>
      </c>
      <c r="O9577" s="21">
        <f>60+45</f>
        <v>105</v>
      </c>
      <c r="Q9577" s="21">
        <f t="shared" si="202"/>
        <v>2</v>
      </c>
      <c r="R9577" s="21">
        <v>1</v>
      </c>
      <c r="S9577" s="21">
        <v>0</v>
      </c>
      <c r="T9577" s="21">
        <v>0</v>
      </c>
      <c r="U9577" s="21">
        <v>0</v>
      </c>
      <c r="V9577" s="21">
        <v>0</v>
      </c>
      <c r="W9577" s="21">
        <v>0</v>
      </c>
      <c r="X9577" s="21">
        <v>0</v>
      </c>
      <c r="Y9577" s="21">
        <v>0</v>
      </c>
      <c r="Z9577" s="21">
        <v>0</v>
      </c>
      <c r="AA9577" s="21">
        <v>2</v>
      </c>
      <c r="AB9577" s="21">
        <v>0</v>
      </c>
      <c r="AC9577" s="21">
        <v>0</v>
      </c>
      <c r="AD9577" s="21">
        <v>0</v>
      </c>
      <c r="AE9577" s="21">
        <v>0</v>
      </c>
      <c r="AF9577" s="21">
        <v>0</v>
      </c>
      <c r="AG9577" s="21">
        <v>0</v>
      </c>
      <c r="AH9577" s="21">
        <f t="shared" si="203"/>
        <v>0</v>
      </c>
      <c r="AJ9577" s="21" t="s">
        <v>51</v>
      </c>
      <c r="AK9577" s="21" t="s">
        <v>95</v>
      </c>
      <c r="AL9577" s="21"/>
      <c r="AM9577" s="21" t="s">
        <v>6780</v>
      </c>
      <c r="AN9577" s="21">
        <v>-122.399420816667</v>
      </c>
      <c r="AO9577" s="21">
        <v>37.7887804</v>
      </c>
      <c r="AP9577" s="21" t="s">
        <v>1915</v>
      </c>
    </row>
    <row r="9578" spans="1:42">
      <c r="A9578" s="1">
        <v>43893</v>
      </c>
      <c r="B9578" s="21">
        <v>2</v>
      </c>
      <c r="C9578" s="21">
        <v>505</v>
      </c>
      <c r="D9578" s="21">
        <v>11414</v>
      </c>
      <c r="E9578" s="21" t="s">
        <v>377</v>
      </c>
      <c r="F9578" s="21" t="s">
        <v>436</v>
      </c>
      <c r="G9578" s="21">
        <v>1</v>
      </c>
      <c r="H9578" s="21">
        <v>26</v>
      </c>
      <c r="I9578" s="21" t="s">
        <v>3448</v>
      </c>
      <c r="K9578" s="21" t="s">
        <v>53</v>
      </c>
      <c r="N9578" s="21" t="s">
        <v>1703</v>
      </c>
      <c r="O9578" s="21">
        <f>60+53</f>
        <v>113</v>
      </c>
      <c r="Q9578" s="21">
        <f t="shared" si="202"/>
        <v>2</v>
      </c>
      <c r="R9578" s="21">
        <v>1</v>
      </c>
      <c r="S9578" s="21">
        <v>0</v>
      </c>
      <c r="T9578" s="21">
        <v>0</v>
      </c>
      <c r="U9578" s="21">
        <v>0</v>
      </c>
      <c r="V9578" s="21">
        <v>0</v>
      </c>
      <c r="W9578" s="21">
        <v>0</v>
      </c>
      <c r="X9578" s="21">
        <v>0</v>
      </c>
      <c r="Y9578" s="21">
        <v>0</v>
      </c>
      <c r="Z9578" s="21">
        <v>2</v>
      </c>
      <c r="AA9578" s="21">
        <v>0</v>
      </c>
      <c r="AB9578" s="21">
        <v>0</v>
      </c>
      <c r="AC9578" s="21">
        <v>0</v>
      </c>
      <c r="AD9578" s="21">
        <v>0</v>
      </c>
      <c r="AE9578" s="21">
        <v>0</v>
      </c>
      <c r="AF9578" s="21">
        <v>0</v>
      </c>
      <c r="AG9578" s="21">
        <v>0</v>
      </c>
      <c r="AH9578" s="21">
        <f t="shared" si="203"/>
        <v>0</v>
      </c>
      <c r="AJ9578" s="21"/>
      <c r="AK9578" s="21"/>
      <c r="AL9578" s="21" t="s">
        <v>6781</v>
      </c>
      <c r="AM9578" s="21" t="s">
        <v>6782</v>
      </c>
      <c r="AN9578" s="21">
        <v>-122.39873745902</v>
      </c>
      <c r="AO9578" s="21">
        <v>37.788579451667303</v>
      </c>
      <c r="AP9578" s="21" t="s">
        <v>1915</v>
      </c>
    </row>
    <row r="9579" spans="1:42">
      <c r="A9579" s="1">
        <v>43893</v>
      </c>
      <c r="B9579" s="21">
        <v>2</v>
      </c>
      <c r="C9579" s="21">
        <v>505</v>
      </c>
      <c r="D9579" s="21">
        <v>11414</v>
      </c>
      <c r="E9579" s="21" t="s">
        <v>377</v>
      </c>
      <c r="F9579" s="21" t="s">
        <v>436</v>
      </c>
      <c r="G9579" s="21">
        <v>1</v>
      </c>
      <c r="H9579" s="21">
        <v>27</v>
      </c>
      <c r="I9579" s="21" t="s">
        <v>4541</v>
      </c>
      <c r="K9579" s="21" t="s">
        <v>399</v>
      </c>
      <c r="N9579" s="21" t="s">
        <v>40</v>
      </c>
      <c r="O9579" s="21">
        <v>67</v>
      </c>
      <c r="Q9579" s="21">
        <f t="shared" si="202"/>
        <v>1</v>
      </c>
      <c r="R9579" s="21">
        <v>1</v>
      </c>
      <c r="S9579" s="21">
        <v>0</v>
      </c>
      <c r="T9579" s="21">
        <v>0</v>
      </c>
      <c r="U9579" s="21">
        <v>0</v>
      </c>
      <c r="V9579" s="21">
        <v>0</v>
      </c>
      <c r="W9579" s="21">
        <v>0</v>
      </c>
      <c r="X9579" s="21">
        <v>0</v>
      </c>
      <c r="Y9579" s="21">
        <v>0</v>
      </c>
      <c r="Z9579" s="21">
        <v>0</v>
      </c>
      <c r="AA9579" s="21">
        <v>1</v>
      </c>
      <c r="AB9579" s="21">
        <v>0</v>
      </c>
      <c r="AC9579" s="21">
        <v>0</v>
      </c>
      <c r="AD9579" s="21">
        <v>0</v>
      </c>
      <c r="AE9579" s="21">
        <v>0</v>
      </c>
      <c r="AF9579" s="21">
        <v>0</v>
      </c>
      <c r="AG9579" s="21">
        <v>0</v>
      </c>
      <c r="AH9579" s="21">
        <f t="shared" si="203"/>
        <v>0</v>
      </c>
      <c r="AJ9579" s="21"/>
      <c r="AK9579" s="21"/>
      <c r="AL9579" s="21"/>
      <c r="AM9579" s="21" t="s">
        <v>6783</v>
      </c>
      <c r="AN9579" s="21">
        <v>-122.39675595</v>
      </c>
      <c r="AO9579" s="21">
        <v>37.788594449999998</v>
      </c>
      <c r="AP9579" s="21" t="s">
        <v>1915</v>
      </c>
    </row>
    <row r="9580" spans="1:42">
      <c r="A9580" s="1">
        <v>43893</v>
      </c>
      <c r="B9580" s="21">
        <v>2</v>
      </c>
      <c r="C9580" s="21">
        <v>505</v>
      </c>
      <c r="D9580" s="21">
        <v>11414</v>
      </c>
      <c r="E9580" s="21" t="s">
        <v>377</v>
      </c>
      <c r="F9580" s="21" t="s">
        <v>436</v>
      </c>
      <c r="G9580" s="21">
        <v>1</v>
      </c>
      <c r="H9580" s="21">
        <v>28</v>
      </c>
      <c r="I9580" s="21" t="s">
        <v>6784</v>
      </c>
      <c r="K9580" s="21" t="s">
        <v>394</v>
      </c>
      <c r="N9580" s="21" t="s">
        <v>40</v>
      </c>
      <c r="O9580" s="21">
        <f>60+54</f>
        <v>114</v>
      </c>
      <c r="Q9580" s="21">
        <f t="shared" si="202"/>
        <v>1</v>
      </c>
      <c r="R9580" s="21">
        <v>1</v>
      </c>
      <c r="S9580" s="21">
        <v>0</v>
      </c>
      <c r="T9580" s="21">
        <v>0</v>
      </c>
      <c r="U9580" s="21">
        <v>0</v>
      </c>
      <c r="V9580" s="21">
        <v>0</v>
      </c>
      <c r="W9580" s="21">
        <v>0</v>
      </c>
      <c r="X9580" s="21">
        <v>0</v>
      </c>
      <c r="Y9580" s="21">
        <v>0</v>
      </c>
      <c r="Z9580" s="21">
        <v>0</v>
      </c>
      <c r="AA9580" s="21">
        <v>0</v>
      </c>
      <c r="AB9580" s="21">
        <v>0</v>
      </c>
      <c r="AC9580" s="21">
        <v>1</v>
      </c>
      <c r="AD9580" s="21">
        <v>0</v>
      </c>
      <c r="AE9580" s="21">
        <v>0</v>
      </c>
      <c r="AF9580" s="21">
        <v>0</v>
      </c>
      <c r="AG9580" s="21">
        <v>0</v>
      </c>
      <c r="AH9580" s="21">
        <f t="shared" si="203"/>
        <v>0</v>
      </c>
      <c r="AJ9580" s="21"/>
      <c r="AK9580" s="21"/>
      <c r="AL9580" s="21"/>
      <c r="AM9580" s="21" t="s">
        <v>6785</v>
      </c>
      <c r="AN9580" s="21">
        <v>-122.39534638942899</v>
      </c>
      <c r="AO9580" s="21">
        <v>37.789603122281903</v>
      </c>
      <c r="AP9580" s="21" t="s">
        <v>1915</v>
      </c>
    </row>
    <row r="9581" spans="1:42">
      <c r="A9581" s="1">
        <v>43893</v>
      </c>
      <c r="B9581" s="21">
        <v>2</v>
      </c>
      <c r="C9581" s="21">
        <v>505</v>
      </c>
      <c r="D9581" s="21">
        <v>11414</v>
      </c>
      <c r="E9581" s="21" t="s">
        <v>377</v>
      </c>
      <c r="F9581" s="21" t="s">
        <v>436</v>
      </c>
      <c r="G9581" s="21">
        <v>1</v>
      </c>
      <c r="H9581" s="21">
        <v>29</v>
      </c>
      <c r="I9581" s="21" t="s">
        <v>3677</v>
      </c>
      <c r="K9581" s="21" t="s">
        <v>380</v>
      </c>
      <c r="N9581" s="21" t="s">
        <v>44</v>
      </c>
      <c r="O9581" s="21">
        <f>60+15</f>
        <v>75</v>
      </c>
      <c r="Q9581" s="21">
        <f t="shared" si="202"/>
        <v>1</v>
      </c>
      <c r="R9581" s="21">
        <v>1</v>
      </c>
      <c r="S9581" s="21">
        <v>0</v>
      </c>
      <c r="T9581" s="21">
        <v>0</v>
      </c>
      <c r="U9581" s="21">
        <v>0</v>
      </c>
      <c r="V9581" s="21">
        <v>0</v>
      </c>
      <c r="W9581" s="21">
        <v>0</v>
      </c>
      <c r="X9581" s="21">
        <v>0</v>
      </c>
      <c r="Y9581" s="21">
        <v>1</v>
      </c>
      <c r="Z9581" s="21">
        <v>0</v>
      </c>
      <c r="AA9581" s="21">
        <v>0</v>
      </c>
      <c r="AB9581" s="21">
        <v>0</v>
      </c>
      <c r="AC9581" s="21">
        <v>0</v>
      </c>
      <c r="AD9581" s="21">
        <v>0</v>
      </c>
      <c r="AE9581" s="21">
        <v>0</v>
      </c>
      <c r="AF9581" s="21">
        <v>0</v>
      </c>
      <c r="AG9581" s="21">
        <v>0</v>
      </c>
      <c r="AH9581" s="21">
        <f t="shared" si="203"/>
        <v>0</v>
      </c>
      <c r="AJ9581" s="21"/>
      <c r="AK9581" s="21"/>
      <c r="AL9581" s="21"/>
      <c r="AM9581" s="21" t="s">
        <v>6786</v>
      </c>
      <c r="AN9581" s="21">
        <v>-122.39660961666701</v>
      </c>
      <c r="AO9581" s="21">
        <v>37.789967683333302</v>
      </c>
      <c r="AP9581" s="21" t="s">
        <v>1915</v>
      </c>
    </row>
    <row r="9582" spans="1:42">
      <c r="A9582" s="1">
        <v>43893</v>
      </c>
      <c r="B9582" s="21">
        <v>2</v>
      </c>
      <c r="C9582" s="21">
        <v>505</v>
      </c>
      <c r="D9582" s="21">
        <v>11414</v>
      </c>
      <c r="E9582" s="21" t="s">
        <v>377</v>
      </c>
      <c r="F9582" s="21" t="s">
        <v>436</v>
      </c>
      <c r="G9582" s="21">
        <v>1</v>
      </c>
      <c r="H9582" s="21">
        <v>30</v>
      </c>
      <c r="I9582" s="21" t="s">
        <v>3487</v>
      </c>
      <c r="K9582" s="21" t="s">
        <v>380</v>
      </c>
      <c r="N9582" s="21" t="s">
        <v>40</v>
      </c>
      <c r="O9582" s="21">
        <v>56</v>
      </c>
      <c r="Q9582" s="21">
        <f t="shared" si="202"/>
        <v>1</v>
      </c>
      <c r="R9582" s="21">
        <v>1</v>
      </c>
      <c r="S9582" s="21">
        <v>0</v>
      </c>
      <c r="T9582" s="21">
        <v>0</v>
      </c>
      <c r="U9582" s="21">
        <v>0</v>
      </c>
      <c r="V9582" s="21">
        <v>0</v>
      </c>
      <c r="W9582" s="21">
        <v>0</v>
      </c>
      <c r="X9582" s="21">
        <v>0</v>
      </c>
      <c r="Y9582" s="21">
        <v>0</v>
      </c>
      <c r="Z9582" s="21">
        <v>0</v>
      </c>
      <c r="AA9582" s="21">
        <v>0</v>
      </c>
      <c r="AB9582" s="21">
        <v>0</v>
      </c>
      <c r="AC9582" s="21">
        <v>1</v>
      </c>
      <c r="AD9582" s="21">
        <v>0</v>
      </c>
      <c r="AE9582" s="21">
        <v>0</v>
      </c>
      <c r="AF9582" s="21">
        <v>0</v>
      </c>
      <c r="AG9582" s="21">
        <v>0</v>
      </c>
      <c r="AH9582" s="21">
        <f t="shared" si="203"/>
        <v>0</v>
      </c>
      <c r="AJ9582" s="21" t="s">
        <v>51</v>
      </c>
      <c r="AK9582" s="21" t="s">
        <v>95</v>
      </c>
      <c r="AL9582" s="21"/>
      <c r="AM9582" s="21" t="s">
        <v>6787</v>
      </c>
      <c r="AN9582" s="21">
        <v>-122.396802568138</v>
      </c>
      <c r="AO9582" s="21">
        <v>37.789346771514701</v>
      </c>
      <c r="AP9582" s="21" t="s">
        <v>1915</v>
      </c>
    </row>
    <row r="9583" spans="1:42">
      <c r="A9583" s="1">
        <v>43893</v>
      </c>
      <c r="B9583" s="21">
        <v>2</v>
      </c>
      <c r="C9583" s="21">
        <v>505</v>
      </c>
      <c r="D9583" s="21">
        <v>11414</v>
      </c>
      <c r="E9583" s="21" t="s">
        <v>377</v>
      </c>
      <c r="F9583" s="21" t="s">
        <v>436</v>
      </c>
      <c r="G9583" s="21">
        <v>1</v>
      </c>
      <c r="H9583" s="21">
        <v>31</v>
      </c>
      <c r="I9583" s="21" t="s">
        <v>6788</v>
      </c>
      <c r="K9583" s="21" t="s">
        <v>50</v>
      </c>
      <c r="N9583" s="21" t="s">
        <v>44</v>
      </c>
      <c r="O9583" s="21">
        <v>50</v>
      </c>
      <c r="Q9583" s="21">
        <f t="shared" si="202"/>
        <v>1</v>
      </c>
      <c r="R9583" s="21">
        <v>1</v>
      </c>
      <c r="S9583" s="21">
        <v>0</v>
      </c>
      <c r="T9583" s="21">
        <v>0</v>
      </c>
      <c r="U9583" s="21">
        <v>0</v>
      </c>
      <c r="V9583" s="21">
        <v>0</v>
      </c>
      <c r="W9583" s="21">
        <v>0</v>
      </c>
      <c r="X9583" s="21">
        <v>0</v>
      </c>
      <c r="Y9583" s="21">
        <v>0</v>
      </c>
      <c r="Z9583" s="21">
        <v>0</v>
      </c>
      <c r="AA9583" s="21">
        <v>0</v>
      </c>
      <c r="AB9583" s="21">
        <v>1</v>
      </c>
      <c r="AC9583" s="21">
        <v>0</v>
      </c>
      <c r="AD9583" s="21">
        <v>0</v>
      </c>
      <c r="AE9583" s="21">
        <v>0</v>
      </c>
      <c r="AF9583" s="21">
        <v>0</v>
      </c>
      <c r="AG9583" s="21">
        <v>0</v>
      </c>
      <c r="AH9583" s="21">
        <f t="shared" si="203"/>
        <v>0</v>
      </c>
      <c r="AL9583" s="21"/>
      <c r="AM9583" s="21" t="s">
        <v>6789</v>
      </c>
      <c r="AN9583" s="21">
        <v>-122.39697346666701</v>
      </c>
      <c r="AO9583" s="21">
        <v>37.789223733333301</v>
      </c>
      <c r="AP9583" s="21" t="s">
        <v>1915</v>
      </c>
    </row>
    <row r="9584" spans="1:42">
      <c r="A9584" s="1">
        <v>43859</v>
      </c>
      <c r="B9584" s="21">
        <v>3</v>
      </c>
      <c r="C9584" s="21">
        <v>230</v>
      </c>
      <c r="D9584" s="7">
        <v>14467</v>
      </c>
      <c r="E9584" s="7" t="s">
        <v>112</v>
      </c>
      <c r="F9584" s="21" t="s">
        <v>104</v>
      </c>
      <c r="G9584" s="21">
        <v>4</v>
      </c>
      <c r="H9584" s="21">
        <v>1</v>
      </c>
      <c r="I9584" s="21" t="s">
        <v>3091</v>
      </c>
      <c r="J9584" s="21"/>
      <c r="K9584" s="21" t="s">
        <v>50</v>
      </c>
      <c r="N9584" s="21" t="s">
        <v>40</v>
      </c>
      <c r="O9584" s="21">
        <f>60+54</f>
        <v>114</v>
      </c>
      <c r="Q9584" s="21">
        <f t="shared" si="202"/>
        <v>1</v>
      </c>
      <c r="R9584" s="21">
        <v>1</v>
      </c>
      <c r="S9584" s="21">
        <v>0</v>
      </c>
      <c r="T9584" s="21">
        <v>0</v>
      </c>
      <c r="U9584" s="21">
        <v>0</v>
      </c>
      <c r="V9584" s="21">
        <v>1</v>
      </c>
      <c r="W9584" s="21">
        <v>0</v>
      </c>
      <c r="X9584" s="21">
        <v>0</v>
      </c>
      <c r="Y9584" s="21">
        <v>0</v>
      </c>
      <c r="Z9584" s="21">
        <v>0</v>
      </c>
      <c r="AA9584" s="21">
        <v>0</v>
      </c>
      <c r="AB9584" s="21">
        <v>0</v>
      </c>
      <c r="AC9584" s="21">
        <v>0</v>
      </c>
      <c r="AD9584" s="21">
        <v>0</v>
      </c>
      <c r="AE9584" s="21">
        <v>0</v>
      </c>
      <c r="AF9584" s="21">
        <v>0</v>
      </c>
      <c r="AG9584" s="21">
        <v>0</v>
      </c>
      <c r="AH9584" s="21">
        <f t="shared" si="203"/>
        <v>64</v>
      </c>
      <c r="AJ9584" s="21" t="s">
        <v>6790</v>
      </c>
      <c r="AK9584" s="21" t="s">
        <v>52</v>
      </c>
      <c r="AL9584" s="21" t="s">
        <v>6791</v>
      </c>
      <c r="AM9584" s="21" t="s">
        <v>6792</v>
      </c>
      <c r="AN9584" s="21">
        <v>-122.40907175</v>
      </c>
      <c r="AO9584" s="21">
        <v>37.799891666666703</v>
      </c>
      <c r="AP9584" s="21" t="s">
        <v>1915</v>
      </c>
    </row>
    <row r="9585" spans="1:42">
      <c r="A9585" s="1">
        <v>43859</v>
      </c>
      <c r="B9585" s="21">
        <v>3</v>
      </c>
      <c r="C9585" s="21">
        <v>230</v>
      </c>
      <c r="D9585" s="7">
        <v>14467</v>
      </c>
      <c r="E9585" s="7" t="s">
        <v>112</v>
      </c>
      <c r="F9585" s="21" t="s">
        <v>104</v>
      </c>
      <c r="G9585" s="21">
        <v>4</v>
      </c>
      <c r="H9585" s="21">
        <v>2</v>
      </c>
      <c r="I9585" s="21" t="s">
        <v>3337</v>
      </c>
      <c r="J9585" s="21"/>
      <c r="K9585" s="21" t="s">
        <v>50</v>
      </c>
      <c r="N9585" s="21" t="s">
        <v>40</v>
      </c>
      <c r="O9585" s="21">
        <v>53</v>
      </c>
      <c r="Q9585" s="21">
        <f t="shared" si="202"/>
        <v>2</v>
      </c>
      <c r="R9585" s="21">
        <v>1</v>
      </c>
      <c r="S9585" s="21">
        <v>0</v>
      </c>
      <c r="T9585" s="21">
        <v>0</v>
      </c>
      <c r="U9585" s="21">
        <v>0</v>
      </c>
      <c r="V9585" s="21">
        <v>2</v>
      </c>
      <c r="W9585" s="21">
        <v>0</v>
      </c>
      <c r="X9585" s="21">
        <v>0</v>
      </c>
      <c r="Y9585" s="21">
        <v>0</v>
      </c>
      <c r="Z9585" s="21">
        <v>0</v>
      </c>
      <c r="AA9585" s="21">
        <v>0</v>
      </c>
      <c r="AB9585" s="21">
        <v>0</v>
      </c>
      <c r="AC9585" s="21">
        <v>0</v>
      </c>
      <c r="AD9585" s="21">
        <v>0</v>
      </c>
      <c r="AE9585" s="21">
        <v>0</v>
      </c>
      <c r="AF9585" s="21">
        <v>0</v>
      </c>
      <c r="AG9585" s="21">
        <v>0</v>
      </c>
      <c r="AH9585" s="21">
        <f t="shared" si="203"/>
        <v>128</v>
      </c>
      <c r="AJ9585" s="21" t="s">
        <v>6790</v>
      </c>
      <c r="AK9585" s="21" t="s">
        <v>52</v>
      </c>
      <c r="AL9585" s="21"/>
      <c r="AM9585" s="21" t="s">
        <v>6793</v>
      </c>
      <c r="AN9585" s="21">
        <v>-122.409151116667</v>
      </c>
      <c r="AO9585" s="21">
        <v>37.799948166666603</v>
      </c>
      <c r="AP9585" s="21" t="s">
        <v>1915</v>
      </c>
    </row>
    <row r="9586" spans="1:42">
      <c r="A9586" s="1">
        <v>43859</v>
      </c>
      <c r="B9586" s="21">
        <v>3</v>
      </c>
      <c r="C9586" s="21">
        <v>230</v>
      </c>
      <c r="D9586" s="7">
        <v>14467</v>
      </c>
      <c r="E9586" s="7" t="s">
        <v>112</v>
      </c>
      <c r="F9586" s="21" t="s">
        <v>104</v>
      </c>
      <c r="G9586" s="21">
        <v>4</v>
      </c>
      <c r="H9586" s="21">
        <v>3</v>
      </c>
      <c r="I9586" s="21" t="s">
        <v>3337</v>
      </c>
      <c r="J9586" s="21"/>
      <c r="K9586" s="21" t="s">
        <v>50</v>
      </c>
      <c r="N9586" s="21" t="s">
        <v>44</v>
      </c>
      <c r="O9586" s="21">
        <f>120+14</f>
        <v>134</v>
      </c>
      <c r="Q9586" s="21">
        <f t="shared" si="202"/>
        <v>3</v>
      </c>
      <c r="R9586" s="21">
        <v>1</v>
      </c>
      <c r="S9586" s="21">
        <v>0</v>
      </c>
      <c r="T9586" s="21">
        <v>0</v>
      </c>
      <c r="U9586" s="21">
        <v>0</v>
      </c>
      <c r="V9586" s="21">
        <v>0</v>
      </c>
      <c r="W9586" s="21">
        <v>3</v>
      </c>
      <c r="X9586" s="21">
        <v>0</v>
      </c>
      <c r="Y9586" s="21">
        <v>0</v>
      </c>
      <c r="Z9586" s="21">
        <v>0</v>
      </c>
      <c r="AA9586" s="21">
        <v>0</v>
      </c>
      <c r="AB9586" s="21">
        <v>0</v>
      </c>
      <c r="AC9586" s="21">
        <v>0</v>
      </c>
      <c r="AD9586" s="21">
        <v>0</v>
      </c>
      <c r="AE9586" s="21">
        <v>0</v>
      </c>
      <c r="AF9586" s="21">
        <v>0</v>
      </c>
      <c r="AG9586" s="21">
        <v>0</v>
      </c>
      <c r="AH9586" s="21">
        <f t="shared" si="203"/>
        <v>288</v>
      </c>
      <c r="AJ9586" s="21" t="s">
        <v>6790</v>
      </c>
      <c r="AK9586" s="21" t="s">
        <v>95</v>
      </c>
      <c r="AL9586" s="21"/>
      <c r="AM9586" s="21" t="s">
        <v>6794</v>
      </c>
      <c r="AN9586" s="21">
        <v>-122.409135583333</v>
      </c>
      <c r="AO9586" s="21">
        <v>37.799884949999999</v>
      </c>
      <c r="AP9586" s="21" t="s">
        <v>1915</v>
      </c>
    </row>
    <row r="9587" spans="1:42">
      <c r="A9587" s="1">
        <v>43859</v>
      </c>
      <c r="B9587" s="21">
        <v>3</v>
      </c>
      <c r="C9587" s="21">
        <v>230</v>
      </c>
      <c r="D9587" s="7">
        <v>14467</v>
      </c>
      <c r="E9587" s="7" t="s">
        <v>112</v>
      </c>
      <c r="F9587" s="21" t="s">
        <v>104</v>
      </c>
      <c r="G9587" s="21">
        <v>4</v>
      </c>
      <c r="H9587" s="21">
        <v>4</v>
      </c>
      <c r="I9587" s="21" t="s">
        <v>6795</v>
      </c>
      <c r="J9587" s="21"/>
      <c r="K9587" s="21" t="s">
        <v>50</v>
      </c>
      <c r="N9587" s="21" t="s">
        <v>40</v>
      </c>
      <c r="O9587" s="21">
        <f>120+7</f>
        <v>127</v>
      </c>
      <c r="Q9587" s="21">
        <f t="shared" si="202"/>
        <v>6</v>
      </c>
      <c r="R9587" s="21">
        <v>1</v>
      </c>
      <c r="S9587" s="21">
        <v>0</v>
      </c>
      <c r="T9587" s="21">
        <v>0</v>
      </c>
      <c r="U9587" s="21">
        <v>2</v>
      </c>
      <c r="V9587" s="21">
        <v>4</v>
      </c>
      <c r="W9587" s="21">
        <v>0</v>
      </c>
      <c r="X9587" s="21">
        <v>0</v>
      </c>
      <c r="Y9587" s="21">
        <v>0</v>
      </c>
      <c r="Z9587" s="21">
        <v>0</v>
      </c>
      <c r="AA9587" s="21">
        <v>0</v>
      </c>
      <c r="AB9587" s="21">
        <v>0</v>
      </c>
      <c r="AC9587" s="21">
        <v>0</v>
      </c>
      <c r="AD9587" s="21">
        <v>0</v>
      </c>
      <c r="AE9587" s="21">
        <v>0</v>
      </c>
      <c r="AF9587" s="21">
        <v>0</v>
      </c>
      <c r="AG9587" s="21">
        <v>0</v>
      </c>
      <c r="AH9587" s="21">
        <f t="shared" si="203"/>
        <v>320</v>
      </c>
      <c r="AJ9587" s="21" t="s">
        <v>6790</v>
      </c>
      <c r="AK9587" s="21" t="s">
        <v>52</v>
      </c>
      <c r="AL9587" s="21"/>
      <c r="AM9587" s="21" t="s">
        <v>6796</v>
      </c>
      <c r="AN9587" s="21">
        <v>-122.40916033333301</v>
      </c>
      <c r="AO9587" s="21">
        <v>37.8000600833333</v>
      </c>
      <c r="AP9587" s="21" t="s">
        <v>1915</v>
      </c>
    </row>
    <row r="9588" spans="1:42">
      <c r="A9588" s="1">
        <v>43859</v>
      </c>
      <c r="B9588" s="21">
        <v>3</v>
      </c>
      <c r="C9588" s="21">
        <v>230</v>
      </c>
      <c r="D9588" s="7">
        <v>14467</v>
      </c>
      <c r="E9588" s="7" t="s">
        <v>112</v>
      </c>
      <c r="F9588" s="21" t="s">
        <v>104</v>
      </c>
      <c r="G9588" s="21">
        <v>4</v>
      </c>
      <c r="H9588" s="21">
        <v>5</v>
      </c>
      <c r="I9588" s="21" t="s">
        <v>6797</v>
      </c>
      <c r="J9588" s="21"/>
      <c r="K9588" s="21" t="s">
        <v>50</v>
      </c>
      <c r="N9588" s="21" t="s">
        <v>40</v>
      </c>
      <c r="O9588" s="21">
        <f>60+27</f>
        <v>87</v>
      </c>
      <c r="Q9588" s="21">
        <f t="shared" si="202"/>
        <v>4</v>
      </c>
      <c r="R9588" s="21">
        <v>1</v>
      </c>
      <c r="S9588" s="21">
        <v>0</v>
      </c>
      <c r="T9588" s="21">
        <v>0</v>
      </c>
      <c r="U9588" s="21">
        <v>0</v>
      </c>
      <c r="V9588" s="21">
        <v>3</v>
      </c>
      <c r="W9588" s="21">
        <v>1</v>
      </c>
      <c r="X9588" s="21">
        <v>0</v>
      </c>
      <c r="Y9588" s="21">
        <v>0</v>
      </c>
      <c r="Z9588" s="21">
        <v>0</v>
      </c>
      <c r="AA9588" s="21">
        <v>0</v>
      </c>
      <c r="AB9588" s="21">
        <v>0</v>
      </c>
      <c r="AC9588" s="21">
        <v>0</v>
      </c>
      <c r="AD9588" s="21">
        <v>0</v>
      </c>
      <c r="AE9588" s="21">
        <v>0</v>
      </c>
      <c r="AF9588" s="21">
        <v>0</v>
      </c>
      <c r="AG9588" s="21">
        <v>0</v>
      </c>
      <c r="AH9588" s="21">
        <f t="shared" si="203"/>
        <v>288</v>
      </c>
      <c r="AJ9588" s="21" t="s">
        <v>6790</v>
      </c>
      <c r="AK9588" s="21" t="s">
        <v>52</v>
      </c>
      <c r="AL9588" s="21"/>
      <c r="AM9588" s="21" t="s">
        <v>6798</v>
      </c>
      <c r="AN9588" s="21">
        <v>-122.409142783333</v>
      </c>
      <c r="AO9588" s="21">
        <v>37.800458283333299</v>
      </c>
      <c r="AP9588" s="21" t="s">
        <v>1915</v>
      </c>
    </row>
    <row r="9589" spans="1:42">
      <c r="A9589" s="1">
        <v>43859</v>
      </c>
      <c r="B9589" s="21">
        <v>3</v>
      </c>
      <c r="C9589" s="21">
        <v>230</v>
      </c>
      <c r="D9589" s="7">
        <v>14467</v>
      </c>
      <c r="E9589" s="7" t="s">
        <v>112</v>
      </c>
      <c r="F9589" s="21" t="s">
        <v>104</v>
      </c>
      <c r="G9589" s="21">
        <v>4</v>
      </c>
      <c r="H9589" s="21">
        <v>6</v>
      </c>
      <c r="I9589" s="21" t="s">
        <v>3576</v>
      </c>
      <c r="J9589" s="21"/>
      <c r="K9589" s="21" t="s">
        <v>6799</v>
      </c>
      <c r="N9589" s="21" t="s">
        <v>44</v>
      </c>
      <c r="O9589" s="21">
        <f>60+46</f>
        <v>106</v>
      </c>
      <c r="Q9589" s="21">
        <f t="shared" si="202"/>
        <v>2</v>
      </c>
      <c r="R9589" s="21">
        <v>1</v>
      </c>
      <c r="S9589" s="21">
        <v>0</v>
      </c>
      <c r="T9589" s="21">
        <v>0</v>
      </c>
      <c r="U9589" s="21">
        <v>0</v>
      </c>
      <c r="V9589" s="21">
        <v>1</v>
      </c>
      <c r="W9589" s="21">
        <v>1</v>
      </c>
      <c r="X9589" s="21">
        <v>0</v>
      </c>
      <c r="Y9589" s="21">
        <v>0</v>
      </c>
      <c r="Z9589" s="21">
        <v>0</v>
      </c>
      <c r="AA9589" s="21">
        <v>0</v>
      </c>
      <c r="AB9589" s="21">
        <v>0</v>
      </c>
      <c r="AC9589" s="21">
        <v>0</v>
      </c>
      <c r="AD9589" s="21">
        <v>0</v>
      </c>
      <c r="AE9589" s="21">
        <v>0</v>
      </c>
      <c r="AF9589" s="21">
        <v>0</v>
      </c>
      <c r="AG9589" s="21">
        <v>0</v>
      </c>
      <c r="AH9589" s="21">
        <f t="shared" si="203"/>
        <v>160</v>
      </c>
      <c r="AJ9589" s="21" t="s">
        <v>6800</v>
      </c>
      <c r="AK9589" s="21" t="s">
        <v>52</v>
      </c>
      <c r="AL9589" s="21" t="s">
        <v>6801</v>
      </c>
      <c r="AM9589" s="21" t="s">
        <v>6802</v>
      </c>
      <c r="AN9589" s="21">
        <v>-122.407963266667</v>
      </c>
      <c r="AO9589" s="21">
        <v>37.8016358666667</v>
      </c>
      <c r="AP9589" s="21" t="s">
        <v>1915</v>
      </c>
    </row>
    <row r="9590" spans="1:42">
      <c r="A9590" s="1">
        <v>43859</v>
      </c>
      <c r="B9590" s="21">
        <v>3</v>
      </c>
      <c r="C9590" s="21">
        <v>230</v>
      </c>
      <c r="D9590" s="7">
        <v>14467</v>
      </c>
      <c r="E9590" s="7" t="s">
        <v>112</v>
      </c>
      <c r="F9590" s="21" t="s">
        <v>104</v>
      </c>
      <c r="G9590" s="21">
        <v>4</v>
      </c>
      <c r="H9590" s="21">
        <v>7</v>
      </c>
      <c r="I9590" s="21" t="s">
        <v>3209</v>
      </c>
      <c r="J9590" s="21"/>
      <c r="K9590" s="21" t="s">
        <v>213</v>
      </c>
      <c r="N9590" s="21" t="s">
        <v>40</v>
      </c>
      <c r="O9590" s="21">
        <v>20</v>
      </c>
      <c r="Q9590" s="21">
        <f t="shared" si="202"/>
        <v>1</v>
      </c>
      <c r="R9590" s="21">
        <v>1</v>
      </c>
      <c r="S9590" s="21">
        <v>0</v>
      </c>
      <c r="T9590" s="21">
        <v>0</v>
      </c>
      <c r="U9590" s="21">
        <v>0</v>
      </c>
      <c r="V9590" s="21">
        <v>0</v>
      </c>
      <c r="W9590" s="21">
        <v>0</v>
      </c>
      <c r="X9590" s="21">
        <v>1</v>
      </c>
      <c r="Y9590" s="21">
        <v>0</v>
      </c>
      <c r="Z9590" s="21">
        <v>0</v>
      </c>
      <c r="AA9590" s="21">
        <v>0</v>
      </c>
      <c r="AB9590" s="21">
        <v>0</v>
      </c>
      <c r="AC9590" s="21">
        <v>0</v>
      </c>
      <c r="AD9590" s="21">
        <v>0</v>
      </c>
      <c r="AE9590" s="21">
        <v>0</v>
      </c>
      <c r="AF9590" s="21">
        <v>0</v>
      </c>
      <c r="AG9590" s="21">
        <v>0</v>
      </c>
      <c r="AH9590" s="21">
        <f t="shared" si="203"/>
        <v>0</v>
      </c>
      <c r="AJ9590" s="21" t="s">
        <v>6790</v>
      </c>
      <c r="AK9590" s="21" t="s">
        <v>52</v>
      </c>
      <c r="AL9590" s="21" t="s">
        <v>4983</v>
      </c>
      <c r="AM9590" s="21" t="s">
        <v>6803</v>
      </c>
      <c r="AN9590" s="21">
        <v>-122.411430817837</v>
      </c>
      <c r="AO9590" s="21">
        <v>37.802055415589201</v>
      </c>
      <c r="AP9590" s="21" t="s">
        <v>1915</v>
      </c>
    </row>
    <row r="9591" spans="1:42">
      <c r="A9591" s="1">
        <v>43859</v>
      </c>
      <c r="B9591" s="21">
        <v>3</v>
      </c>
      <c r="C9591" s="21">
        <v>230</v>
      </c>
      <c r="D9591" s="7">
        <v>14467</v>
      </c>
      <c r="E9591" s="7" t="s">
        <v>112</v>
      </c>
      <c r="F9591" s="21" t="s">
        <v>104</v>
      </c>
      <c r="G9591" s="21">
        <v>4</v>
      </c>
      <c r="H9591" s="21">
        <v>8</v>
      </c>
      <c r="I9591" s="21">
        <v>700</v>
      </c>
      <c r="J9591" s="21"/>
      <c r="K9591" s="21" t="s">
        <v>213</v>
      </c>
      <c r="N9591" s="21" t="s">
        <v>40</v>
      </c>
      <c r="O9591" s="21">
        <v>22</v>
      </c>
      <c r="Q9591" s="21">
        <f t="shared" si="202"/>
        <v>1</v>
      </c>
      <c r="R9591" s="21">
        <v>1</v>
      </c>
      <c r="S9591" s="21">
        <v>0</v>
      </c>
      <c r="T9591" s="21">
        <v>0</v>
      </c>
      <c r="U9591" s="21">
        <v>0</v>
      </c>
      <c r="V9591" s="21">
        <v>0</v>
      </c>
      <c r="W9591" s="21">
        <v>0</v>
      </c>
      <c r="X9591" s="21">
        <v>1</v>
      </c>
      <c r="Y9591" s="21">
        <v>0</v>
      </c>
      <c r="Z9591" s="21">
        <v>0</v>
      </c>
      <c r="AA9591" s="21">
        <v>0</v>
      </c>
      <c r="AB9591" s="21">
        <v>0</v>
      </c>
      <c r="AC9591" s="21">
        <v>0</v>
      </c>
      <c r="AD9591" s="21">
        <v>0</v>
      </c>
      <c r="AE9591" s="21">
        <v>0</v>
      </c>
      <c r="AF9591" s="21">
        <v>0</v>
      </c>
      <c r="AG9591" s="21">
        <v>0</v>
      </c>
      <c r="AH9591" s="21">
        <f t="shared" si="203"/>
        <v>0</v>
      </c>
      <c r="AJ9591" s="21" t="s">
        <v>6790</v>
      </c>
      <c r="AK9591" s="21" t="s">
        <v>52</v>
      </c>
      <c r="AL9591" s="21" t="s">
        <v>3006</v>
      </c>
      <c r="AM9591" s="21" t="s">
        <v>6804</v>
      </c>
      <c r="AN9591" s="21">
        <v>-122.410054866667</v>
      </c>
      <c r="AO9591" s="21">
        <v>37.800406649999999</v>
      </c>
      <c r="AP9591" s="21" t="s">
        <v>1915</v>
      </c>
    </row>
    <row r="9592" spans="1:42">
      <c r="A9592" s="1">
        <v>43859</v>
      </c>
      <c r="B9592" s="21">
        <v>3</v>
      </c>
      <c r="C9592" s="21">
        <v>230</v>
      </c>
      <c r="D9592" s="7">
        <v>14467</v>
      </c>
      <c r="E9592" s="7" t="s">
        <v>112</v>
      </c>
      <c r="F9592" s="21" t="s">
        <v>104</v>
      </c>
      <c r="G9592" s="21">
        <v>4</v>
      </c>
      <c r="H9592" s="21">
        <v>9</v>
      </c>
      <c r="I9592" s="21">
        <v>700</v>
      </c>
      <c r="J9592" s="21"/>
      <c r="K9592" s="21" t="s">
        <v>213</v>
      </c>
      <c r="N9592" s="21" t="s">
        <v>40</v>
      </c>
      <c r="O9592" s="21">
        <v>19</v>
      </c>
      <c r="Q9592" s="21">
        <f t="shared" si="202"/>
        <v>1</v>
      </c>
      <c r="R9592" s="21">
        <v>1</v>
      </c>
      <c r="S9592" s="21">
        <v>0</v>
      </c>
      <c r="T9592" s="21">
        <v>0</v>
      </c>
      <c r="U9592" s="21">
        <v>0</v>
      </c>
      <c r="V9592" s="21">
        <v>0</v>
      </c>
      <c r="W9592" s="21">
        <v>0</v>
      </c>
      <c r="X9592" s="21">
        <v>1</v>
      </c>
      <c r="Y9592" s="21">
        <v>0</v>
      </c>
      <c r="Z9592" s="21">
        <v>0</v>
      </c>
      <c r="AA9592" s="21">
        <v>0</v>
      </c>
      <c r="AB9592" s="21">
        <v>0</v>
      </c>
      <c r="AC9592" s="21">
        <v>0</v>
      </c>
      <c r="AD9592" s="21">
        <v>0</v>
      </c>
      <c r="AE9592" s="21">
        <v>0</v>
      </c>
      <c r="AF9592" s="21">
        <v>0</v>
      </c>
      <c r="AG9592" s="21">
        <v>0</v>
      </c>
      <c r="AH9592" s="21">
        <f t="shared" si="203"/>
        <v>0</v>
      </c>
      <c r="AJ9592" s="21" t="s">
        <v>6790</v>
      </c>
      <c r="AK9592" s="21" t="s">
        <v>52</v>
      </c>
      <c r="AL9592" s="21" t="s">
        <v>470</v>
      </c>
      <c r="AM9592" s="21" t="s">
        <v>6805</v>
      </c>
      <c r="AN9592" s="21">
        <v>-122.410666533333</v>
      </c>
      <c r="AO9592" s="21">
        <v>37.8007116333334</v>
      </c>
      <c r="AP9592" s="21" t="s">
        <v>1915</v>
      </c>
    </row>
    <row r="9593" spans="1:42">
      <c r="A9593" s="1">
        <v>43859</v>
      </c>
      <c r="B9593" s="21">
        <v>3</v>
      </c>
      <c r="C9593" s="21">
        <v>230</v>
      </c>
      <c r="D9593" s="7">
        <v>14467</v>
      </c>
      <c r="E9593" s="7" t="s">
        <v>112</v>
      </c>
      <c r="F9593" s="21" t="s">
        <v>104</v>
      </c>
      <c r="G9593" s="21">
        <v>4</v>
      </c>
      <c r="H9593" s="21">
        <v>10</v>
      </c>
      <c r="I9593" s="21">
        <v>700</v>
      </c>
      <c r="J9593" s="21"/>
      <c r="K9593" s="21" t="s">
        <v>213</v>
      </c>
      <c r="N9593" s="21" t="s">
        <v>40</v>
      </c>
      <c r="O9593" s="21">
        <v>28</v>
      </c>
      <c r="Q9593" s="21">
        <f t="shared" si="202"/>
        <v>1</v>
      </c>
      <c r="R9593" s="21">
        <v>1</v>
      </c>
      <c r="S9593" s="21">
        <v>0</v>
      </c>
      <c r="T9593" s="21">
        <v>0</v>
      </c>
      <c r="U9593" s="21">
        <v>0</v>
      </c>
      <c r="V9593" s="21">
        <v>0</v>
      </c>
      <c r="W9593" s="21">
        <v>0</v>
      </c>
      <c r="X9593" s="21">
        <v>1</v>
      </c>
      <c r="Y9593" s="21">
        <v>0</v>
      </c>
      <c r="Z9593" s="21">
        <v>0</v>
      </c>
      <c r="AA9593" s="21">
        <v>0</v>
      </c>
      <c r="AB9593" s="21">
        <v>0</v>
      </c>
      <c r="AC9593" s="21">
        <v>0</v>
      </c>
      <c r="AD9593" s="21">
        <v>0</v>
      </c>
      <c r="AE9593" s="21">
        <v>0</v>
      </c>
      <c r="AF9593" s="21">
        <v>0</v>
      </c>
      <c r="AG9593" s="21">
        <v>0</v>
      </c>
      <c r="AH9593" s="21">
        <f t="shared" si="203"/>
        <v>0</v>
      </c>
      <c r="AJ9593" s="21" t="s">
        <v>413</v>
      </c>
      <c r="AK9593" s="21" t="s">
        <v>52</v>
      </c>
      <c r="AL9593" s="21" t="s">
        <v>3006</v>
      </c>
      <c r="AM9593" s="21" t="s">
        <v>6806</v>
      </c>
      <c r="AN9593" s="21">
        <v>-122.41100203333301</v>
      </c>
      <c r="AO9593" s="21">
        <v>37.801067799999998</v>
      </c>
      <c r="AP9593" s="21" t="s">
        <v>1915</v>
      </c>
    </row>
    <row r="9594" spans="1:42">
      <c r="A9594" s="1">
        <v>43859</v>
      </c>
      <c r="B9594" s="21">
        <v>3</v>
      </c>
      <c r="C9594" s="21">
        <v>230</v>
      </c>
      <c r="D9594" s="7">
        <v>14467</v>
      </c>
      <c r="E9594" s="7" t="s">
        <v>112</v>
      </c>
      <c r="F9594" s="21" t="s">
        <v>104</v>
      </c>
      <c r="G9594" s="21">
        <v>4</v>
      </c>
      <c r="H9594" s="21">
        <v>11</v>
      </c>
      <c r="I9594" s="21">
        <v>700</v>
      </c>
      <c r="J9594" s="21"/>
      <c r="K9594" s="21" t="s">
        <v>213</v>
      </c>
      <c r="N9594" s="21" t="s">
        <v>40</v>
      </c>
      <c r="O9594" s="21">
        <v>50</v>
      </c>
      <c r="Q9594" s="21">
        <f t="shared" si="202"/>
        <v>1</v>
      </c>
      <c r="R9594" s="21">
        <v>1</v>
      </c>
      <c r="S9594" s="21">
        <v>0</v>
      </c>
      <c r="T9594" s="21">
        <v>0</v>
      </c>
      <c r="U9594" s="21">
        <v>0</v>
      </c>
      <c r="V9594" s="21">
        <v>0</v>
      </c>
      <c r="W9594" s="21">
        <v>0</v>
      </c>
      <c r="X9594" s="21">
        <v>1</v>
      </c>
      <c r="Y9594" s="21">
        <v>0</v>
      </c>
      <c r="Z9594" s="21">
        <v>0</v>
      </c>
      <c r="AA9594" s="21">
        <v>0</v>
      </c>
      <c r="AB9594" s="21">
        <v>0</v>
      </c>
      <c r="AC9594" s="21">
        <v>0</v>
      </c>
      <c r="AD9594" s="21">
        <v>0</v>
      </c>
      <c r="AE9594" s="21">
        <v>0</v>
      </c>
      <c r="AF9594" s="21">
        <v>0</v>
      </c>
      <c r="AG9594" s="21">
        <v>0</v>
      </c>
      <c r="AH9594" s="21">
        <f t="shared" si="203"/>
        <v>0</v>
      </c>
      <c r="AJ9594" s="21" t="s">
        <v>6800</v>
      </c>
      <c r="AK9594" s="21" t="s">
        <v>52</v>
      </c>
      <c r="AL9594" s="21" t="s">
        <v>470</v>
      </c>
      <c r="AM9594" s="21" t="s">
        <v>6807</v>
      </c>
      <c r="AN9594" s="21">
        <v>-122.41105621666701</v>
      </c>
      <c r="AO9594" s="21">
        <v>37.801350233333302</v>
      </c>
      <c r="AP9594" s="21" t="s">
        <v>1915</v>
      </c>
    </row>
    <row r="9595" spans="1:42">
      <c r="A9595" s="1">
        <v>43859</v>
      </c>
      <c r="B9595" s="21">
        <v>3</v>
      </c>
      <c r="C9595" s="21">
        <v>230</v>
      </c>
      <c r="D9595" s="7">
        <v>14467</v>
      </c>
      <c r="E9595" s="7" t="s">
        <v>112</v>
      </c>
      <c r="F9595" s="21" t="s">
        <v>104</v>
      </c>
      <c r="G9595" s="21">
        <v>4</v>
      </c>
      <c r="H9595" s="21">
        <v>12</v>
      </c>
      <c r="I9595" s="21" t="s">
        <v>3340</v>
      </c>
      <c r="J9595" s="21"/>
      <c r="K9595" s="21" t="s">
        <v>6808</v>
      </c>
      <c r="N9595" s="21" t="s">
        <v>40</v>
      </c>
      <c r="O9595" s="21">
        <v>59</v>
      </c>
      <c r="Q9595" s="21">
        <f t="shared" si="202"/>
        <v>3</v>
      </c>
      <c r="R9595" s="21">
        <v>1</v>
      </c>
      <c r="S9595" s="21">
        <v>0</v>
      </c>
      <c r="T9595" s="21">
        <v>0</v>
      </c>
      <c r="U9595" s="21">
        <v>0</v>
      </c>
      <c r="V9595" s="21">
        <v>0</v>
      </c>
      <c r="W9595" s="21">
        <v>3</v>
      </c>
      <c r="X9595" s="21">
        <v>0</v>
      </c>
      <c r="Y9595" s="21">
        <v>0</v>
      </c>
      <c r="Z9595" s="21">
        <v>0</v>
      </c>
      <c r="AA9595" s="21">
        <v>0</v>
      </c>
      <c r="AB9595" s="21">
        <v>0</v>
      </c>
      <c r="AC9595" s="21">
        <v>0</v>
      </c>
      <c r="AD9595" s="21">
        <v>0</v>
      </c>
      <c r="AE9595" s="21">
        <v>0</v>
      </c>
      <c r="AF9595" s="21">
        <v>0</v>
      </c>
      <c r="AG9595" s="21">
        <v>0</v>
      </c>
      <c r="AH9595" s="21">
        <f t="shared" si="203"/>
        <v>288</v>
      </c>
      <c r="AJ9595" s="21" t="s">
        <v>6800</v>
      </c>
      <c r="AK9595" s="21" t="s">
        <v>52</v>
      </c>
      <c r="AL9595" s="21"/>
      <c r="AM9595" s="21" t="s">
        <v>6809</v>
      </c>
      <c r="AN9595" s="21">
        <v>-122.410738416667</v>
      </c>
      <c r="AO9595" s="21">
        <v>37.801217733333303</v>
      </c>
      <c r="AP9595" s="21" t="s">
        <v>1915</v>
      </c>
    </row>
    <row r="9596" spans="1:42">
      <c r="A9596" s="1">
        <v>43859</v>
      </c>
      <c r="B9596" s="21">
        <v>3</v>
      </c>
      <c r="C9596" s="21">
        <v>230</v>
      </c>
      <c r="D9596" s="7">
        <v>14467</v>
      </c>
      <c r="E9596" s="7" t="s">
        <v>112</v>
      </c>
      <c r="F9596" s="21" t="s">
        <v>104</v>
      </c>
      <c r="G9596" s="21">
        <v>4</v>
      </c>
      <c r="H9596" s="21">
        <v>13</v>
      </c>
      <c r="I9596" s="21" t="s">
        <v>3209</v>
      </c>
      <c r="J9596" s="21"/>
      <c r="K9596" s="21" t="s">
        <v>6808</v>
      </c>
      <c r="N9596" s="21" t="s">
        <v>44</v>
      </c>
      <c r="O9596" s="21">
        <f>60+45</f>
        <v>105</v>
      </c>
      <c r="Q9596" s="21">
        <f t="shared" si="202"/>
        <v>2</v>
      </c>
      <c r="R9596" s="21">
        <v>1</v>
      </c>
      <c r="S9596" s="21">
        <v>0</v>
      </c>
      <c r="T9596" s="21">
        <v>0</v>
      </c>
      <c r="U9596" s="21">
        <v>0</v>
      </c>
      <c r="V9596" s="21">
        <v>0</v>
      </c>
      <c r="W9596" s="21">
        <v>2</v>
      </c>
      <c r="X9596" s="21">
        <v>0</v>
      </c>
      <c r="Y9596" s="21">
        <v>0</v>
      </c>
      <c r="Z9596" s="21">
        <v>0</v>
      </c>
      <c r="AA9596" s="21">
        <v>0</v>
      </c>
      <c r="AB9596" s="21">
        <v>0</v>
      </c>
      <c r="AC9596" s="21">
        <v>0</v>
      </c>
      <c r="AD9596" s="21">
        <v>0</v>
      </c>
      <c r="AE9596" s="21">
        <v>0</v>
      </c>
      <c r="AF9596" s="21">
        <v>0</v>
      </c>
      <c r="AG9596" s="21">
        <v>0</v>
      </c>
      <c r="AH9596" s="21">
        <f t="shared" si="203"/>
        <v>192</v>
      </c>
      <c r="AJ9596" s="21" t="s">
        <v>6800</v>
      </c>
      <c r="AK9596" s="21" t="s">
        <v>52</v>
      </c>
      <c r="AL9596" s="21" t="s">
        <v>6810</v>
      </c>
      <c r="AM9596" s="21" t="s">
        <v>6811</v>
      </c>
      <c r="AN9596" s="21">
        <v>-122.41157305</v>
      </c>
      <c r="AO9596" s="21">
        <v>37.801315883333302</v>
      </c>
      <c r="AP9596" s="21" t="s">
        <v>1915</v>
      </c>
    </row>
    <row r="9597" spans="1:42">
      <c r="A9597" s="1">
        <v>43859</v>
      </c>
      <c r="B9597" s="21">
        <v>3</v>
      </c>
      <c r="C9597" s="21">
        <v>230</v>
      </c>
      <c r="D9597" s="7">
        <v>14467</v>
      </c>
      <c r="E9597" s="7" t="s">
        <v>112</v>
      </c>
      <c r="F9597" s="21" t="s">
        <v>104</v>
      </c>
      <c r="G9597" s="21">
        <v>4</v>
      </c>
      <c r="H9597" s="21">
        <v>14</v>
      </c>
      <c r="I9597" s="21" t="s">
        <v>6812</v>
      </c>
      <c r="J9597" s="21"/>
      <c r="K9597" s="21" t="s">
        <v>6808</v>
      </c>
      <c r="N9597" s="21" t="s">
        <v>40</v>
      </c>
      <c r="O9597" s="21">
        <v>32</v>
      </c>
      <c r="Q9597" s="21">
        <f t="shared" si="202"/>
        <v>1</v>
      </c>
      <c r="R9597" s="21">
        <v>1</v>
      </c>
      <c r="S9597" s="21">
        <v>0</v>
      </c>
      <c r="T9597" s="21">
        <v>0</v>
      </c>
      <c r="U9597" s="21">
        <v>0</v>
      </c>
      <c r="V9597" s="21">
        <v>1</v>
      </c>
      <c r="W9597" s="21">
        <v>0</v>
      </c>
      <c r="X9597" s="21">
        <v>0</v>
      </c>
      <c r="Y9597" s="21">
        <v>0</v>
      </c>
      <c r="Z9597" s="21">
        <v>0</v>
      </c>
      <c r="AA9597" s="21">
        <v>0</v>
      </c>
      <c r="AB9597" s="21">
        <v>0</v>
      </c>
      <c r="AC9597" s="21">
        <v>0</v>
      </c>
      <c r="AD9597" s="21">
        <v>0</v>
      </c>
      <c r="AE9597" s="21">
        <v>0</v>
      </c>
      <c r="AF9597" s="21">
        <v>0</v>
      </c>
      <c r="AG9597" s="21">
        <v>0</v>
      </c>
      <c r="AH9597" s="21">
        <f t="shared" si="203"/>
        <v>64</v>
      </c>
      <c r="AJ9597" s="21"/>
      <c r="AK9597" s="21"/>
      <c r="AL9597" s="21"/>
      <c r="AM9597" s="21" t="s">
        <v>6813</v>
      </c>
      <c r="AN9597" s="21">
        <v>-122.41192150000001</v>
      </c>
      <c r="AO9597" s="21">
        <v>37.801522349999999</v>
      </c>
      <c r="AP9597" s="21" t="s">
        <v>1915</v>
      </c>
    </row>
    <row r="9598" spans="1:42">
      <c r="A9598" s="1">
        <v>43859</v>
      </c>
      <c r="B9598" s="21">
        <v>3</v>
      </c>
      <c r="C9598" s="21">
        <v>230</v>
      </c>
      <c r="D9598" s="7">
        <v>14467</v>
      </c>
      <c r="E9598" s="7" t="s">
        <v>112</v>
      </c>
      <c r="F9598" s="21" t="s">
        <v>104</v>
      </c>
      <c r="G9598" s="21">
        <v>4</v>
      </c>
      <c r="H9598" s="21">
        <v>15</v>
      </c>
      <c r="I9598" s="21" t="s">
        <v>3206</v>
      </c>
      <c r="J9598" s="21"/>
      <c r="K9598" s="21" t="s">
        <v>6808</v>
      </c>
      <c r="N9598" s="21" t="s">
        <v>44</v>
      </c>
      <c r="O9598" s="21">
        <f>60+35</f>
        <v>95</v>
      </c>
      <c r="Q9598" s="21">
        <f t="shared" si="202"/>
        <v>1</v>
      </c>
      <c r="R9598" s="21">
        <v>1</v>
      </c>
      <c r="S9598" s="21">
        <v>0</v>
      </c>
      <c r="T9598" s="21">
        <v>0</v>
      </c>
      <c r="U9598" s="21">
        <v>0</v>
      </c>
      <c r="V9598" s="21">
        <v>0</v>
      </c>
      <c r="W9598" s="21">
        <v>1</v>
      </c>
      <c r="X9598" s="21">
        <v>0</v>
      </c>
      <c r="Y9598" s="21">
        <v>0</v>
      </c>
      <c r="Z9598" s="21">
        <v>0</v>
      </c>
      <c r="AA9598" s="21">
        <v>0</v>
      </c>
      <c r="AB9598" s="21">
        <v>0</v>
      </c>
      <c r="AC9598" s="21">
        <v>0</v>
      </c>
      <c r="AD9598" s="21">
        <v>0</v>
      </c>
      <c r="AE9598" s="21">
        <v>0</v>
      </c>
      <c r="AF9598" s="21">
        <v>0</v>
      </c>
      <c r="AG9598" s="21">
        <v>0</v>
      </c>
      <c r="AH9598" s="21">
        <f t="shared" si="203"/>
        <v>96</v>
      </c>
      <c r="AJ9598" s="21" t="s">
        <v>6790</v>
      </c>
      <c r="AK9598" s="21" t="s">
        <v>52</v>
      </c>
      <c r="AL9598" s="21" t="s">
        <v>6814</v>
      </c>
      <c r="AM9598" s="21" t="s">
        <v>6815</v>
      </c>
      <c r="AN9598" s="21">
        <v>-122.411660766667</v>
      </c>
      <c r="AO9598" s="21">
        <v>37.801855416666697</v>
      </c>
      <c r="AP9598" s="21" t="s">
        <v>1915</v>
      </c>
    </row>
    <row r="9599" spans="1:42">
      <c r="A9599" s="1">
        <v>43859</v>
      </c>
      <c r="B9599" s="21">
        <v>3</v>
      </c>
      <c r="C9599" s="21">
        <v>230</v>
      </c>
      <c r="D9599" s="7">
        <v>14467</v>
      </c>
      <c r="E9599" s="7" t="s">
        <v>112</v>
      </c>
      <c r="F9599" s="21" t="s">
        <v>104</v>
      </c>
      <c r="G9599" s="21">
        <v>4</v>
      </c>
      <c r="H9599" s="21">
        <v>16</v>
      </c>
      <c r="I9599" s="21" t="s">
        <v>5225</v>
      </c>
      <c r="J9599" s="21"/>
      <c r="K9599" s="21" t="s">
        <v>407</v>
      </c>
      <c r="N9599" s="21" t="s">
        <v>40</v>
      </c>
      <c r="O9599" s="21">
        <v>43</v>
      </c>
      <c r="Q9599" s="21">
        <f t="shared" si="202"/>
        <v>2</v>
      </c>
      <c r="R9599" s="21">
        <v>1</v>
      </c>
      <c r="S9599" s="21">
        <v>0</v>
      </c>
      <c r="T9599" s="21">
        <v>0</v>
      </c>
      <c r="U9599" s="21">
        <v>1</v>
      </c>
      <c r="V9599" s="21">
        <v>0</v>
      </c>
      <c r="W9599" s="21">
        <v>1</v>
      </c>
      <c r="X9599" s="21">
        <v>0</v>
      </c>
      <c r="Y9599" s="21">
        <v>0</v>
      </c>
      <c r="Z9599" s="21">
        <v>0</v>
      </c>
      <c r="AA9599" s="21">
        <v>0</v>
      </c>
      <c r="AB9599" s="21">
        <v>0</v>
      </c>
      <c r="AC9599" s="21">
        <v>0</v>
      </c>
      <c r="AD9599" s="21">
        <v>0</v>
      </c>
      <c r="AE9599" s="21">
        <v>0</v>
      </c>
      <c r="AF9599" s="21">
        <v>0</v>
      </c>
      <c r="AG9599" s="21">
        <v>0</v>
      </c>
      <c r="AH9599" s="21">
        <f t="shared" si="203"/>
        <v>128</v>
      </c>
      <c r="AJ9599" s="21" t="s">
        <v>6790</v>
      </c>
      <c r="AK9599" s="21" t="s">
        <v>52</v>
      </c>
      <c r="AL9599" s="21"/>
      <c r="AM9599" s="21" t="s">
        <v>6816</v>
      </c>
      <c r="AN9599" s="21">
        <v>-122.411002716667</v>
      </c>
      <c r="AO9599" s="21">
        <v>37.800605616666701</v>
      </c>
      <c r="AP9599" s="21" t="s">
        <v>1915</v>
      </c>
    </row>
    <row r="9600" spans="1:42">
      <c r="A9600" s="1">
        <v>43859</v>
      </c>
      <c r="B9600" s="21">
        <v>3</v>
      </c>
      <c r="C9600" s="21">
        <v>230</v>
      </c>
      <c r="D9600" s="7">
        <v>14467</v>
      </c>
      <c r="E9600" s="7" t="s">
        <v>112</v>
      </c>
      <c r="F9600" s="21" t="s">
        <v>104</v>
      </c>
      <c r="G9600" s="21">
        <v>4</v>
      </c>
      <c r="H9600" s="21">
        <v>17</v>
      </c>
      <c r="I9600" s="21" t="s">
        <v>6817</v>
      </c>
      <c r="J9600" s="21"/>
      <c r="K9600" s="21" t="s">
        <v>407</v>
      </c>
      <c r="N9600" s="21" t="s">
        <v>40</v>
      </c>
      <c r="O9600" s="21">
        <f>60+36</f>
        <v>96</v>
      </c>
      <c r="Q9600" s="21">
        <f t="shared" si="202"/>
        <v>3</v>
      </c>
      <c r="R9600" s="21">
        <v>1</v>
      </c>
      <c r="S9600" s="21">
        <v>0</v>
      </c>
      <c r="T9600" s="21">
        <v>0</v>
      </c>
      <c r="U9600" s="21">
        <v>1</v>
      </c>
      <c r="V9600" s="21">
        <v>0</v>
      </c>
      <c r="W9600" s="21">
        <v>2</v>
      </c>
      <c r="X9600" s="21">
        <v>0</v>
      </c>
      <c r="Y9600" s="21">
        <v>0</v>
      </c>
      <c r="Z9600" s="21">
        <v>0</v>
      </c>
      <c r="AA9600" s="21">
        <v>0</v>
      </c>
      <c r="AB9600" s="21">
        <v>0</v>
      </c>
      <c r="AC9600" s="21">
        <v>0</v>
      </c>
      <c r="AD9600" s="21">
        <v>0</v>
      </c>
      <c r="AE9600" s="21">
        <v>0</v>
      </c>
      <c r="AF9600" s="21">
        <v>0</v>
      </c>
      <c r="AG9600" s="21">
        <v>0</v>
      </c>
      <c r="AH9600" s="21">
        <f t="shared" si="203"/>
        <v>224</v>
      </c>
      <c r="AJ9600" s="21" t="s">
        <v>6800</v>
      </c>
      <c r="AK9600" s="21" t="s">
        <v>52</v>
      </c>
      <c r="AL9600" s="21" t="s">
        <v>6818</v>
      </c>
      <c r="AM9600" s="21" t="s">
        <v>6819</v>
      </c>
      <c r="AN9600" s="21">
        <v>-122.410923966667</v>
      </c>
      <c r="AO9600" s="21">
        <v>37.800423383333303</v>
      </c>
      <c r="AP9600" s="21" t="s">
        <v>1915</v>
      </c>
    </row>
    <row r="9601" spans="1:42">
      <c r="A9601" s="1">
        <v>43859</v>
      </c>
      <c r="B9601" s="21">
        <v>3</v>
      </c>
      <c r="C9601" s="21">
        <v>230</v>
      </c>
      <c r="D9601" s="7">
        <v>14467</v>
      </c>
      <c r="E9601" s="7" t="s">
        <v>112</v>
      </c>
      <c r="F9601" s="21" t="s">
        <v>104</v>
      </c>
      <c r="G9601" s="21">
        <v>4</v>
      </c>
      <c r="H9601" s="21">
        <v>18</v>
      </c>
      <c r="I9601" s="21" t="s">
        <v>4211</v>
      </c>
      <c r="J9601" s="21"/>
      <c r="K9601" s="21" t="s">
        <v>6808</v>
      </c>
      <c r="N9601" s="21" t="s">
        <v>40</v>
      </c>
      <c r="O9601" s="21">
        <f>60+35</f>
        <v>95</v>
      </c>
      <c r="Q9601" s="21">
        <f t="shared" si="202"/>
        <v>4</v>
      </c>
      <c r="R9601" s="21">
        <v>1</v>
      </c>
      <c r="S9601" s="21">
        <v>0</v>
      </c>
      <c r="T9601" s="21">
        <v>0</v>
      </c>
      <c r="U9601" s="21">
        <v>3</v>
      </c>
      <c r="V9601" s="21">
        <v>0</v>
      </c>
      <c r="W9601" s="21">
        <v>1</v>
      </c>
      <c r="X9601" s="21">
        <v>0</v>
      </c>
      <c r="Y9601" s="21">
        <v>0</v>
      </c>
      <c r="Z9601" s="21">
        <v>0</v>
      </c>
      <c r="AA9601" s="21">
        <v>0</v>
      </c>
      <c r="AB9601" s="21">
        <v>0</v>
      </c>
      <c r="AC9601" s="21">
        <v>0</v>
      </c>
      <c r="AD9601" s="21">
        <v>0</v>
      </c>
      <c r="AE9601" s="21">
        <v>0</v>
      </c>
      <c r="AF9601" s="21">
        <v>0</v>
      </c>
      <c r="AG9601" s="21">
        <v>0</v>
      </c>
      <c r="AH9601" s="21">
        <f t="shared" si="203"/>
        <v>192</v>
      </c>
      <c r="AJ9601" s="21"/>
      <c r="AK9601" s="21"/>
      <c r="AL9601" s="21"/>
      <c r="AM9601" s="21" t="s">
        <v>6820</v>
      </c>
      <c r="AN9601" s="21">
        <v>-122.41007071666699</v>
      </c>
      <c r="AO9601" s="21">
        <v>37.800070366666702</v>
      </c>
      <c r="AP9601" s="21" t="s">
        <v>1915</v>
      </c>
    </row>
    <row r="9602" spans="1:42">
      <c r="A9602" s="1">
        <v>43859</v>
      </c>
      <c r="B9602" s="21">
        <v>3</v>
      </c>
      <c r="C9602" s="21">
        <v>230</v>
      </c>
      <c r="D9602" s="7">
        <v>14467</v>
      </c>
      <c r="E9602" s="7" t="s">
        <v>112</v>
      </c>
      <c r="F9602" s="21" t="s">
        <v>104</v>
      </c>
      <c r="G9602" s="21">
        <v>4</v>
      </c>
      <c r="H9602" s="21">
        <v>19</v>
      </c>
      <c r="I9602" s="21" t="s">
        <v>4213</v>
      </c>
      <c r="J9602" s="21"/>
      <c r="K9602" s="21" t="s">
        <v>6808</v>
      </c>
      <c r="N9602" s="21" t="s">
        <v>40</v>
      </c>
      <c r="O9602" s="21">
        <v>37</v>
      </c>
      <c r="Q9602" s="21">
        <f t="shared" si="202"/>
        <v>1</v>
      </c>
      <c r="R9602" s="21">
        <v>1</v>
      </c>
      <c r="S9602" s="21">
        <v>0</v>
      </c>
      <c r="T9602" s="21">
        <v>0</v>
      </c>
      <c r="U9602" s="21">
        <v>1</v>
      </c>
      <c r="V9602" s="21">
        <v>0</v>
      </c>
      <c r="W9602" s="21">
        <v>0</v>
      </c>
      <c r="X9602" s="21">
        <v>0</v>
      </c>
      <c r="Y9602" s="21">
        <v>0</v>
      </c>
      <c r="Z9602" s="21">
        <v>0</v>
      </c>
      <c r="AA9602" s="21">
        <v>0</v>
      </c>
      <c r="AB9602" s="21">
        <v>0</v>
      </c>
      <c r="AC9602" s="21">
        <v>0</v>
      </c>
      <c r="AD9602" s="21">
        <v>0</v>
      </c>
      <c r="AE9602" s="21">
        <v>0</v>
      </c>
      <c r="AF9602" s="21">
        <v>0</v>
      </c>
      <c r="AG9602" s="21">
        <v>0</v>
      </c>
      <c r="AH9602" s="21">
        <f t="shared" si="203"/>
        <v>32</v>
      </c>
      <c r="AJ9602" s="21" t="s">
        <v>6790</v>
      </c>
      <c r="AK9602" s="21" t="s">
        <v>95</v>
      </c>
      <c r="AL9602" s="21"/>
      <c r="AM9602" s="21" t="s">
        <v>6821</v>
      </c>
      <c r="AN9602" s="21">
        <v>-122.409856533333</v>
      </c>
      <c r="AO9602" s="21">
        <v>37.799972033333297</v>
      </c>
      <c r="AP9602" s="21" t="s">
        <v>1915</v>
      </c>
    </row>
    <row r="9603" spans="1:42">
      <c r="A9603" s="1">
        <v>43859</v>
      </c>
      <c r="B9603" s="21">
        <v>3</v>
      </c>
      <c r="C9603" s="21">
        <v>230</v>
      </c>
      <c r="D9603" s="7">
        <v>14467</v>
      </c>
      <c r="E9603" s="7" t="s">
        <v>112</v>
      </c>
      <c r="F9603" s="21" t="s">
        <v>104</v>
      </c>
      <c r="G9603" s="21">
        <v>4</v>
      </c>
      <c r="H9603" s="21">
        <v>20</v>
      </c>
      <c r="I9603" s="21" t="s">
        <v>6822</v>
      </c>
      <c r="J9603" s="21"/>
      <c r="K9603" s="21" t="s">
        <v>213</v>
      </c>
      <c r="N9603" s="21" t="s">
        <v>40</v>
      </c>
      <c r="O9603" s="21">
        <v>66</v>
      </c>
      <c r="Q9603" s="21">
        <f t="shared" si="202"/>
        <v>3</v>
      </c>
      <c r="R9603" s="21">
        <v>1</v>
      </c>
      <c r="S9603" s="21">
        <v>0</v>
      </c>
      <c r="T9603" s="21">
        <v>0</v>
      </c>
      <c r="U9603" s="21">
        <v>2</v>
      </c>
      <c r="V9603" s="21">
        <v>0</v>
      </c>
      <c r="W9603" s="21">
        <v>1</v>
      </c>
      <c r="X9603" s="21">
        <v>0</v>
      </c>
      <c r="Y9603" s="21">
        <v>0</v>
      </c>
      <c r="Z9603" s="21">
        <v>0</v>
      </c>
      <c r="AA9603" s="21">
        <v>0</v>
      </c>
      <c r="AB9603" s="21">
        <v>0</v>
      </c>
      <c r="AC9603" s="21">
        <v>0</v>
      </c>
      <c r="AD9603" s="21">
        <v>0</v>
      </c>
      <c r="AE9603" s="21">
        <v>0</v>
      </c>
      <c r="AF9603" s="21">
        <v>0</v>
      </c>
      <c r="AG9603" s="21">
        <v>0</v>
      </c>
      <c r="AH9603" s="21">
        <f t="shared" si="203"/>
        <v>160</v>
      </c>
      <c r="AJ9603" s="21"/>
      <c r="AK9603" s="21"/>
      <c r="AL9603" s="21"/>
      <c r="AM9603" s="21" t="s">
        <v>6823</v>
      </c>
      <c r="AN9603" s="21">
        <v>-122.409763066667</v>
      </c>
      <c r="AO9603" s="21">
        <v>37.800277483333304</v>
      </c>
      <c r="AP9603" s="21" t="s">
        <v>1915</v>
      </c>
    </row>
    <row r="9604" spans="1:42">
      <c r="A9604" s="1">
        <v>43859</v>
      </c>
      <c r="B9604" s="21">
        <v>3</v>
      </c>
      <c r="C9604" s="21">
        <v>230</v>
      </c>
      <c r="D9604" s="7">
        <v>14467</v>
      </c>
      <c r="E9604" s="7" t="s">
        <v>112</v>
      </c>
      <c r="F9604" s="21" t="s">
        <v>104</v>
      </c>
      <c r="G9604" s="21">
        <v>4</v>
      </c>
      <c r="H9604" s="21">
        <v>21</v>
      </c>
      <c r="I9604" s="21" t="s">
        <v>6824</v>
      </c>
      <c r="J9604" s="21"/>
      <c r="K9604" s="21" t="s">
        <v>213</v>
      </c>
      <c r="N9604" s="21" t="s">
        <v>40</v>
      </c>
      <c r="O9604" s="21">
        <f>122+60</f>
        <v>182</v>
      </c>
      <c r="Q9604" s="21">
        <f t="shared" si="202"/>
        <v>6</v>
      </c>
      <c r="R9604" s="21">
        <v>1</v>
      </c>
      <c r="S9604" s="21">
        <v>0</v>
      </c>
      <c r="T9604" s="21">
        <v>0</v>
      </c>
      <c r="U9604" s="21">
        <v>0</v>
      </c>
      <c r="V9604" s="21">
        <v>3</v>
      </c>
      <c r="W9604" s="21">
        <v>3</v>
      </c>
      <c r="X9604" s="21">
        <v>0</v>
      </c>
      <c r="Y9604" s="21">
        <v>0</v>
      </c>
      <c r="Z9604" s="21">
        <v>0</v>
      </c>
      <c r="AA9604" s="21">
        <v>0</v>
      </c>
      <c r="AB9604" s="21">
        <v>0</v>
      </c>
      <c r="AC9604" s="21">
        <v>0</v>
      </c>
      <c r="AD9604" s="21">
        <v>0</v>
      </c>
      <c r="AE9604" s="21">
        <v>0</v>
      </c>
      <c r="AF9604" s="21">
        <v>0</v>
      </c>
      <c r="AG9604" s="21">
        <v>0</v>
      </c>
      <c r="AH9604" s="21">
        <f t="shared" si="203"/>
        <v>480</v>
      </c>
      <c r="AJ9604" s="21"/>
      <c r="AK9604" s="21"/>
      <c r="AL9604" s="21"/>
      <c r="AM9604" s="21" t="s">
        <v>6825</v>
      </c>
      <c r="AN9604" s="21">
        <v>-122.40962038333301</v>
      </c>
      <c r="AO9604" s="21">
        <v>37.800278783333297</v>
      </c>
      <c r="AP9604" s="21" t="s">
        <v>1915</v>
      </c>
    </row>
    <row r="9605" spans="1:42">
      <c r="A9605" s="1">
        <v>43859</v>
      </c>
      <c r="B9605" s="21">
        <v>3</v>
      </c>
      <c r="C9605" s="21">
        <v>230</v>
      </c>
      <c r="D9605" s="7">
        <v>14467</v>
      </c>
      <c r="E9605" s="7" t="s">
        <v>112</v>
      </c>
      <c r="F9605" s="21" t="s">
        <v>104</v>
      </c>
      <c r="G9605" s="21">
        <v>4</v>
      </c>
      <c r="H9605" s="21">
        <v>22</v>
      </c>
      <c r="I9605" s="21" t="s">
        <v>3337</v>
      </c>
      <c r="J9605" s="21"/>
      <c r="K9605" s="21" t="s">
        <v>50</v>
      </c>
      <c r="N9605" s="21" t="s">
        <v>40</v>
      </c>
      <c r="O9605" s="21">
        <f>60+14</f>
        <v>74</v>
      </c>
      <c r="Q9605" s="21">
        <f t="shared" si="202"/>
        <v>3</v>
      </c>
      <c r="R9605" s="21">
        <v>1</v>
      </c>
      <c r="S9605" s="21">
        <v>0</v>
      </c>
      <c r="T9605" s="21">
        <v>0</v>
      </c>
      <c r="U9605" s="21">
        <v>0</v>
      </c>
      <c r="V9605" s="21">
        <v>2</v>
      </c>
      <c r="W9605" s="21">
        <v>0</v>
      </c>
      <c r="X9605" s="21">
        <v>1</v>
      </c>
      <c r="Y9605" s="21">
        <v>0</v>
      </c>
      <c r="Z9605" s="21">
        <v>0</v>
      </c>
      <c r="AA9605" s="21">
        <v>0</v>
      </c>
      <c r="AB9605" s="21">
        <v>0</v>
      </c>
      <c r="AC9605" s="21">
        <v>0</v>
      </c>
      <c r="AD9605" s="21">
        <v>0</v>
      </c>
      <c r="AE9605" s="21">
        <v>0</v>
      </c>
      <c r="AF9605" s="21">
        <v>0</v>
      </c>
      <c r="AG9605" s="21">
        <v>0</v>
      </c>
      <c r="AH9605" s="21">
        <f t="shared" si="203"/>
        <v>128</v>
      </c>
      <c r="AJ9605" s="21" t="s">
        <v>6800</v>
      </c>
      <c r="AK9605" s="21" t="s">
        <v>52</v>
      </c>
      <c r="AL9605" s="21" t="s">
        <v>470</v>
      </c>
      <c r="AM9605" s="21" t="s">
        <v>6826</v>
      </c>
      <c r="AN9605" s="21">
        <v>-122.409115983333</v>
      </c>
      <c r="AO9605" s="21">
        <v>37.799833416666701</v>
      </c>
      <c r="AP9605" s="21" t="s">
        <v>1915</v>
      </c>
    </row>
    <row r="9606" spans="1:42">
      <c r="A9606" s="1">
        <v>43859</v>
      </c>
      <c r="B9606" s="21">
        <v>3</v>
      </c>
      <c r="C9606" s="21">
        <v>230</v>
      </c>
      <c r="D9606" s="7">
        <v>14467</v>
      </c>
      <c r="E9606" s="7" t="s">
        <v>112</v>
      </c>
      <c r="F9606" s="21" t="s">
        <v>104</v>
      </c>
      <c r="G9606" s="21">
        <v>4</v>
      </c>
      <c r="H9606" s="21">
        <v>23</v>
      </c>
      <c r="I9606" s="21" t="s">
        <v>6827</v>
      </c>
      <c r="J9606" s="21"/>
      <c r="K9606" s="21" t="s">
        <v>324</v>
      </c>
      <c r="N9606" s="21" t="s">
        <v>40</v>
      </c>
      <c r="O9606" s="21">
        <v>35</v>
      </c>
      <c r="Q9606" s="21">
        <f t="shared" si="202"/>
        <v>1</v>
      </c>
      <c r="R9606" s="21">
        <v>1</v>
      </c>
      <c r="S9606" s="21">
        <v>0</v>
      </c>
      <c r="T9606" s="21">
        <v>0</v>
      </c>
      <c r="U9606" s="21">
        <v>1</v>
      </c>
      <c r="V9606" s="21">
        <v>0</v>
      </c>
      <c r="W9606" s="21">
        <v>0</v>
      </c>
      <c r="X9606" s="21">
        <v>0</v>
      </c>
      <c r="Y9606" s="21">
        <v>0</v>
      </c>
      <c r="Z9606" s="21">
        <v>0</v>
      </c>
      <c r="AA9606" s="21">
        <v>0</v>
      </c>
      <c r="AB9606" s="21">
        <v>0</v>
      </c>
      <c r="AC9606" s="21">
        <v>0</v>
      </c>
      <c r="AD9606" s="21">
        <v>0</v>
      </c>
      <c r="AE9606" s="21">
        <v>0</v>
      </c>
      <c r="AF9606" s="21">
        <v>0</v>
      </c>
      <c r="AG9606" s="21">
        <v>0</v>
      </c>
      <c r="AH9606" s="21">
        <f t="shared" si="203"/>
        <v>32</v>
      </c>
      <c r="AJ9606" s="21" t="s">
        <v>6790</v>
      </c>
      <c r="AK9606" s="21" t="s">
        <v>52</v>
      </c>
      <c r="AL9606" s="21"/>
      <c r="AM9606" s="21" t="s">
        <v>6828</v>
      </c>
      <c r="AN9606" s="21">
        <v>-122.409944</v>
      </c>
      <c r="AO9606" s="21">
        <v>37.800234483333298</v>
      </c>
      <c r="AP9606" s="21" t="s">
        <v>1915</v>
      </c>
    </row>
    <row r="9607" spans="1:42">
      <c r="A9607" s="1">
        <v>43859</v>
      </c>
      <c r="B9607" s="21">
        <v>3</v>
      </c>
      <c r="C9607" s="21">
        <v>230</v>
      </c>
      <c r="D9607" s="7">
        <v>14467</v>
      </c>
      <c r="E9607" s="7" t="s">
        <v>112</v>
      </c>
      <c r="F9607" s="21" t="s">
        <v>104</v>
      </c>
      <c r="G9607" s="21">
        <v>4</v>
      </c>
      <c r="H9607" s="21">
        <v>24</v>
      </c>
      <c r="I9607" s="21" t="s">
        <v>6829</v>
      </c>
      <c r="J9607" s="21"/>
      <c r="K9607" s="21" t="s">
        <v>50</v>
      </c>
      <c r="N9607" s="21" t="s">
        <v>40</v>
      </c>
      <c r="O9607" s="21">
        <v>33</v>
      </c>
      <c r="Q9607" s="21">
        <f t="shared" si="202"/>
        <v>2</v>
      </c>
      <c r="R9607" s="21">
        <v>1</v>
      </c>
      <c r="S9607" s="21">
        <v>0</v>
      </c>
      <c r="T9607" s="21">
        <v>0</v>
      </c>
      <c r="U9607" s="21">
        <v>2</v>
      </c>
      <c r="V9607" s="21">
        <v>0</v>
      </c>
      <c r="W9607" s="21">
        <v>0</v>
      </c>
      <c r="X9607" s="21">
        <v>0</v>
      </c>
      <c r="Y9607" s="21">
        <v>0</v>
      </c>
      <c r="Z9607" s="21">
        <v>0</v>
      </c>
      <c r="AA9607" s="21">
        <v>0</v>
      </c>
      <c r="AB9607" s="21">
        <v>0</v>
      </c>
      <c r="AC9607" s="21">
        <v>0</v>
      </c>
      <c r="AD9607" s="21">
        <v>0</v>
      </c>
      <c r="AE9607" s="21">
        <v>0</v>
      </c>
      <c r="AF9607" s="21">
        <v>0</v>
      </c>
      <c r="AG9607" s="21">
        <v>0</v>
      </c>
      <c r="AH9607" s="21">
        <f t="shared" si="203"/>
        <v>64</v>
      </c>
      <c r="AJ9607" s="21"/>
      <c r="AK9607" s="21"/>
      <c r="AL9607" s="21"/>
      <c r="AM9607" s="21" t="s">
        <v>6830</v>
      </c>
      <c r="AN9607" s="21">
        <v>-122.409597216667</v>
      </c>
      <c r="AO9607" s="21">
        <v>37.8027117166667</v>
      </c>
      <c r="AP9607" s="21" t="s">
        <v>1915</v>
      </c>
    </row>
    <row r="9608" spans="1:42">
      <c r="A9608" s="1">
        <v>43859</v>
      </c>
      <c r="B9608" s="21">
        <v>3</v>
      </c>
      <c r="C9608" s="21">
        <v>230</v>
      </c>
      <c r="D9608" s="7">
        <v>14467</v>
      </c>
      <c r="E9608" s="7" t="s">
        <v>112</v>
      </c>
      <c r="F9608" s="21" t="s">
        <v>104</v>
      </c>
      <c r="G9608" s="21">
        <v>4</v>
      </c>
      <c r="H9608" s="21">
        <v>25</v>
      </c>
      <c r="I9608" s="21" t="s">
        <v>6829</v>
      </c>
      <c r="J9608" s="21"/>
      <c r="K9608" s="21" t="s">
        <v>50</v>
      </c>
      <c r="N9608" s="21" t="s">
        <v>40</v>
      </c>
      <c r="O9608" s="21">
        <v>33</v>
      </c>
      <c r="Q9608" s="21">
        <f t="shared" si="202"/>
        <v>2</v>
      </c>
      <c r="R9608" s="21">
        <v>1</v>
      </c>
      <c r="S9608" s="21">
        <v>0</v>
      </c>
      <c r="T9608" s="21">
        <v>0</v>
      </c>
      <c r="U9608" s="21">
        <v>2</v>
      </c>
      <c r="V9608" s="21">
        <v>0</v>
      </c>
      <c r="W9608" s="21">
        <v>0</v>
      </c>
      <c r="X9608" s="21">
        <v>0</v>
      </c>
      <c r="Y9608" s="21">
        <v>0</v>
      </c>
      <c r="Z9608" s="21">
        <v>0</v>
      </c>
      <c r="AA9608" s="21">
        <v>0</v>
      </c>
      <c r="AB9608" s="21">
        <v>0</v>
      </c>
      <c r="AC9608" s="21">
        <v>0</v>
      </c>
      <c r="AD9608" s="21">
        <v>0</v>
      </c>
      <c r="AE9608" s="21">
        <v>0</v>
      </c>
      <c r="AF9608" s="21">
        <v>0</v>
      </c>
      <c r="AG9608" s="21">
        <v>0</v>
      </c>
      <c r="AH9608" s="21">
        <f t="shared" si="203"/>
        <v>64</v>
      </c>
      <c r="AJ9608" s="21"/>
      <c r="AK9608" s="21"/>
      <c r="AL9608" s="21"/>
      <c r="AM9608" s="21" t="s">
        <v>6831</v>
      </c>
      <c r="AN9608" s="21">
        <v>-122.409597216667</v>
      </c>
      <c r="AO9608" s="21">
        <v>37.8027117166667</v>
      </c>
      <c r="AP9608" s="21" t="s">
        <v>1915</v>
      </c>
    </row>
    <row r="9609" spans="1:42">
      <c r="A9609" s="1">
        <v>43859</v>
      </c>
      <c r="B9609" s="21">
        <v>3</v>
      </c>
      <c r="C9609" s="21">
        <v>230</v>
      </c>
      <c r="D9609" s="7">
        <v>14467</v>
      </c>
      <c r="E9609" s="7" t="s">
        <v>112</v>
      </c>
      <c r="F9609" s="21" t="s">
        <v>104</v>
      </c>
      <c r="G9609" s="21">
        <v>4</v>
      </c>
      <c r="H9609" s="21">
        <v>26</v>
      </c>
      <c r="I9609" s="21" t="s">
        <v>6832</v>
      </c>
      <c r="J9609" s="21"/>
      <c r="K9609" s="21" t="s">
        <v>50</v>
      </c>
      <c r="N9609" s="21" t="s">
        <v>40</v>
      </c>
      <c r="O9609" s="21">
        <v>68</v>
      </c>
      <c r="Q9609" s="21">
        <f t="shared" si="202"/>
        <v>4</v>
      </c>
      <c r="R9609" s="21">
        <v>1</v>
      </c>
      <c r="S9609" s="21">
        <v>0</v>
      </c>
      <c r="T9609" s="21">
        <v>0</v>
      </c>
      <c r="U9609" s="21">
        <v>4</v>
      </c>
      <c r="V9609" s="21">
        <v>0</v>
      </c>
      <c r="W9609" s="21">
        <v>0</v>
      </c>
      <c r="X9609" s="21">
        <v>0</v>
      </c>
      <c r="Y9609" s="21">
        <v>0</v>
      </c>
      <c r="Z9609" s="21">
        <v>0</v>
      </c>
      <c r="AA9609" s="21">
        <v>0</v>
      </c>
      <c r="AB9609" s="21">
        <v>0</v>
      </c>
      <c r="AC9609" s="21">
        <v>0</v>
      </c>
      <c r="AD9609" s="21">
        <v>0</v>
      </c>
      <c r="AE9609" s="21">
        <v>0</v>
      </c>
      <c r="AF9609" s="21">
        <v>0</v>
      </c>
      <c r="AG9609" s="21">
        <v>0</v>
      </c>
      <c r="AH9609" s="21">
        <f t="shared" si="203"/>
        <v>128</v>
      </c>
      <c r="AJ9609" s="21"/>
      <c r="AK9609" s="21"/>
      <c r="AL9609" s="21"/>
      <c r="AM9609" s="21" t="s">
        <v>6833</v>
      </c>
      <c r="AN9609" s="21">
        <v>-122.409573616667</v>
      </c>
      <c r="AO9609" s="21">
        <v>37.8026719</v>
      </c>
      <c r="AP9609" s="21" t="s">
        <v>1915</v>
      </c>
    </row>
    <row r="9610" spans="1:42">
      <c r="A9610" s="1">
        <v>43859</v>
      </c>
      <c r="B9610" s="21">
        <v>3</v>
      </c>
      <c r="C9610" s="21">
        <v>230</v>
      </c>
      <c r="D9610" s="7">
        <v>14467</v>
      </c>
      <c r="E9610" s="7" t="s">
        <v>112</v>
      </c>
      <c r="F9610" s="21" t="s">
        <v>104</v>
      </c>
      <c r="G9610" s="21">
        <v>4</v>
      </c>
      <c r="H9610" s="21">
        <v>27</v>
      </c>
      <c r="I9610" s="21">
        <v>1832</v>
      </c>
      <c r="J9610" s="21"/>
      <c r="K9610" s="21" t="s">
        <v>50</v>
      </c>
      <c r="N9610" s="21" t="s">
        <v>40</v>
      </c>
      <c r="O9610" s="21">
        <v>19</v>
      </c>
      <c r="Q9610" s="21">
        <f t="shared" si="202"/>
        <v>0</v>
      </c>
      <c r="R9610" s="21">
        <v>1</v>
      </c>
      <c r="S9610" s="21">
        <v>0</v>
      </c>
      <c r="T9610" s="21">
        <v>0</v>
      </c>
      <c r="U9610" s="21">
        <v>0</v>
      </c>
      <c r="V9610" s="21">
        <v>0</v>
      </c>
      <c r="W9610" s="21">
        <v>0</v>
      </c>
      <c r="X9610" s="21">
        <v>0</v>
      </c>
      <c r="Y9610" s="21">
        <v>0</v>
      </c>
      <c r="Z9610" s="21">
        <v>0</v>
      </c>
      <c r="AA9610" s="21">
        <v>0</v>
      </c>
      <c r="AB9610" s="21">
        <v>0</v>
      </c>
      <c r="AC9610" s="21">
        <v>0</v>
      </c>
      <c r="AD9610" s="21">
        <v>0</v>
      </c>
      <c r="AE9610" s="21">
        <v>0</v>
      </c>
      <c r="AF9610" s="21">
        <v>0</v>
      </c>
      <c r="AG9610" s="21">
        <v>0</v>
      </c>
      <c r="AH9610" s="21">
        <f t="shared" si="203"/>
        <v>0</v>
      </c>
      <c r="AJ9610" s="21"/>
      <c r="AK9610" s="21"/>
      <c r="AL9610" s="21"/>
      <c r="AM9610" s="21" t="s">
        <v>6834</v>
      </c>
      <c r="AN9610" s="21">
        <v>-122.40960971666701</v>
      </c>
      <c r="AO9610" s="21">
        <v>37.802818233333298</v>
      </c>
      <c r="AP9610" s="21" t="s">
        <v>1915</v>
      </c>
    </row>
    <row r="9611" spans="1:42">
      <c r="A9611" s="1">
        <v>43859</v>
      </c>
      <c r="B9611" s="21">
        <v>3</v>
      </c>
      <c r="C9611" s="21">
        <v>230</v>
      </c>
      <c r="D9611" s="7">
        <v>14467</v>
      </c>
      <c r="E9611" s="7" t="s">
        <v>112</v>
      </c>
      <c r="F9611" s="21" t="s">
        <v>104</v>
      </c>
      <c r="G9611" s="21">
        <v>4</v>
      </c>
      <c r="H9611" s="21">
        <v>28</v>
      </c>
      <c r="I9611" s="21" t="s">
        <v>6835</v>
      </c>
      <c r="J9611" s="21"/>
      <c r="K9611" s="21" t="s">
        <v>50</v>
      </c>
      <c r="N9611" s="21" t="s">
        <v>42</v>
      </c>
      <c r="O9611" s="21">
        <v>51</v>
      </c>
      <c r="Q9611" s="21">
        <f t="shared" si="202"/>
        <v>2</v>
      </c>
      <c r="R9611" s="21">
        <v>1</v>
      </c>
      <c r="S9611" s="21">
        <v>0</v>
      </c>
      <c r="T9611" s="21">
        <v>0</v>
      </c>
      <c r="U9611" s="21">
        <v>0</v>
      </c>
      <c r="V9611" s="21">
        <v>0</v>
      </c>
      <c r="W9611" s="21">
        <v>2</v>
      </c>
      <c r="X9611" s="21">
        <v>0</v>
      </c>
      <c r="Y9611" s="21">
        <v>0</v>
      </c>
      <c r="Z9611" s="21">
        <v>0</v>
      </c>
      <c r="AA9611" s="21">
        <v>0</v>
      </c>
      <c r="AB9611" s="21">
        <v>0</v>
      </c>
      <c r="AC9611" s="21">
        <v>0</v>
      </c>
      <c r="AD9611" s="21">
        <v>0</v>
      </c>
      <c r="AE9611" s="21">
        <v>0</v>
      </c>
      <c r="AF9611" s="21">
        <v>0</v>
      </c>
      <c r="AG9611" s="21">
        <v>0</v>
      </c>
      <c r="AH9611" s="21">
        <f t="shared" si="203"/>
        <v>192</v>
      </c>
      <c r="AJ9611" s="21"/>
      <c r="AK9611" s="21"/>
      <c r="AL9611" s="21"/>
      <c r="AM9611" s="21" t="s">
        <v>6836</v>
      </c>
      <c r="AN9611" s="21">
        <v>-122.409627466667</v>
      </c>
      <c r="AO9611" s="21">
        <v>37.802867433333297</v>
      </c>
      <c r="AP9611" s="21" t="s">
        <v>1915</v>
      </c>
    </row>
    <row r="9612" spans="1:42">
      <c r="A9612" s="1">
        <v>43859</v>
      </c>
      <c r="B9612" s="21">
        <v>3</v>
      </c>
      <c r="C9612" s="21">
        <v>230</v>
      </c>
      <c r="D9612" s="7">
        <v>14467</v>
      </c>
      <c r="E9612" s="7" t="s">
        <v>112</v>
      </c>
      <c r="F9612" s="21" t="s">
        <v>104</v>
      </c>
      <c r="G9612" s="21">
        <v>4</v>
      </c>
      <c r="H9612" s="21">
        <v>29</v>
      </c>
      <c r="I9612" s="21" t="s">
        <v>6837</v>
      </c>
      <c r="J9612" s="21"/>
      <c r="K9612" s="21" t="s">
        <v>50</v>
      </c>
      <c r="N9612" s="21" t="s">
        <v>44</v>
      </c>
      <c r="O9612" s="21">
        <v>65</v>
      </c>
      <c r="Q9612" s="21">
        <f t="shared" si="202"/>
        <v>1</v>
      </c>
      <c r="R9612" s="21">
        <v>1</v>
      </c>
      <c r="S9612" s="21">
        <v>0</v>
      </c>
      <c r="T9612" s="21">
        <v>0</v>
      </c>
      <c r="U9612" s="21">
        <v>0</v>
      </c>
      <c r="V9612" s="21">
        <v>0</v>
      </c>
      <c r="W9612" s="21">
        <v>1</v>
      </c>
      <c r="X9612" s="21">
        <v>0</v>
      </c>
      <c r="Y9612" s="21">
        <v>0</v>
      </c>
      <c r="Z9612" s="21">
        <v>0</v>
      </c>
      <c r="AA9612" s="21">
        <v>0</v>
      </c>
      <c r="AB9612" s="21">
        <v>0</v>
      </c>
      <c r="AC9612" s="21">
        <v>0</v>
      </c>
      <c r="AD9612" s="21">
        <v>0</v>
      </c>
      <c r="AE9612" s="21">
        <v>0</v>
      </c>
      <c r="AF9612" s="21">
        <v>0</v>
      </c>
      <c r="AG9612" s="21">
        <v>0</v>
      </c>
      <c r="AH9612" s="21">
        <f t="shared" si="203"/>
        <v>96</v>
      </c>
      <c r="AJ9612" s="21" t="s">
        <v>6790</v>
      </c>
      <c r="AK9612" s="21" t="s">
        <v>52</v>
      </c>
      <c r="AL9612" s="21" t="s">
        <v>5014</v>
      </c>
      <c r="AM9612" s="21" t="s">
        <v>6838</v>
      </c>
      <c r="AN9612" s="21">
        <v>-122.409763583333</v>
      </c>
      <c r="AO9612" s="21">
        <v>37.803209833333298</v>
      </c>
      <c r="AP9612" s="21" t="s">
        <v>1915</v>
      </c>
    </row>
    <row r="9613" spans="1:42">
      <c r="A9613" s="1">
        <v>43859</v>
      </c>
      <c r="B9613" s="21">
        <v>3</v>
      </c>
      <c r="C9613" s="21">
        <v>230</v>
      </c>
      <c r="D9613" s="7">
        <v>14467</v>
      </c>
      <c r="E9613" s="7" t="s">
        <v>112</v>
      </c>
      <c r="F9613" s="21" t="s">
        <v>104</v>
      </c>
      <c r="G9613" s="21">
        <v>4</v>
      </c>
      <c r="H9613" s="21">
        <v>30</v>
      </c>
      <c r="I9613" s="21" t="s">
        <v>6235</v>
      </c>
      <c r="J9613" s="21"/>
      <c r="K9613" s="21" t="s">
        <v>862</v>
      </c>
      <c r="N9613" s="21" t="s">
        <v>44</v>
      </c>
      <c r="O9613" s="21">
        <f>60+15</f>
        <v>75</v>
      </c>
      <c r="Q9613" s="21">
        <f t="shared" si="202"/>
        <v>2</v>
      </c>
      <c r="R9613" s="21">
        <v>1</v>
      </c>
      <c r="S9613" s="21">
        <v>0</v>
      </c>
      <c r="T9613" s="21">
        <v>0</v>
      </c>
      <c r="U9613" s="21">
        <v>1</v>
      </c>
      <c r="V9613" s="21">
        <v>0</v>
      </c>
      <c r="W9613" s="21">
        <v>1</v>
      </c>
      <c r="X9613" s="21">
        <v>0</v>
      </c>
      <c r="Y9613" s="21">
        <v>0</v>
      </c>
      <c r="Z9613" s="21">
        <v>0</v>
      </c>
      <c r="AA9613" s="21">
        <v>0</v>
      </c>
      <c r="AB9613" s="21">
        <v>0</v>
      </c>
      <c r="AC9613" s="21">
        <v>0</v>
      </c>
      <c r="AD9613" s="21">
        <v>0</v>
      </c>
      <c r="AE9613" s="21">
        <v>0</v>
      </c>
      <c r="AF9613" s="21">
        <v>0</v>
      </c>
      <c r="AG9613" s="21">
        <v>0</v>
      </c>
      <c r="AH9613" s="21">
        <f t="shared" si="203"/>
        <v>128</v>
      </c>
      <c r="AJ9613" s="21" t="s">
        <v>6800</v>
      </c>
      <c r="AK9613" s="21" t="s">
        <v>52</v>
      </c>
      <c r="AL9613" s="21" t="s">
        <v>5014</v>
      </c>
      <c r="AM9613" s="21" t="s">
        <v>6839</v>
      </c>
      <c r="AN9613" s="21">
        <v>-122.4097482</v>
      </c>
      <c r="AO9613" s="21">
        <v>37.803429016666698</v>
      </c>
      <c r="AP9613" s="21" t="s">
        <v>1915</v>
      </c>
    </row>
    <row r="9614" spans="1:42">
      <c r="A9614" s="1">
        <v>43859</v>
      </c>
      <c r="B9614" s="21">
        <v>3</v>
      </c>
      <c r="C9614" s="21">
        <v>230</v>
      </c>
      <c r="D9614" s="7">
        <v>14467</v>
      </c>
      <c r="E9614" s="7" t="s">
        <v>112</v>
      </c>
      <c r="F9614" s="21" t="s">
        <v>104</v>
      </c>
      <c r="G9614" s="21">
        <v>4</v>
      </c>
      <c r="H9614" s="21">
        <v>31</v>
      </c>
      <c r="I9614" s="21" t="s">
        <v>5195</v>
      </c>
      <c r="J9614" s="21"/>
      <c r="K9614" s="21" t="s">
        <v>50</v>
      </c>
      <c r="N9614" s="21" t="s">
        <v>44</v>
      </c>
      <c r="O9614" s="21">
        <f>60+56</f>
        <v>116</v>
      </c>
      <c r="Q9614" s="21">
        <f t="shared" si="202"/>
        <v>1</v>
      </c>
      <c r="R9614" s="21">
        <v>1</v>
      </c>
      <c r="S9614" s="21">
        <v>0</v>
      </c>
      <c r="T9614" s="21">
        <v>0</v>
      </c>
      <c r="U9614" s="21">
        <v>0</v>
      </c>
      <c r="V9614" s="21">
        <v>0</v>
      </c>
      <c r="W9614" s="21">
        <v>1</v>
      </c>
      <c r="X9614" s="21">
        <v>0</v>
      </c>
      <c r="Y9614" s="21">
        <v>0</v>
      </c>
      <c r="Z9614" s="21">
        <v>0</v>
      </c>
      <c r="AA9614" s="21">
        <v>0</v>
      </c>
      <c r="AB9614" s="21">
        <v>0</v>
      </c>
      <c r="AC9614" s="21">
        <v>0</v>
      </c>
      <c r="AD9614" s="21">
        <v>0</v>
      </c>
      <c r="AE9614" s="21">
        <v>0</v>
      </c>
      <c r="AF9614" s="21">
        <v>0</v>
      </c>
      <c r="AG9614" s="21">
        <v>0</v>
      </c>
      <c r="AH9614" s="21">
        <f t="shared" si="203"/>
        <v>96</v>
      </c>
      <c r="AJ9614" s="21" t="s">
        <v>6800</v>
      </c>
      <c r="AK9614" s="21" t="s">
        <v>52</v>
      </c>
      <c r="AL9614" s="21" t="s">
        <v>6840</v>
      </c>
      <c r="AM9614" s="21" t="s">
        <v>6841</v>
      </c>
      <c r="AN9614" s="21">
        <v>-122.40987016666701</v>
      </c>
      <c r="AO9614" s="21">
        <v>37.803820000000002</v>
      </c>
      <c r="AP9614" s="21" t="s">
        <v>1915</v>
      </c>
    </row>
    <row r="9615" spans="1:42">
      <c r="A9615" s="1">
        <v>43859</v>
      </c>
      <c r="B9615" s="21">
        <v>3</v>
      </c>
      <c r="C9615" s="21">
        <v>230</v>
      </c>
      <c r="D9615" s="7">
        <v>14467</v>
      </c>
      <c r="E9615" s="7" t="s">
        <v>112</v>
      </c>
      <c r="F9615" s="21" t="s">
        <v>104</v>
      </c>
      <c r="G9615" s="21">
        <v>4</v>
      </c>
      <c r="H9615" s="21">
        <v>32</v>
      </c>
      <c r="I9615" s="21" t="s">
        <v>4045</v>
      </c>
      <c r="J9615" s="21"/>
      <c r="K9615" s="21" t="s">
        <v>50</v>
      </c>
      <c r="N9615" s="21" t="s">
        <v>44</v>
      </c>
      <c r="O9615" s="21">
        <f>60+36</f>
        <v>96</v>
      </c>
      <c r="Q9615" s="21">
        <f t="shared" si="202"/>
        <v>1</v>
      </c>
      <c r="R9615" s="21">
        <v>1</v>
      </c>
      <c r="S9615" s="21">
        <v>0</v>
      </c>
      <c r="T9615" s="21">
        <v>0</v>
      </c>
      <c r="U9615" s="21">
        <v>0</v>
      </c>
      <c r="V9615" s="21">
        <v>0</v>
      </c>
      <c r="W9615" s="21">
        <v>1</v>
      </c>
      <c r="X9615" s="21">
        <v>0</v>
      </c>
      <c r="Y9615" s="21">
        <v>0</v>
      </c>
      <c r="Z9615" s="21">
        <v>0</v>
      </c>
      <c r="AA9615" s="21">
        <v>0</v>
      </c>
      <c r="AB9615" s="21">
        <v>0</v>
      </c>
      <c r="AC9615" s="21">
        <v>0</v>
      </c>
      <c r="AD9615" s="21">
        <v>0</v>
      </c>
      <c r="AE9615" s="21">
        <v>0</v>
      </c>
      <c r="AF9615" s="21">
        <v>0</v>
      </c>
      <c r="AG9615" s="21">
        <v>0</v>
      </c>
      <c r="AH9615" s="21">
        <f t="shared" si="203"/>
        <v>96</v>
      </c>
      <c r="AJ9615" s="21" t="s">
        <v>6800</v>
      </c>
      <c r="AK9615" s="21" t="s">
        <v>52</v>
      </c>
      <c r="AL9615" s="21" t="s">
        <v>1957</v>
      </c>
      <c r="AM9615" s="21" t="s">
        <v>6842</v>
      </c>
      <c r="AN9615" s="21">
        <v>-122.410066033333</v>
      </c>
      <c r="AO9615" s="21">
        <v>37.804552450000003</v>
      </c>
      <c r="AP9615" s="21" t="s">
        <v>1915</v>
      </c>
    </row>
    <row r="9616" spans="1:42">
      <c r="A9616" s="1">
        <v>43859</v>
      </c>
      <c r="B9616" s="21">
        <v>3</v>
      </c>
      <c r="C9616" s="21">
        <v>230</v>
      </c>
      <c r="D9616" s="7">
        <v>14467</v>
      </c>
      <c r="E9616" s="7" t="s">
        <v>112</v>
      </c>
      <c r="F9616" s="21" t="s">
        <v>104</v>
      </c>
      <c r="G9616" s="21">
        <v>4</v>
      </c>
      <c r="H9616" s="21">
        <v>33</v>
      </c>
      <c r="I9616" s="21" t="s">
        <v>6843</v>
      </c>
      <c r="J9616" s="21"/>
      <c r="K9616" s="21" t="s">
        <v>4334</v>
      </c>
      <c r="N9616" s="21" t="s">
        <v>40</v>
      </c>
      <c r="O9616" s="21">
        <f>60+46</f>
        <v>106</v>
      </c>
      <c r="Q9616" s="21">
        <f t="shared" si="202"/>
        <v>4</v>
      </c>
      <c r="R9616" s="21">
        <v>1</v>
      </c>
      <c r="S9616" s="21">
        <v>0</v>
      </c>
      <c r="T9616" s="21">
        <v>0</v>
      </c>
      <c r="U9616" s="21">
        <v>3</v>
      </c>
      <c r="V9616" s="21">
        <v>1</v>
      </c>
      <c r="W9616" s="21">
        <v>0</v>
      </c>
      <c r="X9616" s="21">
        <v>0</v>
      </c>
      <c r="Y9616" s="21">
        <v>0</v>
      </c>
      <c r="Z9616" s="21">
        <v>0</v>
      </c>
      <c r="AA9616" s="21">
        <v>0</v>
      </c>
      <c r="AB9616" s="21">
        <v>0</v>
      </c>
      <c r="AC9616" s="21">
        <v>0</v>
      </c>
      <c r="AD9616" s="21">
        <v>0</v>
      </c>
      <c r="AE9616" s="21">
        <v>0</v>
      </c>
      <c r="AF9616" s="21">
        <v>0</v>
      </c>
      <c r="AG9616" s="21">
        <v>0</v>
      </c>
      <c r="AH9616" s="21">
        <f t="shared" si="203"/>
        <v>160</v>
      </c>
      <c r="AJ9616" s="21"/>
      <c r="AK9616" s="21"/>
      <c r="AL9616" s="21"/>
      <c r="AM9616" s="21" t="s">
        <v>6844</v>
      </c>
      <c r="AN9616" s="21">
        <v>-122.410358766667</v>
      </c>
      <c r="AO9616" s="21">
        <v>37.8050896833333</v>
      </c>
      <c r="AP9616" s="21" t="s">
        <v>1915</v>
      </c>
    </row>
    <row r="9617" spans="1:42">
      <c r="A9617" s="1">
        <v>43859</v>
      </c>
      <c r="B9617" s="21">
        <v>3</v>
      </c>
      <c r="C9617" s="21">
        <v>230</v>
      </c>
      <c r="D9617" s="7">
        <v>14467</v>
      </c>
      <c r="E9617" s="7" t="s">
        <v>112</v>
      </c>
      <c r="F9617" s="21" t="s">
        <v>104</v>
      </c>
      <c r="G9617" s="21">
        <v>4</v>
      </c>
      <c r="H9617" s="21">
        <v>34</v>
      </c>
      <c r="I9617" s="21" t="s">
        <v>6845</v>
      </c>
      <c r="J9617" s="21"/>
      <c r="K9617" s="21" t="s">
        <v>862</v>
      </c>
      <c r="N9617" s="21" t="s">
        <v>44</v>
      </c>
      <c r="O9617" s="21">
        <f>60+51</f>
        <v>111</v>
      </c>
      <c r="Q9617" s="21">
        <f t="shared" si="202"/>
        <v>2</v>
      </c>
      <c r="R9617" s="21">
        <v>1</v>
      </c>
      <c r="S9617" s="21">
        <v>0</v>
      </c>
      <c r="T9617" s="21">
        <v>0</v>
      </c>
      <c r="U9617" s="21">
        <v>0</v>
      </c>
      <c r="V9617" s="21">
        <v>1</v>
      </c>
      <c r="W9617" s="21">
        <v>1</v>
      </c>
      <c r="X9617" s="21">
        <v>0</v>
      </c>
      <c r="Y9617" s="21">
        <v>0</v>
      </c>
      <c r="Z9617" s="21">
        <v>0</v>
      </c>
      <c r="AA9617" s="21">
        <v>0</v>
      </c>
      <c r="AB9617" s="21">
        <v>0</v>
      </c>
      <c r="AC9617" s="21">
        <v>0</v>
      </c>
      <c r="AD9617" s="21">
        <v>0</v>
      </c>
      <c r="AE9617" s="21">
        <v>0</v>
      </c>
      <c r="AF9617" s="21">
        <v>0</v>
      </c>
      <c r="AG9617" s="21">
        <v>0</v>
      </c>
      <c r="AH9617" s="21">
        <f t="shared" si="203"/>
        <v>160</v>
      </c>
      <c r="AJ9617" s="21" t="s">
        <v>6790</v>
      </c>
      <c r="AK9617" s="21" t="s">
        <v>52</v>
      </c>
      <c r="AL9617" s="21" t="s">
        <v>6846</v>
      </c>
      <c r="AM9617" s="21" t="s">
        <v>6847</v>
      </c>
      <c r="AN9617" s="21">
        <v>-122.41044745000001</v>
      </c>
      <c r="AO9617" s="21">
        <v>37.805119650000002</v>
      </c>
      <c r="AP9617" s="21" t="s">
        <v>1915</v>
      </c>
    </row>
    <row r="9618" spans="1:42">
      <c r="A9618" s="1">
        <v>43859</v>
      </c>
      <c r="B9618" s="21">
        <v>3</v>
      </c>
      <c r="C9618" s="21">
        <v>230</v>
      </c>
      <c r="D9618" s="7">
        <v>14467</v>
      </c>
      <c r="E9618" s="7" t="s">
        <v>112</v>
      </c>
      <c r="F9618" s="21" t="s">
        <v>104</v>
      </c>
      <c r="G9618" s="21">
        <v>4</v>
      </c>
      <c r="H9618" s="21">
        <v>35</v>
      </c>
      <c r="I9618" s="21" t="s">
        <v>6848</v>
      </c>
      <c r="J9618" s="21"/>
      <c r="K9618" s="21" t="s">
        <v>862</v>
      </c>
      <c r="N9618" s="21" t="s">
        <v>44</v>
      </c>
      <c r="O9618" s="21">
        <f>60+37</f>
        <v>97</v>
      </c>
      <c r="Q9618" s="21">
        <f t="shared" si="202"/>
        <v>3</v>
      </c>
      <c r="R9618" s="21">
        <v>1</v>
      </c>
      <c r="S9618" s="21">
        <v>0</v>
      </c>
      <c r="T9618" s="21">
        <v>0</v>
      </c>
      <c r="U9618" s="21">
        <v>0</v>
      </c>
      <c r="V9618" s="21">
        <v>1</v>
      </c>
      <c r="W9618" s="21">
        <v>2</v>
      </c>
      <c r="X9618" s="21">
        <v>0</v>
      </c>
      <c r="Y9618" s="21">
        <v>0</v>
      </c>
      <c r="Z9618" s="21">
        <v>0</v>
      </c>
      <c r="AA9618" s="21">
        <v>0</v>
      </c>
      <c r="AB9618" s="21">
        <v>0</v>
      </c>
      <c r="AC9618" s="21">
        <v>0</v>
      </c>
      <c r="AD9618" s="21">
        <v>0</v>
      </c>
      <c r="AE9618" s="21">
        <v>0</v>
      </c>
      <c r="AF9618" s="21">
        <v>0</v>
      </c>
      <c r="AG9618" s="21">
        <v>0</v>
      </c>
      <c r="AH9618" s="21">
        <f t="shared" si="203"/>
        <v>256</v>
      </c>
      <c r="AJ9618" s="21" t="s">
        <v>6800</v>
      </c>
      <c r="AK9618" s="21" t="s">
        <v>52</v>
      </c>
      <c r="AL9618" s="21"/>
      <c r="AM9618" s="21" t="s">
        <v>6849</v>
      </c>
      <c r="AN9618" s="21">
        <v>-122.41103263333299</v>
      </c>
      <c r="AO9618" s="21">
        <v>37.8050967</v>
      </c>
      <c r="AP9618" s="21" t="s">
        <v>1915</v>
      </c>
    </row>
    <row r="9619" spans="1:42">
      <c r="A9619" s="1">
        <v>43859</v>
      </c>
      <c r="B9619" s="21">
        <v>3</v>
      </c>
      <c r="C9619" s="21">
        <v>230</v>
      </c>
      <c r="D9619" s="7">
        <v>14467</v>
      </c>
      <c r="E9619" s="7" t="s">
        <v>112</v>
      </c>
      <c r="F9619" s="21" t="s">
        <v>104</v>
      </c>
      <c r="G9619" s="21">
        <v>4</v>
      </c>
      <c r="H9619" s="21">
        <v>36</v>
      </c>
      <c r="I9619" s="21" t="s">
        <v>4303</v>
      </c>
      <c r="J9619" s="21"/>
      <c r="K9619" s="21" t="s">
        <v>862</v>
      </c>
      <c r="N9619" s="21" t="s">
        <v>40</v>
      </c>
      <c r="O9619" s="21">
        <v>45</v>
      </c>
      <c r="Q9619" s="21">
        <f t="shared" si="202"/>
        <v>2</v>
      </c>
      <c r="R9619" s="21">
        <v>1</v>
      </c>
      <c r="S9619" s="21">
        <v>1</v>
      </c>
      <c r="T9619" s="21">
        <v>0</v>
      </c>
      <c r="U9619" s="21">
        <v>0</v>
      </c>
      <c r="V9619" s="21">
        <v>1</v>
      </c>
      <c r="W9619" s="21">
        <v>0</v>
      </c>
      <c r="X9619" s="21">
        <v>0</v>
      </c>
      <c r="Y9619" s="21">
        <v>0</v>
      </c>
      <c r="Z9619" s="21">
        <v>0</v>
      </c>
      <c r="AA9619" s="21">
        <v>0</v>
      </c>
      <c r="AB9619" s="21">
        <v>0</v>
      </c>
      <c r="AC9619" s="21">
        <v>0</v>
      </c>
      <c r="AD9619" s="21">
        <v>0</v>
      </c>
      <c r="AE9619" s="21">
        <v>0</v>
      </c>
      <c r="AF9619" s="21">
        <v>0</v>
      </c>
      <c r="AG9619" s="21">
        <v>0</v>
      </c>
      <c r="AH9619" s="21">
        <f t="shared" si="203"/>
        <v>80</v>
      </c>
      <c r="AJ9619" s="21"/>
      <c r="AK9619" s="21"/>
      <c r="AL9619" s="21"/>
      <c r="AM9619" s="21" t="s">
        <v>6850</v>
      </c>
      <c r="AN9619" s="21">
        <v>-122.411251383333</v>
      </c>
      <c r="AO9619" s="21">
        <v>37.8050194333333</v>
      </c>
      <c r="AP9619" s="21" t="s">
        <v>1915</v>
      </c>
    </row>
    <row r="9620" spans="1:42">
      <c r="A9620" s="1">
        <v>43859</v>
      </c>
      <c r="B9620" s="21">
        <v>3</v>
      </c>
      <c r="C9620" s="21">
        <v>230</v>
      </c>
      <c r="D9620" s="7">
        <v>14467</v>
      </c>
      <c r="E9620" s="7" t="s">
        <v>112</v>
      </c>
      <c r="F9620" s="21" t="s">
        <v>104</v>
      </c>
      <c r="G9620" s="21">
        <v>4</v>
      </c>
      <c r="H9620" s="21">
        <v>37</v>
      </c>
      <c r="I9620" s="21" t="s">
        <v>6851</v>
      </c>
      <c r="J9620" s="21"/>
      <c r="K9620" s="21" t="s">
        <v>407</v>
      </c>
      <c r="N9620" s="21" t="s">
        <v>44</v>
      </c>
      <c r="O9620" s="21">
        <v>73</v>
      </c>
      <c r="Q9620" s="21">
        <f t="shared" si="202"/>
        <v>1</v>
      </c>
      <c r="R9620" s="21">
        <v>1</v>
      </c>
      <c r="S9620" s="21">
        <v>0</v>
      </c>
      <c r="T9620" s="21">
        <v>0</v>
      </c>
      <c r="U9620" s="21">
        <v>0</v>
      </c>
      <c r="V9620" s="21">
        <v>1</v>
      </c>
      <c r="W9620" s="21">
        <v>0</v>
      </c>
      <c r="X9620" s="21">
        <v>0</v>
      </c>
      <c r="Y9620" s="21">
        <v>0</v>
      </c>
      <c r="Z9620" s="21">
        <v>0</v>
      </c>
      <c r="AA9620" s="21">
        <v>0</v>
      </c>
      <c r="AB9620" s="21">
        <v>0</v>
      </c>
      <c r="AC9620" s="21">
        <v>0</v>
      </c>
      <c r="AD9620" s="21">
        <v>0</v>
      </c>
      <c r="AE9620" s="21">
        <v>0</v>
      </c>
      <c r="AF9620" s="21">
        <v>0</v>
      </c>
      <c r="AG9620" s="21">
        <v>0</v>
      </c>
      <c r="AH9620" s="21">
        <f t="shared" si="203"/>
        <v>64</v>
      </c>
      <c r="AJ9620" s="21"/>
      <c r="AK9620" s="21"/>
      <c r="AL9620" s="21" t="s">
        <v>2292</v>
      </c>
      <c r="AM9620" s="21" t="s">
        <v>6852</v>
      </c>
      <c r="AN9620" s="21">
        <v>-122.411195316667</v>
      </c>
      <c r="AO9620" s="21">
        <v>37.804940566666701</v>
      </c>
      <c r="AP9620" s="21" t="s">
        <v>1915</v>
      </c>
    </row>
    <row r="9621" spans="1:42">
      <c r="A9621" s="1">
        <v>43859</v>
      </c>
      <c r="B9621" s="21">
        <v>3</v>
      </c>
      <c r="C9621" s="21">
        <v>230</v>
      </c>
      <c r="D9621" s="7">
        <v>14467</v>
      </c>
      <c r="E9621" s="7" t="s">
        <v>112</v>
      </c>
      <c r="F9621" s="21" t="s">
        <v>104</v>
      </c>
      <c r="G9621" s="21">
        <v>4</v>
      </c>
      <c r="H9621" s="21">
        <v>38</v>
      </c>
      <c r="I9621" s="21" t="s">
        <v>3752</v>
      </c>
      <c r="J9621" s="21"/>
      <c r="K9621" s="21" t="s">
        <v>4334</v>
      </c>
      <c r="N9621" s="21" t="s">
        <v>40</v>
      </c>
      <c r="O9621" s="21">
        <v>54</v>
      </c>
      <c r="Q9621" s="21">
        <f t="shared" si="202"/>
        <v>2</v>
      </c>
      <c r="R9621" s="21">
        <v>1</v>
      </c>
      <c r="S9621" s="21">
        <v>1</v>
      </c>
      <c r="T9621" s="21">
        <v>0</v>
      </c>
      <c r="U9621" s="21">
        <v>1</v>
      </c>
      <c r="V9621" s="21">
        <v>0</v>
      </c>
      <c r="W9621" s="21">
        <v>0</v>
      </c>
      <c r="X9621" s="21">
        <v>0</v>
      </c>
      <c r="Y9621" s="21">
        <v>0</v>
      </c>
      <c r="Z9621" s="21">
        <v>0</v>
      </c>
      <c r="AA9621" s="21">
        <v>0</v>
      </c>
      <c r="AB9621" s="21">
        <v>0</v>
      </c>
      <c r="AC9621" s="21">
        <v>0</v>
      </c>
      <c r="AD9621" s="21">
        <v>0</v>
      </c>
      <c r="AE9621" s="21">
        <v>0</v>
      </c>
      <c r="AF9621" s="21">
        <v>0</v>
      </c>
      <c r="AG9621" s="21">
        <v>0</v>
      </c>
      <c r="AH9621" s="21">
        <f t="shared" si="203"/>
        <v>48</v>
      </c>
      <c r="AJ9621" s="21" t="s">
        <v>6790</v>
      </c>
      <c r="AK9621" s="21" t="s">
        <v>52</v>
      </c>
      <c r="AL9621" s="21"/>
      <c r="AM9621" s="21" t="s">
        <v>6853</v>
      </c>
      <c r="AN9621" s="21">
        <v>-122.41148086666701</v>
      </c>
      <c r="AO9621" s="21">
        <v>37.804956916666598</v>
      </c>
      <c r="AP9621" s="21" t="s">
        <v>1915</v>
      </c>
    </row>
    <row r="9622" spans="1:42">
      <c r="A9622" s="1">
        <v>43859</v>
      </c>
      <c r="B9622" s="21">
        <v>3</v>
      </c>
      <c r="C9622" s="21">
        <v>230</v>
      </c>
      <c r="D9622" s="7">
        <v>14467</v>
      </c>
      <c r="E9622" s="7" t="s">
        <v>112</v>
      </c>
      <c r="F9622" s="21" t="s">
        <v>104</v>
      </c>
      <c r="G9622" s="21">
        <v>4</v>
      </c>
      <c r="H9622" s="21">
        <v>39</v>
      </c>
      <c r="I9622" s="21" t="s">
        <v>6854</v>
      </c>
      <c r="J9622" s="21"/>
      <c r="K9622" s="21" t="s">
        <v>862</v>
      </c>
      <c r="N9622" s="21" t="s">
        <v>44</v>
      </c>
      <c r="O9622" s="21">
        <v>59</v>
      </c>
      <c r="Q9622" s="21">
        <f t="shared" si="202"/>
        <v>2</v>
      </c>
      <c r="R9622" s="21">
        <v>1</v>
      </c>
      <c r="S9622" s="21">
        <v>0</v>
      </c>
      <c r="T9622" s="21">
        <v>0</v>
      </c>
      <c r="U9622" s="21">
        <v>2</v>
      </c>
      <c r="V9622" s="21">
        <v>0</v>
      </c>
      <c r="W9622" s="21">
        <v>0</v>
      </c>
      <c r="X9622" s="21">
        <v>0</v>
      </c>
      <c r="Y9622" s="21">
        <v>0</v>
      </c>
      <c r="Z9622" s="21">
        <v>0</v>
      </c>
      <c r="AA9622" s="21">
        <v>0</v>
      </c>
      <c r="AB9622" s="21">
        <v>0</v>
      </c>
      <c r="AC9622" s="21">
        <v>0</v>
      </c>
      <c r="AD9622" s="21">
        <v>0</v>
      </c>
      <c r="AE9622" s="21">
        <v>0</v>
      </c>
      <c r="AF9622" s="21">
        <v>0</v>
      </c>
      <c r="AG9622" s="21">
        <v>0</v>
      </c>
      <c r="AH9622" s="21">
        <f t="shared" si="203"/>
        <v>64</v>
      </c>
      <c r="AJ9622" s="21" t="s">
        <v>6790</v>
      </c>
      <c r="AK9622" s="21" t="s">
        <v>52</v>
      </c>
      <c r="AL9622" s="21" t="s">
        <v>2788</v>
      </c>
      <c r="AM9622" s="21" t="s">
        <v>6855</v>
      </c>
      <c r="AN9622" s="21">
        <v>-122.41205425</v>
      </c>
      <c r="AO9622" s="21">
        <v>37.804929566666701</v>
      </c>
      <c r="AP9622" s="21" t="s">
        <v>1915</v>
      </c>
    </row>
    <row r="9623" spans="1:42">
      <c r="A9623" s="1">
        <v>43859</v>
      </c>
      <c r="B9623" s="21">
        <v>3</v>
      </c>
      <c r="C9623" s="21">
        <v>230</v>
      </c>
      <c r="D9623" s="7">
        <v>14467</v>
      </c>
      <c r="E9623" s="7" t="s">
        <v>112</v>
      </c>
      <c r="F9623" s="21" t="s">
        <v>104</v>
      </c>
      <c r="G9623" s="21">
        <v>4</v>
      </c>
      <c r="H9623" s="21">
        <v>40</v>
      </c>
      <c r="I9623" s="21" t="s">
        <v>6856</v>
      </c>
      <c r="J9623" s="21"/>
      <c r="K9623" s="21" t="s">
        <v>862</v>
      </c>
      <c r="N9623" s="21" t="s">
        <v>40</v>
      </c>
      <c r="O9623" s="21">
        <v>51</v>
      </c>
      <c r="Q9623" s="21">
        <f t="shared" si="202"/>
        <v>2</v>
      </c>
      <c r="R9623" s="21">
        <v>1</v>
      </c>
      <c r="S9623" s="21">
        <v>0</v>
      </c>
      <c r="T9623" s="21">
        <v>0</v>
      </c>
      <c r="U9623" s="21">
        <v>2</v>
      </c>
      <c r="V9623" s="21">
        <v>0</v>
      </c>
      <c r="W9623" s="21">
        <v>0</v>
      </c>
      <c r="X9623" s="21">
        <v>0</v>
      </c>
      <c r="Y9623" s="21">
        <v>0</v>
      </c>
      <c r="Z9623" s="21">
        <v>0</v>
      </c>
      <c r="AA9623" s="21">
        <v>0</v>
      </c>
      <c r="AB9623" s="21">
        <v>0</v>
      </c>
      <c r="AC9623" s="21">
        <v>0</v>
      </c>
      <c r="AD9623" s="21">
        <v>0</v>
      </c>
      <c r="AE9623" s="21">
        <v>0</v>
      </c>
      <c r="AF9623" s="21">
        <v>0</v>
      </c>
      <c r="AG9623" s="21">
        <v>0</v>
      </c>
      <c r="AH9623" s="21">
        <f t="shared" si="203"/>
        <v>64</v>
      </c>
      <c r="AJ9623" s="21" t="s">
        <v>6790</v>
      </c>
      <c r="AK9623" s="21" t="s">
        <v>52</v>
      </c>
      <c r="AL9623" s="21"/>
      <c r="AM9623" s="21" t="s">
        <v>6857</v>
      </c>
      <c r="AN9623" s="21">
        <v>-122.41208873333299</v>
      </c>
      <c r="AO9623" s="21">
        <v>37.804913399999997</v>
      </c>
      <c r="AP9623" s="21" t="s">
        <v>1915</v>
      </c>
    </row>
    <row r="9624" spans="1:42">
      <c r="A9624" s="1">
        <v>43859</v>
      </c>
      <c r="B9624" s="21">
        <v>3</v>
      </c>
      <c r="C9624" s="21">
        <v>230</v>
      </c>
      <c r="D9624" s="7">
        <v>14467</v>
      </c>
      <c r="E9624" s="7" t="s">
        <v>112</v>
      </c>
      <c r="F9624" s="21" t="s">
        <v>104</v>
      </c>
      <c r="G9624" s="21">
        <v>4</v>
      </c>
      <c r="H9624" s="21">
        <v>41</v>
      </c>
      <c r="I9624" s="21" t="s">
        <v>4296</v>
      </c>
      <c r="J9624" s="21"/>
      <c r="K9624" s="21" t="s">
        <v>862</v>
      </c>
      <c r="N9624" s="21" t="s">
        <v>40</v>
      </c>
      <c r="O9624" s="21">
        <f>60+16</f>
        <v>76</v>
      </c>
      <c r="Q9624" s="21">
        <f t="shared" si="202"/>
        <v>3</v>
      </c>
      <c r="R9624" s="21">
        <v>1</v>
      </c>
      <c r="S9624" s="21">
        <v>1</v>
      </c>
      <c r="T9624" s="21">
        <v>0</v>
      </c>
      <c r="U9624" s="21">
        <v>0</v>
      </c>
      <c r="V9624" s="21">
        <v>2</v>
      </c>
      <c r="W9624" s="21">
        <v>0</v>
      </c>
      <c r="X9624" s="21">
        <v>0</v>
      </c>
      <c r="Y9624" s="21">
        <v>0</v>
      </c>
      <c r="Z9624" s="21">
        <v>0</v>
      </c>
      <c r="AA9624" s="21">
        <v>0</v>
      </c>
      <c r="AB9624" s="21">
        <v>0</v>
      </c>
      <c r="AC9624" s="21">
        <v>0</v>
      </c>
      <c r="AD9624" s="21">
        <v>0</v>
      </c>
      <c r="AE9624" s="21">
        <v>0</v>
      </c>
      <c r="AF9624" s="21">
        <v>0</v>
      </c>
      <c r="AG9624" s="21">
        <v>0</v>
      </c>
      <c r="AH9624" s="21">
        <f t="shared" si="203"/>
        <v>144</v>
      </c>
      <c r="AJ9624" s="21" t="s">
        <v>6790</v>
      </c>
      <c r="AK9624" s="21" t="s">
        <v>52</v>
      </c>
      <c r="AL9624" s="21"/>
      <c r="AM9624" s="21" t="s">
        <v>6858</v>
      </c>
      <c r="AN9624" s="21">
        <v>-122.412496594164</v>
      </c>
      <c r="AO9624" s="21">
        <v>37.805175497698897</v>
      </c>
      <c r="AP9624" s="21" t="s">
        <v>1915</v>
      </c>
    </row>
    <row r="9625" spans="1:42">
      <c r="A9625" s="1">
        <v>43859</v>
      </c>
      <c r="B9625" s="21">
        <v>3</v>
      </c>
      <c r="C9625" s="21">
        <v>230</v>
      </c>
      <c r="D9625" s="7">
        <v>14467</v>
      </c>
      <c r="E9625" s="7" t="s">
        <v>112</v>
      </c>
      <c r="F9625" s="21" t="s">
        <v>104</v>
      </c>
      <c r="G9625" s="21">
        <v>4</v>
      </c>
      <c r="H9625" s="21">
        <v>42</v>
      </c>
      <c r="I9625" s="21" t="s">
        <v>6859</v>
      </c>
      <c r="J9625" s="21"/>
      <c r="K9625" s="21" t="s">
        <v>862</v>
      </c>
      <c r="N9625" s="21" t="s">
        <v>44</v>
      </c>
      <c r="O9625" s="21">
        <f>120+60+14</f>
        <v>194</v>
      </c>
      <c r="Q9625" s="21">
        <f t="shared" si="202"/>
        <v>2</v>
      </c>
      <c r="R9625" s="21">
        <v>1</v>
      </c>
      <c r="S9625" s="21">
        <v>0</v>
      </c>
      <c r="T9625" s="21">
        <v>0</v>
      </c>
      <c r="U9625" s="21">
        <v>0</v>
      </c>
      <c r="V9625" s="21">
        <v>0</v>
      </c>
      <c r="W9625" s="21">
        <v>2</v>
      </c>
      <c r="X9625" s="21">
        <v>0</v>
      </c>
      <c r="Y9625" s="21">
        <v>0</v>
      </c>
      <c r="Z9625" s="21">
        <v>0</v>
      </c>
      <c r="AA9625" s="21">
        <v>0</v>
      </c>
      <c r="AB9625" s="21">
        <v>0</v>
      </c>
      <c r="AC9625" s="21">
        <v>0</v>
      </c>
      <c r="AD9625" s="21">
        <v>0</v>
      </c>
      <c r="AE9625" s="21">
        <v>0</v>
      </c>
      <c r="AF9625" s="21">
        <v>0</v>
      </c>
      <c r="AG9625" s="21">
        <v>0</v>
      </c>
      <c r="AH9625" s="21">
        <f t="shared" si="203"/>
        <v>192</v>
      </c>
      <c r="AJ9625" s="21" t="s">
        <v>6790</v>
      </c>
      <c r="AK9625" s="21" t="s">
        <v>52</v>
      </c>
      <c r="AL9625" s="21" t="s">
        <v>6860</v>
      </c>
      <c r="AM9625" s="21" t="s">
        <v>6861</v>
      </c>
      <c r="AN9625" s="21">
        <v>-122.412309666667</v>
      </c>
      <c r="AO9625" s="21">
        <v>37.804838966666601</v>
      </c>
      <c r="AP9625" s="21" t="s">
        <v>1915</v>
      </c>
    </row>
    <row r="9626" spans="1:42">
      <c r="A9626" s="1">
        <v>43859</v>
      </c>
      <c r="B9626" s="21">
        <v>3</v>
      </c>
      <c r="C9626" s="21">
        <v>230</v>
      </c>
      <c r="D9626" s="7">
        <v>14467</v>
      </c>
      <c r="E9626" s="7" t="s">
        <v>112</v>
      </c>
      <c r="F9626" s="21" t="s">
        <v>104</v>
      </c>
      <c r="G9626" s="21">
        <v>4</v>
      </c>
      <c r="H9626" s="21">
        <v>43</v>
      </c>
      <c r="I9626" s="21" t="s">
        <v>6862</v>
      </c>
      <c r="J9626" s="21"/>
      <c r="K9626" s="21" t="s">
        <v>862</v>
      </c>
      <c r="N9626" s="21" t="s">
        <v>44</v>
      </c>
      <c r="O9626" s="21">
        <v>66</v>
      </c>
      <c r="Q9626" s="21">
        <f t="shared" si="202"/>
        <v>1</v>
      </c>
      <c r="R9626" s="21">
        <v>1</v>
      </c>
      <c r="S9626" s="21">
        <v>0</v>
      </c>
      <c r="T9626" s="21">
        <v>0</v>
      </c>
      <c r="U9626" s="21">
        <v>1</v>
      </c>
      <c r="V9626" s="21">
        <v>0</v>
      </c>
      <c r="W9626" s="21">
        <v>0</v>
      </c>
      <c r="X9626" s="21">
        <v>0</v>
      </c>
      <c r="Y9626" s="21">
        <v>0</v>
      </c>
      <c r="Z9626" s="21">
        <v>0</v>
      </c>
      <c r="AA9626" s="21">
        <v>0</v>
      </c>
      <c r="AB9626" s="21">
        <v>0</v>
      </c>
      <c r="AC9626" s="21">
        <v>0</v>
      </c>
      <c r="AD9626" s="21">
        <v>0</v>
      </c>
      <c r="AE9626" s="21">
        <v>0</v>
      </c>
      <c r="AF9626" s="21">
        <v>0</v>
      </c>
      <c r="AG9626" s="21">
        <v>0</v>
      </c>
      <c r="AH9626" s="21">
        <f t="shared" si="203"/>
        <v>32</v>
      </c>
      <c r="AJ9626" s="21" t="s">
        <v>6790</v>
      </c>
      <c r="AK9626" s="21" t="s">
        <v>52</v>
      </c>
      <c r="AL9626" s="21" t="s">
        <v>1957</v>
      </c>
      <c r="AM9626" s="21" t="s">
        <v>6863</v>
      </c>
      <c r="AN9626" s="21">
        <v>-122.412446483333</v>
      </c>
      <c r="AO9626" s="21">
        <v>37.804826466666697</v>
      </c>
      <c r="AP9626" s="21" t="s">
        <v>1915</v>
      </c>
    </row>
    <row r="9627" spans="1:42">
      <c r="A9627" s="1">
        <v>43859</v>
      </c>
      <c r="B9627" s="21">
        <v>3</v>
      </c>
      <c r="C9627" s="21">
        <v>230</v>
      </c>
      <c r="D9627" s="7">
        <v>14467</v>
      </c>
      <c r="E9627" s="7" t="s">
        <v>112</v>
      </c>
      <c r="F9627" s="21" t="s">
        <v>104</v>
      </c>
      <c r="G9627" s="21">
        <v>4</v>
      </c>
      <c r="H9627" s="21">
        <v>44</v>
      </c>
      <c r="I9627" s="21" t="s">
        <v>4395</v>
      </c>
      <c r="J9627" s="21"/>
      <c r="K9627" s="21" t="s">
        <v>862</v>
      </c>
      <c r="N9627" s="21" t="s">
        <v>44</v>
      </c>
      <c r="O9627" s="21">
        <v>76</v>
      </c>
      <c r="Q9627" s="21">
        <f t="shared" si="202"/>
        <v>1</v>
      </c>
      <c r="R9627" s="21">
        <v>1</v>
      </c>
      <c r="S9627" s="21">
        <v>0</v>
      </c>
      <c r="T9627" s="21">
        <v>0</v>
      </c>
      <c r="U9627" s="21">
        <v>0</v>
      </c>
      <c r="V9627" s="21">
        <v>0</v>
      </c>
      <c r="W9627" s="21">
        <v>1</v>
      </c>
      <c r="X9627" s="21">
        <v>0</v>
      </c>
      <c r="Y9627" s="21">
        <v>0</v>
      </c>
      <c r="Z9627" s="21">
        <v>0</v>
      </c>
      <c r="AA9627" s="21">
        <v>0</v>
      </c>
      <c r="AB9627" s="21">
        <v>0</v>
      </c>
      <c r="AC9627" s="21">
        <v>0</v>
      </c>
      <c r="AD9627" s="21">
        <v>0</v>
      </c>
      <c r="AE9627" s="21">
        <v>0</v>
      </c>
      <c r="AF9627" s="21">
        <v>0</v>
      </c>
      <c r="AG9627" s="21">
        <v>0</v>
      </c>
      <c r="AH9627" s="21">
        <f t="shared" si="203"/>
        <v>96</v>
      </c>
      <c r="AJ9627" s="21" t="s">
        <v>6790</v>
      </c>
      <c r="AK9627" s="21" t="s">
        <v>52</v>
      </c>
      <c r="AL9627" s="21" t="s">
        <v>2788</v>
      </c>
      <c r="AM9627" s="21" t="s">
        <v>6864</v>
      </c>
      <c r="AN9627" s="21">
        <v>-122.41267183333299</v>
      </c>
      <c r="AO9627" s="21">
        <v>37.804682433333298</v>
      </c>
      <c r="AP9627" s="21" t="s">
        <v>1915</v>
      </c>
    </row>
    <row r="9628" spans="1:42">
      <c r="A9628" s="1">
        <v>43859</v>
      </c>
      <c r="B9628" s="21">
        <v>3</v>
      </c>
      <c r="C9628" s="21">
        <v>230</v>
      </c>
      <c r="D9628" s="7">
        <v>14467</v>
      </c>
      <c r="E9628" s="7" t="s">
        <v>112</v>
      </c>
      <c r="F9628" s="21" t="s">
        <v>104</v>
      </c>
      <c r="G9628" s="21">
        <v>4</v>
      </c>
      <c r="H9628" s="21">
        <v>45</v>
      </c>
      <c r="I9628" s="21" t="s">
        <v>6865</v>
      </c>
      <c r="J9628" s="21"/>
      <c r="K9628" s="21" t="s">
        <v>862</v>
      </c>
      <c r="N9628" s="21" t="s">
        <v>40</v>
      </c>
      <c r="O9628" s="21">
        <v>36</v>
      </c>
      <c r="Q9628" s="21">
        <f t="shared" si="202"/>
        <v>1</v>
      </c>
      <c r="R9628" s="21">
        <v>1</v>
      </c>
      <c r="S9628" s="21">
        <v>0</v>
      </c>
      <c r="T9628" s="21">
        <v>0</v>
      </c>
      <c r="U9628" s="21">
        <v>1</v>
      </c>
      <c r="V9628" s="21">
        <v>0</v>
      </c>
      <c r="W9628" s="21">
        <v>0</v>
      </c>
      <c r="X9628" s="21">
        <v>0</v>
      </c>
      <c r="Y9628" s="21">
        <v>0</v>
      </c>
      <c r="Z9628" s="21">
        <v>0</v>
      </c>
      <c r="AA9628" s="21">
        <v>0</v>
      </c>
      <c r="AB9628" s="21">
        <v>0</v>
      </c>
      <c r="AC9628" s="21">
        <v>0</v>
      </c>
      <c r="AD9628" s="21">
        <v>0</v>
      </c>
      <c r="AE9628" s="21">
        <v>0</v>
      </c>
      <c r="AF9628" s="21">
        <v>0</v>
      </c>
      <c r="AG9628" s="21">
        <v>0</v>
      </c>
      <c r="AH9628" s="21">
        <f t="shared" si="203"/>
        <v>32</v>
      </c>
      <c r="AJ9628" s="21"/>
      <c r="AK9628" s="21"/>
      <c r="AL9628" s="21"/>
      <c r="AM9628" s="21" t="s">
        <v>6866</v>
      </c>
      <c r="AN9628" s="21">
        <v>-122.41283326666699</v>
      </c>
      <c r="AO9628" s="21">
        <v>37.804723983333297</v>
      </c>
      <c r="AP9628" s="21" t="s">
        <v>1915</v>
      </c>
    </row>
    <row r="9629" spans="1:42">
      <c r="A9629" s="1">
        <v>43859</v>
      </c>
      <c r="B9629" s="21">
        <v>3</v>
      </c>
      <c r="C9629" s="21">
        <v>230</v>
      </c>
      <c r="D9629" s="7">
        <v>14467</v>
      </c>
      <c r="E9629" s="7" t="s">
        <v>112</v>
      </c>
      <c r="F9629" s="21" t="s">
        <v>104</v>
      </c>
      <c r="G9629" s="21">
        <v>4</v>
      </c>
      <c r="H9629" s="21">
        <v>46</v>
      </c>
      <c r="I9629" s="21" t="s">
        <v>6867</v>
      </c>
      <c r="J9629" s="21"/>
      <c r="K9629" s="21" t="s">
        <v>862</v>
      </c>
      <c r="N9629" s="21" t="s">
        <v>44</v>
      </c>
      <c r="O9629" s="21">
        <f>60+36</f>
        <v>96</v>
      </c>
      <c r="Q9629" s="21">
        <f t="shared" si="202"/>
        <v>2</v>
      </c>
      <c r="R9629" s="21">
        <v>1</v>
      </c>
      <c r="S9629" s="21">
        <v>0</v>
      </c>
      <c r="T9629" s="21">
        <v>0</v>
      </c>
      <c r="U9629" s="21">
        <v>0</v>
      </c>
      <c r="V9629" s="21">
        <v>1</v>
      </c>
      <c r="W9629" s="21">
        <v>1</v>
      </c>
      <c r="X9629" s="21">
        <v>0</v>
      </c>
      <c r="Y9629" s="21">
        <v>0</v>
      </c>
      <c r="Z9629" s="21">
        <v>0</v>
      </c>
      <c r="AA9629" s="21">
        <v>0</v>
      </c>
      <c r="AB9629" s="21">
        <v>0</v>
      </c>
      <c r="AC9629" s="21">
        <v>0</v>
      </c>
      <c r="AD9629" s="21">
        <v>0</v>
      </c>
      <c r="AE9629" s="21">
        <v>0</v>
      </c>
      <c r="AF9629" s="21">
        <v>0</v>
      </c>
      <c r="AG9629" s="21">
        <v>0</v>
      </c>
      <c r="AH9629" s="21">
        <f t="shared" si="203"/>
        <v>160</v>
      </c>
      <c r="AJ9629" s="21"/>
      <c r="AK9629" s="21"/>
      <c r="AL9629" s="21"/>
      <c r="AM9629" s="21" t="s">
        <v>6868</v>
      </c>
      <c r="AN9629" s="21">
        <v>-122.413127616667</v>
      </c>
      <c r="AO9629" s="21">
        <v>37.804734283333303</v>
      </c>
      <c r="AP9629" s="21" t="s">
        <v>1915</v>
      </c>
    </row>
    <row r="9630" spans="1:42">
      <c r="A9630" s="1">
        <v>43859</v>
      </c>
      <c r="B9630" s="21">
        <v>3</v>
      </c>
      <c r="C9630" s="21">
        <v>230</v>
      </c>
      <c r="D9630" s="7">
        <v>14467</v>
      </c>
      <c r="E9630" s="7" t="s">
        <v>112</v>
      </c>
      <c r="F9630" s="21" t="s">
        <v>104</v>
      </c>
      <c r="G9630" s="21">
        <v>4</v>
      </c>
      <c r="H9630" s="21">
        <v>47</v>
      </c>
      <c r="I9630" s="21" t="s">
        <v>6235</v>
      </c>
      <c r="J9630" s="21" t="s">
        <v>6869</v>
      </c>
      <c r="K9630" s="21" t="s">
        <v>862</v>
      </c>
      <c r="N9630" s="21" t="s">
        <v>44</v>
      </c>
      <c r="O9630" s="21">
        <v>124</v>
      </c>
      <c r="Q9630" s="21">
        <f t="shared" si="202"/>
        <v>1</v>
      </c>
      <c r="R9630" s="21">
        <v>1</v>
      </c>
      <c r="S9630" s="21">
        <v>0</v>
      </c>
      <c r="T9630" s="21">
        <v>0</v>
      </c>
      <c r="U9630" s="21">
        <v>0</v>
      </c>
      <c r="V9630" s="21">
        <v>1</v>
      </c>
      <c r="W9630" s="21">
        <v>0</v>
      </c>
      <c r="X9630" s="21">
        <v>0</v>
      </c>
      <c r="Y9630" s="21">
        <v>0</v>
      </c>
      <c r="Z9630" s="21">
        <v>0</v>
      </c>
      <c r="AA9630" s="21">
        <v>0</v>
      </c>
      <c r="AB9630" s="21">
        <v>0</v>
      </c>
      <c r="AC9630" s="21">
        <v>0</v>
      </c>
      <c r="AD9630" s="21">
        <v>0</v>
      </c>
      <c r="AE9630" s="21">
        <v>0</v>
      </c>
      <c r="AF9630" s="21">
        <v>0</v>
      </c>
      <c r="AG9630" s="21">
        <v>0</v>
      </c>
      <c r="AH9630" s="21">
        <f t="shared" si="203"/>
        <v>64</v>
      </c>
      <c r="AJ9630" s="21" t="s">
        <v>6790</v>
      </c>
      <c r="AK9630" s="21" t="s">
        <v>52</v>
      </c>
      <c r="AL9630" s="21" t="s">
        <v>6870</v>
      </c>
      <c r="AM9630" s="21" t="s">
        <v>6871</v>
      </c>
      <c r="AN9630" s="21">
        <v>-122.41322751666701</v>
      </c>
      <c r="AO9630" s="21">
        <v>37.804787466666603</v>
      </c>
      <c r="AP9630" s="21" t="s">
        <v>1915</v>
      </c>
    </row>
    <row r="9631" spans="1:42">
      <c r="A9631" s="1">
        <v>43859</v>
      </c>
      <c r="B9631" s="21">
        <v>3</v>
      </c>
      <c r="C9631" s="21">
        <v>230</v>
      </c>
      <c r="D9631" s="7">
        <v>14467</v>
      </c>
      <c r="E9631" s="7" t="s">
        <v>112</v>
      </c>
      <c r="F9631" s="21" t="s">
        <v>104</v>
      </c>
      <c r="G9631" s="21">
        <v>4</v>
      </c>
      <c r="H9631" s="21">
        <v>48</v>
      </c>
      <c r="I9631" s="21" t="s">
        <v>2996</v>
      </c>
      <c r="J9631" s="21"/>
      <c r="K9631" s="21" t="s">
        <v>407</v>
      </c>
      <c r="N9631" s="21" t="s">
        <v>40</v>
      </c>
      <c r="O9631" s="21">
        <v>21</v>
      </c>
      <c r="Q9631" s="21">
        <f t="shared" si="202"/>
        <v>1</v>
      </c>
      <c r="R9631" s="21">
        <v>1</v>
      </c>
      <c r="S9631" s="21">
        <v>0</v>
      </c>
      <c r="T9631" s="21">
        <v>0</v>
      </c>
      <c r="U9631" s="21">
        <v>1</v>
      </c>
      <c r="V9631" s="21">
        <v>0</v>
      </c>
      <c r="W9631" s="21">
        <v>0</v>
      </c>
      <c r="X9631" s="21">
        <v>0</v>
      </c>
      <c r="Y9631" s="21">
        <v>0</v>
      </c>
      <c r="Z9631" s="21">
        <v>0</v>
      </c>
      <c r="AA9631" s="21">
        <v>0</v>
      </c>
      <c r="AB9631" s="21">
        <v>0</v>
      </c>
      <c r="AC9631" s="21">
        <v>0</v>
      </c>
      <c r="AD9631" s="21">
        <v>0</v>
      </c>
      <c r="AE9631" s="21">
        <v>0</v>
      </c>
      <c r="AF9631" s="21">
        <v>0</v>
      </c>
      <c r="AG9631" s="21">
        <v>0</v>
      </c>
      <c r="AH9631" s="21">
        <f t="shared" si="203"/>
        <v>32</v>
      </c>
      <c r="AJ9631" s="21"/>
      <c r="AK9631" s="21"/>
      <c r="AL9631" s="21"/>
      <c r="AM9631" s="21" t="s">
        <v>6872</v>
      </c>
      <c r="AN9631" s="21">
        <v>-122.4119512</v>
      </c>
      <c r="AO9631" s="21">
        <v>37.805494416666598</v>
      </c>
      <c r="AP9631" s="21" t="s">
        <v>1915</v>
      </c>
    </row>
    <row r="9632" spans="1:42">
      <c r="A9632" s="1">
        <v>43859</v>
      </c>
      <c r="B9632" s="21">
        <v>3</v>
      </c>
      <c r="C9632" s="21">
        <v>230</v>
      </c>
      <c r="D9632" s="7">
        <v>14467</v>
      </c>
      <c r="E9632" s="7" t="s">
        <v>112</v>
      </c>
      <c r="F9632" s="21" t="s">
        <v>104</v>
      </c>
      <c r="G9632" s="21">
        <v>4</v>
      </c>
      <c r="H9632" s="21">
        <v>49</v>
      </c>
      <c r="I9632" s="21" t="s">
        <v>6873</v>
      </c>
      <c r="J9632" s="21"/>
      <c r="K9632" s="21" t="s">
        <v>407</v>
      </c>
      <c r="N9632" s="21" t="s">
        <v>40</v>
      </c>
      <c r="O9632" s="21">
        <f>120+32</f>
        <v>152</v>
      </c>
      <c r="Q9632" s="21">
        <f t="shared" si="202"/>
        <v>7</v>
      </c>
      <c r="R9632" s="21">
        <v>1</v>
      </c>
      <c r="S9632" s="21">
        <v>0</v>
      </c>
      <c r="T9632" s="21">
        <v>0</v>
      </c>
      <c r="U9632" s="21">
        <v>5</v>
      </c>
      <c r="V9632" s="21">
        <v>1</v>
      </c>
      <c r="W9632" s="21">
        <v>0</v>
      </c>
      <c r="X9632" s="21">
        <v>1</v>
      </c>
      <c r="Y9632" s="21">
        <v>0</v>
      </c>
      <c r="Z9632" s="21">
        <v>0</v>
      </c>
      <c r="AA9632" s="21">
        <v>0</v>
      </c>
      <c r="AB9632" s="21">
        <v>0</v>
      </c>
      <c r="AC9632" s="21">
        <v>0</v>
      </c>
      <c r="AD9632" s="21">
        <v>0</v>
      </c>
      <c r="AE9632" s="21">
        <v>0</v>
      </c>
      <c r="AF9632" s="21">
        <v>0</v>
      </c>
      <c r="AG9632" s="21">
        <v>0</v>
      </c>
      <c r="AH9632" s="21">
        <f t="shared" si="203"/>
        <v>224</v>
      </c>
      <c r="AJ9632" s="21" t="s">
        <v>6790</v>
      </c>
      <c r="AK9632" s="21" t="s">
        <v>52</v>
      </c>
      <c r="AL9632" s="21" t="s">
        <v>6874</v>
      </c>
      <c r="AM9632" s="21" t="s">
        <v>6875</v>
      </c>
      <c r="AN9632" s="21">
        <v>-122.412114207947</v>
      </c>
      <c r="AO9632" s="21">
        <v>37.804335505022401</v>
      </c>
      <c r="AP9632" s="21" t="s">
        <v>1915</v>
      </c>
    </row>
    <row r="9633" spans="1:42">
      <c r="A9633" s="1">
        <v>43859</v>
      </c>
      <c r="B9633" s="21">
        <v>3</v>
      </c>
      <c r="C9633" s="21">
        <v>230</v>
      </c>
      <c r="D9633" s="7">
        <v>14467</v>
      </c>
      <c r="E9633" s="7" t="s">
        <v>112</v>
      </c>
      <c r="F9633" s="21" t="s">
        <v>104</v>
      </c>
      <c r="G9633" s="21">
        <v>4</v>
      </c>
      <c r="H9633" s="21">
        <v>50</v>
      </c>
      <c r="I9633" s="21" t="s">
        <v>6120</v>
      </c>
      <c r="J9633" s="21"/>
      <c r="K9633" s="21" t="s">
        <v>407</v>
      </c>
      <c r="N9633" s="21" t="s">
        <v>44</v>
      </c>
      <c r="O9633" s="21">
        <v>65</v>
      </c>
      <c r="Q9633" s="21">
        <f t="shared" si="202"/>
        <v>1</v>
      </c>
      <c r="R9633" s="21">
        <v>1</v>
      </c>
      <c r="S9633" s="21">
        <v>0</v>
      </c>
      <c r="T9633" s="21">
        <v>0</v>
      </c>
      <c r="U9633" s="21">
        <v>1</v>
      </c>
      <c r="V9633" s="21">
        <v>0</v>
      </c>
      <c r="W9633" s="21">
        <v>0</v>
      </c>
      <c r="X9633" s="21">
        <v>0</v>
      </c>
      <c r="Y9633" s="21">
        <v>0</v>
      </c>
      <c r="Z9633" s="21">
        <v>0</v>
      </c>
      <c r="AA9633" s="21">
        <v>0</v>
      </c>
      <c r="AB9633" s="21">
        <v>0</v>
      </c>
      <c r="AC9633" s="21">
        <v>0</v>
      </c>
      <c r="AD9633" s="21">
        <v>0</v>
      </c>
      <c r="AE9633" s="21">
        <v>0</v>
      </c>
      <c r="AF9633" s="21">
        <v>0</v>
      </c>
      <c r="AG9633" s="21">
        <v>0</v>
      </c>
      <c r="AH9633" s="21">
        <f t="shared" si="203"/>
        <v>32</v>
      </c>
      <c r="AJ9633" s="21" t="s">
        <v>6790</v>
      </c>
      <c r="AK9633" s="21" t="s">
        <v>52</v>
      </c>
      <c r="AL9633" s="21"/>
      <c r="AM9633" s="21" t="s">
        <v>6876</v>
      </c>
      <c r="AN9633" s="21">
        <v>-122.411675566667</v>
      </c>
      <c r="AO9633" s="21">
        <v>37.804518166666597</v>
      </c>
      <c r="AP9633" s="21" t="s">
        <v>1915</v>
      </c>
    </row>
    <row r="9634" spans="1:42">
      <c r="A9634" s="1">
        <v>43859</v>
      </c>
      <c r="B9634" s="21">
        <v>3</v>
      </c>
      <c r="C9634" s="21">
        <v>230</v>
      </c>
      <c r="D9634" s="7">
        <v>14467</v>
      </c>
      <c r="E9634" s="7" t="s">
        <v>112</v>
      </c>
      <c r="F9634" s="21" t="s">
        <v>104</v>
      </c>
      <c r="G9634" s="21">
        <v>4</v>
      </c>
      <c r="H9634" s="21">
        <v>51</v>
      </c>
      <c r="I9634" s="21" t="s">
        <v>6877</v>
      </c>
      <c r="J9634" s="21"/>
      <c r="K9634" s="21" t="s">
        <v>407</v>
      </c>
      <c r="N9634" s="21" t="s">
        <v>40</v>
      </c>
      <c r="O9634" s="21">
        <f>60+40</f>
        <v>100</v>
      </c>
      <c r="Q9634" s="21">
        <f t="shared" si="202"/>
        <v>6</v>
      </c>
      <c r="R9634" s="21">
        <v>1</v>
      </c>
      <c r="S9634" s="21">
        <v>2</v>
      </c>
      <c r="T9634" s="21">
        <v>0</v>
      </c>
      <c r="U9634" s="21">
        <v>4</v>
      </c>
      <c r="V9634" s="21">
        <v>0</v>
      </c>
      <c r="W9634" s="21">
        <v>0</v>
      </c>
      <c r="X9634" s="21">
        <v>0</v>
      </c>
      <c r="Y9634" s="21">
        <v>0</v>
      </c>
      <c r="Z9634" s="21">
        <v>0</v>
      </c>
      <c r="AA9634" s="21">
        <v>0</v>
      </c>
      <c r="AB9634" s="21">
        <v>0</v>
      </c>
      <c r="AC9634" s="21">
        <v>0</v>
      </c>
      <c r="AD9634" s="21">
        <v>0</v>
      </c>
      <c r="AE9634" s="21">
        <v>0</v>
      </c>
      <c r="AF9634" s="21">
        <v>0</v>
      </c>
      <c r="AG9634" s="21">
        <v>0</v>
      </c>
      <c r="AH9634" s="21">
        <f t="shared" si="203"/>
        <v>160</v>
      </c>
      <c r="AJ9634" s="21"/>
      <c r="AK9634" s="21"/>
      <c r="AL9634" s="21" t="s">
        <v>2192</v>
      </c>
      <c r="AM9634" s="21" t="s">
        <v>6878</v>
      </c>
      <c r="AN9634" s="21">
        <v>-122.411622333333</v>
      </c>
      <c r="AO9634" s="21">
        <v>37.804140449999998</v>
      </c>
      <c r="AP9634" s="21" t="s">
        <v>1915</v>
      </c>
    </row>
    <row r="9635" spans="1:42">
      <c r="A9635" s="1">
        <v>43859</v>
      </c>
      <c r="B9635" s="21">
        <v>3</v>
      </c>
      <c r="C9635" s="21">
        <v>230</v>
      </c>
      <c r="D9635" s="7">
        <v>14467</v>
      </c>
      <c r="E9635" s="7" t="s">
        <v>112</v>
      </c>
      <c r="F9635" s="21" t="s">
        <v>104</v>
      </c>
      <c r="G9635" s="21">
        <v>4</v>
      </c>
      <c r="H9635" s="21">
        <v>52</v>
      </c>
      <c r="I9635" s="21" t="s">
        <v>5666</v>
      </c>
      <c r="J9635" s="21"/>
      <c r="K9635" s="21" t="s">
        <v>324</v>
      </c>
      <c r="N9635" s="21" t="s">
        <v>40</v>
      </c>
      <c r="O9635" s="21">
        <f>60+55</f>
        <v>115</v>
      </c>
      <c r="Q9635" s="21">
        <f t="shared" si="202"/>
        <v>3</v>
      </c>
      <c r="R9635" s="21">
        <v>1</v>
      </c>
      <c r="S9635" s="21">
        <v>0</v>
      </c>
      <c r="T9635" s="21">
        <v>0</v>
      </c>
      <c r="U9635" s="21">
        <v>0</v>
      </c>
      <c r="V9635" s="21">
        <v>1</v>
      </c>
      <c r="W9635" s="21">
        <v>0</v>
      </c>
      <c r="X9635" s="21">
        <v>2</v>
      </c>
      <c r="Y9635" s="21">
        <v>0</v>
      </c>
      <c r="Z9635" s="21">
        <v>0</v>
      </c>
      <c r="AA9635" s="21">
        <v>0</v>
      </c>
      <c r="AB9635" s="21">
        <v>0</v>
      </c>
      <c r="AC9635" s="21">
        <v>0</v>
      </c>
      <c r="AD9635" s="21">
        <v>0</v>
      </c>
      <c r="AE9635" s="21">
        <v>0</v>
      </c>
      <c r="AF9635" s="21">
        <v>0</v>
      </c>
      <c r="AG9635" s="21">
        <v>0</v>
      </c>
      <c r="AH9635" s="21">
        <f t="shared" si="203"/>
        <v>64</v>
      </c>
      <c r="AJ9635" s="21" t="s">
        <v>6790</v>
      </c>
      <c r="AK9635" s="21" t="s">
        <v>52</v>
      </c>
      <c r="AL9635" s="21" t="s">
        <v>6879</v>
      </c>
      <c r="AM9635" s="21" t="s">
        <v>6880</v>
      </c>
      <c r="AN9635" s="21">
        <v>-122.41163658333301</v>
      </c>
      <c r="AO9635" s="21">
        <v>37.8040043833333</v>
      </c>
      <c r="AP9635" s="21" t="s">
        <v>1915</v>
      </c>
    </row>
    <row r="9636" spans="1:42">
      <c r="A9636" s="1">
        <v>43859</v>
      </c>
      <c r="B9636" s="21">
        <v>3</v>
      </c>
      <c r="C9636" s="21">
        <v>230</v>
      </c>
      <c r="D9636" s="7">
        <v>14467</v>
      </c>
      <c r="E9636" s="7" t="s">
        <v>112</v>
      </c>
      <c r="F9636" s="21" t="s">
        <v>104</v>
      </c>
      <c r="G9636" s="21">
        <v>4</v>
      </c>
      <c r="H9636" s="21">
        <v>53</v>
      </c>
      <c r="I9636" s="21" t="s">
        <v>6881</v>
      </c>
      <c r="J9636" s="21"/>
      <c r="K9636" s="21" t="s">
        <v>213</v>
      </c>
      <c r="N9636" s="21" t="s">
        <v>44</v>
      </c>
      <c r="O9636" s="21">
        <f>60+25</f>
        <v>85</v>
      </c>
      <c r="Q9636" s="21">
        <f t="shared" si="202"/>
        <v>1</v>
      </c>
      <c r="R9636" s="21">
        <v>1</v>
      </c>
      <c r="S9636" s="21">
        <v>0</v>
      </c>
      <c r="T9636" s="21">
        <v>0</v>
      </c>
      <c r="U9636" s="21">
        <v>0</v>
      </c>
      <c r="V9636" s="21">
        <v>0</v>
      </c>
      <c r="W9636" s="21">
        <v>1</v>
      </c>
      <c r="X9636" s="21">
        <v>0</v>
      </c>
      <c r="Y9636" s="21">
        <v>0</v>
      </c>
      <c r="Z9636" s="21">
        <v>0</v>
      </c>
      <c r="AA9636" s="21">
        <v>0</v>
      </c>
      <c r="AB9636" s="21">
        <v>0</v>
      </c>
      <c r="AC9636" s="21">
        <v>0</v>
      </c>
      <c r="AD9636" s="21">
        <v>0</v>
      </c>
      <c r="AE9636" s="21">
        <v>0</v>
      </c>
      <c r="AF9636" s="21">
        <v>0</v>
      </c>
      <c r="AG9636" s="21">
        <v>0</v>
      </c>
      <c r="AH9636" s="21">
        <f t="shared" si="203"/>
        <v>96</v>
      </c>
      <c r="AJ9636" s="21" t="s">
        <v>6790</v>
      </c>
      <c r="AK9636" s="21" t="s">
        <v>52</v>
      </c>
      <c r="AL9636" s="21"/>
      <c r="AM9636" s="21" t="s">
        <v>6882</v>
      </c>
      <c r="AN9636" s="21">
        <v>-122.412563066667</v>
      </c>
      <c r="AO9636" s="21">
        <v>37.803359100000002</v>
      </c>
      <c r="AP9636" s="21" t="s">
        <v>1915</v>
      </c>
    </row>
    <row r="9637" spans="1:42">
      <c r="A9637" s="1">
        <v>43859</v>
      </c>
      <c r="B9637" s="21">
        <v>3</v>
      </c>
      <c r="C9637" s="21">
        <v>230</v>
      </c>
      <c r="D9637" s="7">
        <v>14467</v>
      </c>
      <c r="E9637" s="7" t="s">
        <v>112</v>
      </c>
      <c r="F9637" s="21" t="s">
        <v>104</v>
      </c>
      <c r="G9637" s="21">
        <v>4</v>
      </c>
      <c r="H9637" s="21">
        <v>54</v>
      </c>
      <c r="I9637" s="21" t="s">
        <v>3225</v>
      </c>
      <c r="J9637" s="21"/>
      <c r="K9637" s="21" t="s">
        <v>6883</v>
      </c>
      <c r="N9637" s="21" t="s">
        <v>40</v>
      </c>
      <c r="O9637" s="21">
        <v>56</v>
      </c>
      <c r="Q9637" s="21">
        <f t="shared" si="202"/>
        <v>2</v>
      </c>
      <c r="R9637" s="21">
        <v>1</v>
      </c>
      <c r="S9637" s="21">
        <v>0</v>
      </c>
      <c r="T9637" s="21">
        <v>0</v>
      </c>
      <c r="U9637" s="21">
        <v>0</v>
      </c>
      <c r="V9637" s="21">
        <v>1</v>
      </c>
      <c r="W9637" s="21">
        <v>0</v>
      </c>
      <c r="X9637" s="21">
        <v>1</v>
      </c>
      <c r="Y9637" s="21">
        <v>0</v>
      </c>
      <c r="Z9637" s="21">
        <v>0</v>
      </c>
      <c r="AA9637" s="21">
        <v>0</v>
      </c>
      <c r="AB9637" s="21">
        <v>0</v>
      </c>
      <c r="AC9637" s="21">
        <v>0</v>
      </c>
      <c r="AD9637" s="21">
        <v>0</v>
      </c>
      <c r="AE9637" s="21">
        <v>0</v>
      </c>
      <c r="AF9637" s="21">
        <v>0</v>
      </c>
      <c r="AG9637" s="21">
        <v>0</v>
      </c>
      <c r="AH9637" s="21">
        <f t="shared" si="203"/>
        <v>64</v>
      </c>
      <c r="AJ9637" s="21" t="s">
        <v>6790</v>
      </c>
      <c r="AK9637" s="21" t="s">
        <v>95</v>
      </c>
      <c r="AL9637" s="21" t="s">
        <v>470</v>
      </c>
      <c r="AM9637" s="21" t="s">
        <v>6884</v>
      </c>
      <c r="AN9637" s="21">
        <v>-122.41520971666699</v>
      </c>
      <c r="AO9637" s="21">
        <v>37.803868133333303</v>
      </c>
      <c r="AP9637" s="21" t="s">
        <v>1915</v>
      </c>
    </row>
    <row r="9638" spans="1:42">
      <c r="A9638" s="1">
        <v>43859</v>
      </c>
      <c r="B9638" s="21">
        <v>3</v>
      </c>
      <c r="C9638" s="21">
        <v>230</v>
      </c>
      <c r="D9638" s="7">
        <v>14467</v>
      </c>
      <c r="E9638" s="7" t="s">
        <v>112</v>
      </c>
      <c r="F9638" s="21" t="s">
        <v>104</v>
      </c>
      <c r="G9638" s="21">
        <v>4</v>
      </c>
      <c r="H9638" s="21">
        <v>55</v>
      </c>
      <c r="I9638" s="21" t="s">
        <v>3230</v>
      </c>
      <c r="J9638" s="21"/>
      <c r="K9638" s="21" t="s">
        <v>6885</v>
      </c>
      <c r="N9638" s="21" t="s">
        <v>44</v>
      </c>
      <c r="O9638" s="21">
        <v>64</v>
      </c>
      <c r="Q9638" s="21">
        <f t="shared" si="202"/>
        <v>1</v>
      </c>
      <c r="R9638" s="21">
        <v>1</v>
      </c>
      <c r="S9638" s="21">
        <v>0</v>
      </c>
      <c r="T9638" s="21">
        <v>0</v>
      </c>
      <c r="U9638" s="21">
        <v>0</v>
      </c>
      <c r="V9638" s="21">
        <v>0</v>
      </c>
      <c r="W9638" s="21">
        <v>1</v>
      </c>
      <c r="X9638" s="21">
        <v>0</v>
      </c>
      <c r="Y9638" s="21">
        <v>0</v>
      </c>
      <c r="Z9638" s="21">
        <v>0</v>
      </c>
      <c r="AA9638" s="21">
        <v>0</v>
      </c>
      <c r="AB9638" s="21">
        <v>0</v>
      </c>
      <c r="AC9638" s="21">
        <v>0</v>
      </c>
      <c r="AD9638" s="21">
        <v>0</v>
      </c>
      <c r="AE9638" s="21">
        <v>0</v>
      </c>
      <c r="AF9638" s="21">
        <v>0</v>
      </c>
      <c r="AG9638" s="21">
        <v>0</v>
      </c>
      <c r="AH9638" s="21">
        <f t="shared" si="203"/>
        <v>96</v>
      </c>
      <c r="AJ9638" s="21" t="s">
        <v>6790</v>
      </c>
      <c r="AK9638" s="21" t="s">
        <v>52</v>
      </c>
      <c r="AL9638" s="21"/>
      <c r="AM9638" s="21" t="s">
        <v>6886</v>
      </c>
      <c r="AN9638" s="21">
        <v>-122.415605733333</v>
      </c>
      <c r="AO9638" s="21">
        <v>37.804349366666699</v>
      </c>
      <c r="AP9638" s="21" t="s">
        <v>1915</v>
      </c>
    </row>
    <row r="9639" spans="1:42">
      <c r="A9639" s="1">
        <v>43859</v>
      </c>
      <c r="B9639" s="21">
        <v>3</v>
      </c>
      <c r="C9639" s="21">
        <v>230</v>
      </c>
      <c r="D9639" s="7">
        <v>14467</v>
      </c>
      <c r="E9639" s="7" t="s">
        <v>112</v>
      </c>
      <c r="F9639" s="21" t="s">
        <v>104</v>
      </c>
      <c r="G9639" s="21">
        <v>4</v>
      </c>
      <c r="H9639" s="21">
        <v>56</v>
      </c>
      <c r="I9639" s="21" t="s">
        <v>3340</v>
      </c>
      <c r="J9639" s="21"/>
      <c r="K9639" s="21" t="s">
        <v>4334</v>
      </c>
      <c r="N9639" s="21" t="s">
        <v>40</v>
      </c>
      <c r="O9639" s="21">
        <v>44</v>
      </c>
      <c r="Q9639" s="21">
        <f t="shared" si="202"/>
        <v>2</v>
      </c>
      <c r="R9639" s="21">
        <v>1</v>
      </c>
      <c r="S9639" s="21">
        <v>0</v>
      </c>
      <c r="T9639" s="21">
        <v>0</v>
      </c>
      <c r="U9639" s="21">
        <v>0</v>
      </c>
      <c r="V9639" s="21">
        <v>2</v>
      </c>
      <c r="W9639" s="21">
        <v>0</v>
      </c>
      <c r="X9639" s="21">
        <v>0</v>
      </c>
      <c r="Y9639" s="21">
        <v>0</v>
      </c>
      <c r="Z9639" s="21">
        <v>0</v>
      </c>
      <c r="AA9639" s="21">
        <v>0</v>
      </c>
      <c r="AB9639" s="21">
        <v>0</v>
      </c>
      <c r="AC9639" s="21">
        <v>0</v>
      </c>
      <c r="AD9639" s="21">
        <v>0</v>
      </c>
      <c r="AE9639" s="21">
        <v>0</v>
      </c>
      <c r="AF9639" s="21">
        <v>0</v>
      </c>
      <c r="AG9639" s="21">
        <v>0</v>
      </c>
      <c r="AH9639" s="21">
        <f t="shared" si="203"/>
        <v>128</v>
      </c>
      <c r="AJ9639" s="21" t="s">
        <v>6790</v>
      </c>
      <c r="AK9639" s="21" t="s">
        <v>52</v>
      </c>
      <c r="AL9639" s="21"/>
      <c r="AM9639" s="21" t="s">
        <v>6887</v>
      </c>
      <c r="AN9639" s="21">
        <v>-122.41517311666701</v>
      </c>
      <c r="AO9639" s="21">
        <v>37.804448516666703</v>
      </c>
      <c r="AP9639" s="21" t="s">
        <v>1915</v>
      </c>
    </row>
    <row r="9640" spans="1:42">
      <c r="A9640" s="1">
        <v>43859</v>
      </c>
      <c r="B9640" s="21">
        <v>3</v>
      </c>
      <c r="C9640" s="21">
        <v>230</v>
      </c>
      <c r="D9640" s="7">
        <v>14467</v>
      </c>
      <c r="E9640" s="7" t="s">
        <v>112</v>
      </c>
      <c r="F9640" s="21" t="s">
        <v>104</v>
      </c>
      <c r="G9640" s="21">
        <v>4</v>
      </c>
      <c r="H9640" s="21">
        <v>57</v>
      </c>
      <c r="I9640" s="21" t="s">
        <v>5666</v>
      </c>
      <c r="J9640" s="21"/>
      <c r="K9640" s="21" t="s">
        <v>862</v>
      </c>
      <c r="N9640" s="21" t="s">
        <v>40</v>
      </c>
      <c r="O9640" s="21">
        <v>62</v>
      </c>
      <c r="Q9640" s="21">
        <f t="shared" si="202"/>
        <v>2</v>
      </c>
      <c r="R9640" s="21">
        <v>1</v>
      </c>
      <c r="S9640" s="21">
        <v>0</v>
      </c>
      <c r="T9640" s="21">
        <v>0</v>
      </c>
      <c r="U9640" s="21">
        <v>0</v>
      </c>
      <c r="V9640" s="21">
        <v>0</v>
      </c>
      <c r="W9640" s="21">
        <v>2</v>
      </c>
      <c r="X9640" s="21">
        <v>0</v>
      </c>
      <c r="Y9640" s="21">
        <v>0</v>
      </c>
      <c r="Z9640" s="21">
        <v>0</v>
      </c>
      <c r="AA9640" s="21">
        <v>0</v>
      </c>
      <c r="AB9640" s="21">
        <v>0</v>
      </c>
      <c r="AC9640" s="21">
        <v>0</v>
      </c>
      <c r="AD9640" s="21">
        <v>0</v>
      </c>
      <c r="AE9640" s="21">
        <v>0</v>
      </c>
      <c r="AF9640" s="21">
        <v>0</v>
      </c>
      <c r="AG9640" s="21">
        <v>0</v>
      </c>
      <c r="AH9640" s="21">
        <f t="shared" si="203"/>
        <v>192</v>
      </c>
      <c r="AJ9640" s="21" t="s">
        <v>6790</v>
      </c>
      <c r="AK9640" s="21" t="s">
        <v>95</v>
      </c>
      <c r="AL9640" s="21"/>
      <c r="AM9640" s="21" t="s">
        <v>6888</v>
      </c>
      <c r="AN9640" s="21">
        <v>-122.41478093333301</v>
      </c>
      <c r="AO9640" s="21">
        <v>37.804561966666597</v>
      </c>
      <c r="AP9640" s="21" t="s">
        <v>1915</v>
      </c>
    </row>
    <row r="9641" spans="1:42">
      <c r="A9641" s="1">
        <v>43859</v>
      </c>
      <c r="B9641" s="21">
        <v>3</v>
      </c>
      <c r="C9641" s="21">
        <v>230</v>
      </c>
      <c r="D9641" s="7">
        <v>14467</v>
      </c>
      <c r="E9641" s="7" t="s">
        <v>112</v>
      </c>
      <c r="F9641" s="21" t="s">
        <v>104</v>
      </c>
      <c r="G9641" s="21">
        <v>4</v>
      </c>
      <c r="H9641" s="21">
        <v>58</v>
      </c>
      <c r="I9641" s="21" t="s">
        <v>2139</v>
      </c>
      <c r="J9641" s="21"/>
      <c r="K9641" s="21" t="s">
        <v>101</v>
      </c>
      <c r="N9641" s="21" t="s">
        <v>40</v>
      </c>
      <c r="O9641" s="21">
        <v>36</v>
      </c>
      <c r="Q9641" s="21">
        <f t="shared" si="202"/>
        <v>1</v>
      </c>
      <c r="R9641" s="21">
        <v>1</v>
      </c>
      <c r="S9641" s="21">
        <v>0</v>
      </c>
      <c r="T9641" s="21">
        <v>0</v>
      </c>
      <c r="U9641" s="21">
        <v>0</v>
      </c>
      <c r="V9641" s="21">
        <v>1</v>
      </c>
      <c r="W9641" s="21">
        <v>0</v>
      </c>
      <c r="X9641" s="21">
        <v>0</v>
      </c>
      <c r="Y9641" s="21">
        <v>0</v>
      </c>
      <c r="Z9641" s="21">
        <v>0</v>
      </c>
      <c r="AA9641" s="21">
        <v>0</v>
      </c>
      <c r="AB9641" s="21">
        <v>0</v>
      </c>
      <c r="AC9641" s="21">
        <v>0</v>
      </c>
      <c r="AD9641" s="21">
        <v>0</v>
      </c>
      <c r="AE9641" s="21">
        <v>0</v>
      </c>
      <c r="AF9641" s="21">
        <v>0</v>
      </c>
      <c r="AG9641" s="21">
        <v>0</v>
      </c>
      <c r="AH9641" s="21">
        <f t="shared" si="203"/>
        <v>64</v>
      </c>
      <c r="AJ9641" s="21"/>
      <c r="AK9641" s="21"/>
      <c r="AL9641" s="21"/>
      <c r="AM9641" s="21" t="s">
        <v>6889</v>
      </c>
      <c r="AN9641" s="21">
        <v>-122.415013566667</v>
      </c>
      <c r="AO9641" s="21">
        <v>37.804352333333298</v>
      </c>
      <c r="AP9641" s="21" t="s">
        <v>1915</v>
      </c>
    </row>
    <row r="9642" spans="1:42">
      <c r="A9642" s="1">
        <v>43859</v>
      </c>
      <c r="B9642" s="21">
        <v>3</v>
      </c>
      <c r="C9642" s="21">
        <v>230</v>
      </c>
      <c r="D9642" s="7">
        <v>14467</v>
      </c>
      <c r="E9642" s="7" t="s">
        <v>112</v>
      </c>
      <c r="F9642" s="21" t="s">
        <v>104</v>
      </c>
      <c r="G9642" s="21">
        <v>4</v>
      </c>
      <c r="H9642" s="21">
        <v>59</v>
      </c>
      <c r="I9642" s="21" t="s">
        <v>4550</v>
      </c>
      <c r="J9642" s="21"/>
      <c r="K9642" s="21" t="s">
        <v>6890</v>
      </c>
      <c r="N9642" s="21" t="s">
        <v>44</v>
      </c>
      <c r="O9642" s="21">
        <f>60+21</f>
        <v>81</v>
      </c>
      <c r="Q9642" s="21">
        <f t="shared" si="202"/>
        <v>2</v>
      </c>
      <c r="R9642" s="21">
        <v>1</v>
      </c>
      <c r="S9642" s="21">
        <v>0</v>
      </c>
      <c r="T9642" s="21">
        <v>0</v>
      </c>
      <c r="U9642" s="21">
        <v>0</v>
      </c>
      <c r="V9642" s="21">
        <v>1</v>
      </c>
      <c r="W9642" s="21">
        <v>1</v>
      </c>
      <c r="X9642" s="21">
        <v>0</v>
      </c>
      <c r="Y9642" s="21">
        <v>0</v>
      </c>
      <c r="Z9642" s="21">
        <v>0</v>
      </c>
      <c r="AA9642" s="21">
        <v>0</v>
      </c>
      <c r="AB9642" s="21">
        <v>0</v>
      </c>
      <c r="AC9642" s="21">
        <v>0</v>
      </c>
      <c r="AD9642" s="21">
        <v>0</v>
      </c>
      <c r="AE9642" s="21">
        <v>0</v>
      </c>
      <c r="AF9642" s="21">
        <v>0</v>
      </c>
      <c r="AG9642" s="21">
        <v>0</v>
      </c>
      <c r="AH9642" s="21">
        <f t="shared" si="203"/>
        <v>160</v>
      </c>
      <c r="AJ9642" s="21" t="s">
        <v>6800</v>
      </c>
      <c r="AK9642" s="21" t="s">
        <v>95</v>
      </c>
      <c r="AL9642" s="21"/>
      <c r="AM9642" s="21" t="s">
        <v>6891</v>
      </c>
      <c r="AN9642" s="21">
        <v>-122.409584866667</v>
      </c>
      <c r="AO9642" s="21">
        <v>37.805828966666603</v>
      </c>
      <c r="AP9642" s="21" t="s">
        <v>1915</v>
      </c>
    </row>
    <row r="9643" spans="1:42">
      <c r="A9643" s="1">
        <v>43859</v>
      </c>
      <c r="B9643" s="21">
        <v>3</v>
      </c>
      <c r="C9643" s="21">
        <v>230</v>
      </c>
      <c r="D9643" s="7">
        <v>14467</v>
      </c>
      <c r="E9643" s="7" t="s">
        <v>112</v>
      </c>
      <c r="F9643" s="21" t="s">
        <v>104</v>
      </c>
      <c r="G9643" s="21">
        <v>4</v>
      </c>
      <c r="H9643" s="21">
        <v>60</v>
      </c>
      <c r="I9643" s="21" t="s">
        <v>4541</v>
      </c>
      <c r="J9643" s="21"/>
      <c r="K9643" s="21" t="s">
        <v>6892</v>
      </c>
      <c r="N9643" s="21" t="s">
        <v>44</v>
      </c>
      <c r="O9643" s="21">
        <v>124</v>
      </c>
      <c r="Q9643" s="21">
        <f t="shared" si="202"/>
        <v>2</v>
      </c>
      <c r="R9643" s="21">
        <v>1</v>
      </c>
      <c r="S9643" s="21">
        <v>0</v>
      </c>
      <c r="T9643" s="21">
        <v>0</v>
      </c>
      <c r="U9643" s="21">
        <v>0</v>
      </c>
      <c r="V9643" s="21">
        <v>1</v>
      </c>
      <c r="W9643" s="21">
        <v>1</v>
      </c>
      <c r="X9643" s="21">
        <v>0</v>
      </c>
      <c r="Y9643" s="21">
        <v>0</v>
      </c>
      <c r="Z9643" s="21">
        <v>0</v>
      </c>
      <c r="AA9643" s="21">
        <v>0</v>
      </c>
      <c r="AB9643" s="21">
        <v>0</v>
      </c>
      <c r="AC9643" s="21">
        <v>0</v>
      </c>
      <c r="AD9643" s="21">
        <v>0</v>
      </c>
      <c r="AE9643" s="21">
        <v>0</v>
      </c>
      <c r="AF9643" s="21">
        <v>0</v>
      </c>
      <c r="AG9643" s="21">
        <v>0</v>
      </c>
      <c r="AH9643" s="21">
        <f t="shared" si="203"/>
        <v>160</v>
      </c>
      <c r="AJ9643" s="21" t="s">
        <v>6800</v>
      </c>
      <c r="AK9643" s="21" t="s">
        <v>52</v>
      </c>
      <c r="AL9643" s="21" t="s">
        <v>6893</v>
      </c>
      <c r="AM9643" s="21" t="s">
        <v>6894</v>
      </c>
      <c r="AN9643" s="21">
        <v>-122.40949841666701</v>
      </c>
      <c r="AO9643" s="21">
        <v>37.8057357666667</v>
      </c>
      <c r="AP9643" s="21" t="s">
        <v>1915</v>
      </c>
    </row>
    <row r="9644" spans="1:42">
      <c r="A9644" s="1">
        <v>43859</v>
      </c>
      <c r="B9644" s="21">
        <v>3</v>
      </c>
      <c r="C9644" s="21">
        <v>230</v>
      </c>
      <c r="D9644" s="7">
        <v>14467</v>
      </c>
      <c r="E9644" s="7" t="s">
        <v>112</v>
      </c>
      <c r="F9644" s="21" t="s">
        <v>104</v>
      </c>
      <c r="G9644" s="21">
        <v>4</v>
      </c>
      <c r="H9644" s="21">
        <v>61</v>
      </c>
      <c r="I9644" s="21" t="s">
        <v>4935</v>
      </c>
      <c r="J9644" s="21"/>
      <c r="K9644" s="21" t="s">
        <v>1924</v>
      </c>
      <c r="N9644" s="21" t="s">
        <v>44</v>
      </c>
      <c r="O9644" s="21">
        <f>60+14</f>
        <v>74</v>
      </c>
      <c r="Q9644" s="21">
        <f t="shared" si="202"/>
        <v>2</v>
      </c>
      <c r="R9644" s="21">
        <v>1</v>
      </c>
      <c r="S9644" s="21">
        <v>0</v>
      </c>
      <c r="T9644" s="21">
        <v>0</v>
      </c>
      <c r="U9644" s="21">
        <v>1</v>
      </c>
      <c r="V9644" s="21">
        <v>0</v>
      </c>
      <c r="W9644" s="21">
        <v>1</v>
      </c>
      <c r="X9644" s="21">
        <v>0</v>
      </c>
      <c r="Y9644" s="21">
        <v>0</v>
      </c>
      <c r="Z9644" s="21">
        <v>0</v>
      </c>
      <c r="AA9644" s="21">
        <v>0</v>
      </c>
      <c r="AB9644" s="21">
        <v>0</v>
      </c>
      <c r="AC9644" s="21">
        <v>0</v>
      </c>
      <c r="AD9644" s="21">
        <v>0</v>
      </c>
      <c r="AE9644" s="21">
        <v>0</v>
      </c>
      <c r="AF9644" s="21">
        <v>0</v>
      </c>
      <c r="AG9644" s="21">
        <v>0</v>
      </c>
      <c r="AH9644" s="21">
        <f t="shared" si="203"/>
        <v>128</v>
      </c>
      <c r="AJ9644" s="21" t="s">
        <v>6800</v>
      </c>
      <c r="AK9644" s="21" t="s">
        <v>52</v>
      </c>
      <c r="AL9644" s="21" t="s">
        <v>2788</v>
      </c>
      <c r="AM9644" s="21" t="s">
        <v>6895</v>
      </c>
      <c r="AN9644" s="21">
        <v>-122.4093463</v>
      </c>
      <c r="AO9644" s="21">
        <v>37.805509083333298</v>
      </c>
      <c r="AP9644" s="21" t="s">
        <v>1915</v>
      </c>
    </row>
    <row r="9645" spans="1:42">
      <c r="A9645" s="1">
        <v>43859</v>
      </c>
      <c r="B9645" s="21">
        <v>3</v>
      </c>
      <c r="C9645" s="21">
        <v>230</v>
      </c>
      <c r="D9645" s="7">
        <v>14467</v>
      </c>
      <c r="E9645" s="7" t="s">
        <v>112</v>
      </c>
      <c r="F9645" s="21" t="s">
        <v>104</v>
      </c>
      <c r="G9645" s="21">
        <v>4</v>
      </c>
      <c r="H9645" s="21">
        <v>62</v>
      </c>
      <c r="I9645" s="21" t="s">
        <v>6896</v>
      </c>
      <c r="J9645" s="21"/>
      <c r="K9645" s="21" t="s">
        <v>6892</v>
      </c>
      <c r="N9645" s="21" t="s">
        <v>40</v>
      </c>
      <c r="O9645" s="21">
        <v>57</v>
      </c>
      <c r="Q9645" s="21">
        <f t="shared" si="202"/>
        <v>3</v>
      </c>
      <c r="R9645" s="21">
        <v>1</v>
      </c>
      <c r="S9645" s="21">
        <v>0</v>
      </c>
      <c r="T9645" s="21">
        <v>0</v>
      </c>
      <c r="U9645" s="21">
        <v>3</v>
      </c>
      <c r="V9645" s="21">
        <v>0</v>
      </c>
      <c r="W9645" s="21">
        <v>0</v>
      </c>
      <c r="X9645" s="21">
        <v>0</v>
      </c>
      <c r="Y9645" s="21">
        <v>0</v>
      </c>
      <c r="Z9645" s="21">
        <v>0</v>
      </c>
      <c r="AA9645" s="21">
        <v>0</v>
      </c>
      <c r="AB9645" s="21">
        <v>0</v>
      </c>
      <c r="AC9645" s="21">
        <v>0</v>
      </c>
      <c r="AD9645" s="21">
        <v>0</v>
      </c>
      <c r="AE9645" s="21">
        <v>0</v>
      </c>
      <c r="AF9645" s="21">
        <v>0</v>
      </c>
      <c r="AG9645" s="21">
        <v>0</v>
      </c>
      <c r="AH9645" s="21">
        <f t="shared" si="203"/>
        <v>96</v>
      </c>
      <c r="AJ9645" s="21" t="s">
        <v>6800</v>
      </c>
      <c r="AK9645" s="21" t="s">
        <v>95</v>
      </c>
      <c r="AL9645" s="21"/>
      <c r="AM9645" s="21" t="s">
        <v>6897</v>
      </c>
      <c r="AN9645" s="21">
        <v>-122.409362983333</v>
      </c>
      <c r="AO9645" s="21">
        <v>37.805530783333303</v>
      </c>
      <c r="AP9645" s="21" t="s">
        <v>1915</v>
      </c>
    </row>
    <row r="9646" spans="1:42">
      <c r="A9646" s="1">
        <v>43859</v>
      </c>
      <c r="B9646" s="21">
        <v>3</v>
      </c>
      <c r="C9646" s="21">
        <v>230</v>
      </c>
      <c r="D9646" s="7">
        <v>14467</v>
      </c>
      <c r="E9646" s="7" t="s">
        <v>112</v>
      </c>
      <c r="F9646" s="21" t="s">
        <v>104</v>
      </c>
      <c r="G9646" s="21">
        <v>4</v>
      </c>
      <c r="H9646" s="21">
        <v>63</v>
      </c>
      <c r="I9646" s="21" t="s">
        <v>6898</v>
      </c>
      <c r="J9646" s="21"/>
      <c r="K9646" s="21" t="s">
        <v>4334</v>
      </c>
      <c r="N9646" s="21" t="s">
        <v>40</v>
      </c>
      <c r="O9646" s="21">
        <v>36</v>
      </c>
      <c r="Q9646" s="21">
        <f t="shared" si="202"/>
        <v>2</v>
      </c>
      <c r="R9646" s="21">
        <v>1</v>
      </c>
      <c r="S9646" s="21">
        <v>0</v>
      </c>
      <c r="T9646" s="21">
        <v>0</v>
      </c>
      <c r="U9646" s="21">
        <v>2</v>
      </c>
      <c r="V9646" s="21">
        <v>0</v>
      </c>
      <c r="W9646" s="21">
        <v>0</v>
      </c>
      <c r="X9646" s="21">
        <v>0</v>
      </c>
      <c r="Y9646" s="21">
        <v>0</v>
      </c>
      <c r="Z9646" s="21">
        <v>0</v>
      </c>
      <c r="AA9646" s="21">
        <v>0</v>
      </c>
      <c r="AB9646" s="21">
        <v>0</v>
      </c>
      <c r="AC9646" s="21">
        <v>0</v>
      </c>
      <c r="AD9646" s="21">
        <v>0</v>
      </c>
      <c r="AE9646" s="21">
        <v>0</v>
      </c>
      <c r="AF9646" s="21">
        <v>0</v>
      </c>
      <c r="AG9646" s="21">
        <v>0</v>
      </c>
      <c r="AH9646" s="21">
        <f t="shared" si="203"/>
        <v>64</v>
      </c>
      <c r="AJ9646" s="21"/>
      <c r="AK9646" s="21"/>
      <c r="AL9646" s="21"/>
      <c r="AM9646" s="21" t="s">
        <v>6899</v>
      </c>
      <c r="AN9646" s="21">
        <v>-122.409431766667</v>
      </c>
      <c r="AO9646" s="21">
        <v>37.805414966666703</v>
      </c>
      <c r="AP9646" s="21" t="s">
        <v>1915</v>
      </c>
    </row>
    <row r="9647" spans="1:42">
      <c r="A9647" s="1">
        <v>43859</v>
      </c>
      <c r="B9647" s="21">
        <v>3</v>
      </c>
      <c r="C9647" s="21">
        <v>230</v>
      </c>
      <c r="D9647" s="7">
        <v>14467</v>
      </c>
      <c r="E9647" s="7" t="s">
        <v>112</v>
      </c>
      <c r="F9647" s="21" t="s">
        <v>104</v>
      </c>
      <c r="G9647" s="21">
        <v>4</v>
      </c>
      <c r="H9647" s="21">
        <v>64</v>
      </c>
      <c r="I9647" s="21" t="s">
        <v>6900</v>
      </c>
      <c r="J9647" s="21"/>
      <c r="K9647" s="21" t="s">
        <v>4334</v>
      </c>
      <c r="N9647" s="21" t="s">
        <v>40</v>
      </c>
      <c r="O9647" s="21">
        <f>60+47</f>
        <v>107</v>
      </c>
      <c r="Q9647" s="21">
        <f t="shared" si="202"/>
        <v>2</v>
      </c>
      <c r="R9647" s="21">
        <v>1</v>
      </c>
      <c r="S9647" s="21">
        <v>0</v>
      </c>
      <c r="T9647" s="21">
        <v>0</v>
      </c>
      <c r="U9647" s="21">
        <v>0</v>
      </c>
      <c r="V9647" s="21">
        <v>2</v>
      </c>
      <c r="W9647" s="21">
        <v>0</v>
      </c>
      <c r="X9647" s="21">
        <v>0</v>
      </c>
      <c r="Y9647" s="21">
        <v>0</v>
      </c>
      <c r="Z9647" s="21">
        <v>0</v>
      </c>
      <c r="AA9647" s="21">
        <v>0</v>
      </c>
      <c r="AB9647" s="21">
        <v>0</v>
      </c>
      <c r="AC9647" s="21">
        <v>0</v>
      </c>
      <c r="AD9647" s="21">
        <v>0</v>
      </c>
      <c r="AE9647" s="21">
        <v>0</v>
      </c>
      <c r="AF9647" s="21">
        <v>0</v>
      </c>
      <c r="AG9647" s="21">
        <v>0</v>
      </c>
      <c r="AH9647" s="21">
        <f t="shared" si="203"/>
        <v>128</v>
      </c>
      <c r="AJ9647" s="21"/>
      <c r="AK9647" s="21"/>
      <c r="AL9647" s="21"/>
      <c r="AM9647" s="21" t="s">
        <v>6901</v>
      </c>
      <c r="AN9647" s="21">
        <v>-122.40973365000001</v>
      </c>
      <c r="AO9647" s="21">
        <v>37.8051125333333</v>
      </c>
      <c r="AP9647" s="21" t="s">
        <v>1915</v>
      </c>
    </row>
    <row r="9648" spans="1:42">
      <c r="A9648" s="1">
        <v>43859</v>
      </c>
      <c r="B9648" s="21">
        <v>3</v>
      </c>
      <c r="C9648" s="21">
        <v>230</v>
      </c>
      <c r="D9648" s="7">
        <v>14467</v>
      </c>
      <c r="E9648" s="7" t="s">
        <v>112</v>
      </c>
      <c r="F9648" s="21" t="s">
        <v>104</v>
      </c>
      <c r="G9648" s="21">
        <v>4</v>
      </c>
      <c r="H9648" s="21">
        <v>65</v>
      </c>
      <c r="I9648" s="21" t="s">
        <v>6902</v>
      </c>
      <c r="J9648" s="21"/>
      <c r="K9648" s="21" t="s">
        <v>324</v>
      </c>
      <c r="N9648" s="21" t="s">
        <v>44</v>
      </c>
      <c r="O9648" s="21">
        <f>120+60+47</f>
        <v>227</v>
      </c>
      <c r="Q9648" s="21">
        <f t="shared" si="202"/>
        <v>3</v>
      </c>
      <c r="R9648" s="21">
        <v>1</v>
      </c>
      <c r="S9648" s="21">
        <v>0</v>
      </c>
      <c r="T9648" s="21">
        <v>0</v>
      </c>
      <c r="U9648" s="21">
        <v>0</v>
      </c>
      <c r="V9648" s="21">
        <v>1</v>
      </c>
      <c r="W9648" s="21">
        <v>2</v>
      </c>
      <c r="X9648" s="21">
        <v>0</v>
      </c>
      <c r="Y9648" s="21">
        <v>0</v>
      </c>
      <c r="Z9648" s="21">
        <v>0</v>
      </c>
      <c r="AA9648" s="21">
        <v>0</v>
      </c>
      <c r="AB9648" s="21">
        <v>0</v>
      </c>
      <c r="AC9648" s="21">
        <v>0</v>
      </c>
      <c r="AD9648" s="21">
        <v>0</v>
      </c>
      <c r="AE9648" s="21">
        <v>0</v>
      </c>
      <c r="AF9648" s="21">
        <v>0</v>
      </c>
      <c r="AG9648" s="21">
        <v>0</v>
      </c>
      <c r="AH9648" s="21">
        <f t="shared" si="203"/>
        <v>256</v>
      </c>
      <c r="AJ9648" s="21" t="s">
        <v>6800</v>
      </c>
      <c r="AK9648" s="21" t="s">
        <v>52</v>
      </c>
      <c r="AL9648" s="21" t="s">
        <v>6903</v>
      </c>
      <c r="AM9648" s="21" t="s">
        <v>6904</v>
      </c>
      <c r="AN9648" s="21">
        <v>-122.410412583333</v>
      </c>
      <c r="AO9648" s="21">
        <v>37.804247916666597</v>
      </c>
      <c r="AP9648" s="21" t="s">
        <v>1915</v>
      </c>
    </row>
    <row r="9649" spans="1:42">
      <c r="A9649" s="1">
        <v>43859</v>
      </c>
      <c r="B9649" s="21">
        <v>3</v>
      </c>
      <c r="C9649" s="21">
        <v>230</v>
      </c>
      <c r="D9649" s="7">
        <v>14467</v>
      </c>
      <c r="E9649" s="7" t="s">
        <v>112</v>
      </c>
      <c r="F9649" s="21" t="s">
        <v>104</v>
      </c>
      <c r="G9649" s="21">
        <v>4</v>
      </c>
      <c r="H9649" s="21">
        <v>66</v>
      </c>
      <c r="I9649" s="21" t="s">
        <v>4296</v>
      </c>
      <c r="J9649" s="21"/>
      <c r="K9649" s="21" t="s">
        <v>324</v>
      </c>
      <c r="N9649" s="21" t="s">
        <v>40</v>
      </c>
      <c r="O9649" s="21">
        <v>42</v>
      </c>
      <c r="Q9649" s="21">
        <f t="shared" si="202"/>
        <v>1</v>
      </c>
      <c r="R9649" s="21">
        <v>1</v>
      </c>
      <c r="S9649" s="21">
        <v>0</v>
      </c>
      <c r="T9649" s="21">
        <v>0</v>
      </c>
      <c r="U9649" s="21">
        <v>0</v>
      </c>
      <c r="V9649" s="21">
        <v>1</v>
      </c>
      <c r="W9649" s="21">
        <v>0</v>
      </c>
      <c r="X9649" s="21">
        <v>0</v>
      </c>
      <c r="Y9649" s="21">
        <v>0</v>
      </c>
      <c r="Z9649" s="21">
        <v>0</v>
      </c>
      <c r="AA9649" s="21">
        <v>0</v>
      </c>
      <c r="AB9649" s="21">
        <v>0</v>
      </c>
      <c r="AC9649" s="21">
        <v>0</v>
      </c>
      <c r="AD9649" s="21">
        <v>0</v>
      </c>
      <c r="AE9649" s="21">
        <v>0</v>
      </c>
      <c r="AF9649" s="21">
        <v>0</v>
      </c>
      <c r="AG9649" s="21">
        <v>0</v>
      </c>
      <c r="AH9649" s="21">
        <f t="shared" si="203"/>
        <v>64</v>
      </c>
      <c r="AJ9649" s="21" t="s">
        <v>6800</v>
      </c>
      <c r="AK9649" s="21" t="s">
        <v>52</v>
      </c>
      <c r="AL9649" s="21"/>
      <c r="AM9649" s="21" t="s">
        <v>6905</v>
      </c>
      <c r="AN9649" s="21">
        <v>-122.410613916667</v>
      </c>
      <c r="AO9649" s="21">
        <v>37.8041107166666</v>
      </c>
      <c r="AP9649" s="21" t="s">
        <v>1915</v>
      </c>
    </row>
    <row r="9650" spans="1:42">
      <c r="A9650" s="1">
        <v>43859</v>
      </c>
      <c r="B9650" s="21">
        <v>3</v>
      </c>
      <c r="C9650" s="21">
        <v>230</v>
      </c>
      <c r="D9650" s="7">
        <v>14467</v>
      </c>
      <c r="E9650" s="7" t="s">
        <v>112</v>
      </c>
      <c r="F9650" s="21" t="s">
        <v>104</v>
      </c>
      <c r="G9650" s="21">
        <v>4</v>
      </c>
      <c r="H9650" s="21">
        <v>67</v>
      </c>
      <c r="I9650" s="21" t="s">
        <v>5666</v>
      </c>
      <c r="J9650" s="21"/>
      <c r="K9650" s="21" t="s">
        <v>324</v>
      </c>
      <c r="N9650" s="21" t="s">
        <v>40</v>
      </c>
      <c r="O9650" s="21">
        <v>20</v>
      </c>
      <c r="Q9650" s="21">
        <f t="shared" si="202"/>
        <v>1</v>
      </c>
      <c r="R9650" s="21">
        <v>1</v>
      </c>
      <c r="S9650" s="21">
        <v>0</v>
      </c>
      <c r="T9650" s="21">
        <v>0</v>
      </c>
      <c r="U9650" s="21">
        <v>0</v>
      </c>
      <c r="V9650" s="21">
        <v>1</v>
      </c>
      <c r="W9650" s="21">
        <v>0</v>
      </c>
      <c r="X9650" s="21">
        <v>0</v>
      </c>
      <c r="Y9650" s="21">
        <v>0</v>
      </c>
      <c r="Z9650" s="21">
        <v>0</v>
      </c>
      <c r="AA9650" s="21">
        <v>0</v>
      </c>
      <c r="AB9650" s="21">
        <v>0</v>
      </c>
      <c r="AC9650" s="21">
        <v>0</v>
      </c>
      <c r="AD9650" s="21">
        <v>0</v>
      </c>
      <c r="AE9650" s="21">
        <v>0</v>
      </c>
      <c r="AF9650" s="21">
        <v>0</v>
      </c>
      <c r="AG9650" s="21">
        <v>0</v>
      </c>
      <c r="AH9650" s="21">
        <f t="shared" si="203"/>
        <v>64</v>
      </c>
      <c r="AJ9650" s="21" t="s">
        <v>6790</v>
      </c>
      <c r="AK9650" s="21" t="s">
        <v>52</v>
      </c>
      <c r="AL9650" s="21"/>
      <c r="AM9650" s="21" t="s">
        <v>6906</v>
      </c>
      <c r="AN9650" s="21">
        <v>-122.4124194</v>
      </c>
      <c r="AO9650" s="21">
        <v>37.803963616666699</v>
      </c>
      <c r="AP9650" s="21" t="s">
        <v>1915</v>
      </c>
    </row>
    <row r="9651" spans="1:42">
      <c r="A9651" s="1">
        <v>43859</v>
      </c>
      <c r="B9651" s="21">
        <v>3</v>
      </c>
      <c r="C9651" s="21">
        <v>230</v>
      </c>
      <c r="D9651" s="7">
        <v>14467</v>
      </c>
      <c r="E9651" s="7" t="s">
        <v>112</v>
      </c>
      <c r="F9651" s="21" t="s">
        <v>104</v>
      </c>
      <c r="G9651" s="21">
        <v>4</v>
      </c>
      <c r="H9651" s="21">
        <v>68</v>
      </c>
      <c r="I9651" s="21" t="s">
        <v>6827</v>
      </c>
      <c r="J9651" s="21" t="s">
        <v>2044</v>
      </c>
      <c r="K9651" s="21" t="s">
        <v>324</v>
      </c>
      <c r="N9651" s="21" t="s">
        <v>40</v>
      </c>
      <c r="O9651" s="21">
        <v>31</v>
      </c>
      <c r="Q9651" s="21">
        <f t="shared" si="202"/>
        <v>2</v>
      </c>
      <c r="R9651" s="21">
        <v>1</v>
      </c>
      <c r="S9651" s="21">
        <v>0</v>
      </c>
      <c r="T9651" s="21">
        <v>0</v>
      </c>
      <c r="U9651" s="21">
        <v>2</v>
      </c>
      <c r="V9651" s="21">
        <v>0</v>
      </c>
      <c r="W9651" s="21">
        <v>0</v>
      </c>
      <c r="X9651" s="21">
        <v>0</v>
      </c>
      <c r="Y9651" s="21">
        <v>0</v>
      </c>
      <c r="Z9651" s="21">
        <v>0</v>
      </c>
      <c r="AA9651" s="21">
        <v>0</v>
      </c>
      <c r="AB9651" s="21">
        <v>0</v>
      </c>
      <c r="AC9651" s="21">
        <v>0</v>
      </c>
      <c r="AD9651" s="21">
        <v>0</v>
      </c>
      <c r="AE9651" s="21">
        <v>0</v>
      </c>
      <c r="AF9651" s="21">
        <v>0</v>
      </c>
      <c r="AG9651" s="21">
        <v>0</v>
      </c>
      <c r="AH9651" s="21">
        <f t="shared" si="203"/>
        <v>64</v>
      </c>
      <c r="AJ9651" s="21"/>
      <c r="AK9651" s="21"/>
      <c r="AL9651" s="21"/>
      <c r="AM9651" s="21" t="s">
        <v>6907</v>
      </c>
      <c r="AN9651" s="21">
        <v>-122.412755333333</v>
      </c>
      <c r="AO9651" s="21">
        <v>37.803874700000001</v>
      </c>
      <c r="AP9651" s="21" t="s">
        <v>1915</v>
      </c>
    </row>
    <row r="9652" spans="1:42">
      <c r="A9652" s="1">
        <v>43859</v>
      </c>
      <c r="B9652" s="21">
        <v>3</v>
      </c>
      <c r="C9652" s="21">
        <v>230</v>
      </c>
      <c r="D9652" s="7">
        <v>14467</v>
      </c>
      <c r="E9652" s="7" t="s">
        <v>112</v>
      </c>
      <c r="F9652" s="21" t="s">
        <v>104</v>
      </c>
      <c r="G9652" s="21">
        <v>4</v>
      </c>
      <c r="H9652" s="21">
        <v>69</v>
      </c>
      <c r="I9652" s="21" t="s">
        <v>5739</v>
      </c>
      <c r="J9652" s="21"/>
      <c r="K9652" s="21" t="s">
        <v>324</v>
      </c>
      <c r="N9652" s="21" t="s">
        <v>40</v>
      </c>
      <c r="O9652" s="21">
        <v>55</v>
      </c>
      <c r="Q9652" s="21">
        <f t="shared" si="202"/>
        <v>2</v>
      </c>
      <c r="R9652" s="21">
        <v>1</v>
      </c>
      <c r="S9652" s="21">
        <v>0</v>
      </c>
      <c r="T9652" s="21">
        <v>0</v>
      </c>
      <c r="U9652" s="21">
        <v>2</v>
      </c>
      <c r="V9652" s="21">
        <v>0</v>
      </c>
      <c r="W9652" s="21">
        <v>0</v>
      </c>
      <c r="X9652" s="21">
        <v>0</v>
      </c>
      <c r="Y9652" s="21">
        <v>0</v>
      </c>
      <c r="Z9652" s="21">
        <v>0</v>
      </c>
      <c r="AA9652" s="21">
        <v>0</v>
      </c>
      <c r="AB9652" s="21">
        <v>0</v>
      </c>
      <c r="AC9652" s="21">
        <v>0</v>
      </c>
      <c r="AD9652" s="21">
        <v>0</v>
      </c>
      <c r="AE9652" s="21">
        <v>0</v>
      </c>
      <c r="AF9652" s="21">
        <v>0</v>
      </c>
      <c r="AG9652" s="21">
        <v>0</v>
      </c>
      <c r="AH9652" s="21">
        <f t="shared" si="203"/>
        <v>64</v>
      </c>
      <c r="AJ9652" s="21"/>
      <c r="AK9652" s="21"/>
      <c r="AL9652" s="21"/>
      <c r="AM9652" s="21" t="s">
        <v>6908</v>
      </c>
      <c r="AN9652" s="21">
        <v>-122.412956716667</v>
      </c>
      <c r="AO9652" s="21">
        <v>37.803873566666603</v>
      </c>
      <c r="AP9652" s="21" t="s">
        <v>1915</v>
      </c>
    </row>
    <row r="9653" spans="1:42">
      <c r="A9653" s="1">
        <v>43859</v>
      </c>
      <c r="B9653" s="21">
        <v>3</v>
      </c>
      <c r="C9653" s="21">
        <v>230</v>
      </c>
      <c r="D9653" s="7">
        <v>14467</v>
      </c>
      <c r="E9653" s="7" t="s">
        <v>112</v>
      </c>
      <c r="F9653" s="21" t="s">
        <v>104</v>
      </c>
      <c r="G9653" s="21">
        <v>4</v>
      </c>
      <c r="H9653" s="21">
        <v>70</v>
      </c>
      <c r="I9653" s="21" t="s">
        <v>5741</v>
      </c>
      <c r="J9653" s="21"/>
      <c r="K9653" s="21" t="s">
        <v>324</v>
      </c>
      <c r="N9653" s="21" t="s">
        <v>40</v>
      </c>
      <c r="O9653" s="21">
        <v>35</v>
      </c>
      <c r="Q9653" s="21">
        <f t="shared" si="202"/>
        <v>2</v>
      </c>
      <c r="R9653" s="21">
        <v>1</v>
      </c>
      <c r="S9653" s="21">
        <v>0</v>
      </c>
      <c r="T9653" s="21">
        <v>1</v>
      </c>
      <c r="U9653" s="21">
        <v>1</v>
      </c>
      <c r="V9653" s="21">
        <v>0</v>
      </c>
      <c r="W9653" s="21">
        <v>0</v>
      </c>
      <c r="X9653" s="21">
        <v>0</v>
      </c>
      <c r="Y9653" s="21">
        <v>0</v>
      </c>
      <c r="Z9653" s="21">
        <v>0</v>
      </c>
      <c r="AA9653" s="21">
        <v>0</v>
      </c>
      <c r="AB9653" s="21">
        <v>0</v>
      </c>
      <c r="AC9653" s="21">
        <v>0</v>
      </c>
      <c r="AD9653" s="21">
        <v>0</v>
      </c>
      <c r="AE9653" s="21">
        <v>0</v>
      </c>
      <c r="AF9653" s="21">
        <v>0</v>
      </c>
      <c r="AG9653" s="21">
        <v>0</v>
      </c>
      <c r="AH9653" s="21">
        <f t="shared" si="203"/>
        <v>52</v>
      </c>
      <c r="AJ9653" s="21" t="s">
        <v>6790</v>
      </c>
      <c r="AK9653" s="21"/>
      <c r="AL9653" s="21"/>
      <c r="AM9653" s="21" t="s">
        <v>6909</v>
      </c>
      <c r="AN9653" s="21">
        <v>-122.4129202</v>
      </c>
      <c r="AO9653" s="21">
        <v>37.803806033333302</v>
      </c>
      <c r="AP9653" s="21" t="s">
        <v>1915</v>
      </c>
    </row>
    <row r="9654" spans="1:42">
      <c r="A9654" s="1">
        <v>43859</v>
      </c>
      <c r="B9654" s="21">
        <v>3</v>
      </c>
      <c r="C9654" s="21">
        <v>230</v>
      </c>
      <c r="D9654" s="7">
        <v>14467</v>
      </c>
      <c r="E9654" s="7" t="s">
        <v>112</v>
      </c>
      <c r="F9654" s="21" t="s">
        <v>104</v>
      </c>
      <c r="G9654" s="21">
        <v>4</v>
      </c>
      <c r="H9654" s="21">
        <v>71</v>
      </c>
      <c r="I9654" s="21" t="s">
        <v>6910</v>
      </c>
      <c r="J9654" s="21"/>
      <c r="K9654" s="21" t="s">
        <v>119</v>
      </c>
      <c r="N9654" s="21" t="s">
        <v>42</v>
      </c>
      <c r="O9654" s="21">
        <f>120+21</f>
        <v>141</v>
      </c>
      <c r="Q9654" s="21">
        <f t="shared" si="202"/>
        <v>5</v>
      </c>
      <c r="R9654" s="21">
        <v>1</v>
      </c>
      <c r="S9654" s="21">
        <v>0</v>
      </c>
      <c r="T9654" s="21">
        <v>1</v>
      </c>
      <c r="U9654" s="21">
        <v>3</v>
      </c>
      <c r="V9654" s="21">
        <v>0</v>
      </c>
      <c r="W9654" s="21">
        <v>1</v>
      </c>
      <c r="X9654" s="21">
        <v>0</v>
      </c>
      <c r="Y9654" s="21">
        <v>0</v>
      </c>
      <c r="Z9654" s="21">
        <v>0</v>
      </c>
      <c r="AA9654" s="21">
        <v>0</v>
      </c>
      <c r="AB9654" s="21">
        <v>0</v>
      </c>
      <c r="AC9654" s="21">
        <v>0</v>
      </c>
      <c r="AD9654" s="21">
        <v>0</v>
      </c>
      <c r="AE9654" s="21">
        <v>0</v>
      </c>
      <c r="AF9654" s="21">
        <v>0</v>
      </c>
      <c r="AG9654" s="21">
        <v>0</v>
      </c>
      <c r="AH9654" s="21">
        <f t="shared" si="203"/>
        <v>212</v>
      </c>
      <c r="AJ9654" s="21" t="s">
        <v>6790</v>
      </c>
      <c r="AK9654" s="21" t="s">
        <v>52</v>
      </c>
      <c r="AL9654" s="21" t="s">
        <v>6911</v>
      </c>
      <c r="AM9654" s="21" t="s">
        <v>6912</v>
      </c>
      <c r="AN9654" s="21">
        <v>-122.412831266667</v>
      </c>
      <c r="AO9654" s="21">
        <v>37.803620283333302</v>
      </c>
      <c r="AP9654" s="21" t="s">
        <v>1915</v>
      </c>
    </row>
    <row r="9655" spans="1:42">
      <c r="A9655" s="1">
        <v>43859</v>
      </c>
      <c r="B9655" s="21">
        <v>3</v>
      </c>
      <c r="C9655" s="21">
        <v>230</v>
      </c>
      <c r="D9655" s="7">
        <v>14467</v>
      </c>
      <c r="E9655" s="7" t="s">
        <v>112</v>
      </c>
      <c r="F9655" s="21" t="s">
        <v>104</v>
      </c>
      <c r="G9655" s="21">
        <v>4</v>
      </c>
      <c r="H9655" s="21">
        <v>72</v>
      </c>
      <c r="I9655" s="21" t="s">
        <v>4213</v>
      </c>
      <c r="J9655" s="21"/>
      <c r="K9655" s="21" t="s">
        <v>324</v>
      </c>
      <c r="N9655" s="21" t="s">
        <v>40</v>
      </c>
      <c r="O9655" s="21">
        <v>44</v>
      </c>
      <c r="Q9655" s="21">
        <f t="shared" si="202"/>
        <v>3</v>
      </c>
      <c r="R9655" s="21">
        <v>1</v>
      </c>
      <c r="S9655" s="21">
        <v>0</v>
      </c>
      <c r="T9655" s="21">
        <v>0</v>
      </c>
      <c r="U9655" s="21">
        <v>0</v>
      </c>
      <c r="V9655" s="21">
        <v>2</v>
      </c>
      <c r="W9655" s="21">
        <v>1</v>
      </c>
      <c r="X9655" s="21">
        <v>0</v>
      </c>
      <c r="Y9655" s="21">
        <v>0</v>
      </c>
      <c r="Z9655" s="21">
        <v>0</v>
      </c>
      <c r="AA9655" s="21">
        <v>0</v>
      </c>
      <c r="AB9655" s="21">
        <v>0</v>
      </c>
      <c r="AC9655" s="21">
        <v>0</v>
      </c>
      <c r="AD9655" s="21">
        <v>0</v>
      </c>
      <c r="AE9655" s="21">
        <v>0</v>
      </c>
      <c r="AF9655" s="21">
        <v>0</v>
      </c>
      <c r="AG9655" s="21">
        <v>0</v>
      </c>
      <c r="AH9655" s="21">
        <f t="shared" si="203"/>
        <v>224</v>
      </c>
      <c r="AJ9655" s="21"/>
      <c r="AK9655" s="21"/>
      <c r="AL9655" s="21"/>
      <c r="AM9655" s="21" t="s">
        <v>6913</v>
      </c>
      <c r="AN9655" s="21">
        <v>-122.412667133333</v>
      </c>
      <c r="AO9655" s="21">
        <v>37.803807466666598</v>
      </c>
      <c r="AP9655" s="21" t="s">
        <v>1915</v>
      </c>
    </row>
    <row r="9656" spans="1:42">
      <c r="A9656" s="1">
        <v>43859</v>
      </c>
      <c r="B9656" s="21">
        <v>3</v>
      </c>
      <c r="C9656" s="21">
        <v>230</v>
      </c>
      <c r="D9656" s="7">
        <v>14467</v>
      </c>
      <c r="E9656" s="7" t="s">
        <v>112</v>
      </c>
      <c r="F9656" s="21" t="s">
        <v>104</v>
      </c>
      <c r="G9656" s="21">
        <v>4</v>
      </c>
      <c r="H9656" s="21">
        <v>73</v>
      </c>
      <c r="I9656" s="21" t="s">
        <v>6914</v>
      </c>
      <c r="J9656" s="21"/>
      <c r="K9656" s="21" t="s">
        <v>324</v>
      </c>
      <c r="N9656" s="21" t="s">
        <v>40</v>
      </c>
      <c r="O9656" s="21">
        <v>39</v>
      </c>
      <c r="Q9656" s="21">
        <f t="shared" si="202"/>
        <v>2</v>
      </c>
      <c r="R9656" s="21">
        <v>1</v>
      </c>
      <c r="S9656" s="21">
        <v>0</v>
      </c>
      <c r="T9656" s="21">
        <v>0</v>
      </c>
      <c r="U9656" s="21">
        <v>0</v>
      </c>
      <c r="V9656" s="21">
        <v>1</v>
      </c>
      <c r="W9656" s="21">
        <v>1</v>
      </c>
      <c r="X9656" s="21">
        <v>0</v>
      </c>
      <c r="Y9656" s="21">
        <v>0</v>
      </c>
      <c r="Z9656" s="21">
        <v>0</v>
      </c>
      <c r="AA9656" s="21">
        <v>0</v>
      </c>
      <c r="AB9656" s="21">
        <v>0</v>
      </c>
      <c r="AC9656" s="21">
        <v>0</v>
      </c>
      <c r="AD9656" s="21">
        <v>0</v>
      </c>
      <c r="AE9656" s="21">
        <v>0</v>
      </c>
      <c r="AF9656" s="21">
        <v>0</v>
      </c>
      <c r="AG9656" s="21">
        <v>0</v>
      </c>
      <c r="AH9656" s="21">
        <f t="shared" si="203"/>
        <v>160</v>
      </c>
      <c r="AJ9656" s="21"/>
      <c r="AK9656" s="21"/>
      <c r="AL9656" s="21"/>
      <c r="AM9656" s="21" t="s">
        <v>6915</v>
      </c>
      <c r="AN9656" s="21">
        <v>-122.41247078333301</v>
      </c>
      <c r="AO9656" s="21">
        <v>37.803859583333299</v>
      </c>
      <c r="AP9656" s="21" t="s">
        <v>1915</v>
      </c>
    </row>
    <row r="9657" spans="1:42">
      <c r="A9657" s="1">
        <v>43859</v>
      </c>
      <c r="B9657" s="21">
        <v>3</v>
      </c>
      <c r="C9657" s="21">
        <v>230</v>
      </c>
      <c r="D9657" s="7">
        <v>14467</v>
      </c>
      <c r="E9657" s="7" t="s">
        <v>112</v>
      </c>
      <c r="F9657" s="21" t="s">
        <v>104</v>
      </c>
      <c r="G9657" s="21">
        <v>4</v>
      </c>
      <c r="H9657" s="21">
        <v>74</v>
      </c>
      <c r="I9657" s="21" t="s">
        <v>6916</v>
      </c>
      <c r="J9657" s="21"/>
      <c r="K9657" s="21" t="s">
        <v>324</v>
      </c>
      <c r="N9657" s="21" t="s">
        <v>40</v>
      </c>
      <c r="O9657" s="21">
        <v>36</v>
      </c>
      <c r="Q9657" s="21">
        <f t="shared" si="202"/>
        <v>2</v>
      </c>
      <c r="R9657" s="21">
        <v>1</v>
      </c>
      <c r="S9657" s="21">
        <v>0</v>
      </c>
      <c r="T9657" s="21">
        <v>0</v>
      </c>
      <c r="U9657" s="21">
        <v>1</v>
      </c>
      <c r="V9657" s="21">
        <v>1</v>
      </c>
      <c r="W9657" s="21">
        <v>0</v>
      </c>
      <c r="X9657" s="21">
        <v>0</v>
      </c>
      <c r="Y9657" s="21">
        <v>0</v>
      </c>
      <c r="Z9657" s="21">
        <v>0</v>
      </c>
      <c r="AA9657" s="21">
        <v>0</v>
      </c>
      <c r="AB9657" s="21">
        <v>0</v>
      </c>
      <c r="AC9657" s="21">
        <v>0</v>
      </c>
      <c r="AD9657" s="21">
        <v>0</v>
      </c>
      <c r="AE9657" s="21">
        <v>0</v>
      </c>
      <c r="AF9657" s="21">
        <v>0</v>
      </c>
      <c r="AG9657" s="21">
        <v>0</v>
      </c>
      <c r="AH9657" s="21">
        <f t="shared" si="203"/>
        <v>96</v>
      </c>
      <c r="AJ9657" s="21"/>
      <c r="AK9657" s="21"/>
      <c r="AL9657" s="21"/>
      <c r="AM9657" s="21" t="s">
        <v>6917</v>
      </c>
      <c r="AN9657" s="21">
        <v>-122.412265116667</v>
      </c>
      <c r="AO9657" s="21">
        <v>37.803926633333298</v>
      </c>
      <c r="AP9657" s="21" t="s">
        <v>1915</v>
      </c>
    </row>
    <row r="9658" spans="1:42">
      <c r="A9658" s="1">
        <v>43859</v>
      </c>
      <c r="B9658" s="21">
        <v>3</v>
      </c>
      <c r="C9658" s="21">
        <v>230</v>
      </c>
      <c r="D9658" s="7">
        <v>14467</v>
      </c>
      <c r="E9658" s="7" t="s">
        <v>112</v>
      </c>
      <c r="F9658" s="21" t="s">
        <v>104</v>
      </c>
      <c r="G9658" s="21">
        <v>4</v>
      </c>
      <c r="H9658" s="21">
        <v>75</v>
      </c>
      <c r="I9658" s="21" t="s">
        <v>6918</v>
      </c>
      <c r="J9658" s="21"/>
      <c r="K9658" s="21" t="s">
        <v>324</v>
      </c>
      <c r="N9658" s="21" t="s">
        <v>40</v>
      </c>
      <c r="O9658" s="21">
        <v>36</v>
      </c>
      <c r="Q9658" s="21">
        <f t="shared" si="202"/>
        <v>0</v>
      </c>
      <c r="R9658" s="21">
        <v>1</v>
      </c>
      <c r="S9658" s="21">
        <v>0</v>
      </c>
      <c r="T9658" s="21">
        <v>0</v>
      </c>
      <c r="U9658" s="21">
        <v>0</v>
      </c>
      <c r="V9658" s="21">
        <v>0</v>
      </c>
      <c r="W9658" s="21">
        <v>0</v>
      </c>
      <c r="X9658" s="21">
        <v>0</v>
      </c>
      <c r="Y9658" s="21">
        <v>0</v>
      </c>
      <c r="Z9658" s="21">
        <v>0</v>
      </c>
      <c r="AA9658" s="21">
        <v>0</v>
      </c>
      <c r="AB9658" s="21">
        <v>0</v>
      </c>
      <c r="AC9658" s="21">
        <v>0</v>
      </c>
      <c r="AD9658" s="21">
        <v>0</v>
      </c>
      <c r="AE9658" s="21">
        <v>0</v>
      </c>
      <c r="AF9658" s="21">
        <v>0</v>
      </c>
      <c r="AG9658" s="21">
        <v>0</v>
      </c>
      <c r="AH9658" s="21">
        <f t="shared" si="203"/>
        <v>0</v>
      </c>
      <c r="AJ9658" s="21"/>
      <c r="AK9658" s="21"/>
      <c r="AL9658" s="21"/>
      <c r="AM9658" s="21" t="s">
        <v>6919</v>
      </c>
      <c r="AN9658" s="21">
        <v>-122.412181283333</v>
      </c>
      <c r="AO9658" s="21">
        <v>37.80398675</v>
      </c>
      <c r="AP9658" s="21" t="s">
        <v>1915</v>
      </c>
    </row>
    <row r="9659" spans="1:42">
      <c r="A9659" s="1">
        <v>43859</v>
      </c>
      <c r="B9659" s="21">
        <v>3</v>
      </c>
      <c r="C9659" s="21">
        <v>230</v>
      </c>
      <c r="D9659" s="7">
        <v>14467</v>
      </c>
      <c r="E9659" s="7" t="s">
        <v>112</v>
      </c>
      <c r="F9659" s="21" t="s">
        <v>104</v>
      </c>
      <c r="G9659" s="21">
        <v>4</v>
      </c>
      <c r="H9659" s="21">
        <v>76</v>
      </c>
      <c r="I9659" s="21" t="s">
        <v>6920</v>
      </c>
      <c r="J9659" s="21"/>
      <c r="K9659" s="21" t="s">
        <v>324</v>
      </c>
      <c r="N9659" s="21" t="s">
        <v>44</v>
      </c>
      <c r="O9659" s="21">
        <f>60+36</f>
        <v>96</v>
      </c>
      <c r="Q9659" s="21">
        <f t="shared" si="202"/>
        <v>2</v>
      </c>
      <c r="R9659" s="21">
        <v>1</v>
      </c>
      <c r="S9659" s="21">
        <v>0</v>
      </c>
      <c r="T9659" s="21">
        <v>0</v>
      </c>
      <c r="U9659" s="21">
        <v>0</v>
      </c>
      <c r="V9659" s="21">
        <v>2</v>
      </c>
      <c r="W9659" s="21">
        <v>0</v>
      </c>
      <c r="X9659" s="21">
        <v>0</v>
      </c>
      <c r="Y9659" s="21">
        <v>0</v>
      </c>
      <c r="Z9659" s="21">
        <v>0</v>
      </c>
      <c r="AA9659" s="21">
        <v>0</v>
      </c>
      <c r="AB9659" s="21">
        <v>0</v>
      </c>
      <c r="AC9659" s="21">
        <v>0</v>
      </c>
      <c r="AD9659" s="21">
        <v>0</v>
      </c>
      <c r="AE9659" s="21">
        <v>0</v>
      </c>
      <c r="AF9659" s="21">
        <v>0</v>
      </c>
      <c r="AG9659" s="21">
        <v>0</v>
      </c>
      <c r="AH9659" s="21">
        <f t="shared" si="203"/>
        <v>128</v>
      </c>
      <c r="AJ9659" s="21" t="s">
        <v>6790</v>
      </c>
      <c r="AK9659" s="21" t="s">
        <v>95</v>
      </c>
      <c r="AL9659" s="21" t="s">
        <v>2111</v>
      </c>
      <c r="AM9659" s="21" t="s">
        <v>6921</v>
      </c>
      <c r="AN9659" s="21">
        <v>-122.41227815000001</v>
      </c>
      <c r="AO9659" s="21">
        <v>37.803935949999897</v>
      </c>
      <c r="AP9659" s="21" t="s">
        <v>1915</v>
      </c>
    </row>
    <row r="9660" spans="1:42">
      <c r="A9660" s="1">
        <v>43859</v>
      </c>
      <c r="B9660" s="21">
        <v>3</v>
      </c>
      <c r="C9660" s="21">
        <v>230</v>
      </c>
      <c r="D9660" s="7">
        <v>14467</v>
      </c>
      <c r="E9660" s="7" t="s">
        <v>112</v>
      </c>
      <c r="F9660" s="21" t="s">
        <v>104</v>
      </c>
      <c r="G9660" s="21">
        <v>4</v>
      </c>
      <c r="H9660" s="21">
        <v>77</v>
      </c>
      <c r="I9660" s="21" t="s">
        <v>6922</v>
      </c>
      <c r="J9660" s="21"/>
      <c r="K9660" s="21" t="s">
        <v>324</v>
      </c>
      <c r="N9660" s="21" t="s">
        <v>44</v>
      </c>
      <c r="O9660" s="21">
        <f>120+27</f>
        <v>147</v>
      </c>
      <c r="Q9660" s="21">
        <f t="shared" si="202"/>
        <v>3</v>
      </c>
      <c r="R9660" s="21">
        <v>1</v>
      </c>
      <c r="S9660" s="21">
        <v>0</v>
      </c>
      <c r="T9660" s="21">
        <v>0</v>
      </c>
      <c r="U9660" s="21">
        <v>3</v>
      </c>
      <c r="V9660" s="21">
        <v>0</v>
      </c>
      <c r="W9660" s="21">
        <v>0</v>
      </c>
      <c r="X9660" s="21">
        <v>0</v>
      </c>
      <c r="Y9660" s="21">
        <v>0</v>
      </c>
      <c r="Z9660" s="21">
        <v>0</v>
      </c>
      <c r="AA9660" s="21">
        <v>0</v>
      </c>
      <c r="AB9660" s="21">
        <v>0</v>
      </c>
      <c r="AC9660" s="21">
        <v>0</v>
      </c>
      <c r="AD9660" s="21">
        <v>0</v>
      </c>
      <c r="AE9660" s="21">
        <v>0</v>
      </c>
      <c r="AF9660" s="21">
        <v>0</v>
      </c>
      <c r="AG9660" s="21">
        <v>0</v>
      </c>
      <c r="AH9660" s="21">
        <f t="shared" si="203"/>
        <v>96</v>
      </c>
      <c r="AJ9660" s="21" t="s">
        <v>6800</v>
      </c>
      <c r="AK9660" s="21" t="s">
        <v>95</v>
      </c>
      <c r="AL9660" s="21" t="s">
        <v>3955</v>
      </c>
      <c r="AM9660" s="21" t="s">
        <v>6923</v>
      </c>
      <c r="AN9660" s="21">
        <v>-122.411341533333</v>
      </c>
      <c r="AO9660" s="21">
        <v>37.803943449999998</v>
      </c>
      <c r="AP9660" s="21" t="s">
        <v>1915</v>
      </c>
    </row>
    <row r="9661" spans="1:42">
      <c r="A9661" s="1">
        <v>43859</v>
      </c>
      <c r="B9661" s="21">
        <v>3</v>
      </c>
      <c r="C9661" s="21">
        <v>230</v>
      </c>
      <c r="D9661" s="7">
        <v>14467</v>
      </c>
      <c r="E9661" s="7" t="s">
        <v>112</v>
      </c>
      <c r="F9661" s="21" t="s">
        <v>104</v>
      </c>
      <c r="G9661" s="21">
        <v>4</v>
      </c>
      <c r="H9661" s="21">
        <v>78</v>
      </c>
      <c r="I9661" s="21" t="s">
        <v>4243</v>
      </c>
      <c r="J9661" s="21"/>
      <c r="K9661" s="21" t="s">
        <v>324</v>
      </c>
      <c r="N9661" s="21" t="s">
        <v>44</v>
      </c>
      <c r="O9661" s="21">
        <f>130</f>
        <v>130</v>
      </c>
      <c r="Q9661" s="21">
        <f t="shared" si="202"/>
        <v>2</v>
      </c>
      <c r="R9661" s="21">
        <v>1</v>
      </c>
      <c r="S9661" s="21">
        <v>0</v>
      </c>
      <c r="T9661" s="21">
        <v>0</v>
      </c>
      <c r="U9661" s="21">
        <v>0</v>
      </c>
      <c r="V9661" s="21">
        <v>1</v>
      </c>
      <c r="W9661" s="21">
        <v>1</v>
      </c>
      <c r="X9661" s="21">
        <v>0</v>
      </c>
      <c r="Y9661" s="21">
        <v>0</v>
      </c>
      <c r="Z9661" s="21">
        <v>0</v>
      </c>
      <c r="AA9661" s="21">
        <v>0</v>
      </c>
      <c r="AB9661" s="21">
        <v>0</v>
      </c>
      <c r="AC9661" s="21">
        <v>0</v>
      </c>
      <c r="AD9661" s="21">
        <v>0</v>
      </c>
      <c r="AE9661" s="21">
        <v>0</v>
      </c>
      <c r="AF9661" s="21">
        <v>0</v>
      </c>
      <c r="AG9661" s="21">
        <v>0</v>
      </c>
      <c r="AH9661" s="21">
        <f t="shared" si="203"/>
        <v>160</v>
      </c>
      <c r="AJ9661" s="21" t="s">
        <v>6800</v>
      </c>
      <c r="AK9661" s="21" t="s">
        <v>52</v>
      </c>
      <c r="AL9661" s="21"/>
      <c r="AM9661" s="21" t="s">
        <v>6924</v>
      </c>
      <c r="AN9661" s="21">
        <v>-122.411017983333</v>
      </c>
      <c r="AO9661" s="21">
        <v>37.803984700000001</v>
      </c>
      <c r="AP9661" s="21" t="s">
        <v>1915</v>
      </c>
    </row>
    <row r="9662" spans="1:42">
      <c r="A9662" s="1">
        <v>43859</v>
      </c>
      <c r="B9662" s="21">
        <v>3</v>
      </c>
      <c r="C9662" s="21">
        <v>230</v>
      </c>
      <c r="D9662" s="7">
        <v>14467</v>
      </c>
      <c r="E9662" s="7" t="s">
        <v>112</v>
      </c>
      <c r="F9662" s="21" t="s">
        <v>104</v>
      </c>
      <c r="G9662" s="21">
        <v>4</v>
      </c>
      <c r="H9662" s="21">
        <v>79</v>
      </c>
      <c r="I9662" s="21" t="s">
        <v>6925</v>
      </c>
      <c r="J9662" s="21"/>
      <c r="K9662" s="21" t="s">
        <v>324</v>
      </c>
      <c r="N9662" s="21" t="s">
        <v>40</v>
      </c>
      <c r="O9662" s="21">
        <v>68</v>
      </c>
      <c r="Q9662" s="21">
        <f t="shared" si="202"/>
        <v>2</v>
      </c>
      <c r="R9662" s="21">
        <v>1</v>
      </c>
      <c r="S9662" s="21">
        <v>0</v>
      </c>
      <c r="T9662" s="21">
        <v>2</v>
      </c>
      <c r="U9662" s="21">
        <v>0</v>
      </c>
      <c r="V9662" s="21">
        <v>0</v>
      </c>
      <c r="W9662" s="21">
        <v>0</v>
      </c>
      <c r="X9662" s="21">
        <v>0</v>
      </c>
      <c r="Y9662" s="21">
        <v>0</v>
      </c>
      <c r="Z9662" s="21">
        <v>0</v>
      </c>
      <c r="AA9662" s="21">
        <v>0</v>
      </c>
      <c r="AB9662" s="21">
        <v>0</v>
      </c>
      <c r="AC9662" s="21">
        <v>0</v>
      </c>
      <c r="AD9662" s="21">
        <v>0</v>
      </c>
      <c r="AE9662" s="21">
        <v>0</v>
      </c>
      <c r="AF9662" s="21">
        <v>0</v>
      </c>
      <c r="AG9662" s="21">
        <v>0</v>
      </c>
      <c r="AH9662" s="21">
        <f t="shared" si="203"/>
        <v>40</v>
      </c>
      <c r="AJ9662" s="21"/>
      <c r="AK9662" s="21"/>
      <c r="AL9662" s="21"/>
      <c r="AM9662" s="21" t="s">
        <v>6926</v>
      </c>
      <c r="AN9662" s="21">
        <v>-122.4108852</v>
      </c>
      <c r="AO9662" s="21">
        <v>37.804045583333298</v>
      </c>
      <c r="AP9662" s="21" t="s">
        <v>1915</v>
      </c>
    </row>
    <row r="9663" spans="1:42">
      <c r="A9663" s="1">
        <v>43859</v>
      </c>
      <c r="B9663" s="21">
        <v>3</v>
      </c>
      <c r="C9663" s="21">
        <v>230</v>
      </c>
      <c r="D9663" s="7">
        <v>14467</v>
      </c>
      <c r="E9663" s="7" t="s">
        <v>112</v>
      </c>
      <c r="F9663" s="21" t="s">
        <v>104</v>
      </c>
      <c r="G9663" s="21">
        <v>4</v>
      </c>
      <c r="H9663" s="21">
        <v>80</v>
      </c>
      <c r="I9663" s="21" t="s">
        <v>6927</v>
      </c>
      <c r="J9663" s="21"/>
      <c r="K9663" s="21" t="s">
        <v>324</v>
      </c>
      <c r="N9663" s="21" t="s">
        <v>40</v>
      </c>
      <c r="O9663" s="21">
        <v>52</v>
      </c>
      <c r="Q9663" s="21">
        <f t="shared" si="202"/>
        <v>2</v>
      </c>
      <c r="R9663" s="21">
        <v>1</v>
      </c>
      <c r="S9663" s="21">
        <v>0</v>
      </c>
      <c r="T9663" s="21">
        <v>0</v>
      </c>
      <c r="U9663" s="21">
        <v>1</v>
      </c>
      <c r="V9663" s="21">
        <v>1</v>
      </c>
      <c r="W9663" s="21">
        <v>0</v>
      </c>
      <c r="X9663" s="21">
        <v>0</v>
      </c>
      <c r="Y9663" s="21">
        <v>0</v>
      </c>
      <c r="Z9663" s="21">
        <v>0</v>
      </c>
      <c r="AA9663" s="21">
        <v>0</v>
      </c>
      <c r="AB9663" s="21">
        <v>0</v>
      </c>
      <c r="AC9663" s="21">
        <v>0</v>
      </c>
      <c r="AD9663" s="21">
        <v>0</v>
      </c>
      <c r="AE9663" s="21">
        <v>0</v>
      </c>
      <c r="AF9663" s="21">
        <v>0</v>
      </c>
      <c r="AG9663" s="21">
        <v>0</v>
      </c>
      <c r="AH9663" s="21">
        <f t="shared" si="203"/>
        <v>96</v>
      </c>
      <c r="AJ9663" s="21" t="s">
        <v>6800</v>
      </c>
      <c r="AK9663" s="21" t="s">
        <v>52</v>
      </c>
      <c r="AL9663" s="21"/>
      <c r="AM9663" s="21" t="s">
        <v>6928</v>
      </c>
      <c r="AN9663" s="21">
        <v>-122.410599983333</v>
      </c>
      <c r="AO9663" s="21">
        <v>37.804118950000003</v>
      </c>
      <c r="AP9663" s="21" t="s">
        <v>1915</v>
      </c>
    </row>
    <row r="9664" spans="1:42">
      <c r="A9664" s="1">
        <v>43859</v>
      </c>
      <c r="B9664" s="21">
        <v>3</v>
      </c>
      <c r="C9664" s="21">
        <v>230</v>
      </c>
      <c r="D9664" s="7">
        <v>14467</v>
      </c>
      <c r="E9664" s="7" t="s">
        <v>112</v>
      </c>
      <c r="F9664" s="21" t="s">
        <v>104</v>
      </c>
      <c r="G9664" s="21">
        <v>4</v>
      </c>
      <c r="H9664" s="21">
        <v>81</v>
      </c>
      <c r="I9664" s="21" t="s">
        <v>6929</v>
      </c>
      <c r="J9664" s="21"/>
      <c r="K9664" s="21" t="s">
        <v>324</v>
      </c>
      <c r="N9664" s="21" t="s">
        <v>44</v>
      </c>
      <c r="O9664" s="21">
        <v>78</v>
      </c>
      <c r="Q9664" s="21">
        <f t="shared" si="202"/>
        <v>1</v>
      </c>
      <c r="R9664" s="21">
        <v>1</v>
      </c>
      <c r="S9664" s="21">
        <v>0</v>
      </c>
      <c r="T9664" s="21">
        <v>0</v>
      </c>
      <c r="U9664" s="21">
        <v>0</v>
      </c>
      <c r="V9664" s="21">
        <v>0</v>
      </c>
      <c r="W9664" s="21">
        <v>1</v>
      </c>
      <c r="X9664" s="21">
        <v>0</v>
      </c>
      <c r="Y9664" s="21">
        <v>0</v>
      </c>
      <c r="Z9664" s="21">
        <v>0</v>
      </c>
      <c r="AA9664" s="21">
        <v>0</v>
      </c>
      <c r="AB9664" s="21">
        <v>0</v>
      </c>
      <c r="AC9664" s="21">
        <v>0</v>
      </c>
      <c r="AD9664" s="21">
        <v>0</v>
      </c>
      <c r="AE9664" s="21">
        <v>0</v>
      </c>
      <c r="AF9664" s="21">
        <v>0</v>
      </c>
      <c r="AG9664" s="21">
        <v>0</v>
      </c>
      <c r="AH9664" s="21">
        <f t="shared" si="203"/>
        <v>96</v>
      </c>
      <c r="AJ9664" s="21" t="s">
        <v>6800</v>
      </c>
      <c r="AK9664" s="21" t="s">
        <v>52</v>
      </c>
      <c r="AL9664" s="21" t="s">
        <v>6930</v>
      </c>
      <c r="AM9664" s="21" t="s">
        <v>6931</v>
      </c>
      <c r="AN9664" s="21">
        <v>-122.410676666667</v>
      </c>
      <c r="AO9664" s="21">
        <v>37.804093366666599</v>
      </c>
      <c r="AP9664" s="21" t="s">
        <v>1915</v>
      </c>
    </row>
    <row r="9665" spans="1:42">
      <c r="A9665" s="1">
        <v>43859</v>
      </c>
      <c r="B9665" s="21">
        <v>3</v>
      </c>
      <c r="C9665" s="21">
        <v>230</v>
      </c>
      <c r="D9665" s="7">
        <v>14467</v>
      </c>
      <c r="E9665" s="7" t="s">
        <v>112</v>
      </c>
      <c r="F9665" s="21" t="s">
        <v>104</v>
      </c>
      <c r="G9665" s="21">
        <v>4</v>
      </c>
      <c r="H9665" s="21">
        <v>82</v>
      </c>
      <c r="I9665" s="21" t="s">
        <v>6932</v>
      </c>
      <c r="J9665" s="21"/>
      <c r="K9665" s="21" t="s">
        <v>324</v>
      </c>
      <c r="N9665" s="21" t="s">
        <v>40</v>
      </c>
      <c r="O9665" s="21">
        <v>32</v>
      </c>
      <c r="Q9665" s="21">
        <f t="shared" si="202"/>
        <v>2</v>
      </c>
      <c r="R9665" s="21">
        <v>1</v>
      </c>
      <c r="S9665" s="21">
        <v>0</v>
      </c>
      <c r="T9665" s="21">
        <v>2</v>
      </c>
      <c r="U9665" s="21">
        <v>0</v>
      </c>
      <c r="V9665" s="21">
        <v>0</v>
      </c>
      <c r="W9665" s="21">
        <v>0</v>
      </c>
      <c r="X9665" s="21">
        <v>0</v>
      </c>
      <c r="Y9665" s="21">
        <v>0</v>
      </c>
      <c r="Z9665" s="21">
        <v>0</v>
      </c>
      <c r="AA9665" s="21">
        <v>0</v>
      </c>
      <c r="AB9665" s="21">
        <v>0</v>
      </c>
      <c r="AC9665" s="21">
        <v>0</v>
      </c>
      <c r="AD9665" s="21">
        <v>0</v>
      </c>
      <c r="AE9665" s="21">
        <v>0</v>
      </c>
      <c r="AF9665" s="21">
        <v>0</v>
      </c>
      <c r="AG9665" s="21">
        <v>0</v>
      </c>
      <c r="AH9665" s="21">
        <f t="shared" si="203"/>
        <v>40</v>
      </c>
      <c r="AJ9665" s="21" t="s">
        <v>6800</v>
      </c>
      <c r="AK9665" s="21" t="s">
        <v>95</v>
      </c>
      <c r="AL9665" s="21"/>
      <c r="AM9665" s="21" t="s">
        <v>6933</v>
      </c>
      <c r="AN9665" s="21">
        <v>-122.410378616667</v>
      </c>
      <c r="AO9665" s="21">
        <v>37.804142433333297</v>
      </c>
      <c r="AP9665" s="21" t="s">
        <v>1915</v>
      </c>
    </row>
    <row r="9666" spans="1:42">
      <c r="A9666" s="1">
        <v>43859</v>
      </c>
      <c r="B9666" s="21">
        <v>3</v>
      </c>
      <c r="C9666" s="21">
        <v>230</v>
      </c>
      <c r="D9666" s="7">
        <v>14467</v>
      </c>
      <c r="E9666" s="7" t="s">
        <v>112</v>
      </c>
      <c r="F9666" s="21" t="s">
        <v>104</v>
      </c>
      <c r="G9666" s="21">
        <v>4</v>
      </c>
      <c r="H9666" s="21">
        <v>83</v>
      </c>
      <c r="I9666" s="21" t="s">
        <v>4296</v>
      </c>
      <c r="J9666" s="21"/>
      <c r="K9666" s="21" t="s">
        <v>324</v>
      </c>
      <c r="N9666" s="21" t="s">
        <v>40</v>
      </c>
      <c r="O9666" s="21">
        <v>46</v>
      </c>
      <c r="Q9666" s="21">
        <f t="shared" si="202"/>
        <v>2</v>
      </c>
      <c r="R9666" s="21">
        <v>1</v>
      </c>
      <c r="S9666" s="21">
        <v>0</v>
      </c>
      <c r="T9666" s="21">
        <v>0</v>
      </c>
      <c r="U9666" s="21">
        <v>1</v>
      </c>
      <c r="V9666" s="21">
        <v>0</v>
      </c>
      <c r="W9666" s="21">
        <v>1</v>
      </c>
      <c r="X9666" s="21">
        <v>0</v>
      </c>
      <c r="Y9666" s="21">
        <v>0</v>
      </c>
      <c r="Z9666" s="21">
        <v>0</v>
      </c>
      <c r="AA9666" s="21">
        <v>0</v>
      </c>
      <c r="AB9666" s="21">
        <v>0</v>
      </c>
      <c r="AC9666" s="21">
        <v>0</v>
      </c>
      <c r="AD9666" s="21">
        <v>0</v>
      </c>
      <c r="AE9666" s="21">
        <v>0</v>
      </c>
      <c r="AF9666" s="21">
        <v>0</v>
      </c>
      <c r="AG9666" s="21">
        <v>0</v>
      </c>
      <c r="AH9666" s="21">
        <f t="shared" si="203"/>
        <v>128</v>
      </c>
      <c r="AJ9666" s="21" t="s">
        <v>6800</v>
      </c>
      <c r="AK9666" s="21" t="s">
        <v>52</v>
      </c>
      <c r="AL9666" s="21"/>
      <c r="AM9666" s="21" t="s">
        <v>6934</v>
      </c>
      <c r="AN9666" s="21">
        <v>-122.41020608333299</v>
      </c>
      <c r="AO9666" s="21">
        <v>37.804182766666599</v>
      </c>
      <c r="AP9666" s="21" t="s">
        <v>1915</v>
      </c>
    </row>
    <row r="9667" spans="1:42">
      <c r="A9667" s="1">
        <v>43859</v>
      </c>
      <c r="B9667" s="21">
        <v>3</v>
      </c>
      <c r="C9667" s="21">
        <v>230</v>
      </c>
      <c r="D9667" s="7">
        <v>14467</v>
      </c>
      <c r="E9667" s="7" t="s">
        <v>112</v>
      </c>
      <c r="F9667" s="21" t="s">
        <v>104</v>
      </c>
      <c r="G9667" s="21">
        <v>4</v>
      </c>
      <c r="H9667" s="21">
        <v>84</v>
      </c>
      <c r="I9667" s="21" t="s">
        <v>6935</v>
      </c>
      <c r="J9667" s="21"/>
      <c r="K9667" s="21" t="s">
        <v>213</v>
      </c>
      <c r="N9667" s="21" t="s">
        <v>40</v>
      </c>
      <c r="O9667" s="21">
        <v>27</v>
      </c>
      <c r="Q9667" s="21">
        <f t="shared" si="202"/>
        <v>1</v>
      </c>
      <c r="R9667" s="21">
        <v>1</v>
      </c>
      <c r="S9667" s="21">
        <v>0</v>
      </c>
      <c r="T9667" s="21">
        <v>0</v>
      </c>
      <c r="U9667" s="21">
        <v>1</v>
      </c>
      <c r="V9667" s="21">
        <v>0</v>
      </c>
      <c r="W9667" s="21">
        <v>0</v>
      </c>
      <c r="X9667" s="21">
        <v>0</v>
      </c>
      <c r="Y9667" s="21">
        <v>0</v>
      </c>
      <c r="Z9667" s="21">
        <v>0</v>
      </c>
      <c r="AA9667" s="21">
        <v>0</v>
      </c>
      <c r="AB9667" s="21">
        <v>0</v>
      </c>
      <c r="AC9667" s="21">
        <v>0</v>
      </c>
      <c r="AD9667" s="21">
        <v>0</v>
      </c>
      <c r="AE9667" s="21">
        <v>0</v>
      </c>
      <c r="AF9667" s="21">
        <v>0</v>
      </c>
      <c r="AG9667" s="21">
        <v>0</v>
      </c>
      <c r="AH9667" s="21">
        <f t="shared" si="203"/>
        <v>32</v>
      </c>
      <c r="AJ9667" s="21" t="s">
        <v>6800</v>
      </c>
      <c r="AK9667" s="21" t="s">
        <v>52</v>
      </c>
      <c r="AL9667" s="21"/>
      <c r="AM9667" s="21" t="s">
        <v>6936</v>
      </c>
      <c r="AN9667" s="21">
        <v>-122.410026183333</v>
      </c>
      <c r="AO9667" s="21">
        <v>37.8023255833333</v>
      </c>
      <c r="AP9667" s="21" t="s">
        <v>1915</v>
      </c>
    </row>
    <row r="9668" spans="1:42">
      <c r="A9668" s="1">
        <v>43859</v>
      </c>
      <c r="B9668" s="21">
        <v>3</v>
      </c>
      <c r="C9668" s="21">
        <v>230</v>
      </c>
      <c r="D9668" s="7">
        <v>14467</v>
      </c>
      <c r="E9668" s="7" t="s">
        <v>112</v>
      </c>
      <c r="F9668" s="21" t="s">
        <v>104</v>
      </c>
      <c r="G9668" s="21">
        <v>4</v>
      </c>
      <c r="H9668" s="21">
        <v>85</v>
      </c>
      <c r="I9668" s="21" t="s">
        <v>6937</v>
      </c>
      <c r="J9668" s="21"/>
      <c r="K9668" s="21" t="s">
        <v>213</v>
      </c>
      <c r="N9668" s="21" t="s">
        <v>40</v>
      </c>
      <c r="O9668" s="21">
        <v>32</v>
      </c>
      <c r="Q9668" s="21">
        <f t="shared" si="202"/>
        <v>0</v>
      </c>
      <c r="R9668" s="21">
        <v>1</v>
      </c>
      <c r="S9668" s="21">
        <v>0</v>
      </c>
      <c r="T9668" s="21">
        <v>0</v>
      </c>
      <c r="U9668" s="21">
        <v>0</v>
      </c>
      <c r="V9668" s="21">
        <v>0</v>
      </c>
      <c r="W9668" s="21">
        <v>0</v>
      </c>
      <c r="X9668" s="21">
        <v>0</v>
      </c>
      <c r="Y9668" s="21">
        <v>0</v>
      </c>
      <c r="Z9668" s="21">
        <v>0</v>
      </c>
      <c r="AA9668" s="21">
        <v>0</v>
      </c>
      <c r="AB9668" s="21">
        <v>0</v>
      </c>
      <c r="AC9668" s="21">
        <v>0</v>
      </c>
      <c r="AD9668" s="21">
        <v>0</v>
      </c>
      <c r="AE9668" s="21">
        <v>0</v>
      </c>
      <c r="AF9668" s="21">
        <v>0</v>
      </c>
      <c r="AG9668" s="21">
        <v>0</v>
      </c>
      <c r="AH9668" s="21">
        <f t="shared" si="203"/>
        <v>0</v>
      </c>
      <c r="AJ9668" s="21"/>
      <c r="AK9668" s="21"/>
      <c r="AL9668" s="21"/>
      <c r="AM9668" s="21" t="s">
        <v>6938</v>
      </c>
      <c r="AN9668" s="21">
        <v>-122.410070566667</v>
      </c>
      <c r="AO9668" s="21">
        <v>37.802334733333304</v>
      </c>
      <c r="AP9668" s="21" t="s">
        <v>1915</v>
      </c>
    </row>
    <row r="9669" spans="1:42">
      <c r="A9669" s="1">
        <v>43859</v>
      </c>
      <c r="B9669" s="21">
        <v>3</v>
      </c>
      <c r="C9669" s="21">
        <v>230</v>
      </c>
      <c r="D9669" s="7">
        <v>14467</v>
      </c>
      <c r="E9669" s="7" t="s">
        <v>112</v>
      </c>
      <c r="F9669" s="21" t="s">
        <v>104</v>
      </c>
      <c r="G9669" s="21">
        <v>4</v>
      </c>
      <c r="H9669" s="21">
        <v>86</v>
      </c>
      <c r="I9669" s="21" t="s">
        <v>6939</v>
      </c>
      <c r="J9669" s="21"/>
      <c r="K9669" s="21" t="s">
        <v>213</v>
      </c>
      <c r="N9669" s="21" t="s">
        <v>40</v>
      </c>
      <c r="O9669" s="21">
        <f>60+44</f>
        <v>104</v>
      </c>
      <c r="Q9669" s="21">
        <f t="shared" si="202"/>
        <v>3</v>
      </c>
      <c r="R9669" s="21">
        <v>1</v>
      </c>
      <c r="S9669" s="21">
        <v>0</v>
      </c>
      <c r="T9669" s="21">
        <v>0</v>
      </c>
      <c r="U9669" s="21">
        <v>1</v>
      </c>
      <c r="V9669" s="21">
        <v>0</v>
      </c>
      <c r="W9669" s="21">
        <v>2</v>
      </c>
      <c r="X9669" s="21">
        <v>0</v>
      </c>
      <c r="Y9669" s="21">
        <v>0</v>
      </c>
      <c r="Z9669" s="21">
        <v>0</v>
      </c>
      <c r="AA9669" s="21">
        <v>0</v>
      </c>
      <c r="AB9669" s="21">
        <v>0</v>
      </c>
      <c r="AC9669" s="21">
        <v>0</v>
      </c>
      <c r="AD9669" s="21">
        <v>0</v>
      </c>
      <c r="AE9669" s="21">
        <v>0</v>
      </c>
      <c r="AF9669" s="21">
        <v>0</v>
      </c>
      <c r="AG9669" s="21">
        <v>0</v>
      </c>
      <c r="AH9669" s="21">
        <f t="shared" si="203"/>
        <v>224</v>
      </c>
      <c r="AJ9669" s="21" t="s">
        <v>6800</v>
      </c>
      <c r="AK9669" s="21" t="s">
        <v>52</v>
      </c>
      <c r="AL9669" s="21"/>
      <c r="AM9669" s="21" t="s">
        <v>6940</v>
      </c>
      <c r="AN9669" s="21">
        <v>-122.410274766667</v>
      </c>
      <c r="AO9669" s="21">
        <v>37.80227635</v>
      </c>
      <c r="AP9669" s="21" t="s">
        <v>1915</v>
      </c>
    </row>
    <row r="9670" spans="1:42">
      <c r="A9670" s="1">
        <v>43859</v>
      </c>
      <c r="B9670" s="21">
        <v>3</v>
      </c>
      <c r="C9670" s="21">
        <v>230</v>
      </c>
      <c r="D9670" s="7">
        <v>14467</v>
      </c>
      <c r="E9670" s="7" t="s">
        <v>112</v>
      </c>
      <c r="F9670" s="21" t="s">
        <v>104</v>
      </c>
      <c r="G9670" s="21">
        <v>4</v>
      </c>
      <c r="H9670" s="21">
        <v>87</v>
      </c>
      <c r="I9670" s="21" t="s">
        <v>6941</v>
      </c>
      <c r="J9670" s="21"/>
      <c r="K9670" s="21" t="s">
        <v>213</v>
      </c>
      <c r="N9670" s="21" t="s">
        <v>44</v>
      </c>
      <c r="O9670" s="21">
        <f>60+52</f>
        <v>112</v>
      </c>
      <c r="Q9670" s="21">
        <f t="shared" si="202"/>
        <v>1</v>
      </c>
      <c r="R9670" s="21">
        <v>1</v>
      </c>
      <c r="S9670" s="21">
        <v>0</v>
      </c>
      <c r="T9670" s="21">
        <v>0</v>
      </c>
      <c r="U9670" s="21">
        <v>0</v>
      </c>
      <c r="V9670" s="21">
        <v>1</v>
      </c>
      <c r="W9670" s="21">
        <v>0</v>
      </c>
      <c r="X9670" s="21">
        <v>0</v>
      </c>
      <c r="Y9670" s="21">
        <v>0</v>
      </c>
      <c r="Z9670" s="21">
        <v>0</v>
      </c>
      <c r="AA9670" s="21">
        <v>0</v>
      </c>
      <c r="AB9670" s="21">
        <v>0</v>
      </c>
      <c r="AC9670" s="21">
        <v>0</v>
      </c>
      <c r="AD9670" s="21">
        <v>0</v>
      </c>
      <c r="AE9670" s="21">
        <v>0</v>
      </c>
      <c r="AF9670" s="21">
        <v>0</v>
      </c>
      <c r="AG9670" s="21">
        <v>0</v>
      </c>
      <c r="AH9670" s="21">
        <f t="shared" si="203"/>
        <v>64</v>
      </c>
      <c r="AJ9670" s="21" t="s">
        <v>6800</v>
      </c>
      <c r="AK9670" s="21" t="s">
        <v>52</v>
      </c>
      <c r="AL9670" s="21" t="s">
        <v>6942</v>
      </c>
      <c r="AM9670" s="21" t="s">
        <v>6943</v>
      </c>
      <c r="AN9670" s="21">
        <v>-122.410380816667</v>
      </c>
      <c r="AO9670" s="21">
        <v>37.80225755</v>
      </c>
      <c r="AP9670" s="21" t="s">
        <v>1915</v>
      </c>
    </row>
    <row r="9671" spans="1:42">
      <c r="A9671" s="1">
        <v>43859</v>
      </c>
      <c r="B9671" s="21">
        <v>3</v>
      </c>
      <c r="C9671" s="21">
        <v>230</v>
      </c>
      <c r="D9671" s="7">
        <v>14467</v>
      </c>
      <c r="E9671" s="7" t="s">
        <v>112</v>
      </c>
      <c r="F9671" s="21" t="s">
        <v>104</v>
      </c>
      <c r="G9671" s="21">
        <v>4</v>
      </c>
      <c r="H9671" s="21">
        <v>88</v>
      </c>
      <c r="I9671" s="21" t="s">
        <v>6944</v>
      </c>
      <c r="J9671" s="21"/>
      <c r="K9671" s="21" t="s">
        <v>213</v>
      </c>
      <c r="N9671" s="21" t="s">
        <v>40</v>
      </c>
      <c r="O9671" s="21">
        <f>120+45</f>
        <v>165</v>
      </c>
      <c r="Q9671" s="21">
        <f t="shared" si="202"/>
        <v>4</v>
      </c>
      <c r="R9671" s="21">
        <v>1</v>
      </c>
      <c r="S9671" s="21">
        <v>2</v>
      </c>
      <c r="T9671" s="21">
        <v>1</v>
      </c>
      <c r="U9671" s="21">
        <v>1</v>
      </c>
      <c r="V9671" s="21">
        <v>0</v>
      </c>
      <c r="W9671" s="21">
        <v>0</v>
      </c>
      <c r="X9671" s="21">
        <v>0</v>
      </c>
      <c r="Y9671" s="21">
        <v>0</v>
      </c>
      <c r="Z9671" s="21">
        <v>0</v>
      </c>
      <c r="AA9671" s="21">
        <v>0</v>
      </c>
      <c r="AB9671" s="21">
        <v>0</v>
      </c>
      <c r="AC9671" s="21">
        <v>0</v>
      </c>
      <c r="AD9671" s="21">
        <v>0</v>
      </c>
      <c r="AE9671" s="21">
        <v>0</v>
      </c>
      <c r="AF9671" s="21">
        <v>0</v>
      </c>
      <c r="AG9671" s="21">
        <v>0</v>
      </c>
      <c r="AH9671" s="21">
        <f t="shared" si="203"/>
        <v>84</v>
      </c>
      <c r="AJ9671" s="21" t="s">
        <v>6800</v>
      </c>
      <c r="AK9671" s="21" t="s">
        <v>52</v>
      </c>
      <c r="AL9671" s="21"/>
      <c r="AM9671" s="21" t="s">
        <v>6945</v>
      </c>
      <c r="AN9671" s="21">
        <v>-122.410577533333</v>
      </c>
      <c r="AO9671" s="21">
        <v>37.8021201166667</v>
      </c>
      <c r="AP9671" s="21" t="s">
        <v>1915</v>
      </c>
    </row>
    <row r="9672" spans="1:42">
      <c r="A9672" s="1">
        <v>43859</v>
      </c>
      <c r="B9672" s="21">
        <v>3</v>
      </c>
      <c r="C9672" s="21">
        <v>230</v>
      </c>
      <c r="D9672" s="7">
        <v>14467</v>
      </c>
      <c r="E9672" s="7" t="s">
        <v>112</v>
      </c>
      <c r="F9672" s="21" t="s">
        <v>104</v>
      </c>
      <c r="G9672" s="21">
        <v>4</v>
      </c>
      <c r="H9672" s="21">
        <v>89</v>
      </c>
      <c r="I9672" s="21" t="s">
        <v>6946</v>
      </c>
      <c r="J9672" s="21"/>
      <c r="K9672" s="21" t="s">
        <v>213</v>
      </c>
      <c r="N9672" s="21" t="s">
        <v>40</v>
      </c>
      <c r="O9672" s="21">
        <f>120+36</f>
        <v>156</v>
      </c>
      <c r="Q9672" s="21">
        <f t="shared" si="202"/>
        <v>7</v>
      </c>
      <c r="R9672" s="21">
        <v>1</v>
      </c>
      <c r="S9672" s="21">
        <v>2</v>
      </c>
      <c r="T9672" s="21">
        <v>0</v>
      </c>
      <c r="U9672" s="21">
        <v>4</v>
      </c>
      <c r="V9672" s="21">
        <v>1</v>
      </c>
      <c r="W9672" s="21">
        <v>0</v>
      </c>
      <c r="X9672" s="21">
        <v>0</v>
      </c>
      <c r="Y9672" s="21">
        <v>0</v>
      </c>
      <c r="Z9672" s="21">
        <v>0</v>
      </c>
      <c r="AA9672" s="21">
        <v>0</v>
      </c>
      <c r="AB9672" s="21">
        <v>0</v>
      </c>
      <c r="AC9672" s="21">
        <v>0</v>
      </c>
      <c r="AD9672" s="21">
        <v>0</v>
      </c>
      <c r="AE9672" s="21">
        <v>0</v>
      </c>
      <c r="AF9672" s="21">
        <v>0</v>
      </c>
      <c r="AG9672" s="21">
        <v>0</v>
      </c>
      <c r="AH9672" s="21">
        <f t="shared" si="203"/>
        <v>224</v>
      </c>
      <c r="AJ9672" s="21" t="s">
        <v>6800</v>
      </c>
      <c r="AK9672" s="21" t="s">
        <v>52</v>
      </c>
      <c r="AL9672" s="21" t="s">
        <v>6947</v>
      </c>
      <c r="AM9672" s="21" t="s">
        <v>6948</v>
      </c>
      <c r="AN9672" s="21">
        <v>-122.410720833333</v>
      </c>
      <c r="AO9672" s="21">
        <v>37.802102683333302</v>
      </c>
      <c r="AP9672" s="21" t="s">
        <v>1915</v>
      </c>
    </row>
    <row r="9673" spans="1:42">
      <c r="A9673" s="1">
        <v>43859</v>
      </c>
      <c r="B9673" s="21">
        <v>3</v>
      </c>
      <c r="C9673" s="21">
        <v>230</v>
      </c>
      <c r="D9673" s="7">
        <v>14467</v>
      </c>
      <c r="E9673" s="7" t="s">
        <v>112</v>
      </c>
      <c r="F9673" s="21" t="s">
        <v>104</v>
      </c>
      <c r="G9673" s="21">
        <v>4</v>
      </c>
      <c r="H9673" s="21">
        <v>90</v>
      </c>
      <c r="I9673" s="21" t="s">
        <v>6949</v>
      </c>
      <c r="J9673" s="21"/>
      <c r="K9673" s="21" t="s">
        <v>213</v>
      </c>
      <c r="N9673" s="21" t="s">
        <v>44</v>
      </c>
      <c r="O9673" s="21">
        <f>120+42</f>
        <v>162</v>
      </c>
      <c r="Q9673" s="21">
        <f t="shared" si="202"/>
        <v>2</v>
      </c>
      <c r="R9673" s="21">
        <v>1</v>
      </c>
      <c r="S9673" s="21">
        <v>0</v>
      </c>
      <c r="T9673" s="21">
        <v>0</v>
      </c>
      <c r="U9673" s="21">
        <v>0</v>
      </c>
      <c r="V9673" s="21">
        <v>2</v>
      </c>
      <c r="W9673" s="21">
        <v>0</v>
      </c>
      <c r="X9673" s="21">
        <v>0</v>
      </c>
      <c r="Y9673" s="21">
        <v>0</v>
      </c>
      <c r="Z9673" s="21">
        <v>0</v>
      </c>
      <c r="AA9673" s="21">
        <v>0</v>
      </c>
      <c r="AB9673" s="21">
        <v>0</v>
      </c>
      <c r="AC9673" s="21">
        <v>0</v>
      </c>
      <c r="AD9673" s="21">
        <v>0</v>
      </c>
      <c r="AE9673" s="21">
        <v>0</v>
      </c>
      <c r="AF9673" s="21">
        <v>0</v>
      </c>
      <c r="AG9673" s="21">
        <v>0</v>
      </c>
      <c r="AH9673" s="21">
        <f t="shared" si="203"/>
        <v>128</v>
      </c>
      <c r="AJ9673" s="21" t="s">
        <v>6790</v>
      </c>
      <c r="AK9673" s="21" t="s">
        <v>95</v>
      </c>
      <c r="AL9673" s="21" t="s">
        <v>6950</v>
      </c>
      <c r="AM9673" s="21" t="s">
        <v>6951</v>
      </c>
      <c r="AN9673" s="21">
        <v>-122.41193586666699</v>
      </c>
      <c r="AO9673" s="21">
        <v>37.801945233333299</v>
      </c>
      <c r="AP9673" s="21" t="s">
        <v>1915</v>
      </c>
    </row>
    <row r="9674" spans="1:42">
      <c r="A9674" s="1">
        <v>43859</v>
      </c>
      <c r="B9674" s="21">
        <v>3</v>
      </c>
      <c r="C9674" s="21">
        <v>230</v>
      </c>
      <c r="D9674" s="7">
        <v>14467</v>
      </c>
      <c r="E9674" s="7" t="s">
        <v>112</v>
      </c>
      <c r="F9674" s="21" t="s">
        <v>104</v>
      </c>
      <c r="G9674" s="21">
        <v>4</v>
      </c>
      <c r="H9674" s="21">
        <v>91</v>
      </c>
      <c r="I9674" s="21" t="s">
        <v>6640</v>
      </c>
      <c r="J9674" s="21"/>
      <c r="K9674" s="21" t="s">
        <v>213</v>
      </c>
      <c r="N9674" s="21" t="s">
        <v>44</v>
      </c>
      <c r="O9674" s="21">
        <f>60+37</f>
        <v>97</v>
      </c>
      <c r="Q9674" s="21">
        <f t="shared" si="202"/>
        <v>2</v>
      </c>
      <c r="R9674" s="21">
        <v>1</v>
      </c>
      <c r="S9674" s="21">
        <v>0</v>
      </c>
      <c r="T9674" s="21">
        <v>0</v>
      </c>
      <c r="U9674" s="21">
        <v>1</v>
      </c>
      <c r="V9674" s="21">
        <v>0</v>
      </c>
      <c r="W9674" s="21">
        <v>1</v>
      </c>
      <c r="X9674" s="21">
        <v>0</v>
      </c>
      <c r="Y9674" s="21">
        <v>0</v>
      </c>
      <c r="Z9674" s="21">
        <v>0</v>
      </c>
      <c r="AA9674" s="21">
        <v>0</v>
      </c>
      <c r="AB9674" s="21">
        <v>0</v>
      </c>
      <c r="AC9674" s="21">
        <v>0</v>
      </c>
      <c r="AD9674" s="21">
        <v>0</v>
      </c>
      <c r="AE9674" s="21">
        <v>0</v>
      </c>
      <c r="AF9674" s="21">
        <v>0</v>
      </c>
      <c r="AG9674" s="21">
        <v>0</v>
      </c>
      <c r="AH9674" s="21">
        <f t="shared" si="203"/>
        <v>128</v>
      </c>
      <c r="AJ9674" s="21" t="s">
        <v>6800</v>
      </c>
      <c r="AK9674" s="21" t="s">
        <v>52</v>
      </c>
      <c r="AL9674" s="21"/>
      <c r="AM9674" s="21" t="s">
        <v>6952</v>
      </c>
      <c r="AN9674" s="21">
        <v>-122.411031366667</v>
      </c>
      <c r="AO9674" s="21">
        <v>37.8023590833333</v>
      </c>
      <c r="AP9674" s="21" t="s">
        <v>1915</v>
      </c>
    </row>
    <row r="9675" spans="1:42">
      <c r="A9675" s="1">
        <v>43859</v>
      </c>
      <c r="B9675" s="21">
        <v>3</v>
      </c>
      <c r="C9675" s="21">
        <v>230</v>
      </c>
      <c r="D9675" s="7">
        <v>14467</v>
      </c>
      <c r="E9675" s="7" t="s">
        <v>112</v>
      </c>
      <c r="F9675" s="21" t="s">
        <v>104</v>
      </c>
      <c r="G9675" s="21">
        <v>4</v>
      </c>
      <c r="H9675" s="21">
        <v>92</v>
      </c>
      <c r="I9675" s="21" t="s">
        <v>6953</v>
      </c>
      <c r="J9675" s="21"/>
      <c r="K9675" s="21" t="s">
        <v>213</v>
      </c>
      <c r="N9675" s="21" t="s">
        <v>40</v>
      </c>
      <c r="O9675" s="21">
        <v>45</v>
      </c>
      <c r="Q9675" s="21">
        <f t="shared" si="202"/>
        <v>2</v>
      </c>
      <c r="R9675" s="21">
        <v>1</v>
      </c>
      <c r="S9675" s="21">
        <v>0</v>
      </c>
      <c r="T9675" s="21">
        <v>1</v>
      </c>
      <c r="U9675" s="21">
        <v>1</v>
      </c>
      <c r="V9675" s="21">
        <v>0</v>
      </c>
      <c r="W9675" s="21">
        <v>0</v>
      </c>
      <c r="X9675" s="21">
        <v>0</v>
      </c>
      <c r="Y9675" s="21">
        <v>0</v>
      </c>
      <c r="Z9675" s="21">
        <v>0</v>
      </c>
      <c r="AA9675" s="21">
        <v>0</v>
      </c>
      <c r="AB9675" s="21">
        <v>0</v>
      </c>
      <c r="AC9675" s="21">
        <v>0</v>
      </c>
      <c r="AD9675" s="21">
        <v>0</v>
      </c>
      <c r="AE9675" s="21">
        <v>0</v>
      </c>
      <c r="AF9675" s="21">
        <v>0</v>
      </c>
      <c r="AG9675" s="21">
        <v>0</v>
      </c>
      <c r="AH9675" s="21">
        <f t="shared" si="203"/>
        <v>52</v>
      </c>
      <c r="AJ9675" s="21"/>
      <c r="AK9675" s="21"/>
      <c r="AL9675" s="21"/>
      <c r="AM9675" s="21" t="s">
        <v>6954</v>
      </c>
      <c r="AN9675" s="21">
        <v>-122.410766516667</v>
      </c>
      <c r="AO9675" s="21">
        <v>37.802143733333303</v>
      </c>
      <c r="AP9675" s="21" t="s">
        <v>1915</v>
      </c>
    </row>
    <row r="9676" spans="1:42">
      <c r="A9676" s="1">
        <v>43859</v>
      </c>
      <c r="B9676" s="21">
        <v>3</v>
      </c>
      <c r="C9676" s="21">
        <v>230</v>
      </c>
      <c r="D9676" s="7">
        <v>14467</v>
      </c>
      <c r="E9676" s="7" t="s">
        <v>112</v>
      </c>
      <c r="F9676" s="21" t="s">
        <v>104</v>
      </c>
      <c r="G9676" s="21">
        <v>4</v>
      </c>
      <c r="H9676" s="21">
        <v>93</v>
      </c>
      <c r="I9676" s="21" t="s">
        <v>3340</v>
      </c>
      <c r="J9676" s="21"/>
      <c r="K9676" s="21" t="s">
        <v>213</v>
      </c>
      <c r="N9676" s="21" t="s">
        <v>42</v>
      </c>
      <c r="O9676" s="21">
        <f>120+123</f>
        <v>243</v>
      </c>
      <c r="Q9676" s="21">
        <f t="shared" si="202"/>
        <v>7</v>
      </c>
      <c r="R9676" s="21">
        <v>1</v>
      </c>
      <c r="S9676" s="21">
        <v>3</v>
      </c>
      <c r="T9676" s="21">
        <v>1</v>
      </c>
      <c r="U9676" s="21">
        <v>3</v>
      </c>
      <c r="V9676" s="21">
        <v>0</v>
      </c>
      <c r="W9676" s="21">
        <v>0</v>
      </c>
      <c r="X9676" s="21">
        <v>0</v>
      </c>
      <c r="Y9676" s="21">
        <v>0</v>
      </c>
      <c r="Z9676" s="21">
        <v>0</v>
      </c>
      <c r="AA9676" s="21">
        <v>0</v>
      </c>
      <c r="AB9676" s="21">
        <v>0</v>
      </c>
      <c r="AC9676" s="21">
        <v>0</v>
      </c>
      <c r="AD9676" s="21">
        <v>0</v>
      </c>
      <c r="AE9676" s="21">
        <v>0</v>
      </c>
      <c r="AF9676" s="21">
        <v>0</v>
      </c>
      <c r="AG9676" s="21">
        <v>0</v>
      </c>
      <c r="AH9676" s="21">
        <f t="shared" si="203"/>
        <v>164</v>
      </c>
      <c r="AJ9676" s="21" t="s">
        <v>6800</v>
      </c>
      <c r="AK9676" s="21" t="s">
        <v>52</v>
      </c>
      <c r="AL9676" s="21" t="s">
        <v>6955</v>
      </c>
      <c r="AM9676" s="21" t="s">
        <v>6956</v>
      </c>
      <c r="AN9676" s="21">
        <v>-122.410624966667</v>
      </c>
      <c r="AO9676" s="21">
        <v>37.802118716666698</v>
      </c>
      <c r="AP9676" s="21" t="s">
        <v>1915</v>
      </c>
    </row>
    <row r="9677" spans="1:42">
      <c r="A9677" s="1">
        <v>43859</v>
      </c>
      <c r="B9677" s="21">
        <v>3</v>
      </c>
      <c r="C9677" s="21">
        <v>230</v>
      </c>
      <c r="D9677" s="7">
        <v>14467</v>
      </c>
      <c r="E9677" s="7" t="s">
        <v>112</v>
      </c>
      <c r="F9677" s="21" t="s">
        <v>104</v>
      </c>
      <c r="G9677" s="21">
        <v>4</v>
      </c>
      <c r="H9677" s="21">
        <v>94</v>
      </c>
      <c r="I9677" s="21" t="s">
        <v>6957</v>
      </c>
      <c r="J9677" s="21"/>
      <c r="K9677" s="21" t="s">
        <v>213</v>
      </c>
      <c r="N9677" s="21" t="s">
        <v>40</v>
      </c>
      <c r="O9677" s="21">
        <v>41</v>
      </c>
      <c r="Q9677" s="21">
        <f t="shared" si="202"/>
        <v>2</v>
      </c>
      <c r="R9677" s="21">
        <v>1</v>
      </c>
      <c r="S9677" s="21">
        <v>0</v>
      </c>
      <c r="T9677" s="21">
        <v>0</v>
      </c>
      <c r="U9677" s="21">
        <v>2</v>
      </c>
      <c r="V9677" s="21">
        <v>0</v>
      </c>
      <c r="W9677" s="21">
        <v>0</v>
      </c>
      <c r="X9677" s="21">
        <v>0</v>
      </c>
      <c r="Y9677" s="21">
        <v>0</v>
      </c>
      <c r="Z9677" s="21">
        <v>0</v>
      </c>
      <c r="AA9677" s="21">
        <v>0</v>
      </c>
      <c r="AB9677" s="21">
        <v>0</v>
      </c>
      <c r="AC9677" s="21">
        <v>0</v>
      </c>
      <c r="AD9677" s="21">
        <v>0</v>
      </c>
      <c r="AE9677" s="21">
        <v>0</v>
      </c>
      <c r="AF9677" s="21">
        <v>0</v>
      </c>
      <c r="AG9677" s="21">
        <v>0</v>
      </c>
      <c r="AH9677" s="21">
        <f t="shared" si="203"/>
        <v>64</v>
      </c>
      <c r="AJ9677" s="21"/>
      <c r="AK9677" s="21"/>
      <c r="AL9677" s="21"/>
      <c r="AM9677" s="21" t="s">
        <v>6958</v>
      </c>
      <c r="AN9677" s="21">
        <v>-122.4103667</v>
      </c>
      <c r="AO9677" s="21">
        <v>37.802144583333302</v>
      </c>
      <c r="AP9677" s="21" t="s">
        <v>1915</v>
      </c>
    </row>
    <row r="9678" spans="1:42">
      <c r="A9678" s="1">
        <v>43859</v>
      </c>
      <c r="B9678" s="21">
        <v>3</v>
      </c>
      <c r="C9678" s="21">
        <v>230</v>
      </c>
      <c r="D9678" s="7">
        <v>14467</v>
      </c>
      <c r="E9678" s="7" t="s">
        <v>112</v>
      </c>
      <c r="F9678" s="21" t="s">
        <v>104</v>
      </c>
      <c r="G9678" s="21">
        <v>4</v>
      </c>
      <c r="H9678" s="21">
        <v>95</v>
      </c>
      <c r="I9678" s="21" t="s">
        <v>3340</v>
      </c>
      <c r="J9678" s="21"/>
      <c r="K9678" s="21" t="s">
        <v>213</v>
      </c>
      <c r="N9678" s="21" t="s">
        <v>40</v>
      </c>
      <c r="O9678" s="21">
        <v>41</v>
      </c>
      <c r="Q9678" s="21">
        <f t="shared" si="202"/>
        <v>1</v>
      </c>
      <c r="R9678" s="21">
        <v>1</v>
      </c>
      <c r="S9678" s="21">
        <v>0</v>
      </c>
      <c r="T9678" s="21">
        <v>0</v>
      </c>
      <c r="U9678" s="21">
        <v>1</v>
      </c>
      <c r="V9678" s="21">
        <v>0</v>
      </c>
      <c r="W9678" s="21">
        <v>0</v>
      </c>
      <c r="X9678" s="21">
        <v>0</v>
      </c>
      <c r="Y9678" s="21">
        <v>0</v>
      </c>
      <c r="Z9678" s="21">
        <v>0</v>
      </c>
      <c r="AA9678" s="21">
        <v>0</v>
      </c>
      <c r="AB9678" s="21">
        <v>0</v>
      </c>
      <c r="AC9678" s="21">
        <v>0</v>
      </c>
      <c r="AD9678" s="21">
        <v>0</v>
      </c>
      <c r="AE9678" s="21">
        <v>0</v>
      </c>
      <c r="AF9678" s="21">
        <v>0</v>
      </c>
      <c r="AG9678" s="21">
        <v>0</v>
      </c>
      <c r="AH9678" s="21">
        <f t="shared" si="203"/>
        <v>32</v>
      </c>
      <c r="AJ9678" s="21"/>
      <c r="AK9678" s="21"/>
      <c r="AL9678" s="21"/>
      <c r="AM9678" s="21" t="s">
        <v>6959</v>
      </c>
      <c r="AN9678" s="21">
        <v>-122.4101725</v>
      </c>
      <c r="AO9678" s="21">
        <v>37.802153349999998</v>
      </c>
      <c r="AP9678" s="21" t="s">
        <v>1915</v>
      </c>
    </row>
    <row r="9679" spans="1:42">
      <c r="A9679" s="1">
        <v>43859</v>
      </c>
      <c r="B9679" s="21">
        <v>3</v>
      </c>
      <c r="C9679" s="21">
        <v>230</v>
      </c>
      <c r="D9679" s="7">
        <v>14467</v>
      </c>
      <c r="E9679" s="7" t="s">
        <v>112</v>
      </c>
      <c r="F9679" s="21" t="s">
        <v>104</v>
      </c>
      <c r="G9679" s="21">
        <v>4</v>
      </c>
      <c r="H9679" s="21">
        <v>96</v>
      </c>
      <c r="I9679" s="21" t="s">
        <v>6960</v>
      </c>
      <c r="J9679" s="21" t="s">
        <v>2044</v>
      </c>
      <c r="K9679" s="21" t="s">
        <v>213</v>
      </c>
      <c r="N9679" s="21" t="s">
        <v>44</v>
      </c>
      <c r="O9679" s="21">
        <f>60+44</f>
        <v>104</v>
      </c>
      <c r="Q9679" s="21">
        <f t="shared" si="202"/>
        <v>2</v>
      </c>
      <c r="R9679" s="21">
        <v>1</v>
      </c>
      <c r="S9679" s="21">
        <v>0</v>
      </c>
      <c r="T9679" s="21">
        <v>0</v>
      </c>
      <c r="U9679" s="21">
        <v>0</v>
      </c>
      <c r="V9679" s="21">
        <v>1</v>
      </c>
      <c r="W9679" s="21">
        <v>1</v>
      </c>
      <c r="X9679" s="21">
        <v>0</v>
      </c>
      <c r="Y9679" s="21">
        <v>0</v>
      </c>
      <c r="Z9679" s="21">
        <v>0</v>
      </c>
      <c r="AA9679" s="21">
        <v>0</v>
      </c>
      <c r="AB9679" s="21">
        <v>0</v>
      </c>
      <c r="AC9679" s="21">
        <v>0</v>
      </c>
      <c r="AD9679" s="21">
        <v>0</v>
      </c>
      <c r="AE9679" s="21">
        <v>0</v>
      </c>
      <c r="AF9679" s="21">
        <v>0</v>
      </c>
      <c r="AG9679" s="21">
        <v>0</v>
      </c>
      <c r="AH9679" s="21">
        <f t="shared" si="203"/>
        <v>160</v>
      </c>
      <c r="AJ9679" s="21" t="s">
        <v>6800</v>
      </c>
      <c r="AK9679" s="21" t="s">
        <v>52</v>
      </c>
      <c r="AL9679" s="21" t="s">
        <v>2190</v>
      </c>
      <c r="AM9679" s="21" t="s">
        <v>6961</v>
      </c>
      <c r="AN9679" s="21">
        <v>-122.4101881</v>
      </c>
      <c r="AO9679" s="21">
        <v>37.802171283333301</v>
      </c>
      <c r="AP9679" s="21" t="s">
        <v>1915</v>
      </c>
    </row>
    <row r="9680" spans="1:42">
      <c r="A9680" s="1">
        <v>43859</v>
      </c>
      <c r="B9680" s="21">
        <v>3</v>
      </c>
      <c r="C9680" s="21">
        <v>230</v>
      </c>
      <c r="D9680" s="7">
        <v>14467</v>
      </c>
      <c r="E9680" s="7" t="s">
        <v>112</v>
      </c>
      <c r="F9680" s="21" t="s">
        <v>104</v>
      </c>
      <c r="G9680" s="21">
        <v>4</v>
      </c>
      <c r="H9680" s="21">
        <v>97</v>
      </c>
      <c r="I9680" s="21" t="s">
        <v>6962</v>
      </c>
      <c r="J9680" s="21"/>
      <c r="K9680" s="21" t="s">
        <v>213</v>
      </c>
      <c r="N9680" s="21" t="s">
        <v>40</v>
      </c>
      <c r="O9680" s="21">
        <v>58</v>
      </c>
      <c r="Q9680" s="21">
        <f t="shared" si="202"/>
        <v>3</v>
      </c>
      <c r="R9680" s="21">
        <v>1</v>
      </c>
      <c r="S9680" s="21">
        <v>1</v>
      </c>
      <c r="T9680" s="21">
        <v>0</v>
      </c>
      <c r="U9680" s="21">
        <v>1</v>
      </c>
      <c r="V9680" s="21">
        <v>0</v>
      </c>
      <c r="W9680" s="21">
        <v>1</v>
      </c>
      <c r="X9680" s="21">
        <v>0</v>
      </c>
      <c r="Y9680" s="21">
        <v>0</v>
      </c>
      <c r="Z9680" s="21">
        <v>0</v>
      </c>
      <c r="AA9680" s="21">
        <v>0</v>
      </c>
      <c r="AB9680" s="21">
        <v>0</v>
      </c>
      <c r="AC9680" s="21">
        <v>0</v>
      </c>
      <c r="AD9680" s="21">
        <v>0</v>
      </c>
      <c r="AE9680" s="21">
        <v>0</v>
      </c>
      <c r="AF9680" s="21">
        <v>0</v>
      </c>
      <c r="AG9680" s="21">
        <v>0</v>
      </c>
      <c r="AH9680" s="21">
        <f t="shared" si="203"/>
        <v>144</v>
      </c>
      <c r="AJ9680" s="21" t="s">
        <v>6800</v>
      </c>
      <c r="AK9680" s="21" t="s">
        <v>52</v>
      </c>
      <c r="AL9680" s="21"/>
      <c r="AM9680" s="21" t="s">
        <v>6963</v>
      </c>
      <c r="AN9680" s="21">
        <v>-122.41008465</v>
      </c>
      <c r="AO9680" s="21">
        <v>37.8021629333333</v>
      </c>
      <c r="AP9680" s="21" t="s">
        <v>1915</v>
      </c>
    </row>
    <row r="9681" spans="1:42">
      <c r="A9681" s="1">
        <v>43859</v>
      </c>
      <c r="B9681" s="21">
        <v>3</v>
      </c>
      <c r="C9681" s="21">
        <v>230</v>
      </c>
      <c r="D9681" s="7">
        <v>14467</v>
      </c>
      <c r="E9681" s="7" t="s">
        <v>112</v>
      </c>
      <c r="F9681" s="21" t="s">
        <v>104</v>
      </c>
      <c r="G9681" s="21">
        <v>4</v>
      </c>
      <c r="H9681" s="21">
        <v>98</v>
      </c>
      <c r="I9681" s="21" t="s">
        <v>6964</v>
      </c>
      <c r="J9681" s="21"/>
      <c r="K9681" s="21" t="s">
        <v>213</v>
      </c>
      <c r="N9681" s="21" t="s">
        <v>40</v>
      </c>
      <c r="O9681" s="21">
        <v>45</v>
      </c>
      <c r="Q9681" s="21">
        <f t="shared" si="202"/>
        <v>2</v>
      </c>
      <c r="R9681" s="21">
        <v>1</v>
      </c>
      <c r="S9681" s="21">
        <v>0</v>
      </c>
      <c r="T9681" s="21">
        <v>0</v>
      </c>
      <c r="U9681" s="21">
        <v>2</v>
      </c>
      <c r="V9681" s="21">
        <v>0</v>
      </c>
      <c r="W9681" s="21">
        <v>0</v>
      </c>
      <c r="X9681" s="21">
        <v>0</v>
      </c>
      <c r="Y9681" s="21">
        <v>0</v>
      </c>
      <c r="Z9681" s="21">
        <v>0</v>
      </c>
      <c r="AA9681" s="21">
        <v>0</v>
      </c>
      <c r="AB9681" s="21">
        <v>0</v>
      </c>
      <c r="AC9681" s="21">
        <v>0</v>
      </c>
      <c r="AD9681" s="21">
        <v>0</v>
      </c>
      <c r="AE9681" s="21">
        <v>0</v>
      </c>
      <c r="AF9681" s="21">
        <v>0</v>
      </c>
      <c r="AG9681" s="21">
        <v>0</v>
      </c>
      <c r="AH9681" s="21">
        <f t="shared" si="203"/>
        <v>64</v>
      </c>
      <c r="AJ9681" s="21" t="s">
        <v>6800</v>
      </c>
      <c r="AK9681" s="21" t="s">
        <v>52</v>
      </c>
      <c r="AL9681" s="21"/>
      <c r="AM9681" s="21" t="s">
        <v>6965</v>
      </c>
      <c r="AN9681" s="21">
        <v>-122.409895816667</v>
      </c>
      <c r="AO9681" s="21">
        <v>37.8022222833334</v>
      </c>
      <c r="AP9681" s="21" t="s">
        <v>1915</v>
      </c>
    </row>
    <row r="9682" spans="1:42">
      <c r="A9682" s="1">
        <v>43859</v>
      </c>
      <c r="B9682" s="21">
        <v>3</v>
      </c>
      <c r="C9682" s="21">
        <v>230</v>
      </c>
      <c r="D9682" s="7">
        <v>14467</v>
      </c>
      <c r="E9682" s="7" t="s">
        <v>112</v>
      </c>
      <c r="F9682" s="21" t="s">
        <v>104</v>
      </c>
      <c r="G9682" s="21">
        <v>4</v>
      </c>
      <c r="H9682" s="21">
        <v>99</v>
      </c>
      <c r="I9682" s="21" t="s">
        <v>6966</v>
      </c>
      <c r="J9682" s="21"/>
      <c r="K9682" s="21" t="s">
        <v>213</v>
      </c>
      <c r="N9682" s="21" t="s">
        <v>44</v>
      </c>
      <c r="O9682" s="21">
        <f>120+19</f>
        <v>139</v>
      </c>
      <c r="Q9682" s="21">
        <f t="shared" si="202"/>
        <v>1</v>
      </c>
      <c r="R9682" s="21">
        <v>1</v>
      </c>
      <c r="S9682" s="21">
        <v>0</v>
      </c>
      <c r="T9682" s="21">
        <v>0</v>
      </c>
      <c r="U9682" s="21">
        <v>0</v>
      </c>
      <c r="V9682" s="21">
        <v>0</v>
      </c>
      <c r="W9682" s="21">
        <v>1</v>
      </c>
      <c r="X9682" s="21">
        <v>0</v>
      </c>
      <c r="Y9682" s="21">
        <v>0</v>
      </c>
      <c r="Z9682" s="21">
        <v>0</v>
      </c>
      <c r="AA9682" s="21">
        <v>0</v>
      </c>
      <c r="AB9682" s="21">
        <v>0</v>
      </c>
      <c r="AC9682" s="21">
        <v>0</v>
      </c>
      <c r="AD9682" s="21">
        <v>0</v>
      </c>
      <c r="AE9682" s="21">
        <v>0</v>
      </c>
      <c r="AF9682" s="21">
        <v>0</v>
      </c>
      <c r="AG9682" s="21">
        <v>0</v>
      </c>
      <c r="AH9682" s="21">
        <f t="shared" si="203"/>
        <v>96</v>
      </c>
      <c r="AJ9682" s="21" t="s">
        <v>6800</v>
      </c>
      <c r="AK9682" s="21" t="s">
        <v>52</v>
      </c>
      <c r="AL9682" s="21" t="s">
        <v>6967</v>
      </c>
      <c r="AM9682" s="21" t="s">
        <v>6968</v>
      </c>
      <c r="AN9682" s="21">
        <v>-122.40984633333299</v>
      </c>
      <c r="AO9682" s="21">
        <v>37.8022751833333</v>
      </c>
      <c r="AP9682" s="21" t="s">
        <v>1915</v>
      </c>
    </row>
    <row r="9683" spans="1:42">
      <c r="A9683" s="1">
        <v>43859</v>
      </c>
      <c r="B9683" s="21">
        <v>3</v>
      </c>
      <c r="C9683" s="21">
        <v>230</v>
      </c>
      <c r="D9683" s="7">
        <v>14467</v>
      </c>
      <c r="E9683" s="7" t="s">
        <v>112</v>
      </c>
      <c r="F9683" s="21" t="s">
        <v>104</v>
      </c>
      <c r="G9683" s="21">
        <v>4</v>
      </c>
      <c r="H9683" s="21">
        <v>100</v>
      </c>
      <c r="I9683" s="21" t="s">
        <v>5666</v>
      </c>
      <c r="J9683" s="21"/>
      <c r="K9683" s="21" t="s">
        <v>213</v>
      </c>
      <c r="N9683" s="21" t="s">
        <v>40</v>
      </c>
      <c r="O9683" s="21">
        <v>68</v>
      </c>
      <c r="Q9683" s="21">
        <f t="shared" si="202"/>
        <v>1</v>
      </c>
      <c r="R9683" s="21">
        <v>1</v>
      </c>
      <c r="S9683" s="21">
        <v>0</v>
      </c>
      <c r="T9683" s="21">
        <v>0</v>
      </c>
      <c r="U9683" s="21">
        <v>1</v>
      </c>
      <c r="V9683" s="21">
        <v>0</v>
      </c>
      <c r="W9683" s="21">
        <v>0</v>
      </c>
      <c r="X9683" s="21">
        <v>0</v>
      </c>
      <c r="Y9683" s="21">
        <v>0</v>
      </c>
      <c r="Z9683" s="21">
        <v>0</v>
      </c>
      <c r="AA9683" s="21">
        <v>0</v>
      </c>
      <c r="AB9683" s="21">
        <v>0</v>
      </c>
      <c r="AC9683" s="21">
        <v>0</v>
      </c>
      <c r="AD9683" s="21">
        <v>0</v>
      </c>
      <c r="AE9683" s="21">
        <v>0</v>
      </c>
      <c r="AF9683" s="21">
        <v>0</v>
      </c>
      <c r="AG9683" s="21">
        <v>0</v>
      </c>
      <c r="AH9683" s="21">
        <f t="shared" si="203"/>
        <v>32</v>
      </c>
      <c r="AJ9683" s="21"/>
      <c r="AK9683" s="21"/>
      <c r="AL9683" s="21"/>
      <c r="AM9683" s="21" t="s">
        <v>6969</v>
      </c>
      <c r="AN9683" s="21">
        <v>-122.40937434999999</v>
      </c>
      <c r="AO9683" s="21">
        <v>37.8023404666666</v>
      </c>
      <c r="AP9683" s="21" t="s">
        <v>1915</v>
      </c>
    </row>
    <row r="9684" spans="1:42">
      <c r="A9684" s="1">
        <v>43859</v>
      </c>
      <c r="B9684" s="21">
        <v>3</v>
      </c>
      <c r="C9684" s="21">
        <v>230</v>
      </c>
      <c r="D9684" s="7">
        <v>14467</v>
      </c>
      <c r="E9684" s="7" t="s">
        <v>112</v>
      </c>
      <c r="F9684" s="21" t="s">
        <v>104</v>
      </c>
      <c r="G9684" s="21">
        <v>4</v>
      </c>
      <c r="H9684" s="21">
        <v>101</v>
      </c>
      <c r="I9684" s="21" t="s">
        <v>6970</v>
      </c>
      <c r="J9684" s="21"/>
      <c r="K9684" s="21" t="s">
        <v>213</v>
      </c>
      <c r="N9684" s="21" t="s">
        <v>40</v>
      </c>
      <c r="O9684" s="21">
        <v>51</v>
      </c>
      <c r="Q9684" s="21">
        <f t="shared" si="202"/>
        <v>2</v>
      </c>
      <c r="R9684" s="21">
        <v>1</v>
      </c>
      <c r="S9684" s="21">
        <v>0</v>
      </c>
      <c r="T9684" s="21">
        <v>0</v>
      </c>
      <c r="U9684" s="21">
        <v>0</v>
      </c>
      <c r="V9684" s="21">
        <v>0</v>
      </c>
      <c r="W9684" s="21">
        <v>2</v>
      </c>
      <c r="X9684" s="21">
        <v>0</v>
      </c>
      <c r="Y9684" s="21">
        <v>0</v>
      </c>
      <c r="Z9684" s="21">
        <v>0</v>
      </c>
      <c r="AA9684" s="21">
        <v>0</v>
      </c>
      <c r="AB9684" s="21">
        <v>0</v>
      </c>
      <c r="AC9684" s="21">
        <v>0</v>
      </c>
      <c r="AD9684" s="21">
        <v>0</v>
      </c>
      <c r="AE9684" s="21">
        <v>0</v>
      </c>
      <c r="AF9684" s="21">
        <v>0</v>
      </c>
      <c r="AG9684" s="21">
        <v>0</v>
      </c>
      <c r="AH9684" s="21">
        <f t="shared" si="203"/>
        <v>192</v>
      </c>
      <c r="AJ9684" s="21" t="s">
        <v>6800</v>
      </c>
      <c r="AK9684" s="21" t="s">
        <v>52</v>
      </c>
      <c r="AL9684" s="21" t="s">
        <v>6971</v>
      </c>
      <c r="AM9684" s="21" t="s">
        <v>6972</v>
      </c>
      <c r="AN9684" s="21">
        <v>-122.409298466667</v>
      </c>
      <c r="AO9684" s="21">
        <v>37.802285683333302</v>
      </c>
      <c r="AP9684" s="21" t="s">
        <v>1915</v>
      </c>
    </row>
    <row r="9685" spans="1:42">
      <c r="A9685" s="1">
        <v>43859</v>
      </c>
      <c r="B9685" s="21">
        <v>3</v>
      </c>
      <c r="C9685" s="21">
        <v>230</v>
      </c>
      <c r="D9685" s="7">
        <v>14467</v>
      </c>
      <c r="E9685" s="7" t="s">
        <v>112</v>
      </c>
      <c r="F9685" s="21" t="s">
        <v>104</v>
      </c>
      <c r="G9685" s="21">
        <v>4</v>
      </c>
      <c r="H9685" s="21">
        <v>102</v>
      </c>
      <c r="I9685" s="21" t="s">
        <v>6973</v>
      </c>
      <c r="J9685" s="21"/>
      <c r="K9685" s="21" t="s">
        <v>213</v>
      </c>
      <c r="N9685" s="21" t="s">
        <v>40</v>
      </c>
      <c r="O9685" s="21">
        <v>59</v>
      </c>
      <c r="Q9685" s="21">
        <f t="shared" si="202"/>
        <v>3</v>
      </c>
      <c r="R9685" s="21">
        <v>1</v>
      </c>
      <c r="S9685" s="21">
        <v>2</v>
      </c>
      <c r="T9685" s="21">
        <v>0</v>
      </c>
      <c r="U9685" s="21">
        <v>1</v>
      </c>
      <c r="V9685" s="21">
        <v>0</v>
      </c>
      <c r="W9685" s="21">
        <v>0</v>
      </c>
      <c r="X9685" s="21">
        <v>0</v>
      </c>
      <c r="Y9685" s="21">
        <v>0</v>
      </c>
      <c r="Z9685" s="21">
        <v>0</v>
      </c>
      <c r="AA9685" s="21">
        <v>0</v>
      </c>
      <c r="AB9685" s="21">
        <v>0</v>
      </c>
      <c r="AC9685" s="21">
        <v>0</v>
      </c>
      <c r="AD9685" s="21">
        <v>0</v>
      </c>
      <c r="AE9685" s="21">
        <v>0</v>
      </c>
      <c r="AF9685" s="21">
        <v>0</v>
      </c>
      <c r="AG9685" s="21">
        <v>0</v>
      </c>
      <c r="AH9685" s="21">
        <f t="shared" si="203"/>
        <v>64</v>
      </c>
      <c r="AJ9685" s="21"/>
      <c r="AK9685" s="21"/>
      <c r="AL9685" s="21"/>
      <c r="AM9685" s="21" t="s">
        <v>6974</v>
      </c>
      <c r="AN9685" s="21">
        <v>-122.40909449999999</v>
      </c>
      <c r="AO9685" s="21">
        <v>37.8022846</v>
      </c>
      <c r="AP9685" s="21" t="s">
        <v>1915</v>
      </c>
    </row>
    <row r="9686" spans="1:42">
      <c r="A9686" s="1">
        <v>43859</v>
      </c>
      <c r="B9686" s="21">
        <v>3</v>
      </c>
      <c r="C9686" s="21">
        <v>230</v>
      </c>
      <c r="D9686" s="7">
        <v>14467</v>
      </c>
      <c r="E9686" s="7" t="s">
        <v>112</v>
      </c>
      <c r="F9686" s="21" t="s">
        <v>104</v>
      </c>
      <c r="G9686" s="21">
        <v>4</v>
      </c>
      <c r="H9686" s="21">
        <v>103</v>
      </c>
      <c r="I9686" s="21" t="s">
        <v>6975</v>
      </c>
      <c r="J9686" s="21"/>
      <c r="K9686" s="21" t="s">
        <v>213</v>
      </c>
      <c r="N9686" s="21" t="s">
        <v>44</v>
      </c>
      <c r="O9686" s="21">
        <v>127</v>
      </c>
      <c r="Q9686" s="21">
        <f t="shared" si="202"/>
        <v>2</v>
      </c>
      <c r="R9686" s="21">
        <v>1</v>
      </c>
      <c r="S9686" s="21">
        <v>0</v>
      </c>
      <c r="T9686" s="21">
        <v>0</v>
      </c>
      <c r="U9686" s="21">
        <v>0</v>
      </c>
      <c r="V9686" s="21">
        <v>2</v>
      </c>
      <c r="W9686" s="21">
        <v>0</v>
      </c>
      <c r="X9686" s="21">
        <v>0</v>
      </c>
      <c r="Y9686" s="21">
        <v>0</v>
      </c>
      <c r="Z9686" s="21">
        <v>0</v>
      </c>
      <c r="AA9686" s="21">
        <v>0</v>
      </c>
      <c r="AB9686" s="21">
        <v>0</v>
      </c>
      <c r="AC9686" s="21">
        <v>0</v>
      </c>
      <c r="AD9686" s="21">
        <v>0</v>
      </c>
      <c r="AE9686" s="21">
        <v>0</v>
      </c>
      <c r="AF9686" s="21">
        <v>0</v>
      </c>
      <c r="AG9686" s="21">
        <v>0</v>
      </c>
      <c r="AH9686" s="21">
        <f t="shared" si="203"/>
        <v>128</v>
      </c>
      <c r="AJ9686" s="21" t="s">
        <v>6800</v>
      </c>
      <c r="AK9686" s="21" t="s">
        <v>52</v>
      </c>
      <c r="AL9686" s="21" t="s">
        <v>2788</v>
      </c>
      <c r="AM9686" s="21" t="s">
        <v>6976</v>
      </c>
      <c r="AN9686" s="21">
        <v>-122.40894053333299</v>
      </c>
      <c r="AO9686" s="21">
        <v>37.802284133333302</v>
      </c>
      <c r="AP9686" s="21" t="s">
        <v>1915</v>
      </c>
    </row>
    <row r="9687" spans="1:42">
      <c r="A9687" s="1">
        <v>43859</v>
      </c>
      <c r="B9687" s="21">
        <v>3</v>
      </c>
      <c r="C9687" s="21">
        <v>230</v>
      </c>
      <c r="D9687" s="7">
        <v>14467</v>
      </c>
      <c r="E9687" s="7" t="s">
        <v>112</v>
      </c>
      <c r="F9687" s="21" t="s">
        <v>104</v>
      </c>
      <c r="G9687" s="21">
        <v>4</v>
      </c>
      <c r="H9687" s="21">
        <v>104</v>
      </c>
      <c r="I9687" s="21" t="s">
        <v>6977</v>
      </c>
      <c r="J9687" s="21"/>
      <c r="K9687" s="21" t="s">
        <v>213</v>
      </c>
      <c r="N9687" s="21" t="s">
        <v>40</v>
      </c>
      <c r="O9687" s="21">
        <f>60+45</f>
        <v>105</v>
      </c>
      <c r="Q9687" s="21">
        <f t="shared" si="202"/>
        <v>1</v>
      </c>
      <c r="R9687" s="21">
        <v>1</v>
      </c>
      <c r="S9687" s="21">
        <v>0</v>
      </c>
      <c r="T9687" s="21">
        <v>0</v>
      </c>
      <c r="U9687" s="21">
        <v>1</v>
      </c>
      <c r="V9687" s="21">
        <v>0</v>
      </c>
      <c r="W9687" s="21">
        <v>0</v>
      </c>
      <c r="X9687" s="21">
        <v>0</v>
      </c>
      <c r="Y9687" s="21">
        <v>0</v>
      </c>
      <c r="Z9687" s="21">
        <v>0</v>
      </c>
      <c r="AA9687" s="21">
        <v>0</v>
      </c>
      <c r="AB9687" s="21">
        <v>0</v>
      </c>
      <c r="AC9687" s="21">
        <v>0</v>
      </c>
      <c r="AD9687" s="21">
        <v>0</v>
      </c>
      <c r="AE9687" s="21">
        <v>0</v>
      </c>
      <c r="AF9687" s="21">
        <v>0</v>
      </c>
      <c r="AG9687" s="21">
        <v>0</v>
      </c>
      <c r="AH9687" s="21">
        <f t="shared" si="203"/>
        <v>32</v>
      </c>
      <c r="AJ9687" s="21" t="s">
        <v>6800</v>
      </c>
      <c r="AK9687" s="21" t="s">
        <v>52</v>
      </c>
      <c r="AL9687" s="21" t="s">
        <v>6978</v>
      </c>
      <c r="AM9687" s="21" t="s">
        <v>6979</v>
      </c>
      <c r="AN9687" s="21">
        <v>-122.408431966667</v>
      </c>
      <c r="AO9687" s="21">
        <v>37.802517600000002</v>
      </c>
      <c r="AP9687" s="21" t="s">
        <v>1915</v>
      </c>
    </row>
    <row r="9688" spans="1:42">
      <c r="A9688" s="1">
        <v>43859</v>
      </c>
      <c r="B9688" s="21">
        <v>3</v>
      </c>
      <c r="C9688" s="21">
        <v>230</v>
      </c>
      <c r="D9688" s="7">
        <v>14467</v>
      </c>
      <c r="E9688" s="7" t="s">
        <v>112</v>
      </c>
      <c r="F9688" s="21" t="s">
        <v>104</v>
      </c>
      <c r="G9688" s="21">
        <v>4</v>
      </c>
      <c r="H9688" s="21">
        <v>105</v>
      </c>
      <c r="I9688" s="21" t="s">
        <v>5666</v>
      </c>
      <c r="J9688" s="21"/>
      <c r="K9688" s="21" t="s">
        <v>213</v>
      </c>
      <c r="N9688" s="21" t="s">
        <v>40</v>
      </c>
      <c r="O9688" s="21">
        <v>32</v>
      </c>
      <c r="Q9688" s="21">
        <f t="shared" si="202"/>
        <v>1</v>
      </c>
      <c r="R9688" s="21">
        <v>1</v>
      </c>
      <c r="S9688" s="21">
        <v>0</v>
      </c>
      <c r="T9688" s="21">
        <v>1</v>
      </c>
      <c r="U9688" s="21">
        <v>0</v>
      </c>
      <c r="V9688" s="21">
        <v>0</v>
      </c>
      <c r="W9688" s="21">
        <v>0</v>
      </c>
      <c r="X9688" s="21">
        <v>0</v>
      </c>
      <c r="Y9688" s="21">
        <v>0</v>
      </c>
      <c r="Z9688" s="21">
        <v>0</v>
      </c>
      <c r="AA9688" s="21">
        <v>0</v>
      </c>
      <c r="AB9688" s="21">
        <v>0</v>
      </c>
      <c r="AC9688" s="21">
        <v>0</v>
      </c>
      <c r="AD9688" s="21">
        <v>0</v>
      </c>
      <c r="AE9688" s="21">
        <v>0</v>
      </c>
      <c r="AF9688" s="21">
        <v>0</v>
      </c>
      <c r="AG9688" s="21">
        <v>0</v>
      </c>
      <c r="AH9688" s="21">
        <f t="shared" si="203"/>
        <v>20</v>
      </c>
      <c r="AJ9688" s="21" t="s">
        <v>6800</v>
      </c>
      <c r="AK9688" s="21" t="s">
        <v>52</v>
      </c>
      <c r="AL9688" s="21"/>
      <c r="AM9688" s="21" t="s">
        <v>6980</v>
      </c>
      <c r="AN9688" s="21">
        <v>-122.40878555</v>
      </c>
      <c r="AO9688" s="21">
        <v>37.802552783333297</v>
      </c>
      <c r="AP9688" s="21" t="s">
        <v>1915</v>
      </c>
    </row>
    <row r="9689" spans="1:42">
      <c r="A9689" s="1">
        <v>43859</v>
      </c>
      <c r="B9689" s="21">
        <v>3</v>
      </c>
      <c r="C9689" s="21">
        <v>230</v>
      </c>
      <c r="D9689" s="7">
        <v>14467</v>
      </c>
      <c r="E9689" s="7" t="s">
        <v>112</v>
      </c>
      <c r="F9689" s="21" t="s">
        <v>104</v>
      </c>
      <c r="G9689" s="21">
        <v>4</v>
      </c>
      <c r="H9689" s="21">
        <v>106</v>
      </c>
      <c r="I9689" s="21" t="s">
        <v>6981</v>
      </c>
      <c r="J9689" s="21"/>
      <c r="K9689" s="21" t="s">
        <v>213</v>
      </c>
      <c r="N9689" s="21" t="s">
        <v>40</v>
      </c>
      <c r="O9689" s="21">
        <f>60+26</f>
        <v>86</v>
      </c>
      <c r="Q9689" s="21">
        <f t="shared" si="202"/>
        <v>2</v>
      </c>
      <c r="R9689" s="21">
        <v>1</v>
      </c>
      <c r="S9689" s="21">
        <v>0</v>
      </c>
      <c r="T9689" s="21">
        <v>0</v>
      </c>
      <c r="U9689" s="21">
        <v>1</v>
      </c>
      <c r="V9689" s="21">
        <v>1</v>
      </c>
      <c r="W9689" s="21">
        <v>0</v>
      </c>
      <c r="X9689" s="21">
        <v>0</v>
      </c>
      <c r="Y9689" s="21">
        <v>0</v>
      </c>
      <c r="Z9689" s="21">
        <v>0</v>
      </c>
      <c r="AA9689" s="21">
        <v>0</v>
      </c>
      <c r="AB9689" s="21">
        <v>0</v>
      </c>
      <c r="AC9689" s="21">
        <v>0</v>
      </c>
      <c r="AD9689" s="21">
        <v>0</v>
      </c>
      <c r="AE9689" s="21">
        <v>0</v>
      </c>
      <c r="AF9689" s="21">
        <v>0</v>
      </c>
      <c r="AG9689" s="21">
        <v>0</v>
      </c>
      <c r="AH9689" s="21">
        <f t="shared" si="203"/>
        <v>96</v>
      </c>
      <c r="AJ9689" s="21" t="s">
        <v>6800</v>
      </c>
      <c r="AK9689" s="21" t="s">
        <v>52</v>
      </c>
      <c r="AL9689" s="21"/>
      <c r="AM9689" s="21" t="s">
        <v>6982</v>
      </c>
      <c r="AN9689" s="21">
        <v>-122.408934683333</v>
      </c>
      <c r="AO9689" s="21">
        <v>37.802510883333298</v>
      </c>
      <c r="AP9689" s="21" t="s">
        <v>1915</v>
      </c>
    </row>
    <row r="9690" spans="1:42">
      <c r="A9690" s="1">
        <v>43859</v>
      </c>
      <c r="B9690" s="21">
        <v>3</v>
      </c>
      <c r="C9690" s="21">
        <v>230</v>
      </c>
      <c r="D9690" s="7">
        <v>14467</v>
      </c>
      <c r="E9690" s="7" t="s">
        <v>112</v>
      </c>
      <c r="F9690" s="21" t="s">
        <v>104</v>
      </c>
      <c r="G9690" s="21">
        <v>4</v>
      </c>
      <c r="H9690" s="21">
        <v>107</v>
      </c>
      <c r="I9690" s="21" t="s">
        <v>5666</v>
      </c>
      <c r="J9690" s="21"/>
      <c r="K9690" s="21" t="s">
        <v>213</v>
      </c>
      <c r="N9690" s="21" t="s">
        <v>40</v>
      </c>
      <c r="O9690" s="21">
        <v>41</v>
      </c>
      <c r="Q9690" s="21">
        <f t="shared" si="202"/>
        <v>2</v>
      </c>
      <c r="R9690" s="21">
        <v>1</v>
      </c>
      <c r="S9690" s="21">
        <v>0</v>
      </c>
      <c r="T9690" s="21">
        <v>0</v>
      </c>
      <c r="U9690" s="21">
        <v>2</v>
      </c>
      <c r="V9690" s="21">
        <v>0</v>
      </c>
      <c r="W9690" s="21">
        <v>0</v>
      </c>
      <c r="X9690" s="21">
        <v>0</v>
      </c>
      <c r="Y9690" s="21">
        <v>0</v>
      </c>
      <c r="Z9690" s="21">
        <v>0</v>
      </c>
      <c r="AA9690" s="21">
        <v>0</v>
      </c>
      <c r="AB9690" s="21">
        <v>0</v>
      </c>
      <c r="AC9690" s="21">
        <v>0</v>
      </c>
      <c r="AD9690" s="21">
        <v>0</v>
      </c>
      <c r="AE9690" s="21">
        <v>0</v>
      </c>
      <c r="AF9690" s="21">
        <v>0</v>
      </c>
      <c r="AG9690" s="21">
        <v>0</v>
      </c>
      <c r="AH9690" s="21">
        <f t="shared" si="203"/>
        <v>64</v>
      </c>
      <c r="AJ9690" s="21" t="s">
        <v>6800</v>
      </c>
      <c r="AK9690" s="21" t="s">
        <v>52</v>
      </c>
      <c r="AL9690" s="21"/>
      <c r="AM9690" s="21" t="s">
        <v>6983</v>
      </c>
      <c r="AN9690" s="21">
        <v>-122.40909515</v>
      </c>
      <c r="AO9690" s="21">
        <v>37.8024275</v>
      </c>
      <c r="AP9690" s="21" t="s">
        <v>1915</v>
      </c>
    </row>
    <row r="9691" spans="1:42">
      <c r="A9691" s="1">
        <v>43859</v>
      </c>
      <c r="B9691" s="21">
        <v>3</v>
      </c>
      <c r="C9691" s="21">
        <v>230</v>
      </c>
      <c r="D9691" s="7">
        <v>14467</v>
      </c>
      <c r="E9691" s="7" t="s">
        <v>112</v>
      </c>
      <c r="F9691" s="21" t="s">
        <v>104</v>
      </c>
      <c r="G9691" s="21">
        <v>4</v>
      </c>
      <c r="H9691" s="21">
        <v>108</v>
      </c>
      <c r="I9691" s="21" t="s">
        <v>6984</v>
      </c>
      <c r="J9691" s="21"/>
      <c r="K9691" s="21" t="s">
        <v>213</v>
      </c>
      <c r="N9691" s="21" t="s">
        <v>42</v>
      </c>
      <c r="O9691" s="21">
        <v>120</v>
      </c>
      <c r="Q9691" s="21">
        <f t="shared" si="202"/>
        <v>2</v>
      </c>
      <c r="R9691" s="21">
        <v>1</v>
      </c>
      <c r="S9691" s="21">
        <v>0</v>
      </c>
      <c r="T9691" s="21">
        <v>1</v>
      </c>
      <c r="U9691" s="21">
        <v>0</v>
      </c>
      <c r="V9691" s="21">
        <v>1</v>
      </c>
      <c r="W9691" s="21">
        <v>0</v>
      </c>
      <c r="X9691" s="21">
        <v>0</v>
      </c>
      <c r="Y9691" s="21">
        <v>0</v>
      </c>
      <c r="Z9691" s="21">
        <v>0</v>
      </c>
      <c r="AA9691" s="21">
        <v>0</v>
      </c>
      <c r="AB9691" s="21">
        <v>0</v>
      </c>
      <c r="AC9691" s="21">
        <v>0</v>
      </c>
      <c r="AD9691" s="21">
        <v>0</v>
      </c>
      <c r="AE9691" s="21">
        <v>0</v>
      </c>
      <c r="AF9691" s="21">
        <v>0</v>
      </c>
      <c r="AG9691" s="21">
        <v>0</v>
      </c>
      <c r="AH9691" s="21">
        <f t="shared" si="203"/>
        <v>84</v>
      </c>
      <c r="AJ9691" s="21" t="s">
        <v>6800</v>
      </c>
      <c r="AK9691" s="21" t="s">
        <v>52</v>
      </c>
      <c r="AL9691" s="21" t="s">
        <v>6985</v>
      </c>
      <c r="AM9691" s="21" t="s">
        <v>6986</v>
      </c>
      <c r="AN9691" s="21">
        <v>-122.40925686666699</v>
      </c>
      <c r="AO9691" s="21">
        <v>37.802439133333301</v>
      </c>
      <c r="AP9691" s="21" t="s">
        <v>1915</v>
      </c>
    </row>
    <row r="9692" spans="1:42">
      <c r="A9692" s="1">
        <v>43859</v>
      </c>
      <c r="B9692" s="21">
        <v>3</v>
      </c>
      <c r="C9692" s="21">
        <v>230</v>
      </c>
      <c r="D9692" s="7">
        <v>14467</v>
      </c>
      <c r="E9692" s="7" t="s">
        <v>112</v>
      </c>
      <c r="F9692" s="21" t="s">
        <v>104</v>
      </c>
      <c r="G9692" s="21">
        <v>4</v>
      </c>
      <c r="H9692" s="21">
        <v>109</v>
      </c>
      <c r="I9692" s="21" t="s">
        <v>6862</v>
      </c>
      <c r="J9692" s="21"/>
      <c r="K9692" s="21" t="s">
        <v>213</v>
      </c>
      <c r="N9692" s="21" t="s">
        <v>44</v>
      </c>
      <c r="O9692" s="21">
        <f>60+57</f>
        <v>117</v>
      </c>
      <c r="Q9692" s="21">
        <f t="shared" si="202"/>
        <v>1</v>
      </c>
      <c r="R9692" s="21">
        <v>1</v>
      </c>
      <c r="S9692" s="21">
        <v>0</v>
      </c>
      <c r="T9692" s="21">
        <v>0</v>
      </c>
      <c r="U9692" s="21">
        <v>0</v>
      </c>
      <c r="V9692" s="21">
        <v>0</v>
      </c>
      <c r="W9692" s="21">
        <v>1</v>
      </c>
      <c r="X9692" s="21">
        <v>0</v>
      </c>
      <c r="Y9692" s="21">
        <v>0</v>
      </c>
      <c r="Z9692" s="21">
        <v>0</v>
      </c>
      <c r="AA9692" s="21">
        <v>0</v>
      </c>
      <c r="AB9692" s="21">
        <v>0</v>
      </c>
      <c r="AC9692" s="21">
        <v>0</v>
      </c>
      <c r="AD9692" s="21">
        <v>0</v>
      </c>
      <c r="AE9692" s="21">
        <v>0</v>
      </c>
      <c r="AF9692" s="21">
        <v>0</v>
      </c>
      <c r="AG9692" s="21">
        <v>0</v>
      </c>
      <c r="AH9692" s="21">
        <f t="shared" si="203"/>
        <v>96</v>
      </c>
      <c r="AJ9692" s="21" t="s">
        <v>6800</v>
      </c>
      <c r="AK9692" s="21" t="s">
        <v>52</v>
      </c>
      <c r="AL9692" s="21" t="s">
        <v>6987</v>
      </c>
      <c r="AM9692" s="21" t="s">
        <v>6988</v>
      </c>
      <c r="AN9692" s="21">
        <v>-122.408921333333</v>
      </c>
      <c r="AO9692" s="21">
        <v>37.803355533333303</v>
      </c>
      <c r="AP9692" s="21" t="s">
        <v>1915</v>
      </c>
    </row>
    <row r="9693" spans="1:42">
      <c r="A9693" s="1">
        <v>43859</v>
      </c>
      <c r="B9693" s="21">
        <v>3</v>
      </c>
      <c r="C9693" s="21">
        <v>230</v>
      </c>
      <c r="D9693" s="7">
        <v>14467</v>
      </c>
      <c r="E9693" s="7" t="s">
        <v>112</v>
      </c>
      <c r="F9693" s="21" t="s">
        <v>104</v>
      </c>
      <c r="G9693" s="21">
        <v>4</v>
      </c>
      <c r="H9693" s="21">
        <v>110</v>
      </c>
      <c r="I9693" s="21" t="s">
        <v>6989</v>
      </c>
      <c r="J9693" s="21"/>
      <c r="K9693" s="21" t="s">
        <v>210</v>
      </c>
      <c r="N9693" s="21" t="s">
        <v>44</v>
      </c>
      <c r="O9693" s="21">
        <f>120+54</f>
        <v>174</v>
      </c>
      <c r="Q9693" s="21">
        <f t="shared" si="202"/>
        <v>1</v>
      </c>
      <c r="R9693" s="21">
        <v>1</v>
      </c>
      <c r="S9693" s="21">
        <v>0</v>
      </c>
      <c r="T9693" s="21">
        <v>0</v>
      </c>
      <c r="U9693" s="21">
        <v>0</v>
      </c>
      <c r="V9693" s="21">
        <v>0</v>
      </c>
      <c r="W9693" s="21">
        <v>1</v>
      </c>
      <c r="X9693" s="21">
        <v>0</v>
      </c>
      <c r="Y9693" s="21">
        <v>0</v>
      </c>
      <c r="Z9693" s="21">
        <v>0</v>
      </c>
      <c r="AA9693" s="21">
        <v>0</v>
      </c>
      <c r="AB9693" s="21">
        <v>0</v>
      </c>
      <c r="AC9693" s="21">
        <v>0</v>
      </c>
      <c r="AD9693" s="21">
        <v>0</v>
      </c>
      <c r="AE9693" s="21">
        <v>0</v>
      </c>
      <c r="AF9693" s="21">
        <v>0</v>
      </c>
      <c r="AG9693" s="21">
        <v>0</v>
      </c>
      <c r="AH9693" s="21">
        <f t="shared" si="203"/>
        <v>96</v>
      </c>
      <c r="AJ9693" s="21" t="s">
        <v>6800</v>
      </c>
      <c r="AK9693" s="21" t="s">
        <v>52</v>
      </c>
      <c r="AL9693" s="21" t="s">
        <v>2190</v>
      </c>
      <c r="AM9693" s="21" t="s">
        <v>6990</v>
      </c>
      <c r="AN9693" s="21">
        <v>-122.410951916667</v>
      </c>
      <c r="AO9693" s="21">
        <v>37.803225183333304</v>
      </c>
      <c r="AP9693" s="21" t="s">
        <v>1915</v>
      </c>
    </row>
    <row r="9694" spans="1:42">
      <c r="A9694" s="1">
        <v>43859</v>
      </c>
      <c r="B9694" s="21">
        <v>3</v>
      </c>
      <c r="C9694" s="21">
        <v>230</v>
      </c>
      <c r="D9694" s="7">
        <v>14467</v>
      </c>
      <c r="E9694" s="7" t="s">
        <v>112</v>
      </c>
      <c r="F9694" s="21" t="s">
        <v>104</v>
      </c>
      <c r="G9694" s="21">
        <v>4</v>
      </c>
      <c r="H9694" s="21">
        <v>111</v>
      </c>
      <c r="I9694" s="21" t="s">
        <v>6991</v>
      </c>
      <c r="J9694" s="21"/>
      <c r="K9694" s="21" t="s">
        <v>6992</v>
      </c>
      <c r="N9694" s="21" t="s">
        <v>40</v>
      </c>
      <c r="O9694" s="21">
        <v>52</v>
      </c>
      <c r="Q9694" s="21">
        <f t="shared" si="202"/>
        <v>3</v>
      </c>
      <c r="R9694" s="21">
        <v>1</v>
      </c>
      <c r="S9694" s="21">
        <v>2</v>
      </c>
      <c r="T9694" s="21">
        <v>0</v>
      </c>
      <c r="U9694" s="21">
        <v>1</v>
      </c>
      <c r="V9694" s="21">
        <v>0</v>
      </c>
      <c r="W9694" s="21">
        <v>0</v>
      </c>
      <c r="X9694" s="21">
        <v>0</v>
      </c>
      <c r="Y9694" s="21">
        <v>0</v>
      </c>
      <c r="Z9694" s="21">
        <v>0</v>
      </c>
      <c r="AA9694" s="21">
        <v>0</v>
      </c>
      <c r="AB9694" s="21">
        <v>0</v>
      </c>
      <c r="AC9694" s="21">
        <v>0</v>
      </c>
      <c r="AD9694" s="21">
        <v>0</v>
      </c>
      <c r="AE9694" s="21">
        <v>0</v>
      </c>
      <c r="AF9694" s="21">
        <v>0</v>
      </c>
      <c r="AG9694" s="21">
        <v>0</v>
      </c>
      <c r="AH9694" s="21">
        <f t="shared" si="203"/>
        <v>64</v>
      </c>
      <c r="AJ9694" s="21" t="s">
        <v>6790</v>
      </c>
      <c r="AK9694" s="21" t="s">
        <v>52</v>
      </c>
      <c r="AL9694" s="21"/>
      <c r="AM9694" s="21" t="s">
        <v>6993</v>
      </c>
      <c r="AN9694" s="21">
        <v>-122.413074916667</v>
      </c>
      <c r="AO9694" s="21">
        <v>37.80315075</v>
      </c>
      <c r="AP9694" s="21" t="s">
        <v>1915</v>
      </c>
    </row>
    <row r="9695" spans="1:42">
      <c r="A9695" s="1">
        <v>43859</v>
      </c>
      <c r="B9695" s="21">
        <v>3</v>
      </c>
      <c r="C9695" s="21">
        <v>230</v>
      </c>
      <c r="D9695" s="7">
        <v>14467</v>
      </c>
      <c r="E9695" s="7" t="s">
        <v>112</v>
      </c>
      <c r="F9695" s="21" t="s">
        <v>104</v>
      </c>
      <c r="G9695" s="21">
        <v>4</v>
      </c>
      <c r="H9695" s="21">
        <v>112</v>
      </c>
      <c r="I9695" s="21" t="s">
        <v>2603</v>
      </c>
      <c r="J9695" s="21"/>
      <c r="K9695" s="21" t="s">
        <v>6992</v>
      </c>
      <c r="N9695" s="21" t="s">
        <v>44</v>
      </c>
      <c r="O9695" s="21">
        <f>120+32</f>
        <v>152</v>
      </c>
      <c r="Q9695" s="21">
        <f t="shared" si="202"/>
        <v>5</v>
      </c>
      <c r="R9695" s="21">
        <v>1</v>
      </c>
      <c r="S9695" s="21">
        <v>0</v>
      </c>
      <c r="T9695" s="21">
        <v>0</v>
      </c>
      <c r="U9695" s="21">
        <v>5</v>
      </c>
      <c r="V9695" s="21">
        <v>0</v>
      </c>
      <c r="W9695" s="21">
        <v>0</v>
      </c>
      <c r="X9695" s="21">
        <v>0</v>
      </c>
      <c r="Y9695" s="21">
        <v>0</v>
      </c>
      <c r="Z9695" s="21">
        <v>0</v>
      </c>
      <c r="AA9695" s="21">
        <v>0</v>
      </c>
      <c r="AB9695" s="21">
        <v>0</v>
      </c>
      <c r="AC9695" s="21">
        <v>0</v>
      </c>
      <c r="AD9695" s="21">
        <v>0</v>
      </c>
      <c r="AE9695" s="21">
        <v>0</v>
      </c>
      <c r="AF9695" s="21">
        <v>0</v>
      </c>
      <c r="AG9695" s="21">
        <v>0</v>
      </c>
      <c r="AH9695" s="21">
        <f t="shared" si="203"/>
        <v>160</v>
      </c>
      <c r="AJ9695" s="21" t="s">
        <v>6790</v>
      </c>
      <c r="AK9695" s="21" t="s">
        <v>52</v>
      </c>
      <c r="AL9695" s="21" t="s">
        <v>6994</v>
      </c>
      <c r="AM9695" s="21" t="s">
        <v>6995</v>
      </c>
      <c r="AN9695" s="21">
        <v>-122.413020366667</v>
      </c>
      <c r="AO9695" s="21">
        <v>37.803065983333298</v>
      </c>
      <c r="AP9695" s="21" t="s">
        <v>1915</v>
      </c>
    </row>
    <row r="9696" spans="1:42">
      <c r="A9696" s="1">
        <v>43859</v>
      </c>
      <c r="B9696" s="21">
        <v>3</v>
      </c>
      <c r="C9696" s="21">
        <v>230</v>
      </c>
      <c r="D9696" s="7">
        <v>14467</v>
      </c>
      <c r="E9696" s="7" t="s">
        <v>112</v>
      </c>
      <c r="F9696" s="21" t="s">
        <v>104</v>
      </c>
      <c r="G9696" s="21">
        <v>4</v>
      </c>
      <c r="H9696" s="21">
        <v>113</v>
      </c>
      <c r="I9696" s="21" t="s">
        <v>4030</v>
      </c>
      <c r="J9696" s="21"/>
      <c r="K9696" s="21" t="s">
        <v>6992</v>
      </c>
      <c r="N9696" s="21" t="s">
        <v>40</v>
      </c>
      <c r="O9696" s="21">
        <v>48</v>
      </c>
      <c r="Q9696" s="21">
        <f t="shared" si="202"/>
        <v>2</v>
      </c>
      <c r="R9696" s="21">
        <v>1</v>
      </c>
      <c r="S9696" s="21">
        <v>0</v>
      </c>
      <c r="T9696" s="21">
        <v>0</v>
      </c>
      <c r="U9696" s="21">
        <v>2</v>
      </c>
      <c r="V9696" s="21">
        <v>0</v>
      </c>
      <c r="W9696" s="21">
        <v>0</v>
      </c>
      <c r="X9696" s="21">
        <v>0</v>
      </c>
      <c r="Y9696" s="21">
        <v>0</v>
      </c>
      <c r="Z9696" s="21">
        <v>0</v>
      </c>
      <c r="AA9696" s="21">
        <v>0</v>
      </c>
      <c r="AB9696" s="21">
        <v>0</v>
      </c>
      <c r="AC9696" s="21">
        <v>0</v>
      </c>
      <c r="AD9696" s="21">
        <v>0</v>
      </c>
      <c r="AE9696" s="21">
        <v>0</v>
      </c>
      <c r="AF9696" s="21">
        <v>0</v>
      </c>
      <c r="AG9696" s="21">
        <v>0</v>
      </c>
      <c r="AH9696" s="21">
        <f t="shared" si="203"/>
        <v>64</v>
      </c>
      <c r="AJ9696" s="21" t="s">
        <v>6790</v>
      </c>
      <c r="AK9696" s="21" t="s">
        <v>52</v>
      </c>
      <c r="AL9696" s="21"/>
      <c r="AM9696" s="21" t="s">
        <v>6996</v>
      </c>
      <c r="AN9696" s="21">
        <v>-122.41310545</v>
      </c>
      <c r="AO9696" s="21">
        <v>37.8032312666667</v>
      </c>
      <c r="AP9696" s="21" t="s">
        <v>1915</v>
      </c>
    </row>
    <row r="9697" spans="1:42">
      <c r="A9697" s="1">
        <v>43859</v>
      </c>
      <c r="B9697" s="21">
        <v>3</v>
      </c>
      <c r="C9697" s="21">
        <v>230</v>
      </c>
      <c r="D9697" s="7">
        <v>14467</v>
      </c>
      <c r="E9697" s="7" t="s">
        <v>112</v>
      </c>
      <c r="F9697" s="21" t="s">
        <v>104</v>
      </c>
      <c r="G9697" s="21">
        <v>4</v>
      </c>
      <c r="H9697" s="21">
        <v>114</v>
      </c>
      <c r="I9697" s="21" t="s">
        <v>6997</v>
      </c>
      <c r="J9697" s="21"/>
      <c r="K9697" s="21" t="s">
        <v>6992</v>
      </c>
      <c r="N9697" s="21" t="s">
        <v>40</v>
      </c>
      <c r="O9697" s="21">
        <v>19</v>
      </c>
      <c r="Q9697" s="21">
        <f t="shared" si="202"/>
        <v>1</v>
      </c>
      <c r="R9697" s="21">
        <v>1</v>
      </c>
      <c r="S9697" s="21">
        <v>0</v>
      </c>
      <c r="T9697" s="21">
        <v>0</v>
      </c>
      <c r="U9697" s="21">
        <v>1</v>
      </c>
      <c r="V9697" s="21">
        <v>0</v>
      </c>
      <c r="W9697" s="21">
        <v>0</v>
      </c>
      <c r="X9697" s="21">
        <v>0</v>
      </c>
      <c r="Y9697" s="21">
        <v>0</v>
      </c>
      <c r="Z9697" s="21">
        <v>0</v>
      </c>
      <c r="AA9697" s="21">
        <v>0</v>
      </c>
      <c r="AB9697" s="21">
        <v>0</v>
      </c>
      <c r="AC9697" s="21">
        <v>0</v>
      </c>
      <c r="AD9697" s="21">
        <v>0</v>
      </c>
      <c r="AE9697" s="21">
        <v>0</v>
      </c>
      <c r="AF9697" s="21">
        <v>0</v>
      </c>
      <c r="AG9697" s="21">
        <v>0</v>
      </c>
      <c r="AH9697" s="21">
        <f t="shared" si="203"/>
        <v>32</v>
      </c>
      <c r="AJ9697" s="21" t="s">
        <v>6790</v>
      </c>
      <c r="AK9697" s="21" t="s">
        <v>52</v>
      </c>
      <c r="AL9697" s="21"/>
      <c r="AM9697" s="21" t="s">
        <v>6998</v>
      </c>
      <c r="AN9697" s="21">
        <v>-122.413140433333</v>
      </c>
      <c r="AO9697" s="21">
        <v>37.803462233333299</v>
      </c>
      <c r="AP9697" s="21" t="s">
        <v>1915</v>
      </c>
    </row>
    <row r="9698" spans="1:42">
      <c r="A9698" s="1">
        <v>43859</v>
      </c>
      <c r="B9698" s="21">
        <v>3</v>
      </c>
      <c r="C9698" s="21">
        <v>230</v>
      </c>
      <c r="D9698" s="7">
        <v>14467</v>
      </c>
      <c r="E9698" s="7" t="s">
        <v>112</v>
      </c>
      <c r="F9698" s="21" t="s">
        <v>104</v>
      </c>
      <c r="G9698" s="21">
        <v>4</v>
      </c>
      <c r="H9698" s="21">
        <v>115</v>
      </c>
      <c r="I9698" s="21" t="s">
        <v>6999</v>
      </c>
      <c r="J9698" s="21"/>
      <c r="K9698" s="21" t="s">
        <v>7000</v>
      </c>
      <c r="N9698" s="21" t="s">
        <v>40</v>
      </c>
      <c r="O9698" s="21">
        <f>120+41</f>
        <v>161</v>
      </c>
      <c r="Q9698" s="21">
        <f t="shared" si="202"/>
        <v>6</v>
      </c>
      <c r="R9698" s="21">
        <v>1</v>
      </c>
      <c r="S9698" s="21">
        <v>0</v>
      </c>
      <c r="T9698" s="21">
        <v>2</v>
      </c>
      <c r="U9698" s="21">
        <v>4</v>
      </c>
      <c r="V9698" s="21">
        <v>0</v>
      </c>
      <c r="W9698" s="21">
        <v>0</v>
      </c>
      <c r="X9698" s="21">
        <v>0</v>
      </c>
      <c r="Y9698" s="21">
        <v>0</v>
      </c>
      <c r="Z9698" s="21">
        <v>0</v>
      </c>
      <c r="AA9698" s="21">
        <v>0</v>
      </c>
      <c r="AB9698" s="21">
        <v>0</v>
      </c>
      <c r="AC9698" s="21">
        <v>0</v>
      </c>
      <c r="AD9698" s="21">
        <v>0</v>
      </c>
      <c r="AE9698" s="21">
        <v>0</v>
      </c>
      <c r="AF9698" s="21">
        <v>0</v>
      </c>
      <c r="AG9698" s="21">
        <v>0</v>
      </c>
      <c r="AH9698" s="21">
        <f t="shared" si="203"/>
        <v>168</v>
      </c>
      <c r="AJ9698" s="21" t="s">
        <v>6790</v>
      </c>
      <c r="AK9698" s="21" t="s">
        <v>52</v>
      </c>
      <c r="AL9698" s="21" t="s">
        <v>7001</v>
      </c>
      <c r="AM9698" s="21" t="s">
        <v>7002</v>
      </c>
      <c r="AN9698" s="21">
        <v>-122.41322858333299</v>
      </c>
      <c r="AO9698" s="21">
        <v>37.8040144666667</v>
      </c>
      <c r="AP9698" s="21" t="s">
        <v>1915</v>
      </c>
    </row>
    <row r="9699" spans="1:42">
      <c r="A9699" s="1">
        <v>43859</v>
      </c>
      <c r="B9699" s="21">
        <v>3</v>
      </c>
      <c r="C9699" s="21">
        <v>230</v>
      </c>
      <c r="D9699" s="7">
        <v>14467</v>
      </c>
      <c r="E9699" s="7" t="s">
        <v>112</v>
      </c>
      <c r="F9699" s="21" t="s">
        <v>104</v>
      </c>
      <c r="G9699" s="21">
        <v>4</v>
      </c>
      <c r="H9699" s="21">
        <v>116</v>
      </c>
      <c r="I9699" s="21" t="s">
        <v>7003</v>
      </c>
      <c r="J9699" s="21"/>
      <c r="K9699" s="21" t="s">
        <v>6992</v>
      </c>
      <c r="N9699" s="21" t="s">
        <v>40</v>
      </c>
      <c r="O9699" s="21">
        <v>40</v>
      </c>
      <c r="Q9699" s="21">
        <f t="shared" si="202"/>
        <v>3</v>
      </c>
      <c r="R9699" s="21">
        <v>1</v>
      </c>
      <c r="S9699" s="21">
        <v>1</v>
      </c>
      <c r="T9699" s="21">
        <v>0</v>
      </c>
      <c r="U9699" s="21">
        <v>2</v>
      </c>
      <c r="V9699" s="21">
        <v>0</v>
      </c>
      <c r="W9699" s="21">
        <v>0</v>
      </c>
      <c r="X9699" s="21">
        <v>0</v>
      </c>
      <c r="Y9699" s="21">
        <v>0</v>
      </c>
      <c r="Z9699" s="21">
        <v>0</v>
      </c>
      <c r="AA9699" s="21">
        <v>0</v>
      </c>
      <c r="AB9699" s="21">
        <v>0</v>
      </c>
      <c r="AC9699" s="21">
        <v>0</v>
      </c>
      <c r="AD9699" s="21">
        <v>0</v>
      </c>
      <c r="AE9699" s="21">
        <v>0</v>
      </c>
      <c r="AF9699" s="21">
        <v>0</v>
      </c>
      <c r="AG9699" s="21">
        <v>0</v>
      </c>
      <c r="AH9699" s="21">
        <f t="shared" si="203"/>
        <v>80</v>
      </c>
      <c r="AJ9699" s="21" t="s">
        <v>6790</v>
      </c>
      <c r="AK9699" s="21" t="s">
        <v>52</v>
      </c>
      <c r="AL9699" s="21"/>
      <c r="AM9699" s="21" t="s">
        <v>7004</v>
      </c>
      <c r="AN9699" s="21">
        <v>-122.413255416667</v>
      </c>
      <c r="AO9699" s="21">
        <v>37.804082416666603</v>
      </c>
      <c r="AP9699" s="21" t="s">
        <v>1915</v>
      </c>
    </row>
    <row r="9700" spans="1:42">
      <c r="A9700" s="1">
        <v>43859</v>
      </c>
      <c r="B9700" s="21">
        <v>3</v>
      </c>
      <c r="C9700" s="21">
        <v>230</v>
      </c>
      <c r="D9700" s="7">
        <v>14467</v>
      </c>
      <c r="E9700" s="7" t="s">
        <v>112</v>
      </c>
      <c r="F9700" s="21" t="s">
        <v>104</v>
      </c>
      <c r="G9700" s="21">
        <v>4</v>
      </c>
      <c r="H9700" s="21">
        <v>117</v>
      </c>
      <c r="I9700" s="21" t="s">
        <v>2257</v>
      </c>
      <c r="J9700" s="21"/>
      <c r="K9700" s="21" t="s">
        <v>6992</v>
      </c>
      <c r="N9700" s="21" t="s">
        <v>40</v>
      </c>
      <c r="O9700" s="21">
        <v>33</v>
      </c>
      <c r="Q9700" s="21">
        <f t="shared" si="202"/>
        <v>2</v>
      </c>
      <c r="R9700" s="21">
        <v>1</v>
      </c>
      <c r="S9700" s="21">
        <v>0</v>
      </c>
      <c r="T9700" s="21">
        <v>0</v>
      </c>
      <c r="U9700" s="21">
        <v>2</v>
      </c>
      <c r="V9700" s="21">
        <v>0</v>
      </c>
      <c r="W9700" s="21">
        <v>0</v>
      </c>
      <c r="X9700" s="21">
        <v>0</v>
      </c>
      <c r="Y9700" s="21">
        <v>0</v>
      </c>
      <c r="Z9700" s="21">
        <v>0</v>
      </c>
      <c r="AA9700" s="21">
        <v>0</v>
      </c>
      <c r="AB9700" s="21">
        <v>0</v>
      </c>
      <c r="AC9700" s="21">
        <v>0</v>
      </c>
      <c r="AD9700" s="21">
        <v>0</v>
      </c>
      <c r="AE9700" s="21">
        <v>0</v>
      </c>
      <c r="AF9700" s="21">
        <v>0</v>
      </c>
      <c r="AG9700" s="21">
        <v>0</v>
      </c>
      <c r="AH9700" s="21">
        <f t="shared" si="203"/>
        <v>64</v>
      </c>
      <c r="AJ9700" s="21"/>
      <c r="AK9700" s="21"/>
      <c r="AL9700" s="21"/>
      <c r="AM9700" s="21" t="s">
        <v>7005</v>
      </c>
      <c r="AN9700" s="21">
        <v>-122.41330316666701</v>
      </c>
      <c r="AO9700" s="21">
        <v>37.804204533333298</v>
      </c>
      <c r="AP9700" s="21" t="s">
        <v>1915</v>
      </c>
    </row>
    <row r="9701" spans="1:42">
      <c r="A9701" s="1">
        <v>43859</v>
      </c>
      <c r="B9701" s="21">
        <v>3</v>
      </c>
      <c r="C9701" s="21">
        <v>230</v>
      </c>
      <c r="D9701" s="7">
        <v>14467</v>
      </c>
      <c r="E9701" s="7" t="s">
        <v>112</v>
      </c>
      <c r="F9701" s="21" t="s">
        <v>104</v>
      </c>
      <c r="G9701" s="21">
        <v>4</v>
      </c>
      <c r="H9701" s="21">
        <v>118</v>
      </c>
      <c r="I9701" s="21" t="s">
        <v>7006</v>
      </c>
      <c r="J9701" s="21"/>
      <c r="K9701" s="21" t="s">
        <v>6992</v>
      </c>
      <c r="N9701" s="21" t="s">
        <v>40</v>
      </c>
      <c r="O9701" s="21">
        <f>60+14</f>
        <v>74</v>
      </c>
      <c r="Q9701" s="21">
        <f t="shared" si="202"/>
        <v>2</v>
      </c>
      <c r="R9701" s="21">
        <v>1</v>
      </c>
      <c r="S9701" s="21">
        <v>0</v>
      </c>
      <c r="T9701" s="21">
        <v>0</v>
      </c>
      <c r="U9701" s="21">
        <v>0</v>
      </c>
      <c r="V9701" s="21">
        <v>0</v>
      </c>
      <c r="W9701" s="21">
        <v>2</v>
      </c>
      <c r="X9701" s="21">
        <v>0</v>
      </c>
      <c r="Y9701" s="21">
        <v>0</v>
      </c>
      <c r="Z9701" s="21">
        <v>0</v>
      </c>
      <c r="AA9701" s="21">
        <v>0</v>
      </c>
      <c r="AB9701" s="21">
        <v>0</v>
      </c>
      <c r="AC9701" s="21">
        <v>0</v>
      </c>
      <c r="AD9701" s="21">
        <v>0</v>
      </c>
      <c r="AE9701" s="21">
        <v>0</v>
      </c>
      <c r="AF9701" s="21">
        <v>0</v>
      </c>
      <c r="AG9701" s="21">
        <v>0</v>
      </c>
      <c r="AH9701" s="21">
        <f t="shared" si="203"/>
        <v>192</v>
      </c>
      <c r="AJ9701" s="21" t="s">
        <v>6790</v>
      </c>
      <c r="AK9701" s="21" t="s">
        <v>95</v>
      </c>
      <c r="AL9701" s="21" t="s">
        <v>7007</v>
      </c>
      <c r="AM9701" s="21" t="s">
        <v>7008</v>
      </c>
      <c r="AN9701" s="21">
        <v>-122.413459433333</v>
      </c>
      <c r="AO9701" s="21">
        <v>37.804466699999999</v>
      </c>
      <c r="AP9701" s="21" t="s">
        <v>1915</v>
      </c>
    </row>
    <row r="9702" spans="1:42">
      <c r="A9702" s="1">
        <v>43859</v>
      </c>
      <c r="B9702" s="21">
        <v>3</v>
      </c>
      <c r="C9702" s="21">
        <v>230</v>
      </c>
      <c r="D9702" s="7">
        <v>14467</v>
      </c>
      <c r="E9702" s="7" t="s">
        <v>112</v>
      </c>
      <c r="F9702" s="21" t="s">
        <v>104</v>
      </c>
      <c r="G9702" s="21">
        <v>4</v>
      </c>
      <c r="H9702" s="21">
        <v>119</v>
      </c>
      <c r="I9702" s="21" t="s">
        <v>2996</v>
      </c>
      <c r="J9702" s="21"/>
      <c r="K9702" s="21" t="s">
        <v>6992</v>
      </c>
      <c r="N9702" s="21" t="s">
        <v>40</v>
      </c>
      <c r="O9702" s="21">
        <f>60+58</f>
        <v>118</v>
      </c>
      <c r="Q9702" s="21">
        <f t="shared" si="202"/>
        <v>4</v>
      </c>
      <c r="R9702" s="21">
        <v>1</v>
      </c>
      <c r="S9702" s="21">
        <v>0</v>
      </c>
      <c r="T9702" s="21">
        <v>0</v>
      </c>
      <c r="U9702" s="21">
        <v>0</v>
      </c>
      <c r="V9702" s="21">
        <v>4</v>
      </c>
      <c r="W9702" s="21">
        <v>0</v>
      </c>
      <c r="X9702" s="21">
        <v>0</v>
      </c>
      <c r="Y9702" s="21">
        <v>0</v>
      </c>
      <c r="Z9702" s="21">
        <v>0</v>
      </c>
      <c r="AA9702" s="21">
        <v>0</v>
      </c>
      <c r="AB9702" s="21">
        <v>0</v>
      </c>
      <c r="AC9702" s="21">
        <v>0</v>
      </c>
      <c r="AD9702" s="21">
        <v>0</v>
      </c>
      <c r="AE9702" s="21">
        <v>0</v>
      </c>
      <c r="AF9702" s="21">
        <v>0</v>
      </c>
      <c r="AG9702" s="21">
        <v>0</v>
      </c>
      <c r="AH9702" s="21">
        <f t="shared" si="203"/>
        <v>256</v>
      </c>
      <c r="AJ9702" s="21" t="s">
        <v>6790</v>
      </c>
      <c r="AK9702" s="21" t="s">
        <v>95</v>
      </c>
      <c r="AL9702" s="21" t="s">
        <v>7007</v>
      </c>
      <c r="AM9702" s="21" t="s">
        <v>7009</v>
      </c>
      <c r="AN9702" s="21">
        <v>-122.41363226666699</v>
      </c>
      <c r="AO9702" s="21">
        <v>37.8043592333334</v>
      </c>
      <c r="AP9702" s="21" t="s">
        <v>1915</v>
      </c>
    </row>
    <row r="9703" spans="1:42">
      <c r="A9703" s="1">
        <v>43859</v>
      </c>
      <c r="B9703" s="21">
        <v>3</v>
      </c>
      <c r="C9703" s="21">
        <v>230</v>
      </c>
      <c r="D9703" s="7">
        <v>14467</v>
      </c>
      <c r="E9703" s="7" t="s">
        <v>112</v>
      </c>
      <c r="F9703" s="21" t="s">
        <v>104</v>
      </c>
      <c r="G9703" s="21">
        <v>4</v>
      </c>
      <c r="H9703" s="21">
        <v>120</v>
      </c>
      <c r="I9703" s="21" t="s">
        <v>3055</v>
      </c>
      <c r="J9703" s="21"/>
      <c r="K9703" s="21" t="s">
        <v>1940</v>
      </c>
      <c r="N9703" s="21" t="s">
        <v>40</v>
      </c>
      <c r="O9703" s="21">
        <v>71</v>
      </c>
      <c r="Q9703" s="21">
        <f t="shared" si="202"/>
        <v>1</v>
      </c>
      <c r="R9703" s="21">
        <v>1</v>
      </c>
      <c r="S9703" s="21">
        <v>0</v>
      </c>
      <c r="T9703" s="21">
        <v>0</v>
      </c>
      <c r="U9703" s="21">
        <v>0</v>
      </c>
      <c r="V9703" s="21">
        <v>1</v>
      </c>
      <c r="W9703" s="21">
        <v>0</v>
      </c>
      <c r="X9703" s="21">
        <v>0</v>
      </c>
      <c r="Y9703" s="21">
        <v>0</v>
      </c>
      <c r="Z9703" s="21">
        <v>0</v>
      </c>
      <c r="AA9703" s="21">
        <v>0</v>
      </c>
      <c r="AB9703" s="21">
        <v>0</v>
      </c>
      <c r="AC9703" s="21">
        <v>0</v>
      </c>
      <c r="AD9703" s="21">
        <v>0</v>
      </c>
      <c r="AE9703" s="21">
        <v>0</v>
      </c>
      <c r="AF9703" s="21">
        <v>0</v>
      </c>
      <c r="AG9703" s="21">
        <v>0</v>
      </c>
      <c r="AH9703" s="21">
        <f t="shared" si="203"/>
        <v>64</v>
      </c>
      <c r="AJ9703" s="21" t="s">
        <v>6790</v>
      </c>
      <c r="AK9703" s="21" t="s">
        <v>95</v>
      </c>
      <c r="AL9703" s="21"/>
      <c r="AM9703" s="21" t="s">
        <v>7010</v>
      </c>
      <c r="AN9703" s="21">
        <v>-122.413794916667</v>
      </c>
      <c r="AO9703" s="21">
        <v>37.804356316666599</v>
      </c>
      <c r="AP9703" s="21" t="s">
        <v>1915</v>
      </c>
    </row>
    <row r="9704" spans="1:42">
      <c r="A9704" s="1">
        <v>43859</v>
      </c>
      <c r="B9704" s="21">
        <v>3</v>
      </c>
      <c r="C9704" s="21">
        <v>230</v>
      </c>
      <c r="D9704" s="7">
        <v>14467</v>
      </c>
      <c r="E9704" s="7" t="s">
        <v>112</v>
      </c>
      <c r="F9704" s="21" t="s">
        <v>104</v>
      </c>
      <c r="G9704" s="21">
        <v>4</v>
      </c>
      <c r="H9704" s="21">
        <v>121</v>
      </c>
      <c r="I9704" s="21" t="s">
        <v>7011</v>
      </c>
      <c r="J9704" s="21"/>
      <c r="K9704" s="21" t="s">
        <v>862</v>
      </c>
      <c r="N9704" s="21" t="s">
        <v>40</v>
      </c>
      <c r="O9704" s="21">
        <v>49</v>
      </c>
      <c r="Q9704" s="21">
        <f t="shared" si="202"/>
        <v>3</v>
      </c>
      <c r="R9704" s="21">
        <v>1</v>
      </c>
      <c r="S9704" s="21">
        <v>0</v>
      </c>
      <c r="T9704" s="21">
        <v>0</v>
      </c>
      <c r="U9704" s="21">
        <v>3</v>
      </c>
      <c r="V9704" s="21">
        <v>0</v>
      </c>
      <c r="W9704" s="21">
        <v>0</v>
      </c>
      <c r="X9704" s="21">
        <v>0</v>
      </c>
      <c r="Y9704" s="21">
        <v>0</v>
      </c>
      <c r="Z9704" s="21">
        <v>0</v>
      </c>
      <c r="AA9704" s="21">
        <v>0</v>
      </c>
      <c r="AB9704" s="21">
        <v>0</v>
      </c>
      <c r="AC9704" s="21">
        <v>0</v>
      </c>
      <c r="AD9704" s="21">
        <v>0</v>
      </c>
      <c r="AE9704" s="21">
        <v>0</v>
      </c>
      <c r="AF9704" s="21">
        <v>0</v>
      </c>
      <c r="AG9704" s="21">
        <v>0</v>
      </c>
      <c r="AH9704" s="21">
        <f t="shared" si="203"/>
        <v>96</v>
      </c>
      <c r="AJ9704" s="21" t="s">
        <v>6790</v>
      </c>
      <c r="AK9704" s="21" t="s">
        <v>52</v>
      </c>
      <c r="AL9704" s="21" t="s">
        <v>7012</v>
      </c>
      <c r="AM9704" s="21" t="s">
        <v>7013</v>
      </c>
      <c r="AN9704" s="21">
        <v>-122.413901</v>
      </c>
      <c r="AO9704" s="21">
        <v>37.804324083333299</v>
      </c>
      <c r="AP9704" s="21" t="s">
        <v>1915</v>
      </c>
    </row>
    <row r="9705" spans="1:42">
      <c r="A9705" s="1">
        <v>43859</v>
      </c>
      <c r="B9705" s="21">
        <v>3</v>
      </c>
      <c r="C9705" s="21">
        <v>230</v>
      </c>
      <c r="D9705" s="7">
        <v>14467</v>
      </c>
      <c r="E9705" s="7" t="s">
        <v>112</v>
      </c>
      <c r="F9705" s="21" t="s">
        <v>104</v>
      </c>
      <c r="G9705" s="21">
        <v>4</v>
      </c>
      <c r="H9705" s="21">
        <v>122</v>
      </c>
      <c r="I9705" s="21" t="s">
        <v>7014</v>
      </c>
      <c r="J9705" s="21"/>
      <c r="K9705" s="21" t="s">
        <v>862</v>
      </c>
      <c r="N9705" s="21" t="s">
        <v>40</v>
      </c>
      <c r="O9705" s="21">
        <f>60+22</f>
        <v>82</v>
      </c>
      <c r="Q9705" s="21">
        <f t="shared" si="202"/>
        <v>5</v>
      </c>
      <c r="R9705" s="21">
        <v>1</v>
      </c>
      <c r="S9705" s="21">
        <v>0</v>
      </c>
      <c r="T9705" s="21">
        <v>0</v>
      </c>
      <c r="U9705" s="21">
        <v>5</v>
      </c>
      <c r="V9705" s="21">
        <v>0</v>
      </c>
      <c r="W9705" s="21">
        <v>0</v>
      </c>
      <c r="X9705" s="21">
        <v>0</v>
      </c>
      <c r="Y9705" s="21">
        <v>0</v>
      </c>
      <c r="Z9705" s="21">
        <v>0</v>
      </c>
      <c r="AA9705" s="21">
        <v>0</v>
      </c>
      <c r="AB9705" s="21">
        <v>0</v>
      </c>
      <c r="AC9705" s="21">
        <v>0</v>
      </c>
      <c r="AD9705" s="21">
        <v>0</v>
      </c>
      <c r="AE9705" s="21">
        <v>0</v>
      </c>
      <c r="AF9705" s="21">
        <v>0</v>
      </c>
      <c r="AG9705" s="21">
        <v>0</v>
      </c>
      <c r="AH9705" s="21">
        <f t="shared" si="203"/>
        <v>160</v>
      </c>
      <c r="AJ9705" s="21" t="s">
        <v>6790</v>
      </c>
      <c r="AK9705" s="21" t="s">
        <v>95</v>
      </c>
      <c r="AL9705" s="21" t="s">
        <v>7007</v>
      </c>
      <c r="AM9705" s="21" t="s">
        <v>7015</v>
      </c>
      <c r="AN9705" s="21">
        <v>-122.414198266667</v>
      </c>
      <c r="AO9705" s="21">
        <v>37.804336716666597</v>
      </c>
      <c r="AP9705" s="21" t="s">
        <v>1915</v>
      </c>
    </row>
    <row r="9706" spans="1:42">
      <c r="A9706" s="1">
        <v>43859</v>
      </c>
      <c r="B9706" s="21">
        <v>3</v>
      </c>
      <c r="C9706" s="21">
        <v>230</v>
      </c>
      <c r="D9706" s="7">
        <v>14467</v>
      </c>
      <c r="E9706" s="7" t="s">
        <v>112</v>
      </c>
      <c r="F9706" s="21" t="s">
        <v>104</v>
      </c>
      <c r="G9706" s="21">
        <v>4</v>
      </c>
      <c r="H9706" s="21">
        <v>123</v>
      </c>
      <c r="I9706" s="21" t="s">
        <v>4232</v>
      </c>
      <c r="J9706" s="21"/>
      <c r="K9706" s="21" t="s">
        <v>324</v>
      </c>
      <c r="N9706" s="21" t="s">
        <v>40</v>
      </c>
      <c r="O9706" s="21">
        <v>33</v>
      </c>
      <c r="Q9706" s="21">
        <f t="shared" si="202"/>
        <v>1</v>
      </c>
      <c r="R9706" s="21">
        <v>1</v>
      </c>
      <c r="S9706" s="21">
        <v>0</v>
      </c>
      <c r="T9706" s="21">
        <v>0</v>
      </c>
      <c r="U9706" s="21">
        <v>0</v>
      </c>
      <c r="V9706" s="21">
        <v>1</v>
      </c>
      <c r="W9706" s="21">
        <v>0</v>
      </c>
      <c r="X9706" s="21">
        <v>0</v>
      </c>
      <c r="Y9706" s="21">
        <v>0</v>
      </c>
      <c r="Z9706" s="21">
        <v>0</v>
      </c>
      <c r="AA9706" s="21">
        <v>0</v>
      </c>
      <c r="AB9706" s="21">
        <v>0</v>
      </c>
      <c r="AC9706" s="21">
        <v>0</v>
      </c>
      <c r="AD9706" s="21">
        <v>0</v>
      </c>
      <c r="AE9706" s="21">
        <v>0</v>
      </c>
      <c r="AF9706" s="21">
        <v>0</v>
      </c>
      <c r="AG9706" s="21">
        <v>0</v>
      </c>
      <c r="AH9706" s="21">
        <f t="shared" si="203"/>
        <v>64</v>
      </c>
      <c r="AJ9706" s="21"/>
      <c r="AK9706" s="21"/>
      <c r="AL9706" s="21"/>
      <c r="AM9706" s="21" t="s">
        <v>7016</v>
      </c>
      <c r="AN9706" s="21">
        <v>-122.414319233333</v>
      </c>
      <c r="AO9706" s="21">
        <v>37.8034571166666</v>
      </c>
      <c r="AP9706" s="21" t="s">
        <v>1915</v>
      </c>
    </row>
    <row r="9707" spans="1:42">
      <c r="A9707" s="1">
        <v>43859</v>
      </c>
      <c r="B9707" s="21">
        <v>3</v>
      </c>
      <c r="C9707" s="21">
        <v>230</v>
      </c>
      <c r="D9707" s="7">
        <v>14467</v>
      </c>
      <c r="E9707" s="7" t="s">
        <v>112</v>
      </c>
      <c r="F9707" s="21" t="s">
        <v>104</v>
      </c>
      <c r="G9707" s="21">
        <v>4</v>
      </c>
      <c r="H9707" s="21">
        <v>124</v>
      </c>
      <c r="I9707" s="21" t="s">
        <v>4141</v>
      </c>
      <c r="J9707" s="21"/>
      <c r="K9707" s="21" t="s">
        <v>324</v>
      </c>
      <c r="N9707" s="21" t="s">
        <v>40</v>
      </c>
      <c r="O9707" s="21">
        <v>57</v>
      </c>
      <c r="Q9707" s="21">
        <f t="shared" si="202"/>
        <v>2</v>
      </c>
      <c r="R9707" s="21">
        <v>1</v>
      </c>
      <c r="S9707" s="21">
        <v>0</v>
      </c>
      <c r="T9707" s="21">
        <v>0</v>
      </c>
      <c r="U9707" s="21">
        <v>2</v>
      </c>
      <c r="V9707" s="21">
        <v>0</v>
      </c>
      <c r="W9707" s="21">
        <v>0</v>
      </c>
      <c r="X9707" s="21">
        <v>0</v>
      </c>
      <c r="Y9707" s="21">
        <v>0</v>
      </c>
      <c r="Z9707" s="21">
        <v>0</v>
      </c>
      <c r="AA9707" s="21">
        <v>0</v>
      </c>
      <c r="AB9707" s="21">
        <v>0</v>
      </c>
      <c r="AC9707" s="21">
        <v>0</v>
      </c>
      <c r="AD9707" s="21">
        <v>0</v>
      </c>
      <c r="AE9707" s="21">
        <v>0</v>
      </c>
      <c r="AF9707" s="21">
        <v>0</v>
      </c>
      <c r="AG9707" s="21">
        <v>0</v>
      </c>
      <c r="AH9707" s="21">
        <f t="shared" si="203"/>
        <v>64</v>
      </c>
      <c r="AJ9707" s="21"/>
      <c r="AK9707" s="21"/>
      <c r="AL9707" s="21"/>
      <c r="AM9707" s="21" t="s">
        <v>7017</v>
      </c>
      <c r="AN9707" s="21">
        <v>-122.41408301666701</v>
      </c>
      <c r="AO9707" s="21">
        <v>37.803614583333299</v>
      </c>
      <c r="AP9707" s="21" t="s">
        <v>1915</v>
      </c>
    </row>
    <row r="9708" spans="1:42">
      <c r="A9708" s="1">
        <v>43859</v>
      </c>
      <c r="B9708" s="21">
        <v>3</v>
      </c>
      <c r="C9708" s="21">
        <v>230</v>
      </c>
      <c r="D9708" s="7">
        <v>14467</v>
      </c>
      <c r="E9708" s="7" t="s">
        <v>112</v>
      </c>
      <c r="F9708" s="21" t="s">
        <v>104</v>
      </c>
      <c r="G9708" s="21">
        <v>4</v>
      </c>
      <c r="H9708" s="21">
        <v>125</v>
      </c>
      <c r="I9708" s="21" t="s">
        <v>7018</v>
      </c>
      <c r="J9708" s="21"/>
      <c r="K9708" s="21" t="s">
        <v>324</v>
      </c>
      <c r="N9708" s="21" t="s">
        <v>40</v>
      </c>
      <c r="O9708" s="21">
        <f>60+29</f>
        <v>89</v>
      </c>
      <c r="Q9708" s="21">
        <f t="shared" si="202"/>
        <v>5</v>
      </c>
      <c r="R9708" s="21">
        <v>1</v>
      </c>
      <c r="S9708" s="21">
        <v>2</v>
      </c>
      <c r="T9708" s="21">
        <v>0</v>
      </c>
      <c r="U9708" s="21">
        <v>3</v>
      </c>
      <c r="V9708" s="21">
        <v>0</v>
      </c>
      <c r="W9708" s="21">
        <v>0</v>
      </c>
      <c r="X9708" s="21">
        <v>0</v>
      </c>
      <c r="Y9708" s="21">
        <v>0</v>
      </c>
      <c r="Z9708" s="21">
        <v>0</v>
      </c>
      <c r="AA9708" s="21">
        <v>0</v>
      </c>
      <c r="AB9708" s="21">
        <v>0</v>
      </c>
      <c r="AC9708" s="21">
        <v>0</v>
      </c>
      <c r="AD9708" s="21">
        <v>0</v>
      </c>
      <c r="AE9708" s="21">
        <v>0</v>
      </c>
      <c r="AF9708" s="21">
        <v>0</v>
      </c>
      <c r="AG9708" s="21">
        <v>0</v>
      </c>
      <c r="AH9708" s="21">
        <f t="shared" si="203"/>
        <v>128</v>
      </c>
      <c r="AJ9708" s="21" t="s">
        <v>6790</v>
      </c>
      <c r="AK9708" s="21" t="s">
        <v>52</v>
      </c>
      <c r="AL9708" s="21" t="s">
        <v>7019</v>
      </c>
      <c r="AM9708" s="21" t="s">
        <v>7020</v>
      </c>
      <c r="AN9708" s="21">
        <v>-122.4138921</v>
      </c>
      <c r="AO9708" s="21">
        <v>37.803710916666702</v>
      </c>
      <c r="AP9708" s="21" t="s">
        <v>1915</v>
      </c>
    </row>
    <row r="9709" spans="1:42">
      <c r="A9709" s="1">
        <v>43859</v>
      </c>
      <c r="B9709" s="21">
        <v>3</v>
      </c>
      <c r="C9709" s="21">
        <v>230</v>
      </c>
      <c r="D9709" s="7">
        <v>14467</v>
      </c>
      <c r="E9709" s="7" t="s">
        <v>112</v>
      </c>
      <c r="F9709" s="21" t="s">
        <v>104</v>
      </c>
      <c r="G9709" s="21">
        <v>4</v>
      </c>
      <c r="H9709" s="21">
        <v>126</v>
      </c>
      <c r="I9709" s="21" t="s">
        <v>7021</v>
      </c>
      <c r="J9709" s="21"/>
      <c r="K9709" s="21" t="s">
        <v>324</v>
      </c>
      <c r="N9709" s="21" t="s">
        <v>44</v>
      </c>
      <c r="O9709" s="21">
        <f>120+39</f>
        <v>159</v>
      </c>
      <c r="Q9709" s="21">
        <f t="shared" si="202"/>
        <v>1</v>
      </c>
      <c r="R9709" s="21">
        <v>1</v>
      </c>
      <c r="S9709" s="21">
        <v>0</v>
      </c>
      <c r="T9709" s="21">
        <v>0</v>
      </c>
      <c r="U9709" s="21">
        <v>0</v>
      </c>
      <c r="V9709" s="21">
        <v>1</v>
      </c>
      <c r="W9709" s="21">
        <v>0</v>
      </c>
      <c r="X9709" s="21">
        <v>0</v>
      </c>
      <c r="Y9709" s="21">
        <v>0</v>
      </c>
      <c r="Z9709" s="21">
        <v>0</v>
      </c>
      <c r="AA9709" s="21">
        <v>0</v>
      </c>
      <c r="AB9709" s="21">
        <v>0</v>
      </c>
      <c r="AC9709" s="21">
        <v>0</v>
      </c>
      <c r="AD9709" s="21">
        <v>0</v>
      </c>
      <c r="AE9709" s="21">
        <v>0</v>
      </c>
      <c r="AF9709" s="21">
        <v>0</v>
      </c>
      <c r="AG9709" s="21">
        <v>0</v>
      </c>
      <c r="AH9709" s="21">
        <f t="shared" si="203"/>
        <v>64</v>
      </c>
      <c r="AJ9709" s="21" t="s">
        <v>6790</v>
      </c>
      <c r="AK9709" s="21" t="s">
        <v>52</v>
      </c>
      <c r="AL9709" s="21" t="s">
        <v>7022</v>
      </c>
      <c r="AM9709" s="21" t="s">
        <v>7023</v>
      </c>
      <c r="AN9709" s="21">
        <v>-122.413642133333</v>
      </c>
      <c r="AO9709" s="21">
        <v>37.803674883333301</v>
      </c>
      <c r="AP9709" s="21" t="s">
        <v>1915</v>
      </c>
    </row>
    <row r="9710" spans="1:42">
      <c r="A9710" s="1">
        <v>43859</v>
      </c>
      <c r="B9710" s="21">
        <v>3</v>
      </c>
      <c r="C9710" s="21">
        <v>230</v>
      </c>
      <c r="D9710" s="7">
        <v>14467</v>
      </c>
      <c r="E9710" s="7" t="s">
        <v>112</v>
      </c>
      <c r="F9710" s="21" t="s">
        <v>104</v>
      </c>
      <c r="G9710" s="21">
        <v>4</v>
      </c>
      <c r="H9710" s="21">
        <v>127</v>
      </c>
      <c r="I9710" s="21" t="s">
        <v>7024</v>
      </c>
      <c r="J9710" s="21"/>
      <c r="K9710" s="21" t="s">
        <v>324</v>
      </c>
      <c r="N9710" s="21" t="s">
        <v>40</v>
      </c>
      <c r="O9710" s="21">
        <v>31</v>
      </c>
      <c r="Q9710" s="21">
        <f t="shared" si="202"/>
        <v>2</v>
      </c>
      <c r="R9710" s="21">
        <v>1</v>
      </c>
      <c r="S9710" s="21">
        <v>1</v>
      </c>
      <c r="T9710" s="21">
        <v>0</v>
      </c>
      <c r="U9710" s="21">
        <v>1</v>
      </c>
      <c r="V9710" s="21">
        <v>0</v>
      </c>
      <c r="W9710" s="21">
        <v>0</v>
      </c>
      <c r="X9710" s="21">
        <v>0</v>
      </c>
      <c r="Y9710" s="21">
        <v>0</v>
      </c>
      <c r="Z9710" s="21">
        <v>0</v>
      </c>
      <c r="AA9710" s="21">
        <v>0</v>
      </c>
      <c r="AB9710" s="21">
        <v>0</v>
      </c>
      <c r="AC9710" s="21">
        <v>0</v>
      </c>
      <c r="AD9710" s="21">
        <v>0</v>
      </c>
      <c r="AE9710" s="21">
        <v>0</v>
      </c>
      <c r="AF9710" s="21">
        <v>0</v>
      </c>
      <c r="AG9710" s="21">
        <v>0</v>
      </c>
      <c r="AH9710" s="21">
        <f t="shared" si="203"/>
        <v>48</v>
      </c>
      <c r="AJ9710" s="21" t="s">
        <v>6790</v>
      </c>
      <c r="AK9710" s="21" t="s">
        <v>52</v>
      </c>
      <c r="AL9710" s="21"/>
      <c r="AM9710" s="21" t="s">
        <v>7025</v>
      </c>
      <c r="AN9710" s="21">
        <v>-122.4134727</v>
      </c>
      <c r="AO9710" s="21">
        <v>37.8036936166666</v>
      </c>
      <c r="AP9710" s="21" t="s">
        <v>1915</v>
      </c>
    </row>
    <row r="9711" spans="1:42">
      <c r="A9711" s="1">
        <v>43859</v>
      </c>
      <c r="B9711" s="21">
        <v>3</v>
      </c>
      <c r="C9711" s="21">
        <v>230</v>
      </c>
      <c r="D9711" s="7">
        <v>14467</v>
      </c>
      <c r="E9711" s="7" t="s">
        <v>112</v>
      </c>
      <c r="F9711" s="21" t="s">
        <v>104</v>
      </c>
      <c r="G9711" s="21">
        <v>4</v>
      </c>
      <c r="H9711" s="21">
        <v>128</v>
      </c>
      <c r="I9711" s="21" t="s">
        <v>4750</v>
      </c>
      <c r="J9711" s="21"/>
      <c r="K9711" s="21" t="s">
        <v>6992</v>
      </c>
      <c r="N9711" s="21" t="s">
        <v>40</v>
      </c>
      <c r="O9711" s="21">
        <v>35</v>
      </c>
      <c r="Q9711" s="21">
        <f t="shared" si="202"/>
        <v>1</v>
      </c>
      <c r="R9711" s="21">
        <v>1</v>
      </c>
      <c r="S9711" s="21">
        <v>0</v>
      </c>
      <c r="T9711" s="21">
        <v>1</v>
      </c>
      <c r="U9711" s="21">
        <v>0</v>
      </c>
      <c r="V9711" s="21">
        <v>0</v>
      </c>
      <c r="W9711" s="21">
        <v>0</v>
      </c>
      <c r="X9711" s="21">
        <v>0</v>
      </c>
      <c r="Y9711" s="21">
        <v>0</v>
      </c>
      <c r="Z9711" s="21">
        <v>0</v>
      </c>
      <c r="AA9711" s="21">
        <v>0</v>
      </c>
      <c r="AB9711" s="21">
        <v>0</v>
      </c>
      <c r="AC9711" s="21">
        <v>0</v>
      </c>
      <c r="AD9711" s="21">
        <v>0</v>
      </c>
      <c r="AE9711" s="21">
        <v>0</v>
      </c>
      <c r="AF9711" s="21">
        <v>0</v>
      </c>
      <c r="AG9711" s="21">
        <v>0</v>
      </c>
      <c r="AH9711" s="21">
        <f t="shared" si="203"/>
        <v>20</v>
      </c>
      <c r="AJ9711" s="21" t="s">
        <v>6790</v>
      </c>
      <c r="AK9711" s="21" t="s">
        <v>52</v>
      </c>
      <c r="AL9711" s="21"/>
      <c r="AM9711" s="21" t="s">
        <v>7026</v>
      </c>
      <c r="AN9711" s="21">
        <v>-122.413317666667</v>
      </c>
      <c r="AO9711" s="21">
        <v>37.803629166666703</v>
      </c>
      <c r="AP9711" s="21" t="s">
        <v>1915</v>
      </c>
    </row>
    <row r="9712" spans="1:42">
      <c r="A9712" s="1">
        <v>43859</v>
      </c>
      <c r="B9712" s="21">
        <v>3</v>
      </c>
      <c r="C9712" s="21">
        <v>230</v>
      </c>
      <c r="D9712" s="7">
        <v>14467</v>
      </c>
      <c r="E9712" s="7" t="s">
        <v>112</v>
      </c>
      <c r="F9712" s="21" t="s">
        <v>104</v>
      </c>
      <c r="G9712" s="21">
        <v>4</v>
      </c>
      <c r="H9712" s="21">
        <v>129</v>
      </c>
      <c r="I9712" s="21" t="s">
        <v>7027</v>
      </c>
      <c r="J9712" s="21"/>
      <c r="K9712" s="21" t="s">
        <v>6992</v>
      </c>
      <c r="N9712" s="21" t="s">
        <v>44</v>
      </c>
      <c r="O9712" s="21">
        <f>60+38</f>
        <v>98</v>
      </c>
      <c r="Q9712" s="21">
        <f t="shared" si="202"/>
        <v>2</v>
      </c>
      <c r="R9712" s="21">
        <v>1</v>
      </c>
      <c r="S9712" s="21">
        <v>0</v>
      </c>
      <c r="T9712" s="21">
        <v>0</v>
      </c>
      <c r="U9712" s="21">
        <v>0</v>
      </c>
      <c r="V9712" s="21">
        <v>1</v>
      </c>
      <c r="W9712" s="21">
        <v>1</v>
      </c>
      <c r="X9712" s="21">
        <v>0</v>
      </c>
      <c r="Y9712" s="21">
        <v>0</v>
      </c>
      <c r="Z9712" s="21">
        <v>0</v>
      </c>
      <c r="AA9712" s="21">
        <v>0</v>
      </c>
      <c r="AB9712" s="21">
        <v>0</v>
      </c>
      <c r="AC9712" s="21">
        <v>0</v>
      </c>
      <c r="AD9712" s="21">
        <v>0</v>
      </c>
      <c r="AE9712" s="21">
        <v>0</v>
      </c>
      <c r="AF9712" s="21">
        <v>0</v>
      </c>
      <c r="AG9712" s="21">
        <v>0</v>
      </c>
      <c r="AH9712" s="21">
        <f t="shared" si="203"/>
        <v>160</v>
      </c>
      <c r="AJ9712" s="21" t="s">
        <v>6790</v>
      </c>
      <c r="AK9712" s="21" t="s">
        <v>52</v>
      </c>
      <c r="AL9712" s="21" t="s">
        <v>7028</v>
      </c>
      <c r="AM9712" s="21" t="s">
        <v>7029</v>
      </c>
      <c r="AN9712" s="21">
        <v>-122.413223883333</v>
      </c>
      <c r="AO9712" s="21">
        <v>37.803603266666698</v>
      </c>
      <c r="AP9712" s="21" t="s">
        <v>1915</v>
      </c>
    </row>
    <row r="9713" spans="1:42">
      <c r="A9713" s="1">
        <v>43859</v>
      </c>
      <c r="B9713" s="21">
        <v>3</v>
      </c>
      <c r="C9713" s="21">
        <v>230</v>
      </c>
      <c r="D9713" s="7">
        <v>14467</v>
      </c>
      <c r="E9713" s="7" t="s">
        <v>112</v>
      </c>
      <c r="F9713" s="21" t="s">
        <v>104</v>
      </c>
      <c r="G9713" s="21">
        <v>4</v>
      </c>
      <c r="H9713" s="21">
        <v>130</v>
      </c>
      <c r="I9713" s="21" t="s">
        <v>7030</v>
      </c>
      <c r="J9713" s="21"/>
      <c r="K9713" s="21" t="s">
        <v>6992</v>
      </c>
      <c r="N9713" s="21" t="s">
        <v>44</v>
      </c>
      <c r="O9713" s="21">
        <f>120+21</f>
        <v>141</v>
      </c>
      <c r="Q9713" s="21">
        <f t="shared" si="202"/>
        <v>2</v>
      </c>
      <c r="R9713" s="21">
        <v>1</v>
      </c>
      <c r="S9713" s="21">
        <v>0</v>
      </c>
      <c r="T9713" s="21">
        <v>0</v>
      </c>
      <c r="U9713" s="21">
        <v>1</v>
      </c>
      <c r="V9713" s="21">
        <v>0</v>
      </c>
      <c r="W9713" s="21">
        <v>1</v>
      </c>
      <c r="X9713" s="21">
        <v>0</v>
      </c>
      <c r="Y9713" s="21">
        <v>0</v>
      </c>
      <c r="Z9713" s="21">
        <v>0</v>
      </c>
      <c r="AA9713" s="21">
        <v>0</v>
      </c>
      <c r="AB9713" s="21">
        <v>0</v>
      </c>
      <c r="AC9713" s="21">
        <v>0</v>
      </c>
      <c r="AD9713" s="21">
        <v>0</v>
      </c>
      <c r="AE9713" s="21">
        <v>0</v>
      </c>
      <c r="AF9713" s="21">
        <v>0</v>
      </c>
      <c r="AG9713" s="21">
        <v>0</v>
      </c>
      <c r="AH9713" s="21">
        <f t="shared" si="203"/>
        <v>128</v>
      </c>
      <c r="AJ9713" s="21" t="s">
        <v>6790</v>
      </c>
      <c r="AK9713" s="21" t="s">
        <v>52</v>
      </c>
      <c r="AL9713" s="21" t="s">
        <v>7031</v>
      </c>
      <c r="AM9713" s="21" t="s">
        <v>7032</v>
      </c>
      <c r="AN9713" s="21">
        <v>-122.41351911458401</v>
      </c>
      <c r="AO9713" s="21">
        <v>37.803715829623201</v>
      </c>
      <c r="AP9713" s="21" t="s">
        <v>1915</v>
      </c>
    </row>
    <row r="9714" spans="1:42">
      <c r="A9714" s="1">
        <v>43859</v>
      </c>
      <c r="B9714" s="21">
        <v>3</v>
      </c>
      <c r="C9714" s="21">
        <v>230</v>
      </c>
      <c r="D9714" s="7">
        <v>14467</v>
      </c>
      <c r="E9714" s="7" t="s">
        <v>112</v>
      </c>
      <c r="F9714" s="21" t="s">
        <v>104</v>
      </c>
      <c r="G9714" s="21">
        <v>4</v>
      </c>
      <c r="H9714" s="21">
        <v>131</v>
      </c>
      <c r="I9714" s="21" t="s">
        <v>7033</v>
      </c>
      <c r="J9714" s="21" t="s">
        <v>7034</v>
      </c>
      <c r="K9714" s="21" t="s">
        <v>6992</v>
      </c>
      <c r="N9714" s="21" t="s">
        <v>40</v>
      </c>
      <c r="O9714" s="21">
        <f>60+16</f>
        <v>76</v>
      </c>
      <c r="Q9714" s="21">
        <f t="shared" si="202"/>
        <v>5</v>
      </c>
      <c r="R9714" s="21">
        <v>1</v>
      </c>
      <c r="S9714" s="21">
        <v>0</v>
      </c>
      <c r="T9714" s="21">
        <v>0</v>
      </c>
      <c r="U9714" s="21">
        <v>3</v>
      </c>
      <c r="V9714" s="21">
        <v>2</v>
      </c>
      <c r="W9714" s="21">
        <v>0</v>
      </c>
      <c r="X9714" s="21">
        <v>0</v>
      </c>
      <c r="Y9714" s="21">
        <v>0</v>
      </c>
      <c r="Z9714" s="21">
        <v>0</v>
      </c>
      <c r="AA9714" s="21">
        <v>0</v>
      </c>
      <c r="AB9714" s="21">
        <v>0</v>
      </c>
      <c r="AC9714" s="21">
        <v>0</v>
      </c>
      <c r="AD9714" s="21">
        <v>0</v>
      </c>
      <c r="AE9714" s="21">
        <v>0</v>
      </c>
      <c r="AF9714" s="21">
        <v>0</v>
      </c>
      <c r="AG9714" s="21">
        <v>0</v>
      </c>
      <c r="AH9714" s="21">
        <f t="shared" si="203"/>
        <v>224</v>
      </c>
      <c r="AJ9714" s="21"/>
      <c r="AK9714" s="21"/>
      <c r="AL9714" s="21"/>
      <c r="AM9714" s="21" t="s">
        <v>7035</v>
      </c>
      <c r="AN9714" s="21">
        <v>-122.4131328</v>
      </c>
      <c r="AO9714" s="21">
        <v>37.803320716666697</v>
      </c>
      <c r="AP9714" s="21" t="s">
        <v>1915</v>
      </c>
    </row>
    <row r="9715" spans="1:42">
      <c r="A9715" s="1">
        <v>43859</v>
      </c>
      <c r="B9715" s="21">
        <v>3</v>
      </c>
      <c r="C9715" s="21">
        <v>230</v>
      </c>
      <c r="D9715" s="7">
        <v>14467</v>
      </c>
      <c r="E9715" s="7" t="s">
        <v>112</v>
      </c>
      <c r="F9715" s="21" t="s">
        <v>104</v>
      </c>
      <c r="G9715" s="21">
        <v>4</v>
      </c>
      <c r="H9715" s="21">
        <v>132</v>
      </c>
      <c r="I9715" s="21" t="s">
        <v>7036</v>
      </c>
      <c r="J9715" s="21"/>
      <c r="K9715" s="21" t="s">
        <v>6992</v>
      </c>
      <c r="N9715" s="21" t="s">
        <v>40</v>
      </c>
      <c r="O9715" s="21">
        <v>39</v>
      </c>
      <c r="Q9715" s="21">
        <f t="shared" si="202"/>
        <v>2</v>
      </c>
      <c r="R9715" s="21">
        <v>1</v>
      </c>
      <c r="S9715" s="21">
        <v>0</v>
      </c>
      <c r="T9715" s="21">
        <v>1</v>
      </c>
      <c r="U9715" s="21">
        <v>1</v>
      </c>
      <c r="V9715" s="21">
        <v>0</v>
      </c>
      <c r="W9715" s="21">
        <v>0</v>
      </c>
      <c r="X9715" s="21">
        <v>0</v>
      </c>
      <c r="Y9715" s="21">
        <v>0</v>
      </c>
      <c r="Z9715" s="21">
        <v>0</v>
      </c>
      <c r="AA9715" s="21">
        <v>0</v>
      </c>
      <c r="AB9715" s="21">
        <v>0</v>
      </c>
      <c r="AC9715" s="21">
        <v>0</v>
      </c>
      <c r="AD9715" s="21">
        <v>0</v>
      </c>
      <c r="AE9715" s="21">
        <v>0</v>
      </c>
      <c r="AF9715" s="21">
        <v>0</v>
      </c>
      <c r="AG9715" s="21">
        <v>0</v>
      </c>
      <c r="AH9715" s="21">
        <f t="shared" si="203"/>
        <v>52</v>
      </c>
      <c r="AJ9715" s="21" t="s">
        <v>6790</v>
      </c>
      <c r="AK9715" s="21" t="s">
        <v>52</v>
      </c>
      <c r="AL9715" s="21"/>
      <c r="AM9715" s="21" t="s">
        <v>7037</v>
      </c>
      <c r="AN9715" s="21">
        <v>-122.413157016667</v>
      </c>
      <c r="AO9715" s="21">
        <v>37.803238783333299</v>
      </c>
      <c r="AP9715" s="21" t="s">
        <v>1915</v>
      </c>
    </row>
    <row r="9716" spans="1:42">
      <c r="A9716" s="20">
        <v>43871</v>
      </c>
      <c r="B9716" s="21">
        <v>1</v>
      </c>
      <c r="C9716" s="21">
        <v>232</v>
      </c>
      <c r="D9716" s="21">
        <v>14476</v>
      </c>
      <c r="E9716" s="7" t="s">
        <v>112</v>
      </c>
      <c r="F9716" s="21" t="s">
        <v>104</v>
      </c>
      <c r="G9716" s="21">
        <v>2</v>
      </c>
      <c r="H9716" s="21">
        <v>1</v>
      </c>
      <c r="I9716" s="21" t="s">
        <v>3852</v>
      </c>
      <c r="J9716" s="21"/>
      <c r="K9716" s="21" t="s">
        <v>407</v>
      </c>
      <c r="L9716" s="21" t="s">
        <v>114</v>
      </c>
      <c r="M9716" s="21" t="s">
        <v>7038</v>
      </c>
      <c r="N9716" s="21" t="s">
        <v>44</v>
      </c>
      <c r="O9716" s="21">
        <v>140</v>
      </c>
      <c r="P9716" s="21"/>
      <c r="Q9716" s="21">
        <f>S9716+T9716+U9716+V9716+W9716+X9716+Y9716+Z9716+AA9716+AB9716+AE9716+AF9716</f>
        <v>3</v>
      </c>
      <c r="R9716" s="21">
        <v>1</v>
      </c>
      <c r="S9716" s="21">
        <v>0</v>
      </c>
      <c r="T9716" s="21">
        <v>0</v>
      </c>
      <c r="U9716" s="21">
        <v>0</v>
      </c>
      <c r="V9716" s="21">
        <v>1</v>
      </c>
      <c r="W9716" s="21">
        <v>2</v>
      </c>
      <c r="X9716" s="21">
        <v>0</v>
      </c>
      <c r="Y9716" s="21">
        <v>0</v>
      </c>
      <c r="Z9716" s="21">
        <v>0</v>
      </c>
      <c r="AA9716" s="21">
        <v>0</v>
      </c>
      <c r="AB9716" s="21">
        <v>0</v>
      </c>
      <c r="AC9716" s="21">
        <v>0</v>
      </c>
      <c r="AD9716" s="21">
        <v>0</v>
      </c>
      <c r="AE9716" s="21">
        <v>0</v>
      </c>
      <c r="AF9716" s="21">
        <v>0</v>
      </c>
      <c r="AG9716" s="21"/>
      <c r="AH9716" s="21">
        <f t="shared" si="203"/>
        <v>256</v>
      </c>
      <c r="AI9716" s="21"/>
      <c r="AJ9716" s="21" t="s">
        <v>51</v>
      </c>
      <c r="AK9716" s="21" t="s">
        <v>52</v>
      </c>
      <c r="AL9716" s="21" t="s">
        <v>7039</v>
      </c>
      <c r="AM9716" s="21" t="s">
        <v>7040</v>
      </c>
      <c r="AN9716" s="21">
        <v>-122.409862333333</v>
      </c>
      <c r="AO9716" s="21">
        <v>37.798004116666696</v>
      </c>
      <c r="AP9716" s="21" t="s">
        <v>116</v>
      </c>
    </row>
    <row r="9717" spans="1:42">
      <c r="A9717" s="20">
        <v>43871</v>
      </c>
      <c r="B9717" s="21">
        <v>1</v>
      </c>
      <c r="C9717" s="21">
        <v>232</v>
      </c>
      <c r="D9717" s="21">
        <v>14476</v>
      </c>
      <c r="E9717" s="7" t="s">
        <v>112</v>
      </c>
      <c r="F9717" s="21" t="s">
        <v>104</v>
      </c>
      <c r="G9717" s="21">
        <v>2</v>
      </c>
      <c r="H9717" s="21">
        <v>2</v>
      </c>
      <c r="I9717" s="21" t="s">
        <v>7041</v>
      </c>
      <c r="J9717" s="21"/>
      <c r="K9717" s="21" t="s">
        <v>407</v>
      </c>
      <c r="L9717" s="21" t="s">
        <v>114</v>
      </c>
      <c r="M9717" s="21" t="s">
        <v>7038</v>
      </c>
      <c r="N9717" s="21" t="s">
        <v>44</v>
      </c>
      <c r="O9717" s="21">
        <v>134</v>
      </c>
      <c r="P9717" s="21"/>
      <c r="Q9717" s="21">
        <f t="shared" ref="Q9717:Q9780" si="204">S9717+T9717+U9717+V9717+W9717+X9717+Y9717+Z9717+AA9717+AB9717+AE9717+AF9717</f>
        <v>3</v>
      </c>
      <c r="R9717" s="21">
        <v>1</v>
      </c>
      <c r="S9717" s="21">
        <v>0</v>
      </c>
      <c r="T9717" s="21">
        <v>0</v>
      </c>
      <c r="U9717" s="21">
        <v>0</v>
      </c>
      <c r="V9717" s="21">
        <v>2</v>
      </c>
      <c r="W9717" s="21">
        <v>1</v>
      </c>
      <c r="X9717" s="21">
        <v>0</v>
      </c>
      <c r="Y9717" s="21">
        <v>0</v>
      </c>
      <c r="Z9717" s="21">
        <v>0</v>
      </c>
      <c r="AA9717" s="21">
        <v>0</v>
      </c>
      <c r="AB9717" s="21">
        <v>0</v>
      </c>
      <c r="AC9717" s="21">
        <v>0</v>
      </c>
      <c r="AD9717" s="21">
        <v>0</v>
      </c>
      <c r="AE9717" s="21">
        <v>0</v>
      </c>
      <c r="AF9717" s="21">
        <v>0</v>
      </c>
      <c r="AG9717" s="21"/>
      <c r="AH9717" s="21">
        <f t="shared" ref="AH9717:AH9780" si="205">(S9717*16)+(T9717*20)+(U9717*32)+(V9717*64)+(W9717*96)</f>
        <v>224</v>
      </c>
      <c r="AI9717" s="21"/>
      <c r="AJ9717" s="21" t="s">
        <v>51</v>
      </c>
      <c r="AK9717" s="21" t="s">
        <v>52</v>
      </c>
      <c r="AL9717" s="21" t="s">
        <v>7042</v>
      </c>
      <c r="AM9717" s="21" t="s">
        <v>7043</v>
      </c>
      <c r="AN9717" s="21">
        <v>-122.40977400738301</v>
      </c>
      <c r="AO9717" s="21">
        <v>37.797205658702303</v>
      </c>
      <c r="AP9717" s="21" t="s">
        <v>116</v>
      </c>
    </row>
    <row r="9718" spans="1:42">
      <c r="A9718" s="20">
        <v>43871</v>
      </c>
      <c r="B9718" s="21">
        <v>1</v>
      </c>
      <c r="C9718" s="21">
        <v>232</v>
      </c>
      <c r="D9718" s="21">
        <v>14476</v>
      </c>
      <c r="E9718" s="7" t="s">
        <v>112</v>
      </c>
      <c r="F9718" s="21" t="s">
        <v>104</v>
      </c>
      <c r="G9718" s="21">
        <v>2</v>
      </c>
      <c r="H9718" s="21">
        <v>3</v>
      </c>
      <c r="I9718" s="21" t="s">
        <v>7044</v>
      </c>
      <c r="J9718" s="21"/>
      <c r="K9718" s="21" t="s">
        <v>585</v>
      </c>
      <c r="L9718" s="21" t="s">
        <v>114</v>
      </c>
      <c r="M9718" s="21" t="s">
        <v>7038</v>
      </c>
      <c r="N9718" s="21" t="s">
        <v>44</v>
      </c>
      <c r="O9718" s="21">
        <v>90</v>
      </c>
      <c r="P9718" s="21"/>
      <c r="Q9718" s="21">
        <f t="shared" si="204"/>
        <v>1</v>
      </c>
      <c r="R9718" s="21">
        <v>1</v>
      </c>
      <c r="S9718" s="21">
        <v>0</v>
      </c>
      <c r="T9718" s="21">
        <v>0</v>
      </c>
      <c r="U9718" s="21">
        <v>0</v>
      </c>
      <c r="V9718" s="21">
        <v>0</v>
      </c>
      <c r="W9718" s="21">
        <v>1</v>
      </c>
      <c r="X9718" s="21">
        <v>0</v>
      </c>
      <c r="Y9718" s="21">
        <v>0</v>
      </c>
      <c r="Z9718" s="21">
        <v>0</v>
      </c>
      <c r="AA9718" s="21">
        <v>0</v>
      </c>
      <c r="AB9718" s="21">
        <v>0</v>
      </c>
      <c r="AC9718" s="21">
        <v>0</v>
      </c>
      <c r="AD9718" s="21">
        <v>0</v>
      </c>
      <c r="AE9718" s="21">
        <v>0</v>
      </c>
      <c r="AF9718" s="21">
        <v>0</v>
      </c>
      <c r="AG9718" s="21"/>
      <c r="AH9718" s="21">
        <f t="shared" si="205"/>
        <v>96</v>
      </c>
      <c r="AI9718" s="21"/>
      <c r="AJ9718" s="21" t="s">
        <v>51</v>
      </c>
      <c r="AK9718" s="21" t="s">
        <v>52</v>
      </c>
      <c r="AL9718" s="21" t="s">
        <v>7045</v>
      </c>
      <c r="AM9718" s="21" t="s">
        <v>7046</v>
      </c>
      <c r="AN9718" s="21">
        <v>-122.41005053333301</v>
      </c>
      <c r="AO9718" s="21">
        <v>37.798365883333297</v>
      </c>
      <c r="AP9718" s="21" t="s">
        <v>116</v>
      </c>
    </row>
    <row r="9719" spans="1:42">
      <c r="A9719" s="20">
        <v>43871</v>
      </c>
      <c r="B9719" s="21">
        <v>1</v>
      </c>
      <c r="C9719" s="21">
        <v>232</v>
      </c>
      <c r="D9719" s="21">
        <v>14476</v>
      </c>
      <c r="E9719" s="7" t="s">
        <v>112</v>
      </c>
      <c r="F9719" s="21" t="s">
        <v>104</v>
      </c>
      <c r="G9719" s="21">
        <v>2</v>
      </c>
      <c r="H9719" s="21">
        <v>4</v>
      </c>
      <c r="I9719" s="21" t="s">
        <v>7047</v>
      </c>
      <c r="J9719" s="21"/>
      <c r="K9719" s="21" t="s">
        <v>585</v>
      </c>
      <c r="L9719" s="21" t="s">
        <v>141</v>
      </c>
      <c r="M9719" s="21" t="s">
        <v>7038</v>
      </c>
      <c r="N9719" s="21" t="s">
        <v>40</v>
      </c>
      <c r="O9719" s="21">
        <v>85</v>
      </c>
      <c r="P9719" s="21"/>
      <c r="Q9719" s="21">
        <f t="shared" si="204"/>
        <v>3</v>
      </c>
      <c r="R9719" s="21">
        <v>1</v>
      </c>
      <c r="S9719" s="21">
        <v>0</v>
      </c>
      <c r="T9719" s="21">
        <v>0</v>
      </c>
      <c r="U9719" s="21">
        <v>0</v>
      </c>
      <c r="V9719" s="21">
        <v>0</v>
      </c>
      <c r="W9719" s="21">
        <v>3</v>
      </c>
      <c r="X9719" s="21">
        <v>0</v>
      </c>
      <c r="Y9719" s="21">
        <v>0</v>
      </c>
      <c r="Z9719" s="21">
        <v>0</v>
      </c>
      <c r="AA9719" s="21">
        <v>0</v>
      </c>
      <c r="AB9719" s="21">
        <v>0</v>
      </c>
      <c r="AC9719" s="21">
        <v>0</v>
      </c>
      <c r="AD9719" s="21">
        <v>0</v>
      </c>
      <c r="AE9719" s="21">
        <v>0</v>
      </c>
      <c r="AF9719" s="21">
        <v>0</v>
      </c>
      <c r="AG9719" s="21"/>
      <c r="AH9719" s="21">
        <f t="shared" si="205"/>
        <v>288</v>
      </c>
      <c r="AI9719" s="21"/>
      <c r="AJ9719" s="21" t="s">
        <v>51</v>
      </c>
      <c r="AK9719" s="21" t="s">
        <v>52</v>
      </c>
      <c r="AL9719" s="21"/>
      <c r="AM9719" s="21" t="s">
        <v>7048</v>
      </c>
      <c r="AN9719" s="21">
        <v>-122.41007861666699</v>
      </c>
      <c r="AO9719" s="21">
        <v>37.798394366666599</v>
      </c>
      <c r="AP9719" s="21" t="s">
        <v>116</v>
      </c>
    </row>
    <row r="9720" spans="1:42">
      <c r="A9720" s="20">
        <v>43871</v>
      </c>
      <c r="B9720" s="21">
        <v>1</v>
      </c>
      <c r="C9720" s="21">
        <v>232</v>
      </c>
      <c r="D9720" s="21">
        <v>14476</v>
      </c>
      <c r="E9720" s="7" t="s">
        <v>112</v>
      </c>
      <c r="F9720" s="21" t="s">
        <v>104</v>
      </c>
      <c r="G9720" s="21">
        <v>2</v>
      </c>
      <c r="H9720" s="21">
        <v>5</v>
      </c>
      <c r="I9720" s="21" t="s">
        <v>7049</v>
      </c>
      <c r="J9720" s="21"/>
      <c r="K9720" s="21" t="s">
        <v>585</v>
      </c>
      <c r="L9720" s="21" t="s">
        <v>141</v>
      </c>
      <c r="M9720" s="21" t="s">
        <v>7038</v>
      </c>
      <c r="N9720" s="21" t="s">
        <v>40</v>
      </c>
      <c r="O9720" s="21">
        <v>28</v>
      </c>
      <c r="P9720" s="21"/>
      <c r="Q9720" s="21">
        <f t="shared" si="204"/>
        <v>1</v>
      </c>
      <c r="R9720" s="21">
        <v>1</v>
      </c>
      <c r="S9720" s="21">
        <v>0</v>
      </c>
      <c r="T9720" s="21">
        <v>0</v>
      </c>
      <c r="U9720" s="21">
        <v>0</v>
      </c>
      <c r="V9720" s="21">
        <v>0</v>
      </c>
      <c r="W9720" s="21">
        <v>1</v>
      </c>
      <c r="X9720" s="21">
        <v>0</v>
      </c>
      <c r="Y9720" s="21">
        <v>0</v>
      </c>
      <c r="Z9720" s="21">
        <v>0</v>
      </c>
      <c r="AA9720" s="21">
        <v>0</v>
      </c>
      <c r="AB9720" s="21">
        <v>0</v>
      </c>
      <c r="AC9720" s="21">
        <v>0</v>
      </c>
      <c r="AD9720" s="21">
        <v>0</v>
      </c>
      <c r="AE9720" s="21">
        <v>0</v>
      </c>
      <c r="AF9720" s="21">
        <v>0</v>
      </c>
      <c r="AG9720" s="21"/>
      <c r="AH9720" s="21">
        <f t="shared" si="205"/>
        <v>96</v>
      </c>
      <c r="AI9720" s="21"/>
      <c r="AJ9720" s="21" t="s">
        <v>51</v>
      </c>
      <c r="AK9720" s="21" t="s">
        <v>52</v>
      </c>
      <c r="AL9720" s="21"/>
      <c r="AM9720" s="21" t="s">
        <v>7050</v>
      </c>
      <c r="AN9720" s="21">
        <v>-122.4095196</v>
      </c>
      <c r="AO9720" s="21">
        <v>37.798513333333297</v>
      </c>
      <c r="AP9720" s="21" t="s">
        <v>116</v>
      </c>
    </row>
    <row r="9721" spans="1:42">
      <c r="A9721" s="20">
        <v>43871</v>
      </c>
      <c r="B9721" s="21">
        <v>1</v>
      </c>
      <c r="C9721" s="21">
        <v>232</v>
      </c>
      <c r="D9721" s="21">
        <v>14476</v>
      </c>
      <c r="E9721" s="7" t="s">
        <v>112</v>
      </c>
      <c r="F9721" s="21" t="s">
        <v>104</v>
      </c>
      <c r="G9721" s="21">
        <v>2</v>
      </c>
      <c r="H9721" s="21">
        <v>6</v>
      </c>
      <c r="I9721" s="21" t="s">
        <v>3206</v>
      </c>
      <c r="J9721" s="21"/>
      <c r="K9721" s="21" t="s">
        <v>585</v>
      </c>
      <c r="L9721" s="21" t="s">
        <v>141</v>
      </c>
      <c r="M9721" s="21" t="s">
        <v>7038</v>
      </c>
      <c r="N9721" s="21" t="s">
        <v>44</v>
      </c>
      <c r="O9721" s="21">
        <v>94</v>
      </c>
      <c r="P9721" s="21"/>
      <c r="Q9721" s="21">
        <f t="shared" si="204"/>
        <v>1</v>
      </c>
      <c r="R9721" s="21">
        <v>1</v>
      </c>
      <c r="S9721" s="21">
        <v>0</v>
      </c>
      <c r="T9721" s="21">
        <v>0</v>
      </c>
      <c r="U9721" s="21">
        <v>0</v>
      </c>
      <c r="V9721" s="21">
        <v>1</v>
      </c>
      <c r="W9721" s="21">
        <v>0</v>
      </c>
      <c r="X9721" s="21">
        <v>0</v>
      </c>
      <c r="Y9721" s="21">
        <v>0</v>
      </c>
      <c r="Z9721" s="21">
        <v>0</v>
      </c>
      <c r="AA9721" s="21">
        <v>0</v>
      </c>
      <c r="AB9721" s="21">
        <v>0</v>
      </c>
      <c r="AC9721" s="21">
        <v>0</v>
      </c>
      <c r="AD9721" s="21">
        <v>0</v>
      </c>
      <c r="AE9721" s="21">
        <v>0</v>
      </c>
      <c r="AF9721" s="21">
        <v>0</v>
      </c>
      <c r="AG9721" s="21"/>
      <c r="AH9721" s="21">
        <f t="shared" si="205"/>
        <v>64</v>
      </c>
      <c r="AI9721" s="21"/>
      <c r="AJ9721" s="21" t="s">
        <v>51</v>
      </c>
      <c r="AK9721" s="21" t="s">
        <v>52</v>
      </c>
      <c r="AL9721" s="21" t="s">
        <v>7051</v>
      </c>
      <c r="AM9721" s="21" t="s">
        <v>7052</v>
      </c>
      <c r="AN9721" s="21">
        <v>-122.409302133333</v>
      </c>
      <c r="AO9721" s="21">
        <v>37.7985260833333</v>
      </c>
      <c r="AP9721" s="21" t="s">
        <v>116</v>
      </c>
    </row>
    <row r="9722" spans="1:42">
      <c r="A9722" s="20">
        <v>43871</v>
      </c>
      <c r="B9722" s="21">
        <v>1</v>
      </c>
      <c r="C9722" s="21">
        <v>232</v>
      </c>
      <c r="D9722" s="21">
        <v>14476</v>
      </c>
      <c r="E9722" s="7" t="s">
        <v>112</v>
      </c>
      <c r="F9722" s="21" t="s">
        <v>104</v>
      </c>
      <c r="G9722" s="21">
        <v>2</v>
      </c>
      <c r="H9722" s="21">
        <v>7</v>
      </c>
      <c r="I9722" s="21" t="s">
        <v>7053</v>
      </c>
      <c r="J9722" s="21"/>
      <c r="K9722" s="21" t="s">
        <v>585</v>
      </c>
      <c r="L9722" s="21" t="s">
        <v>114</v>
      </c>
      <c r="M9722" s="21" t="s">
        <v>6618</v>
      </c>
      <c r="N9722" s="21" t="s">
        <v>40</v>
      </c>
      <c r="O9722" s="21">
        <v>47</v>
      </c>
      <c r="P9722" s="21"/>
      <c r="Q9722" s="21">
        <f t="shared" si="204"/>
        <v>2</v>
      </c>
      <c r="R9722" s="21">
        <v>1</v>
      </c>
      <c r="S9722" s="21">
        <v>0</v>
      </c>
      <c r="T9722" s="21">
        <v>0</v>
      </c>
      <c r="U9722" s="21">
        <v>1</v>
      </c>
      <c r="V9722" s="21">
        <v>1</v>
      </c>
      <c r="W9722" s="21">
        <v>0</v>
      </c>
      <c r="X9722" s="21">
        <v>0</v>
      </c>
      <c r="Y9722" s="21">
        <v>0</v>
      </c>
      <c r="Z9722" s="21">
        <v>0</v>
      </c>
      <c r="AA9722" s="21">
        <v>0</v>
      </c>
      <c r="AB9722" s="21">
        <v>0</v>
      </c>
      <c r="AC9722" s="21">
        <v>0</v>
      </c>
      <c r="AD9722" s="21">
        <v>0</v>
      </c>
      <c r="AE9722" s="21">
        <v>0</v>
      </c>
      <c r="AF9722" s="21">
        <v>0</v>
      </c>
      <c r="AG9722" s="21"/>
      <c r="AH9722" s="21">
        <f t="shared" si="205"/>
        <v>96</v>
      </c>
      <c r="AI9722" s="21"/>
      <c r="AJ9722" s="21" t="s">
        <v>51</v>
      </c>
      <c r="AK9722" s="21" t="s">
        <v>52</v>
      </c>
      <c r="AL9722" s="21"/>
      <c r="AM9722" s="21" t="s">
        <v>7054</v>
      </c>
      <c r="AN9722" s="21">
        <v>-122.408517816667</v>
      </c>
      <c r="AO9722" s="21">
        <v>37.798686083333301</v>
      </c>
      <c r="AP9722" s="21" t="s">
        <v>116</v>
      </c>
    </row>
    <row r="9723" spans="1:42">
      <c r="A9723" s="20">
        <v>43871</v>
      </c>
      <c r="B9723" s="21">
        <v>1</v>
      </c>
      <c r="C9723" s="21">
        <v>232</v>
      </c>
      <c r="D9723" s="21">
        <v>14476</v>
      </c>
      <c r="E9723" s="7" t="s">
        <v>112</v>
      </c>
      <c r="F9723" s="21" t="s">
        <v>104</v>
      </c>
      <c r="G9723" s="21">
        <v>2</v>
      </c>
      <c r="H9723" s="21">
        <v>8</v>
      </c>
      <c r="I9723" s="21" t="s">
        <v>7055</v>
      </c>
      <c r="J9723" s="21"/>
      <c r="K9723" s="21" t="s">
        <v>7056</v>
      </c>
      <c r="L9723" s="21" t="s">
        <v>11</v>
      </c>
      <c r="M9723" s="21" t="s">
        <v>7038</v>
      </c>
      <c r="N9723" s="21" t="s">
        <v>42</v>
      </c>
      <c r="O9723" s="21">
        <v>169</v>
      </c>
      <c r="P9723" s="21"/>
      <c r="Q9723" s="21">
        <f t="shared" si="204"/>
        <v>6</v>
      </c>
      <c r="R9723" s="21">
        <v>1</v>
      </c>
      <c r="S9723" s="21">
        <v>0</v>
      </c>
      <c r="T9723" s="21">
        <v>0</v>
      </c>
      <c r="U9723" s="21">
        <v>0</v>
      </c>
      <c r="V9723" s="21">
        <v>1</v>
      </c>
      <c r="W9723" s="21">
        <v>5</v>
      </c>
      <c r="X9723" s="21">
        <v>0</v>
      </c>
      <c r="Y9723" s="21">
        <v>0</v>
      </c>
      <c r="Z9723" s="21">
        <v>0</v>
      </c>
      <c r="AA9723" s="21">
        <v>0</v>
      </c>
      <c r="AB9723" s="21">
        <v>0</v>
      </c>
      <c r="AC9723" s="21">
        <v>0</v>
      </c>
      <c r="AD9723" s="21">
        <v>0</v>
      </c>
      <c r="AE9723" s="21">
        <v>0</v>
      </c>
      <c r="AF9723" s="21">
        <v>0</v>
      </c>
      <c r="AG9723" s="21"/>
      <c r="AH9723" s="21">
        <f t="shared" si="205"/>
        <v>544</v>
      </c>
      <c r="AI9723" s="21"/>
      <c r="AJ9723" s="21" t="s">
        <v>51</v>
      </c>
      <c r="AK9723" s="21" t="s">
        <v>52</v>
      </c>
      <c r="AL9723" s="21" t="s">
        <v>7057</v>
      </c>
      <c r="AM9723" s="21" t="s">
        <v>7058</v>
      </c>
      <c r="AN9723" s="21">
        <v>-122.40856155</v>
      </c>
      <c r="AO9723" s="21">
        <v>37.798582116666701</v>
      </c>
      <c r="AP9723" s="21" t="s">
        <v>116</v>
      </c>
    </row>
    <row r="9724" spans="1:42">
      <c r="A9724" s="20">
        <v>43871</v>
      </c>
      <c r="B9724" s="21">
        <v>1</v>
      </c>
      <c r="C9724" s="21">
        <v>232</v>
      </c>
      <c r="D9724" s="21">
        <v>14476</v>
      </c>
      <c r="E9724" s="7" t="s">
        <v>112</v>
      </c>
      <c r="F9724" s="21" t="s">
        <v>104</v>
      </c>
      <c r="G9724" s="21">
        <v>2</v>
      </c>
      <c r="H9724" s="21">
        <v>9</v>
      </c>
      <c r="I9724" s="21" t="s">
        <v>3186</v>
      </c>
      <c r="J9724" s="21"/>
      <c r="K9724" s="21" t="s">
        <v>7059</v>
      </c>
      <c r="L9724" s="21" t="s">
        <v>114</v>
      </c>
      <c r="M9724" s="21" t="s">
        <v>7038</v>
      </c>
      <c r="N9724" s="21" t="s">
        <v>40</v>
      </c>
      <c r="O9724" s="21">
        <v>49</v>
      </c>
      <c r="P9724" s="21"/>
      <c r="Q9724" s="21">
        <f t="shared" si="204"/>
        <v>3</v>
      </c>
      <c r="R9724" s="21">
        <v>1</v>
      </c>
      <c r="S9724" s="21">
        <v>0</v>
      </c>
      <c r="T9724" s="21">
        <v>0</v>
      </c>
      <c r="U9724" s="21">
        <v>0</v>
      </c>
      <c r="V9724" s="21">
        <v>1</v>
      </c>
      <c r="W9724" s="21">
        <v>2</v>
      </c>
      <c r="X9724" s="21">
        <v>0</v>
      </c>
      <c r="Y9724" s="21">
        <v>0</v>
      </c>
      <c r="Z9724" s="21">
        <v>0</v>
      </c>
      <c r="AA9724" s="21">
        <v>0</v>
      </c>
      <c r="AB9724" s="21">
        <v>0</v>
      </c>
      <c r="AC9724" s="21">
        <v>0</v>
      </c>
      <c r="AD9724" s="21">
        <v>0</v>
      </c>
      <c r="AE9724" s="21">
        <v>0</v>
      </c>
      <c r="AF9724" s="21">
        <v>0</v>
      </c>
      <c r="AG9724" s="21"/>
      <c r="AH9724" s="21">
        <f t="shared" si="205"/>
        <v>256</v>
      </c>
      <c r="AI9724" s="21"/>
      <c r="AJ9724" s="21" t="s">
        <v>51</v>
      </c>
      <c r="AK9724" s="21" t="s">
        <v>95</v>
      </c>
      <c r="AL9724" s="21"/>
      <c r="AM9724" s="21" t="s">
        <v>7060</v>
      </c>
      <c r="AN9724" s="21">
        <v>-122.407961233333</v>
      </c>
      <c r="AO9724" s="21">
        <v>37.798650333333299</v>
      </c>
      <c r="AP9724" s="21" t="s">
        <v>116</v>
      </c>
    </row>
    <row r="9725" spans="1:42">
      <c r="A9725" s="20">
        <v>43871</v>
      </c>
      <c r="B9725" s="21">
        <v>1</v>
      </c>
      <c r="C9725" s="21">
        <v>232</v>
      </c>
      <c r="D9725" s="21">
        <v>14476</v>
      </c>
      <c r="E9725" s="7" t="s">
        <v>112</v>
      </c>
      <c r="F9725" s="21" t="s">
        <v>104</v>
      </c>
      <c r="G9725" s="21">
        <v>2</v>
      </c>
      <c r="H9725" s="21">
        <v>10</v>
      </c>
      <c r="I9725" s="21" t="s">
        <v>4249</v>
      </c>
      <c r="J9725" s="21"/>
      <c r="K9725" s="21" t="s">
        <v>1115</v>
      </c>
      <c r="L9725" s="21" t="s">
        <v>141</v>
      </c>
      <c r="M9725" s="21" t="s">
        <v>7038</v>
      </c>
      <c r="N9725" s="21" t="s">
        <v>44</v>
      </c>
      <c r="O9725" s="21">
        <v>82</v>
      </c>
      <c r="P9725" s="21"/>
      <c r="Q9725" s="21">
        <f t="shared" si="204"/>
        <v>1</v>
      </c>
      <c r="R9725" s="21">
        <v>1</v>
      </c>
      <c r="S9725" s="21">
        <v>0</v>
      </c>
      <c r="T9725" s="21">
        <v>0</v>
      </c>
      <c r="U9725" s="21">
        <v>0</v>
      </c>
      <c r="V9725" s="21">
        <v>1</v>
      </c>
      <c r="W9725" s="21">
        <v>0</v>
      </c>
      <c r="X9725" s="21">
        <v>0</v>
      </c>
      <c r="Y9725" s="21">
        <v>0</v>
      </c>
      <c r="Z9725" s="21">
        <v>0</v>
      </c>
      <c r="AA9725" s="21">
        <v>0</v>
      </c>
      <c r="AB9725" s="21">
        <v>0</v>
      </c>
      <c r="AC9725" s="21">
        <v>0</v>
      </c>
      <c r="AD9725" s="21">
        <v>0</v>
      </c>
      <c r="AE9725" s="21">
        <v>0</v>
      </c>
      <c r="AF9725" s="21">
        <v>0</v>
      </c>
      <c r="AG9725" s="21"/>
      <c r="AH9725" s="21">
        <f t="shared" si="205"/>
        <v>64</v>
      </c>
      <c r="AI9725" s="21"/>
      <c r="AJ9725" s="21" t="s">
        <v>51</v>
      </c>
      <c r="AK9725" s="21" t="s">
        <v>95</v>
      </c>
      <c r="AL9725" s="21" t="s">
        <v>7061</v>
      </c>
      <c r="AM9725" s="21" t="s">
        <v>7062</v>
      </c>
      <c r="AN9725" s="21">
        <v>-122.40785744999999</v>
      </c>
      <c r="AO9725" s="21">
        <v>37.798536916666599</v>
      </c>
      <c r="AP9725" s="21" t="s">
        <v>116</v>
      </c>
    </row>
    <row r="9726" spans="1:42">
      <c r="A9726" s="20">
        <v>43871</v>
      </c>
      <c r="B9726" s="21">
        <v>1</v>
      </c>
      <c r="C9726" s="21">
        <v>232</v>
      </c>
      <c r="D9726" s="21">
        <v>14476</v>
      </c>
      <c r="E9726" s="7" t="s">
        <v>112</v>
      </c>
      <c r="F9726" s="21" t="s">
        <v>104</v>
      </c>
      <c r="G9726" s="21">
        <v>2</v>
      </c>
      <c r="H9726" s="21">
        <v>11</v>
      </c>
      <c r="I9726" s="21" t="s">
        <v>7063</v>
      </c>
      <c r="J9726" s="21"/>
      <c r="K9726" s="21" t="s">
        <v>1115</v>
      </c>
      <c r="L9726" s="21" t="s">
        <v>141</v>
      </c>
      <c r="M9726" s="21" t="s">
        <v>7038</v>
      </c>
      <c r="N9726" s="21" t="s">
        <v>40</v>
      </c>
      <c r="O9726" s="21">
        <v>25</v>
      </c>
      <c r="P9726" s="21"/>
      <c r="Q9726" s="21">
        <f t="shared" si="204"/>
        <v>1</v>
      </c>
      <c r="R9726" s="21">
        <v>1</v>
      </c>
      <c r="S9726" s="21">
        <v>0</v>
      </c>
      <c r="T9726" s="21">
        <v>0</v>
      </c>
      <c r="U9726" s="21">
        <v>0</v>
      </c>
      <c r="V9726" s="21">
        <v>1</v>
      </c>
      <c r="W9726" s="21">
        <v>0</v>
      </c>
      <c r="X9726" s="21">
        <v>0</v>
      </c>
      <c r="Y9726" s="21">
        <v>0</v>
      </c>
      <c r="Z9726" s="21">
        <v>0</v>
      </c>
      <c r="AA9726" s="21">
        <v>0</v>
      </c>
      <c r="AB9726" s="21">
        <v>0</v>
      </c>
      <c r="AC9726" s="21">
        <v>0</v>
      </c>
      <c r="AD9726" s="21">
        <v>0</v>
      </c>
      <c r="AE9726" s="21">
        <v>0</v>
      </c>
      <c r="AF9726" s="21">
        <v>0</v>
      </c>
      <c r="AG9726" s="21"/>
      <c r="AH9726" s="21">
        <f t="shared" si="205"/>
        <v>64</v>
      </c>
      <c r="AI9726" s="21"/>
      <c r="AJ9726" s="21" t="s">
        <v>51</v>
      </c>
      <c r="AK9726" s="21" t="s">
        <v>95</v>
      </c>
      <c r="AL9726" s="21"/>
      <c r="AM9726" s="21" t="s">
        <v>7064</v>
      </c>
      <c r="AN9726" s="21">
        <v>-122.40758295000001</v>
      </c>
      <c r="AO9726" s="21">
        <v>37.7983954166667</v>
      </c>
      <c r="AP9726" s="21" t="s">
        <v>116</v>
      </c>
    </row>
    <row r="9727" spans="1:42">
      <c r="A9727" s="20">
        <v>43871</v>
      </c>
      <c r="B9727" s="21">
        <v>1</v>
      </c>
      <c r="C9727" s="21">
        <v>232</v>
      </c>
      <c r="D9727" s="21">
        <v>14476</v>
      </c>
      <c r="E9727" s="7" t="s">
        <v>112</v>
      </c>
      <c r="F9727" s="21" t="s">
        <v>104</v>
      </c>
      <c r="G9727" s="21">
        <v>2</v>
      </c>
      <c r="H9727" s="21">
        <v>12</v>
      </c>
      <c r="I9727" s="21" t="s">
        <v>3504</v>
      </c>
      <c r="J9727" s="21"/>
      <c r="K9727" s="21" t="s">
        <v>1115</v>
      </c>
      <c r="L9727" s="21" t="s">
        <v>141</v>
      </c>
      <c r="M9727" s="21" t="s">
        <v>7038</v>
      </c>
      <c r="N9727" s="21" t="s">
        <v>40</v>
      </c>
      <c r="O9727" s="21">
        <v>29</v>
      </c>
      <c r="P9727" s="21"/>
      <c r="Q9727" s="21">
        <f t="shared" si="204"/>
        <v>2</v>
      </c>
      <c r="R9727" s="21">
        <v>1</v>
      </c>
      <c r="S9727" s="21">
        <v>0</v>
      </c>
      <c r="T9727" s="21">
        <v>0</v>
      </c>
      <c r="U9727" s="21">
        <v>0</v>
      </c>
      <c r="V9727" s="21">
        <v>2</v>
      </c>
      <c r="W9727" s="21">
        <v>0</v>
      </c>
      <c r="X9727" s="21">
        <v>0</v>
      </c>
      <c r="Y9727" s="21">
        <v>0</v>
      </c>
      <c r="Z9727" s="21">
        <v>0</v>
      </c>
      <c r="AA9727" s="21">
        <v>0</v>
      </c>
      <c r="AB9727" s="21">
        <v>0</v>
      </c>
      <c r="AC9727" s="21">
        <v>0</v>
      </c>
      <c r="AD9727" s="21">
        <v>0</v>
      </c>
      <c r="AE9727" s="21">
        <v>0</v>
      </c>
      <c r="AF9727" s="21">
        <v>0</v>
      </c>
      <c r="AG9727" s="21"/>
      <c r="AH9727" s="21">
        <f t="shared" si="205"/>
        <v>128</v>
      </c>
      <c r="AI9727" s="21"/>
      <c r="AJ9727" s="21" t="s">
        <v>51</v>
      </c>
      <c r="AK9727" s="21" t="s">
        <v>95</v>
      </c>
      <c r="AL9727" s="21"/>
      <c r="AM9727" s="21" t="s">
        <v>7065</v>
      </c>
      <c r="AN9727" s="21">
        <v>-122.4073041</v>
      </c>
      <c r="AO9727" s="21">
        <v>37.798177099999997</v>
      </c>
      <c r="AP9727" s="21" t="s">
        <v>116</v>
      </c>
    </row>
    <row r="9728" spans="1:42">
      <c r="A9728" s="20">
        <v>43871</v>
      </c>
      <c r="B9728" s="21">
        <v>1</v>
      </c>
      <c r="C9728" s="21">
        <v>232</v>
      </c>
      <c r="D9728" s="21">
        <v>14476</v>
      </c>
      <c r="E9728" s="7" t="s">
        <v>112</v>
      </c>
      <c r="F9728" s="21" t="s">
        <v>104</v>
      </c>
      <c r="G9728" s="21">
        <v>2</v>
      </c>
      <c r="H9728" s="21">
        <v>13</v>
      </c>
      <c r="I9728" s="21" t="s">
        <v>7066</v>
      </c>
      <c r="J9728" s="21"/>
      <c r="K9728" s="21" t="s">
        <v>185</v>
      </c>
      <c r="L9728" s="21" t="s">
        <v>114</v>
      </c>
      <c r="M9728" s="21" t="s">
        <v>7038</v>
      </c>
      <c r="N9728" s="21" t="s">
        <v>40</v>
      </c>
      <c r="O9728" s="21">
        <v>48</v>
      </c>
      <c r="P9728" s="21"/>
      <c r="Q9728" s="21">
        <f t="shared" si="204"/>
        <v>2</v>
      </c>
      <c r="R9728" s="21">
        <v>1</v>
      </c>
      <c r="S9728" s="21">
        <v>0</v>
      </c>
      <c r="T9728" s="21">
        <v>0</v>
      </c>
      <c r="U9728" s="21">
        <v>0</v>
      </c>
      <c r="V9728" s="21">
        <v>2</v>
      </c>
      <c r="W9728" s="21">
        <v>0</v>
      </c>
      <c r="X9728" s="21">
        <v>0</v>
      </c>
      <c r="Y9728" s="21">
        <v>0</v>
      </c>
      <c r="Z9728" s="21">
        <v>0</v>
      </c>
      <c r="AA9728" s="21">
        <v>0</v>
      </c>
      <c r="AB9728" s="21">
        <v>0</v>
      </c>
      <c r="AC9728" s="21">
        <v>0</v>
      </c>
      <c r="AD9728" s="21">
        <v>0</v>
      </c>
      <c r="AE9728" s="21">
        <v>0</v>
      </c>
      <c r="AF9728" s="21">
        <v>0</v>
      </c>
      <c r="AG9728" s="21"/>
      <c r="AH9728" s="21">
        <f t="shared" si="205"/>
        <v>128</v>
      </c>
      <c r="AI9728" s="21"/>
      <c r="AJ9728" s="21" t="s">
        <v>51</v>
      </c>
      <c r="AK9728" s="21" t="s">
        <v>95</v>
      </c>
      <c r="AL9728" s="21"/>
      <c r="AM9728" s="21" t="s">
        <v>7067</v>
      </c>
      <c r="AN9728" s="21">
        <v>-122.40718656666699</v>
      </c>
      <c r="AO9728" s="21">
        <v>37.798058533333297</v>
      </c>
      <c r="AP9728" s="21" t="s">
        <v>116</v>
      </c>
    </row>
    <row r="9729" spans="1:42">
      <c r="A9729" s="20">
        <v>43871</v>
      </c>
      <c r="B9729" s="21">
        <v>1</v>
      </c>
      <c r="C9729" s="21">
        <v>232</v>
      </c>
      <c r="D9729" s="21">
        <v>14476</v>
      </c>
      <c r="E9729" s="7" t="s">
        <v>112</v>
      </c>
      <c r="F9729" s="21" t="s">
        <v>104</v>
      </c>
      <c r="G9729" s="21">
        <v>2</v>
      </c>
      <c r="H9729" s="21">
        <v>14</v>
      </c>
      <c r="I9729" s="21" t="s">
        <v>5954</v>
      </c>
      <c r="J9729" s="21"/>
      <c r="K9729" s="21" t="s">
        <v>7068</v>
      </c>
      <c r="L9729" s="21" t="s">
        <v>141</v>
      </c>
      <c r="M9729" s="21" t="s">
        <v>6618</v>
      </c>
      <c r="N9729" s="21" t="s">
        <v>40</v>
      </c>
      <c r="O9729" s="21">
        <v>44</v>
      </c>
      <c r="P9729" s="21"/>
      <c r="Q9729" s="21">
        <f t="shared" si="204"/>
        <v>2</v>
      </c>
      <c r="R9729" s="21">
        <v>1</v>
      </c>
      <c r="S9729" s="21">
        <v>0</v>
      </c>
      <c r="T9729" s="21">
        <v>0</v>
      </c>
      <c r="U9729" s="21">
        <v>1</v>
      </c>
      <c r="V9729" s="21">
        <v>1</v>
      </c>
      <c r="W9729" s="21">
        <v>0</v>
      </c>
      <c r="X9729" s="21">
        <v>0</v>
      </c>
      <c r="Y9729" s="21">
        <v>0</v>
      </c>
      <c r="Z9729" s="21">
        <v>0</v>
      </c>
      <c r="AA9729" s="21">
        <v>0</v>
      </c>
      <c r="AB9729" s="21">
        <v>0</v>
      </c>
      <c r="AC9729" s="21">
        <v>0</v>
      </c>
      <c r="AD9729" s="21">
        <v>0</v>
      </c>
      <c r="AE9729" s="21">
        <v>0</v>
      </c>
      <c r="AF9729" s="21">
        <v>0</v>
      </c>
      <c r="AG9729" s="21"/>
      <c r="AH9729" s="21">
        <f t="shared" si="205"/>
        <v>96</v>
      </c>
      <c r="AI9729" s="21"/>
      <c r="AJ9729" s="21" t="s">
        <v>51</v>
      </c>
      <c r="AK9729" s="21" t="s">
        <v>52</v>
      </c>
      <c r="AL9729" s="21"/>
      <c r="AM9729" s="21" t="s">
        <v>7069</v>
      </c>
      <c r="AN9729" s="21">
        <v>-122.40892536666701</v>
      </c>
      <c r="AO9729" s="21">
        <v>37.798858000000003</v>
      </c>
      <c r="AP9729" s="21" t="s">
        <v>116</v>
      </c>
    </row>
    <row r="9730" spans="1:42">
      <c r="A9730" s="20">
        <v>43871</v>
      </c>
      <c r="B9730" s="21">
        <v>1</v>
      </c>
      <c r="C9730" s="21">
        <v>232</v>
      </c>
      <c r="D9730" s="21">
        <v>14476</v>
      </c>
      <c r="E9730" s="7" t="s">
        <v>112</v>
      </c>
      <c r="F9730" s="21" t="s">
        <v>104</v>
      </c>
      <c r="G9730" s="21">
        <v>2</v>
      </c>
      <c r="H9730" s="21">
        <v>15</v>
      </c>
      <c r="I9730" s="21" t="s">
        <v>5956</v>
      </c>
      <c r="J9730" s="21"/>
      <c r="K9730" s="21" t="s">
        <v>50</v>
      </c>
      <c r="L9730" s="21" t="s">
        <v>141</v>
      </c>
      <c r="M9730" s="21" t="s">
        <v>6618</v>
      </c>
      <c r="N9730" s="21" t="s">
        <v>40</v>
      </c>
      <c r="O9730" s="21">
        <v>49</v>
      </c>
      <c r="P9730" s="21"/>
      <c r="Q9730" s="21">
        <f t="shared" si="204"/>
        <v>2</v>
      </c>
      <c r="R9730" s="21">
        <v>1</v>
      </c>
      <c r="S9730" s="21">
        <v>0</v>
      </c>
      <c r="T9730" s="21">
        <v>0</v>
      </c>
      <c r="U9730" s="21">
        <v>2</v>
      </c>
      <c r="V9730" s="21">
        <v>0</v>
      </c>
      <c r="W9730" s="21">
        <v>0</v>
      </c>
      <c r="X9730" s="21">
        <v>0</v>
      </c>
      <c r="Y9730" s="21">
        <v>0</v>
      </c>
      <c r="Z9730" s="21">
        <v>0</v>
      </c>
      <c r="AA9730" s="21">
        <v>0</v>
      </c>
      <c r="AB9730" s="21">
        <v>0</v>
      </c>
      <c r="AC9730" s="21">
        <v>0</v>
      </c>
      <c r="AD9730" s="21">
        <v>0</v>
      </c>
      <c r="AE9730" s="21">
        <v>0</v>
      </c>
      <c r="AF9730" s="21">
        <v>0</v>
      </c>
      <c r="AG9730" s="21"/>
      <c r="AH9730" s="21">
        <f t="shared" si="205"/>
        <v>64</v>
      </c>
      <c r="AI9730" s="21"/>
      <c r="AJ9730" s="21" t="s">
        <v>51</v>
      </c>
      <c r="AK9730" s="21" t="s">
        <v>52</v>
      </c>
      <c r="AL9730" s="21"/>
      <c r="AM9730" s="21" t="s">
        <v>7070</v>
      </c>
      <c r="AN9730" s="21">
        <v>-122.409002366667</v>
      </c>
      <c r="AO9730" s="21">
        <v>37.799051583333302</v>
      </c>
      <c r="AP9730" s="21" t="s">
        <v>116</v>
      </c>
    </row>
    <row r="9731" spans="1:42">
      <c r="A9731" s="20">
        <v>43871</v>
      </c>
      <c r="B9731" s="21">
        <v>1</v>
      </c>
      <c r="C9731" s="21">
        <v>232</v>
      </c>
      <c r="D9731" s="21">
        <v>14476</v>
      </c>
      <c r="E9731" s="7" t="s">
        <v>112</v>
      </c>
      <c r="F9731" s="21" t="s">
        <v>104</v>
      </c>
      <c r="G9731" s="21">
        <v>2</v>
      </c>
      <c r="H9731" s="21">
        <v>16</v>
      </c>
      <c r="I9731" s="21" t="s">
        <v>3277</v>
      </c>
      <c r="J9731" s="21"/>
      <c r="K9731" s="21" t="s">
        <v>7068</v>
      </c>
      <c r="L9731" s="21" t="s">
        <v>141</v>
      </c>
      <c r="M9731" s="21" t="s">
        <v>7038</v>
      </c>
      <c r="N9731" s="21" t="s">
        <v>44</v>
      </c>
      <c r="O9731" s="21">
        <v>51</v>
      </c>
      <c r="P9731" s="21"/>
      <c r="Q9731" s="21">
        <f t="shared" si="204"/>
        <v>3</v>
      </c>
      <c r="R9731" s="21">
        <v>1</v>
      </c>
      <c r="S9731" s="21">
        <v>0</v>
      </c>
      <c r="T9731" s="21">
        <v>0</v>
      </c>
      <c r="U9731" s="21">
        <v>0</v>
      </c>
      <c r="V9731" s="21">
        <v>0</v>
      </c>
      <c r="W9731" s="21">
        <v>3</v>
      </c>
      <c r="X9731" s="21">
        <v>0</v>
      </c>
      <c r="Y9731" s="21">
        <v>0</v>
      </c>
      <c r="Z9731" s="21">
        <v>0</v>
      </c>
      <c r="AA9731" s="21">
        <v>0</v>
      </c>
      <c r="AB9731" s="21">
        <v>0</v>
      </c>
      <c r="AC9731" s="21">
        <v>0</v>
      </c>
      <c r="AD9731" s="21">
        <v>0</v>
      </c>
      <c r="AE9731" s="21">
        <v>0</v>
      </c>
      <c r="AF9731" s="21">
        <v>0</v>
      </c>
      <c r="AG9731" s="21"/>
      <c r="AH9731" s="21">
        <f t="shared" si="205"/>
        <v>288</v>
      </c>
      <c r="AI9731" s="21"/>
      <c r="AJ9731" s="21" t="s">
        <v>51</v>
      </c>
      <c r="AK9731" s="21" t="s">
        <v>52</v>
      </c>
      <c r="AL9731" s="21" t="s">
        <v>7071</v>
      </c>
      <c r="AM9731" s="21" t="s">
        <v>7072</v>
      </c>
      <c r="AN9731" s="21">
        <v>-122.409099183333</v>
      </c>
      <c r="AO9731" s="21">
        <v>37.798560549999998</v>
      </c>
      <c r="AP9731" s="21" t="s">
        <v>116</v>
      </c>
    </row>
    <row r="9732" spans="1:42">
      <c r="A9732" s="20">
        <v>43871</v>
      </c>
      <c r="B9732" s="21">
        <v>1</v>
      </c>
      <c r="C9732" s="21">
        <v>232</v>
      </c>
      <c r="D9732" s="21">
        <v>14476</v>
      </c>
      <c r="E9732" s="7" t="s">
        <v>112</v>
      </c>
      <c r="F9732" s="21" t="s">
        <v>104</v>
      </c>
      <c r="G9732" s="21">
        <v>2</v>
      </c>
      <c r="H9732" s="21">
        <v>17</v>
      </c>
      <c r="I9732" s="21" t="s">
        <v>4270</v>
      </c>
      <c r="J9732" s="21"/>
      <c r="K9732" s="21" t="s">
        <v>7073</v>
      </c>
      <c r="L9732" s="21" t="s">
        <v>114</v>
      </c>
      <c r="M9732" s="21" t="s">
        <v>7038</v>
      </c>
      <c r="N9732" s="21" t="s">
        <v>44</v>
      </c>
      <c r="O9732" s="21">
        <v>105</v>
      </c>
      <c r="P9732" s="21"/>
      <c r="Q9732" s="21">
        <f t="shared" si="204"/>
        <v>2</v>
      </c>
      <c r="R9732" s="21">
        <v>1</v>
      </c>
      <c r="S9732" s="21">
        <v>0</v>
      </c>
      <c r="T9732" s="21">
        <v>0</v>
      </c>
      <c r="U9732" s="21">
        <v>0</v>
      </c>
      <c r="V9732" s="21">
        <v>0</v>
      </c>
      <c r="W9732" s="21">
        <v>2</v>
      </c>
      <c r="X9732" s="21">
        <v>0</v>
      </c>
      <c r="Y9732" s="21">
        <v>0</v>
      </c>
      <c r="Z9732" s="21">
        <v>0</v>
      </c>
      <c r="AA9732" s="21">
        <v>0</v>
      </c>
      <c r="AB9732" s="21">
        <v>0</v>
      </c>
      <c r="AC9732" s="21">
        <v>0</v>
      </c>
      <c r="AD9732" s="21">
        <v>0</v>
      </c>
      <c r="AE9732" s="21">
        <v>0</v>
      </c>
      <c r="AF9732" s="21">
        <v>0</v>
      </c>
      <c r="AG9732" s="21"/>
      <c r="AH9732" s="21">
        <f t="shared" si="205"/>
        <v>192</v>
      </c>
      <c r="AI9732" s="21"/>
      <c r="AJ9732" s="21" t="s">
        <v>51</v>
      </c>
      <c r="AK9732" s="21" t="s">
        <v>52</v>
      </c>
      <c r="AL9732" s="21" t="s">
        <v>7074</v>
      </c>
      <c r="AM9732" s="21" t="s">
        <v>7075</v>
      </c>
      <c r="AN9732" s="21">
        <v>-122.40969371666699</v>
      </c>
      <c r="AO9732" s="21">
        <v>37.798699816666598</v>
      </c>
      <c r="AP9732" s="21" t="s">
        <v>116</v>
      </c>
    </row>
    <row r="9733" spans="1:42">
      <c r="A9733" s="20">
        <v>43871</v>
      </c>
      <c r="B9733" s="21">
        <v>1</v>
      </c>
      <c r="C9733" s="21">
        <v>232</v>
      </c>
      <c r="D9733" s="21">
        <v>14476</v>
      </c>
      <c r="E9733" s="7" t="s">
        <v>112</v>
      </c>
      <c r="F9733" s="21" t="s">
        <v>104</v>
      </c>
      <c r="G9733" s="21">
        <v>2</v>
      </c>
      <c r="H9733" s="21">
        <v>18</v>
      </c>
      <c r="I9733" s="21" t="s">
        <v>7076</v>
      </c>
      <c r="J9733" s="21"/>
      <c r="K9733" s="21" t="s">
        <v>7077</v>
      </c>
      <c r="L9733" s="21" t="s">
        <v>141</v>
      </c>
      <c r="M9733" s="21" t="s">
        <v>7038</v>
      </c>
      <c r="N9733" s="21" t="s">
        <v>44</v>
      </c>
      <c r="O9733" s="21">
        <v>151</v>
      </c>
      <c r="P9733" s="21"/>
      <c r="Q9733" s="21">
        <f t="shared" si="204"/>
        <v>2</v>
      </c>
      <c r="R9733" s="21">
        <v>1</v>
      </c>
      <c r="S9733" s="21">
        <v>0</v>
      </c>
      <c r="T9733" s="21">
        <v>0</v>
      </c>
      <c r="U9733" s="21">
        <v>0</v>
      </c>
      <c r="V9733" s="21">
        <v>0</v>
      </c>
      <c r="W9733" s="21">
        <v>2</v>
      </c>
      <c r="X9733" s="21">
        <v>0</v>
      </c>
      <c r="Y9733" s="21">
        <v>0</v>
      </c>
      <c r="Z9733" s="21">
        <v>0</v>
      </c>
      <c r="AA9733" s="21">
        <v>0</v>
      </c>
      <c r="AB9733" s="21">
        <v>0</v>
      </c>
      <c r="AC9733" s="21">
        <v>0</v>
      </c>
      <c r="AD9733" s="21">
        <v>0</v>
      </c>
      <c r="AE9733" s="21">
        <v>0</v>
      </c>
      <c r="AF9733" s="21">
        <v>0</v>
      </c>
      <c r="AG9733" s="21"/>
      <c r="AH9733" s="21">
        <f t="shared" si="205"/>
        <v>192</v>
      </c>
      <c r="AI9733" s="21"/>
      <c r="AJ9733" s="21" t="s">
        <v>51</v>
      </c>
      <c r="AK9733" s="21" t="s">
        <v>52</v>
      </c>
      <c r="AL9733" s="21" t="s">
        <v>7078</v>
      </c>
      <c r="AM9733" s="21" t="s">
        <v>7079</v>
      </c>
      <c r="AN9733" s="21">
        <v>-122.4096862</v>
      </c>
      <c r="AO9733" s="21">
        <v>37.798995533333297</v>
      </c>
      <c r="AP9733" s="21" t="s">
        <v>116</v>
      </c>
    </row>
    <row r="9734" spans="1:42">
      <c r="A9734" s="20">
        <v>43871</v>
      </c>
      <c r="B9734" s="21">
        <v>1</v>
      </c>
      <c r="C9734" s="21">
        <v>232</v>
      </c>
      <c r="D9734" s="21">
        <v>14476</v>
      </c>
      <c r="E9734" s="7" t="s">
        <v>112</v>
      </c>
      <c r="F9734" s="21" t="s">
        <v>104</v>
      </c>
      <c r="G9734" s="21">
        <v>2</v>
      </c>
      <c r="H9734" s="21">
        <v>19</v>
      </c>
      <c r="I9734" s="21" t="s">
        <v>7080</v>
      </c>
      <c r="J9734" s="21"/>
      <c r="K9734" s="21" t="s">
        <v>585</v>
      </c>
      <c r="L9734" s="21" t="s">
        <v>114</v>
      </c>
      <c r="M9734" s="21" t="s">
        <v>7038</v>
      </c>
      <c r="N9734" s="21" t="s">
        <v>44</v>
      </c>
      <c r="O9734" s="21">
        <v>205</v>
      </c>
      <c r="P9734" s="21"/>
      <c r="Q9734" s="21">
        <f t="shared" si="204"/>
        <v>4</v>
      </c>
      <c r="R9734" s="21">
        <v>1</v>
      </c>
      <c r="S9734" s="21">
        <v>0</v>
      </c>
      <c r="T9734" s="21">
        <v>0</v>
      </c>
      <c r="U9734" s="21">
        <v>0</v>
      </c>
      <c r="V9734" s="21">
        <v>0</v>
      </c>
      <c r="W9734" s="21">
        <v>4</v>
      </c>
      <c r="X9734" s="21">
        <v>0</v>
      </c>
      <c r="Y9734" s="21">
        <v>0</v>
      </c>
      <c r="Z9734" s="21">
        <v>0</v>
      </c>
      <c r="AA9734" s="21">
        <v>0</v>
      </c>
      <c r="AB9734" s="21">
        <v>0</v>
      </c>
      <c r="AC9734" s="21">
        <v>0</v>
      </c>
      <c r="AD9734" s="21">
        <v>0</v>
      </c>
      <c r="AE9734" s="21">
        <v>0</v>
      </c>
      <c r="AF9734" s="21">
        <v>0</v>
      </c>
      <c r="AG9734" s="21"/>
      <c r="AH9734" s="21">
        <f t="shared" si="205"/>
        <v>384</v>
      </c>
      <c r="AI9734" s="21"/>
      <c r="AJ9734" s="21" t="s">
        <v>51</v>
      </c>
      <c r="AK9734" s="21" t="s">
        <v>52</v>
      </c>
      <c r="AL9734" s="21" t="s">
        <v>7081</v>
      </c>
      <c r="AM9734" s="21" t="s">
        <v>7082</v>
      </c>
      <c r="AN9734" s="21">
        <v>-122.409862066667</v>
      </c>
      <c r="AO9734" s="21">
        <v>37.798538983333302</v>
      </c>
      <c r="AP9734" s="21" t="s">
        <v>116</v>
      </c>
    </row>
    <row r="9735" spans="1:42">
      <c r="A9735" s="20">
        <v>43871</v>
      </c>
      <c r="B9735" s="21">
        <v>1</v>
      </c>
      <c r="C9735" s="21">
        <v>232</v>
      </c>
      <c r="D9735" s="21">
        <v>14476</v>
      </c>
      <c r="E9735" s="7" t="s">
        <v>112</v>
      </c>
      <c r="F9735" s="21" t="s">
        <v>104</v>
      </c>
      <c r="G9735" s="21">
        <v>2</v>
      </c>
      <c r="H9735" s="21">
        <v>20</v>
      </c>
      <c r="I9735" s="21" t="s">
        <v>7083</v>
      </c>
      <c r="J9735" s="21"/>
      <c r="K9735" s="21" t="s">
        <v>407</v>
      </c>
      <c r="L9735" s="21" t="s">
        <v>114</v>
      </c>
      <c r="M9735" s="21" t="s">
        <v>7038</v>
      </c>
      <c r="N9735" s="21" t="s">
        <v>40</v>
      </c>
      <c r="O9735" s="21">
        <v>28</v>
      </c>
      <c r="P9735" s="21"/>
      <c r="Q9735" s="21">
        <f t="shared" si="204"/>
        <v>1</v>
      </c>
      <c r="R9735" s="21">
        <v>1</v>
      </c>
      <c r="S9735" s="21">
        <v>0</v>
      </c>
      <c r="T9735" s="21">
        <v>0</v>
      </c>
      <c r="U9735" s="21">
        <v>0</v>
      </c>
      <c r="V9735" s="21">
        <v>0</v>
      </c>
      <c r="W9735" s="21">
        <v>1</v>
      </c>
      <c r="X9735" s="21">
        <v>0</v>
      </c>
      <c r="Y9735" s="21">
        <v>0</v>
      </c>
      <c r="Z9735" s="21">
        <v>0</v>
      </c>
      <c r="AA9735" s="21">
        <v>0</v>
      </c>
      <c r="AB9735" s="21">
        <v>0</v>
      </c>
      <c r="AC9735" s="21">
        <v>0</v>
      </c>
      <c r="AD9735" s="21">
        <v>0</v>
      </c>
      <c r="AE9735" s="21">
        <v>0</v>
      </c>
      <c r="AF9735" s="21">
        <v>0</v>
      </c>
      <c r="AG9735" s="21"/>
      <c r="AH9735" s="21">
        <f t="shared" si="205"/>
        <v>96</v>
      </c>
      <c r="AI9735" s="21"/>
      <c r="AJ9735" s="21" t="s">
        <v>51</v>
      </c>
      <c r="AK9735" s="21" t="s">
        <v>52</v>
      </c>
      <c r="AL9735" s="21"/>
      <c r="AM9735" s="21" t="s">
        <v>7084</v>
      </c>
      <c r="AN9735" s="21">
        <v>-122.410565733333</v>
      </c>
      <c r="AO9735" s="21">
        <v>37.798685333333303</v>
      </c>
      <c r="AP9735" s="21" t="s">
        <v>116</v>
      </c>
    </row>
    <row r="9736" spans="1:42">
      <c r="A9736" s="20">
        <v>43871</v>
      </c>
      <c r="B9736" s="21">
        <v>1</v>
      </c>
      <c r="C9736" s="21">
        <v>232</v>
      </c>
      <c r="D9736" s="21">
        <v>14476</v>
      </c>
      <c r="E9736" s="7" t="s">
        <v>112</v>
      </c>
      <c r="F9736" s="21" t="s">
        <v>104</v>
      </c>
      <c r="G9736" s="21">
        <v>2</v>
      </c>
      <c r="H9736" s="21">
        <v>21</v>
      </c>
      <c r="I9736" s="21" t="s">
        <v>4797</v>
      </c>
      <c r="J9736" s="21"/>
      <c r="K9736" s="21" t="s">
        <v>407</v>
      </c>
      <c r="L9736" s="21" t="s">
        <v>114</v>
      </c>
      <c r="M9736" s="21" t="s">
        <v>7038</v>
      </c>
      <c r="N9736" s="21" t="s">
        <v>44</v>
      </c>
      <c r="O9736" s="21">
        <v>65</v>
      </c>
      <c r="P9736" s="21"/>
      <c r="Q9736" s="21">
        <f t="shared" si="204"/>
        <v>1</v>
      </c>
      <c r="R9736" s="21">
        <v>1</v>
      </c>
      <c r="S9736" s="21">
        <v>0</v>
      </c>
      <c r="T9736" s="21">
        <v>0</v>
      </c>
      <c r="U9736" s="21">
        <v>0</v>
      </c>
      <c r="V9736" s="21">
        <v>0</v>
      </c>
      <c r="W9736" s="21">
        <v>1</v>
      </c>
      <c r="X9736" s="21">
        <v>0</v>
      </c>
      <c r="Y9736" s="21">
        <v>0</v>
      </c>
      <c r="Z9736" s="21">
        <v>0</v>
      </c>
      <c r="AA9736" s="21">
        <v>0</v>
      </c>
      <c r="AB9736" s="21">
        <v>0</v>
      </c>
      <c r="AC9736" s="21">
        <v>0</v>
      </c>
      <c r="AD9736" s="21">
        <v>0</v>
      </c>
      <c r="AE9736" s="21">
        <v>0</v>
      </c>
      <c r="AF9736" s="21">
        <v>0</v>
      </c>
      <c r="AG9736" s="21"/>
      <c r="AH9736" s="21">
        <f t="shared" si="205"/>
        <v>96</v>
      </c>
      <c r="AI9736" s="21"/>
      <c r="AJ9736" s="21" t="s">
        <v>51</v>
      </c>
      <c r="AK9736" s="21" t="s">
        <v>52</v>
      </c>
      <c r="AL9736" s="21" t="s">
        <v>7042</v>
      </c>
      <c r="AM9736" s="21" t="s">
        <v>7085</v>
      </c>
      <c r="AN9736" s="21">
        <v>-122.41068148333299</v>
      </c>
      <c r="AO9736" s="21">
        <v>37.799082583333302</v>
      </c>
      <c r="AP9736" s="21" t="s">
        <v>116</v>
      </c>
    </row>
    <row r="9737" spans="1:42">
      <c r="A9737" s="20">
        <v>43871</v>
      </c>
      <c r="B9737" s="21">
        <v>1</v>
      </c>
      <c r="C9737" s="21">
        <v>232</v>
      </c>
      <c r="D9737" s="21">
        <v>14476</v>
      </c>
      <c r="E9737" s="7" t="s">
        <v>112</v>
      </c>
      <c r="F9737" s="21" t="s">
        <v>104</v>
      </c>
      <c r="G9737" s="21">
        <v>2</v>
      </c>
      <c r="H9737" s="21">
        <v>22</v>
      </c>
      <c r="I9737" s="21" t="s">
        <v>7086</v>
      </c>
      <c r="J9737" s="21"/>
      <c r="K9737" s="21" t="s">
        <v>407</v>
      </c>
      <c r="L9737" s="21" t="s">
        <v>141</v>
      </c>
      <c r="M9737" s="21" t="s">
        <v>7038</v>
      </c>
      <c r="N9737" s="21" t="s">
        <v>40</v>
      </c>
      <c r="O9737" s="21">
        <v>39</v>
      </c>
      <c r="P9737" s="21"/>
      <c r="Q9737" s="21">
        <f t="shared" si="204"/>
        <v>2</v>
      </c>
      <c r="R9737" s="21">
        <v>1</v>
      </c>
      <c r="S9737" s="21">
        <v>0</v>
      </c>
      <c r="T9737" s="21">
        <v>0</v>
      </c>
      <c r="U9737" s="21">
        <v>0</v>
      </c>
      <c r="V9737" s="21">
        <v>2</v>
      </c>
      <c r="W9737" s="21">
        <v>0</v>
      </c>
      <c r="X9737" s="21">
        <v>0</v>
      </c>
      <c r="Y9737" s="21">
        <v>0</v>
      </c>
      <c r="Z9737" s="21">
        <v>0</v>
      </c>
      <c r="AA9737" s="21">
        <v>0</v>
      </c>
      <c r="AB9737" s="21">
        <v>0</v>
      </c>
      <c r="AC9737" s="21">
        <v>0</v>
      </c>
      <c r="AD9737" s="21">
        <v>0</v>
      </c>
      <c r="AE9737" s="21">
        <v>0</v>
      </c>
      <c r="AF9737" s="21">
        <v>0</v>
      </c>
      <c r="AG9737" s="21"/>
      <c r="AH9737" s="21">
        <f t="shared" si="205"/>
        <v>128</v>
      </c>
      <c r="AI9737" s="21"/>
      <c r="AJ9737" s="21" t="s">
        <v>51</v>
      </c>
      <c r="AK9737" s="21" t="s">
        <v>52</v>
      </c>
      <c r="AL9737" s="21"/>
      <c r="AM9737" s="21" t="s">
        <v>7087</v>
      </c>
      <c r="AN9737" s="21">
        <v>-122.411942036204</v>
      </c>
      <c r="AO9737" s="21">
        <v>37.798323129385601</v>
      </c>
      <c r="AP9737" s="21" t="s">
        <v>116</v>
      </c>
    </row>
    <row r="9738" spans="1:42">
      <c r="A9738" s="20">
        <v>43871</v>
      </c>
      <c r="B9738" s="21">
        <v>1</v>
      </c>
      <c r="C9738" s="21">
        <v>232</v>
      </c>
      <c r="D9738" s="21">
        <v>14476</v>
      </c>
      <c r="E9738" s="7" t="s">
        <v>112</v>
      </c>
      <c r="F9738" s="21" t="s">
        <v>104</v>
      </c>
      <c r="G9738" s="21">
        <v>2</v>
      </c>
      <c r="H9738" s="21">
        <v>23</v>
      </c>
      <c r="I9738" s="21" t="s">
        <v>3100</v>
      </c>
      <c r="J9738" s="21"/>
      <c r="K9738" s="21" t="s">
        <v>407</v>
      </c>
      <c r="L9738" s="21" t="s">
        <v>114</v>
      </c>
      <c r="M9738" s="21" t="s">
        <v>7038</v>
      </c>
      <c r="N9738" s="21" t="s">
        <v>40</v>
      </c>
      <c r="O9738" s="21">
        <v>41</v>
      </c>
      <c r="P9738" s="21"/>
      <c r="Q9738" s="21">
        <f t="shared" si="204"/>
        <v>1</v>
      </c>
      <c r="R9738" s="21">
        <v>1</v>
      </c>
      <c r="S9738" s="21">
        <v>0</v>
      </c>
      <c r="T9738" s="21">
        <v>0</v>
      </c>
      <c r="U9738" s="21">
        <v>0</v>
      </c>
      <c r="V9738" s="21">
        <v>1</v>
      </c>
      <c r="W9738" s="21">
        <v>0</v>
      </c>
      <c r="X9738" s="21">
        <v>0</v>
      </c>
      <c r="Y9738" s="21">
        <v>0</v>
      </c>
      <c r="Z9738" s="21">
        <v>0</v>
      </c>
      <c r="AA9738" s="21">
        <v>0</v>
      </c>
      <c r="AB9738" s="21">
        <v>0</v>
      </c>
      <c r="AC9738" s="21">
        <v>0</v>
      </c>
      <c r="AD9738" s="21">
        <v>0</v>
      </c>
      <c r="AE9738" s="21">
        <v>0</v>
      </c>
      <c r="AF9738" s="21">
        <v>0</v>
      </c>
      <c r="AG9738" s="21"/>
      <c r="AH9738" s="21">
        <f t="shared" si="205"/>
        <v>64</v>
      </c>
      <c r="AI9738" s="21"/>
      <c r="AJ9738" s="21" t="s">
        <v>51</v>
      </c>
      <c r="AK9738" s="21" t="s">
        <v>52</v>
      </c>
      <c r="AL9738" s="21"/>
      <c r="AM9738" s="21" t="s">
        <v>7088</v>
      </c>
      <c r="AN9738" s="21">
        <v>-122.410677566667</v>
      </c>
      <c r="AO9738" s="21">
        <v>37.799449216666702</v>
      </c>
      <c r="AP9738" s="21" t="s">
        <v>116</v>
      </c>
    </row>
    <row r="9739" spans="1:42">
      <c r="A9739" s="20">
        <v>43871</v>
      </c>
      <c r="B9739" s="21">
        <v>1</v>
      </c>
      <c r="C9739" s="21">
        <v>232</v>
      </c>
      <c r="D9739" s="21">
        <v>14476</v>
      </c>
      <c r="E9739" s="7" t="s">
        <v>112</v>
      </c>
      <c r="F9739" s="21" t="s">
        <v>104</v>
      </c>
      <c r="G9739" s="21">
        <v>2</v>
      </c>
      <c r="H9739" s="21">
        <v>24</v>
      </c>
      <c r="I9739" s="21" t="s">
        <v>7049</v>
      </c>
      <c r="J9739" s="21"/>
      <c r="K9739" s="21" t="s">
        <v>156</v>
      </c>
      <c r="L9739" s="21" t="s">
        <v>141</v>
      </c>
      <c r="M9739" s="21" t="s">
        <v>6618</v>
      </c>
      <c r="N9739" s="21" t="s">
        <v>40</v>
      </c>
      <c r="O9739" s="21">
        <v>56</v>
      </c>
      <c r="P9739" s="21"/>
      <c r="Q9739" s="21">
        <f t="shared" si="204"/>
        <v>2</v>
      </c>
      <c r="R9739" s="21">
        <v>1</v>
      </c>
      <c r="S9739" s="21">
        <v>0</v>
      </c>
      <c r="T9739" s="21">
        <v>0</v>
      </c>
      <c r="U9739" s="21">
        <v>1</v>
      </c>
      <c r="V9739" s="21">
        <v>0</v>
      </c>
      <c r="W9739" s="21">
        <v>1</v>
      </c>
      <c r="X9739" s="21">
        <v>0</v>
      </c>
      <c r="Y9739" s="21">
        <v>0</v>
      </c>
      <c r="Z9739" s="21">
        <v>0</v>
      </c>
      <c r="AA9739" s="21">
        <v>0</v>
      </c>
      <c r="AB9739" s="21">
        <v>0</v>
      </c>
      <c r="AC9739" s="21">
        <v>0</v>
      </c>
      <c r="AD9739" s="21">
        <v>0</v>
      </c>
      <c r="AE9739" s="21">
        <v>0</v>
      </c>
      <c r="AF9739" s="21">
        <v>0</v>
      </c>
      <c r="AG9739" s="21"/>
      <c r="AH9739" s="21">
        <f t="shared" si="205"/>
        <v>128</v>
      </c>
      <c r="AI9739" s="21"/>
      <c r="AJ9739" s="21" t="s">
        <v>51</v>
      </c>
      <c r="AK9739" s="21" t="s">
        <v>52</v>
      </c>
      <c r="AL9739" s="21" t="s">
        <v>7089</v>
      </c>
      <c r="AM9739" s="21" t="s">
        <v>7090</v>
      </c>
      <c r="AN9739" s="21">
        <v>-122.41090231666701</v>
      </c>
      <c r="AO9739" s="21">
        <v>37.8001300833333</v>
      </c>
      <c r="AP9739" s="21" t="s">
        <v>116</v>
      </c>
    </row>
    <row r="9740" spans="1:42">
      <c r="A9740" s="20">
        <v>43871</v>
      </c>
      <c r="B9740" s="21">
        <v>1</v>
      </c>
      <c r="C9740" s="21">
        <v>232</v>
      </c>
      <c r="D9740" s="21">
        <v>14476</v>
      </c>
      <c r="E9740" s="7" t="s">
        <v>112</v>
      </c>
      <c r="F9740" s="21" t="s">
        <v>104</v>
      </c>
      <c r="G9740" s="21">
        <v>2</v>
      </c>
      <c r="H9740" s="21">
        <v>25</v>
      </c>
      <c r="I9740" s="21" t="s">
        <v>7091</v>
      </c>
      <c r="J9740" s="21"/>
      <c r="K9740" s="21" t="s">
        <v>7092</v>
      </c>
      <c r="L9740" s="21" t="s">
        <v>141</v>
      </c>
      <c r="M9740" s="21" t="s">
        <v>7038</v>
      </c>
      <c r="N9740" s="21" t="s">
        <v>40</v>
      </c>
      <c r="O9740" s="21">
        <v>37</v>
      </c>
      <c r="P9740" s="21"/>
      <c r="Q9740" s="21">
        <f t="shared" si="204"/>
        <v>2</v>
      </c>
      <c r="R9740" s="21">
        <v>1</v>
      </c>
      <c r="S9740" s="21">
        <v>0</v>
      </c>
      <c r="T9740" s="21">
        <v>0</v>
      </c>
      <c r="U9740" s="21">
        <v>1</v>
      </c>
      <c r="V9740" s="21">
        <v>0</v>
      </c>
      <c r="W9740" s="21">
        <v>1</v>
      </c>
      <c r="X9740" s="21">
        <v>0</v>
      </c>
      <c r="Y9740" s="21">
        <v>0</v>
      </c>
      <c r="Z9740" s="21">
        <v>0</v>
      </c>
      <c r="AA9740" s="21">
        <v>0</v>
      </c>
      <c r="AB9740" s="21">
        <v>0</v>
      </c>
      <c r="AC9740" s="21">
        <v>0</v>
      </c>
      <c r="AD9740" s="21">
        <v>0</v>
      </c>
      <c r="AE9740" s="21">
        <v>0</v>
      </c>
      <c r="AF9740" s="21">
        <v>0</v>
      </c>
      <c r="AG9740" s="21"/>
      <c r="AH9740" s="21">
        <f t="shared" si="205"/>
        <v>128</v>
      </c>
      <c r="AI9740" s="21"/>
      <c r="AJ9740" s="21" t="s">
        <v>51</v>
      </c>
      <c r="AK9740" s="21" t="s">
        <v>52</v>
      </c>
      <c r="AL9740" s="21"/>
      <c r="AM9740" s="21" t="s">
        <v>7093</v>
      </c>
      <c r="AN9740" s="21">
        <v>-122.4095849</v>
      </c>
      <c r="AO9740" s="21">
        <v>37.799444983333302</v>
      </c>
      <c r="AP9740" s="21" t="s">
        <v>116</v>
      </c>
    </row>
    <row r="9741" spans="1:42">
      <c r="A9741" s="20">
        <v>43871</v>
      </c>
      <c r="B9741" s="21">
        <v>1</v>
      </c>
      <c r="C9741" s="21">
        <v>232</v>
      </c>
      <c r="D9741" s="21">
        <v>14476</v>
      </c>
      <c r="E9741" s="7" t="s">
        <v>112</v>
      </c>
      <c r="F9741" s="21" t="s">
        <v>104</v>
      </c>
      <c r="G9741" s="21">
        <v>2</v>
      </c>
      <c r="H9741" s="21">
        <v>26</v>
      </c>
      <c r="I9741" s="21" t="s">
        <v>7094</v>
      </c>
      <c r="J9741" s="21"/>
      <c r="K9741" s="21" t="s">
        <v>162</v>
      </c>
      <c r="L9741" s="21" t="s">
        <v>141</v>
      </c>
      <c r="M9741" s="21" t="s">
        <v>7038</v>
      </c>
      <c r="N9741" s="21" t="s">
        <v>40</v>
      </c>
      <c r="O9741" s="21">
        <v>80</v>
      </c>
      <c r="P9741" s="21"/>
      <c r="Q9741" s="21">
        <f t="shared" si="204"/>
        <v>3</v>
      </c>
      <c r="R9741" s="21">
        <v>1</v>
      </c>
      <c r="S9741" s="21">
        <v>0</v>
      </c>
      <c r="T9741" s="21">
        <v>0</v>
      </c>
      <c r="U9741" s="21">
        <v>0</v>
      </c>
      <c r="V9741" s="21">
        <v>1</v>
      </c>
      <c r="W9741" s="21">
        <v>2</v>
      </c>
      <c r="X9741" s="21">
        <v>0</v>
      </c>
      <c r="Y9741" s="21">
        <v>0</v>
      </c>
      <c r="Z9741" s="21">
        <v>0</v>
      </c>
      <c r="AA9741" s="21">
        <v>0</v>
      </c>
      <c r="AB9741" s="21">
        <v>0</v>
      </c>
      <c r="AC9741" s="21">
        <v>0</v>
      </c>
      <c r="AD9741" s="21">
        <v>0</v>
      </c>
      <c r="AE9741" s="21">
        <v>0</v>
      </c>
      <c r="AF9741" s="21">
        <v>0</v>
      </c>
      <c r="AG9741" s="21"/>
      <c r="AH9741" s="21">
        <f t="shared" si="205"/>
        <v>256</v>
      </c>
      <c r="AI9741" s="21"/>
      <c r="AJ9741" s="21" t="s">
        <v>51</v>
      </c>
      <c r="AK9741" s="21" t="s">
        <v>52</v>
      </c>
      <c r="AL9741" s="21"/>
      <c r="AM9741" s="21" t="s">
        <v>7095</v>
      </c>
      <c r="AN9741" s="21">
        <v>-122.409648316667</v>
      </c>
      <c r="AO9741" s="21">
        <v>37.799491833333299</v>
      </c>
      <c r="AP9741" s="21" t="s">
        <v>116</v>
      </c>
    </row>
    <row r="9742" spans="1:42">
      <c r="A9742" s="20">
        <v>43871</v>
      </c>
      <c r="B9742" s="21">
        <v>1</v>
      </c>
      <c r="C9742" s="21">
        <v>232</v>
      </c>
      <c r="D9742" s="21">
        <v>14476</v>
      </c>
      <c r="E9742" s="7" t="s">
        <v>112</v>
      </c>
      <c r="F9742" s="21" t="s">
        <v>104</v>
      </c>
      <c r="G9742" s="21">
        <v>2</v>
      </c>
      <c r="H9742" s="21">
        <v>27</v>
      </c>
      <c r="I9742" s="21" t="s">
        <v>7096</v>
      </c>
      <c r="J9742" s="21"/>
      <c r="K9742" s="21" t="s">
        <v>7097</v>
      </c>
      <c r="L9742" s="21" t="s">
        <v>1846</v>
      </c>
      <c r="M9742" s="21" t="s">
        <v>7038</v>
      </c>
      <c r="N9742" s="21" t="s">
        <v>42</v>
      </c>
      <c r="O9742" s="21">
        <v>170</v>
      </c>
      <c r="P9742" s="21"/>
      <c r="Q9742" s="21">
        <f t="shared" si="204"/>
        <v>4</v>
      </c>
      <c r="R9742" s="21">
        <v>1</v>
      </c>
      <c r="S9742" s="21">
        <v>0</v>
      </c>
      <c r="T9742" s="21">
        <v>0</v>
      </c>
      <c r="U9742" s="21">
        <v>0</v>
      </c>
      <c r="V9742" s="21">
        <v>2</v>
      </c>
      <c r="W9742" s="21">
        <v>2</v>
      </c>
      <c r="X9742" s="21">
        <v>0</v>
      </c>
      <c r="Y9742" s="21">
        <v>0</v>
      </c>
      <c r="Z9742" s="21">
        <v>0</v>
      </c>
      <c r="AA9742" s="21">
        <v>0</v>
      </c>
      <c r="AB9742" s="21">
        <v>0</v>
      </c>
      <c r="AC9742" s="21">
        <v>0</v>
      </c>
      <c r="AD9742" s="21">
        <v>0</v>
      </c>
      <c r="AE9742" s="21">
        <v>0</v>
      </c>
      <c r="AF9742" s="21">
        <v>0</v>
      </c>
      <c r="AG9742" s="21"/>
      <c r="AH9742" s="21">
        <f t="shared" si="205"/>
        <v>320</v>
      </c>
      <c r="AI9742" s="21"/>
      <c r="AJ9742" s="21" t="s">
        <v>51</v>
      </c>
      <c r="AK9742" s="21" t="s">
        <v>52</v>
      </c>
      <c r="AL9742" s="21" t="s">
        <v>7098</v>
      </c>
      <c r="AM9742" s="21" t="s">
        <v>7099</v>
      </c>
      <c r="AN9742" s="21">
        <v>-122.40972284999999</v>
      </c>
      <c r="AO9742" s="21">
        <v>37.799445300000002</v>
      </c>
      <c r="AP9742" s="21" t="s">
        <v>116</v>
      </c>
    </row>
    <row r="9743" spans="1:42">
      <c r="A9743" s="20">
        <v>43871</v>
      </c>
      <c r="B9743" s="21">
        <v>1</v>
      </c>
      <c r="C9743" s="21">
        <v>232</v>
      </c>
      <c r="D9743" s="21">
        <v>14476</v>
      </c>
      <c r="E9743" s="7" t="s">
        <v>112</v>
      </c>
      <c r="F9743" s="21" t="s">
        <v>104</v>
      </c>
      <c r="G9743" s="21">
        <v>2</v>
      </c>
      <c r="H9743" s="21">
        <v>28</v>
      </c>
      <c r="I9743" s="21" t="s">
        <v>3584</v>
      </c>
      <c r="J9743" s="21"/>
      <c r="K9743" s="21" t="s">
        <v>119</v>
      </c>
      <c r="L9743" s="21" t="s">
        <v>114</v>
      </c>
      <c r="M9743" s="21" t="s">
        <v>7038</v>
      </c>
      <c r="N9743" s="21" t="s">
        <v>40</v>
      </c>
      <c r="O9743" s="21">
        <v>33</v>
      </c>
      <c r="P9743" s="21"/>
      <c r="Q9743" s="21">
        <f t="shared" si="204"/>
        <v>1</v>
      </c>
      <c r="R9743" s="21">
        <v>1</v>
      </c>
      <c r="S9743" s="21">
        <v>0</v>
      </c>
      <c r="T9743" s="21">
        <v>0</v>
      </c>
      <c r="U9743" s="21">
        <v>0</v>
      </c>
      <c r="V9743" s="21">
        <v>0</v>
      </c>
      <c r="W9743" s="21">
        <v>1</v>
      </c>
      <c r="X9743" s="21">
        <v>0</v>
      </c>
      <c r="Y9743" s="21">
        <v>0</v>
      </c>
      <c r="Z9743" s="21">
        <v>0</v>
      </c>
      <c r="AA9743" s="21">
        <v>0</v>
      </c>
      <c r="AB9743" s="21">
        <v>0</v>
      </c>
      <c r="AC9743" s="21">
        <v>0</v>
      </c>
      <c r="AD9743" s="21">
        <v>0</v>
      </c>
      <c r="AE9743" s="21">
        <v>0</v>
      </c>
      <c r="AF9743" s="21">
        <v>0</v>
      </c>
      <c r="AG9743" s="21"/>
      <c r="AH9743" s="21">
        <f t="shared" si="205"/>
        <v>96</v>
      </c>
      <c r="AI9743" s="21"/>
      <c r="AJ9743" s="21" t="s">
        <v>51</v>
      </c>
      <c r="AK9743" s="21" t="s">
        <v>52</v>
      </c>
      <c r="AL9743" s="21"/>
      <c r="AM9743" s="21" t="s">
        <v>7100</v>
      </c>
      <c r="AN9743" s="21">
        <v>-122.40998576666701</v>
      </c>
      <c r="AO9743" s="21">
        <v>37.799455799999997</v>
      </c>
      <c r="AP9743" s="21" t="s">
        <v>116</v>
      </c>
    </row>
    <row r="9744" spans="1:42">
      <c r="A9744" s="20">
        <v>43871</v>
      </c>
      <c r="B9744" s="21">
        <v>1</v>
      </c>
      <c r="C9744" s="21">
        <v>232</v>
      </c>
      <c r="D9744" s="21">
        <v>14476</v>
      </c>
      <c r="E9744" s="7" t="s">
        <v>112</v>
      </c>
      <c r="F9744" s="21" t="s">
        <v>104</v>
      </c>
      <c r="G9744" s="21">
        <v>2</v>
      </c>
      <c r="H9744" s="21">
        <v>29</v>
      </c>
      <c r="I9744" s="21" t="s">
        <v>7101</v>
      </c>
      <c r="J9744" s="21"/>
      <c r="K9744" s="21" t="s">
        <v>162</v>
      </c>
      <c r="L9744" s="21" t="s">
        <v>141</v>
      </c>
      <c r="M9744" s="21" t="s">
        <v>6618</v>
      </c>
      <c r="N9744" s="21" t="s">
        <v>44</v>
      </c>
      <c r="O9744" s="21">
        <v>124</v>
      </c>
      <c r="P9744" s="21"/>
      <c r="Q9744" s="21">
        <f t="shared" si="204"/>
        <v>2</v>
      </c>
      <c r="R9744" s="21">
        <v>1</v>
      </c>
      <c r="S9744" s="21">
        <v>0</v>
      </c>
      <c r="T9744" s="21">
        <v>0</v>
      </c>
      <c r="U9744" s="21">
        <v>0</v>
      </c>
      <c r="V9744" s="21">
        <v>1</v>
      </c>
      <c r="W9744" s="21">
        <v>1</v>
      </c>
      <c r="X9744" s="21">
        <v>0</v>
      </c>
      <c r="Y9744" s="21">
        <v>0</v>
      </c>
      <c r="Z9744" s="21">
        <v>0</v>
      </c>
      <c r="AA9744" s="21">
        <v>0</v>
      </c>
      <c r="AB9744" s="21">
        <v>0</v>
      </c>
      <c r="AC9744" s="21">
        <v>0</v>
      </c>
      <c r="AD9744" s="21">
        <v>0</v>
      </c>
      <c r="AE9744" s="21">
        <v>0</v>
      </c>
      <c r="AF9744" s="21">
        <v>0</v>
      </c>
      <c r="AG9744" s="21"/>
      <c r="AH9744" s="21">
        <f t="shared" si="205"/>
        <v>160</v>
      </c>
      <c r="AI9744" s="21"/>
      <c r="AJ9744" s="21" t="s">
        <v>51</v>
      </c>
      <c r="AK9744" s="21" t="s">
        <v>52</v>
      </c>
      <c r="AL9744" s="21" t="s">
        <v>7102</v>
      </c>
      <c r="AM9744" s="21" t="s">
        <v>7103</v>
      </c>
      <c r="AN9744" s="21">
        <v>-122.410222316667</v>
      </c>
      <c r="AO9744" s="21">
        <v>37.799377583333303</v>
      </c>
      <c r="AP9744" s="21" t="s">
        <v>116</v>
      </c>
    </row>
    <row r="9745" spans="1:42">
      <c r="A9745" s="20">
        <v>43871</v>
      </c>
      <c r="B9745" s="21">
        <v>1</v>
      </c>
      <c r="C9745" s="21">
        <v>232</v>
      </c>
      <c r="D9745" s="21">
        <v>14476</v>
      </c>
      <c r="E9745" s="7" t="s">
        <v>112</v>
      </c>
      <c r="F9745" s="21" t="s">
        <v>104</v>
      </c>
      <c r="G9745" s="21">
        <v>2</v>
      </c>
      <c r="H9745" s="21">
        <v>30</v>
      </c>
      <c r="I9745" s="21" t="s">
        <v>7104</v>
      </c>
      <c r="J9745" s="21"/>
      <c r="K9745" s="21" t="s">
        <v>119</v>
      </c>
      <c r="L9745" s="21" t="s">
        <v>141</v>
      </c>
      <c r="M9745" s="21" t="s">
        <v>7038</v>
      </c>
      <c r="N9745" s="21" t="s">
        <v>44</v>
      </c>
      <c r="O9745" s="21">
        <v>77</v>
      </c>
      <c r="P9745" s="21"/>
      <c r="Q9745" s="21">
        <f t="shared" si="204"/>
        <v>1</v>
      </c>
      <c r="R9745" s="21">
        <v>1</v>
      </c>
      <c r="S9745" s="21">
        <v>0</v>
      </c>
      <c r="T9745" s="21">
        <v>0</v>
      </c>
      <c r="U9745" s="21">
        <v>0</v>
      </c>
      <c r="V9745" s="21">
        <v>0</v>
      </c>
      <c r="W9745" s="21">
        <v>1</v>
      </c>
      <c r="X9745" s="21">
        <v>0</v>
      </c>
      <c r="Y9745" s="21">
        <v>0</v>
      </c>
      <c r="Z9745" s="21">
        <v>0</v>
      </c>
      <c r="AA9745" s="21">
        <v>0</v>
      </c>
      <c r="AB9745" s="21">
        <v>0</v>
      </c>
      <c r="AC9745" s="21">
        <v>0</v>
      </c>
      <c r="AD9745" s="21">
        <v>0</v>
      </c>
      <c r="AE9745" s="21">
        <v>0</v>
      </c>
      <c r="AF9745" s="21">
        <v>0</v>
      </c>
      <c r="AG9745" s="21"/>
      <c r="AH9745" s="21">
        <f t="shared" si="205"/>
        <v>96</v>
      </c>
      <c r="AI9745" s="21"/>
      <c r="AJ9745" s="21" t="s">
        <v>51</v>
      </c>
      <c r="AK9745" s="21" t="s">
        <v>52</v>
      </c>
      <c r="AL9745" s="21" t="s">
        <v>7105</v>
      </c>
      <c r="AM9745" s="21" t="s">
        <v>7106</v>
      </c>
      <c r="AN9745" s="21">
        <v>-122.41016215</v>
      </c>
      <c r="AO9745" s="21">
        <v>37.799300983333303</v>
      </c>
      <c r="AP9745" s="21" t="s">
        <v>116</v>
      </c>
    </row>
    <row r="9746" spans="1:42">
      <c r="A9746" s="20">
        <v>43871</v>
      </c>
      <c r="B9746" s="21">
        <v>1</v>
      </c>
      <c r="C9746" s="21">
        <v>232</v>
      </c>
      <c r="D9746" s="21">
        <v>14476</v>
      </c>
      <c r="E9746" s="7" t="s">
        <v>112</v>
      </c>
      <c r="F9746" s="21" t="s">
        <v>104</v>
      </c>
      <c r="G9746" s="21">
        <v>2</v>
      </c>
      <c r="H9746" s="21">
        <v>31</v>
      </c>
      <c r="I9746" s="21" t="s">
        <v>7107</v>
      </c>
      <c r="J9746" s="21"/>
      <c r="K9746" s="21" t="s">
        <v>407</v>
      </c>
      <c r="L9746" s="21" t="s">
        <v>141</v>
      </c>
      <c r="M9746" s="21" t="s">
        <v>6618</v>
      </c>
      <c r="N9746" s="21" t="s">
        <v>40</v>
      </c>
      <c r="O9746" s="21">
        <v>64</v>
      </c>
      <c r="P9746" s="21"/>
      <c r="Q9746" s="21">
        <f t="shared" si="204"/>
        <v>1</v>
      </c>
      <c r="R9746" s="21">
        <v>1</v>
      </c>
      <c r="S9746" s="21">
        <v>0</v>
      </c>
      <c r="T9746" s="21">
        <v>0</v>
      </c>
      <c r="U9746" s="21">
        <v>0</v>
      </c>
      <c r="V9746" s="21">
        <v>0</v>
      </c>
      <c r="W9746" s="21">
        <v>1</v>
      </c>
      <c r="X9746" s="21">
        <v>0</v>
      </c>
      <c r="Y9746" s="21">
        <v>0</v>
      </c>
      <c r="Z9746" s="21">
        <v>0</v>
      </c>
      <c r="AA9746" s="21">
        <v>0</v>
      </c>
      <c r="AB9746" s="21">
        <v>0</v>
      </c>
      <c r="AC9746" s="21">
        <v>0</v>
      </c>
      <c r="AD9746" s="21">
        <v>0</v>
      </c>
      <c r="AE9746" s="21">
        <v>0</v>
      </c>
      <c r="AF9746" s="21">
        <v>0</v>
      </c>
      <c r="AG9746" s="21"/>
      <c r="AH9746" s="21">
        <f t="shared" si="205"/>
        <v>96</v>
      </c>
      <c r="AI9746" s="21"/>
      <c r="AJ9746" s="21" t="s">
        <v>54</v>
      </c>
      <c r="AK9746" s="21" t="s">
        <v>52</v>
      </c>
      <c r="AL9746" s="21" t="s">
        <v>7108</v>
      </c>
      <c r="AM9746" s="21" t="s">
        <v>7109</v>
      </c>
      <c r="AN9746" s="21">
        <v>-122.41108053333301</v>
      </c>
      <c r="AO9746" s="21">
        <v>37.799256416666701</v>
      </c>
      <c r="AP9746" s="21" t="s">
        <v>116</v>
      </c>
    </row>
    <row r="9747" spans="1:42">
      <c r="A9747" s="20">
        <v>43871</v>
      </c>
      <c r="B9747" s="21">
        <v>1</v>
      </c>
      <c r="C9747" s="21">
        <v>232</v>
      </c>
      <c r="D9747" s="21">
        <v>14476</v>
      </c>
      <c r="E9747" s="7" t="s">
        <v>112</v>
      </c>
      <c r="F9747" s="21" t="s">
        <v>104</v>
      </c>
      <c r="G9747" s="21">
        <v>2</v>
      </c>
      <c r="H9747" s="21">
        <v>32</v>
      </c>
      <c r="I9747" s="21" t="s">
        <v>5332</v>
      </c>
      <c r="J9747" s="21"/>
      <c r="K9747" s="21" t="s">
        <v>407</v>
      </c>
      <c r="L9747" s="21" t="s">
        <v>141</v>
      </c>
      <c r="M9747" s="21" t="s">
        <v>7038</v>
      </c>
      <c r="N9747" s="21" t="s">
        <v>40</v>
      </c>
      <c r="O9747" s="21">
        <v>74</v>
      </c>
      <c r="P9747" s="21"/>
      <c r="Q9747" s="21">
        <f t="shared" si="204"/>
        <v>3</v>
      </c>
      <c r="R9747" s="21">
        <v>1</v>
      </c>
      <c r="S9747" s="21">
        <v>0</v>
      </c>
      <c r="T9747" s="21">
        <v>0</v>
      </c>
      <c r="U9747" s="21">
        <v>1</v>
      </c>
      <c r="V9747" s="21">
        <v>1</v>
      </c>
      <c r="W9747" s="21">
        <v>1</v>
      </c>
      <c r="X9747" s="21">
        <v>0</v>
      </c>
      <c r="Y9747" s="21">
        <v>0</v>
      </c>
      <c r="Z9747" s="21">
        <v>0</v>
      </c>
      <c r="AA9747" s="21">
        <v>0</v>
      </c>
      <c r="AB9747" s="21">
        <v>0</v>
      </c>
      <c r="AC9747" s="21">
        <v>0</v>
      </c>
      <c r="AD9747" s="21">
        <v>0</v>
      </c>
      <c r="AE9747" s="21">
        <v>0</v>
      </c>
      <c r="AF9747" s="21">
        <v>0</v>
      </c>
      <c r="AG9747" s="21"/>
      <c r="AH9747" s="21">
        <f t="shared" si="205"/>
        <v>192</v>
      </c>
      <c r="AI9747" s="21"/>
      <c r="AJ9747" s="21" t="s">
        <v>54</v>
      </c>
      <c r="AK9747" s="21" t="s">
        <v>52</v>
      </c>
      <c r="AL9747" s="21" t="s">
        <v>7110</v>
      </c>
      <c r="AM9747" s="21" t="s">
        <v>7111</v>
      </c>
      <c r="AN9747" s="21">
        <v>-122.411113566667</v>
      </c>
      <c r="AO9747" s="21">
        <v>37.7992712666667</v>
      </c>
      <c r="AP9747" s="21" t="s">
        <v>116</v>
      </c>
    </row>
    <row r="9748" spans="1:42">
      <c r="A9748" s="20">
        <v>43871</v>
      </c>
      <c r="B9748" s="21">
        <v>1</v>
      </c>
      <c r="C9748" s="21">
        <v>232</v>
      </c>
      <c r="D9748" s="21">
        <v>14476</v>
      </c>
      <c r="E9748" s="7" t="s">
        <v>112</v>
      </c>
      <c r="F9748" s="21" t="s">
        <v>104</v>
      </c>
      <c r="G9748" s="21">
        <v>2</v>
      </c>
      <c r="H9748" s="21">
        <v>33</v>
      </c>
      <c r="I9748" s="21" t="s">
        <v>5703</v>
      </c>
      <c r="J9748" s="21"/>
      <c r="K9748" s="21" t="s">
        <v>7112</v>
      </c>
      <c r="L9748" s="21" t="s">
        <v>141</v>
      </c>
      <c r="M9748" s="21" t="s">
        <v>7038</v>
      </c>
      <c r="N9748" s="21" t="s">
        <v>44</v>
      </c>
      <c r="O9748" s="21">
        <v>103</v>
      </c>
      <c r="P9748" s="21"/>
      <c r="Q9748" s="21">
        <f t="shared" si="204"/>
        <v>2</v>
      </c>
      <c r="R9748" s="21">
        <v>1</v>
      </c>
      <c r="S9748" s="21">
        <v>0</v>
      </c>
      <c r="T9748" s="21">
        <v>0</v>
      </c>
      <c r="U9748" s="21">
        <v>1</v>
      </c>
      <c r="V9748" s="21">
        <v>0</v>
      </c>
      <c r="W9748" s="21">
        <v>1</v>
      </c>
      <c r="X9748" s="21">
        <v>0</v>
      </c>
      <c r="Y9748" s="21">
        <v>0</v>
      </c>
      <c r="Z9748" s="21">
        <v>0</v>
      </c>
      <c r="AA9748" s="21">
        <v>0</v>
      </c>
      <c r="AB9748" s="21">
        <v>0</v>
      </c>
      <c r="AC9748" s="21">
        <v>0</v>
      </c>
      <c r="AD9748" s="21">
        <v>0</v>
      </c>
      <c r="AE9748" s="21">
        <v>0</v>
      </c>
      <c r="AF9748" s="21">
        <v>0</v>
      </c>
      <c r="AG9748" s="21"/>
      <c r="AH9748" s="21">
        <f t="shared" si="205"/>
        <v>128</v>
      </c>
      <c r="AI9748" s="21"/>
      <c r="AJ9748" s="21" t="s">
        <v>54</v>
      </c>
      <c r="AK9748" s="21" t="s">
        <v>52</v>
      </c>
      <c r="AL9748" s="21" t="s">
        <v>7113</v>
      </c>
      <c r="AM9748" s="21" t="s">
        <v>7114</v>
      </c>
      <c r="AN9748" s="21">
        <v>-122.411580483333</v>
      </c>
      <c r="AO9748" s="21">
        <v>37.799632816666701</v>
      </c>
      <c r="AP9748" s="21" t="s">
        <v>116</v>
      </c>
    </row>
    <row r="9749" spans="1:42">
      <c r="A9749" s="20">
        <v>43871</v>
      </c>
      <c r="B9749" s="21">
        <v>1</v>
      </c>
      <c r="C9749" s="21">
        <v>232</v>
      </c>
      <c r="D9749" s="21">
        <v>14476</v>
      </c>
      <c r="E9749" s="7" t="s">
        <v>112</v>
      </c>
      <c r="F9749" s="21" t="s">
        <v>104</v>
      </c>
      <c r="G9749" s="21">
        <v>2</v>
      </c>
      <c r="H9749" s="21">
        <v>34</v>
      </c>
      <c r="I9749" s="21" t="s">
        <v>7115</v>
      </c>
      <c r="J9749" s="21"/>
      <c r="K9749" s="21" t="s">
        <v>162</v>
      </c>
      <c r="L9749" s="21" t="s">
        <v>141</v>
      </c>
      <c r="M9749" s="21" t="s">
        <v>6618</v>
      </c>
      <c r="N9749" s="21" t="s">
        <v>44</v>
      </c>
      <c r="O9749" s="21">
        <v>82</v>
      </c>
      <c r="P9749" s="21"/>
      <c r="Q9749" s="21">
        <f t="shared" si="204"/>
        <v>2</v>
      </c>
      <c r="R9749" s="21">
        <v>1</v>
      </c>
      <c r="S9749" s="21">
        <v>0</v>
      </c>
      <c r="T9749" s="21">
        <v>0</v>
      </c>
      <c r="U9749" s="21">
        <v>0</v>
      </c>
      <c r="V9749" s="21">
        <v>1</v>
      </c>
      <c r="W9749" s="21">
        <v>1</v>
      </c>
      <c r="X9749" s="21">
        <v>0</v>
      </c>
      <c r="Y9749" s="21">
        <v>0</v>
      </c>
      <c r="Z9749" s="21">
        <v>0</v>
      </c>
      <c r="AA9749" s="21">
        <v>0</v>
      </c>
      <c r="AB9749" s="21">
        <v>0</v>
      </c>
      <c r="AC9749" s="21">
        <v>0</v>
      </c>
      <c r="AD9749" s="21">
        <v>0</v>
      </c>
      <c r="AE9749" s="21">
        <v>0</v>
      </c>
      <c r="AF9749" s="21">
        <v>0</v>
      </c>
      <c r="AG9749" s="21"/>
      <c r="AH9749" s="21">
        <f t="shared" si="205"/>
        <v>160</v>
      </c>
      <c r="AI9749" s="21"/>
      <c r="AJ9749" s="21" t="s">
        <v>54</v>
      </c>
      <c r="AK9749" s="21" t="s">
        <v>52</v>
      </c>
      <c r="AL9749" s="21" t="s">
        <v>7116</v>
      </c>
      <c r="AM9749" s="21" t="s">
        <v>7117</v>
      </c>
      <c r="AN9749" s="21">
        <v>-122.411600783333</v>
      </c>
      <c r="AO9749" s="21">
        <v>37.799151916666702</v>
      </c>
      <c r="AP9749" s="21" t="s">
        <v>116</v>
      </c>
    </row>
    <row r="9750" spans="1:42">
      <c r="A9750" s="20">
        <v>43871</v>
      </c>
      <c r="B9750" s="21">
        <v>1</v>
      </c>
      <c r="C9750" s="21">
        <v>232</v>
      </c>
      <c r="D9750" s="21">
        <v>14476</v>
      </c>
      <c r="E9750" s="7" t="s">
        <v>112</v>
      </c>
      <c r="F9750" s="21" t="s">
        <v>104</v>
      </c>
      <c r="G9750" s="21">
        <v>2</v>
      </c>
      <c r="H9750" s="21">
        <v>35</v>
      </c>
      <c r="I9750" s="21" t="s">
        <v>7118</v>
      </c>
      <c r="J9750" s="21"/>
      <c r="K9750" s="21" t="s">
        <v>162</v>
      </c>
      <c r="L9750" s="21" t="s">
        <v>141</v>
      </c>
      <c r="M9750" s="21" t="s">
        <v>6618</v>
      </c>
      <c r="N9750" s="21" t="s">
        <v>44</v>
      </c>
      <c r="O9750" s="21">
        <v>54</v>
      </c>
      <c r="P9750" s="21"/>
      <c r="Q9750" s="21">
        <f t="shared" si="204"/>
        <v>1</v>
      </c>
      <c r="R9750" s="21">
        <v>1</v>
      </c>
      <c r="S9750" s="21">
        <v>0</v>
      </c>
      <c r="T9750" s="21">
        <v>0</v>
      </c>
      <c r="U9750" s="21">
        <v>1</v>
      </c>
      <c r="V9750" s="21">
        <v>0</v>
      </c>
      <c r="W9750" s="21">
        <v>0</v>
      </c>
      <c r="X9750" s="21">
        <v>0</v>
      </c>
      <c r="Y9750" s="21">
        <v>0</v>
      </c>
      <c r="Z9750" s="21">
        <v>0</v>
      </c>
      <c r="AA9750" s="21">
        <v>0</v>
      </c>
      <c r="AB9750" s="21">
        <v>0</v>
      </c>
      <c r="AC9750" s="21">
        <v>0</v>
      </c>
      <c r="AD9750" s="21">
        <v>0</v>
      </c>
      <c r="AE9750" s="21">
        <v>0</v>
      </c>
      <c r="AF9750" s="21">
        <v>0</v>
      </c>
      <c r="AG9750" s="21"/>
      <c r="AH9750" s="21">
        <f t="shared" si="205"/>
        <v>32</v>
      </c>
      <c r="AI9750" s="21"/>
      <c r="AJ9750" s="21" t="s">
        <v>54</v>
      </c>
      <c r="AK9750" s="21" t="s">
        <v>52</v>
      </c>
      <c r="AL9750" s="21" t="s">
        <v>7105</v>
      </c>
      <c r="AM9750" s="21" t="s">
        <v>7119</v>
      </c>
      <c r="AN9750" s="21">
        <v>-122.4133746</v>
      </c>
      <c r="AO9750" s="21">
        <v>37.798936233333301</v>
      </c>
      <c r="AP9750" s="21" t="s">
        <v>116</v>
      </c>
    </row>
    <row r="9751" spans="1:42">
      <c r="A9751" s="20">
        <v>43871</v>
      </c>
      <c r="B9751" s="21">
        <v>1</v>
      </c>
      <c r="C9751" s="21">
        <v>232</v>
      </c>
      <c r="D9751" s="21">
        <v>14476</v>
      </c>
      <c r="E9751" s="7" t="s">
        <v>112</v>
      </c>
      <c r="F9751" s="21" t="s">
        <v>104</v>
      </c>
      <c r="G9751" s="21">
        <v>2</v>
      </c>
      <c r="H9751" s="21">
        <v>36</v>
      </c>
      <c r="I9751" s="21" t="s">
        <v>7120</v>
      </c>
      <c r="J9751" s="21"/>
      <c r="K9751" s="21" t="s">
        <v>119</v>
      </c>
      <c r="L9751" s="21" t="s">
        <v>114</v>
      </c>
      <c r="M9751" s="21" t="s">
        <v>7038</v>
      </c>
      <c r="N9751" s="21" t="s">
        <v>44</v>
      </c>
      <c r="O9751" s="21">
        <v>102</v>
      </c>
      <c r="P9751" s="21"/>
      <c r="Q9751" s="21">
        <f t="shared" si="204"/>
        <v>1</v>
      </c>
      <c r="R9751" s="21">
        <v>1</v>
      </c>
      <c r="S9751" s="21">
        <v>0</v>
      </c>
      <c r="T9751" s="21">
        <v>0</v>
      </c>
      <c r="U9751" s="21">
        <v>0</v>
      </c>
      <c r="V9751" s="21">
        <v>0</v>
      </c>
      <c r="W9751" s="21">
        <v>1</v>
      </c>
      <c r="X9751" s="21">
        <v>0</v>
      </c>
      <c r="Y9751" s="21">
        <v>0</v>
      </c>
      <c r="Z9751" s="21">
        <v>0</v>
      </c>
      <c r="AA9751" s="21">
        <v>0</v>
      </c>
      <c r="AB9751" s="21">
        <v>0</v>
      </c>
      <c r="AC9751" s="21">
        <v>0</v>
      </c>
      <c r="AD9751" s="21">
        <v>0</v>
      </c>
      <c r="AE9751" s="21">
        <v>0</v>
      </c>
      <c r="AF9751" s="21">
        <v>0</v>
      </c>
      <c r="AG9751" s="21"/>
      <c r="AH9751" s="21">
        <f t="shared" si="205"/>
        <v>96</v>
      </c>
      <c r="AI9751" s="21"/>
      <c r="AJ9751" s="21" t="s">
        <v>54</v>
      </c>
      <c r="AK9751" s="21" t="s">
        <v>52</v>
      </c>
      <c r="AL9751" s="21" t="s">
        <v>7121</v>
      </c>
      <c r="AM9751" s="21" t="s">
        <v>7122</v>
      </c>
      <c r="AN9751" s="21">
        <v>-122.41347407640001</v>
      </c>
      <c r="AO9751" s="21">
        <v>37.798137785444098</v>
      </c>
      <c r="AP9751" s="21" t="s">
        <v>116</v>
      </c>
    </row>
    <row r="9752" spans="1:42">
      <c r="A9752" s="20">
        <v>43871</v>
      </c>
      <c r="B9752" s="21">
        <v>1</v>
      </c>
      <c r="C9752" s="21">
        <v>232</v>
      </c>
      <c r="D9752" s="21">
        <v>14476</v>
      </c>
      <c r="E9752" s="7" t="s">
        <v>112</v>
      </c>
      <c r="F9752" s="21" t="s">
        <v>104</v>
      </c>
      <c r="G9752" s="21">
        <v>2</v>
      </c>
      <c r="H9752" s="21">
        <v>37</v>
      </c>
      <c r="I9752" s="21" t="s">
        <v>7123</v>
      </c>
      <c r="J9752" s="21"/>
      <c r="K9752" s="21" t="s">
        <v>156</v>
      </c>
      <c r="L9752" s="21" t="s">
        <v>141</v>
      </c>
      <c r="M9752" s="21" t="s">
        <v>7038</v>
      </c>
      <c r="N9752" s="21" t="s">
        <v>40</v>
      </c>
      <c r="O9752" s="21">
        <v>47</v>
      </c>
      <c r="P9752" s="21"/>
      <c r="Q9752" s="21">
        <f t="shared" si="204"/>
        <v>2</v>
      </c>
      <c r="R9752" s="21">
        <v>1</v>
      </c>
      <c r="S9752" s="21">
        <v>0</v>
      </c>
      <c r="T9752" s="21">
        <v>0</v>
      </c>
      <c r="U9752" s="21">
        <v>1</v>
      </c>
      <c r="V9752" s="21">
        <v>0</v>
      </c>
      <c r="W9752" s="21">
        <v>1</v>
      </c>
      <c r="X9752" s="21">
        <v>0</v>
      </c>
      <c r="Y9752" s="21">
        <v>0</v>
      </c>
      <c r="Z9752" s="21">
        <v>0</v>
      </c>
      <c r="AA9752" s="21">
        <v>0</v>
      </c>
      <c r="AB9752" s="21">
        <v>0</v>
      </c>
      <c r="AC9752" s="21">
        <v>0</v>
      </c>
      <c r="AD9752" s="21">
        <v>0</v>
      </c>
      <c r="AE9752" s="21">
        <v>0</v>
      </c>
      <c r="AF9752" s="21">
        <v>0</v>
      </c>
      <c r="AG9752" s="21"/>
      <c r="AH9752" s="21">
        <f t="shared" si="205"/>
        <v>128</v>
      </c>
      <c r="AI9752" s="21"/>
      <c r="AJ9752" s="21" t="s">
        <v>54</v>
      </c>
      <c r="AK9752" s="21" t="s">
        <v>52</v>
      </c>
      <c r="AL9752" s="21"/>
      <c r="AM9752" s="21" t="s">
        <v>7124</v>
      </c>
      <c r="AN9752" s="21">
        <v>-122.413399083333</v>
      </c>
      <c r="AO9752" s="21">
        <v>37.799957833333302</v>
      </c>
      <c r="AP9752" s="21" t="s">
        <v>116</v>
      </c>
    </row>
    <row r="9753" spans="1:42">
      <c r="A9753" s="20">
        <v>43871</v>
      </c>
      <c r="B9753" s="21">
        <v>1</v>
      </c>
      <c r="C9753" s="21">
        <v>232</v>
      </c>
      <c r="D9753" s="21">
        <v>14476</v>
      </c>
      <c r="E9753" s="7" t="s">
        <v>112</v>
      </c>
      <c r="F9753" s="21" t="s">
        <v>104</v>
      </c>
      <c r="G9753" s="21">
        <v>2</v>
      </c>
      <c r="H9753" s="21">
        <v>38</v>
      </c>
      <c r="I9753" s="21" t="s">
        <v>4447</v>
      </c>
      <c r="J9753" s="21"/>
      <c r="K9753" s="21" t="s">
        <v>6992</v>
      </c>
      <c r="L9753" s="21" t="s">
        <v>141</v>
      </c>
      <c r="M9753" s="21" t="s">
        <v>6618</v>
      </c>
      <c r="N9753" s="21" t="s">
        <v>40</v>
      </c>
      <c r="O9753" s="21">
        <v>102</v>
      </c>
      <c r="P9753" s="21"/>
      <c r="Q9753" s="21">
        <f t="shared" si="204"/>
        <v>3</v>
      </c>
      <c r="R9753" s="21">
        <v>1</v>
      </c>
      <c r="S9753" s="21">
        <v>0</v>
      </c>
      <c r="T9753" s="21">
        <v>0</v>
      </c>
      <c r="U9753" s="21">
        <v>1</v>
      </c>
      <c r="V9753" s="21">
        <v>1</v>
      </c>
      <c r="W9753" s="21">
        <v>1</v>
      </c>
      <c r="X9753" s="21">
        <v>0</v>
      </c>
      <c r="Y9753" s="21">
        <v>0</v>
      </c>
      <c r="Z9753" s="21">
        <v>0</v>
      </c>
      <c r="AA9753" s="21">
        <v>0</v>
      </c>
      <c r="AB9753" s="21">
        <v>0</v>
      </c>
      <c r="AC9753" s="21">
        <v>0</v>
      </c>
      <c r="AD9753" s="21">
        <v>0</v>
      </c>
      <c r="AE9753" s="21">
        <v>0</v>
      </c>
      <c r="AF9753" s="21">
        <v>0</v>
      </c>
      <c r="AG9753" s="21"/>
      <c r="AH9753" s="21">
        <f t="shared" si="205"/>
        <v>192</v>
      </c>
      <c r="AI9753" s="21"/>
      <c r="AJ9753" s="21" t="s">
        <v>54</v>
      </c>
      <c r="AK9753" s="21" t="s">
        <v>52</v>
      </c>
      <c r="AL9753" s="21" t="s">
        <v>7125</v>
      </c>
      <c r="AM9753" s="21" t="s">
        <v>7126</v>
      </c>
      <c r="AN9753" s="21">
        <v>-122.41268925</v>
      </c>
      <c r="AO9753" s="21">
        <v>37.799975266666699</v>
      </c>
      <c r="AP9753" s="21" t="s">
        <v>116</v>
      </c>
    </row>
    <row r="9754" spans="1:42">
      <c r="A9754" s="20">
        <v>43871</v>
      </c>
      <c r="B9754" s="21">
        <v>1</v>
      </c>
      <c r="C9754" s="21">
        <v>232</v>
      </c>
      <c r="D9754" s="21">
        <v>14476</v>
      </c>
      <c r="E9754" s="7" t="s">
        <v>112</v>
      </c>
      <c r="F9754" s="21" t="s">
        <v>104</v>
      </c>
      <c r="G9754" s="21">
        <v>2</v>
      </c>
      <c r="H9754" s="21">
        <v>39</v>
      </c>
      <c r="I9754" s="21" t="s">
        <v>3490</v>
      </c>
      <c r="J9754" s="21"/>
      <c r="K9754" s="21" t="s">
        <v>156</v>
      </c>
      <c r="L9754" s="21" t="s">
        <v>141</v>
      </c>
      <c r="M9754" s="21" t="s">
        <v>7038</v>
      </c>
      <c r="N9754" s="21" t="s">
        <v>44</v>
      </c>
      <c r="O9754" s="21">
        <v>45</v>
      </c>
      <c r="P9754" s="21"/>
      <c r="Q9754" s="21">
        <f t="shared" si="204"/>
        <v>1</v>
      </c>
      <c r="R9754" s="21">
        <v>1</v>
      </c>
      <c r="S9754" s="21">
        <v>0</v>
      </c>
      <c r="T9754" s="21">
        <v>0</v>
      </c>
      <c r="U9754" s="21">
        <v>0</v>
      </c>
      <c r="V9754" s="21">
        <v>0</v>
      </c>
      <c r="W9754" s="21">
        <v>1</v>
      </c>
      <c r="X9754" s="21">
        <v>0</v>
      </c>
      <c r="Y9754" s="21">
        <v>0</v>
      </c>
      <c r="Z9754" s="21">
        <v>0</v>
      </c>
      <c r="AA9754" s="21">
        <v>0</v>
      </c>
      <c r="AB9754" s="21">
        <v>0</v>
      </c>
      <c r="AC9754" s="21">
        <v>0</v>
      </c>
      <c r="AD9754" s="21">
        <v>0</v>
      </c>
      <c r="AE9754" s="21">
        <v>0</v>
      </c>
      <c r="AF9754" s="21">
        <v>0</v>
      </c>
      <c r="AG9754" s="21"/>
      <c r="AH9754" s="21">
        <f t="shared" si="205"/>
        <v>96</v>
      </c>
      <c r="AI9754" s="21"/>
      <c r="AJ9754" s="21" t="s">
        <v>54</v>
      </c>
      <c r="AK9754" s="21" t="s">
        <v>52</v>
      </c>
      <c r="AL9754" s="21" t="s">
        <v>7127</v>
      </c>
      <c r="AM9754" s="21" t="s">
        <v>7128</v>
      </c>
      <c r="AN9754" s="21">
        <v>-122.412771666667</v>
      </c>
      <c r="AO9754" s="21">
        <v>37.799947133333298</v>
      </c>
      <c r="AP9754" s="21" t="s">
        <v>116</v>
      </c>
    </row>
    <row r="9755" spans="1:42">
      <c r="A9755" s="20">
        <v>43871</v>
      </c>
      <c r="B9755" s="21">
        <v>1</v>
      </c>
      <c r="C9755" s="21">
        <v>232</v>
      </c>
      <c r="D9755" s="21">
        <v>14476</v>
      </c>
      <c r="E9755" s="7" t="s">
        <v>112</v>
      </c>
      <c r="F9755" s="21" t="s">
        <v>104</v>
      </c>
      <c r="G9755" s="21">
        <v>2</v>
      </c>
      <c r="H9755" s="21">
        <v>40</v>
      </c>
      <c r="I9755" s="21" t="s">
        <v>3305</v>
      </c>
      <c r="J9755" s="21"/>
      <c r="K9755" s="21" t="s">
        <v>6992</v>
      </c>
      <c r="L9755" s="21" t="s">
        <v>114</v>
      </c>
      <c r="M9755" s="21" t="s">
        <v>7038</v>
      </c>
      <c r="N9755" s="21" t="s">
        <v>40</v>
      </c>
      <c r="O9755" s="21">
        <v>30</v>
      </c>
      <c r="P9755" s="21"/>
      <c r="Q9755" s="21">
        <f t="shared" si="204"/>
        <v>2</v>
      </c>
      <c r="R9755" s="21">
        <v>1</v>
      </c>
      <c r="S9755" s="21">
        <v>0</v>
      </c>
      <c r="T9755" s="21">
        <v>0</v>
      </c>
      <c r="U9755" s="21">
        <v>0</v>
      </c>
      <c r="V9755" s="21">
        <v>1</v>
      </c>
      <c r="W9755" s="21">
        <v>1</v>
      </c>
      <c r="X9755" s="21">
        <v>0</v>
      </c>
      <c r="Y9755" s="21">
        <v>0</v>
      </c>
      <c r="Z9755" s="21">
        <v>0</v>
      </c>
      <c r="AA9755" s="21">
        <v>0</v>
      </c>
      <c r="AB9755" s="21">
        <v>0</v>
      </c>
      <c r="AC9755" s="21">
        <v>0</v>
      </c>
      <c r="AD9755" s="21">
        <v>0</v>
      </c>
      <c r="AE9755" s="21">
        <v>0</v>
      </c>
      <c r="AF9755" s="21">
        <v>0</v>
      </c>
      <c r="AG9755" s="21"/>
      <c r="AH9755" s="21">
        <f t="shared" si="205"/>
        <v>160</v>
      </c>
      <c r="AI9755" s="21"/>
      <c r="AJ9755" s="21" t="s">
        <v>51</v>
      </c>
      <c r="AK9755" s="21" t="s">
        <v>52</v>
      </c>
      <c r="AL9755" s="21"/>
      <c r="AM9755" s="21" t="s">
        <v>7129</v>
      </c>
      <c r="AN9755" s="21">
        <v>-122.413817053741</v>
      </c>
      <c r="AO9755" s="21">
        <v>37.800795569313401</v>
      </c>
      <c r="AP9755" s="21" t="s">
        <v>116</v>
      </c>
    </row>
    <row r="9756" spans="1:42">
      <c r="A9756" s="20">
        <v>43871</v>
      </c>
      <c r="B9756" s="21">
        <v>1</v>
      </c>
      <c r="C9756" s="21">
        <v>232</v>
      </c>
      <c r="D9756" s="21">
        <v>14476</v>
      </c>
      <c r="E9756" s="7" t="s">
        <v>112</v>
      </c>
      <c r="F9756" s="21" t="s">
        <v>104</v>
      </c>
      <c r="G9756" s="21">
        <v>2</v>
      </c>
      <c r="H9756" s="21">
        <v>41</v>
      </c>
      <c r="I9756" s="21" t="s">
        <v>7130</v>
      </c>
      <c r="J9756" s="21"/>
      <c r="K9756" s="21" t="s">
        <v>407</v>
      </c>
      <c r="L9756" s="21" t="s">
        <v>141</v>
      </c>
      <c r="M9756" s="21" t="s">
        <v>7038</v>
      </c>
      <c r="N9756" s="21" t="s">
        <v>44</v>
      </c>
      <c r="O9756" s="21">
        <v>110</v>
      </c>
      <c r="P9756" s="21"/>
      <c r="Q9756" s="21">
        <f t="shared" si="204"/>
        <v>0</v>
      </c>
      <c r="R9756" s="21">
        <v>1</v>
      </c>
      <c r="S9756" s="21">
        <v>0</v>
      </c>
      <c r="T9756" s="21">
        <v>0</v>
      </c>
      <c r="U9756" s="21">
        <v>0</v>
      </c>
      <c r="V9756" s="21">
        <v>0</v>
      </c>
      <c r="W9756" s="21">
        <v>0</v>
      </c>
      <c r="X9756" s="21">
        <v>0</v>
      </c>
      <c r="Y9756" s="21">
        <v>0</v>
      </c>
      <c r="Z9756" s="21">
        <v>0</v>
      </c>
      <c r="AA9756" s="21">
        <v>0</v>
      </c>
      <c r="AB9756" s="21">
        <v>0</v>
      </c>
      <c r="AC9756" s="21">
        <v>0</v>
      </c>
      <c r="AD9756" s="21">
        <v>0</v>
      </c>
      <c r="AE9756" s="21">
        <v>0</v>
      </c>
      <c r="AF9756" s="21">
        <v>0</v>
      </c>
      <c r="AG9756" s="21"/>
      <c r="AH9756" s="21">
        <f t="shared" si="205"/>
        <v>0</v>
      </c>
      <c r="AI9756" s="21"/>
      <c r="AJ9756" s="21" t="s">
        <v>51</v>
      </c>
      <c r="AK9756" s="21" t="s">
        <v>52</v>
      </c>
      <c r="AL9756" s="21" t="s">
        <v>7131</v>
      </c>
      <c r="AM9756" s="21" t="s">
        <v>7132</v>
      </c>
      <c r="AN9756" s="21">
        <v>-122.41041198333301</v>
      </c>
      <c r="AO9756" s="21">
        <v>37.797814116666601</v>
      </c>
      <c r="AP9756" s="21" t="s">
        <v>116</v>
      </c>
    </row>
    <row r="9757" spans="1:42">
      <c r="A9757" s="20">
        <v>43871</v>
      </c>
      <c r="B9757" s="21">
        <v>1</v>
      </c>
      <c r="C9757" s="21">
        <v>232</v>
      </c>
      <c r="D9757" s="21">
        <v>14476</v>
      </c>
      <c r="E9757" s="7" t="s">
        <v>112</v>
      </c>
      <c r="F9757" s="21" t="s">
        <v>104</v>
      </c>
      <c r="G9757" s="21">
        <v>2</v>
      </c>
      <c r="H9757" s="21">
        <v>42</v>
      </c>
      <c r="I9757" s="21" t="s">
        <v>7133</v>
      </c>
      <c r="J9757" s="21"/>
      <c r="K9757" s="21" t="s">
        <v>185</v>
      </c>
      <c r="L9757" s="21" t="s">
        <v>114</v>
      </c>
      <c r="M9757" s="21" t="s">
        <v>7038</v>
      </c>
      <c r="N9757" s="21" t="s">
        <v>44</v>
      </c>
      <c r="O9757" s="21">
        <v>82</v>
      </c>
      <c r="P9757" s="21"/>
      <c r="Q9757" s="21">
        <f t="shared" si="204"/>
        <v>3</v>
      </c>
      <c r="R9757" s="21">
        <v>1</v>
      </c>
      <c r="S9757" s="21">
        <v>0</v>
      </c>
      <c r="T9757" s="21">
        <v>0</v>
      </c>
      <c r="U9757" s="21">
        <v>0</v>
      </c>
      <c r="V9757" s="21">
        <v>1</v>
      </c>
      <c r="W9757" s="21">
        <v>2</v>
      </c>
      <c r="X9757" s="21">
        <v>0</v>
      </c>
      <c r="Y9757" s="21">
        <v>0</v>
      </c>
      <c r="Z9757" s="21">
        <v>0</v>
      </c>
      <c r="AA9757" s="21">
        <v>0</v>
      </c>
      <c r="AB9757" s="21">
        <v>0</v>
      </c>
      <c r="AC9757" s="21">
        <v>0</v>
      </c>
      <c r="AD9757" s="21">
        <v>0</v>
      </c>
      <c r="AE9757" s="21">
        <v>0</v>
      </c>
      <c r="AF9757" s="21">
        <v>0</v>
      </c>
      <c r="AG9757" s="21"/>
      <c r="AH9757" s="21">
        <f t="shared" si="205"/>
        <v>256</v>
      </c>
      <c r="AI9757" s="21"/>
      <c r="AJ9757" s="21" t="s">
        <v>54</v>
      </c>
      <c r="AK9757" s="21" t="s">
        <v>52</v>
      </c>
      <c r="AL9757" s="21" t="s">
        <v>7134</v>
      </c>
      <c r="AM9757" s="21" t="s">
        <v>7135</v>
      </c>
      <c r="AN9757" s="21">
        <v>-122.410766416667</v>
      </c>
      <c r="AO9757" s="21">
        <v>37.797384350000002</v>
      </c>
      <c r="AP9757" s="21" t="s">
        <v>116</v>
      </c>
    </row>
    <row r="9758" spans="1:42">
      <c r="A9758" s="20">
        <v>43871</v>
      </c>
      <c r="B9758" s="21">
        <v>1</v>
      </c>
      <c r="C9758" s="21">
        <v>232</v>
      </c>
      <c r="D9758" s="21">
        <v>14476</v>
      </c>
      <c r="E9758" s="7" t="s">
        <v>112</v>
      </c>
      <c r="F9758" s="21" t="s">
        <v>104</v>
      </c>
      <c r="G9758" s="21">
        <v>2</v>
      </c>
      <c r="H9758" s="21">
        <v>43</v>
      </c>
      <c r="I9758" s="21" t="s">
        <v>7136</v>
      </c>
      <c r="J9758" s="21"/>
      <c r="K9758" s="21" t="s">
        <v>185</v>
      </c>
      <c r="L9758" s="21" t="s">
        <v>114</v>
      </c>
      <c r="M9758" s="21" t="s">
        <v>7038</v>
      </c>
      <c r="N9758" s="21" t="s">
        <v>40</v>
      </c>
      <c r="O9758" s="21">
        <v>156</v>
      </c>
      <c r="P9758" s="21"/>
      <c r="Q9758" s="21">
        <f t="shared" si="204"/>
        <v>7</v>
      </c>
      <c r="R9758" s="21">
        <v>1</v>
      </c>
      <c r="S9758" s="21">
        <v>1</v>
      </c>
      <c r="T9758" s="21">
        <v>0</v>
      </c>
      <c r="U9758" s="21">
        <v>6</v>
      </c>
      <c r="V9758" s="21">
        <v>0</v>
      </c>
      <c r="W9758" s="21">
        <v>0</v>
      </c>
      <c r="X9758" s="21">
        <v>0</v>
      </c>
      <c r="Y9758" s="21">
        <v>0</v>
      </c>
      <c r="Z9758" s="21">
        <v>0</v>
      </c>
      <c r="AA9758" s="21">
        <v>0</v>
      </c>
      <c r="AB9758" s="21">
        <v>0</v>
      </c>
      <c r="AC9758" s="21">
        <v>0</v>
      </c>
      <c r="AD9758" s="21">
        <v>0</v>
      </c>
      <c r="AE9758" s="21">
        <v>0</v>
      </c>
      <c r="AF9758" s="21">
        <v>0</v>
      </c>
      <c r="AG9758" s="21"/>
      <c r="AH9758" s="21">
        <f t="shared" si="205"/>
        <v>208</v>
      </c>
      <c r="AI9758" s="21"/>
      <c r="AJ9758" s="21" t="s">
        <v>54</v>
      </c>
      <c r="AK9758" s="21" t="s">
        <v>52</v>
      </c>
      <c r="AL9758" s="21" t="s">
        <v>7137</v>
      </c>
      <c r="AM9758" s="21" t="s">
        <v>7138</v>
      </c>
      <c r="AN9758" s="21">
        <v>-122.41339953333301</v>
      </c>
      <c r="AO9758" s="21">
        <v>37.797077283333302</v>
      </c>
      <c r="AP9758" s="21" t="s">
        <v>116</v>
      </c>
    </row>
    <row r="9759" spans="1:42">
      <c r="A9759" s="20">
        <v>43871</v>
      </c>
      <c r="B9759" s="21">
        <v>1</v>
      </c>
      <c r="C9759" s="21">
        <v>232</v>
      </c>
      <c r="D9759" s="21">
        <v>14476</v>
      </c>
      <c r="E9759" s="7" t="s">
        <v>112</v>
      </c>
      <c r="F9759" s="21" t="s">
        <v>104</v>
      </c>
      <c r="G9759" s="21">
        <v>2</v>
      </c>
      <c r="H9759" s="21">
        <v>44</v>
      </c>
      <c r="I9759" s="21" t="s">
        <v>5848</v>
      </c>
      <c r="J9759" s="21"/>
      <c r="K9759" s="21" t="s">
        <v>185</v>
      </c>
      <c r="L9759" s="21" t="s">
        <v>141</v>
      </c>
      <c r="M9759" s="21" t="s">
        <v>6618</v>
      </c>
      <c r="N9759" s="21" t="s">
        <v>44</v>
      </c>
      <c r="O9759" s="21">
        <v>48</v>
      </c>
      <c r="P9759" s="21"/>
      <c r="Q9759" s="21">
        <f t="shared" si="204"/>
        <v>1</v>
      </c>
      <c r="R9759" s="21">
        <v>1</v>
      </c>
      <c r="S9759" s="21">
        <v>0</v>
      </c>
      <c r="T9759" s="21">
        <v>0</v>
      </c>
      <c r="U9759" s="21">
        <v>0</v>
      </c>
      <c r="V9759" s="21">
        <v>0</v>
      </c>
      <c r="W9759" s="21">
        <v>1</v>
      </c>
      <c r="X9759" s="21">
        <v>0</v>
      </c>
      <c r="Y9759" s="21">
        <v>0</v>
      </c>
      <c r="Z9759" s="21">
        <v>0</v>
      </c>
      <c r="AA9759" s="21">
        <v>0</v>
      </c>
      <c r="AB9759" s="21">
        <v>0</v>
      </c>
      <c r="AC9759" s="21">
        <v>0</v>
      </c>
      <c r="AD9759" s="21">
        <v>0</v>
      </c>
      <c r="AE9759" s="21">
        <v>0</v>
      </c>
      <c r="AF9759" s="21">
        <v>0</v>
      </c>
      <c r="AG9759" s="21"/>
      <c r="AH9759" s="21">
        <f t="shared" si="205"/>
        <v>96</v>
      </c>
      <c r="AI9759" s="21"/>
      <c r="AJ9759" s="21" t="s">
        <v>54</v>
      </c>
      <c r="AK9759" s="21" t="s">
        <v>52</v>
      </c>
      <c r="AL9759" s="21" t="s">
        <v>7042</v>
      </c>
      <c r="AM9759" s="21" t="s">
        <v>7139</v>
      </c>
      <c r="AN9759" s="21">
        <v>-122.413394466667</v>
      </c>
      <c r="AO9759" s="21">
        <v>37.797020433333302</v>
      </c>
      <c r="AP9759" s="21" t="s">
        <v>116</v>
      </c>
    </row>
    <row r="9760" spans="1:42">
      <c r="A9760" s="20">
        <v>43871</v>
      </c>
      <c r="B9760" s="21">
        <v>1</v>
      </c>
      <c r="C9760" s="21">
        <v>232</v>
      </c>
      <c r="D9760" s="21">
        <v>14476</v>
      </c>
      <c r="E9760" s="7" t="s">
        <v>112</v>
      </c>
      <c r="F9760" s="21" t="s">
        <v>104</v>
      </c>
      <c r="G9760" s="21">
        <v>2</v>
      </c>
      <c r="H9760" s="21">
        <v>45</v>
      </c>
      <c r="I9760" s="21" t="s">
        <v>7140</v>
      </c>
      <c r="J9760" s="21"/>
      <c r="K9760" s="21" t="s">
        <v>6992</v>
      </c>
      <c r="L9760" s="21" t="s">
        <v>114</v>
      </c>
      <c r="M9760" s="21" t="s">
        <v>7038</v>
      </c>
      <c r="N9760" s="21" t="s">
        <v>44</v>
      </c>
      <c r="O9760" s="21">
        <v>58</v>
      </c>
      <c r="P9760" s="21"/>
      <c r="Q9760" s="21">
        <f t="shared" si="204"/>
        <v>1</v>
      </c>
      <c r="R9760" s="21">
        <v>1</v>
      </c>
      <c r="S9760" s="21">
        <v>0</v>
      </c>
      <c r="T9760" s="21">
        <v>0</v>
      </c>
      <c r="U9760" s="21">
        <v>0</v>
      </c>
      <c r="V9760" s="21">
        <v>0</v>
      </c>
      <c r="W9760" s="21">
        <v>1</v>
      </c>
      <c r="X9760" s="21">
        <v>0</v>
      </c>
      <c r="Y9760" s="21">
        <v>0</v>
      </c>
      <c r="Z9760" s="21">
        <v>0</v>
      </c>
      <c r="AA9760" s="21">
        <v>0</v>
      </c>
      <c r="AB9760" s="21">
        <v>0</v>
      </c>
      <c r="AC9760" s="21">
        <v>0</v>
      </c>
      <c r="AD9760" s="21">
        <v>0</v>
      </c>
      <c r="AE9760" s="21">
        <v>0</v>
      </c>
      <c r="AF9760" s="21">
        <v>0</v>
      </c>
      <c r="AG9760" s="21"/>
      <c r="AH9760" s="21">
        <f t="shared" si="205"/>
        <v>96</v>
      </c>
      <c r="AI9760" s="21"/>
      <c r="AJ9760" s="21" t="s">
        <v>54</v>
      </c>
      <c r="AK9760" s="21" t="s">
        <v>52</v>
      </c>
      <c r="AL9760" s="21" t="s">
        <v>7141</v>
      </c>
      <c r="AM9760" s="21" t="s">
        <v>7142</v>
      </c>
      <c r="AN9760" s="21">
        <v>-122.411520283333</v>
      </c>
      <c r="AO9760" s="21">
        <v>37.797032083333299</v>
      </c>
      <c r="AP9760" s="21" t="s">
        <v>116</v>
      </c>
    </row>
    <row r="9761" spans="1:42">
      <c r="A9761" s="20">
        <v>43871</v>
      </c>
      <c r="B9761" s="21">
        <v>1</v>
      </c>
      <c r="C9761" s="21">
        <v>232</v>
      </c>
      <c r="D9761" s="21">
        <v>14476</v>
      </c>
      <c r="E9761" s="7" t="s">
        <v>112</v>
      </c>
      <c r="F9761" s="21" t="s">
        <v>104</v>
      </c>
      <c r="G9761" s="21">
        <v>2</v>
      </c>
      <c r="H9761" s="21">
        <v>46</v>
      </c>
      <c r="I9761" s="21" t="s">
        <v>7143</v>
      </c>
      <c r="J9761" s="21"/>
      <c r="K9761" s="21" t="s">
        <v>185</v>
      </c>
      <c r="L9761" s="21" t="s">
        <v>141</v>
      </c>
      <c r="M9761" s="21" t="s">
        <v>7038</v>
      </c>
      <c r="N9761" s="21" t="s">
        <v>44</v>
      </c>
      <c r="O9761" s="21">
        <v>58</v>
      </c>
      <c r="P9761" s="21"/>
      <c r="Q9761" s="21">
        <f t="shared" si="204"/>
        <v>1</v>
      </c>
      <c r="R9761" s="21">
        <v>1</v>
      </c>
      <c r="S9761" s="21">
        <v>0</v>
      </c>
      <c r="T9761" s="21">
        <v>0</v>
      </c>
      <c r="U9761" s="21">
        <v>0</v>
      </c>
      <c r="V9761" s="21">
        <v>0</v>
      </c>
      <c r="W9761" s="21">
        <v>1</v>
      </c>
      <c r="X9761" s="21">
        <v>0</v>
      </c>
      <c r="Y9761" s="21">
        <v>0</v>
      </c>
      <c r="Z9761" s="21">
        <v>0</v>
      </c>
      <c r="AA9761" s="21">
        <v>0</v>
      </c>
      <c r="AB9761" s="21">
        <v>0</v>
      </c>
      <c r="AC9761" s="21">
        <v>0</v>
      </c>
      <c r="AD9761" s="21">
        <v>0</v>
      </c>
      <c r="AE9761" s="21">
        <v>0</v>
      </c>
      <c r="AF9761" s="21">
        <v>0</v>
      </c>
      <c r="AG9761" s="21"/>
      <c r="AH9761" s="21">
        <f t="shared" si="205"/>
        <v>96</v>
      </c>
      <c r="AI9761" s="21"/>
      <c r="AJ9761" s="21" t="s">
        <v>54</v>
      </c>
      <c r="AK9761" s="21" t="s">
        <v>52</v>
      </c>
      <c r="AL9761" s="21" t="s">
        <v>7144</v>
      </c>
      <c r="AM9761" s="21" t="s">
        <v>7145</v>
      </c>
      <c r="AN9761" s="21">
        <v>-122.41133985307501</v>
      </c>
      <c r="AO9761" s="21">
        <v>37.796237185381003</v>
      </c>
      <c r="AP9761" s="21" t="s">
        <v>116</v>
      </c>
    </row>
    <row r="9762" spans="1:42">
      <c r="A9762" s="20">
        <v>43871</v>
      </c>
      <c r="B9762" s="21">
        <v>1</v>
      </c>
      <c r="C9762" s="21">
        <v>232</v>
      </c>
      <c r="D9762" s="21">
        <v>14476</v>
      </c>
      <c r="E9762" s="7" t="s">
        <v>112</v>
      </c>
      <c r="F9762" s="21" t="s">
        <v>104</v>
      </c>
      <c r="G9762" s="21">
        <v>2</v>
      </c>
      <c r="H9762" s="21">
        <v>47</v>
      </c>
      <c r="I9762" s="21" t="s">
        <v>7146</v>
      </c>
      <c r="J9762" s="21"/>
      <c r="K9762" s="21" t="s">
        <v>185</v>
      </c>
      <c r="L9762" s="21" t="s">
        <v>141</v>
      </c>
      <c r="M9762" s="21" t="s">
        <v>7038</v>
      </c>
      <c r="N9762" s="21" t="s">
        <v>44</v>
      </c>
      <c r="O9762" s="21">
        <v>81</v>
      </c>
      <c r="P9762" s="21"/>
      <c r="Q9762" s="21">
        <f t="shared" si="204"/>
        <v>1</v>
      </c>
      <c r="R9762" s="21">
        <v>1</v>
      </c>
      <c r="S9762" s="21">
        <v>0</v>
      </c>
      <c r="T9762" s="21">
        <v>0</v>
      </c>
      <c r="U9762" s="21">
        <v>0</v>
      </c>
      <c r="V9762" s="21">
        <v>0</v>
      </c>
      <c r="W9762" s="21">
        <v>1</v>
      </c>
      <c r="X9762" s="21">
        <v>0</v>
      </c>
      <c r="Y9762" s="21">
        <v>0</v>
      </c>
      <c r="Z9762" s="21">
        <v>0</v>
      </c>
      <c r="AA9762" s="21">
        <v>0</v>
      </c>
      <c r="AB9762" s="21">
        <v>0</v>
      </c>
      <c r="AC9762" s="21">
        <v>0</v>
      </c>
      <c r="AD9762" s="21">
        <v>0</v>
      </c>
      <c r="AE9762" s="21">
        <v>0</v>
      </c>
      <c r="AF9762" s="21">
        <v>0</v>
      </c>
      <c r="AG9762" s="21"/>
      <c r="AH9762" s="21">
        <f t="shared" si="205"/>
        <v>96</v>
      </c>
      <c r="AI9762" s="21"/>
      <c r="AJ9762" s="21" t="s">
        <v>51</v>
      </c>
      <c r="AK9762" s="21" t="s">
        <v>95</v>
      </c>
      <c r="AL9762" s="21" t="s">
        <v>7147</v>
      </c>
      <c r="AM9762" s="21" t="s">
        <v>7148</v>
      </c>
      <c r="AN9762" s="21">
        <v>-122.41041815</v>
      </c>
      <c r="AO9762" s="21">
        <v>37.7973048666666</v>
      </c>
      <c r="AP9762" s="21" t="s">
        <v>116</v>
      </c>
    </row>
    <row r="9763" spans="1:42">
      <c r="A9763" s="20">
        <v>43871</v>
      </c>
      <c r="B9763" s="21">
        <v>1</v>
      </c>
      <c r="C9763" s="21">
        <v>232</v>
      </c>
      <c r="D9763" s="21">
        <v>14476</v>
      </c>
      <c r="E9763" s="7" t="s">
        <v>112</v>
      </c>
      <c r="F9763" s="21" t="s">
        <v>104</v>
      </c>
      <c r="G9763" s="21">
        <v>2</v>
      </c>
      <c r="H9763" s="21">
        <v>48</v>
      </c>
      <c r="I9763" s="21" t="s">
        <v>3490</v>
      </c>
      <c r="J9763" s="21"/>
      <c r="K9763" s="21" t="s">
        <v>4704</v>
      </c>
      <c r="L9763" s="21" t="s">
        <v>141</v>
      </c>
      <c r="M9763" s="21" t="s">
        <v>7038</v>
      </c>
      <c r="N9763" s="21" t="s">
        <v>40</v>
      </c>
      <c r="O9763" s="21">
        <v>34</v>
      </c>
      <c r="P9763" s="21"/>
      <c r="Q9763" s="21">
        <f t="shared" si="204"/>
        <v>1</v>
      </c>
      <c r="R9763" s="21">
        <v>1</v>
      </c>
      <c r="S9763" s="21">
        <v>0</v>
      </c>
      <c r="T9763" s="21">
        <v>0</v>
      </c>
      <c r="U9763" s="21">
        <v>0</v>
      </c>
      <c r="V9763" s="21">
        <v>1</v>
      </c>
      <c r="W9763" s="21">
        <v>0</v>
      </c>
      <c r="X9763" s="21">
        <v>0</v>
      </c>
      <c r="Y9763" s="21">
        <v>0</v>
      </c>
      <c r="Z9763" s="21">
        <v>0</v>
      </c>
      <c r="AA9763" s="21">
        <v>0</v>
      </c>
      <c r="AB9763" s="21">
        <v>0</v>
      </c>
      <c r="AC9763" s="21">
        <v>0</v>
      </c>
      <c r="AD9763" s="21">
        <v>0</v>
      </c>
      <c r="AE9763" s="21">
        <v>0</v>
      </c>
      <c r="AF9763" s="21">
        <v>0</v>
      </c>
      <c r="AG9763" s="21"/>
      <c r="AH9763" s="21">
        <f t="shared" si="205"/>
        <v>64</v>
      </c>
      <c r="AI9763" s="21"/>
      <c r="AJ9763" s="21" t="s">
        <v>51</v>
      </c>
      <c r="AK9763" s="21" t="s">
        <v>95</v>
      </c>
      <c r="AL9763" s="21"/>
      <c r="AM9763" s="21" t="s">
        <v>7149</v>
      </c>
      <c r="AN9763" s="21">
        <v>-122.41048435</v>
      </c>
      <c r="AO9763" s="21">
        <v>37.797284650000002</v>
      </c>
      <c r="AP9763" s="21" t="s">
        <v>116</v>
      </c>
    </row>
    <row r="9764" spans="1:42">
      <c r="A9764" s="20">
        <v>43871</v>
      </c>
      <c r="B9764" s="21">
        <v>1</v>
      </c>
      <c r="C9764" s="21">
        <v>232</v>
      </c>
      <c r="D9764" s="21">
        <v>14476</v>
      </c>
      <c r="E9764" s="7" t="s">
        <v>112</v>
      </c>
      <c r="F9764" s="21" t="s">
        <v>104</v>
      </c>
      <c r="G9764" s="21">
        <v>2</v>
      </c>
      <c r="H9764" s="21">
        <v>49</v>
      </c>
      <c r="I9764" s="21" t="s">
        <v>7150</v>
      </c>
      <c r="J9764" s="21"/>
      <c r="K9764" s="21" t="s">
        <v>7151</v>
      </c>
      <c r="L9764" s="21" t="s">
        <v>114</v>
      </c>
      <c r="M9764" s="21" t="s">
        <v>7038</v>
      </c>
      <c r="N9764" s="21" t="s">
        <v>44</v>
      </c>
      <c r="O9764" s="21">
        <v>154</v>
      </c>
      <c r="P9764" s="21"/>
      <c r="Q9764" s="21">
        <f t="shared" si="204"/>
        <v>2</v>
      </c>
      <c r="R9764" s="21">
        <v>1</v>
      </c>
      <c r="S9764" s="21">
        <v>0</v>
      </c>
      <c r="T9764" s="21">
        <v>0</v>
      </c>
      <c r="U9764" s="21">
        <v>0</v>
      </c>
      <c r="V9764" s="21">
        <v>0</v>
      </c>
      <c r="W9764" s="21">
        <v>2</v>
      </c>
      <c r="X9764" s="21">
        <v>0</v>
      </c>
      <c r="Y9764" s="21">
        <v>0</v>
      </c>
      <c r="Z9764" s="21">
        <v>0</v>
      </c>
      <c r="AA9764" s="21">
        <v>0</v>
      </c>
      <c r="AB9764" s="21">
        <v>0</v>
      </c>
      <c r="AC9764" s="21">
        <v>0</v>
      </c>
      <c r="AD9764" s="21">
        <v>0</v>
      </c>
      <c r="AE9764" s="21">
        <v>0</v>
      </c>
      <c r="AF9764" s="21">
        <v>0</v>
      </c>
      <c r="AG9764" s="21"/>
      <c r="AH9764" s="21">
        <f t="shared" si="205"/>
        <v>192</v>
      </c>
      <c r="AI9764" s="21"/>
      <c r="AJ9764" s="21" t="s">
        <v>54</v>
      </c>
      <c r="AK9764" s="21" t="s">
        <v>95</v>
      </c>
      <c r="AL9764" s="21" t="s">
        <v>7152</v>
      </c>
      <c r="AM9764" s="21" t="s">
        <v>7153</v>
      </c>
      <c r="AN9764" s="21">
        <v>-122.410605083333</v>
      </c>
      <c r="AO9764" s="21">
        <v>37.796477516666599</v>
      </c>
      <c r="AP9764" s="21" t="s">
        <v>116</v>
      </c>
    </row>
    <row r="9765" spans="1:42">
      <c r="A9765" s="20">
        <v>43871</v>
      </c>
      <c r="B9765" s="21">
        <v>1</v>
      </c>
      <c r="C9765" s="21">
        <v>232</v>
      </c>
      <c r="D9765" s="21">
        <v>14476</v>
      </c>
      <c r="E9765" s="7" t="s">
        <v>112</v>
      </c>
      <c r="F9765" s="21" t="s">
        <v>104</v>
      </c>
      <c r="G9765" s="21">
        <v>2</v>
      </c>
      <c r="H9765" s="21">
        <v>50</v>
      </c>
      <c r="I9765" s="21" t="s">
        <v>7136</v>
      </c>
      <c r="J9765" s="21"/>
      <c r="K9765" s="21" t="s">
        <v>7151</v>
      </c>
      <c r="L9765" s="21" t="s">
        <v>114</v>
      </c>
      <c r="M9765" s="21" t="s">
        <v>7038</v>
      </c>
      <c r="N9765" s="21" t="s">
        <v>40</v>
      </c>
      <c r="O9765" s="21">
        <v>118</v>
      </c>
      <c r="P9765" s="21"/>
      <c r="Q9765" s="21">
        <f t="shared" si="204"/>
        <v>4</v>
      </c>
      <c r="R9765" s="21">
        <v>1</v>
      </c>
      <c r="S9765" s="21">
        <v>0</v>
      </c>
      <c r="T9765" s="21">
        <v>0</v>
      </c>
      <c r="U9765" s="21">
        <v>0</v>
      </c>
      <c r="V9765" s="21">
        <v>1</v>
      </c>
      <c r="W9765" s="21">
        <v>3</v>
      </c>
      <c r="X9765" s="21">
        <v>0</v>
      </c>
      <c r="Y9765" s="21">
        <v>0</v>
      </c>
      <c r="Z9765" s="21">
        <v>0</v>
      </c>
      <c r="AA9765" s="21">
        <v>0</v>
      </c>
      <c r="AB9765" s="21">
        <v>0</v>
      </c>
      <c r="AC9765" s="21">
        <v>0</v>
      </c>
      <c r="AD9765" s="21">
        <v>0</v>
      </c>
      <c r="AE9765" s="21">
        <v>0</v>
      </c>
      <c r="AF9765" s="21">
        <v>0</v>
      </c>
      <c r="AG9765" s="21"/>
      <c r="AH9765" s="21">
        <f t="shared" si="205"/>
        <v>352</v>
      </c>
      <c r="AI9765" s="21"/>
      <c r="AJ9765" s="21" t="s">
        <v>54</v>
      </c>
      <c r="AK9765" s="21" t="s">
        <v>95</v>
      </c>
      <c r="AL9765" s="21" t="s">
        <v>7154</v>
      </c>
      <c r="AM9765" s="21" t="s">
        <v>7155</v>
      </c>
      <c r="AN9765" s="21">
        <v>-122.411103133333</v>
      </c>
      <c r="AO9765" s="21">
        <v>37.796458333333298</v>
      </c>
      <c r="AP9765" s="21" t="s">
        <v>116</v>
      </c>
    </row>
    <row r="9766" spans="1:42">
      <c r="A9766" s="20">
        <v>43871</v>
      </c>
      <c r="B9766" s="21">
        <v>1</v>
      </c>
      <c r="C9766" s="21">
        <v>232</v>
      </c>
      <c r="D9766" s="21">
        <v>14476</v>
      </c>
      <c r="E9766" s="7" t="s">
        <v>112</v>
      </c>
      <c r="F9766" s="21" t="s">
        <v>104</v>
      </c>
      <c r="G9766" s="21">
        <v>2</v>
      </c>
      <c r="H9766" s="21">
        <v>51</v>
      </c>
      <c r="I9766" s="21" t="s">
        <v>4828</v>
      </c>
      <c r="J9766" s="21"/>
      <c r="K9766" s="21" t="s">
        <v>6992</v>
      </c>
      <c r="L9766" s="21" t="s">
        <v>114</v>
      </c>
      <c r="M9766" s="21" t="s">
        <v>6618</v>
      </c>
      <c r="N9766" s="21" t="s">
        <v>40</v>
      </c>
      <c r="O9766" s="21">
        <v>48</v>
      </c>
      <c r="P9766" s="21"/>
      <c r="Q9766" s="21">
        <f t="shared" si="204"/>
        <v>2</v>
      </c>
      <c r="R9766" s="21">
        <v>1</v>
      </c>
      <c r="S9766" s="21">
        <v>0</v>
      </c>
      <c r="T9766" s="21">
        <v>0</v>
      </c>
      <c r="U9766" s="21">
        <v>0</v>
      </c>
      <c r="V9766" s="21">
        <v>2</v>
      </c>
      <c r="W9766" s="21">
        <v>0</v>
      </c>
      <c r="X9766" s="21">
        <v>0</v>
      </c>
      <c r="Y9766" s="21">
        <v>0</v>
      </c>
      <c r="Z9766" s="21">
        <v>0</v>
      </c>
      <c r="AA9766" s="21">
        <v>0</v>
      </c>
      <c r="AB9766" s="21">
        <v>0</v>
      </c>
      <c r="AC9766" s="21">
        <v>0</v>
      </c>
      <c r="AD9766" s="21">
        <v>0</v>
      </c>
      <c r="AE9766" s="21">
        <v>0</v>
      </c>
      <c r="AF9766" s="21">
        <v>0</v>
      </c>
      <c r="AG9766" s="21"/>
      <c r="AH9766" s="21">
        <f t="shared" si="205"/>
        <v>128</v>
      </c>
      <c r="AI9766" s="21"/>
      <c r="AJ9766" s="21" t="s">
        <v>54</v>
      </c>
      <c r="AK9766" s="21" t="s">
        <v>52</v>
      </c>
      <c r="AL9766" s="21" t="s">
        <v>7156</v>
      </c>
      <c r="AM9766" s="21" t="s">
        <v>7157</v>
      </c>
      <c r="AN9766" s="21">
        <v>-122.411448333333</v>
      </c>
      <c r="AO9766" s="21">
        <v>37.796443866666699</v>
      </c>
      <c r="AP9766" s="21" t="s">
        <v>116</v>
      </c>
    </row>
    <row r="9767" spans="1:42">
      <c r="A9767" s="20">
        <v>43871</v>
      </c>
      <c r="B9767" s="21">
        <v>1</v>
      </c>
      <c r="C9767" s="21">
        <v>232</v>
      </c>
      <c r="D9767" s="21">
        <v>14476</v>
      </c>
      <c r="E9767" s="7" t="s">
        <v>112</v>
      </c>
      <c r="F9767" s="21" t="s">
        <v>104</v>
      </c>
      <c r="G9767" s="21">
        <v>2</v>
      </c>
      <c r="H9767" s="21">
        <v>52</v>
      </c>
      <c r="I9767" s="21" t="s">
        <v>4849</v>
      </c>
      <c r="J9767" s="21"/>
      <c r="K9767" s="21" t="s">
        <v>6992</v>
      </c>
      <c r="L9767" s="21" t="s">
        <v>141</v>
      </c>
      <c r="M9767" s="21" t="s">
        <v>6618</v>
      </c>
      <c r="N9767" s="21" t="s">
        <v>44</v>
      </c>
      <c r="O9767" s="21">
        <v>63</v>
      </c>
      <c r="P9767" s="21"/>
      <c r="Q9767" s="21">
        <f t="shared" si="204"/>
        <v>1</v>
      </c>
      <c r="R9767" s="21">
        <v>1</v>
      </c>
      <c r="S9767" s="21">
        <v>0</v>
      </c>
      <c r="T9767" s="21">
        <v>0</v>
      </c>
      <c r="U9767" s="21">
        <v>0</v>
      </c>
      <c r="V9767" s="21">
        <v>0</v>
      </c>
      <c r="W9767" s="21">
        <v>1</v>
      </c>
      <c r="X9767" s="21">
        <v>0</v>
      </c>
      <c r="Y9767" s="21">
        <v>0</v>
      </c>
      <c r="Z9767" s="21">
        <v>0</v>
      </c>
      <c r="AA9767" s="21">
        <v>0</v>
      </c>
      <c r="AB9767" s="21">
        <v>0</v>
      </c>
      <c r="AC9767" s="21">
        <v>0</v>
      </c>
      <c r="AD9767" s="21">
        <v>0</v>
      </c>
      <c r="AE9767" s="21">
        <v>0</v>
      </c>
      <c r="AF9767" s="21">
        <v>0</v>
      </c>
      <c r="AG9767" s="21"/>
      <c r="AH9767" s="21">
        <f t="shared" si="205"/>
        <v>96</v>
      </c>
      <c r="AI9767" s="21"/>
      <c r="AJ9767" s="21" t="s">
        <v>54</v>
      </c>
      <c r="AK9767" s="21" t="s">
        <v>52</v>
      </c>
      <c r="AL9767" s="21" t="s">
        <v>7158</v>
      </c>
      <c r="AM9767" s="21" t="s">
        <v>7159</v>
      </c>
      <c r="AN9767" s="21">
        <v>-122.4117251</v>
      </c>
      <c r="AO9767" s="21">
        <v>37.796583650000002</v>
      </c>
      <c r="AP9767" s="21" t="s">
        <v>116</v>
      </c>
    </row>
    <row r="9768" spans="1:42">
      <c r="A9768" s="20">
        <v>43871</v>
      </c>
      <c r="B9768" s="21">
        <v>1</v>
      </c>
      <c r="C9768" s="21">
        <v>232</v>
      </c>
      <c r="D9768" s="21">
        <v>14476</v>
      </c>
      <c r="E9768" s="7" t="s">
        <v>112</v>
      </c>
      <c r="F9768" s="21" t="s">
        <v>104</v>
      </c>
      <c r="G9768" s="21">
        <v>2</v>
      </c>
      <c r="H9768" s="21">
        <v>53</v>
      </c>
      <c r="I9768" s="21" t="s">
        <v>4163</v>
      </c>
      <c r="J9768" s="21"/>
      <c r="K9768" s="21" t="s">
        <v>585</v>
      </c>
      <c r="L9768" s="21" t="s">
        <v>141</v>
      </c>
      <c r="M9768" s="21" t="s">
        <v>6618</v>
      </c>
      <c r="N9768" s="21" t="s">
        <v>44</v>
      </c>
      <c r="O9768" s="21">
        <v>85</v>
      </c>
      <c r="P9768" s="21"/>
      <c r="Q9768" s="21">
        <f t="shared" si="204"/>
        <v>1</v>
      </c>
      <c r="R9768" s="21">
        <v>1</v>
      </c>
      <c r="S9768" s="21">
        <v>0</v>
      </c>
      <c r="T9768" s="21">
        <v>0</v>
      </c>
      <c r="U9768" s="21">
        <v>0</v>
      </c>
      <c r="V9768" s="21">
        <v>0</v>
      </c>
      <c r="W9768" s="21">
        <v>1</v>
      </c>
      <c r="X9768" s="21">
        <v>0</v>
      </c>
      <c r="Y9768" s="21">
        <v>0</v>
      </c>
      <c r="Z9768" s="21">
        <v>0</v>
      </c>
      <c r="AA9768" s="21">
        <v>0</v>
      </c>
      <c r="AB9768" s="21">
        <v>0</v>
      </c>
      <c r="AC9768" s="21">
        <v>0</v>
      </c>
      <c r="AD9768" s="21">
        <v>0</v>
      </c>
      <c r="AE9768" s="21">
        <v>0</v>
      </c>
      <c r="AF9768" s="21">
        <v>0</v>
      </c>
      <c r="AG9768" s="21"/>
      <c r="AH9768" s="21">
        <f t="shared" si="205"/>
        <v>96</v>
      </c>
      <c r="AI9768" s="21"/>
      <c r="AJ9768" s="21" t="s">
        <v>51</v>
      </c>
      <c r="AK9768" s="21" t="s">
        <v>52</v>
      </c>
      <c r="AL9768" s="21" t="s">
        <v>7160</v>
      </c>
      <c r="AM9768" s="21" t="s">
        <v>7161</v>
      </c>
      <c r="AN9768" s="21">
        <v>-122.412341383333</v>
      </c>
      <c r="AO9768" s="21">
        <v>37.798079199999997</v>
      </c>
      <c r="AP9768" s="21" t="s">
        <v>116</v>
      </c>
    </row>
    <row r="9769" spans="1:42">
      <c r="A9769" s="20">
        <v>43871</v>
      </c>
      <c r="B9769" s="21">
        <v>1</v>
      </c>
      <c r="C9769" s="21">
        <v>232</v>
      </c>
      <c r="D9769" s="21">
        <v>14476</v>
      </c>
      <c r="E9769" s="7" t="s">
        <v>112</v>
      </c>
      <c r="F9769" s="21" t="s">
        <v>104</v>
      </c>
      <c r="G9769" s="21">
        <v>2</v>
      </c>
      <c r="H9769" s="21">
        <v>54</v>
      </c>
      <c r="I9769" s="21" t="s">
        <v>7162</v>
      </c>
      <c r="J9769" s="21"/>
      <c r="K9769" s="21" t="s">
        <v>585</v>
      </c>
      <c r="L9769" s="21" t="s">
        <v>141</v>
      </c>
      <c r="M9769" s="21" t="s">
        <v>7038</v>
      </c>
      <c r="N9769" s="21" t="s">
        <v>44</v>
      </c>
      <c r="O9769" s="21">
        <v>72</v>
      </c>
      <c r="P9769" s="21"/>
      <c r="Q9769" s="21">
        <f t="shared" si="204"/>
        <v>2</v>
      </c>
      <c r="R9769" s="21">
        <v>1</v>
      </c>
      <c r="S9769" s="21">
        <v>0</v>
      </c>
      <c r="T9769" s="21">
        <v>0</v>
      </c>
      <c r="U9769" s="21">
        <v>0</v>
      </c>
      <c r="V9769" s="21">
        <v>1</v>
      </c>
      <c r="W9769" s="21">
        <v>1</v>
      </c>
      <c r="X9769" s="21">
        <v>0</v>
      </c>
      <c r="Y9769" s="21">
        <v>0</v>
      </c>
      <c r="Z9769" s="21">
        <v>0</v>
      </c>
      <c r="AA9769" s="21">
        <v>0</v>
      </c>
      <c r="AB9769" s="21">
        <v>0</v>
      </c>
      <c r="AC9769" s="21">
        <v>0</v>
      </c>
      <c r="AD9769" s="21">
        <v>0</v>
      </c>
      <c r="AE9769" s="21">
        <v>0</v>
      </c>
      <c r="AF9769" s="21">
        <v>0</v>
      </c>
      <c r="AG9769" s="21"/>
      <c r="AH9769" s="21">
        <f t="shared" si="205"/>
        <v>160</v>
      </c>
      <c r="AI9769" s="21"/>
      <c r="AJ9769" s="21" t="s">
        <v>54</v>
      </c>
      <c r="AK9769" s="21" t="s">
        <v>52</v>
      </c>
      <c r="AL9769" s="21" t="s">
        <v>7163</v>
      </c>
      <c r="AM9769" s="21" t="s">
        <v>7164</v>
      </c>
      <c r="AN9769" s="21">
        <v>-122.41171868333301</v>
      </c>
      <c r="AO9769" s="21">
        <v>37.798121266666698</v>
      </c>
      <c r="AP9769" s="21" t="s">
        <v>116</v>
      </c>
    </row>
    <row r="9770" spans="1:42">
      <c r="A9770" s="20">
        <v>43871</v>
      </c>
      <c r="B9770" s="21">
        <v>1</v>
      </c>
      <c r="C9770" s="21">
        <v>232</v>
      </c>
      <c r="D9770" s="21">
        <v>14476</v>
      </c>
      <c r="E9770" s="7" t="s">
        <v>112</v>
      </c>
      <c r="F9770" s="21" t="s">
        <v>104</v>
      </c>
      <c r="G9770" s="21">
        <v>2</v>
      </c>
      <c r="H9770" s="21">
        <v>55</v>
      </c>
      <c r="I9770" s="21" t="s">
        <v>7165</v>
      </c>
      <c r="J9770" s="21"/>
      <c r="K9770" s="21" t="s">
        <v>585</v>
      </c>
      <c r="L9770" s="21" t="s">
        <v>141</v>
      </c>
      <c r="M9770" s="21" t="s">
        <v>7038</v>
      </c>
      <c r="N9770" s="21" t="s">
        <v>44</v>
      </c>
      <c r="O9770" s="21">
        <v>45</v>
      </c>
      <c r="P9770" s="21"/>
      <c r="Q9770" s="21">
        <f t="shared" si="204"/>
        <v>1</v>
      </c>
      <c r="R9770" s="21">
        <v>1</v>
      </c>
      <c r="S9770" s="21">
        <v>0</v>
      </c>
      <c r="T9770" s="21">
        <v>0</v>
      </c>
      <c r="U9770" s="21">
        <v>0</v>
      </c>
      <c r="V9770" s="21">
        <v>0</v>
      </c>
      <c r="W9770" s="21">
        <v>1</v>
      </c>
      <c r="X9770" s="21">
        <v>0</v>
      </c>
      <c r="Y9770" s="21">
        <v>0</v>
      </c>
      <c r="Z9770" s="21">
        <v>0</v>
      </c>
      <c r="AA9770" s="21">
        <v>0</v>
      </c>
      <c r="AB9770" s="21">
        <v>0</v>
      </c>
      <c r="AC9770" s="21">
        <v>0</v>
      </c>
      <c r="AD9770" s="21">
        <v>0</v>
      </c>
      <c r="AE9770" s="21">
        <v>0</v>
      </c>
      <c r="AF9770" s="21">
        <v>0</v>
      </c>
      <c r="AG9770" s="21"/>
      <c r="AH9770" s="21">
        <f t="shared" si="205"/>
        <v>96</v>
      </c>
      <c r="AI9770" s="21"/>
      <c r="AJ9770" s="21" t="s">
        <v>51</v>
      </c>
      <c r="AK9770" s="21" t="s">
        <v>52</v>
      </c>
      <c r="AL9770" s="21" t="s">
        <v>7166</v>
      </c>
      <c r="AM9770" s="21" t="s">
        <v>7167</v>
      </c>
      <c r="AN9770" s="21">
        <v>-122.411502383333</v>
      </c>
      <c r="AO9770" s="21">
        <v>37.798140816666702</v>
      </c>
      <c r="AP9770" s="21" t="s">
        <v>116</v>
      </c>
    </row>
    <row r="9771" spans="1:42">
      <c r="A9771" s="20">
        <v>43871</v>
      </c>
      <c r="B9771" s="21">
        <v>1</v>
      </c>
      <c r="C9771" s="21">
        <v>232</v>
      </c>
      <c r="D9771" s="21">
        <v>14476</v>
      </c>
      <c r="E9771" s="7" t="s">
        <v>112</v>
      </c>
      <c r="F9771" s="21" t="s">
        <v>104</v>
      </c>
      <c r="G9771" s="21">
        <v>2</v>
      </c>
      <c r="H9771" s="21">
        <v>56</v>
      </c>
      <c r="I9771" s="21" t="s">
        <v>7168</v>
      </c>
      <c r="J9771" s="21"/>
      <c r="K9771" s="21" t="s">
        <v>585</v>
      </c>
      <c r="L9771" s="21" t="s">
        <v>141</v>
      </c>
      <c r="M9771" s="21" t="s">
        <v>7038</v>
      </c>
      <c r="N9771" s="21" t="s">
        <v>44</v>
      </c>
      <c r="O9771" s="21">
        <v>82</v>
      </c>
      <c r="P9771" s="21"/>
      <c r="Q9771" s="21">
        <f t="shared" si="204"/>
        <v>1</v>
      </c>
      <c r="R9771" s="21">
        <v>1</v>
      </c>
      <c r="S9771" s="21">
        <v>0</v>
      </c>
      <c r="T9771" s="21">
        <v>0</v>
      </c>
      <c r="U9771" s="21">
        <v>0</v>
      </c>
      <c r="V9771" s="21">
        <v>0</v>
      </c>
      <c r="W9771" s="21">
        <v>1</v>
      </c>
      <c r="X9771" s="21">
        <v>0</v>
      </c>
      <c r="Y9771" s="21">
        <v>0</v>
      </c>
      <c r="Z9771" s="21">
        <v>0</v>
      </c>
      <c r="AA9771" s="21">
        <v>0</v>
      </c>
      <c r="AB9771" s="21">
        <v>0</v>
      </c>
      <c r="AC9771" s="21">
        <v>0</v>
      </c>
      <c r="AD9771" s="21">
        <v>0</v>
      </c>
      <c r="AE9771" s="21">
        <v>0</v>
      </c>
      <c r="AF9771" s="21">
        <v>0</v>
      </c>
      <c r="AG9771" s="21"/>
      <c r="AH9771" s="21">
        <f t="shared" si="205"/>
        <v>96</v>
      </c>
      <c r="AI9771" s="21"/>
      <c r="AJ9771" s="21" t="s">
        <v>54</v>
      </c>
      <c r="AK9771" s="21" t="s">
        <v>52</v>
      </c>
      <c r="AL9771" s="21" t="s">
        <v>7169</v>
      </c>
      <c r="AM9771" s="21" t="s">
        <v>7170</v>
      </c>
      <c r="AN9771" s="21">
        <v>-122.411357716667</v>
      </c>
      <c r="AO9771" s="21">
        <v>37.7981508833333</v>
      </c>
      <c r="AP9771" s="21" t="s">
        <v>116</v>
      </c>
    </row>
    <row r="9772" spans="1:42">
      <c r="A9772" s="20">
        <v>43871</v>
      </c>
      <c r="B9772" s="21">
        <v>1</v>
      </c>
      <c r="C9772" s="21">
        <v>232</v>
      </c>
      <c r="D9772" s="21">
        <v>14476</v>
      </c>
      <c r="E9772" s="7" t="s">
        <v>112</v>
      </c>
      <c r="F9772" s="21" t="s">
        <v>104</v>
      </c>
      <c r="G9772" s="21">
        <v>2</v>
      </c>
      <c r="H9772" s="21">
        <v>57</v>
      </c>
      <c r="I9772" s="21" t="s">
        <v>7171</v>
      </c>
      <c r="J9772" s="21"/>
      <c r="K9772" s="21" t="s">
        <v>585</v>
      </c>
      <c r="L9772" s="21" t="s">
        <v>141</v>
      </c>
      <c r="M9772" s="21" t="s">
        <v>7038</v>
      </c>
      <c r="N9772" s="21" t="s">
        <v>44</v>
      </c>
      <c r="O9772" s="21">
        <v>94</v>
      </c>
      <c r="P9772" s="21"/>
      <c r="Q9772" s="21">
        <f t="shared" si="204"/>
        <v>1</v>
      </c>
      <c r="R9772" s="21">
        <v>1</v>
      </c>
      <c r="S9772" s="21">
        <v>0</v>
      </c>
      <c r="T9772" s="21">
        <v>0</v>
      </c>
      <c r="U9772" s="21">
        <v>0</v>
      </c>
      <c r="V9772" s="21">
        <v>0</v>
      </c>
      <c r="W9772" s="21">
        <v>1</v>
      </c>
      <c r="X9772" s="21">
        <v>0</v>
      </c>
      <c r="Y9772" s="21">
        <v>0</v>
      </c>
      <c r="Z9772" s="21">
        <v>0</v>
      </c>
      <c r="AA9772" s="21">
        <v>0</v>
      </c>
      <c r="AB9772" s="21">
        <v>0</v>
      </c>
      <c r="AC9772" s="21">
        <v>0</v>
      </c>
      <c r="AD9772" s="21">
        <v>0</v>
      </c>
      <c r="AE9772" s="21">
        <v>0</v>
      </c>
      <c r="AF9772" s="21">
        <v>0</v>
      </c>
      <c r="AG9772" s="21"/>
      <c r="AH9772" s="21">
        <f t="shared" si="205"/>
        <v>96</v>
      </c>
      <c r="AI9772" s="21"/>
      <c r="AJ9772" s="21" t="s">
        <v>54</v>
      </c>
      <c r="AK9772" s="21" t="s">
        <v>52</v>
      </c>
      <c r="AL9772" s="21" t="s">
        <v>7172</v>
      </c>
      <c r="AM9772" s="21" t="s">
        <v>7173</v>
      </c>
      <c r="AN9772" s="21">
        <v>-122.41117938333301</v>
      </c>
      <c r="AO9772" s="21">
        <v>37.798229283333299</v>
      </c>
      <c r="AP9772" s="21" t="s">
        <v>116</v>
      </c>
    </row>
    <row r="9773" spans="1:42">
      <c r="A9773" s="20">
        <v>43871</v>
      </c>
      <c r="B9773" s="21">
        <v>1</v>
      </c>
      <c r="C9773" s="21">
        <v>232</v>
      </c>
      <c r="D9773" s="21">
        <v>14476</v>
      </c>
      <c r="E9773" s="7" t="s">
        <v>112</v>
      </c>
      <c r="F9773" s="21" t="s">
        <v>104</v>
      </c>
      <c r="G9773" s="21">
        <v>2</v>
      </c>
      <c r="H9773" s="21">
        <v>58</v>
      </c>
      <c r="I9773" s="21" t="s">
        <v>4703</v>
      </c>
      <c r="J9773" s="21"/>
      <c r="K9773" s="21" t="s">
        <v>407</v>
      </c>
      <c r="L9773" s="21" t="s">
        <v>141</v>
      </c>
      <c r="M9773" s="21" t="s">
        <v>7038</v>
      </c>
      <c r="N9773" s="21" t="s">
        <v>44</v>
      </c>
      <c r="O9773" s="21">
        <v>56</v>
      </c>
      <c r="P9773" s="21"/>
      <c r="Q9773" s="21">
        <f t="shared" si="204"/>
        <v>1</v>
      </c>
      <c r="R9773" s="21">
        <v>1</v>
      </c>
      <c r="S9773" s="21">
        <v>0</v>
      </c>
      <c r="T9773" s="21">
        <v>0</v>
      </c>
      <c r="U9773" s="21">
        <v>0</v>
      </c>
      <c r="V9773" s="21">
        <v>1</v>
      </c>
      <c r="W9773" s="21">
        <v>0</v>
      </c>
      <c r="X9773" s="21">
        <v>0</v>
      </c>
      <c r="Y9773" s="21">
        <v>0</v>
      </c>
      <c r="Z9773" s="21">
        <v>0</v>
      </c>
      <c r="AA9773" s="21">
        <v>0</v>
      </c>
      <c r="AB9773" s="21">
        <v>0</v>
      </c>
      <c r="AC9773" s="21">
        <v>0</v>
      </c>
      <c r="AD9773" s="21">
        <v>0</v>
      </c>
      <c r="AE9773" s="21">
        <v>0</v>
      </c>
      <c r="AF9773" s="21">
        <v>0</v>
      </c>
      <c r="AG9773" s="21"/>
      <c r="AH9773" s="21">
        <f t="shared" si="205"/>
        <v>64</v>
      </c>
      <c r="AI9773" s="21"/>
      <c r="AJ9773" s="21" t="s">
        <v>51</v>
      </c>
      <c r="AK9773" s="21" t="s">
        <v>52</v>
      </c>
      <c r="AL9773" s="21" t="s">
        <v>7174</v>
      </c>
      <c r="AM9773" s="21" t="s">
        <v>7175</v>
      </c>
      <c r="AN9773" s="21">
        <v>-122.41101999999999</v>
      </c>
      <c r="AO9773" s="21">
        <v>37.798177166666697</v>
      </c>
      <c r="AP9773" s="21" t="s">
        <v>116</v>
      </c>
    </row>
    <row r="9774" spans="1:42">
      <c r="A9774" s="20">
        <v>43871</v>
      </c>
      <c r="B9774" s="21">
        <v>1</v>
      </c>
      <c r="C9774" s="21">
        <v>232</v>
      </c>
      <c r="D9774" s="21">
        <v>14476</v>
      </c>
      <c r="E9774" s="7" t="s">
        <v>112</v>
      </c>
      <c r="F9774" s="21" t="s">
        <v>104</v>
      </c>
      <c r="G9774" s="21">
        <v>2</v>
      </c>
      <c r="H9774" s="21">
        <v>59</v>
      </c>
      <c r="I9774" s="21" t="s">
        <v>7146</v>
      </c>
      <c r="J9774" s="21"/>
      <c r="K9774" s="21" t="s">
        <v>585</v>
      </c>
      <c r="L9774" s="21" t="s">
        <v>141</v>
      </c>
      <c r="M9774" s="21" t="s">
        <v>7038</v>
      </c>
      <c r="N9774" s="21" t="s">
        <v>42</v>
      </c>
      <c r="O9774" s="21">
        <v>142</v>
      </c>
      <c r="P9774" s="21"/>
      <c r="Q9774" s="21">
        <f t="shared" si="204"/>
        <v>3</v>
      </c>
      <c r="R9774" s="21">
        <v>1</v>
      </c>
      <c r="S9774" s="21">
        <v>0</v>
      </c>
      <c r="T9774" s="21">
        <v>0</v>
      </c>
      <c r="U9774" s="21">
        <v>0</v>
      </c>
      <c r="V9774" s="21">
        <v>0</v>
      </c>
      <c r="W9774" s="21">
        <v>3</v>
      </c>
      <c r="X9774" s="21">
        <v>0</v>
      </c>
      <c r="Y9774" s="21">
        <v>0</v>
      </c>
      <c r="Z9774" s="21">
        <v>0</v>
      </c>
      <c r="AA9774" s="21">
        <v>0</v>
      </c>
      <c r="AB9774" s="21">
        <v>0</v>
      </c>
      <c r="AC9774" s="21">
        <v>0</v>
      </c>
      <c r="AD9774" s="21">
        <v>0</v>
      </c>
      <c r="AE9774" s="21">
        <v>0</v>
      </c>
      <c r="AF9774" s="21">
        <v>0</v>
      </c>
      <c r="AG9774" s="21"/>
      <c r="AH9774" s="21">
        <f t="shared" si="205"/>
        <v>288</v>
      </c>
      <c r="AI9774" s="21"/>
      <c r="AJ9774" s="21" t="s">
        <v>54</v>
      </c>
      <c r="AK9774" s="21" t="s">
        <v>52</v>
      </c>
      <c r="AL9774" s="21" t="s">
        <v>7176</v>
      </c>
      <c r="AM9774" s="21" t="s">
        <v>7177</v>
      </c>
      <c r="AN9774" s="21">
        <v>-122.410833083333</v>
      </c>
      <c r="AO9774" s="21">
        <v>37.798326466666701</v>
      </c>
      <c r="AP9774" s="21" t="s">
        <v>116</v>
      </c>
    </row>
    <row r="9775" spans="1:42">
      <c r="A9775" s="20">
        <v>43871</v>
      </c>
      <c r="B9775" s="21">
        <v>1</v>
      </c>
      <c r="C9775" s="21">
        <v>232</v>
      </c>
      <c r="D9775" s="21">
        <v>14476</v>
      </c>
      <c r="E9775" s="7" t="s">
        <v>112</v>
      </c>
      <c r="F9775" s="21" t="s">
        <v>104</v>
      </c>
      <c r="G9775" s="21">
        <v>2</v>
      </c>
      <c r="H9775" s="21">
        <v>60</v>
      </c>
      <c r="I9775" s="21" t="s">
        <v>7178</v>
      </c>
      <c r="J9775" s="21"/>
      <c r="K9775" s="21" t="s">
        <v>585</v>
      </c>
      <c r="L9775" s="21" t="s">
        <v>114</v>
      </c>
      <c r="M9775" s="21" t="s">
        <v>7038</v>
      </c>
      <c r="N9775" s="21" t="s">
        <v>40</v>
      </c>
      <c r="O9775" s="21">
        <v>22</v>
      </c>
      <c r="P9775" s="21"/>
      <c r="Q9775" s="21">
        <f t="shared" si="204"/>
        <v>1</v>
      </c>
      <c r="R9775" s="21">
        <v>1</v>
      </c>
      <c r="S9775" s="21">
        <v>0</v>
      </c>
      <c r="T9775" s="21">
        <v>0</v>
      </c>
      <c r="U9775" s="21">
        <v>0</v>
      </c>
      <c r="V9775" s="21">
        <v>0</v>
      </c>
      <c r="W9775" s="21">
        <v>1</v>
      </c>
      <c r="X9775" s="21">
        <v>0</v>
      </c>
      <c r="Y9775" s="21">
        <v>0</v>
      </c>
      <c r="Z9775" s="21">
        <v>0</v>
      </c>
      <c r="AA9775" s="21">
        <v>0</v>
      </c>
      <c r="AB9775" s="21">
        <v>0</v>
      </c>
      <c r="AC9775" s="21">
        <v>0</v>
      </c>
      <c r="AD9775" s="21">
        <v>0</v>
      </c>
      <c r="AE9775" s="21">
        <v>0</v>
      </c>
      <c r="AF9775" s="21">
        <v>0</v>
      </c>
      <c r="AG9775" s="21"/>
      <c r="AH9775" s="21">
        <f t="shared" si="205"/>
        <v>96</v>
      </c>
      <c r="AI9775" s="21"/>
      <c r="AJ9775" s="21" t="s">
        <v>54</v>
      </c>
      <c r="AK9775" s="21" t="s">
        <v>52</v>
      </c>
      <c r="AL9775" s="21"/>
      <c r="AM9775" s="21" t="s">
        <v>7179</v>
      </c>
      <c r="AN9775" s="21">
        <v>-122.41067194999999</v>
      </c>
      <c r="AO9775" s="21">
        <v>37.798361483333302</v>
      </c>
      <c r="AP9775" s="21" t="s">
        <v>116</v>
      </c>
    </row>
    <row r="9776" spans="1:42">
      <c r="A9776" s="20">
        <v>43871</v>
      </c>
      <c r="B9776" s="21">
        <v>1</v>
      </c>
      <c r="C9776" s="21">
        <v>232</v>
      </c>
      <c r="D9776" s="21">
        <v>14476</v>
      </c>
      <c r="E9776" s="7" t="s">
        <v>112</v>
      </c>
      <c r="F9776" s="21" t="s">
        <v>104</v>
      </c>
      <c r="G9776" s="21">
        <v>2</v>
      </c>
      <c r="H9776" s="21">
        <v>61</v>
      </c>
      <c r="I9776" s="21" t="s">
        <v>7180</v>
      </c>
      <c r="J9776" s="21"/>
      <c r="K9776" s="21" t="s">
        <v>585</v>
      </c>
      <c r="L9776" s="21" t="s">
        <v>141</v>
      </c>
      <c r="M9776" s="21" t="s">
        <v>6618</v>
      </c>
      <c r="N9776" s="21" t="s">
        <v>44</v>
      </c>
      <c r="O9776" s="21">
        <v>119</v>
      </c>
      <c r="P9776" s="21"/>
      <c r="Q9776" s="21">
        <f t="shared" si="204"/>
        <v>2</v>
      </c>
      <c r="R9776" s="21">
        <v>1</v>
      </c>
      <c r="S9776" s="21">
        <v>0</v>
      </c>
      <c r="T9776" s="21">
        <v>0</v>
      </c>
      <c r="U9776" s="21">
        <v>0</v>
      </c>
      <c r="V9776" s="21">
        <v>1</v>
      </c>
      <c r="W9776" s="21">
        <v>1</v>
      </c>
      <c r="X9776" s="21">
        <v>0</v>
      </c>
      <c r="Y9776" s="21">
        <v>0</v>
      </c>
      <c r="Z9776" s="21">
        <v>0</v>
      </c>
      <c r="AA9776" s="21">
        <v>0</v>
      </c>
      <c r="AB9776" s="21">
        <v>0</v>
      </c>
      <c r="AC9776" s="21">
        <v>0</v>
      </c>
      <c r="AD9776" s="21">
        <v>0</v>
      </c>
      <c r="AE9776" s="21">
        <v>0</v>
      </c>
      <c r="AF9776" s="21">
        <v>0</v>
      </c>
      <c r="AG9776" s="21"/>
      <c r="AH9776" s="21">
        <f t="shared" si="205"/>
        <v>160</v>
      </c>
      <c r="AI9776" s="21"/>
      <c r="AJ9776" s="21" t="s">
        <v>54</v>
      </c>
      <c r="AK9776" s="21" t="s">
        <v>52</v>
      </c>
      <c r="AL9776" s="21" t="s">
        <v>7181</v>
      </c>
      <c r="AM9776" s="21" t="s">
        <v>7182</v>
      </c>
      <c r="AN9776" s="21">
        <v>-122.415770215078</v>
      </c>
      <c r="AO9776" s="21">
        <v>37.796664032430101</v>
      </c>
      <c r="AP9776" s="21" t="s">
        <v>116</v>
      </c>
    </row>
    <row r="9777" spans="1:42">
      <c r="A9777" s="20">
        <v>43871</v>
      </c>
      <c r="B9777" s="21">
        <v>1</v>
      </c>
      <c r="C9777" s="21">
        <v>232</v>
      </c>
      <c r="D9777" s="21">
        <v>14476</v>
      </c>
      <c r="E9777" s="7" t="s">
        <v>112</v>
      </c>
      <c r="F9777" s="21" t="s">
        <v>104</v>
      </c>
      <c r="G9777" s="21">
        <v>2</v>
      </c>
      <c r="H9777" s="21">
        <v>62</v>
      </c>
      <c r="I9777" s="21" t="s">
        <v>3100</v>
      </c>
      <c r="J9777" s="21"/>
      <c r="K9777" s="21" t="s">
        <v>6992</v>
      </c>
      <c r="L9777" s="21" t="s">
        <v>114</v>
      </c>
      <c r="M9777" s="21" t="s">
        <v>7038</v>
      </c>
      <c r="N9777" s="21" t="s">
        <v>44</v>
      </c>
      <c r="O9777" s="21">
        <v>70</v>
      </c>
      <c r="P9777" s="21"/>
      <c r="Q9777" s="21">
        <f t="shared" si="204"/>
        <v>1</v>
      </c>
      <c r="R9777" s="21">
        <v>1</v>
      </c>
      <c r="S9777" s="21">
        <v>0</v>
      </c>
      <c r="T9777" s="21">
        <v>0</v>
      </c>
      <c r="U9777" s="21">
        <v>0</v>
      </c>
      <c r="V9777" s="21">
        <v>0</v>
      </c>
      <c r="W9777" s="21">
        <v>1</v>
      </c>
      <c r="X9777" s="21">
        <v>0</v>
      </c>
      <c r="Y9777" s="21">
        <v>0</v>
      </c>
      <c r="Z9777" s="21">
        <v>0</v>
      </c>
      <c r="AA9777" s="21">
        <v>0</v>
      </c>
      <c r="AB9777" s="21">
        <v>0</v>
      </c>
      <c r="AC9777" s="21">
        <v>0</v>
      </c>
      <c r="AD9777" s="21">
        <v>0</v>
      </c>
      <c r="AE9777" s="21">
        <v>0</v>
      </c>
      <c r="AF9777" s="21">
        <v>0</v>
      </c>
      <c r="AG9777" s="21"/>
      <c r="AH9777" s="21">
        <f t="shared" si="205"/>
        <v>96</v>
      </c>
      <c r="AI9777" s="21"/>
      <c r="AJ9777" s="21" t="s">
        <v>54</v>
      </c>
      <c r="AK9777" s="21" t="s">
        <v>52</v>
      </c>
      <c r="AL9777" s="21" t="s">
        <v>7183</v>
      </c>
      <c r="AM9777" s="21" t="s">
        <v>7184</v>
      </c>
      <c r="AN9777" s="21">
        <v>-122.411905733333</v>
      </c>
      <c r="AO9777" s="21">
        <v>37.798217033333302</v>
      </c>
      <c r="AP9777" s="21" t="s">
        <v>116</v>
      </c>
    </row>
    <row r="9778" spans="1:42">
      <c r="A9778" s="20">
        <v>43871</v>
      </c>
      <c r="B9778" s="21">
        <v>1</v>
      </c>
      <c r="C9778" s="21">
        <v>232</v>
      </c>
      <c r="D9778" s="21">
        <v>14476</v>
      </c>
      <c r="E9778" s="7" t="s">
        <v>112</v>
      </c>
      <c r="F9778" s="21" t="s">
        <v>104</v>
      </c>
      <c r="G9778" s="21">
        <v>2</v>
      </c>
      <c r="H9778" s="21">
        <v>63</v>
      </c>
      <c r="I9778" s="21" t="s">
        <v>7185</v>
      </c>
      <c r="J9778" s="21"/>
      <c r="K9778" s="21" t="s">
        <v>6992</v>
      </c>
      <c r="L9778" s="21" t="s">
        <v>114</v>
      </c>
      <c r="M9778" s="21" t="s">
        <v>7038</v>
      </c>
      <c r="N9778" s="21" t="s">
        <v>44</v>
      </c>
      <c r="O9778" s="21">
        <v>254</v>
      </c>
      <c r="P9778" s="21"/>
      <c r="Q9778" s="21">
        <f t="shared" si="204"/>
        <v>2</v>
      </c>
      <c r="R9778" s="21">
        <v>1</v>
      </c>
      <c r="S9778" s="21">
        <v>0</v>
      </c>
      <c r="T9778" s="21">
        <v>0</v>
      </c>
      <c r="U9778" s="21">
        <v>0</v>
      </c>
      <c r="V9778" s="21">
        <v>0</v>
      </c>
      <c r="W9778" s="21">
        <v>2</v>
      </c>
      <c r="X9778" s="21">
        <v>0</v>
      </c>
      <c r="Y9778" s="21">
        <v>0</v>
      </c>
      <c r="Z9778" s="21">
        <v>0</v>
      </c>
      <c r="AA9778" s="21">
        <v>0</v>
      </c>
      <c r="AB9778" s="21">
        <v>0</v>
      </c>
      <c r="AC9778" s="21">
        <v>0</v>
      </c>
      <c r="AD9778" s="21">
        <v>0</v>
      </c>
      <c r="AE9778" s="21">
        <v>0</v>
      </c>
      <c r="AF9778" s="21">
        <v>0</v>
      </c>
      <c r="AG9778" s="21"/>
      <c r="AH9778" s="21">
        <f t="shared" si="205"/>
        <v>192</v>
      </c>
      <c r="AI9778" s="21"/>
      <c r="AJ9778" s="21" t="s">
        <v>51</v>
      </c>
      <c r="AK9778" s="21" t="s">
        <v>52</v>
      </c>
      <c r="AL9778" s="21" t="s">
        <v>7186</v>
      </c>
      <c r="AM9778" s="21" t="s">
        <v>7187</v>
      </c>
      <c r="AN9778" s="21">
        <v>-122.412160116667</v>
      </c>
      <c r="AO9778" s="21">
        <v>37.798537916666703</v>
      </c>
      <c r="AP9778" s="21" t="s">
        <v>116</v>
      </c>
    </row>
    <row r="9779" spans="1:42">
      <c r="A9779" s="20">
        <v>43871</v>
      </c>
      <c r="B9779" s="21">
        <v>1</v>
      </c>
      <c r="C9779" s="21">
        <v>232</v>
      </c>
      <c r="D9779" s="21">
        <v>14476</v>
      </c>
      <c r="E9779" s="7" t="s">
        <v>112</v>
      </c>
      <c r="F9779" s="21" t="s">
        <v>104</v>
      </c>
      <c r="G9779" s="21">
        <v>2</v>
      </c>
      <c r="H9779" s="21">
        <v>64</v>
      </c>
      <c r="I9779" s="21" t="s">
        <v>3895</v>
      </c>
      <c r="J9779" s="21"/>
      <c r="K9779" s="21" t="s">
        <v>6992</v>
      </c>
      <c r="L9779" s="21" t="s">
        <v>114</v>
      </c>
      <c r="M9779" s="21" t="s">
        <v>7038</v>
      </c>
      <c r="N9779" s="21" t="s">
        <v>44</v>
      </c>
      <c r="O9779" s="21">
        <v>25</v>
      </c>
      <c r="P9779" s="21"/>
      <c r="Q9779" s="21">
        <f t="shared" si="204"/>
        <v>2</v>
      </c>
      <c r="R9779" s="21">
        <v>1</v>
      </c>
      <c r="S9779" s="21">
        <v>0</v>
      </c>
      <c r="T9779" s="21">
        <v>0</v>
      </c>
      <c r="U9779" s="21">
        <v>1</v>
      </c>
      <c r="V9779" s="21">
        <v>0</v>
      </c>
      <c r="W9779" s="21">
        <v>1</v>
      </c>
      <c r="X9779" s="21">
        <v>0</v>
      </c>
      <c r="Y9779" s="21">
        <v>0</v>
      </c>
      <c r="Z9779" s="21">
        <v>0</v>
      </c>
      <c r="AA9779" s="21">
        <v>0</v>
      </c>
      <c r="AB9779" s="21">
        <v>0</v>
      </c>
      <c r="AC9779" s="21">
        <v>0</v>
      </c>
      <c r="AD9779" s="21">
        <v>0</v>
      </c>
      <c r="AE9779" s="21">
        <v>0</v>
      </c>
      <c r="AF9779" s="21">
        <v>0</v>
      </c>
      <c r="AG9779" s="21"/>
      <c r="AH9779" s="21">
        <f t="shared" si="205"/>
        <v>128</v>
      </c>
      <c r="AI9779" s="21"/>
      <c r="AJ9779" s="21" t="s">
        <v>51</v>
      </c>
      <c r="AK9779" s="21" t="s">
        <v>52</v>
      </c>
      <c r="AL9779" s="21" t="s">
        <v>7188</v>
      </c>
      <c r="AM9779" s="21" t="s">
        <v>7189</v>
      </c>
      <c r="AN9779" s="21">
        <v>-122.4122418</v>
      </c>
      <c r="AO9779" s="21">
        <v>37.798573033333298</v>
      </c>
      <c r="AP9779" s="21" t="s">
        <v>116</v>
      </c>
    </row>
    <row r="9780" spans="1:42">
      <c r="A9780" s="20">
        <v>43871</v>
      </c>
      <c r="B9780" s="21">
        <v>1</v>
      </c>
      <c r="C9780" s="21">
        <v>232</v>
      </c>
      <c r="D9780" s="21">
        <v>14476</v>
      </c>
      <c r="E9780" s="7" t="s">
        <v>112</v>
      </c>
      <c r="F9780" s="21" t="s">
        <v>104</v>
      </c>
      <c r="G9780" s="21">
        <v>2</v>
      </c>
      <c r="H9780" s="21">
        <v>65</v>
      </c>
      <c r="I9780" s="21" t="s">
        <v>3298</v>
      </c>
      <c r="J9780" s="21"/>
      <c r="K9780" s="21" t="s">
        <v>6992</v>
      </c>
      <c r="L9780" s="21" t="s">
        <v>114</v>
      </c>
      <c r="M9780" s="21" t="s">
        <v>7038</v>
      </c>
      <c r="N9780" s="21" t="s">
        <v>44</v>
      </c>
      <c r="O9780" s="21">
        <v>58</v>
      </c>
      <c r="P9780" s="21"/>
      <c r="Q9780" s="21">
        <f t="shared" si="204"/>
        <v>2</v>
      </c>
      <c r="R9780" s="21">
        <v>1</v>
      </c>
      <c r="S9780" s="21">
        <v>0</v>
      </c>
      <c r="T9780" s="21">
        <v>0</v>
      </c>
      <c r="U9780" s="21">
        <v>0</v>
      </c>
      <c r="V9780" s="21">
        <v>0</v>
      </c>
      <c r="W9780" s="21">
        <v>2</v>
      </c>
      <c r="X9780" s="21">
        <v>0</v>
      </c>
      <c r="Y9780" s="21">
        <v>0</v>
      </c>
      <c r="Z9780" s="21">
        <v>0</v>
      </c>
      <c r="AA9780" s="21">
        <v>0</v>
      </c>
      <c r="AB9780" s="21">
        <v>0</v>
      </c>
      <c r="AC9780" s="21">
        <v>0</v>
      </c>
      <c r="AD9780" s="21">
        <v>0</v>
      </c>
      <c r="AE9780" s="21">
        <v>0</v>
      </c>
      <c r="AF9780" s="21">
        <v>0</v>
      </c>
      <c r="AG9780" s="21"/>
      <c r="AH9780" s="21">
        <f t="shared" si="205"/>
        <v>192</v>
      </c>
      <c r="AI9780" s="21"/>
      <c r="AJ9780" s="21" t="s">
        <v>51</v>
      </c>
      <c r="AK9780" s="21" t="s">
        <v>52</v>
      </c>
      <c r="AL9780" s="21" t="s">
        <v>7190</v>
      </c>
      <c r="AM9780" s="21" t="s">
        <v>7191</v>
      </c>
      <c r="AN9780" s="21">
        <v>-122.412304833333</v>
      </c>
      <c r="AO9780" s="21">
        <v>37.7989124666667</v>
      </c>
      <c r="AP9780" s="21" t="s">
        <v>116</v>
      </c>
    </row>
    <row r="9781" spans="1:42">
      <c r="A9781" s="20">
        <v>43871</v>
      </c>
      <c r="B9781" s="21">
        <v>1</v>
      </c>
      <c r="C9781" s="21">
        <v>232</v>
      </c>
      <c r="D9781" s="21">
        <v>14476</v>
      </c>
      <c r="E9781" s="7" t="s">
        <v>112</v>
      </c>
      <c r="F9781" s="21" t="s">
        <v>104</v>
      </c>
      <c r="G9781" s="21">
        <v>2</v>
      </c>
      <c r="H9781" s="21">
        <v>66</v>
      </c>
      <c r="I9781" s="21" t="s">
        <v>7192</v>
      </c>
      <c r="J9781" s="21"/>
      <c r="K9781" s="21" t="s">
        <v>6992</v>
      </c>
      <c r="L9781" s="21" t="s">
        <v>114</v>
      </c>
      <c r="M9781" s="21" t="s">
        <v>7038</v>
      </c>
      <c r="N9781" s="21" t="s">
        <v>40</v>
      </c>
      <c r="O9781" s="21">
        <v>29</v>
      </c>
      <c r="P9781" s="21"/>
      <c r="Q9781" s="21">
        <f t="shared" ref="Q9781:Q9844" si="206">S9781+T9781+U9781+V9781+W9781+X9781+Y9781+Z9781+AA9781+AB9781+AE9781+AF9781</f>
        <v>1</v>
      </c>
      <c r="R9781" s="21">
        <v>1</v>
      </c>
      <c r="S9781" s="21">
        <v>0</v>
      </c>
      <c r="T9781" s="21">
        <v>0</v>
      </c>
      <c r="U9781" s="21">
        <v>0</v>
      </c>
      <c r="V9781" s="21">
        <v>1</v>
      </c>
      <c r="W9781" s="21">
        <v>0</v>
      </c>
      <c r="X9781" s="21">
        <v>0</v>
      </c>
      <c r="Y9781" s="21">
        <v>0</v>
      </c>
      <c r="Z9781" s="21">
        <v>0</v>
      </c>
      <c r="AA9781" s="21">
        <v>0</v>
      </c>
      <c r="AB9781" s="21">
        <v>0</v>
      </c>
      <c r="AC9781" s="21">
        <v>0</v>
      </c>
      <c r="AD9781" s="21">
        <v>0</v>
      </c>
      <c r="AE9781" s="21">
        <v>0</v>
      </c>
      <c r="AF9781" s="21">
        <v>0</v>
      </c>
      <c r="AG9781" s="21"/>
      <c r="AH9781" s="21">
        <f t="shared" ref="AH9781:AH9844" si="207">(S9781*16)+(T9781*20)+(U9781*32)+(V9781*64)+(W9781*96)</f>
        <v>64</v>
      </c>
      <c r="AI9781" s="21"/>
      <c r="AJ9781" s="21" t="s">
        <v>51</v>
      </c>
      <c r="AK9781" s="21" t="s">
        <v>52</v>
      </c>
      <c r="AL9781" s="21"/>
      <c r="AM9781" s="21" t="s">
        <v>7193</v>
      </c>
      <c r="AN9781" s="21">
        <v>-122.41252856666701</v>
      </c>
      <c r="AO9781" s="21">
        <v>37.800518699999998</v>
      </c>
      <c r="AP9781" s="21" t="s">
        <v>116</v>
      </c>
    </row>
    <row r="9782" spans="1:42">
      <c r="A9782" s="20">
        <v>43871</v>
      </c>
      <c r="B9782" s="21">
        <v>1</v>
      </c>
      <c r="C9782" s="21">
        <v>232</v>
      </c>
      <c r="D9782" s="21">
        <v>14476</v>
      </c>
      <c r="E9782" s="7" t="s">
        <v>112</v>
      </c>
      <c r="F9782" s="21" t="s">
        <v>104</v>
      </c>
      <c r="G9782" s="21">
        <v>2</v>
      </c>
      <c r="H9782" s="21">
        <v>67</v>
      </c>
      <c r="I9782" s="21" t="s">
        <v>4789</v>
      </c>
      <c r="J9782" s="21"/>
      <c r="K9782" s="21" t="s">
        <v>6992</v>
      </c>
      <c r="L9782" s="21" t="s">
        <v>141</v>
      </c>
      <c r="M9782" s="21" t="s">
        <v>6618</v>
      </c>
      <c r="N9782" s="21" t="s">
        <v>44</v>
      </c>
      <c r="O9782" s="21">
        <v>88</v>
      </c>
      <c r="P9782" s="21"/>
      <c r="Q9782" s="21">
        <f t="shared" si="206"/>
        <v>2</v>
      </c>
      <c r="R9782" s="21">
        <v>1</v>
      </c>
      <c r="S9782" s="21">
        <v>0</v>
      </c>
      <c r="T9782" s="21">
        <v>0</v>
      </c>
      <c r="U9782" s="21">
        <v>0</v>
      </c>
      <c r="V9782" s="21">
        <v>0</v>
      </c>
      <c r="W9782" s="21">
        <v>2</v>
      </c>
      <c r="X9782" s="21">
        <v>0</v>
      </c>
      <c r="Y9782" s="21">
        <v>0</v>
      </c>
      <c r="Z9782" s="21">
        <v>0</v>
      </c>
      <c r="AA9782" s="21">
        <v>0</v>
      </c>
      <c r="AB9782" s="21">
        <v>0</v>
      </c>
      <c r="AC9782" s="21">
        <v>0</v>
      </c>
      <c r="AD9782" s="21">
        <v>0</v>
      </c>
      <c r="AE9782" s="21">
        <v>0</v>
      </c>
      <c r="AF9782" s="21">
        <v>0</v>
      </c>
      <c r="AG9782" s="21"/>
      <c r="AH9782" s="21">
        <f t="shared" si="207"/>
        <v>192</v>
      </c>
      <c r="AI9782" s="21"/>
      <c r="AJ9782" s="21" t="s">
        <v>54</v>
      </c>
      <c r="AK9782" s="21" t="s">
        <v>52</v>
      </c>
      <c r="AL9782" s="21" t="s">
        <v>7194</v>
      </c>
      <c r="AM9782" s="21" t="s">
        <v>7195</v>
      </c>
      <c r="AN9782" s="21">
        <v>-122.41468184362</v>
      </c>
      <c r="AO9782" s="21">
        <v>37.7975860021619</v>
      </c>
      <c r="AP9782" s="21" t="s">
        <v>116</v>
      </c>
    </row>
    <row r="9783" spans="1:42">
      <c r="A9783" s="20">
        <v>43871</v>
      </c>
      <c r="B9783" s="21">
        <v>1</v>
      </c>
      <c r="C9783" s="21">
        <v>232</v>
      </c>
      <c r="D9783" s="21">
        <v>14476</v>
      </c>
      <c r="E9783" s="7" t="s">
        <v>112</v>
      </c>
      <c r="F9783" s="21" t="s">
        <v>104</v>
      </c>
      <c r="G9783" s="21">
        <v>2</v>
      </c>
      <c r="H9783" s="21">
        <v>68</v>
      </c>
      <c r="I9783" s="21" t="s">
        <v>7196</v>
      </c>
      <c r="J9783" s="21"/>
      <c r="K9783" s="21" t="s">
        <v>148</v>
      </c>
      <c r="L9783" s="21" t="s">
        <v>114</v>
      </c>
      <c r="M9783" s="21" t="s">
        <v>7038</v>
      </c>
      <c r="N9783" s="21" t="s">
        <v>44</v>
      </c>
      <c r="O9783" s="21">
        <v>103</v>
      </c>
      <c r="P9783" s="21"/>
      <c r="Q9783" s="21">
        <f t="shared" si="206"/>
        <v>1</v>
      </c>
      <c r="R9783" s="21">
        <v>1</v>
      </c>
      <c r="S9783" s="21">
        <v>0</v>
      </c>
      <c r="T9783" s="21">
        <v>0</v>
      </c>
      <c r="U9783" s="21">
        <v>0</v>
      </c>
      <c r="V9783" s="21">
        <v>0</v>
      </c>
      <c r="W9783" s="21">
        <v>1</v>
      </c>
      <c r="X9783" s="21">
        <v>0</v>
      </c>
      <c r="Y9783" s="21">
        <v>0</v>
      </c>
      <c r="Z9783" s="21">
        <v>0</v>
      </c>
      <c r="AA9783" s="21">
        <v>0</v>
      </c>
      <c r="AB9783" s="21">
        <v>0</v>
      </c>
      <c r="AC9783" s="21">
        <v>0</v>
      </c>
      <c r="AD9783" s="21">
        <v>0</v>
      </c>
      <c r="AE9783" s="21">
        <v>0</v>
      </c>
      <c r="AF9783" s="21">
        <v>0</v>
      </c>
      <c r="AG9783" s="21"/>
      <c r="AH9783" s="21">
        <f t="shared" si="207"/>
        <v>96</v>
      </c>
      <c r="AI9783" s="21"/>
      <c r="AJ9783" s="21" t="s">
        <v>54</v>
      </c>
      <c r="AK9783" s="21" t="s">
        <v>52</v>
      </c>
      <c r="AL9783" s="21" t="s">
        <v>7197</v>
      </c>
      <c r="AM9783" s="21" t="s">
        <v>7198</v>
      </c>
      <c r="AN9783" s="21">
        <v>-122.41271551666701</v>
      </c>
      <c r="AO9783" s="21">
        <v>37.8011047166667</v>
      </c>
      <c r="AP9783" s="21" t="s">
        <v>116</v>
      </c>
    </row>
    <row r="9784" spans="1:42">
      <c r="A9784" s="20">
        <v>43871</v>
      </c>
      <c r="B9784" s="21">
        <v>1</v>
      </c>
      <c r="C9784" s="21">
        <v>232</v>
      </c>
      <c r="D9784" s="21">
        <v>14476</v>
      </c>
      <c r="E9784" s="7" t="s">
        <v>112</v>
      </c>
      <c r="F9784" s="21" t="s">
        <v>104</v>
      </c>
      <c r="G9784" s="21">
        <v>2</v>
      </c>
      <c r="H9784" s="21">
        <v>69</v>
      </c>
      <c r="I9784" s="21"/>
      <c r="J9784" s="21"/>
      <c r="K9784" s="21" t="s">
        <v>7199</v>
      </c>
      <c r="L9784" s="21" t="s">
        <v>114</v>
      </c>
      <c r="M9784" s="21" t="s">
        <v>7038</v>
      </c>
      <c r="N9784" s="21" t="s">
        <v>40</v>
      </c>
      <c r="O9784" s="21">
        <v>46</v>
      </c>
      <c r="P9784" s="21"/>
      <c r="Q9784" s="21">
        <f t="shared" si="206"/>
        <v>1</v>
      </c>
      <c r="R9784" s="21">
        <v>1</v>
      </c>
      <c r="S9784" s="21">
        <v>0</v>
      </c>
      <c r="T9784" s="21">
        <v>0</v>
      </c>
      <c r="U9784" s="21">
        <v>1</v>
      </c>
      <c r="V9784" s="21">
        <v>0</v>
      </c>
      <c r="W9784" s="21">
        <v>0</v>
      </c>
      <c r="X9784" s="21">
        <v>0</v>
      </c>
      <c r="Y9784" s="21">
        <v>0</v>
      </c>
      <c r="Z9784" s="21">
        <v>0</v>
      </c>
      <c r="AA9784" s="21">
        <v>0</v>
      </c>
      <c r="AB9784" s="21">
        <v>0</v>
      </c>
      <c r="AC9784" s="21">
        <v>0</v>
      </c>
      <c r="AD9784" s="21">
        <v>0</v>
      </c>
      <c r="AE9784" s="21">
        <v>0</v>
      </c>
      <c r="AF9784" s="21">
        <v>0</v>
      </c>
      <c r="AG9784" s="21"/>
      <c r="AH9784" s="21">
        <f t="shared" si="207"/>
        <v>32</v>
      </c>
      <c r="AI9784" s="21"/>
      <c r="AJ9784" s="21" t="s">
        <v>54</v>
      </c>
      <c r="AK9784" s="21" t="s">
        <v>52</v>
      </c>
      <c r="AL9784" s="21" t="s">
        <v>470</v>
      </c>
      <c r="AM9784" s="21" t="s">
        <v>7200</v>
      </c>
      <c r="AN9784" s="21">
        <v>-122.41282289999999</v>
      </c>
      <c r="AO9784" s="21">
        <v>37.801700633333297</v>
      </c>
      <c r="AP9784" s="21" t="s">
        <v>116</v>
      </c>
    </row>
    <row r="9785" spans="1:42">
      <c r="A9785" s="20">
        <v>43871</v>
      </c>
      <c r="B9785" s="21">
        <v>1</v>
      </c>
      <c r="C9785" s="21">
        <v>232</v>
      </c>
      <c r="D9785" s="21">
        <v>14476</v>
      </c>
      <c r="E9785" s="7" t="s">
        <v>112</v>
      </c>
      <c r="F9785" s="21" t="s">
        <v>104</v>
      </c>
      <c r="G9785" s="21">
        <v>2</v>
      </c>
      <c r="H9785" s="21">
        <v>70</v>
      </c>
      <c r="I9785" s="21" t="s">
        <v>7178</v>
      </c>
      <c r="J9785" s="21"/>
      <c r="K9785" s="21" t="s">
        <v>213</v>
      </c>
      <c r="L9785" s="21" t="s">
        <v>114</v>
      </c>
      <c r="M9785" s="21" t="s">
        <v>7038</v>
      </c>
      <c r="N9785" s="21" t="s">
        <v>44</v>
      </c>
      <c r="O9785" s="21">
        <v>169</v>
      </c>
      <c r="P9785" s="21"/>
      <c r="Q9785" s="21">
        <f t="shared" si="206"/>
        <v>1</v>
      </c>
      <c r="R9785" s="21">
        <v>1</v>
      </c>
      <c r="S9785" s="21">
        <v>0</v>
      </c>
      <c r="T9785" s="21">
        <v>0</v>
      </c>
      <c r="U9785" s="21">
        <v>0</v>
      </c>
      <c r="V9785" s="21">
        <v>0</v>
      </c>
      <c r="W9785" s="21">
        <v>1</v>
      </c>
      <c r="X9785" s="21">
        <v>0</v>
      </c>
      <c r="Y9785" s="21">
        <v>0</v>
      </c>
      <c r="Z9785" s="21">
        <v>0</v>
      </c>
      <c r="AA9785" s="21">
        <v>0</v>
      </c>
      <c r="AB9785" s="21">
        <v>0</v>
      </c>
      <c r="AC9785" s="21">
        <v>0</v>
      </c>
      <c r="AD9785" s="21">
        <v>0</v>
      </c>
      <c r="AE9785" s="21">
        <v>0</v>
      </c>
      <c r="AF9785" s="21">
        <v>0</v>
      </c>
      <c r="AG9785" s="21"/>
      <c r="AH9785" s="21">
        <f t="shared" si="207"/>
        <v>96</v>
      </c>
      <c r="AI9785" s="21"/>
      <c r="AJ9785" s="21" t="s">
        <v>51</v>
      </c>
      <c r="AK9785" s="21" t="s">
        <v>52</v>
      </c>
      <c r="AL9785" s="21" t="s">
        <v>7201</v>
      </c>
      <c r="AM9785" s="21" t="s">
        <v>7202</v>
      </c>
      <c r="AN9785" s="21">
        <v>-122.41533358304901</v>
      </c>
      <c r="AO9785" s="21">
        <v>37.803523955997598</v>
      </c>
      <c r="AP9785" s="21" t="s">
        <v>116</v>
      </c>
    </row>
    <row r="9786" spans="1:42">
      <c r="A9786" s="20">
        <v>43871</v>
      </c>
      <c r="B9786" s="21">
        <v>1</v>
      </c>
      <c r="C9786" s="21">
        <v>232</v>
      </c>
      <c r="D9786" s="21">
        <v>14476</v>
      </c>
      <c r="E9786" s="7" t="s">
        <v>112</v>
      </c>
      <c r="F9786" s="21" t="s">
        <v>104</v>
      </c>
      <c r="G9786" s="21">
        <v>2</v>
      </c>
      <c r="H9786" s="21">
        <v>71</v>
      </c>
      <c r="I9786" s="21" t="s">
        <v>7203</v>
      </c>
      <c r="J9786" s="21"/>
      <c r="K9786" s="21" t="s">
        <v>213</v>
      </c>
      <c r="L9786" s="21" t="s">
        <v>114</v>
      </c>
      <c r="M9786" s="21" t="s">
        <v>7038</v>
      </c>
      <c r="N9786" s="21" t="s">
        <v>44</v>
      </c>
      <c r="O9786" s="21">
        <v>66</v>
      </c>
      <c r="P9786" s="21"/>
      <c r="Q9786" s="21">
        <f t="shared" si="206"/>
        <v>1</v>
      </c>
      <c r="R9786" s="21">
        <v>1</v>
      </c>
      <c r="S9786" s="21">
        <v>0</v>
      </c>
      <c r="T9786" s="21">
        <v>0</v>
      </c>
      <c r="U9786" s="21">
        <v>0</v>
      </c>
      <c r="V9786" s="21">
        <v>0</v>
      </c>
      <c r="W9786" s="21">
        <v>1</v>
      </c>
      <c r="X9786" s="21">
        <v>0</v>
      </c>
      <c r="Y9786" s="21">
        <v>0</v>
      </c>
      <c r="Z9786" s="21">
        <v>0</v>
      </c>
      <c r="AA9786" s="21">
        <v>0</v>
      </c>
      <c r="AB9786" s="21">
        <v>0</v>
      </c>
      <c r="AC9786" s="21">
        <v>0</v>
      </c>
      <c r="AD9786" s="21">
        <v>0</v>
      </c>
      <c r="AE9786" s="21">
        <v>0</v>
      </c>
      <c r="AF9786" s="21">
        <v>0</v>
      </c>
      <c r="AG9786" s="21"/>
      <c r="AH9786" s="21">
        <f t="shared" si="207"/>
        <v>96</v>
      </c>
      <c r="AI9786" s="21"/>
      <c r="AJ9786" s="21" t="s">
        <v>51</v>
      </c>
      <c r="AK9786" s="21" t="s">
        <v>52</v>
      </c>
      <c r="AL9786" s="21" t="s">
        <v>7204</v>
      </c>
      <c r="AM9786" s="21" t="s">
        <v>7205</v>
      </c>
      <c r="AN9786" s="21">
        <v>-122.413322966667</v>
      </c>
      <c r="AO9786" s="21">
        <v>37.801942933333301</v>
      </c>
      <c r="AP9786" s="21" t="s">
        <v>116</v>
      </c>
    </row>
    <row r="9787" spans="1:42">
      <c r="A9787" s="20">
        <v>43871</v>
      </c>
      <c r="B9787" s="21">
        <v>1</v>
      </c>
      <c r="C9787" s="21">
        <v>232</v>
      </c>
      <c r="D9787" s="21">
        <v>14476</v>
      </c>
      <c r="E9787" s="7" t="s">
        <v>112</v>
      </c>
      <c r="F9787" s="21" t="s">
        <v>104</v>
      </c>
      <c r="G9787" s="21">
        <v>2</v>
      </c>
      <c r="H9787" s="21">
        <v>72</v>
      </c>
      <c r="I9787" s="21" t="s">
        <v>7206</v>
      </c>
      <c r="J9787" s="21"/>
      <c r="K9787" s="21" t="s">
        <v>1147</v>
      </c>
      <c r="L9787" s="21" t="s">
        <v>114</v>
      </c>
      <c r="M9787" s="21" t="s">
        <v>7038</v>
      </c>
      <c r="N9787" s="21" t="s">
        <v>44</v>
      </c>
      <c r="O9787" s="21">
        <v>79</v>
      </c>
      <c r="P9787" s="21"/>
      <c r="Q9787" s="21">
        <f t="shared" si="206"/>
        <v>1</v>
      </c>
      <c r="R9787" s="21">
        <v>1</v>
      </c>
      <c r="S9787" s="21">
        <v>0</v>
      </c>
      <c r="T9787" s="21">
        <v>0</v>
      </c>
      <c r="U9787" s="21">
        <v>0</v>
      </c>
      <c r="V9787" s="21">
        <v>0</v>
      </c>
      <c r="W9787" s="21">
        <v>1</v>
      </c>
      <c r="X9787" s="21">
        <v>0</v>
      </c>
      <c r="Y9787" s="21">
        <v>0</v>
      </c>
      <c r="Z9787" s="21">
        <v>0</v>
      </c>
      <c r="AA9787" s="21">
        <v>0</v>
      </c>
      <c r="AB9787" s="21">
        <v>0</v>
      </c>
      <c r="AC9787" s="21">
        <v>0</v>
      </c>
      <c r="AD9787" s="21">
        <v>0</v>
      </c>
      <c r="AE9787" s="21">
        <v>0</v>
      </c>
      <c r="AF9787" s="21">
        <v>0</v>
      </c>
      <c r="AG9787" s="21"/>
      <c r="AH9787" s="21">
        <f t="shared" si="207"/>
        <v>96</v>
      </c>
      <c r="AI9787" s="21"/>
      <c r="AJ9787" s="21" t="s">
        <v>51</v>
      </c>
      <c r="AK9787" s="21" t="s">
        <v>52</v>
      </c>
      <c r="AL9787" s="21" t="s">
        <v>7207</v>
      </c>
      <c r="AM9787" s="21" t="s">
        <v>7208</v>
      </c>
      <c r="AN9787" s="21">
        <v>-122.413384616667</v>
      </c>
      <c r="AO9787" s="21">
        <v>37.801885916666699</v>
      </c>
      <c r="AP9787" s="21" t="s">
        <v>116</v>
      </c>
    </row>
    <row r="9788" spans="1:42">
      <c r="A9788" s="20">
        <v>43871</v>
      </c>
      <c r="B9788" s="21">
        <v>1</v>
      </c>
      <c r="C9788" s="21">
        <v>232</v>
      </c>
      <c r="D9788" s="21">
        <v>14476</v>
      </c>
      <c r="E9788" s="7" t="s">
        <v>112</v>
      </c>
      <c r="F9788" s="21" t="s">
        <v>104</v>
      </c>
      <c r="G9788" s="21">
        <v>2</v>
      </c>
      <c r="H9788" s="21">
        <v>73</v>
      </c>
      <c r="I9788" s="21" t="s">
        <v>7209</v>
      </c>
      <c r="J9788" s="21"/>
      <c r="K9788" s="21" t="s">
        <v>1147</v>
      </c>
      <c r="L9788" s="21" t="s">
        <v>114</v>
      </c>
      <c r="M9788" s="21" t="s">
        <v>7038</v>
      </c>
      <c r="N9788" s="21" t="s">
        <v>44</v>
      </c>
      <c r="O9788" s="21">
        <v>127</v>
      </c>
      <c r="P9788" s="21"/>
      <c r="Q9788" s="21">
        <f t="shared" si="206"/>
        <v>2</v>
      </c>
      <c r="R9788" s="21">
        <v>1</v>
      </c>
      <c r="S9788" s="21">
        <v>0</v>
      </c>
      <c r="T9788" s="21">
        <v>0</v>
      </c>
      <c r="U9788" s="21">
        <v>0</v>
      </c>
      <c r="V9788" s="21">
        <v>1</v>
      </c>
      <c r="W9788" s="21">
        <v>1</v>
      </c>
      <c r="X9788" s="21">
        <v>0</v>
      </c>
      <c r="Y9788" s="21">
        <v>0</v>
      </c>
      <c r="Z9788" s="21">
        <v>0</v>
      </c>
      <c r="AA9788" s="21">
        <v>0</v>
      </c>
      <c r="AB9788" s="21">
        <v>0</v>
      </c>
      <c r="AC9788" s="21">
        <v>0</v>
      </c>
      <c r="AD9788" s="21">
        <v>0</v>
      </c>
      <c r="AE9788" s="21">
        <v>0</v>
      </c>
      <c r="AF9788" s="21">
        <v>0</v>
      </c>
      <c r="AG9788" s="21"/>
      <c r="AH9788" s="21">
        <f t="shared" si="207"/>
        <v>160</v>
      </c>
      <c r="AI9788" s="21"/>
      <c r="AJ9788" s="21" t="s">
        <v>54</v>
      </c>
      <c r="AK9788" s="21" t="s">
        <v>52</v>
      </c>
      <c r="AL9788" s="21" t="s">
        <v>7210</v>
      </c>
      <c r="AM9788" s="21" t="s">
        <v>7211</v>
      </c>
      <c r="AN9788" s="21">
        <v>-122.416827683333</v>
      </c>
      <c r="AO9788" s="21">
        <v>37.801398450000001</v>
      </c>
      <c r="AP9788" s="21" t="s">
        <v>116</v>
      </c>
    </row>
    <row r="9789" spans="1:42">
      <c r="A9789" s="20">
        <v>43871</v>
      </c>
      <c r="B9789" s="21">
        <v>1</v>
      </c>
      <c r="C9789" s="21">
        <v>232</v>
      </c>
      <c r="D9789" s="21">
        <v>14476</v>
      </c>
      <c r="E9789" s="7" t="s">
        <v>112</v>
      </c>
      <c r="F9789" s="21" t="s">
        <v>104</v>
      </c>
      <c r="G9789" s="21">
        <v>2</v>
      </c>
      <c r="H9789" s="21">
        <v>74</v>
      </c>
      <c r="I9789" s="21" t="s">
        <v>7212</v>
      </c>
      <c r="J9789" s="21"/>
      <c r="K9789" s="21" t="s">
        <v>1147</v>
      </c>
      <c r="L9789" s="21" t="s">
        <v>141</v>
      </c>
      <c r="M9789" s="21" t="s">
        <v>6618</v>
      </c>
      <c r="N9789" s="21" t="s">
        <v>44</v>
      </c>
      <c r="O9789" s="21">
        <v>90</v>
      </c>
      <c r="P9789" s="21"/>
      <c r="Q9789" s="21">
        <f t="shared" si="206"/>
        <v>1</v>
      </c>
      <c r="R9789" s="21">
        <v>1</v>
      </c>
      <c r="S9789" s="21">
        <v>0</v>
      </c>
      <c r="T9789" s="21">
        <v>0</v>
      </c>
      <c r="U9789" s="21">
        <v>0</v>
      </c>
      <c r="V9789" s="21">
        <v>0</v>
      </c>
      <c r="W9789" s="21">
        <v>1</v>
      </c>
      <c r="X9789" s="21">
        <v>0</v>
      </c>
      <c r="Y9789" s="21">
        <v>0</v>
      </c>
      <c r="Z9789" s="21">
        <v>0</v>
      </c>
      <c r="AA9789" s="21">
        <v>0</v>
      </c>
      <c r="AB9789" s="21">
        <v>0</v>
      </c>
      <c r="AC9789" s="21">
        <v>0</v>
      </c>
      <c r="AD9789" s="21">
        <v>0</v>
      </c>
      <c r="AE9789" s="21">
        <v>0</v>
      </c>
      <c r="AF9789" s="21">
        <v>0</v>
      </c>
      <c r="AG9789" s="21"/>
      <c r="AH9789" s="21">
        <f t="shared" si="207"/>
        <v>96</v>
      </c>
      <c r="AI9789" s="21"/>
      <c r="AJ9789" s="21" t="s">
        <v>51</v>
      </c>
      <c r="AK9789" s="21" t="s">
        <v>52</v>
      </c>
      <c r="AL9789" s="21" t="s">
        <v>7213</v>
      </c>
      <c r="AM9789" s="21" t="s">
        <v>7214</v>
      </c>
      <c r="AN9789" s="21">
        <v>-122.4174163</v>
      </c>
      <c r="AO9789" s="21">
        <v>37.801291833333302</v>
      </c>
      <c r="AP9789" s="21" t="s">
        <v>116</v>
      </c>
    </row>
    <row r="9790" spans="1:42">
      <c r="A9790" s="20">
        <v>43871</v>
      </c>
      <c r="B9790" s="21">
        <v>1</v>
      </c>
      <c r="C9790" s="21">
        <v>232</v>
      </c>
      <c r="D9790" s="21">
        <v>14476</v>
      </c>
      <c r="E9790" s="7" t="s">
        <v>112</v>
      </c>
      <c r="F9790" s="21" t="s">
        <v>104</v>
      </c>
      <c r="G9790" s="21">
        <v>2</v>
      </c>
      <c r="H9790" s="21">
        <v>75</v>
      </c>
      <c r="I9790" s="21" t="s">
        <v>5458</v>
      </c>
      <c r="J9790" s="21"/>
      <c r="K9790" s="21" t="s">
        <v>103</v>
      </c>
      <c r="L9790" s="21" t="s">
        <v>141</v>
      </c>
      <c r="M9790" s="21" t="s">
        <v>7038</v>
      </c>
      <c r="N9790" s="21" t="s">
        <v>44</v>
      </c>
      <c r="O9790" s="21">
        <v>117</v>
      </c>
      <c r="P9790" s="21"/>
      <c r="Q9790" s="21">
        <f t="shared" si="206"/>
        <v>1</v>
      </c>
      <c r="R9790" s="21">
        <v>1</v>
      </c>
      <c r="S9790" s="21">
        <v>0</v>
      </c>
      <c r="T9790" s="21">
        <v>0</v>
      </c>
      <c r="U9790" s="21">
        <v>0</v>
      </c>
      <c r="V9790" s="21">
        <v>0</v>
      </c>
      <c r="W9790" s="21">
        <v>1</v>
      </c>
      <c r="X9790" s="21">
        <v>0</v>
      </c>
      <c r="Y9790" s="21">
        <v>0</v>
      </c>
      <c r="Z9790" s="21">
        <v>0</v>
      </c>
      <c r="AA9790" s="21">
        <v>0</v>
      </c>
      <c r="AB9790" s="21">
        <v>0</v>
      </c>
      <c r="AC9790" s="21">
        <v>0</v>
      </c>
      <c r="AD9790" s="21">
        <v>0</v>
      </c>
      <c r="AE9790" s="21">
        <v>0</v>
      </c>
      <c r="AF9790" s="21">
        <v>0</v>
      </c>
      <c r="AG9790" s="21"/>
      <c r="AH9790" s="21">
        <f t="shared" si="207"/>
        <v>96</v>
      </c>
      <c r="AI9790" s="21"/>
      <c r="AJ9790" s="21" t="s">
        <v>51</v>
      </c>
      <c r="AK9790" s="21" t="s">
        <v>52</v>
      </c>
      <c r="AL9790" s="21" t="s">
        <v>7215</v>
      </c>
      <c r="AM9790" s="21" t="s">
        <v>7216</v>
      </c>
      <c r="AN9790" s="21">
        <v>-122.417403616667</v>
      </c>
      <c r="AO9790" s="21">
        <v>37.802307216666598</v>
      </c>
      <c r="AP9790" s="21" t="s">
        <v>116</v>
      </c>
    </row>
    <row r="9791" spans="1:42">
      <c r="A9791" s="20">
        <v>43871</v>
      </c>
      <c r="B9791" s="21">
        <v>1</v>
      </c>
      <c r="C9791" s="21">
        <v>232</v>
      </c>
      <c r="D9791" s="21">
        <v>14476</v>
      </c>
      <c r="E9791" s="7" t="s">
        <v>112</v>
      </c>
      <c r="F9791" s="21" t="s">
        <v>104</v>
      </c>
      <c r="G9791" s="21">
        <v>2</v>
      </c>
      <c r="H9791" s="21">
        <v>76</v>
      </c>
      <c r="I9791" s="21" t="s">
        <v>2603</v>
      </c>
      <c r="J9791" s="21"/>
      <c r="K9791" s="21" t="s">
        <v>1066</v>
      </c>
      <c r="L9791" s="21" t="s">
        <v>114</v>
      </c>
      <c r="M9791" s="21" t="s">
        <v>6618</v>
      </c>
      <c r="N9791" s="21" t="s">
        <v>44</v>
      </c>
      <c r="O9791" s="21">
        <v>114</v>
      </c>
      <c r="P9791" s="21"/>
      <c r="Q9791" s="21">
        <f t="shared" si="206"/>
        <v>1</v>
      </c>
      <c r="R9791" s="21">
        <v>1</v>
      </c>
      <c r="S9791" s="21">
        <v>0</v>
      </c>
      <c r="T9791" s="21">
        <v>0</v>
      </c>
      <c r="U9791" s="21">
        <v>0</v>
      </c>
      <c r="V9791" s="21">
        <v>0</v>
      </c>
      <c r="W9791" s="21">
        <v>1</v>
      </c>
      <c r="X9791" s="21">
        <v>0</v>
      </c>
      <c r="Y9791" s="21">
        <v>0</v>
      </c>
      <c r="Z9791" s="21">
        <v>0</v>
      </c>
      <c r="AA9791" s="21">
        <v>0</v>
      </c>
      <c r="AB9791" s="21">
        <v>0</v>
      </c>
      <c r="AC9791" s="21">
        <v>0</v>
      </c>
      <c r="AD9791" s="21">
        <v>0</v>
      </c>
      <c r="AE9791" s="21">
        <v>0</v>
      </c>
      <c r="AF9791" s="21">
        <v>0</v>
      </c>
      <c r="AG9791" s="21"/>
      <c r="AH9791" s="21">
        <f t="shared" si="207"/>
        <v>96</v>
      </c>
      <c r="AI9791" s="21"/>
      <c r="AJ9791" s="21" t="s">
        <v>54</v>
      </c>
      <c r="AK9791" s="21" t="s">
        <v>52</v>
      </c>
      <c r="AL9791" s="21" t="s">
        <v>7217</v>
      </c>
      <c r="AM9791" s="21" t="s">
        <v>7218</v>
      </c>
      <c r="AN9791" s="21">
        <v>-122.41611703333299</v>
      </c>
      <c r="AO9791" s="21">
        <v>37.800751816666697</v>
      </c>
      <c r="AP9791" s="21" t="s">
        <v>116</v>
      </c>
    </row>
    <row r="9792" spans="1:42">
      <c r="A9792" s="20">
        <v>43871</v>
      </c>
      <c r="B9792" s="21">
        <v>1</v>
      </c>
      <c r="C9792" s="21">
        <v>232</v>
      </c>
      <c r="D9792" s="21">
        <v>14476</v>
      </c>
      <c r="E9792" s="7" t="s">
        <v>112</v>
      </c>
      <c r="F9792" s="21" t="s">
        <v>104</v>
      </c>
      <c r="G9792" s="21">
        <v>2</v>
      </c>
      <c r="H9792" s="21">
        <v>77</v>
      </c>
      <c r="I9792" s="21" t="s">
        <v>3225</v>
      </c>
      <c r="J9792" s="21"/>
      <c r="K9792" s="21" t="s">
        <v>4904</v>
      </c>
      <c r="L9792" s="21" t="s">
        <v>114</v>
      </c>
      <c r="M9792" s="21" t="s">
        <v>7038</v>
      </c>
      <c r="N9792" s="21" t="s">
        <v>44</v>
      </c>
      <c r="O9792" s="21">
        <v>89</v>
      </c>
      <c r="P9792" s="21"/>
      <c r="Q9792" s="21">
        <f t="shared" si="206"/>
        <v>1</v>
      </c>
      <c r="R9792" s="21">
        <v>1</v>
      </c>
      <c r="S9792" s="21">
        <v>0</v>
      </c>
      <c r="T9792" s="21">
        <v>0</v>
      </c>
      <c r="U9792" s="21">
        <v>0</v>
      </c>
      <c r="V9792" s="21">
        <v>0</v>
      </c>
      <c r="W9792" s="21">
        <v>1</v>
      </c>
      <c r="X9792" s="21">
        <v>0</v>
      </c>
      <c r="Y9792" s="21">
        <v>0</v>
      </c>
      <c r="Z9792" s="21">
        <v>0</v>
      </c>
      <c r="AA9792" s="21">
        <v>0</v>
      </c>
      <c r="AB9792" s="21">
        <v>0</v>
      </c>
      <c r="AC9792" s="21">
        <v>0</v>
      </c>
      <c r="AD9792" s="21">
        <v>0</v>
      </c>
      <c r="AE9792" s="21">
        <v>0</v>
      </c>
      <c r="AF9792" s="21">
        <v>0</v>
      </c>
      <c r="AG9792" s="21"/>
      <c r="AH9792" s="21">
        <f t="shared" si="207"/>
        <v>96</v>
      </c>
      <c r="AI9792" s="21"/>
      <c r="AJ9792" s="21" t="s">
        <v>54</v>
      </c>
      <c r="AK9792" s="21" t="s">
        <v>95</v>
      </c>
      <c r="AL9792" s="21" t="s">
        <v>7219</v>
      </c>
      <c r="AM9792" s="21" t="s">
        <v>7220</v>
      </c>
      <c r="AN9792" s="21">
        <v>-122.415918</v>
      </c>
      <c r="AO9792" s="21">
        <v>37.7998318666667</v>
      </c>
      <c r="AP9792" s="21" t="s">
        <v>116</v>
      </c>
    </row>
    <row r="9793" spans="1:42">
      <c r="A9793" s="20">
        <v>43871</v>
      </c>
      <c r="B9793" s="21">
        <v>1</v>
      </c>
      <c r="C9793" s="21">
        <v>232</v>
      </c>
      <c r="D9793" s="21">
        <v>14476</v>
      </c>
      <c r="E9793" s="7" t="s">
        <v>112</v>
      </c>
      <c r="F9793" s="21" t="s">
        <v>104</v>
      </c>
      <c r="G9793" s="21">
        <v>2</v>
      </c>
      <c r="H9793" s="21">
        <v>78</v>
      </c>
      <c r="I9793" s="21" t="s">
        <v>7221</v>
      </c>
      <c r="J9793" s="21"/>
      <c r="K9793" s="21" t="s">
        <v>156</v>
      </c>
      <c r="L9793" s="21" t="s">
        <v>114</v>
      </c>
      <c r="M9793" s="21" t="s">
        <v>7038</v>
      </c>
      <c r="N9793" s="21" t="s">
        <v>44</v>
      </c>
      <c r="O9793" s="21">
        <v>57</v>
      </c>
      <c r="P9793" s="21"/>
      <c r="Q9793" s="21">
        <f t="shared" si="206"/>
        <v>0</v>
      </c>
      <c r="R9793" s="21">
        <v>1</v>
      </c>
      <c r="S9793" s="21">
        <v>0</v>
      </c>
      <c r="T9793" s="21">
        <v>0</v>
      </c>
      <c r="U9793" s="21">
        <v>0</v>
      </c>
      <c r="V9793" s="21">
        <v>0</v>
      </c>
      <c r="W9793" s="21">
        <v>0</v>
      </c>
      <c r="X9793" s="21">
        <v>0</v>
      </c>
      <c r="Y9793" s="21">
        <v>0</v>
      </c>
      <c r="Z9793" s="21">
        <v>0</v>
      </c>
      <c r="AA9793" s="21">
        <v>0</v>
      </c>
      <c r="AB9793" s="21">
        <v>0</v>
      </c>
      <c r="AC9793" s="21">
        <v>0</v>
      </c>
      <c r="AD9793" s="21">
        <v>0</v>
      </c>
      <c r="AE9793" s="21">
        <v>0</v>
      </c>
      <c r="AF9793" s="21">
        <v>0</v>
      </c>
      <c r="AG9793" s="21"/>
      <c r="AH9793" s="21">
        <f t="shared" si="207"/>
        <v>0</v>
      </c>
      <c r="AI9793" s="21"/>
      <c r="AJ9793" s="21" t="s">
        <v>54</v>
      </c>
      <c r="AK9793" s="21" t="s">
        <v>52</v>
      </c>
      <c r="AL9793" s="21" t="s">
        <v>7222</v>
      </c>
      <c r="AM9793" s="21" t="s">
        <v>7223</v>
      </c>
      <c r="AN9793" s="21">
        <v>-122.416038183333</v>
      </c>
      <c r="AO9793" s="21">
        <v>37.799567066666697</v>
      </c>
      <c r="AP9793" s="21" t="s">
        <v>116</v>
      </c>
    </row>
    <row r="9794" spans="1:42">
      <c r="A9794" s="20">
        <v>43871</v>
      </c>
      <c r="B9794" s="21">
        <v>1</v>
      </c>
      <c r="C9794" s="21">
        <v>232</v>
      </c>
      <c r="D9794" s="21">
        <v>14476</v>
      </c>
      <c r="E9794" s="7" t="s">
        <v>112</v>
      </c>
      <c r="F9794" s="21" t="s">
        <v>104</v>
      </c>
      <c r="G9794" s="21">
        <v>2</v>
      </c>
      <c r="H9794" s="21">
        <v>79</v>
      </c>
      <c r="I9794" s="21" t="s">
        <v>7224</v>
      </c>
      <c r="J9794" s="21"/>
      <c r="K9794" s="21" t="s">
        <v>4904</v>
      </c>
      <c r="L9794" s="21" t="s">
        <v>141</v>
      </c>
      <c r="M9794" s="21" t="s">
        <v>6618</v>
      </c>
      <c r="N9794" s="21" t="s">
        <v>44</v>
      </c>
      <c r="O9794" s="21">
        <v>51</v>
      </c>
      <c r="P9794" s="21"/>
      <c r="Q9794" s="21">
        <f t="shared" si="206"/>
        <v>1</v>
      </c>
      <c r="R9794" s="21">
        <v>1</v>
      </c>
      <c r="S9794" s="21">
        <v>0</v>
      </c>
      <c r="T9794" s="21">
        <v>0</v>
      </c>
      <c r="U9794" s="21">
        <v>0</v>
      </c>
      <c r="V9794" s="21">
        <v>0</v>
      </c>
      <c r="W9794" s="21">
        <v>1</v>
      </c>
      <c r="X9794" s="21">
        <v>0</v>
      </c>
      <c r="Y9794" s="21">
        <v>0</v>
      </c>
      <c r="Z9794" s="21">
        <v>0</v>
      </c>
      <c r="AA9794" s="21">
        <v>0</v>
      </c>
      <c r="AB9794" s="21">
        <v>0</v>
      </c>
      <c r="AC9794" s="21">
        <v>0</v>
      </c>
      <c r="AD9794" s="21">
        <v>0</v>
      </c>
      <c r="AE9794" s="21">
        <v>0</v>
      </c>
      <c r="AF9794" s="21">
        <v>0</v>
      </c>
      <c r="AG9794" s="21"/>
      <c r="AH9794" s="21">
        <f t="shared" si="207"/>
        <v>96</v>
      </c>
      <c r="AI9794" s="21"/>
      <c r="AJ9794" s="21" t="s">
        <v>54</v>
      </c>
      <c r="AK9794" s="21" t="s">
        <v>52</v>
      </c>
      <c r="AL9794" s="21" t="s">
        <v>7225</v>
      </c>
      <c r="AM9794" s="21" t="s">
        <v>7226</v>
      </c>
      <c r="AN9794" s="21">
        <v>-122.415973616667</v>
      </c>
      <c r="AO9794" s="21">
        <v>37.799579533333301</v>
      </c>
      <c r="AP9794" s="21" t="s">
        <v>116</v>
      </c>
    </row>
    <row r="9795" spans="1:42">
      <c r="A9795" s="20">
        <v>43871</v>
      </c>
      <c r="B9795" s="21">
        <v>1</v>
      </c>
      <c r="C9795" s="21">
        <v>232</v>
      </c>
      <c r="D9795" s="21">
        <v>14476</v>
      </c>
      <c r="E9795" s="7" t="s">
        <v>112</v>
      </c>
      <c r="F9795" s="21" t="s">
        <v>104</v>
      </c>
      <c r="G9795" s="21">
        <v>2</v>
      </c>
      <c r="H9795" s="21">
        <v>80</v>
      </c>
      <c r="I9795" s="21" t="s">
        <v>7227</v>
      </c>
      <c r="J9795" s="21"/>
      <c r="K9795" s="21" t="s">
        <v>4904</v>
      </c>
      <c r="L9795" s="21" t="s">
        <v>141</v>
      </c>
      <c r="M9795" s="21" t="s">
        <v>6618</v>
      </c>
      <c r="N9795" s="21" t="s">
        <v>44</v>
      </c>
      <c r="O9795" s="21">
        <v>117</v>
      </c>
      <c r="P9795" s="21"/>
      <c r="Q9795" s="21">
        <f t="shared" si="206"/>
        <v>1</v>
      </c>
      <c r="R9795" s="21">
        <v>1</v>
      </c>
      <c r="S9795" s="21">
        <v>0</v>
      </c>
      <c r="T9795" s="21">
        <v>0</v>
      </c>
      <c r="U9795" s="21">
        <v>0</v>
      </c>
      <c r="V9795" s="21">
        <v>0</v>
      </c>
      <c r="W9795" s="21">
        <v>1</v>
      </c>
      <c r="X9795" s="21">
        <v>0</v>
      </c>
      <c r="Y9795" s="21">
        <v>0</v>
      </c>
      <c r="Z9795" s="21">
        <v>0</v>
      </c>
      <c r="AA9795" s="21">
        <v>0</v>
      </c>
      <c r="AB9795" s="21">
        <v>0</v>
      </c>
      <c r="AC9795" s="21">
        <v>0</v>
      </c>
      <c r="AD9795" s="21">
        <v>0</v>
      </c>
      <c r="AE9795" s="21">
        <v>0</v>
      </c>
      <c r="AF9795" s="21">
        <v>0</v>
      </c>
      <c r="AG9795" s="21"/>
      <c r="AH9795" s="21">
        <f t="shared" si="207"/>
        <v>96</v>
      </c>
      <c r="AI9795" s="21"/>
      <c r="AJ9795" s="21" t="s">
        <v>54</v>
      </c>
      <c r="AK9795" s="21" t="s">
        <v>52</v>
      </c>
      <c r="AL9795" s="21" t="s">
        <v>7228</v>
      </c>
      <c r="AM9795" s="21" t="s">
        <v>7229</v>
      </c>
      <c r="AN9795" s="21">
        <v>-122.41612523333301</v>
      </c>
      <c r="AO9795" s="21">
        <v>37.799543499999999</v>
      </c>
      <c r="AP9795" s="21" t="s">
        <v>116</v>
      </c>
    </row>
    <row r="9796" spans="1:42">
      <c r="A9796" s="20">
        <v>43871</v>
      </c>
      <c r="B9796" s="21">
        <v>1</v>
      </c>
      <c r="C9796" s="21">
        <v>232</v>
      </c>
      <c r="D9796" s="21">
        <v>14476</v>
      </c>
      <c r="E9796" s="7" t="s">
        <v>112</v>
      </c>
      <c r="F9796" s="21" t="s">
        <v>104</v>
      </c>
      <c r="G9796" s="21">
        <v>2</v>
      </c>
      <c r="H9796" s="21">
        <v>81</v>
      </c>
      <c r="I9796" s="21" t="s">
        <v>7230</v>
      </c>
      <c r="J9796" s="21"/>
      <c r="K9796" s="21" t="s">
        <v>156</v>
      </c>
      <c r="L9796" s="21" t="s">
        <v>114</v>
      </c>
      <c r="M9796" s="21" t="s">
        <v>7038</v>
      </c>
      <c r="N9796" s="21" t="s">
        <v>44</v>
      </c>
      <c r="O9796" s="21">
        <v>100</v>
      </c>
      <c r="P9796" s="21"/>
      <c r="Q9796" s="21">
        <f t="shared" si="206"/>
        <v>3</v>
      </c>
      <c r="R9796" s="21">
        <v>1</v>
      </c>
      <c r="S9796" s="21">
        <v>0</v>
      </c>
      <c r="T9796" s="21">
        <v>0</v>
      </c>
      <c r="U9796" s="21">
        <v>0</v>
      </c>
      <c r="V9796" s="21">
        <v>2</v>
      </c>
      <c r="W9796" s="21">
        <v>1</v>
      </c>
      <c r="X9796" s="21">
        <v>0</v>
      </c>
      <c r="Y9796" s="21">
        <v>0</v>
      </c>
      <c r="Z9796" s="21">
        <v>0</v>
      </c>
      <c r="AA9796" s="21">
        <v>0</v>
      </c>
      <c r="AB9796" s="21">
        <v>0</v>
      </c>
      <c r="AC9796" s="21">
        <v>0</v>
      </c>
      <c r="AD9796" s="21">
        <v>0</v>
      </c>
      <c r="AE9796" s="21">
        <v>0</v>
      </c>
      <c r="AF9796" s="21">
        <v>0</v>
      </c>
      <c r="AG9796" s="21"/>
      <c r="AH9796" s="21">
        <f t="shared" si="207"/>
        <v>224</v>
      </c>
      <c r="AI9796" s="21"/>
      <c r="AJ9796" s="21" t="s">
        <v>54</v>
      </c>
      <c r="AK9796" s="21" t="s">
        <v>52</v>
      </c>
      <c r="AL9796" s="21" t="s">
        <v>7231</v>
      </c>
      <c r="AM9796" s="21" t="s">
        <v>7232</v>
      </c>
      <c r="AN9796" s="21">
        <v>-122.41670618333301</v>
      </c>
      <c r="AO9796" s="21">
        <v>37.799549366666596</v>
      </c>
      <c r="AP9796" s="21" t="s">
        <v>116</v>
      </c>
    </row>
    <row r="9797" spans="1:42">
      <c r="A9797" s="20">
        <v>43871</v>
      </c>
      <c r="B9797" s="21">
        <v>1</v>
      </c>
      <c r="C9797" s="21">
        <v>232</v>
      </c>
      <c r="D9797" s="21">
        <v>14476</v>
      </c>
      <c r="E9797" s="7" t="s">
        <v>112</v>
      </c>
      <c r="F9797" s="21" t="s">
        <v>104</v>
      </c>
      <c r="G9797" s="21">
        <v>2</v>
      </c>
      <c r="H9797" s="21">
        <v>82</v>
      </c>
      <c r="I9797" s="21" t="s">
        <v>7233</v>
      </c>
      <c r="J9797" s="21"/>
      <c r="K9797" s="21" t="s">
        <v>156</v>
      </c>
      <c r="L9797" s="21" t="s">
        <v>141</v>
      </c>
      <c r="M9797" s="21" t="s">
        <v>6618</v>
      </c>
      <c r="N9797" s="21" t="s">
        <v>44</v>
      </c>
      <c r="O9797" s="21">
        <v>104</v>
      </c>
      <c r="P9797" s="21"/>
      <c r="Q9797" s="21">
        <f t="shared" si="206"/>
        <v>1</v>
      </c>
      <c r="R9797" s="21">
        <v>1</v>
      </c>
      <c r="S9797" s="21">
        <v>0</v>
      </c>
      <c r="T9797" s="21">
        <v>0</v>
      </c>
      <c r="U9797" s="21">
        <v>0</v>
      </c>
      <c r="V9797" s="21">
        <v>0</v>
      </c>
      <c r="W9797" s="21">
        <v>1</v>
      </c>
      <c r="X9797" s="21">
        <v>0</v>
      </c>
      <c r="Y9797" s="21">
        <v>0</v>
      </c>
      <c r="Z9797" s="21">
        <v>0</v>
      </c>
      <c r="AA9797" s="21">
        <v>0</v>
      </c>
      <c r="AB9797" s="21">
        <v>0</v>
      </c>
      <c r="AC9797" s="21">
        <v>0</v>
      </c>
      <c r="AD9797" s="21">
        <v>0</v>
      </c>
      <c r="AE9797" s="21">
        <v>0</v>
      </c>
      <c r="AF9797" s="21">
        <v>0</v>
      </c>
      <c r="AG9797" s="21"/>
      <c r="AH9797" s="21">
        <f t="shared" si="207"/>
        <v>96</v>
      </c>
      <c r="AI9797" s="21"/>
      <c r="AJ9797" s="21" t="s">
        <v>54</v>
      </c>
      <c r="AK9797" s="21" t="s">
        <v>52</v>
      </c>
      <c r="AL9797" s="21" t="s">
        <v>7234</v>
      </c>
      <c r="AM9797" s="21" t="s">
        <v>7235</v>
      </c>
      <c r="AN9797" s="21">
        <v>-122.416961966667</v>
      </c>
      <c r="AO9797" s="21">
        <v>37.799602783333299</v>
      </c>
      <c r="AP9797" s="21" t="s">
        <v>116</v>
      </c>
    </row>
    <row r="9798" spans="1:42">
      <c r="A9798" s="20">
        <v>43871</v>
      </c>
      <c r="B9798" s="21">
        <v>1</v>
      </c>
      <c r="C9798" s="21">
        <v>232</v>
      </c>
      <c r="D9798" s="21">
        <v>14476</v>
      </c>
      <c r="E9798" s="7" t="s">
        <v>112</v>
      </c>
      <c r="F9798" s="21" t="s">
        <v>104</v>
      </c>
      <c r="G9798" s="21">
        <v>2</v>
      </c>
      <c r="H9798" s="21">
        <v>83</v>
      </c>
      <c r="I9798" s="21" t="s">
        <v>7236</v>
      </c>
      <c r="J9798" s="21"/>
      <c r="K9798" s="21" t="s">
        <v>4904</v>
      </c>
      <c r="L9798" s="21" t="s">
        <v>114</v>
      </c>
      <c r="M9798" s="21" t="s">
        <v>7038</v>
      </c>
      <c r="N9798" s="21" t="s">
        <v>44</v>
      </c>
      <c r="O9798" s="21">
        <v>32</v>
      </c>
      <c r="P9798" s="21"/>
      <c r="Q9798" s="21">
        <f t="shared" si="206"/>
        <v>1</v>
      </c>
      <c r="R9798" s="21">
        <v>1</v>
      </c>
      <c r="S9798" s="21">
        <v>0</v>
      </c>
      <c r="T9798" s="21">
        <v>0</v>
      </c>
      <c r="U9798" s="21">
        <v>0</v>
      </c>
      <c r="V9798" s="21">
        <v>0</v>
      </c>
      <c r="W9798" s="21">
        <v>1</v>
      </c>
      <c r="X9798" s="21">
        <v>0</v>
      </c>
      <c r="Y9798" s="21">
        <v>0</v>
      </c>
      <c r="Z9798" s="21">
        <v>0</v>
      </c>
      <c r="AA9798" s="21">
        <v>0</v>
      </c>
      <c r="AB9798" s="21">
        <v>0</v>
      </c>
      <c r="AC9798" s="21">
        <v>0</v>
      </c>
      <c r="AD9798" s="21">
        <v>0</v>
      </c>
      <c r="AE9798" s="21">
        <v>0</v>
      </c>
      <c r="AF9798" s="21">
        <v>0</v>
      </c>
      <c r="AG9798" s="21"/>
      <c r="AH9798" s="21">
        <f t="shared" si="207"/>
        <v>96</v>
      </c>
      <c r="AI9798" s="21"/>
      <c r="AJ9798" s="21" t="s">
        <v>54</v>
      </c>
      <c r="AK9798" s="21" t="s">
        <v>52</v>
      </c>
      <c r="AL9798" s="21" t="s">
        <v>7237</v>
      </c>
      <c r="AM9798" s="21" t="s">
        <v>7238</v>
      </c>
      <c r="AN9798" s="21">
        <v>-122.417001266667</v>
      </c>
      <c r="AO9798" s="21">
        <v>37.799540483333303</v>
      </c>
      <c r="AP9798" s="21" t="s">
        <v>116</v>
      </c>
    </row>
    <row r="9799" spans="1:42">
      <c r="A9799" s="20">
        <v>43871</v>
      </c>
      <c r="B9799" s="21">
        <v>1</v>
      </c>
      <c r="C9799" s="21">
        <v>232</v>
      </c>
      <c r="D9799" s="21">
        <v>14476</v>
      </c>
      <c r="E9799" s="7" t="s">
        <v>112</v>
      </c>
      <c r="F9799" s="21" t="s">
        <v>104</v>
      </c>
      <c r="G9799" s="21">
        <v>2</v>
      </c>
      <c r="H9799" s="21">
        <v>84</v>
      </c>
      <c r="I9799" s="21" t="s">
        <v>7239</v>
      </c>
      <c r="J9799" s="21"/>
      <c r="K9799" s="21" t="s">
        <v>156</v>
      </c>
      <c r="L9799" s="21" t="s">
        <v>114</v>
      </c>
      <c r="M9799" s="21" t="s">
        <v>7038</v>
      </c>
      <c r="N9799" s="21" t="s">
        <v>44</v>
      </c>
      <c r="O9799" s="21">
        <v>78</v>
      </c>
      <c r="P9799" s="21"/>
      <c r="Q9799" s="21">
        <f t="shared" si="206"/>
        <v>1</v>
      </c>
      <c r="R9799" s="21">
        <v>1</v>
      </c>
      <c r="S9799" s="21">
        <v>0</v>
      </c>
      <c r="T9799" s="21">
        <v>0</v>
      </c>
      <c r="U9799" s="21">
        <v>0</v>
      </c>
      <c r="V9799" s="21">
        <v>0</v>
      </c>
      <c r="W9799" s="21">
        <v>1</v>
      </c>
      <c r="X9799" s="21">
        <v>0</v>
      </c>
      <c r="Y9799" s="21">
        <v>0</v>
      </c>
      <c r="Z9799" s="21">
        <v>0</v>
      </c>
      <c r="AA9799" s="21">
        <v>0</v>
      </c>
      <c r="AB9799" s="21">
        <v>0</v>
      </c>
      <c r="AC9799" s="21">
        <v>0</v>
      </c>
      <c r="AD9799" s="21">
        <v>0</v>
      </c>
      <c r="AE9799" s="21">
        <v>0</v>
      </c>
      <c r="AF9799" s="21">
        <v>0</v>
      </c>
      <c r="AG9799" s="21"/>
      <c r="AH9799" s="21">
        <f t="shared" si="207"/>
        <v>96</v>
      </c>
      <c r="AI9799" s="21"/>
      <c r="AJ9799" s="21" t="s">
        <v>54</v>
      </c>
      <c r="AK9799" s="21" t="s">
        <v>52</v>
      </c>
      <c r="AL9799" s="21" t="s">
        <v>7240</v>
      </c>
      <c r="AM9799" s="21" t="s">
        <v>7241</v>
      </c>
      <c r="AN9799" s="21">
        <v>-122.41700655</v>
      </c>
      <c r="AO9799" s="21">
        <v>37.799528483333297</v>
      </c>
      <c r="AP9799" s="21" t="s">
        <v>116</v>
      </c>
    </row>
    <row r="9800" spans="1:42">
      <c r="A9800" s="20">
        <v>43871</v>
      </c>
      <c r="B9800" s="21">
        <v>1</v>
      </c>
      <c r="C9800" s="21">
        <v>232</v>
      </c>
      <c r="D9800" s="21">
        <v>14476</v>
      </c>
      <c r="E9800" s="7" t="s">
        <v>112</v>
      </c>
      <c r="F9800" s="21" t="s">
        <v>104</v>
      </c>
      <c r="G9800" s="21">
        <v>2</v>
      </c>
      <c r="H9800" s="21">
        <v>85</v>
      </c>
      <c r="I9800" s="21" t="s">
        <v>7242</v>
      </c>
      <c r="J9800" s="21"/>
      <c r="K9800" s="21" t="s">
        <v>156</v>
      </c>
      <c r="L9800" s="21" t="s">
        <v>114</v>
      </c>
      <c r="M9800" s="21" t="s">
        <v>7038</v>
      </c>
      <c r="N9800" s="21" t="s">
        <v>40</v>
      </c>
      <c r="O9800" s="21">
        <v>56</v>
      </c>
      <c r="P9800" s="21"/>
      <c r="Q9800" s="21">
        <f t="shared" si="206"/>
        <v>2</v>
      </c>
      <c r="R9800" s="21">
        <v>1</v>
      </c>
      <c r="S9800" s="21">
        <v>0</v>
      </c>
      <c r="T9800" s="21">
        <v>0</v>
      </c>
      <c r="U9800" s="21">
        <v>1</v>
      </c>
      <c r="V9800" s="21">
        <v>1</v>
      </c>
      <c r="W9800" s="21">
        <v>0</v>
      </c>
      <c r="X9800" s="21">
        <v>0</v>
      </c>
      <c r="Y9800" s="21">
        <v>0</v>
      </c>
      <c r="Z9800" s="21">
        <v>0</v>
      </c>
      <c r="AA9800" s="21">
        <v>0</v>
      </c>
      <c r="AB9800" s="21">
        <v>0</v>
      </c>
      <c r="AC9800" s="21">
        <v>0</v>
      </c>
      <c r="AD9800" s="21">
        <v>0</v>
      </c>
      <c r="AE9800" s="21">
        <v>0</v>
      </c>
      <c r="AF9800" s="21">
        <v>0</v>
      </c>
      <c r="AG9800" s="21"/>
      <c r="AH9800" s="21">
        <f t="shared" si="207"/>
        <v>96</v>
      </c>
      <c r="AI9800" s="21"/>
      <c r="AJ9800" s="21" t="s">
        <v>54</v>
      </c>
      <c r="AK9800" s="21" t="s">
        <v>52</v>
      </c>
      <c r="AL9800" s="21" t="s">
        <v>7243</v>
      </c>
      <c r="AM9800" s="21" t="s">
        <v>7244</v>
      </c>
      <c r="AN9800" s="21">
        <v>-122.417447133333</v>
      </c>
      <c r="AO9800" s="21">
        <v>37.799647466666698</v>
      </c>
      <c r="AP9800" s="21" t="s">
        <v>116</v>
      </c>
    </row>
    <row r="9801" spans="1:42">
      <c r="A9801" s="20">
        <v>43871</v>
      </c>
      <c r="B9801" s="21">
        <v>1</v>
      </c>
      <c r="C9801" s="21">
        <v>232</v>
      </c>
      <c r="D9801" s="21">
        <v>14476</v>
      </c>
      <c r="E9801" s="7" t="s">
        <v>112</v>
      </c>
      <c r="F9801" s="21" t="s">
        <v>104</v>
      </c>
      <c r="G9801" s="21">
        <v>2</v>
      </c>
      <c r="H9801" s="21">
        <v>86</v>
      </c>
      <c r="I9801" s="21" t="s">
        <v>7245</v>
      </c>
      <c r="J9801" s="21"/>
      <c r="K9801" s="21" t="s">
        <v>1446</v>
      </c>
      <c r="L9801" s="21" t="s">
        <v>114</v>
      </c>
      <c r="M9801" s="21" t="s">
        <v>7038</v>
      </c>
      <c r="N9801" s="21" t="s">
        <v>44</v>
      </c>
      <c r="O9801" s="21">
        <v>74</v>
      </c>
      <c r="P9801" s="21"/>
      <c r="Q9801" s="21">
        <f t="shared" si="206"/>
        <v>1</v>
      </c>
      <c r="R9801" s="21">
        <v>1</v>
      </c>
      <c r="S9801" s="21">
        <v>0</v>
      </c>
      <c r="T9801" s="21">
        <v>0</v>
      </c>
      <c r="U9801" s="21">
        <v>0</v>
      </c>
      <c r="V9801" s="21">
        <v>0</v>
      </c>
      <c r="W9801" s="21">
        <v>1</v>
      </c>
      <c r="X9801" s="21">
        <v>0</v>
      </c>
      <c r="Y9801" s="21">
        <v>0</v>
      </c>
      <c r="Z9801" s="21">
        <v>0</v>
      </c>
      <c r="AA9801" s="21">
        <v>0</v>
      </c>
      <c r="AB9801" s="21">
        <v>0</v>
      </c>
      <c r="AC9801" s="21">
        <v>0</v>
      </c>
      <c r="AD9801" s="21">
        <v>0</v>
      </c>
      <c r="AE9801" s="21">
        <v>0</v>
      </c>
      <c r="AF9801" s="21">
        <v>0</v>
      </c>
      <c r="AG9801" s="21"/>
      <c r="AH9801" s="21">
        <f t="shared" si="207"/>
        <v>96</v>
      </c>
      <c r="AI9801" s="21"/>
      <c r="AJ9801" s="21" t="s">
        <v>54</v>
      </c>
      <c r="AK9801" s="21" t="s">
        <v>52</v>
      </c>
      <c r="AL9801" s="21" t="s">
        <v>7246</v>
      </c>
      <c r="AM9801" s="21" t="s">
        <v>7247</v>
      </c>
      <c r="AN9801" s="21">
        <v>-122.41752991666699</v>
      </c>
      <c r="AO9801" s="21">
        <v>37.799683983333303</v>
      </c>
      <c r="AP9801" s="21" t="s">
        <v>116</v>
      </c>
    </row>
    <row r="9802" spans="1:42">
      <c r="A9802" s="20">
        <v>43871</v>
      </c>
      <c r="B9802" s="21">
        <v>1</v>
      </c>
      <c r="C9802" s="21">
        <v>232</v>
      </c>
      <c r="D9802" s="21">
        <v>14476</v>
      </c>
      <c r="E9802" s="7" t="s">
        <v>112</v>
      </c>
      <c r="F9802" s="21" t="s">
        <v>104</v>
      </c>
      <c r="G9802" s="21">
        <v>2</v>
      </c>
      <c r="H9802" s="21">
        <v>87</v>
      </c>
      <c r="I9802" s="21" t="s">
        <v>7248</v>
      </c>
      <c r="J9802" s="21"/>
      <c r="K9802" s="21" t="s">
        <v>91</v>
      </c>
      <c r="L9802" s="21" t="s">
        <v>141</v>
      </c>
      <c r="M9802" s="21" t="s">
        <v>7038</v>
      </c>
      <c r="N9802" s="21" t="s">
        <v>44</v>
      </c>
      <c r="O9802" s="21">
        <v>88</v>
      </c>
      <c r="P9802" s="21"/>
      <c r="Q9802" s="21">
        <f t="shared" si="206"/>
        <v>2</v>
      </c>
      <c r="R9802" s="21">
        <v>1</v>
      </c>
      <c r="S9802" s="21">
        <v>0</v>
      </c>
      <c r="T9802" s="21">
        <v>0</v>
      </c>
      <c r="U9802" s="21">
        <v>1</v>
      </c>
      <c r="V9802" s="21">
        <v>0</v>
      </c>
      <c r="W9802" s="21">
        <v>1</v>
      </c>
      <c r="X9802" s="21">
        <v>0</v>
      </c>
      <c r="Y9802" s="21">
        <v>0</v>
      </c>
      <c r="Z9802" s="21">
        <v>0</v>
      </c>
      <c r="AA9802" s="21">
        <v>0</v>
      </c>
      <c r="AB9802" s="21">
        <v>0</v>
      </c>
      <c r="AC9802" s="21">
        <v>0</v>
      </c>
      <c r="AD9802" s="21">
        <v>0</v>
      </c>
      <c r="AE9802" s="21">
        <v>0</v>
      </c>
      <c r="AF9802" s="21">
        <v>0</v>
      </c>
      <c r="AG9802" s="21"/>
      <c r="AH9802" s="21">
        <f t="shared" si="207"/>
        <v>128</v>
      </c>
      <c r="AI9802" s="21"/>
      <c r="AJ9802" s="21" t="s">
        <v>54</v>
      </c>
      <c r="AK9802" s="21" t="s">
        <v>52</v>
      </c>
      <c r="AL9802" s="21" t="s">
        <v>7166</v>
      </c>
      <c r="AM9802" s="21" t="s">
        <v>7249</v>
      </c>
      <c r="AN9802" s="21">
        <v>-122.417622266667</v>
      </c>
      <c r="AO9802" s="21">
        <v>37.799998983333303</v>
      </c>
      <c r="AP9802" s="21" t="s">
        <v>116</v>
      </c>
    </row>
    <row r="9803" spans="1:42">
      <c r="A9803" s="20">
        <v>43871</v>
      </c>
      <c r="B9803" s="21">
        <v>1</v>
      </c>
      <c r="C9803" s="21">
        <v>232</v>
      </c>
      <c r="D9803" s="21">
        <v>14476</v>
      </c>
      <c r="E9803" s="7" t="s">
        <v>112</v>
      </c>
      <c r="F9803" s="21" t="s">
        <v>104</v>
      </c>
      <c r="G9803" s="21">
        <v>2</v>
      </c>
      <c r="H9803" s="21">
        <v>88</v>
      </c>
      <c r="I9803" s="21" t="s">
        <v>7250</v>
      </c>
      <c r="J9803" s="21"/>
      <c r="K9803" s="21" t="s">
        <v>1446</v>
      </c>
      <c r="L9803" s="21" t="s">
        <v>114</v>
      </c>
      <c r="M9803" s="21" t="s">
        <v>7038</v>
      </c>
      <c r="N9803" s="21" t="s">
        <v>44</v>
      </c>
      <c r="O9803" s="21">
        <v>94</v>
      </c>
      <c r="P9803" s="21"/>
      <c r="Q9803" s="21">
        <f t="shared" si="206"/>
        <v>1</v>
      </c>
      <c r="R9803" s="21">
        <v>1</v>
      </c>
      <c r="S9803" s="21">
        <v>0</v>
      </c>
      <c r="T9803" s="21">
        <v>0</v>
      </c>
      <c r="U9803" s="21">
        <v>0</v>
      </c>
      <c r="V9803" s="21">
        <v>0</v>
      </c>
      <c r="W9803" s="21">
        <v>1</v>
      </c>
      <c r="X9803" s="21">
        <v>0</v>
      </c>
      <c r="Y9803" s="21">
        <v>0</v>
      </c>
      <c r="Z9803" s="21">
        <v>0</v>
      </c>
      <c r="AA9803" s="21">
        <v>0</v>
      </c>
      <c r="AB9803" s="21">
        <v>0</v>
      </c>
      <c r="AC9803" s="21">
        <v>0</v>
      </c>
      <c r="AD9803" s="21">
        <v>0</v>
      </c>
      <c r="AE9803" s="21">
        <v>0</v>
      </c>
      <c r="AF9803" s="21">
        <v>0</v>
      </c>
      <c r="AG9803" s="21"/>
      <c r="AH9803" s="21">
        <f t="shared" si="207"/>
        <v>96</v>
      </c>
      <c r="AI9803" s="21"/>
      <c r="AJ9803" s="21" t="s">
        <v>54</v>
      </c>
      <c r="AK9803" s="21" t="s">
        <v>52</v>
      </c>
      <c r="AL9803" s="21" t="s">
        <v>7251</v>
      </c>
      <c r="AM9803" s="21" t="s">
        <v>7252</v>
      </c>
      <c r="AN9803" s="21">
        <v>-122.4174991</v>
      </c>
      <c r="AO9803" s="21">
        <v>37.800032666666603</v>
      </c>
      <c r="AP9803" s="21" t="s">
        <v>116</v>
      </c>
    </row>
    <row r="9804" spans="1:42">
      <c r="A9804" s="20">
        <v>43871</v>
      </c>
      <c r="B9804" s="21">
        <v>1</v>
      </c>
      <c r="C9804" s="21">
        <v>232</v>
      </c>
      <c r="D9804" s="21">
        <v>14476</v>
      </c>
      <c r="E9804" s="7" t="s">
        <v>112</v>
      </c>
      <c r="F9804" s="21" t="s">
        <v>104</v>
      </c>
      <c r="G9804" s="21">
        <v>2</v>
      </c>
      <c r="H9804" s="21">
        <v>89</v>
      </c>
      <c r="I9804" s="21" t="s">
        <v>7253</v>
      </c>
      <c r="J9804" s="21"/>
      <c r="K9804" s="21" t="s">
        <v>1446</v>
      </c>
      <c r="L9804" s="21" t="s">
        <v>114</v>
      </c>
      <c r="M9804" s="21" t="s">
        <v>7038</v>
      </c>
      <c r="N9804" s="21" t="s">
        <v>44</v>
      </c>
      <c r="O9804" s="21">
        <v>109</v>
      </c>
      <c r="P9804" s="21"/>
      <c r="Q9804" s="21">
        <f t="shared" si="206"/>
        <v>1</v>
      </c>
      <c r="R9804" s="21">
        <v>1</v>
      </c>
      <c r="S9804" s="21">
        <v>0</v>
      </c>
      <c r="T9804" s="21">
        <v>0</v>
      </c>
      <c r="U9804" s="21">
        <v>0</v>
      </c>
      <c r="V9804" s="21">
        <v>0</v>
      </c>
      <c r="W9804" s="21">
        <v>1</v>
      </c>
      <c r="X9804" s="21">
        <v>0</v>
      </c>
      <c r="Y9804" s="21">
        <v>0</v>
      </c>
      <c r="Z9804" s="21">
        <v>0</v>
      </c>
      <c r="AA9804" s="21">
        <v>0</v>
      </c>
      <c r="AB9804" s="21">
        <v>0</v>
      </c>
      <c r="AC9804" s="21">
        <v>0</v>
      </c>
      <c r="AD9804" s="21">
        <v>0</v>
      </c>
      <c r="AE9804" s="21">
        <v>0</v>
      </c>
      <c r="AF9804" s="21">
        <v>0</v>
      </c>
      <c r="AG9804" s="21"/>
      <c r="AH9804" s="21">
        <f t="shared" si="207"/>
        <v>96</v>
      </c>
      <c r="AI9804" s="21"/>
      <c r="AJ9804" s="21" t="s">
        <v>54</v>
      </c>
      <c r="AK9804" s="21" t="s">
        <v>52</v>
      </c>
      <c r="AL9804" s="21" t="s">
        <v>7254</v>
      </c>
      <c r="AM9804" s="21" t="s">
        <v>7255</v>
      </c>
      <c r="AN9804" s="21">
        <v>-122.417282216667</v>
      </c>
      <c r="AO9804" s="21">
        <v>37.800421633333301</v>
      </c>
      <c r="AP9804" s="21" t="s">
        <v>116</v>
      </c>
    </row>
    <row r="9805" spans="1:42">
      <c r="A9805" s="20">
        <v>43871</v>
      </c>
      <c r="B9805" s="21">
        <v>1</v>
      </c>
      <c r="C9805" s="21">
        <v>232</v>
      </c>
      <c r="D9805" s="21">
        <v>14476</v>
      </c>
      <c r="E9805" s="7" t="s">
        <v>112</v>
      </c>
      <c r="F9805" s="21" t="s">
        <v>104</v>
      </c>
      <c r="G9805" s="21">
        <v>2</v>
      </c>
      <c r="H9805" s="21">
        <v>90</v>
      </c>
      <c r="I9805" s="21" t="s">
        <v>7256</v>
      </c>
      <c r="J9805" s="21"/>
      <c r="K9805" s="21" t="s">
        <v>148</v>
      </c>
      <c r="L9805" s="21" t="s">
        <v>114</v>
      </c>
      <c r="M9805" s="21" t="s">
        <v>6618</v>
      </c>
      <c r="N9805" s="21" t="s">
        <v>44</v>
      </c>
      <c r="O9805" s="21">
        <v>74</v>
      </c>
      <c r="P9805" s="21"/>
      <c r="Q9805" s="21">
        <f t="shared" si="206"/>
        <v>1</v>
      </c>
      <c r="R9805" s="21">
        <v>1</v>
      </c>
      <c r="S9805" s="21">
        <v>0</v>
      </c>
      <c r="T9805" s="21">
        <v>0</v>
      </c>
      <c r="U9805" s="21">
        <v>0</v>
      </c>
      <c r="V9805" s="21">
        <v>0</v>
      </c>
      <c r="W9805" s="21">
        <v>1</v>
      </c>
      <c r="X9805" s="21">
        <v>0</v>
      </c>
      <c r="Y9805" s="21">
        <v>0</v>
      </c>
      <c r="Z9805" s="21">
        <v>0</v>
      </c>
      <c r="AA9805" s="21">
        <v>0</v>
      </c>
      <c r="AB9805" s="21">
        <v>0</v>
      </c>
      <c r="AC9805" s="21">
        <v>0</v>
      </c>
      <c r="AD9805" s="21">
        <v>0</v>
      </c>
      <c r="AE9805" s="21">
        <v>0</v>
      </c>
      <c r="AF9805" s="21">
        <v>0</v>
      </c>
      <c r="AG9805" s="21"/>
      <c r="AH9805" s="21">
        <f t="shared" si="207"/>
        <v>96</v>
      </c>
      <c r="AI9805" s="21"/>
      <c r="AJ9805" s="21" t="s">
        <v>54</v>
      </c>
      <c r="AK9805" s="21" t="s">
        <v>52</v>
      </c>
      <c r="AL9805" s="21" t="s">
        <v>7257</v>
      </c>
      <c r="AM9805" s="21" t="s">
        <v>7258</v>
      </c>
      <c r="AN9805" s="21">
        <v>-122.416726083333</v>
      </c>
      <c r="AO9805" s="21">
        <v>37.800521416666697</v>
      </c>
      <c r="AP9805" s="21" t="s">
        <v>116</v>
      </c>
    </row>
    <row r="9806" spans="1:42">
      <c r="A9806" s="20">
        <v>43871</v>
      </c>
      <c r="B9806" s="21">
        <v>1</v>
      </c>
      <c r="C9806" s="21">
        <v>232</v>
      </c>
      <c r="D9806" s="21">
        <v>14476</v>
      </c>
      <c r="E9806" s="7" t="s">
        <v>112</v>
      </c>
      <c r="F9806" s="21" t="s">
        <v>104</v>
      </c>
      <c r="G9806" s="21">
        <v>2</v>
      </c>
      <c r="H9806" s="21">
        <v>91</v>
      </c>
      <c r="I9806" s="21" t="s">
        <v>7221</v>
      </c>
      <c r="J9806" s="21"/>
      <c r="K9806" s="21" t="s">
        <v>7259</v>
      </c>
      <c r="L9806" s="21" t="s">
        <v>114</v>
      </c>
      <c r="M9806" s="21" t="s">
        <v>6618</v>
      </c>
      <c r="N9806" s="21" t="s">
        <v>44</v>
      </c>
      <c r="O9806" s="21">
        <v>82</v>
      </c>
      <c r="P9806" s="21"/>
      <c r="Q9806" s="21">
        <f t="shared" si="206"/>
        <v>1</v>
      </c>
      <c r="R9806" s="21">
        <v>1</v>
      </c>
      <c r="S9806" s="21">
        <v>0</v>
      </c>
      <c r="T9806" s="21">
        <v>0</v>
      </c>
      <c r="U9806" s="21">
        <v>0</v>
      </c>
      <c r="V9806" s="21">
        <v>0</v>
      </c>
      <c r="W9806" s="21">
        <v>1</v>
      </c>
      <c r="X9806" s="21">
        <v>0</v>
      </c>
      <c r="Y9806" s="21">
        <v>0</v>
      </c>
      <c r="Z9806" s="21">
        <v>0</v>
      </c>
      <c r="AA9806" s="21">
        <v>0</v>
      </c>
      <c r="AB9806" s="21">
        <v>0</v>
      </c>
      <c r="AC9806" s="21">
        <v>0</v>
      </c>
      <c r="AD9806" s="21">
        <v>0</v>
      </c>
      <c r="AE9806" s="21">
        <v>0</v>
      </c>
      <c r="AF9806" s="21">
        <v>0</v>
      </c>
      <c r="AG9806" s="21"/>
      <c r="AH9806" s="21">
        <f t="shared" si="207"/>
        <v>96</v>
      </c>
      <c r="AI9806" s="21"/>
      <c r="AJ9806" s="21" t="s">
        <v>54</v>
      </c>
      <c r="AK9806" s="21" t="s">
        <v>52</v>
      </c>
      <c r="AL9806" s="21" t="s">
        <v>7260</v>
      </c>
      <c r="AM9806" s="21" t="s">
        <v>7261</v>
      </c>
      <c r="AN9806" s="21">
        <v>-122.416510533333</v>
      </c>
      <c r="AO9806" s="21">
        <v>37.800460266666697</v>
      </c>
      <c r="AP9806" s="21" t="s">
        <v>116</v>
      </c>
    </row>
    <row r="9807" spans="1:42">
      <c r="A9807" s="20">
        <v>43871</v>
      </c>
      <c r="B9807" s="21">
        <v>1</v>
      </c>
      <c r="C9807" s="21">
        <v>232</v>
      </c>
      <c r="D9807" s="21">
        <v>14476</v>
      </c>
      <c r="E9807" s="7" t="s">
        <v>112</v>
      </c>
      <c r="F9807" s="21" t="s">
        <v>104</v>
      </c>
      <c r="G9807" s="21">
        <v>2</v>
      </c>
      <c r="H9807" s="21">
        <v>92</v>
      </c>
      <c r="I9807" s="21" t="s">
        <v>7262</v>
      </c>
      <c r="J9807" s="21"/>
      <c r="K9807" s="21" t="s">
        <v>148</v>
      </c>
      <c r="L9807" s="21" t="s">
        <v>141</v>
      </c>
      <c r="M9807" s="21" t="s">
        <v>7038</v>
      </c>
      <c r="N9807" s="21" t="s">
        <v>44</v>
      </c>
      <c r="O9807" s="21">
        <v>69</v>
      </c>
      <c r="P9807" s="21"/>
      <c r="Q9807" s="21">
        <f t="shared" si="206"/>
        <v>1</v>
      </c>
      <c r="R9807" s="21">
        <v>1</v>
      </c>
      <c r="S9807" s="21">
        <v>0</v>
      </c>
      <c r="T9807" s="21">
        <v>0</v>
      </c>
      <c r="U9807" s="21">
        <v>0</v>
      </c>
      <c r="V9807" s="21">
        <v>0</v>
      </c>
      <c r="W9807" s="21">
        <v>1</v>
      </c>
      <c r="X9807" s="21">
        <v>0</v>
      </c>
      <c r="Y9807" s="21">
        <v>0</v>
      </c>
      <c r="Z9807" s="21">
        <v>0</v>
      </c>
      <c r="AA9807" s="21">
        <v>0</v>
      </c>
      <c r="AB9807" s="21">
        <v>0</v>
      </c>
      <c r="AC9807" s="21">
        <v>0</v>
      </c>
      <c r="AD9807" s="21">
        <v>0</v>
      </c>
      <c r="AE9807" s="21">
        <v>0</v>
      </c>
      <c r="AF9807" s="21">
        <v>0</v>
      </c>
      <c r="AG9807" s="21"/>
      <c r="AH9807" s="21">
        <f t="shared" si="207"/>
        <v>96</v>
      </c>
      <c r="AI9807" s="21"/>
      <c r="AJ9807" s="21" t="s">
        <v>51</v>
      </c>
      <c r="AK9807" s="21" t="s">
        <v>52</v>
      </c>
      <c r="AL9807" s="21" t="s">
        <v>7263</v>
      </c>
      <c r="AM9807" s="21" t="s">
        <v>7264</v>
      </c>
      <c r="AN9807" s="21">
        <v>-122.415507316667</v>
      </c>
      <c r="AO9807" s="21">
        <v>37.8006590166667</v>
      </c>
      <c r="AP9807" s="21" t="s">
        <v>116</v>
      </c>
    </row>
    <row r="9808" spans="1:42">
      <c r="A9808" s="20">
        <v>43871</v>
      </c>
      <c r="B9808" s="21">
        <v>1</v>
      </c>
      <c r="C9808" s="21">
        <v>232</v>
      </c>
      <c r="D9808" s="21">
        <v>14476</v>
      </c>
      <c r="E9808" s="7" t="s">
        <v>112</v>
      </c>
      <c r="F9808" s="21" t="s">
        <v>104</v>
      </c>
      <c r="G9808" s="21">
        <v>2</v>
      </c>
      <c r="H9808" s="21">
        <v>93</v>
      </c>
      <c r="I9808" s="21" t="s">
        <v>5644</v>
      </c>
      <c r="J9808" s="21"/>
      <c r="K9808" s="21" t="s">
        <v>101</v>
      </c>
      <c r="L9808" s="21" t="s">
        <v>114</v>
      </c>
      <c r="M9808" s="21" t="s">
        <v>7038</v>
      </c>
      <c r="N9808" s="21" t="s">
        <v>44</v>
      </c>
      <c r="O9808" s="21">
        <v>89</v>
      </c>
      <c r="P9808" s="21"/>
      <c r="Q9808" s="21">
        <f t="shared" si="206"/>
        <v>1</v>
      </c>
      <c r="R9808" s="21">
        <v>1</v>
      </c>
      <c r="S9808" s="21">
        <v>0</v>
      </c>
      <c r="T9808" s="21">
        <v>0</v>
      </c>
      <c r="U9808" s="21">
        <v>0</v>
      </c>
      <c r="V9808" s="21">
        <v>0</v>
      </c>
      <c r="W9808" s="21">
        <v>1</v>
      </c>
      <c r="X9808" s="21">
        <v>0</v>
      </c>
      <c r="Y9808" s="21">
        <v>0</v>
      </c>
      <c r="Z9808" s="21">
        <v>0</v>
      </c>
      <c r="AA9808" s="21">
        <v>0</v>
      </c>
      <c r="AB9808" s="21">
        <v>0</v>
      </c>
      <c r="AC9808" s="21">
        <v>0</v>
      </c>
      <c r="AD9808" s="21">
        <v>0</v>
      </c>
      <c r="AE9808" s="21">
        <v>0</v>
      </c>
      <c r="AF9808" s="21">
        <v>0</v>
      </c>
      <c r="AG9808" s="21"/>
      <c r="AH9808" s="21">
        <f t="shared" si="207"/>
        <v>96</v>
      </c>
      <c r="AI9808" s="21"/>
      <c r="AJ9808" s="21" t="s">
        <v>54</v>
      </c>
      <c r="AK9808" s="21" t="s">
        <v>52</v>
      </c>
      <c r="AL9808" s="21" t="s">
        <v>7265</v>
      </c>
      <c r="AM9808" s="21" t="s">
        <v>7266</v>
      </c>
      <c r="AN9808" s="21">
        <v>-122.41444603333299</v>
      </c>
      <c r="AO9808" s="21">
        <v>37.800946316666703</v>
      </c>
      <c r="AP9808" s="21" t="s">
        <v>116</v>
      </c>
    </row>
    <row r="9809" spans="1:42">
      <c r="A9809" s="20">
        <v>43871</v>
      </c>
      <c r="B9809" s="21">
        <v>1</v>
      </c>
      <c r="C9809" s="21">
        <v>232</v>
      </c>
      <c r="D9809" s="21">
        <v>14476</v>
      </c>
      <c r="E9809" s="7" t="s">
        <v>112</v>
      </c>
      <c r="F9809" s="21" t="s">
        <v>104</v>
      </c>
      <c r="G9809" s="21">
        <v>2</v>
      </c>
      <c r="H9809" s="21">
        <v>94</v>
      </c>
      <c r="I9809" s="21" t="s">
        <v>3954</v>
      </c>
      <c r="J9809" s="21"/>
      <c r="K9809" s="21" t="s">
        <v>101</v>
      </c>
      <c r="L9809" s="21" t="s">
        <v>114</v>
      </c>
      <c r="M9809" s="21" t="s">
        <v>7038</v>
      </c>
      <c r="N9809" s="21" t="s">
        <v>44</v>
      </c>
      <c r="O9809" s="21">
        <v>119</v>
      </c>
      <c r="P9809" s="21"/>
      <c r="Q9809" s="21">
        <f t="shared" si="206"/>
        <v>1</v>
      </c>
      <c r="R9809" s="21">
        <v>1</v>
      </c>
      <c r="S9809" s="21">
        <v>0</v>
      </c>
      <c r="T9809" s="21">
        <v>0</v>
      </c>
      <c r="U9809" s="21">
        <v>0</v>
      </c>
      <c r="V9809" s="21">
        <v>0</v>
      </c>
      <c r="W9809" s="21">
        <v>1</v>
      </c>
      <c r="X9809" s="21">
        <v>0</v>
      </c>
      <c r="Y9809" s="21">
        <v>0</v>
      </c>
      <c r="Z9809" s="21">
        <v>0</v>
      </c>
      <c r="AA9809" s="21">
        <v>0</v>
      </c>
      <c r="AB9809" s="21">
        <v>0</v>
      </c>
      <c r="AC9809" s="21">
        <v>0</v>
      </c>
      <c r="AD9809" s="21">
        <v>0</v>
      </c>
      <c r="AE9809" s="21">
        <v>0</v>
      </c>
      <c r="AF9809" s="21">
        <v>0</v>
      </c>
      <c r="AG9809" s="21"/>
      <c r="AH9809" s="21">
        <f t="shared" si="207"/>
        <v>96</v>
      </c>
      <c r="AI9809" s="21"/>
      <c r="AJ9809" s="21" t="s">
        <v>54</v>
      </c>
      <c r="AK9809" s="21" t="s">
        <v>52</v>
      </c>
      <c r="AL9809" s="21" t="s">
        <v>7267</v>
      </c>
      <c r="AM9809" s="21" t="s">
        <v>7268</v>
      </c>
      <c r="AN9809" s="21">
        <v>-122.414381933333</v>
      </c>
      <c r="AO9809" s="21">
        <v>37.801321383333303</v>
      </c>
      <c r="AP9809" s="21" t="s">
        <v>116</v>
      </c>
    </row>
    <row r="9810" spans="1:42">
      <c r="A9810" s="20">
        <v>43871</v>
      </c>
      <c r="B9810" s="21">
        <v>1</v>
      </c>
      <c r="C9810" s="21">
        <v>232</v>
      </c>
      <c r="D9810" s="21">
        <v>14476</v>
      </c>
      <c r="E9810" s="7" t="s">
        <v>112</v>
      </c>
      <c r="F9810" s="21" t="s">
        <v>104</v>
      </c>
      <c r="G9810" s="21">
        <v>2</v>
      </c>
      <c r="H9810" s="21">
        <v>95</v>
      </c>
      <c r="I9810" s="21" t="s">
        <v>7269</v>
      </c>
      <c r="J9810" s="21"/>
      <c r="K9810" s="21" t="s">
        <v>7270</v>
      </c>
      <c r="L9810" s="21" t="s">
        <v>141</v>
      </c>
      <c r="M9810" s="21" t="s">
        <v>7038</v>
      </c>
      <c r="N9810" s="21" t="s">
        <v>44</v>
      </c>
      <c r="O9810" s="21">
        <v>98</v>
      </c>
      <c r="P9810" s="21"/>
      <c r="Q9810" s="21">
        <f t="shared" si="206"/>
        <v>2</v>
      </c>
      <c r="R9810" s="21">
        <v>1</v>
      </c>
      <c r="S9810" s="21">
        <v>0</v>
      </c>
      <c r="T9810" s="21">
        <v>0</v>
      </c>
      <c r="U9810" s="21">
        <v>0</v>
      </c>
      <c r="V9810" s="21">
        <v>0</v>
      </c>
      <c r="W9810" s="21">
        <v>2</v>
      </c>
      <c r="X9810" s="21">
        <v>0</v>
      </c>
      <c r="Y9810" s="21">
        <v>0</v>
      </c>
      <c r="Z9810" s="21">
        <v>0</v>
      </c>
      <c r="AA9810" s="21">
        <v>0</v>
      </c>
      <c r="AB9810" s="21">
        <v>0</v>
      </c>
      <c r="AC9810" s="21">
        <v>0</v>
      </c>
      <c r="AD9810" s="21">
        <v>0</v>
      </c>
      <c r="AE9810" s="21">
        <v>0</v>
      </c>
      <c r="AF9810" s="21">
        <v>0</v>
      </c>
      <c r="AG9810" s="21"/>
      <c r="AH9810" s="21">
        <f t="shared" si="207"/>
        <v>192</v>
      </c>
      <c r="AI9810" s="21"/>
      <c r="AJ9810" s="21" t="s">
        <v>54</v>
      </c>
      <c r="AK9810" s="21" t="s">
        <v>52</v>
      </c>
      <c r="AL9810" s="21" t="s">
        <v>7271</v>
      </c>
      <c r="AM9810" s="21" t="s">
        <v>7272</v>
      </c>
      <c r="AN9810" s="21">
        <v>-122.41450930000001</v>
      </c>
      <c r="AO9810" s="21">
        <v>37.801422383333303</v>
      </c>
      <c r="AP9810" s="21" t="s">
        <v>116</v>
      </c>
    </row>
    <row r="9811" spans="1:42">
      <c r="A9811" s="20">
        <v>43871</v>
      </c>
      <c r="B9811" s="21">
        <v>1</v>
      </c>
      <c r="C9811" s="21">
        <v>232</v>
      </c>
      <c r="D9811" s="21">
        <v>14476</v>
      </c>
      <c r="E9811" s="7" t="s">
        <v>112</v>
      </c>
      <c r="F9811" s="21" t="s">
        <v>104</v>
      </c>
      <c r="G9811" s="21">
        <v>2</v>
      </c>
      <c r="H9811" s="21">
        <v>96</v>
      </c>
      <c r="I9811" s="21" t="s">
        <v>7273</v>
      </c>
      <c r="J9811" s="21"/>
      <c r="K9811" s="21" t="s">
        <v>101</v>
      </c>
      <c r="L9811" s="21" t="s">
        <v>141</v>
      </c>
      <c r="M9811" s="21" t="s">
        <v>7038</v>
      </c>
      <c r="N9811" s="21" t="s">
        <v>44</v>
      </c>
      <c r="O9811" s="21">
        <v>68</v>
      </c>
      <c r="P9811" s="21"/>
      <c r="Q9811" s="21">
        <f t="shared" si="206"/>
        <v>1</v>
      </c>
      <c r="R9811" s="21">
        <v>1</v>
      </c>
      <c r="S9811" s="21">
        <v>0</v>
      </c>
      <c r="T9811" s="21">
        <v>0</v>
      </c>
      <c r="U9811" s="21">
        <v>0</v>
      </c>
      <c r="V9811" s="21">
        <v>0</v>
      </c>
      <c r="W9811" s="21">
        <v>1</v>
      </c>
      <c r="X9811" s="21">
        <v>0</v>
      </c>
      <c r="Y9811" s="21">
        <v>0</v>
      </c>
      <c r="Z9811" s="21">
        <v>0</v>
      </c>
      <c r="AA9811" s="21">
        <v>0</v>
      </c>
      <c r="AB9811" s="21">
        <v>0</v>
      </c>
      <c r="AC9811" s="21">
        <v>0</v>
      </c>
      <c r="AD9811" s="21">
        <v>0</v>
      </c>
      <c r="AE9811" s="21">
        <v>0</v>
      </c>
      <c r="AF9811" s="21">
        <v>0</v>
      </c>
      <c r="AG9811" s="21"/>
      <c r="AH9811" s="21">
        <f t="shared" si="207"/>
        <v>96</v>
      </c>
      <c r="AI9811" s="21"/>
      <c r="AJ9811" s="21" t="s">
        <v>54</v>
      </c>
      <c r="AK9811" s="21" t="s">
        <v>52</v>
      </c>
      <c r="AL9811" s="21" t="s">
        <v>7274</v>
      </c>
      <c r="AM9811" s="21" t="s">
        <v>7275</v>
      </c>
      <c r="AN9811" s="21">
        <v>-122.41457131666699</v>
      </c>
      <c r="AO9811" s="21">
        <v>37.8014400666667</v>
      </c>
      <c r="AP9811" s="21" t="s">
        <v>116</v>
      </c>
    </row>
    <row r="9812" spans="1:42">
      <c r="A9812" s="20">
        <v>43871</v>
      </c>
      <c r="B9812" s="21">
        <v>1</v>
      </c>
      <c r="C9812" s="21">
        <v>232</v>
      </c>
      <c r="D9812" s="21">
        <v>14476</v>
      </c>
      <c r="E9812" s="7" t="s">
        <v>112</v>
      </c>
      <c r="F9812" s="21" t="s">
        <v>104</v>
      </c>
      <c r="G9812" s="21">
        <v>2</v>
      </c>
      <c r="H9812" s="21">
        <v>97</v>
      </c>
      <c r="I9812" s="21" t="s">
        <v>5653</v>
      </c>
      <c r="J9812" s="21"/>
      <c r="K9812" s="21" t="s">
        <v>101</v>
      </c>
      <c r="L9812" s="21" t="s">
        <v>141</v>
      </c>
      <c r="M9812" s="21" t="s">
        <v>7038</v>
      </c>
      <c r="N9812" s="21" t="s">
        <v>40</v>
      </c>
      <c r="O9812" s="21">
        <v>33</v>
      </c>
      <c r="P9812" s="21"/>
      <c r="Q9812" s="21">
        <f t="shared" si="206"/>
        <v>2</v>
      </c>
      <c r="R9812" s="21">
        <v>1</v>
      </c>
      <c r="S9812" s="21">
        <v>0</v>
      </c>
      <c r="T9812" s="21">
        <v>0</v>
      </c>
      <c r="U9812" s="21">
        <v>1</v>
      </c>
      <c r="V9812" s="21">
        <v>1</v>
      </c>
      <c r="W9812" s="21">
        <v>0</v>
      </c>
      <c r="X9812" s="21">
        <v>0</v>
      </c>
      <c r="Y9812" s="21">
        <v>0</v>
      </c>
      <c r="Z9812" s="21">
        <v>0</v>
      </c>
      <c r="AA9812" s="21">
        <v>0</v>
      </c>
      <c r="AB9812" s="21">
        <v>0</v>
      </c>
      <c r="AC9812" s="21">
        <v>0</v>
      </c>
      <c r="AD9812" s="21">
        <v>0</v>
      </c>
      <c r="AE9812" s="21">
        <v>0</v>
      </c>
      <c r="AF9812" s="21">
        <v>0</v>
      </c>
      <c r="AG9812" s="21"/>
      <c r="AH9812" s="21">
        <f t="shared" si="207"/>
        <v>96</v>
      </c>
      <c r="AI9812" s="21"/>
      <c r="AJ9812" s="21" t="s">
        <v>54</v>
      </c>
      <c r="AK9812" s="21" t="s">
        <v>52</v>
      </c>
      <c r="AL9812" s="21"/>
      <c r="AM9812" s="21" t="s">
        <v>7276</v>
      </c>
      <c r="AN9812" s="21">
        <v>-122.414380533333</v>
      </c>
      <c r="AO9812" s="21">
        <v>37.800721533333302</v>
      </c>
      <c r="AP9812" s="21" t="s">
        <v>116</v>
      </c>
    </row>
    <row r="9813" spans="1:42">
      <c r="A9813" s="20">
        <v>43871</v>
      </c>
      <c r="B9813" s="21">
        <v>1</v>
      </c>
      <c r="C9813" s="21">
        <v>232</v>
      </c>
      <c r="D9813" s="21">
        <v>14476</v>
      </c>
      <c r="E9813" s="7" t="s">
        <v>112</v>
      </c>
      <c r="F9813" s="21" t="s">
        <v>104</v>
      </c>
      <c r="G9813" s="21">
        <v>2</v>
      </c>
      <c r="H9813" s="21">
        <v>98</v>
      </c>
      <c r="I9813" s="21" t="s">
        <v>5437</v>
      </c>
      <c r="J9813" s="21"/>
      <c r="K9813" s="21" t="s">
        <v>101</v>
      </c>
      <c r="L9813" s="21" t="s">
        <v>114</v>
      </c>
      <c r="M9813" s="21" t="s">
        <v>6618</v>
      </c>
      <c r="N9813" s="21" t="s">
        <v>40</v>
      </c>
      <c r="O9813" s="21">
        <v>33</v>
      </c>
      <c r="P9813" s="21"/>
      <c r="Q9813" s="21">
        <f t="shared" si="206"/>
        <v>1</v>
      </c>
      <c r="R9813" s="21">
        <v>1</v>
      </c>
      <c r="S9813" s="21">
        <v>0</v>
      </c>
      <c r="T9813" s="21">
        <v>0</v>
      </c>
      <c r="U9813" s="21">
        <v>1</v>
      </c>
      <c r="V9813" s="21">
        <v>0</v>
      </c>
      <c r="W9813" s="21">
        <v>0</v>
      </c>
      <c r="X9813" s="21">
        <v>0</v>
      </c>
      <c r="Y9813" s="21">
        <v>0</v>
      </c>
      <c r="Z9813" s="21">
        <v>0</v>
      </c>
      <c r="AA9813" s="21">
        <v>0</v>
      </c>
      <c r="AB9813" s="21">
        <v>0</v>
      </c>
      <c r="AC9813" s="21">
        <v>0</v>
      </c>
      <c r="AD9813" s="21">
        <v>0</v>
      </c>
      <c r="AE9813" s="21">
        <v>0</v>
      </c>
      <c r="AF9813" s="21">
        <v>0</v>
      </c>
      <c r="AG9813" s="21"/>
      <c r="AH9813" s="21">
        <f t="shared" si="207"/>
        <v>32</v>
      </c>
      <c r="AI9813" s="21"/>
      <c r="AJ9813" s="21" t="s">
        <v>54</v>
      </c>
      <c r="AK9813" s="21" t="s">
        <v>52</v>
      </c>
      <c r="AL9813" s="21"/>
      <c r="AM9813" s="21" t="s">
        <v>7277</v>
      </c>
      <c r="AN9813" s="21">
        <v>-122.4143578</v>
      </c>
      <c r="AO9813" s="21">
        <v>37.800592033333302</v>
      </c>
      <c r="AP9813" s="21" t="s">
        <v>116</v>
      </c>
    </row>
    <row r="9814" spans="1:42">
      <c r="A9814" s="20">
        <v>43871</v>
      </c>
      <c r="B9814" s="21">
        <v>1</v>
      </c>
      <c r="C9814" s="21">
        <v>232</v>
      </c>
      <c r="D9814" s="21">
        <v>14476</v>
      </c>
      <c r="E9814" s="7" t="s">
        <v>112</v>
      </c>
      <c r="F9814" s="21" t="s">
        <v>104</v>
      </c>
      <c r="G9814" s="21">
        <v>2</v>
      </c>
      <c r="H9814" s="21">
        <v>99</v>
      </c>
      <c r="I9814" s="21" t="s">
        <v>2909</v>
      </c>
      <c r="J9814" s="21"/>
      <c r="K9814" s="21" t="s">
        <v>101</v>
      </c>
      <c r="L9814" s="21" t="s">
        <v>114</v>
      </c>
      <c r="M9814" s="21" t="s">
        <v>6618</v>
      </c>
      <c r="N9814" s="21" t="s">
        <v>40</v>
      </c>
      <c r="O9814" s="21">
        <v>40</v>
      </c>
      <c r="P9814" s="21"/>
      <c r="Q9814" s="21">
        <f t="shared" si="206"/>
        <v>2</v>
      </c>
      <c r="R9814" s="21">
        <v>1</v>
      </c>
      <c r="S9814" s="21">
        <v>0</v>
      </c>
      <c r="T9814" s="21">
        <v>0</v>
      </c>
      <c r="U9814" s="21">
        <v>0</v>
      </c>
      <c r="V9814" s="21">
        <v>1</v>
      </c>
      <c r="W9814" s="21">
        <v>1</v>
      </c>
      <c r="X9814" s="21">
        <v>0</v>
      </c>
      <c r="Y9814" s="21">
        <v>0</v>
      </c>
      <c r="Z9814" s="21">
        <v>0</v>
      </c>
      <c r="AA9814" s="21">
        <v>0</v>
      </c>
      <c r="AB9814" s="21">
        <v>0</v>
      </c>
      <c r="AC9814" s="21">
        <v>0</v>
      </c>
      <c r="AD9814" s="21">
        <v>0</v>
      </c>
      <c r="AE9814" s="21">
        <v>0</v>
      </c>
      <c r="AF9814" s="21">
        <v>0</v>
      </c>
      <c r="AG9814" s="21"/>
      <c r="AH9814" s="21">
        <f t="shared" si="207"/>
        <v>160</v>
      </c>
      <c r="AI9814" s="21"/>
      <c r="AJ9814" s="21" t="s">
        <v>54</v>
      </c>
      <c r="AK9814" s="21" t="s">
        <v>52</v>
      </c>
      <c r="AL9814" s="21"/>
      <c r="AM9814" s="21" t="s">
        <v>7278</v>
      </c>
      <c r="AN9814" s="21">
        <v>-122.414349533333</v>
      </c>
      <c r="AO9814" s="21">
        <v>37.800478516666601</v>
      </c>
      <c r="AP9814" s="21" t="s">
        <v>116</v>
      </c>
    </row>
    <row r="9815" spans="1:42">
      <c r="A9815" s="20">
        <v>43871</v>
      </c>
      <c r="B9815" s="21">
        <v>1</v>
      </c>
      <c r="C9815" s="21">
        <v>232</v>
      </c>
      <c r="D9815" s="21">
        <v>14476</v>
      </c>
      <c r="E9815" s="7" t="s">
        <v>112</v>
      </c>
      <c r="F9815" s="21" t="s">
        <v>104</v>
      </c>
      <c r="G9815" s="21">
        <v>2</v>
      </c>
      <c r="H9815" s="21">
        <v>100</v>
      </c>
      <c r="I9815" s="21" t="s">
        <v>7279</v>
      </c>
      <c r="J9815" s="21"/>
      <c r="K9815" s="21" t="s">
        <v>101</v>
      </c>
      <c r="L9815" s="21" t="s">
        <v>141</v>
      </c>
      <c r="M9815" s="21" t="s">
        <v>7038</v>
      </c>
      <c r="N9815" s="21" t="s">
        <v>44</v>
      </c>
      <c r="O9815" s="21">
        <v>45</v>
      </c>
      <c r="P9815" s="21"/>
      <c r="Q9815" s="21">
        <f t="shared" si="206"/>
        <v>2</v>
      </c>
      <c r="R9815" s="21">
        <v>1</v>
      </c>
      <c r="S9815" s="21">
        <v>0</v>
      </c>
      <c r="T9815" s="21">
        <v>0</v>
      </c>
      <c r="U9815" s="21">
        <v>2</v>
      </c>
      <c r="V9815" s="21">
        <v>0</v>
      </c>
      <c r="W9815" s="21">
        <v>0</v>
      </c>
      <c r="X9815" s="21">
        <v>0</v>
      </c>
      <c r="Y9815" s="21">
        <v>0</v>
      </c>
      <c r="Z9815" s="21">
        <v>0</v>
      </c>
      <c r="AA9815" s="21">
        <v>0</v>
      </c>
      <c r="AB9815" s="21">
        <v>0</v>
      </c>
      <c r="AC9815" s="21">
        <v>0</v>
      </c>
      <c r="AD9815" s="21">
        <v>0</v>
      </c>
      <c r="AE9815" s="21">
        <v>0</v>
      </c>
      <c r="AF9815" s="21">
        <v>0</v>
      </c>
      <c r="AG9815" s="21"/>
      <c r="AH9815" s="21">
        <f t="shared" si="207"/>
        <v>64</v>
      </c>
      <c r="AI9815" s="21"/>
      <c r="AJ9815" s="21" t="s">
        <v>54</v>
      </c>
      <c r="AK9815" s="21" t="s">
        <v>52</v>
      </c>
      <c r="AL9815" s="21" t="s">
        <v>7280</v>
      </c>
      <c r="AM9815" s="21" t="s">
        <v>7281</v>
      </c>
      <c r="AN9815" s="21">
        <v>-122.414294183333</v>
      </c>
      <c r="AO9815" s="21">
        <v>37.800424016666703</v>
      </c>
      <c r="AP9815" s="21" t="s">
        <v>116</v>
      </c>
    </row>
    <row r="9816" spans="1:42">
      <c r="A9816" s="20">
        <v>43871</v>
      </c>
      <c r="B9816" s="21">
        <v>1</v>
      </c>
      <c r="C9816" s="21">
        <v>232</v>
      </c>
      <c r="D9816" s="21">
        <v>14476</v>
      </c>
      <c r="E9816" s="7" t="s">
        <v>112</v>
      </c>
      <c r="F9816" s="21" t="s">
        <v>104</v>
      </c>
      <c r="G9816" s="21">
        <v>2</v>
      </c>
      <c r="H9816" s="21">
        <v>101</v>
      </c>
      <c r="I9816" s="21" t="s">
        <v>7282</v>
      </c>
      <c r="J9816" s="21"/>
      <c r="K9816" s="21" t="s">
        <v>101</v>
      </c>
      <c r="L9816" s="21" t="s">
        <v>141</v>
      </c>
      <c r="M9816" s="21" t="s">
        <v>7038</v>
      </c>
      <c r="N9816" s="21" t="s">
        <v>44</v>
      </c>
      <c r="O9816" s="21">
        <v>38</v>
      </c>
      <c r="P9816" s="21"/>
      <c r="Q9816" s="21">
        <f t="shared" si="206"/>
        <v>1</v>
      </c>
      <c r="R9816" s="21">
        <v>1</v>
      </c>
      <c r="S9816" s="21">
        <v>0</v>
      </c>
      <c r="T9816" s="21">
        <v>0</v>
      </c>
      <c r="U9816" s="21">
        <v>0</v>
      </c>
      <c r="V9816" s="21">
        <v>1</v>
      </c>
      <c r="W9816" s="21">
        <v>0</v>
      </c>
      <c r="X9816" s="21">
        <v>0</v>
      </c>
      <c r="Y9816" s="21">
        <v>0</v>
      </c>
      <c r="Z9816" s="21">
        <v>0</v>
      </c>
      <c r="AA9816" s="21">
        <v>0</v>
      </c>
      <c r="AB9816" s="21">
        <v>0</v>
      </c>
      <c r="AC9816" s="21">
        <v>0</v>
      </c>
      <c r="AD9816" s="21">
        <v>0</v>
      </c>
      <c r="AE9816" s="21">
        <v>0</v>
      </c>
      <c r="AF9816" s="21">
        <v>0</v>
      </c>
      <c r="AG9816" s="21"/>
      <c r="AH9816" s="21">
        <f t="shared" si="207"/>
        <v>64</v>
      </c>
      <c r="AI9816" s="21"/>
      <c r="AJ9816" s="21" t="s">
        <v>54</v>
      </c>
      <c r="AK9816" s="21" t="s">
        <v>52</v>
      </c>
      <c r="AL9816" s="21" t="s">
        <v>7283</v>
      </c>
      <c r="AM9816" s="21" t="s">
        <v>7284</v>
      </c>
      <c r="AN9816" s="21">
        <v>-122.414300766667</v>
      </c>
      <c r="AO9816" s="21">
        <v>37.8003982166667</v>
      </c>
      <c r="AP9816" s="21" t="s">
        <v>116</v>
      </c>
    </row>
    <row r="9817" spans="1:42">
      <c r="A9817" s="20">
        <v>43871</v>
      </c>
      <c r="B9817" s="21">
        <v>1</v>
      </c>
      <c r="C9817" s="21">
        <v>232</v>
      </c>
      <c r="D9817" s="21">
        <v>14476</v>
      </c>
      <c r="E9817" s="7" t="s">
        <v>112</v>
      </c>
      <c r="F9817" s="21" t="s">
        <v>104</v>
      </c>
      <c r="G9817" s="21">
        <v>2</v>
      </c>
      <c r="H9817" s="21">
        <v>102</v>
      </c>
      <c r="I9817" s="21" t="s">
        <v>7285</v>
      </c>
      <c r="J9817" s="21"/>
      <c r="K9817" s="21" t="s">
        <v>101</v>
      </c>
      <c r="L9817" s="21" t="s">
        <v>114</v>
      </c>
      <c r="M9817" s="21" t="s">
        <v>7038</v>
      </c>
      <c r="N9817" s="21" t="s">
        <v>44</v>
      </c>
      <c r="O9817" s="21">
        <v>79</v>
      </c>
      <c r="P9817" s="21"/>
      <c r="Q9817" s="21">
        <f t="shared" si="206"/>
        <v>1</v>
      </c>
      <c r="R9817" s="21">
        <v>1</v>
      </c>
      <c r="S9817" s="21">
        <v>0</v>
      </c>
      <c r="T9817" s="21">
        <v>0</v>
      </c>
      <c r="U9817" s="21">
        <v>0</v>
      </c>
      <c r="V9817" s="21">
        <v>0</v>
      </c>
      <c r="W9817" s="21">
        <v>1</v>
      </c>
      <c r="X9817" s="21">
        <v>0</v>
      </c>
      <c r="Y9817" s="21">
        <v>0</v>
      </c>
      <c r="Z9817" s="21">
        <v>0</v>
      </c>
      <c r="AA9817" s="21">
        <v>0</v>
      </c>
      <c r="AB9817" s="21">
        <v>0</v>
      </c>
      <c r="AC9817" s="21">
        <v>0</v>
      </c>
      <c r="AD9817" s="21">
        <v>0</v>
      </c>
      <c r="AE9817" s="21">
        <v>0</v>
      </c>
      <c r="AF9817" s="21">
        <v>0</v>
      </c>
      <c r="AG9817" s="21"/>
      <c r="AH9817" s="21">
        <f t="shared" si="207"/>
        <v>96</v>
      </c>
      <c r="AI9817" s="21"/>
      <c r="AJ9817" s="21" t="s">
        <v>54</v>
      </c>
      <c r="AK9817" s="21" t="s">
        <v>52</v>
      </c>
      <c r="AL9817" s="21" t="s">
        <v>7286</v>
      </c>
      <c r="AM9817" s="21" t="s">
        <v>7287</v>
      </c>
      <c r="AN9817" s="21">
        <v>-122.414212916667</v>
      </c>
      <c r="AO9817" s="21">
        <v>37.800263899999997</v>
      </c>
      <c r="AP9817" s="21" t="s">
        <v>116</v>
      </c>
    </row>
    <row r="9818" spans="1:42">
      <c r="A9818" s="20">
        <v>43871</v>
      </c>
      <c r="B9818" s="21">
        <v>1</v>
      </c>
      <c r="C9818" s="21">
        <v>232</v>
      </c>
      <c r="D9818" s="21">
        <v>14476</v>
      </c>
      <c r="E9818" s="7" t="s">
        <v>112</v>
      </c>
      <c r="F9818" s="21" t="s">
        <v>104</v>
      </c>
      <c r="G9818" s="21">
        <v>2</v>
      </c>
      <c r="H9818" s="21">
        <v>103</v>
      </c>
      <c r="I9818" s="21" t="s">
        <v>7288</v>
      </c>
      <c r="J9818" s="21"/>
      <c r="K9818" s="21" t="s">
        <v>156</v>
      </c>
      <c r="L9818" s="21" t="s">
        <v>114</v>
      </c>
      <c r="M9818" s="21" t="s">
        <v>6618</v>
      </c>
      <c r="N9818" s="21" t="s">
        <v>40</v>
      </c>
      <c r="O9818" s="21">
        <v>74</v>
      </c>
      <c r="P9818" s="21"/>
      <c r="Q9818" s="21">
        <f t="shared" si="206"/>
        <v>3</v>
      </c>
      <c r="R9818" s="21">
        <v>1</v>
      </c>
      <c r="S9818" s="21">
        <v>0</v>
      </c>
      <c r="T9818" s="21">
        <v>0</v>
      </c>
      <c r="U9818" s="21">
        <v>1</v>
      </c>
      <c r="V9818" s="21">
        <v>0</v>
      </c>
      <c r="W9818" s="21">
        <v>2</v>
      </c>
      <c r="X9818" s="21">
        <v>0</v>
      </c>
      <c r="Y9818" s="21">
        <v>0</v>
      </c>
      <c r="Z9818" s="21">
        <v>0</v>
      </c>
      <c r="AA9818" s="21">
        <v>0</v>
      </c>
      <c r="AB9818" s="21">
        <v>0</v>
      </c>
      <c r="AC9818" s="21">
        <v>0</v>
      </c>
      <c r="AD9818" s="21">
        <v>0</v>
      </c>
      <c r="AE9818" s="21">
        <v>0</v>
      </c>
      <c r="AF9818" s="21">
        <v>0</v>
      </c>
      <c r="AG9818" s="21"/>
      <c r="AH9818" s="21">
        <f t="shared" si="207"/>
        <v>224</v>
      </c>
      <c r="AI9818" s="21"/>
      <c r="AJ9818" s="21" t="s">
        <v>54</v>
      </c>
      <c r="AK9818" s="21" t="s">
        <v>52</v>
      </c>
      <c r="AL9818" s="21" t="s">
        <v>7289</v>
      </c>
      <c r="AM9818" s="21" t="s">
        <v>7290</v>
      </c>
      <c r="AN9818" s="21">
        <v>-122.414161583333</v>
      </c>
      <c r="AO9818" s="21">
        <v>37.800103833333303</v>
      </c>
      <c r="AP9818" s="21" t="s">
        <v>116</v>
      </c>
    </row>
    <row r="9819" spans="1:42">
      <c r="A9819" s="20">
        <v>43871</v>
      </c>
      <c r="B9819" s="21">
        <v>1</v>
      </c>
      <c r="C9819" s="21">
        <v>232</v>
      </c>
      <c r="D9819" s="21">
        <v>14476</v>
      </c>
      <c r="E9819" s="7" t="s">
        <v>112</v>
      </c>
      <c r="F9819" s="21" t="s">
        <v>104</v>
      </c>
      <c r="G9819" s="21">
        <v>2</v>
      </c>
      <c r="H9819" s="21">
        <v>104</v>
      </c>
      <c r="I9819" s="21" t="s">
        <v>4789</v>
      </c>
      <c r="J9819" s="21"/>
      <c r="K9819" s="21" t="s">
        <v>101</v>
      </c>
      <c r="L9819" s="21" t="s">
        <v>141</v>
      </c>
      <c r="M9819" s="21" t="s">
        <v>7038</v>
      </c>
      <c r="N9819" s="21" t="s">
        <v>44</v>
      </c>
      <c r="O9819" s="21">
        <v>53</v>
      </c>
      <c r="P9819" s="21"/>
      <c r="Q9819" s="21">
        <f t="shared" si="206"/>
        <v>2</v>
      </c>
      <c r="R9819" s="21">
        <v>1</v>
      </c>
      <c r="S9819" s="21">
        <v>0</v>
      </c>
      <c r="T9819" s="21">
        <v>0</v>
      </c>
      <c r="U9819" s="21">
        <v>1</v>
      </c>
      <c r="V9819" s="21">
        <v>1</v>
      </c>
      <c r="W9819" s="21">
        <v>0</v>
      </c>
      <c r="X9819" s="21">
        <v>0</v>
      </c>
      <c r="Y9819" s="21">
        <v>0</v>
      </c>
      <c r="Z9819" s="21">
        <v>0</v>
      </c>
      <c r="AA9819" s="21">
        <v>0</v>
      </c>
      <c r="AB9819" s="21">
        <v>0</v>
      </c>
      <c r="AC9819" s="21">
        <v>0</v>
      </c>
      <c r="AD9819" s="21">
        <v>0</v>
      </c>
      <c r="AE9819" s="21">
        <v>0</v>
      </c>
      <c r="AF9819" s="21">
        <v>0</v>
      </c>
      <c r="AG9819" s="21"/>
      <c r="AH9819" s="21">
        <f t="shared" si="207"/>
        <v>96</v>
      </c>
      <c r="AI9819" s="21"/>
      <c r="AJ9819" s="21" t="s">
        <v>54</v>
      </c>
      <c r="AK9819" s="21" t="s">
        <v>52</v>
      </c>
      <c r="AL9819" s="21" t="s">
        <v>7291</v>
      </c>
      <c r="AM9819" s="21" t="s">
        <v>7292</v>
      </c>
      <c r="AN9819" s="21">
        <v>-122.41422268333299</v>
      </c>
      <c r="AO9819" s="21">
        <v>37.800027766666702</v>
      </c>
      <c r="AP9819" s="21" t="s">
        <v>116</v>
      </c>
    </row>
    <row r="9820" spans="1:42">
      <c r="A9820" s="20">
        <v>43871</v>
      </c>
      <c r="B9820" s="21">
        <v>1</v>
      </c>
      <c r="C9820" s="21">
        <v>232</v>
      </c>
      <c r="D9820" s="21">
        <v>14476</v>
      </c>
      <c r="E9820" s="7" t="s">
        <v>112</v>
      </c>
      <c r="F9820" s="21" t="s">
        <v>104</v>
      </c>
      <c r="G9820" s="21">
        <v>2</v>
      </c>
      <c r="H9820" s="21">
        <v>105</v>
      </c>
      <c r="I9820" s="21" t="s">
        <v>7293</v>
      </c>
      <c r="J9820" s="21"/>
      <c r="K9820" s="21" t="s">
        <v>156</v>
      </c>
      <c r="L9820" s="21" t="s">
        <v>114</v>
      </c>
      <c r="M9820" s="21" t="s">
        <v>7038</v>
      </c>
      <c r="N9820" s="21" t="s">
        <v>44</v>
      </c>
      <c r="O9820" s="21">
        <v>64</v>
      </c>
      <c r="P9820" s="21"/>
      <c r="Q9820" s="21">
        <f t="shared" si="206"/>
        <v>2</v>
      </c>
      <c r="R9820" s="21">
        <v>1</v>
      </c>
      <c r="S9820" s="21">
        <v>0</v>
      </c>
      <c r="T9820" s="21">
        <v>0</v>
      </c>
      <c r="U9820" s="21">
        <v>1</v>
      </c>
      <c r="V9820" s="21">
        <v>1</v>
      </c>
      <c r="W9820" s="21">
        <v>0</v>
      </c>
      <c r="X9820" s="21">
        <v>0</v>
      </c>
      <c r="Y9820" s="21">
        <v>0</v>
      </c>
      <c r="Z9820" s="21">
        <v>0</v>
      </c>
      <c r="AA9820" s="21">
        <v>0</v>
      </c>
      <c r="AB9820" s="21">
        <v>0</v>
      </c>
      <c r="AC9820" s="21">
        <v>0</v>
      </c>
      <c r="AD9820" s="21">
        <v>0</v>
      </c>
      <c r="AE9820" s="21">
        <v>0</v>
      </c>
      <c r="AF9820" s="21">
        <v>0</v>
      </c>
      <c r="AG9820" s="21"/>
      <c r="AH9820" s="21">
        <f t="shared" si="207"/>
        <v>96</v>
      </c>
      <c r="AI9820" s="21"/>
      <c r="AJ9820" s="21" t="s">
        <v>54</v>
      </c>
      <c r="AK9820" s="21" t="s">
        <v>52</v>
      </c>
      <c r="AL9820" s="21" t="s">
        <v>7294</v>
      </c>
      <c r="AM9820" s="21" t="s">
        <v>7295</v>
      </c>
      <c r="AN9820" s="21">
        <v>-122.416282931632</v>
      </c>
      <c r="AO9820" s="21">
        <v>37.802003118798503</v>
      </c>
      <c r="AP9820" s="21" t="s">
        <v>116</v>
      </c>
    </row>
    <row r="9821" spans="1:42">
      <c r="A9821" s="20">
        <v>43871</v>
      </c>
      <c r="B9821" s="21">
        <v>1</v>
      </c>
      <c r="C9821" s="21">
        <v>232</v>
      </c>
      <c r="D9821" s="21">
        <v>14476</v>
      </c>
      <c r="E9821" s="7" t="s">
        <v>112</v>
      </c>
      <c r="F9821" s="21" t="s">
        <v>104</v>
      </c>
      <c r="G9821" s="21">
        <v>2</v>
      </c>
      <c r="H9821" s="21">
        <v>106</v>
      </c>
      <c r="I9821" s="21" t="s">
        <v>4163</v>
      </c>
      <c r="J9821" s="21"/>
      <c r="K9821" s="21" t="s">
        <v>4904</v>
      </c>
      <c r="L9821" s="21" t="s">
        <v>141</v>
      </c>
      <c r="M9821" s="21" t="s">
        <v>6618</v>
      </c>
      <c r="N9821" s="21" t="s">
        <v>44</v>
      </c>
      <c r="O9821" s="21">
        <v>99</v>
      </c>
      <c r="P9821" s="21"/>
      <c r="Q9821" s="21">
        <f t="shared" si="206"/>
        <v>2</v>
      </c>
      <c r="R9821" s="21">
        <v>1</v>
      </c>
      <c r="S9821" s="21">
        <v>0</v>
      </c>
      <c r="T9821" s="21">
        <v>0</v>
      </c>
      <c r="U9821" s="21">
        <v>0</v>
      </c>
      <c r="V9821" s="21">
        <v>1</v>
      </c>
      <c r="W9821" s="21">
        <v>1</v>
      </c>
      <c r="X9821" s="21">
        <v>0</v>
      </c>
      <c r="Y9821" s="21">
        <v>0</v>
      </c>
      <c r="Z9821" s="21">
        <v>0</v>
      </c>
      <c r="AA9821" s="21">
        <v>0</v>
      </c>
      <c r="AB9821" s="21">
        <v>0</v>
      </c>
      <c r="AC9821" s="21">
        <v>0</v>
      </c>
      <c r="AD9821" s="21">
        <v>0</v>
      </c>
      <c r="AE9821" s="21">
        <v>0</v>
      </c>
      <c r="AF9821" s="21">
        <v>0</v>
      </c>
      <c r="AG9821" s="21"/>
      <c r="AH9821" s="21">
        <f t="shared" si="207"/>
        <v>160</v>
      </c>
      <c r="AI9821" s="21"/>
      <c r="AJ9821" s="21" t="s">
        <v>54</v>
      </c>
      <c r="AK9821" s="21" t="s">
        <v>52</v>
      </c>
      <c r="AL9821" s="21" t="s">
        <v>7166</v>
      </c>
      <c r="AM9821" s="21" t="s">
        <v>7296</v>
      </c>
      <c r="AN9821" s="21">
        <v>-122.414391966667</v>
      </c>
      <c r="AO9821" s="21">
        <v>37.799791266666702</v>
      </c>
      <c r="AP9821" s="21" t="s">
        <v>116</v>
      </c>
    </row>
    <row r="9822" spans="1:42">
      <c r="A9822" s="20">
        <v>43871</v>
      </c>
      <c r="B9822" s="21">
        <v>1</v>
      </c>
      <c r="C9822" s="21">
        <v>232</v>
      </c>
      <c r="D9822" s="21">
        <v>14476</v>
      </c>
      <c r="E9822" s="7" t="s">
        <v>112</v>
      </c>
      <c r="F9822" s="21" t="s">
        <v>104</v>
      </c>
      <c r="G9822" s="21">
        <v>2</v>
      </c>
      <c r="H9822" s="21">
        <v>107</v>
      </c>
      <c r="I9822" s="21" t="s">
        <v>7297</v>
      </c>
      <c r="J9822" s="21"/>
      <c r="K9822" s="21" t="s">
        <v>156</v>
      </c>
      <c r="L9822" s="21" t="s">
        <v>114</v>
      </c>
      <c r="M9822" s="21" t="s">
        <v>7038</v>
      </c>
      <c r="N9822" s="21" t="s">
        <v>44</v>
      </c>
      <c r="O9822" s="21">
        <v>97</v>
      </c>
      <c r="P9822" s="21"/>
      <c r="Q9822" s="21">
        <f t="shared" si="206"/>
        <v>2</v>
      </c>
      <c r="R9822" s="21">
        <v>1</v>
      </c>
      <c r="S9822" s="21">
        <v>0</v>
      </c>
      <c r="T9822" s="21">
        <v>0</v>
      </c>
      <c r="U9822" s="21">
        <v>0</v>
      </c>
      <c r="V9822" s="21">
        <v>1</v>
      </c>
      <c r="W9822" s="21">
        <v>1</v>
      </c>
      <c r="X9822" s="21">
        <v>0</v>
      </c>
      <c r="Y9822" s="21">
        <v>0</v>
      </c>
      <c r="Z9822" s="21">
        <v>0</v>
      </c>
      <c r="AA9822" s="21">
        <v>0</v>
      </c>
      <c r="AB9822" s="21">
        <v>0</v>
      </c>
      <c r="AC9822" s="21">
        <v>0</v>
      </c>
      <c r="AD9822" s="21">
        <v>0</v>
      </c>
      <c r="AE9822" s="21">
        <v>0</v>
      </c>
      <c r="AF9822" s="21">
        <v>0</v>
      </c>
      <c r="AG9822" s="21"/>
      <c r="AH9822" s="21">
        <f t="shared" si="207"/>
        <v>160</v>
      </c>
      <c r="AI9822" s="21"/>
      <c r="AJ9822" s="21" t="s">
        <v>54</v>
      </c>
      <c r="AK9822" s="21" t="s">
        <v>52</v>
      </c>
      <c r="AL9822" s="21" t="s">
        <v>7298</v>
      </c>
      <c r="AM9822" s="21" t="s">
        <v>7299</v>
      </c>
      <c r="AN9822" s="21">
        <v>-122.414498983333</v>
      </c>
      <c r="AO9822" s="21">
        <v>37.799813716666698</v>
      </c>
      <c r="AP9822" s="21" t="s">
        <v>116</v>
      </c>
    </row>
    <row r="9823" spans="1:42">
      <c r="A9823" s="20">
        <v>43871</v>
      </c>
      <c r="B9823" s="21">
        <v>1</v>
      </c>
      <c r="C9823" s="21">
        <v>232</v>
      </c>
      <c r="D9823" s="21">
        <v>14476</v>
      </c>
      <c r="E9823" s="7" t="s">
        <v>112</v>
      </c>
      <c r="F9823" s="21" t="s">
        <v>104</v>
      </c>
      <c r="G9823" s="21">
        <v>2</v>
      </c>
      <c r="H9823" s="21">
        <v>108</v>
      </c>
      <c r="I9823" s="21" t="s">
        <v>7300</v>
      </c>
      <c r="J9823" s="21"/>
      <c r="K9823" s="21" t="s">
        <v>156</v>
      </c>
      <c r="L9823" s="21" t="s">
        <v>114</v>
      </c>
      <c r="M9823" s="21" t="s">
        <v>7038</v>
      </c>
      <c r="N9823" s="21" t="s">
        <v>44</v>
      </c>
      <c r="O9823" s="21">
        <v>53</v>
      </c>
      <c r="P9823" s="21"/>
      <c r="Q9823" s="21">
        <f t="shared" si="206"/>
        <v>1</v>
      </c>
      <c r="R9823" s="21">
        <v>1</v>
      </c>
      <c r="S9823" s="21">
        <v>0</v>
      </c>
      <c r="T9823" s="21">
        <v>0</v>
      </c>
      <c r="U9823" s="21">
        <v>0</v>
      </c>
      <c r="V9823" s="21">
        <v>0</v>
      </c>
      <c r="W9823" s="21">
        <v>1</v>
      </c>
      <c r="X9823" s="21">
        <v>0</v>
      </c>
      <c r="Y9823" s="21">
        <v>0</v>
      </c>
      <c r="Z9823" s="21">
        <v>0</v>
      </c>
      <c r="AA9823" s="21">
        <v>0</v>
      </c>
      <c r="AB9823" s="21">
        <v>0</v>
      </c>
      <c r="AC9823" s="21">
        <v>0</v>
      </c>
      <c r="AD9823" s="21">
        <v>0</v>
      </c>
      <c r="AE9823" s="21">
        <v>0</v>
      </c>
      <c r="AF9823" s="21">
        <v>0</v>
      </c>
      <c r="AG9823" s="21"/>
      <c r="AH9823" s="21">
        <f t="shared" si="207"/>
        <v>96</v>
      </c>
      <c r="AI9823" s="21"/>
      <c r="AJ9823" s="21" t="s">
        <v>54</v>
      </c>
      <c r="AK9823" s="21" t="s">
        <v>52</v>
      </c>
      <c r="AL9823" s="21" t="s">
        <v>7141</v>
      </c>
      <c r="AM9823" s="21" t="s">
        <v>7301</v>
      </c>
      <c r="AN9823" s="21">
        <v>-122.414848583333</v>
      </c>
      <c r="AO9823" s="21">
        <v>37.799723833333303</v>
      </c>
      <c r="AP9823" s="21" t="s">
        <v>116</v>
      </c>
    </row>
    <row r="9824" spans="1:42">
      <c r="A9824" s="20">
        <v>43871</v>
      </c>
      <c r="B9824" s="21">
        <v>1</v>
      </c>
      <c r="C9824" s="21">
        <v>232</v>
      </c>
      <c r="D9824" s="21">
        <v>14476</v>
      </c>
      <c r="E9824" s="7" t="s">
        <v>112</v>
      </c>
      <c r="F9824" s="21" t="s">
        <v>104</v>
      </c>
      <c r="G9824" s="21">
        <v>2</v>
      </c>
      <c r="H9824" s="21">
        <v>109</v>
      </c>
      <c r="I9824" s="21" t="s">
        <v>5833</v>
      </c>
      <c r="J9824" s="21"/>
      <c r="K9824" s="21" t="s">
        <v>156</v>
      </c>
      <c r="L9824" s="21" t="s">
        <v>141</v>
      </c>
      <c r="M9824" s="21" t="s">
        <v>7038</v>
      </c>
      <c r="N9824" s="21" t="s">
        <v>44</v>
      </c>
      <c r="O9824" s="21">
        <v>65</v>
      </c>
      <c r="P9824" s="21"/>
      <c r="Q9824" s="21">
        <f t="shared" si="206"/>
        <v>1</v>
      </c>
      <c r="R9824" s="21">
        <v>1</v>
      </c>
      <c r="S9824" s="21">
        <v>0</v>
      </c>
      <c r="T9824" s="21">
        <v>0</v>
      </c>
      <c r="U9824" s="21">
        <v>0</v>
      </c>
      <c r="V9824" s="21">
        <v>1</v>
      </c>
      <c r="W9824" s="21">
        <v>0</v>
      </c>
      <c r="X9824" s="21">
        <v>0</v>
      </c>
      <c r="Y9824" s="21">
        <v>0</v>
      </c>
      <c r="Z9824" s="21">
        <v>0</v>
      </c>
      <c r="AA9824" s="21">
        <v>0</v>
      </c>
      <c r="AB9824" s="21">
        <v>0</v>
      </c>
      <c r="AC9824" s="21">
        <v>0</v>
      </c>
      <c r="AD9824" s="21">
        <v>0</v>
      </c>
      <c r="AE9824" s="21">
        <v>0</v>
      </c>
      <c r="AF9824" s="21">
        <v>0</v>
      </c>
      <c r="AG9824" s="21"/>
      <c r="AH9824" s="21">
        <f t="shared" si="207"/>
        <v>64</v>
      </c>
      <c r="AI9824" s="21"/>
      <c r="AJ9824" s="21" t="s">
        <v>54</v>
      </c>
      <c r="AK9824" s="21" t="s">
        <v>95</v>
      </c>
      <c r="AL9824" s="21" t="s">
        <v>7302</v>
      </c>
      <c r="AM9824" s="21" t="s">
        <v>7303</v>
      </c>
      <c r="AN9824" s="21">
        <v>-122.41538628333301</v>
      </c>
      <c r="AO9824" s="21">
        <v>37.799680016666599</v>
      </c>
      <c r="AP9824" s="21" t="s">
        <v>116</v>
      </c>
    </row>
    <row r="9825" spans="1:42">
      <c r="A9825" s="20">
        <v>43871</v>
      </c>
      <c r="B9825" s="21">
        <v>1</v>
      </c>
      <c r="C9825" s="21">
        <v>232</v>
      </c>
      <c r="D9825" s="21">
        <v>14476</v>
      </c>
      <c r="E9825" s="7" t="s">
        <v>112</v>
      </c>
      <c r="F9825" s="21" t="s">
        <v>104</v>
      </c>
      <c r="G9825" s="21">
        <v>2</v>
      </c>
      <c r="H9825" s="21">
        <v>110</v>
      </c>
      <c r="I9825" s="21" t="s">
        <v>7304</v>
      </c>
      <c r="J9825" s="21"/>
      <c r="K9825" s="21" t="s">
        <v>1446</v>
      </c>
      <c r="L9825" s="21" t="s">
        <v>114</v>
      </c>
      <c r="M9825" s="21" t="s">
        <v>7038</v>
      </c>
      <c r="N9825" s="21" t="s">
        <v>44</v>
      </c>
      <c r="O9825" s="21">
        <v>166</v>
      </c>
      <c r="P9825" s="21"/>
      <c r="Q9825" s="21">
        <f t="shared" si="206"/>
        <v>2</v>
      </c>
      <c r="R9825" s="21">
        <v>1</v>
      </c>
      <c r="S9825" s="21">
        <v>0</v>
      </c>
      <c r="T9825" s="21">
        <v>0</v>
      </c>
      <c r="U9825" s="21">
        <v>0</v>
      </c>
      <c r="V9825" s="21">
        <v>0</v>
      </c>
      <c r="W9825" s="21">
        <v>2</v>
      </c>
      <c r="X9825" s="21">
        <v>0</v>
      </c>
      <c r="Y9825" s="21">
        <v>0</v>
      </c>
      <c r="Z9825" s="21">
        <v>0</v>
      </c>
      <c r="AA9825" s="21">
        <v>0</v>
      </c>
      <c r="AB9825" s="21">
        <v>0</v>
      </c>
      <c r="AC9825" s="21">
        <v>0</v>
      </c>
      <c r="AD9825" s="21">
        <v>0</v>
      </c>
      <c r="AE9825" s="21">
        <v>0</v>
      </c>
      <c r="AF9825" s="21">
        <v>0</v>
      </c>
      <c r="AG9825" s="21"/>
      <c r="AH9825" s="21">
        <f t="shared" si="207"/>
        <v>192</v>
      </c>
      <c r="AI9825" s="21"/>
      <c r="AJ9825" s="21" t="s">
        <v>51</v>
      </c>
      <c r="AK9825" s="21" t="s">
        <v>52</v>
      </c>
      <c r="AL9825" s="21" t="s">
        <v>7305</v>
      </c>
      <c r="AM9825" s="21" t="s">
        <v>7306</v>
      </c>
      <c r="AN9825" s="21">
        <v>-122.417609333333</v>
      </c>
      <c r="AO9825" s="21">
        <v>37.800754633333298</v>
      </c>
      <c r="AP9825" s="21" t="s">
        <v>116</v>
      </c>
    </row>
    <row r="9826" spans="1:42">
      <c r="A9826" s="20">
        <v>43871</v>
      </c>
      <c r="B9826" s="21">
        <v>1</v>
      </c>
      <c r="C9826" s="21">
        <v>232</v>
      </c>
      <c r="D9826" s="21">
        <v>14476</v>
      </c>
      <c r="E9826" s="7" t="s">
        <v>112</v>
      </c>
      <c r="F9826" s="21" t="s">
        <v>104</v>
      </c>
      <c r="G9826" s="21">
        <v>2</v>
      </c>
      <c r="H9826" s="21">
        <v>111</v>
      </c>
      <c r="I9826" s="21" t="s">
        <v>7307</v>
      </c>
      <c r="J9826" s="21"/>
      <c r="K9826" s="21" t="s">
        <v>1446</v>
      </c>
      <c r="L9826" s="21" t="s">
        <v>114</v>
      </c>
      <c r="M9826" s="21" t="s">
        <v>7038</v>
      </c>
      <c r="N9826" s="21" t="s">
        <v>44</v>
      </c>
      <c r="O9826" s="21">
        <v>240</v>
      </c>
      <c r="P9826" s="21"/>
      <c r="Q9826" s="21">
        <f t="shared" si="206"/>
        <v>5</v>
      </c>
      <c r="R9826" s="21">
        <v>1</v>
      </c>
      <c r="S9826" s="21">
        <v>0</v>
      </c>
      <c r="T9826" s="21">
        <v>0</v>
      </c>
      <c r="U9826" s="21">
        <v>0</v>
      </c>
      <c r="V9826" s="21">
        <v>1</v>
      </c>
      <c r="W9826" s="21">
        <v>4</v>
      </c>
      <c r="X9826" s="21">
        <v>0</v>
      </c>
      <c r="Y9826" s="21">
        <v>0</v>
      </c>
      <c r="Z9826" s="21">
        <v>0</v>
      </c>
      <c r="AA9826" s="21">
        <v>0</v>
      </c>
      <c r="AB9826" s="21">
        <v>0</v>
      </c>
      <c r="AC9826" s="21">
        <v>0</v>
      </c>
      <c r="AD9826" s="21">
        <v>0</v>
      </c>
      <c r="AE9826" s="21">
        <v>0</v>
      </c>
      <c r="AF9826" s="21">
        <v>0</v>
      </c>
      <c r="AG9826" s="21"/>
      <c r="AH9826" s="21">
        <f t="shared" si="207"/>
        <v>448</v>
      </c>
      <c r="AI9826" s="21"/>
      <c r="AJ9826" s="21" t="s">
        <v>51</v>
      </c>
      <c r="AK9826" s="21" t="s">
        <v>52</v>
      </c>
      <c r="AL9826" s="21" t="s">
        <v>7308</v>
      </c>
      <c r="AM9826" s="21" t="s">
        <v>7309</v>
      </c>
      <c r="AN9826" s="21">
        <v>-122.417758216667</v>
      </c>
      <c r="AO9826" s="21">
        <v>37.801421099999999</v>
      </c>
      <c r="AP9826" s="21" t="s">
        <v>116</v>
      </c>
    </row>
    <row r="9827" spans="1:42">
      <c r="A9827" s="20">
        <v>43871</v>
      </c>
      <c r="B9827" s="21">
        <v>1</v>
      </c>
      <c r="C9827" s="21">
        <v>232</v>
      </c>
      <c r="D9827" s="21">
        <v>14476</v>
      </c>
      <c r="E9827" s="7" t="s">
        <v>112</v>
      </c>
      <c r="F9827" s="21" t="s">
        <v>104</v>
      </c>
      <c r="G9827" s="21">
        <v>2</v>
      </c>
      <c r="H9827" s="21">
        <v>112</v>
      </c>
      <c r="I9827" s="21" t="s">
        <v>4748</v>
      </c>
      <c r="J9827" s="21"/>
      <c r="K9827" s="21" t="s">
        <v>91</v>
      </c>
      <c r="L9827" s="21" t="s">
        <v>141</v>
      </c>
      <c r="M9827" s="21" t="s">
        <v>6618</v>
      </c>
      <c r="N9827" s="21" t="s">
        <v>44</v>
      </c>
      <c r="O9827" s="21">
        <v>78</v>
      </c>
      <c r="P9827" s="21"/>
      <c r="Q9827" s="21">
        <f t="shared" si="206"/>
        <v>1</v>
      </c>
      <c r="R9827" s="21">
        <v>1</v>
      </c>
      <c r="S9827" s="21">
        <v>0</v>
      </c>
      <c r="T9827" s="21">
        <v>0</v>
      </c>
      <c r="U9827" s="21">
        <v>0</v>
      </c>
      <c r="V9827" s="21">
        <v>0</v>
      </c>
      <c r="W9827" s="21">
        <v>1</v>
      </c>
      <c r="X9827" s="21">
        <v>0</v>
      </c>
      <c r="Y9827" s="21">
        <v>0</v>
      </c>
      <c r="Z9827" s="21">
        <v>0</v>
      </c>
      <c r="AA9827" s="21">
        <v>0</v>
      </c>
      <c r="AB9827" s="21">
        <v>0</v>
      </c>
      <c r="AC9827" s="21">
        <v>0</v>
      </c>
      <c r="AD9827" s="21">
        <v>0</v>
      </c>
      <c r="AE9827" s="21">
        <v>0</v>
      </c>
      <c r="AF9827" s="21">
        <v>0</v>
      </c>
      <c r="AG9827" s="21"/>
      <c r="AH9827" s="21">
        <f t="shared" si="207"/>
        <v>96</v>
      </c>
      <c r="AI9827" s="21"/>
      <c r="AJ9827" s="21" t="s">
        <v>51</v>
      </c>
      <c r="AK9827" s="21" t="s">
        <v>52</v>
      </c>
      <c r="AL9827" s="21" t="s">
        <v>7310</v>
      </c>
      <c r="AM9827" s="21" t="s">
        <v>7311</v>
      </c>
      <c r="AN9827" s="21">
        <v>-122.41810825</v>
      </c>
      <c r="AO9827" s="21">
        <v>37.801706633333303</v>
      </c>
      <c r="AP9827" s="21" t="s">
        <v>116</v>
      </c>
    </row>
    <row r="9828" spans="1:42">
      <c r="A9828" s="20">
        <v>43871</v>
      </c>
      <c r="B9828" s="21">
        <v>1</v>
      </c>
      <c r="C9828" s="21">
        <v>232</v>
      </c>
      <c r="D9828" s="21">
        <v>14476</v>
      </c>
      <c r="E9828" s="7" t="s">
        <v>112</v>
      </c>
      <c r="F9828" s="21" t="s">
        <v>104</v>
      </c>
      <c r="G9828" s="21">
        <v>2</v>
      </c>
      <c r="H9828" s="21">
        <v>113</v>
      </c>
      <c r="I9828" s="21" t="s">
        <v>2214</v>
      </c>
      <c r="J9828" s="21"/>
      <c r="K9828" s="21" t="s">
        <v>1446</v>
      </c>
      <c r="L9828" s="21" t="s">
        <v>114</v>
      </c>
      <c r="M9828" s="21" t="s">
        <v>7038</v>
      </c>
      <c r="N9828" s="21" t="s">
        <v>40</v>
      </c>
      <c r="O9828" s="21">
        <v>43</v>
      </c>
      <c r="P9828" s="21"/>
      <c r="Q9828" s="21">
        <f t="shared" si="206"/>
        <v>3</v>
      </c>
      <c r="R9828" s="21">
        <v>1</v>
      </c>
      <c r="S9828" s="21">
        <v>0</v>
      </c>
      <c r="T9828" s="21">
        <v>0</v>
      </c>
      <c r="U9828" s="21">
        <v>1</v>
      </c>
      <c r="V9828" s="21">
        <v>1</v>
      </c>
      <c r="W9828" s="21">
        <v>1</v>
      </c>
      <c r="X9828" s="21">
        <v>0</v>
      </c>
      <c r="Y9828" s="21">
        <v>0</v>
      </c>
      <c r="Z9828" s="21">
        <v>0</v>
      </c>
      <c r="AA9828" s="21">
        <v>0</v>
      </c>
      <c r="AB9828" s="21">
        <v>0</v>
      </c>
      <c r="AC9828" s="21">
        <v>0</v>
      </c>
      <c r="AD9828" s="21">
        <v>0</v>
      </c>
      <c r="AE9828" s="21">
        <v>0</v>
      </c>
      <c r="AF9828" s="21">
        <v>0</v>
      </c>
      <c r="AG9828" s="21"/>
      <c r="AH9828" s="21">
        <f t="shared" si="207"/>
        <v>192</v>
      </c>
      <c r="AI9828" s="21"/>
      <c r="AJ9828" s="21" t="s">
        <v>51</v>
      </c>
      <c r="AK9828" s="21" t="s">
        <v>52</v>
      </c>
      <c r="AL9828" s="21"/>
      <c r="AM9828" s="21" t="s">
        <v>7312</v>
      </c>
      <c r="AN9828" s="21">
        <v>-122.417824166667</v>
      </c>
      <c r="AO9828" s="21">
        <v>37.801748750000002</v>
      </c>
      <c r="AP9828" s="21" t="s">
        <v>116</v>
      </c>
    </row>
    <row r="9829" spans="1:42">
      <c r="A9829" s="20">
        <v>43871</v>
      </c>
      <c r="B9829" s="21">
        <v>1</v>
      </c>
      <c r="C9829" s="21">
        <v>232</v>
      </c>
      <c r="D9829" s="21">
        <v>14476</v>
      </c>
      <c r="E9829" s="7" t="s">
        <v>112</v>
      </c>
      <c r="F9829" s="21" t="s">
        <v>104</v>
      </c>
      <c r="G9829" s="21">
        <v>2</v>
      </c>
      <c r="H9829" s="21">
        <v>114</v>
      </c>
      <c r="I9829" s="21" t="s">
        <v>7313</v>
      </c>
      <c r="J9829" s="21"/>
      <c r="K9829" s="21" t="s">
        <v>1446</v>
      </c>
      <c r="L9829" s="21" t="s">
        <v>141</v>
      </c>
      <c r="M9829" s="21" t="s">
        <v>6618</v>
      </c>
      <c r="N9829" s="21" t="s">
        <v>44</v>
      </c>
      <c r="O9829" s="21">
        <v>130</v>
      </c>
      <c r="P9829" s="21"/>
      <c r="Q9829" s="21">
        <f t="shared" si="206"/>
        <v>2</v>
      </c>
      <c r="R9829" s="21">
        <v>1</v>
      </c>
      <c r="S9829" s="21">
        <v>0</v>
      </c>
      <c r="T9829" s="21">
        <v>0</v>
      </c>
      <c r="U9829" s="21">
        <v>0</v>
      </c>
      <c r="V9829" s="21">
        <v>0</v>
      </c>
      <c r="W9829" s="21">
        <v>2</v>
      </c>
      <c r="X9829" s="21">
        <v>0</v>
      </c>
      <c r="Y9829" s="21">
        <v>0</v>
      </c>
      <c r="Z9829" s="21">
        <v>0</v>
      </c>
      <c r="AA9829" s="21">
        <v>0</v>
      </c>
      <c r="AB9829" s="21">
        <v>0</v>
      </c>
      <c r="AC9829" s="21">
        <v>0</v>
      </c>
      <c r="AD9829" s="21">
        <v>0</v>
      </c>
      <c r="AE9829" s="21">
        <v>0</v>
      </c>
      <c r="AF9829" s="21">
        <v>0</v>
      </c>
      <c r="AG9829" s="21"/>
      <c r="AH9829" s="21">
        <f t="shared" si="207"/>
        <v>192</v>
      </c>
      <c r="AI9829" s="21"/>
      <c r="AJ9829" s="21" t="s">
        <v>51</v>
      </c>
      <c r="AK9829" s="21" t="s">
        <v>52</v>
      </c>
      <c r="AL9829" s="21" t="s">
        <v>7314</v>
      </c>
      <c r="AM9829" s="21" t="s">
        <v>7315</v>
      </c>
      <c r="AN9829" s="21">
        <v>-122.417948633333</v>
      </c>
      <c r="AO9829" s="21">
        <v>37.801977766666703</v>
      </c>
      <c r="AP9829" s="21" t="s">
        <v>116</v>
      </c>
    </row>
    <row r="9830" spans="1:42">
      <c r="A9830" s="20">
        <v>43871</v>
      </c>
      <c r="B9830" s="21">
        <v>1</v>
      </c>
      <c r="C9830" s="21">
        <v>232</v>
      </c>
      <c r="D9830" s="21">
        <v>14476</v>
      </c>
      <c r="E9830" s="7" t="s">
        <v>112</v>
      </c>
      <c r="F9830" s="21" t="s">
        <v>104</v>
      </c>
      <c r="G9830" s="21">
        <v>2</v>
      </c>
      <c r="H9830" s="21">
        <v>115</v>
      </c>
      <c r="I9830" s="21" t="s">
        <v>7316</v>
      </c>
      <c r="J9830" s="21"/>
      <c r="K9830" s="21" t="s">
        <v>210</v>
      </c>
      <c r="L9830" s="21" t="s">
        <v>141</v>
      </c>
      <c r="M9830" s="21" t="s">
        <v>7038</v>
      </c>
      <c r="N9830" s="21" t="s">
        <v>44</v>
      </c>
      <c r="O9830" s="21">
        <v>119</v>
      </c>
      <c r="P9830" s="21"/>
      <c r="Q9830" s="21">
        <f t="shared" si="206"/>
        <v>1</v>
      </c>
      <c r="R9830" s="21">
        <v>1</v>
      </c>
      <c r="S9830" s="21">
        <v>0</v>
      </c>
      <c r="T9830" s="21">
        <v>0</v>
      </c>
      <c r="U9830" s="21">
        <v>0</v>
      </c>
      <c r="V9830" s="21">
        <v>0</v>
      </c>
      <c r="W9830" s="21">
        <v>1</v>
      </c>
      <c r="X9830" s="21">
        <v>0</v>
      </c>
      <c r="Y9830" s="21">
        <v>0</v>
      </c>
      <c r="Z9830" s="21">
        <v>0</v>
      </c>
      <c r="AA9830" s="21">
        <v>0</v>
      </c>
      <c r="AB9830" s="21">
        <v>0</v>
      </c>
      <c r="AC9830" s="21">
        <v>0</v>
      </c>
      <c r="AD9830" s="21">
        <v>0</v>
      </c>
      <c r="AE9830" s="21">
        <v>0</v>
      </c>
      <c r="AF9830" s="21">
        <v>0</v>
      </c>
      <c r="AG9830" s="21"/>
      <c r="AH9830" s="21">
        <f t="shared" si="207"/>
        <v>96</v>
      </c>
      <c r="AI9830" s="21"/>
      <c r="AJ9830" s="21" t="s">
        <v>51</v>
      </c>
      <c r="AK9830" s="21" t="s">
        <v>52</v>
      </c>
      <c r="AL9830" s="21" t="s">
        <v>7317</v>
      </c>
      <c r="AM9830" s="21" t="s">
        <v>7318</v>
      </c>
      <c r="AN9830" s="21">
        <v>-122.41805979999999</v>
      </c>
      <c r="AO9830" s="21">
        <v>37.802119716666603</v>
      </c>
      <c r="AP9830" s="21" t="s">
        <v>116</v>
      </c>
    </row>
    <row r="9831" spans="1:42">
      <c r="A9831" s="20">
        <v>43871</v>
      </c>
      <c r="B9831" s="21">
        <v>1</v>
      </c>
      <c r="C9831" s="21">
        <v>232</v>
      </c>
      <c r="D9831" s="21">
        <v>14476</v>
      </c>
      <c r="E9831" s="7" t="s">
        <v>112</v>
      </c>
      <c r="F9831" s="21" t="s">
        <v>104</v>
      </c>
      <c r="G9831" s="21">
        <v>2</v>
      </c>
      <c r="H9831" s="21">
        <v>116</v>
      </c>
      <c r="I9831" s="21" t="s">
        <v>3123</v>
      </c>
      <c r="J9831" s="21"/>
      <c r="K9831" s="21" t="s">
        <v>162</v>
      </c>
      <c r="L9831" s="21" t="s">
        <v>114</v>
      </c>
      <c r="M9831" s="21" t="s">
        <v>7038</v>
      </c>
      <c r="N9831" s="21" t="s">
        <v>44</v>
      </c>
      <c r="O9831" s="21">
        <v>135</v>
      </c>
      <c r="P9831" s="21"/>
      <c r="Q9831" s="21">
        <f t="shared" si="206"/>
        <v>1</v>
      </c>
      <c r="R9831" s="21">
        <v>1</v>
      </c>
      <c r="S9831" s="21">
        <v>0</v>
      </c>
      <c r="T9831" s="21">
        <v>0</v>
      </c>
      <c r="U9831" s="21">
        <v>0</v>
      </c>
      <c r="V9831" s="21">
        <v>0</v>
      </c>
      <c r="W9831" s="21">
        <v>1</v>
      </c>
      <c r="X9831" s="21">
        <v>0</v>
      </c>
      <c r="Y9831" s="21">
        <v>0</v>
      </c>
      <c r="Z9831" s="21">
        <v>0</v>
      </c>
      <c r="AA9831" s="21">
        <v>0</v>
      </c>
      <c r="AB9831" s="21">
        <v>0</v>
      </c>
      <c r="AC9831" s="21">
        <v>0</v>
      </c>
      <c r="AD9831" s="21">
        <v>0</v>
      </c>
      <c r="AE9831" s="21">
        <v>0</v>
      </c>
      <c r="AF9831" s="21">
        <v>0</v>
      </c>
      <c r="AG9831" s="21"/>
      <c r="AH9831" s="21">
        <f t="shared" si="207"/>
        <v>96</v>
      </c>
      <c r="AI9831" s="21"/>
      <c r="AJ9831" s="21" t="s">
        <v>54</v>
      </c>
      <c r="AK9831" s="21" t="s">
        <v>52</v>
      </c>
      <c r="AL9831" s="21" t="s">
        <v>7319</v>
      </c>
      <c r="AM9831" s="21" t="s">
        <v>7320</v>
      </c>
      <c r="AN9831" s="21">
        <v>-122.414118</v>
      </c>
      <c r="AO9831" s="21">
        <v>37.79898575</v>
      </c>
      <c r="AP9831" s="21" t="s">
        <v>116</v>
      </c>
    </row>
    <row r="9832" spans="1:42">
      <c r="A9832" s="20">
        <v>43871</v>
      </c>
      <c r="B9832" s="21">
        <v>1</v>
      </c>
      <c r="C9832" s="21">
        <v>232</v>
      </c>
      <c r="D9832" s="21">
        <v>14476</v>
      </c>
      <c r="E9832" s="7" t="s">
        <v>112</v>
      </c>
      <c r="F9832" s="21" t="s">
        <v>104</v>
      </c>
      <c r="G9832" s="21">
        <v>2</v>
      </c>
      <c r="H9832" s="21">
        <v>117</v>
      </c>
      <c r="I9832" s="21" t="s">
        <v>5227</v>
      </c>
      <c r="J9832" s="21"/>
      <c r="K9832" s="21" t="s">
        <v>101</v>
      </c>
      <c r="L9832" s="21" t="s">
        <v>141</v>
      </c>
      <c r="M9832" s="21" t="s">
        <v>7038</v>
      </c>
      <c r="N9832" s="21" t="s">
        <v>44</v>
      </c>
      <c r="O9832" s="21">
        <v>155</v>
      </c>
      <c r="P9832" s="21"/>
      <c r="Q9832" s="21">
        <f t="shared" si="206"/>
        <v>2</v>
      </c>
      <c r="R9832" s="21">
        <v>1</v>
      </c>
      <c r="S9832" s="21">
        <v>0</v>
      </c>
      <c r="T9832" s="21">
        <v>0</v>
      </c>
      <c r="U9832" s="21">
        <v>1</v>
      </c>
      <c r="V9832" s="21">
        <v>0</v>
      </c>
      <c r="W9832" s="21">
        <v>1</v>
      </c>
      <c r="X9832" s="21">
        <v>0</v>
      </c>
      <c r="Y9832" s="21">
        <v>0</v>
      </c>
      <c r="Z9832" s="21">
        <v>0</v>
      </c>
      <c r="AA9832" s="21">
        <v>0</v>
      </c>
      <c r="AB9832" s="21">
        <v>0</v>
      </c>
      <c r="AC9832" s="21">
        <v>0</v>
      </c>
      <c r="AD9832" s="21">
        <v>0</v>
      </c>
      <c r="AE9832" s="21">
        <v>0</v>
      </c>
      <c r="AF9832" s="21">
        <v>0</v>
      </c>
      <c r="AG9832" s="21"/>
      <c r="AH9832" s="21">
        <f t="shared" si="207"/>
        <v>128</v>
      </c>
      <c r="AI9832" s="21"/>
      <c r="AJ9832" s="21" t="s">
        <v>54</v>
      </c>
      <c r="AK9832" s="21" t="s">
        <v>52</v>
      </c>
      <c r="AL9832" s="21" t="s">
        <v>7321</v>
      </c>
      <c r="AM9832" s="21" t="s">
        <v>7322</v>
      </c>
      <c r="AN9832" s="21">
        <v>-122.414059416667</v>
      </c>
      <c r="AO9832" s="21">
        <v>37.798661216666702</v>
      </c>
      <c r="AP9832" s="21" t="s">
        <v>116</v>
      </c>
    </row>
    <row r="9833" spans="1:42">
      <c r="A9833" s="20">
        <v>43871</v>
      </c>
      <c r="B9833" s="21">
        <v>1</v>
      </c>
      <c r="C9833" s="21">
        <v>232</v>
      </c>
      <c r="D9833" s="21">
        <v>14476</v>
      </c>
      <c r="E9833" s="7" t="s">
        <v>112</v>
      </c>
      <c r="F9833" s="21" t="s">
        <v>104</v>
      </c>
      <c r="G9833" s="21">
        <v>2</v>
      </c>
      <c r="H9833" s="21">
        <v>118</v>
      </c>
      <c r="I9833" s="21" t="s">
        <v>7323</v>
      </c>
      <c r="J9833" s="21"/>
      <c r="K9833" s="21" t="s">
        <v>101</v>
      </c>
      <c r="L9833" s="21" t="s">
        <v>114</v>
      </c>
      <c r="M9833" s="21" t="s">
        <v>7038</v>
      </c>
      <c r="N9833" s="21" t="s">
        <v>44</v>
      </c>
      <c r="O9833" s="21"/>
      <c r="P9833" s="21"/>
      <c r="Q9833" s="21">
        <f t="shared" si="206"/>
        <v>1</v>
      </c>
      <c r="R9833" s="21">
        <v>1</v>
      </c>
      <c r="S9833" s="21">
        <v>0</v>
      </c>
      <c r="T9833" s="21">
        <v>0</v>
      </c>
      <c r="U9833" s="21">
        <v>0</v>
      </c>
      <c r="V9833" s="21">
        <v>0</v>
      </c>
      <c r="W9833" s="21">
        <v>1</v>
      </c>
      <c r="X9833" s="21">
        <v>0</v>
      </c>
      <c r="Y9833" s="21">
        <v>0</v>
      </c>
      <c r="Z9833" s="21">
        <v>0</v>
      </c>
      <c r="AA9833" s="21">
        <v>0</v>
      </c>
      <c r="AB9833" s="21">
        <v>0</v>
      </c>
      <c r="AC9833" s="21">
        <v>0</v>
      </c>
      <c r="AD9833" s="21">
        <v>0</v>
      </c>
      <c r="AE9833" s="21">
        <v>0</v>
      </c>
      <c r="AF9833" s="21">
        <v>0</v>
      </c>
      <c r="AG9833" s="21"/>
      <c r="AH9833" s="21">
        <f t="shared" si="207"/>
        <v>96</v>
      </c>
      <c r="AI9833" s="21"/>
      <c r="AJ9833" s="21" t="s">
        <v>54</v>
      </c>
      <c r="AK9833" s="21" t="s">
        <v>52</v>
      </c>
      <c r="AL9833" s="21" t="s">
        <v>7324</v>
      </c>
      <c r="AM9833" s="21" t="s">
        <v>7325</v>
      </c>
      <c r="AN9833" s="21">
        <v>-122.413715633333</v>
      </c>
      <c r="AO9833" s="21">
        <v>37.797861216666597</v>
      </c>
      <c r="AP9833" s="21" t="s">
        <v>116</v>
      </c>
    </row>
    <row r="9834" spans="1:42">
      <c r="A9834" s="20">
        <v>43871</v>
      </c>
      <c r="B9834" s="21">
        <v>1</v>
      </c>
      <c r="C9834" s="21">
        <v>232</v>
      </c>
      <c r="D9834" s="21">
        <v>14476</v>
      </c>
      <c r="E9834" s="7" t="s">
        <v>112</v>
      </c>
      <c r="F9834" s="21" t="s">
        <v>104</v>
      </c>
      <c r="G9834" s="21">
        <v>2</v>
      </c>
      <c r="H9834" s="21">
        <v>119</v>
      </c>
      <c r="I9834" s="21" t="s">
        <v>3897</v>
      </c>
      <c r="J9834" s="21"/>
      <c r="K9834" s="21" t="s">
        <v>101</v>
      </c>
      <c r="L9834" s="21" t="s">
        <v>114</v>
      </c>
      <c r="M9834" s="21" t="s">
        <v>6618</v>
      </c>
      <c r="N9834" s="21" t="s">
        <v>44</v>
      </c>
      <c r="O9834" s="21">
        <v>284</v>
      </c>
      <c r="P9834" s="21"/>
      <c r="Q9834" s="21">
        <f t="shared" si="206"/>
        <v>2</v>
      </c>
      <c r="R9834" s="21">
        <v>1</v>
      </c>
      <c r="S9834" s="21">
        <v>0</v>
      </c>
      <c r="T9834" s="21">
        <v>0</v>
      </c>
      <c r="U9834" s="21">
        <v>0</v>
      </c>
      <c r="V9834" s="21">
        <v>0</v>
      </c>
      <c r="W9834" s="21">
        <v>2</v>
      </c>
      <c r="X9834" s="21">
        <v>0</v>
      </c>
      <c r="Y9834" s="21">
        <v>0</v>
      </c>
      <c r="Z9834" s="21">
        <v>0</v>
      </c>
      <c r="AA9834" s="21">
        <v>0</v>
      </c>
      <c r="AB9834" s="21">
        <v>0</v>
      </c>
      <c r="AC9834" s="21">
        <v>0</v>
      </c>
      <c r="AD9834" s="21">
        <v>0</v>
      </c>
      <c r="AE9834" s="21">
        <v>0</v>
      </c>
      <c r="AF9834" s="21">
        <v>0</v>
      </c>
      <c r="AG9834" s="21"/>
      <c r="AH9834" s="21">
        <f t="shared" si="207"/>
        <v>192</v>
      </c>
      <c r="AI9834" s="21"/>
      <c r="AJ9834" s="21" t="s">
        <v>54</v>
      </c>
      <c r="AK9834" s="21" t="s">
        <v>52</v>
      </c>
      <c r="AL9834" s="21" t="s">
        <v>7326</v>
      </c>
      <c r="AM9834" s="21" t="s">
        <v>7327</v>
      </c>
      <c r="AN9834" s="21">
        <v>-122.41366795</v>
      </c>
      <c r="AO9834" s="21">
        <v>37.797622116666702</v>
      </c>
      <c r="AP9834" s="21" t="s">
        <v>116</v>
      </c>
    </row>
    <row r="9835" spans="1:42">
      <c r="A9835" s="20">
        <v>43871</v>
      </c>
      <c r="B9835" s="21">
        <v>1</v>
      </c>
      <c r="C9835" s="21">
        <v>232</v>
      </c>
      <c r="D9835" s="21">
        <v>14476</v>
      </c>
      <c r="E9835" s="7" t="s">
        <v>112</v>
      </c>
      <c r="F9835" s="21" t="s">
        <v>104</v>
      </c>
      <c r="G9835" s="21">
        <v>2</v>
      </c>
      <c r="H9835" s="21">
        <v>120</v>
      </c>
      <c r="I9835" s="21" t="s">
        <v>7328</v>
      </c>
      <c r="J9835" s="21"/>
      <c r="K9835" s="21" t="s">
        <v>101</v>
      </c>
      <c r="L9835" s="21" t="s">
        <v>114</v>
      </c>
      <c r="M9835" s="21" t="s">
        <v>6618</v>
      </c>
      <c r="N9835" s="21" t="s">
        <v>44</v>
      </c>
      <c r="O9835" s="21">
        <v>151</v>
      </c>
      <c r="P9835" s="21"/>
      <c r="Q9835" s="21">
        <f t="shared" si="206"/>
        <v>1</v>
      </c>
      <c r="R9835" s="21">
        <v>1</v>
      </c>
      <c r="S9835" s="21">
        <v>0</v>
      </c>
      <c r="T9835" s="21">
        <v>0</v>
      </c>
      <c r="U9835" s="21">
        <v>0</v>
      </c>
      <c r="V9835" s="21">
        <v>0</v>
      </c>
      <c r="W9835" s="21">
        <v>1</v>
      </c>
      <c r="X9835" s="21">
        <v>0</v>
      </c>
      <c r="Y9835" s="21">
        <v>0</v>
      </c>
      <c r="Z9835" s="21">
        <v>0</v>
      </c>
      <c r="AA9835" s="21">
        <v>0</v>
      </c>
      <c r="AB9835" s="21">
        <v>0</v>
      </c>
      <c r="AC9835" s="21">
        <v>0</v>
      </c>
      <c r="AD9835" s="21">
        <v>0</v>
      </c>
      <c r="AE9835" s="21">
        <v>0</v>
      </c>
      <c r="AF9835" s="21">
        <v>0</v>
      </c>
      <c r="AG9835" s="21"/>
      <c r="AH9835" s="21">
        <f t="shared" si="207"/>
        <v>96</v>
      </c>
      <c r="AI9835" s="21"/>
      <c r="AJ9835" s="21" t="s">
        <v>54</v>
      </c>
      <c r="AK9835" s="21" t="s">
        <v>52</v>
      </c>
      <c r="AL9835" s="21" t="s">
        <v>7329</v>
      </c>
      <c r="AM9835" s="21" t="s">
        <v>7330</v>
      </c>
      <c r="AN9835" s="21">
        <v>-122.41368868333301</v>
      </c>
      <c r="AO9835" s="21">
        <v>37.797385666666599</v>
      </c>
      <c r="AP9835" s="21" t="s">
        <v>116</v>
      </c>
    </row>
    <row r="9836" spans="1:42">
      <c r="A9836" s="20">
        <v>43871</v>
      </c>
      <c r="B9836" s="21">
        <v>1</v>
      </c>
      <c r="C9836" s="21">
        <v>232</v>
      </c>
      <c r="D9836" s="21">
        <v>14476</v>
      </c>
      <c r="E9836" s="7" t="s">
        <v>112</v>
      </c>
      <c r="F9836" s="21" t="s">
        <v>104</v>
      </c>
      <c r="G9836" s="21">
        <v>2</v>
      </c>
      <c r="H9836" s="21">
        <v>121</v>
      </c>
      <c r="I9836" s="21" t="s">
        <v>7331</v>
      </c>
      <c r="J9836" s="21"/>
      <c r="K9836" s="21" t="s">
        <v>101</v>
      </c>
      <c r="L9836" s="21" t="s">
        <v>114</v>
      </c>
      <c r="M9836" s="21" t="s">
        <v>6618</v>
      </c>
      <c r="N9836" s="21" t="s">
        <v>44</v>
      </c>
      <c r="O9836" s="21">
        <v>85</v>
      </c>
      <c r="P9836" s="21"/>
      <c r="Q9836" s="21">
        <f t="shared" si="206"/>
        <v>1</v>
      </c>
      <c r="R9836" s="21">
        <v>1</v>
      </c>
      <c r="S9836" s="21">
        <v>0</v>
      </c>
      <c r="T9836" s="21">
        <v>0</v>
      </c>
      <c r="U9836" s="21">
        <v>0</v>
      </c>
      <c r="V9836" s="21">
        <v>0</v>
      </c>
      <c r="W9836" s="21">
        <v>1</v>
      </c>
      <c r="X9836" s="21">
        <v>0</v>
      </c>
      <c r="Y9836" s="21">
        <v>0</v>
      </c>
      <c r="Z9836" s="21">
        <v>0</v>
      </c>
      <c r="AA9836" s="21">
        <v>0</v>
      </c>
      <c r="AB9836" s="21">
        <v>0</v>
      </c>
      <c r="AC9836" s="21">
        <v>0</v>
      </c>
      <c r="AD9836" s="21">
        <v>0</v>
      </c>
      <c r="AE9836" s="21">
        <v>0</v>
      </c>
      <c r="AF9836" s="21">
        <v>0</v>
      </c>
      <c r="AG9836" s="21"/>
      <c r="AH9836" s="21">
        <f t="shared" si="207"/>
        <v>96</v>
      </c>
      <c r="AI9836" s="21"/>
      <c r="AJ9836" s="21" t="s">
        <v>54</v>
      </c>
      <c r="AK9836" s="21" t="s">
        <v>52</v>
      </c>
      <c r="AL9836" s="21" t="s">
        <v>7332</v>
      </c>
      <c r="AM9836" s="21" t="s">
        <v>7333</v>
      </c>
      <c r="AN9836" s="21">
        <v>-122.413736766667</v>
      </c>
      <c r="AO9836" s="21">
        <v>37.797345766666702</v>
      </c>
      <c r="AP9836" s="21" t="s">
        <v>116</v>
      </c>
    </row>
    <row r="9837" spans="1:42">
      <c r="A9837" s="20">
        <v>43871</v>
      </c>
      <c r="B9837" s="21">
        <v>1</v>
      </c>
      <c r="C9837" s="21">
        <v>232</v>
      </c>
      <c r="D9837" s="21">
        <v>14476</v>
      </c>
      <c r="E9837" s="7" t="s">
        <v>112</v>
      </c>
      <c r="F9837" s="21" t="s">
        <v>104</v>
      </c>
      <c r="G9837" s="21">
        <v>2</v>
      </c>
      <c r="H9837" s="21">
        <v>122</v>
      </c>
      <c r="I9837" s="21" t="s">
        <v>7136</v>
      </c>
      <c r="J9837" s="21"/>
      <c r="K9837" s="21" t="s">
        <v>185</v>
      </c>
      <c r="L9837" s="21" t="s">
        <v>114</v>
      </c>
      <c r="M9837" s="21" t="s">
        <v>7038</v>
      </c>
      <c r="N9837" s="21" t="s">
        <v>44</v>
      </c>
      <c r="O9837" s="21">
        <v>75</v>
      </c>
      <c r="P9837" s="21"/>
      <c r="Q9837" s="21">
        <f t="shared" si="206"/>
        <v>1</v>
      </c>
      <c r="R9837" s="21">
        <v>1</v>
      </c>
      <c r="S9837" s="21">
        <v>0</v>
      </c>
      <c r="T9837" s="21">
        <v>0</v>
      </c>
      <c r="U9837" s="21">
        <v>0</v>
      </c>
      <c r="V9837" s="21">
        <v>0</v>
      </c>
      <c r="W9837" s="21">
        <v>1</v>
      </c>
      <c r="X9837" s="21">
        <v>0</v>
      </c>
      <c r="Y9837" s="21">
        <v>0</v>
      </c>
      <c r="Z9837" s="21">
        <v>0</v>
      </c>
      <c r="AA9837" s="21">
        <v>0</v>
      </c>
      <c r="AB9837" s="21">
        <v>0</v>
      </c>
      <c r="AC9837" s="21">
        <v>0</v>
      </c>
      <c r="AD9837" s="21">
        <v>0</v>
      </c>
      <c r="AE9837" s="21">
        <v>0</v>
      </c>
      <c r="AF9837" s="21">
        <v>0</v>
      </c>
      <c r="AG9837" s="21"/>
      <c r="AH9837" s="21">
        <f t="shared" si="207"/>
        <v>96</v>
      </c>
      <c r="AI9837" s="21"/>
      <c r="AJ9837" s="21" t="s">
        <v>54</v>
      </c>
      <c r="AK9837" s="21" t="s">
        <v>52</v>
      </c>
      <c r="AL9837" s="21" t="s">
        <v>7334</v>
      </c>
      <c r="AM9837" s="21" t="s">
        <v>7335</v>
      </c>
      <c r="AN9837" s="21">
        <v>-122.413737333333</v>
      </c>
      <c r="AO9837" s="21">
        <v>37.797297866666597</v>
      </c>
      <c r="AP9837" s="21" t="s">
        <v>116</v>
      </c>
    </row>
    <row r="9838" spans="1:42">
      <c r="A9838" s="20">
        <v>43871</v>
      </c>
      <c r="B9838" s="21">
        <v>1</v>
      </c>
      <c r="C9838" s="21">
        <v>232</v>
      </c>
      <c r="D9838" s="21">
        <v>14476</v>
      </c>
      <c r="E9838" s="7" t="s">
        <v>112</v>
      </c>
      <c r="F9838" s="21" t="s">
        <v>104</v>
      </c>
      <c r="G9838" s="21">
        <v>2</v>
      </c>
      <c r="H9838" s="21">
        <v>123</v>
      </c>
      <c r="I9838" s="21" t="s">
        <v>7336</v>
      </c>
      <c r="J9838" s="21"/>
      <c r="K9838" s="21" t="s">
        <v>185</v>
      </c>
      <c r="L9838" s="21" t="s">
        <v>141</v>
      </c>
      <c r="M9838" s="21" t="s">
        <v>7038</v>
      </c>
      <c r="N9838" s="21" t="s">
        <v>44</v>
      </c>
      <c r="O9838" s="21">
        <v>74</v>
      </c>
      <c r="P9838" s="21"/>
      <c r="Q9838" s="21">
        <f t="shared" si="206"/>
        <v>2</v>
      </c>
      <c r="R9838" s="21">
        <v>1</v>
      </c>
      <c r="S9838" s="21">
        <v>0</v>
      </c>
      <c r="T9838" s="21">
        <v>0</v>
      </c>
      <c r="U9838" s="21">
        <v>1</v>
      </c>
      <c r="V9838" s="21">
        <v>1</v>
      </c>
      <c r="W9838" s="21">
        <v>0</v>
      </c>
      <c r="X9838" s="21">
        <v>0</v>
      </c>
      <c r="Y9838" s="21">
        <v>0</v>
      </c>
      <c r="Z9838" s="21">
        <v>0</v>
      </c>
      <c r="AA9838" s="21">
        <v>0</v>
      </c>
      <c r="AB9838" s="21">
        <v>0</v>
      </c>
      <c r="AC9838" s="21">
        <v>0</v>
      </c>
      <c r="AD9838" s="21">
        <v>0</v>
      </c>
      <c r="AE9838" s="21">
        <v>0</v>
      </c>
      <c r="AF9838" s="21">
        <v>0</v>
      </c>
      <c r="AG9838" s="21"/>
      <c r="AH9838" s="21">
        <f t="shared" si="207"/>
        <v>96</v>
      </c>
      <c r="AI9838" s="21"/>
      <c r="AJ9838" s="21" t="s">
        <v>51</v>
      </c>
      <c r="AK9838" s="21" t="s">
        <v>52</v>
      </c>
      <c r="AL9838" s="21" t="s">
        <v>7337</v>
      </c>
      <c r="AM9838" s="21" t="s">
        <v>7338</v>
      </c>
      <c r="AN9838" s="21">
        <v>-122.413633033333</v>
      </c>
      <c r="AO9838" s="21">
        <v>37.796923800000002</v>
      </c>
      <c r="AP9838" s="21" t="s">
        <v>116</v>
      </c>
    </row>
    <row r="9839" spans="1:42">
      <c r="A9839" s="20">
        <v>43871</v>
      </c>
      <c r="B9839" s="21">
        <v>1</v>
      </c>
      <c r="C9839" s="21">
        <v>232</v>
      </c>
      <c r="D9839" s="21">
        <v>14476</v>
      </c>
      <c r="E9839" s="7" t="s">
        <v>112</v>
      </c>
      <c r="F9839" s="21" t="s">
        <v>104</v>
      </c>
      <c r="G9839" s="21">
        <v>2</v>
      </c>
      <c r="H9839" s="21">
        <v>124</v>
      </c>
      <c r="I9839" s="21" t="s">
        <v>3761</v>
      </c>
      <c r="J9839" s="21"/>
      <c r="K9839" s="21" t="s">
        <v>101</v>
      </c>
      <c r="L9839" s="21" t="s">
        <v>141</v>
      </c>
      <c r="M9839" s="21" t="s">
        <v>7038</v>
      </c>
      <c r="N9839" s="21" t="s">
        <v>44</v>
      </c>
      <c r="O9839" s="21">
        <v>110</v>
      </c>
      <c r="P9839" s="21"/>
      <c r="Q9839" s="21">
        <f t="shared" si="206"/>
        <v>2</v>
      </c>
      <c r="R9839" s="21">
        <v>1</v>
      </c>
      <c r="S9839" s="21">
        <v>0</v>
      </c>
      <c r="T9839" s="21">
        <v>1</v>
      </c>
      <c r="U9839" s="21">
        <v>0</v>
      </c>
      <c r="V9839" s="21">
        <v>0</v>
      </c>
      <c r="W9839" s="21">
        <v>1</v>
      </c>
      <c r="X9839" s="21">
        <v>0</v>
      </c>
      <c r="Y9839" s="21">
        <v>0</v>
      </c>
      <c r="Z9839" s="21">
        <v>0</v>
      </c>
      <c r="AA9839" s="21">
        <v>0</v>
      </c>
      <c r="AB9839" s="21">
        <v>0</v>
      </c>
      <c r="AC9839" s="21">
        <v>0</v>
      </c>
      <c r="AD9839" s="21">
        <v>0</v>
      </c>
      <c r="AE9839" s="21">
        <v>0</v>
      </c>
      <c r="AF9839" s="21">
        <v>0</v>
      </c>
      <c r="AG9839" s="21"/>
      <c r="AH9839" s="21">
        <f t="shared" si="207"/>
        <v>116</v>
      </c>
      <c r="AI9839" s="21"/>
      <c r="AJ9839" s="21" t="s">
        <v>51</v>
      </c>
      <c r="AK9839" s="21" t="s">
        <v>52</v>
      </c>
      <c r="AL9839" s="21" t="s">
        <v>1790</v>
      </c>
      <c r="AM9839" s="21" t="s">
        <v>7339</v>
      </c>
      <c r="AN9839" s="21">
        <v>-122.413574466667</v>
      </c>
      <c r="AO9839" s="21">
        <v>37.796721416666699</v>
      </c>
      <c r="AP9839" s="21" t="s">
        <v>116</v>
      </c>
    </row>
    <row r="9840" spans="1:42">
      <c r="A9840" s="20">
        <v>43871</v>
      </c>
      <c r="B9840" s="21">
        <v>1</v>
      </c>
      <c r="C9840" s="21">
        <v>232</v>
      </c>
      <c r="D9840" s="21">
        <v>14476</v>
      </c>
      <c r="E9840" s="7" t="s">
        <v>112</v>
      </c>
      <c r="F9840" s="21" t="s">
        <v>104</v>
      </c>
      <c r="G9840" s="21">
        <v>2</v>
      </c>
      <c r="H9840" s="21">
        <v>125</v>
      </c>
      <c r="I9840" s="21" t="s">
        <v>6411</v>
      </c>
      <c r="J9840" s="21"/>
      <c r="K9840" s="21" t="s">
        <v>101</v>
      </c>
      <c r="L9840" s="21" t="s">
        <v>114</v>
      </c>
      <c r="M9840" s="21" t="s">
        <v>7038</v>
      </c>
      <c r="N9840" s="21" t="s">
        <v>44</v>
      </c>
      <c r="O9840" s="21">
        <v>86</v>
      </c>
      <c r="P9840" s="21"/>
      <c r="Q9840" s="21">
        <f t="shared" si="206"/>
        <v>2</v>
      </c>
      <c r="R9840" s="21">
        <v>1</v>
      </c>
      <c r="S9840" s="21">
        <v>0</v>
      </c>
      <c r="T9840" s="21">
        <v>0</v>
      </c>
      <c r="U9840" s="21">
        <v>1</v>
      </c>
      <c r="V9840" s="21">
        <v>0</v>
      </c>
      <c r="W9840" s="21">
        <v>1</v>
      </c>
      <c r="X9840" s="21">
        <v>0</v>
      </c>
      <c r="Y9840" s="21">
        <v>0</v>
      </c>
      <c r="Z9840" s="21">
        <v>0</v>
      </c>
      <c r="AA9840" s="21">
        <v>0</v>
      </c>
      <c r="AB9840" s="21">
        <v>0</v>
      </c>
      <c r="AC9840" s="21">
        <v>0</v>
      </c>
      <c r="AD9840" s="21">
        <v>0</v>
      </c>
      <c r="AE9840" s="21">
        <v>0</v>
      </c>
      <c r="AF9840" s="21">
        <v>0</v>
      </c>
      <c r="AG9840" s="21"/>
      <c r="AH9840" s="21">
        <f t="shared" si="207"/>
        <v>128</v>
      </c>
      <c r="AI9840" s="21"/>
      <c r="AJ9840" s="21" t="s">
        <v>51</v>
      </c>
      <c r="AK9840" s="21" t="s">
        <v>52</v>
      </c>
      <c r="AL9840" s="21" t="s">
        <v>7105</v>
      </c>
      <c r="AM9840" s="21" t="s">
        <v>7340</v>
      </c>
      <c r="AN9840" s="21">
        <v>-122.41346735</v>
      </c>
      <c r="AO9840" s="21">
        <v>37.7967454333333</v>
      </c>
      <c r="AP9840" s="21" t="s">
        <v>116</v>
      </c>
    </row>
    <row r="9841" spans="1:42">
      <c r="A9841" s="20">
        <v>43871</v>
      </c>
      <c r="B9841" s="21">
        <v>1</v>
      </c>
      <c r="C9841" s="21">
        <v>232</v>
      </c>
      <c r="D9841" s="21">
        <v>14476</v>
      </c>
      <c r="E9841" s="7" t="s">
        <v>112</v>
      </c>
      <c r="F9841" s="21" t="s">
        <v>104</v>
      </c>
      <c r="G9841" s="21">
        <v>2</v>
      </c>
      <c r="H9841" s="21">
        <v>126</v>
      </c>
      <c r="I9841" s="21" t="s">
        <v>4797</v>
      </c>
      <c r="J9841" s="21"/>
      <c r="K9841" s="21" t="s">
        <v>101</v>
      </c>
      <c r="L9841" s="21" t="s">
        <v>114</v>
      </c>
      <c r="M9841" s="21" t="s">
        <v>6618</v>
      </c>
      <c r="N9841" s="21" t="s">
        <v>44</v>
      </c>
      <c r="O9841" s="21">
        <v>66</v>
      </c>
      <c r="P9841" s="21"/>
      <c r="Q9841" s="21">
        <f t="shared" si="206"/>
        <v>1</v>
      </c>
      <c r="R9841" s="21">
        <v>1</v>
      </c>
      <c r="S9841" s="21">
        <v>0</v>
      </c>
      <c r="T9841" s="21">
        <v>0</v>
      </c>
      <c r="U9841" s="21">
        <v>0</v>
      </c>
      <c r="V9841" s="21">
        <v>0</v>
      </c>
      <c r="W9841" s="21">
        <v>1</v>
      </c>
      <c r="X9841" s="21">
        <v>0</v>
      </c>
      <c r="Y9841" s="21">
        <v>0</v>
      </c>
      <c r="Z9841" s="21">
        <v>0</v>
      </c>
      <c r="AA9841" s="21">
        <v>0</v>
      </c>
      <c r="AB9841" s="21">
        <v>0</v>
      </c>
      <c r="AC9841" s="21">
        <v>0</v>
      </c>
      <c r="AD9841" s="21">
        <v>0</v>
      </c>
      <c r="AE9841" s="21">
        <v>0</v>
      </c>
      <c r="AF9841" s="21">
        <v>0</v>
      </c>
      <c r="AG9841" s="21"/>
      <c r="AH9841" s="21">
        <f t="shared" si="207"/>
        <v>96</v>
      </c>
      <c r="AI9841" s="21"/>
      <c r="AJ9841" s="21" t="s">
        <v>51</v>
      </c>
      <c r="AK9841" s="21" t="s">
        <v>52</v>
      </c>
      <c r="AL9841" s="21" t="s">
        <v>7341</v>
      </c>
      <c r="AM9841" s="21" t="s">
        <v>7342</v>
      </c>
      <c r="AN9841" s="21">
        <v>-122.413569433333</v>
      </c>
      <c r="AO9841" s="21">
        <v>37.796751416666702</v>
      </c>
      <c r="AP9841" s="21" t="s">
        <v>116</v>
      </c>
    </row>
    <row r="9842" spans="1:42">
      <c r="A9842" s="20">
        <v>43871</v>
      </c>
      <c r="B9842" s="21">
        <v>1</v>
      </c>
      <c r="C9842" s="21">
        <v>232</v>
      </c>
      <c r="D9842" s="21">
        <v>14476</v>
      </c>
      <c r="E9842" s="7" t="s">
        <v>112</v>
      </c>
      <c r="F9842" s="21" t="s">
        <v>104</v>
      </c>
      <c r="G9842" s="21">
        <v>2</v>
      </c>
      <c r="H9842" s="21">
        <v>127</v>
      </c>
      <c r="I9842" s="21" t="s">
        <v>3618</v>
      </c>
      <c r="J9842" s="21"/>
      <c r="K9842" s="21" t="s">
        <v>101</v>
      </c>
      <c r="L9842" s="21" t="s">
        <v>141</v>
      </c>
      <c r="M9842" s="21" t="s">
        <v>7038</v>
      </c>
      <c r="N9842" s="21" t="s">
        <v>44</v>
      </c>
      <c r="O9842" s="21">
        <v>83</v>
      </c>
      <c r="P9842" s="21"/>
      <c r="Q9842" s="21">
        <f t="shared" si="206"/>
        <v>2</v>
      </c>
      <c r="R9842" s="21">
        <v>1</v>
      </c>
      <c r="S9842" s="21">
        <v>0</v>
      </c>
      <c r="T9842" s="21">
        <v>0</v>
      </c>
      <c r="U9842" s="21">
        <v>1</v>
      </c>
      <c r="V9842" s="21">
        <v>0</v>
      </c>
      <c r="W9842" s="21">
        <v>1</v>
      </c>
      <c r="X9842" s="21">
        <v>0</v>
      </c>
      <c r="Y9842" s="21">
        <v>0</v>
      </c>
      <c r="Z9842" s="21">
        <v>0</v>
      </c>
      <c r="AA9842" s="21">
        <v>0</v>
      </c>
      <c r="AB9842" s="21">
        <v>0</v>
      </c>
      <c r="AC9842" s="21">
        <v>0</v>
      </c>
      <c r="AD9842" s="21">
        <v>0</v>
      </c>
      <c r="AE9842" s="21">
        <v>0</v>
      </c>
      <c r="AF9842" s="21">
        <v>0</v>
      </c>
      <c r="AG9842" s="21"/>
      <c r="AH9842" s="21">
        <f t="shared" si="207"/>
        <v>128</v>
      </c>
      <c r="AI9842" s="21"/>
      <c r="AJ9842" s="21" t="s">
        <v>51</v>
      </c>
      <c r="AK9842" s="21" t="s">
        <v>52</v>
      </c>
      <c r="AL9842" s="21" t="s">
        <v>7343</v>
      </c>
      <c r="AM9842" s="21" t="s">
        <v>7344</v>
      </c>
      <c r="AN9842" s="21">
        <v>-122.413673283333</v>
      </c>
      <c r="AO9842" s="21">
        <v>37.796540700000001</v>
      </c>
      <c r="AP9842" s="21" t="s">
        <v>116</v>
      </c>
    </row>
    <row r="9843" spans="1:42">
      <c r="A9843" s="20">
        <v>43871</v>
      </c>
      <c r="B9843" s="21">
        <v>1</v>
      </c>
      <c r="C9843" s="21">
        <v>232</v>
      </c>
      <c r="D9843" s="21">
        <v>14476</v>
      </c>
      <c r="E9843" s="7" t="s">
        <v>112</v>
      </c>
      <c r="F9843" s="21" t="s">
        <v>104</v>
      </c>
      <c r="G9843" s="21">
        <v>2</v>
      </c>
      <c r="H9843" s="21">
        <v>128</v>
      </c>
      <c r="I9843" s="21" t="s">
        <v>3096</v>
      </c>
      <c r="J9843" s="21"/>
      <c r="K9843" s="21" t="s">
        <v>101</v>
      </c>
      <c r="L9843" s="21" t="s">
        <v>114</v>
      </c>
      <c r="M9843" s="21" t="s">
        <v>6618</v>
      </c>
      <c r="N9843" s="21" t="s">
        <v>44</v>
      </c>
      <c r="O9843" s="21">
        <v>88</v>
      </c>
      <c r="P9843" s="21"/>
      <c r="Q9843" s="21">
        <f t="shared" si="206"/>
        <v>1</v>
      </c>
      <c r="R9843" s="21">
        <v>1</v>
      </c>
      <c r="S9843" s="21">
        <v>0</v>
      </c>
      <c r="T9843" s="21">
        <v>0</v>
      </c>
      <c r="U9843" s="21">
        <v>0</v>
      </c>
      <c r="V9843" s="21">
        <v>0</v>
      </c>
      <c r="W9843" s="21">
        <v>1</v>
      </c>
      <c r="X9843" s="21">
        <v>0</v>
      </c>
      <c r="Y9843" s="21">
        <v>0</v>
      </c>
      <c r="Z9843" s="21">
        <v>0</v>
      </c>
      <c r="AA9843" s="21">
        <v>0</v>
      </c>
      <c r="AB9843" s="21">
        <v>0</v>
      </c>
      <c r="AC9843" s="21">
        <v>0</v>
      </c>
      <c r="AD9843" s="21">
        <v>0</v>
      </c>
      <c r="AE9843" s="21">
        <v>0</v>
      </c>
      <c r="AF9843" s="21">
        <v>0</v>
      </c>
      <c r="AG9843" s="21"/>
      <c r="AH9843" s="21">
        <f t="shared" si="207"/>
        <v>96</v>
      </c>
      <c r="AI9843" s="21"/>
      <c r="AJ9843" s="21" t="s">
        <v>51</v>
      </c>
      <c r="AK9843" s="21" t="s">
        <v>52</v>
      </c>
      <c r="AL9843" s="21" t="s">
        <v>7345</v>
      </c>
      <c r="AM9843" s="21" t="s">
        <v>7346</v>
      </c>
      <c r="AN9843" s="21">
        <v>-122.4134026</v>
      </c>
      <c r="AO9843" s="21">
        <v>37.796268383333299</v>
      </c>
      <c r="AP9843" s="21" t="s">
        <v>116</v>
      </c>
    </row>
    <row r="9844" spans="1:42">
      <c r="A9844" s="20">
        <v>43871</v>
      </c>
      <c r="B9844" s="21">
        <v>1</v>
      </c>
      <c r="C9844" s="21">
        <v>232</v>
      </c>
      <c r="D9844" s="21">
        <v>14476</v>
      </c>
      <c r="E9844" s="7" t="s">
        <v>112</v>
      </c>
      <c r="F9844" s="21" t="s">
        <v>104</v>
      </c>
      <c r="G9844" s="21">
        <v>2</v>
      </c>
      <c r="H9844" s="21">
        <v>129</v>
      </c>
      <c r="I9844" s="21" t="s">
        <v>7347</v>
      </c>
      <c r="J9844" s="21"/>
      <c r="K9844" s="21" t="s">
        <v>101</v>
      </c>
      <c r="L9844" s="21" t="s">
        <v>114</v>
      </c>
      <c r="M9844" s="21" t="s">
        <v>6618</v>
      </c>
      <c r="N9844" s="21" t="s">
        <v>44</v>
      </c>
      <c r="O9844" s="21">
        <v>215</v>
      </c>
      <c r="P9844" s="21"/>
      <c r="Q9844" s="21">
        <f t="shared" si="206"/>
        <v>3</v>
      </c>
      <c r="R9844" s="21">
        <v>1</v>
      </c>
      <c r="S9844" s="21">
        <v>0</v>
      </c>
      <c r="T9844" s="21">
        <v>0</v>
      </c>
      <c r="U9844" s="21">
        <v>0</v>
      </c>
      <c r="V9844" s="21">
        <v>1</v>
      </c>
      <c r="W9844" s="21">
        <v>2</v>
      </c>
      <c r="X9844" s="21">
        <v>0</v>
      </c>
      <c r="Y9844" s="21">
        <v>0</v>
      </c>
      <c r="Z9844" s="21">
        <v>0</v>
      </c>
      <c r="AA9844" s="21">
        <v>0</v>
      </c>
      <c r="AB9844" s="21">
        <v>0</v>
      </c>
      <c r="AC9844" s="21">
        <v>0</v>
      </c>
      <c r="AD9844" s="21">
        <v>0</v>
      </c>
      <c r="AE9844" s="21">
        <v>0</v>
      </c>
      <c r="AF9844" s="21">
        <v>0</v>
      </c>
      <c r="AG9844" s="21"/>
      <c r="AH9844" s="21">
        <f t="shared" si="207"/>
        <v>256</v>
      </c>
      <c r="AI9844" s="21"/>
      <c r="AJ9844" s="21" t="s">
        <v>51</v>
      </c>
      <c r="AK9844" s="21" t="s">
        <v>52</v>
      </c>
      <c r="AL9844" s="21" t="s">
        <v>7348</v>
      </c>
      <c r="AM9844" s="21" t="s">
        <v>7349</v>
      </c>
      <c r="AN9844" s="21">
        <v>-122.416033339508</v>
      </c>
      <c r="AO9844" s="21">
        <v>37.798307876299198</v>
      </c>
      <c r="AP9844" s="21" t="s">
        <v>116</v>
      </c>
    </row>
    <row r="9845" spans="1:42">
      <c r="A9845" s="20">
        <v>43871</v>
      </c>
      <c r="B9845" s="21">
        <v>1</v>
      </c>
      <c r="C9845" s="21">
        <v>232</v>
      </c>
      <c r="D9845" s="21">
        <v>14476</v>
      </c>
      <c r="E9845" s="7" t="s">
        <v>112</v>
      </c>
      <c r="F9845" s="21" t="s">
        <v>104</v>
      </c>
      <c r="G9845" s="21">
        <v>2</v>
      </c>
      <c r="H9845" s="21">
        <v>130</v>
      </c>
      <c r="I9845" s="21" t="s">
        <v>6012</v>
      </c>
      <c r="J9845" s="21"/>
      <c r="K9845" s="21" t="s">
        <v>101</v>
      </c>
      <c r="L9845" s="21" t="s">
        <v>114</v>
      </c>
      <c r="M9845" s="21" t="s">
        <v>6618</v>
      </c>
      <c r="N9845" s="21" t="s">
        <v>44</v>
      </c>
      <c r="O9845" s="21">
        <v>84</v>
      </c>
      <c r="P9845" s="21"/>
      <c r="Q9845" s="21">
        <f t="shared" ref="Q9845:Q9856" si="208">S9845+T9845+U9845+V9845+W9845+X9845+Y9845+Z9845+AA9845+AB9845+AE9845+AF9845</f>
        <v>1</v>
      </c>
      <c r="R9845" s="21">
        <v>1</v>
      </c>
      <c r="S9845" s="21">
        <v>0</v>
      </c>
      <c r="T9845" s="21">
        <v>0</v>
      </c>
      <c r="U9845" s="21">
        <v>0</v>
      </c>
      <c r="V9845" s="21">
        <v>0</v>
      </c>
      <c r="W9845" s="21">
        <v>1</v>
      </c>
      <c r="X9845" s="21">
        <v>0</v>
      </c>
      <c r="Y9845" s="21">
        <v>0</v>
      </c>
      <c r="Z9845" s="21">
        <v>0</v>
      </c>
      <c r="AA9845" s="21">
        <v>0</v>
      </c>
      <c r="AB9845" s="21">
        <v>0</v>
      </c>
      <c r="AC9845" s="21">
        <v>0</v>
      </c>
      <c r="AD9845" s="21">
        <v>0</v>
      </c>
      <c r="AE9845" s="21">
        <v>0</v>
      </c>
      <c r="AF9845" s="21">
        <v>0</v>
      </c>
      <c r="AG9845" s="21"/>
      <c r="AH9845" s="21">
        <f t="shared" ref="AH9845:AH9908" si="209">(S9845*16)+(T9845*20)+(U9845*32)+(V9845*64)+(W9845*96)</f>
        <v>96</v>
      </c>
      <c r="AI9845" s="21"/>
      <c r="AJ9845" s="21" t="s">
        <v>51</v>
      </c>
      <c r="AK9845" s="21" t="s">
        <v>52</v>
      </c>
      <c r="AL9845" s="21" t="s">
        <v>7350</v>
      </c>
      <c r="AM9845" s="21" t="s">
        <v>7351</v>
      </c>
      <c r="AN9845" s="21">
        <v>-122.413320933333</v>
      </c>
      <c r="AO9845" s="21">
        <v>37.795983133333301</v>
      </c>
      <c r="AP9845" s="21" t="s">
        <v>116</v>
      </c>
    </row>
    <row r="9846" spans="1:42">
      <c r="A9846" s="20">
        <v>43871</v>
      </c>
      <c r="B9846" s="21">
        <v>1</v>
      </c>
      <c r="C9846" s="21">
        <v>232</v>
      </c>
      <c r="D9846" s="21">
        <v>14476</v>
      </c>
      <c r="E9846" s="7" t="s">
        <v>112</v>
      </c>
      <c r="F9846" s="21" t="s">
        <v>104</v>
      </c>
      <c r="G9846" s="21">
        <v>2</v>
      </c>
      <c r="H9846" s="21">
        <v>131</v>
      </c>
      <c r="I9846" s="21" t="s">
        <v>7140</v>
      </c>
      <c r="J9846" s="21"/>
      <c r="K9846" s="21" t="s">
        <v>101</v>
      </c>
      <c r="L9846" s="21" t="s">
        <v>114</v>
      </c>
      <c r="M9846" s="21" t="s">
        <v>6618</v>
      </c>
      <c r="N9846" s="21" t="s">
        <v>44</v>
      </c>
      <c r="O9846" s="21">
        <v>108</v>
      </c>
      <c r="P9846" s="21"/>
      <c r="Q9846" s="21">
        <f t="shared" si="208"/>
        <v>1</v>
      </c>
      <c r="R9846" s="21">
        <v>1</v>
      </c>
      <c r="S9846" s="21">
        <v>0</v>
      </c>
      <c r="T9846" s="21">
        <v>0</v>
      </c>
      <c r="U9846" s="21">
        <v>0</v>
      </c>
      <c r="V9846" s="21">
        <v>0</v>
      </c>
      <c r="W9846" s="21">
        <v>1</v>
      </c>
      <c r="X9846" s="21">
        <v>0</v>
      </c>
      <c r="Y9846" s="21">
        <v>0</v>
      </c>
      <c r="Z9846" s="21">
        <v>0</v>
      </c>
      <c r="AA9846" s="21">
        <v>0</v>
      </c>
      <c r="AB9846" s="21">
        <v>0</v>
      </c>
      <c r="AC9846" s="21">
        <v>0</v>
      </c>
      <c r="AD9846" s="21">
        <v>0</v>
      </c>
      <c r="AE9846" s="21">
        <v>0</v>
      </c>
      <c r="AF9846" s="21">
        <v>0</v>
      </c>
      <c r="AG9846" s="21"/>
      <c r="AH9846" s="21">
        <f t="shared" si="209"/>
        <v>96</v>
      </c>
      <c r="AI9846" s="21"/>
      <c r="AJ9846" s="21" t="s">
        <v>51</v>
      </c>
      <c r="AK9846" s="21" t="s">
        <v>52</v>
      </c>
      <c r="AL9846" s="21" t="s">
        <v>7352</v>
      </c>
      <c r="AM9846" s="21" t="s">
        <v>7353</v>
      </c>
      <c r="AN9846" s="21">
        <v>-122.413331116667</v>
      </c>
      <c r="AO9846" s="21">
        <v>37.7959027333333</v>
      </c>
      <c r="AP9846" s="21" t="s">
        <v>116</v>
      </c>
    </row>
    <row r="9847" spans="1:42">
      <c r="A9847" s="20">
        <v>43871</v>
      </c>
      <c r="B9847" s="21">
        <v>1</v>
      </c>
      <c r="C9847" s="21">
        <v>232</v>
      </c>
      <c r="D9847" s="21">
        <v>14476</v>
      </c>
      <c r="E9847" s="7" t="s">
        <v>112</v>
      </c>
      <c r="F9847" s="21" t="s">
        <v>104</v>
      </c>
      <c r="G9847" s="21">
        <v>2</v>
      </c>
      <c r="H9847" s="21">
        <v>132</v>
      </c>
      <c r="I9847" s="21" t="s">
        <v>3852</v>
      </c>
      <c r="J9847" s="21"/>
      <c r="K9847" s="21" t="s">
        <v>101</v>
      </c>
      <c r="L9847" s="21" t="s">
        <v>114</v>
      </c>
      <c r="M9847" s="21" t="s">
        <v>6618</v>
      </c>
      <c r="N9847" s="21" t="s">
        <v>44</v>
      </c>
      <c r="O9847" s="21">
        <v>60</v>
      </c>
      <c r="P9847" s="21"/>
      <c r="Q9847" s="21">
        <f t="shared" si="208"/>
        <v>1</v>
      </c>
      <c r="R9847" s="21">
        <v>1</v>
      </c>
      <c r="S9847" s="21">
        <v>0</v>
      </c>
      <c r="T9847" s="21">
        <v>0</v>
      </c>
      <c r="U9847" s="21">
        <v>0</v>
      </c>
      <c r="V9847" s="21">
        <v>0</v>
      </c>
      <c r="W9847" s="21">
        <v>1</v>
      </c>
      <c r="X9847" s="21">
        <v>0</v>
      </c>
      <c r="Y9847" s="21">
        <v>0</v>
      </c>
      <c r="Z9847" s="21">
        <v>0</v>
      </c>
      <c r="AA9847" s="21">
        <v>0</v>
      </c>
      <c r="AB9847" s="21">
        <v>0</v>
      </c>
      <c r="AC9847" s="21">
        <v>0</v>
      </c>
      <c r="AD9847" s="21">
        <v>0</v>
      </c>
      <c r="AE9847" s="21">
        <v>0</v>
      </c>
      <c r="AF9847" s="21">
        <v>0</v>
      </c>
      <c r="AG9847" s="21"/>
      <c r="AH9847" s="21">
        <f t="shared" si="209"/>
        <v>96</v>
      </c>
      <c r="AI9847" s="21"/>
      <c r="AJ9847" s="21" t="s">
        <v>51</v>
      </c>
      <c r="AK9847" s="21" t="s">
        <v>52</v>
      </c>
      <c r="AL9847" s="21" t="s">
        <v>7354</v>
      </c>
      <c r="AM9847" s="21" t="s">
        <v>7355</v>
      </c>
      <c r="AN9847" s="21">
        <v>-122.413431116667</v>
      </c>
      <c r="AO9847" s="21">
        <v>37.795823216666598</v>
      </c>
      <c r="AP9847" s="21" t="s">
        <v>116</v>
      </c>
    </row>
    <row r="9848" spans="1:42">
      <c r="A9848" s="20">
        <v>43871</v>
      </c>
      <c r="B9848" s="21">
        <v>1</v>
      </c>
      <c r="C9848" s="21">
        <v>232</v>
      </c>
      <c r="D9848" s="21">
        <v>14476</v>
      </c>
      <c r="E9848" s="7" t="s">
        <v>112</v>
      </c>
      <c r="F9848" s="21" t="s">
        <v>104</v>
      </c>
      <c r="G9848" s="21">
        <v>2</v>
      </c>
      <c r="H9848" s="21">
        <v>133</v>
      </c>
      <c r="I9848" s="21" t="s">
        <v>7356</v>
      </c>
      <c r="J9848" s="21"/>
      <c r="K9848" s="21" t="s">
        <v>101</v>
      </c>
      <c r="L9848" s="21" t="s">
        <v>141</v>
      </c>
      <c r="M9848" s="21" t="s">
        <v>7038</v>
      </c>
      <c r="N9848" s="21" t="s">
        <v>42</v>
      </c>
      <c r="O9848" s="21">
        <v>59</v>
      </c>
      <c r="P9848" s="21"/>
      <c r="Q9848" s="21">
        <f t="shared" si="208"/>
        <v>1</v>
      </c>
      <c r="R9848" s="21">
        <v>1</v>
      </c>
      <c r="S9848" s="21">
        <v>0</v>
      </c>
      <c r="T9848" s="21">
        <v>0</v>
      </c>
      <c r="U9848" s="21">
        <v>0</v>
      </c>
      <c r="V9848" s="21">
        <v>0</v>
      </c>
      <c r="W9848" s="21">
        <v>1</v>
      </c>
      <c r="X9848" s="21">
        <v>0</v>
      </c>
      <c r="Y9848" s="21">
        <v>0</v>
      </c>
      <c r="Z9848" s="21">
        <v>0</v>
      </c>
      <c r="AA9848" s="21">
        <v>0</v>
      </c>
      <c r="AB9848" s="21">
        <v>0</v>
      </c>
      <c r="AC9848" s="21">
        <v>0</v>
      </c>
      <c r="AD9848" s="21">
        <v>0</v>
      </c>
      <c r="AE9848" s="21">
        <v>0</v>
      </c>
      <c r="AF9848" s="21">
        <v>0</v>
      </c>
      <c r="AG9848" s="21"/>
      <c r="AH9848" s="21">
        <f t="shared" si="209"/>
        <v>96</v>
      </c>
      <c r="AI9848" s="21"/>
      <c r="AJ9848" s="21" t="s">
        <v>51</v>
      </c>
      <c r="AK9848" s="21" t="s">
        <v>52</v>
      </c>
      <c r="AL9848" s="21" t="s">
        <v>7357</v>
      </c>
      <c r="AM9848" s="21" t="s">
        <v>7358</v>
      </c>
      <c r="AN9848" s="21">
        <v>-122.413413166667</v>
      </c>
      <c r="AO9848" s="21">
        <v>37.795809116666597</v>
      </c>
      <c r="AP9848" s="21" t="s">
        <v>116</v>
      </c>
    </row>
    <row r="9849" spans="1:42">
      <c r="A9849" s="20">
        <v>43871</v>
      </c>
      <c r="B9849" s="21">
        <v>1</v>
      </c>
      <c r="C9849" s="21">
        <v>232</v>
      </c>
      <c r="D9849" s="21">
        <v>14476</v>
      </c>
      <c r="E9849" s="7" t="s">
        <v>112</v>
      </c>
      <c r="F9849" s="21" t="s">
        <v>104</v>
      </c>
      <c r="G9849" s="21">
        <v>2</v>
      </c>
      <c r="H9849" s="21">
        <v>134</v>
      </c>
      <c r="I9849" s="21" t="s">
        <v>7130</v>
      </c>
      <c r="J9849" s="21"/>
      <c r="K9849" s="21" t="s">
        <v>101</v>
      </c>
      <c r="L9849" s="21" t="s">
        <v>141</v>
      </c>
      <c r="M9849" s="21" t="s">
        <v>7038</v>
      </c>
      <c r="N9849" s="21" t="s">
        <v>44</v>
      </c>
      <c r="O9849" s="21">
        <v>73</v>
      </c>
      <c r="P9849" s="21"/>
      <c r="Q9849" s="21">
        <f t="shared" si="208"/>
        <v>1</v>
      </c>
      <c r="R9849" s="21">
        <v>1</v>
      </c>
      <c r="S9849" s="21">
        <v>0</v>
      </c>
      <c r="T9849" s="21">
        <v>0</v>
      </c>
      <c r="U9849" s="21">
        <v>0</v>
      </c>
      <c r="V9849" s="21">
        <v>0</v>
      </c>
      <c r="W9849" s="21">
        <v>1</v>
      </c>
      <c r="X9849" s="21">
        <v>0</v>
      </c>
      <c r="Y9849" s="21">
        <v>0</v>
      </c>
      <c r="Z9849" s="21">
        <v>0</v>
      </c>
      <c r="AA9849" s="21">
        <v>0</v>
      </c>
      <c r="AB9849" s="21">
        <v>0</v>
      </c>
      <c r="AC9849" s="21">
        <v>0</v>
      </c>
      <c r="AD9849" s="21">
        <v>0</v>
      </c>
      <c r="AE9849" s="21">
        <v>0</v>
      </c>
      <c r="AF9849" s="21">
        <v>0</v>
      </c>
      <c r="AG9849" s="21"/>
      <c r="AH9849" s="21">
        <f t="shared" si="209"/>
        <v>96</v>
      </c>
      <c r="AI9849" s="21"/>
      <c r="AJ9849" s="21" t="s">
        <v>51</v>
      </c>
      <c r="AK9849" s="21" t="s">
        <v>52</v>
      </c>
      <c r="AL9849" s="21" t="s">
        <v>7359</v>
      </c>
      <c r="AM9849" s="21" t="s">
        <v>7360</v>
      </c>
      <c r="AN9849" s="21">
        <v>-122.4133167</v>
      </c>
      <c r="AO9849" s="21">
        <v>37.795798083333302</v>
      </c>
      <c r="AP9849" s="21" t="s">
        <v>116</v>
      </c>
    </row>
    <row r="9850" spans="1:42">
      <c r="A9850" s="20">
        <v>43871</v>
      </c>
      <c r="B9850" s="21">
        <v>1</v>
      </c>
      <c r="C9850" s="21">
        <v>232</v>
      </c>
      <c r="D9850" s="21">
        <v>14476</v>
      </c>
      <c r="E9850" s="7" t="s">
        <v>112</v>
      </c>
      <c r="F9850" s="21" t="s">
        <v>104</v>
      </c>
      <c r="G9850" s="21">
        <v>2</v>
      </c>
      <c r="H9850" s="21">
        <v>135</v>
      </c>
      <c r="I9850" s="21" t="s">
        <v>7361</v>
      </c>
      <c r="J9850" s="21"/>
      <c r="K9850" s="21" t="s">
        <v>7362</v>
      </c>
      <c r="L9850" s="21" t="s">
        <v>141</v>
      </c>
      <c r="M9850" s="21" t="s">
        <v>7038</v>
      </c>
      <c r="N9850" s="21" t="s">
        <v>44</v>
      </c>
      <c r="O9850" s="21">
        <v>118</v>
      </c>
      <c r="P9850" s="21"/>
      <c r="Q9850" s="21">
        <f t="shared" si="208"/>
        <v>2</v>
      </c>
      <c r="R9850" s="21">
        <v>1</v>
      </c>
      <c r="S9850" s="21">
        <v>0</v>
      </c>
      <c r="T9850" s="21">
        <v>0</v>
      </c>
      <c r="U9850" s="21">
        <v>0</v>
      </c>
      <c r="V9850" s="21">
        <v>0</v>
      </c>
      <c r="W9850" s="21">
        <v>2</v>
      </c>
      <c r="X9850" s="21">
        <v>0</v>
      </c>
      <c r="Y9850" s="21">
        <v>0</v>
      </c>
      <c r="Z9850" s="21">
        <v>0</v>
      </c>
      <c r="AA9850" s="21">
        <v>0</v>
      </c>
      <c r="AB9850" s="21">
        <v>0</v>
      </c>
      <c r="AC9850" s="21">
        <v>0</v>
      </c>
      <c r="AD9850" s="21">
        <v>0</v>
      </c>
      <c r="AE9850" s="21">
        <v>0</v>
      </c>
      <c r="AF9850" s="21">
        <v>0</v>
      </c>
      <c r="AG9850" s="21"/>
      <c r="AH9850" s="21">
        <f t="shared" si="209"/>
        <v>192</v>
      </c>
      <c r="AI9850" s="21"/>
      <c r="AJ9850" s="21" t="s">
        <v>51</v>
      </c>
      <c r="AK9850" s="21" t="s">
        <v>52</v>
      </c>
      <c r="AL9850" s="21" t="s">
        <v>7134</v>
      </c>
      <c r="AM9850" s="21" t="s">
        <v>7363</v>
      </c>
      <c r="AN9850" s="21">
        <v>-122.413262766667</v>
      </c>
      <c r="AO9850" s="21">
        <v>37.7959483333333</v>
      </c>
      <c r="AP9850" s="21" t="s">
        <v>116</v>
      </c>
    </row>
    <row r="9851" spans="1:42">
      <c r="A9851" s="20">
        <v>43871</v>
      </c>
      <c r="B9851" s="21">
        <v>1</v>
      </c>
      <c r="C9851" s="21">
        <v>232</v>
      </c>
      <c r="D9851" s="21">
        <v>14476</v>
      </c>
      <c r="E9851" s="7" t="s">
        <v>112</v>
      </c>
      <c r="F9851" s="21" t="s">
        <v>104</v>
      </c>
      <c r="G9851" s="21">
        <v>2</v>
      </c>
      <c r="H9851" s="21">
        <v>136</v>
      </c>
      <c r="I9851" s="21" t="s">
        <v>7364</v>
      </c>
      <c r="J9851" s="21"/>
      <c r="K9851" s="21" t="s">
        <v>101</v>
      </c>
      <c r="L9851" s="21" t="s">
        <v>141</v>
      </c>
      <c r="M9851" s="21" t="s">
        <v>7038</v>
      </c>
      <c r="N9851" s="21" t="s">
        <v>44</v>
      </c>
      <c r="O9851" s="21">
        <v>114</v>
      </c>
      <c r="P9851" s="21"/>
      <c r="Q9851" s="21">
        <f t="shared" si="208"/>
        <v>3</v>
      </c>
      <c r="R9851" s="21">
        <v>1</v>
      </c>
      <c r="S9851" s="21">
        <v>0</v>
      </c>
      <c r="T9851" s="21">
        <v>0</v>
      </c>
      <c r="U9851" s="21">
        <v>0</v>
      </c>
      <c r="V9851" s="21">
        <v>1</v>
      </c>
      <c r="W9851" s="21">
        <v>2</v>
      </c>
      <c r="X9851" s="21">
        <v>0</v>
      </c>
      <c r="Y9851" s="21">
        <v>0</v>
      </c>
      <c r="Z9851" s="21">
        <v>0</v>
      </c>
      <c r="AA9851" s="21">
        <v>0</v>
      </c>
      <c r="AB9851" s="21">
        <v>0</v>
      </c>
      <c r="AC9851" s="21">
        <v>0</v>
      </c>
      <c r="AD9851" s="21">
        <v>0</v>
      </c>
      <c r="AE9851" s="21">
        <v>0</v>
      </c>
      <c r="AF9851" s="21">
        <v>0</v>
      </c>
      <c r="AG9851" s="21"/>
      <c r="AH9851" s="21">
        <f t="shared" si="209"/>
        <v>256</v>
      </c>
      <c r="AI9851" s="21"/>
      <c r="AJ9851" s="21" t="s">
        <v>51</v>
      </c>
      <c r="AK9851" s="21" t="s">
        <v>52</v>
      </c>
      <c r="AL9851" s="21" t="s">
        <v>7365</v>
      </c>
      <c r="AM9851" s="21" t="s">
        <v>7366</v>
      </c>
      <c r="AN9851" s="21">
        <v>-122.4133108</v>
      </c>
      <c r="AO9851" s="21">
        <v>37.795831716666697</v>
      </c>
      <c r="AP9851" s="21" t="s">
        <v>116</v>
      </c>
    </row>
    <row r="9852" spans="1:42">
      <c r="A9852" s="20">
        <v>43871</v>
      </c>
      <c r="B9852" s="21">
        <v>1</v>
      </c>
      <c r="C9852" s="21">
        <v>232</v>
      </c>
      <c r="D9852" s="21">
        <v>14476</v>
      </c>
      <c r="E9852" s="7" t="s">
        <v>112</v>
      </c>
      <c r="F9852" s="21" t="s">
        <v>104</v>
      </c>
      <c r="G9852" s="21">
        <v>2</v>
      </c>
      <c r="H9852" s="21">
        <v>137</v>
      </c>
      <c r="I9852" s="21" t="s">
        <v>3332</v>
      </c>
      <c r="J9852" s="21"/>
      <c r="K9852" s="21" t="s">
        <v>101</v>
      </c>
      <c r="L9852" s="21" t="s">
        <v>114</v>
      </c>
      <c r="M9852" s="21" t="s">
        <v>6618</v>
      </c>
      <c r="N9852" s="21" t="s">
        <v>44</v>
      </c>
      <c r="O9852" s="21">
        <v>122</v>
      </c>
      <c r="P9852" s="21"/>
      <c r="Q9852" s="21">
        <f t="shared" si="208"/>
        <v>2</v>
      </c>
      <c r="R9852" s="21">
        <v>1</v>
      </c>
      <c r="S9852" s="21">
        <v>0</v>
      </c>
      <c r="T9852" s="21">
        <v>0</v>
      </c>
      <c r="U9852" s="21">
        <v>1</v>
      </c>
      <c r="V9852" s="21">
        <v>0</v>
      </c>
      <c r="W9852" s="21">
        <v>1</v>
      </c>
      <c r="X9852" s="21">
        <v>0</v>
      </c>
      <c r="Y9852" s="21">
        <v>0</v>
      </c>
      <c r="Z9852" s="21">
        <v>0</v>
      </c>
      <c r="AA9852" s="21">
        <v>0</v>
      </c>
      <c r="AB9852" s="21">
        <v>0</v>
      </c>
      <c r="AC9852" s="21">
        <v>0</v>
      </c>
      <c r="AD9852" s="21">
        <v>0</v>
      </c>
      <c r="AE9852" s="21">
        <v>0</v>
      </c>
      <c r="AF9852" s="21">
        <v>0</v>
      </c>
      <c r="AG9852" s="21"/>
      <c r="AH9852" s="21">
        <f t="shared" si="209"/>
        <v>128</v>
      </c>
      <c r="AI9852" s="21"/>
      <c r="AJ9852" s="21" t="s">
        <v>51</v>
      </c>
      <c r="AK9852" s="21" t="s">
        <v>52</v>
      </c>
      <c r="AL9852" s="21" t="s">
        <v>7367</v>
      </c>
      <c r="AM9852" s="21" t="s">
        <v>7368</v>
      </c>
      <c r="AN9852" s="21">
        <v>-122.41332466666699</v>
      </c>
      <c r="AO9852" s="21">
        <v>37.795472816666702</v>
      </c>
      <c r="AP9852" s="21" t="s">
        <v>116</v>
      </c>
    </row>
    <row r="9853" spans="1:42">
      <c r="A9853" s="20">
        <v>43871</v>
      </c>
      <c r="B9853" s="21">
        <v>1</v>
      </c>
      <c r="C9853" s="21">
        <v>232</v>
      </c>
      <c r="D9853" s="21">
        <v>14476</v>
      </c>
      <c r="E9853" s="7" t="s">
        <v>112</v>
      </c>
      <c r="F9853" s="21" t="s">
        <v>104</v>
      </c>
      <c r="G9853" s="21">
        <v>2</v>
      </c>
      <c r="H9853" s="21">
        <v>138</v>
      </c>
      <c r="I9853" s="21" t="s">
        <v>7041</v>
      </c>
      <c r="J9853" s="21"/>
      <c r="K9853" s="21" t="s">
        <v>101</v>
      </c>
      <c r="L9853" s="21" t="s">
        <v>114</v>
      </c>
      <c r="M9853" s="21" t="s">
        <v>6618</v>
      </c>
      <c r="N9853" s="21" t="s">
        <v>44</v>
      </c>
      <c r="O9853" s="21">
        <v>75</v>
      </c>
      <c r="P9853" s="21"/>
      <c r="Q9853" s="21">
        <f t="shared" si="208"/>
        <v>1</v>
      </c>
      <c r="R9853" s="21">
        <v>1</v>
      </c>
      <c r="S9853" s="21">
        <v>0</v>
      </c>
      <c r="T9853" s="21">
        <v>0</v>
      </c>
      <c r="U9853" s="21">
        <v>0</v>
      </c>
      <c r="V9853" s="21">
        <v>0</v>
      </c>
      <c r="W9853" s="21">
        <v>1</v>
      </c>
      <c r="X9853" s="21">
        <v>0</v>
      </c>
      <c r="Y9853" s="21">
        <v>0</v>
      </c>
      <c r="Z9853" s="21">
        <v>0</v>
      </c>
      <c r="AA9853" s="21">
        <v>0</v>
      </c>
      <c r="AB9853" s="21">
        <v>0</v>
      </c>
      <c r="AC9853" s="21">
        <v>0</v>
      </c>
      <c r="AD9853" s="21">
        <v>0</v>
      </c>
      <c r="AE9853" s="21">
        <v>0</v>
      </c>
      <c r="AF9853" s="21">
        <v>0</v>
      </c>
      <c r="AG9853" s="21"/>
      <c r="AH9853" s="21">
        <f t="shared" si="209"/>
        <v>96</v>
      </c>
      <c r="AI9853" s="21"/>
      <c r="AJ9853" s="21" t="s">
        <v>51</v>
      </c>
      <c r="AK9853" s="21" t="s">
        <v>52</v>
      </c>
      <c r="AL9853" s="21" t="s">
        <v>7369</v>
      </c>
      <c r="AM9853" s="21" t="s">
        <v>7370</v>
      </c>
      <c r="AN9853" s="21">
        <v>-122.41331355</v>
      </c>
      <c r="AO9853" s="21">
        <v>37.795483333333301</v>
      </c>
      <c r="AP9853" s="21" t="s">
        <v>116</v>
      </c>
    </row>
    <row r="9854" spans="1:42">
      <c r="A9854" s="20">
        <v>43871</v>
      </c>
      <c r="B9854" s="21">
        <v>1</v>
      </c>
      <c r="C9854" s="21">
        <v>232</v>
      </c>
      <c r="D9854" s="21">
        <v>14476</v>
      </c>
      <c r="E9854" s="7" t="s">
        <v>112</v>
      </c>
      <c r="F9854" s="21" t="s">
        <v>104</v>
      </c>
      <c r="G9854" s="21">
        <v>2</v>
      </c>
      <c r="H9854" s="21">
        <v>139</v>
      </c>
      <c r="I9854" s="21" t="s">
        <v>7371</v>
      </c>
      <c r="J9854" s="21"/>
      <c r="K9854" s="21" t="s">
        <v>101</v>
      </c>
      <c r="L9854" s="21" t="s">
        <v>141</v>
      </c>
      <c r="M9854" s="21" t="s">
        <v>7038</v>
      </c>
      <c r="N9854" s="21" t="s">
        <v>44</v>
      </c>
      <c r="O9854" s="21">
        <v>78</v>
      </c>
      <c r="P9854" s="21"/>
      <c r="Q9854" s="21">
        <f t="shared" si="208"/>
        <v>2</v>
      </c>
      <c r="R9854" s="21">
        <v>1</v>
      </c>
      <c r="S9854" s="21">
        <v>0</v>
      </c>
      <c r="T9854" s="21">
        <v>0</v>
      </c>
      <c r="U9854" s="21">
        <v>0</v>
      </c>
      <c r="V9854" s="21">
        <v>0</v>
      </c>
      <c r="W9854" s="21">
        <v>2</v>
      </c>
      <c r="X9854" s="21">
        <v>0</v>
      </c>
      <c r="Y9854" s="21">
        <v>0</v>
      </c>
      <c r="Z9854" s="21">
        <v>0</v>
      </c>
      <c r="AA9854" s="21">
        <v>0</v>
      </c>
      <c r="AB9854" s="21">
        <v>0</v>
      </c>
      <c r="AC9854" s="21">
        <v>0</v>
      </c>
      <c r="AD9854" s="21">
        <v>0</v>
      </c>
      <c r="AE9854" s="21">
        <v>0</v>
      </c>
      <c r="AF9854" s="21">
        <v>0</v>
      </c>
      <c r="AG9854" s="21"/>
      <c r="AH9854" s="21">
        <f t="shared" si="209"/>
        <v>192</v>
      </c>
      <c r="AI9854" s="21"/>
      <c r="AJ9854" s="21" t="s">
        <v>51</v>
      </c>
      <c r="AK9854" s="21" t="s">
        <v>52</v>
      </c>
      <c r="AL9854" s="21" t="s">
        <v>7372</v>
      </c>
      <c r="AM9854" s="21" t="s">
        <v>7373</v>
      </c>
      <c r="AN9854" s="21">
        <v>-122.413305133333</v>
      </c>
      <c r="AO9854" s="21">
        <v>37.795438083333302</v>
      </c>
      <c r="AP9854" s="21" t="s">
        <v>116</v>
      </c>
    </row>
    <row r="9855" spans="1:42">
      <c r="A9855" s="20">
        <v>43871</v>
      </c>
      <c r="B9855" s="21">
        <v>1</v>
      </c>
      <c r="C9855" s="21">
        <v>232</v>
      </c>
      <c r="D9855" s="21">
        <v>14476</v>
      </c>
      <c r="E9855" s="7" t="s">
        <v>112</v>
      </c>
      <c r="F9855" s="21" t="s">
        <v>104</v>
      </c>
      <c r="G9855" s="21">
        <v>2</v>
      </c>
      <c r="H9855" s="21">
        <v>141</v>
      </c>
      <c r="I9855" s="21" t="s">
        <v>4696</v>
      </c>
      <c r="J9855" s="21"/>
      <c r="K9855" s="21" t="s">
        <v>101</v>
      </c>
      <c r="L9855" s="21" t="s">
        <v>114</v>
      </c>
      <c r="M9855" s="21" t="s">
        <v>7038</v>
      </c>
      <c r="N9855" s="21" t="s">
        <v>40</v>
      </c>
      <c r="O9855" s="21">
        <v>102</v>
      </c>
      <c r="P9855" s="21"/>
      <c r="Q9855" s="21">
        <f t="shared" si="208"/>
        <v>4</v>
      </c>
      <c r="R9855" s="21">
        <v>1</v>
      </c>
      <c r="S9855" s="21">
        <v>0</v>
      </c>
      <c r="T9855" s="21">
        <v>0</v>
      </c>
      <c r="U9855" s="21">
        <v>0</v>
      </c>
      <c r="V9855" s="21">
        <v>0</v>
      </c>
      <c r="W9855" s="21">
        <v>4</v>
      </c>
      <c r="X9855" s="21">
        <v>0</v>
      </c>
      <c r="Y9855" s="21">
        <v>0</v>
      </c>
      <c r="Z9855" s="21">
        <v>0</v>
      </c>
      <c r="AA9855" s="21">
        <v>0</v>
      </c>
      <c r="AB9855" s="21">
        <v>0</v>
      </c>
      <c r="AC9855" s="21">
        <v>0</v>
      </c>
      <c r="AD9855" s="21">
        <v>0</v>
      </c>
      <c r="AE9855" s="21">
        <v>0</v>
      </c>
      <c r="AF9855" s="21">
        <v>0</v>
      </c>
      <c r="AG9855" s="21"/>
      <c r="AH9855" s="21">
        <f t="shared" si="209"/>
        <v>384</v>
      </c>
      <c r="AI9855" s="21"/>
      <c r="AJ9855" s="21" t="s">
        <v>54</v>
      </c>
      <c r="AK9855" s="21" t="s">
        <v>95</v>
      </c>
      <c r="AL9855" s="21" t="s">
        <v>7374</v>
      </c>
      <c r="AM9855" s="21" t="s">
        <v>7375</v>
      </c>
      <c r="AN9855" s="21">
        <v>-122.413833183333</v>
      </c>
      <c r="AO9855" s="21">
        <v>37.798505333333303</v>
      </c>
      <c r="AP9855" s="21" t="s">
        <v>116</v>
      </c>
    </row>
    <row r="9856" spans="1:42">
      <c r="A9856" s="20">
        <v>43871</v>
      </c>
      <c r="B9856" s="21">
        <v>1</v>
      </c>
      <c r="C9856" s="21">
        <v>232</v>
      </c>
      <c r="D9856" s="21">
        <v>14476</v>
      </c>
      <c r="E9856" s="7" t="s">
        <v>112</v>
      </c>
      <c r="F9856" s="21" t="s">
        <v>104</v>
      </c>
      <c r="G9856" s="21">
        <v>2</v>
      </c>
      <c r="H9856" s="21">
        <v>142</v>
      </c>
      <c r="I9856" s="21" t="s">
        <v>7130</v>
      </c>
      <c r="J9856" s="21"/>
      <c r="K9856" s="21" t="s">
        <v>407</v>
      </c>
      <c r="L9856" s="21" t="s">
        <v>141</v>
      </c>
      <c r="M9856" s="21" t="s">
        <v>7038</v>
      </c>
      <c r="N9856" s="21" t="s">
        <v>44</v>
      </c>
      <c r="O9856" s="21">
        <v>145</v>
      </c>
      <c r="P9856" s="21"/>
      <c r="Q9856" s="21">
        <f t="shared" si="208"/>
        <v>2</v>
      </c>
      <c r="R9856" s="21">
        <v>1</v>
      </c>
      <c r="S9856" s="21">
        <v>0</v>
      </c>
      <c r="T9856" s="21">
        <v>0</v>
      </c>
      <c r="U9856" s="21">
        <v>0</v>
      </c>
      <c r="V9856" s="21">
        <v>2</v>
      </c>
      <c r="W9856" s="21">
        <v>0</v>
      </c>
      <c r="X9856" s="21">
        <v>0</v>
      </c>
      <c r="Y9856" s="21">
        <v>0</v>
      </c>
      <c r="Z9856" s="21">
        <v>0</v>
      </c>
      <c r="AA9856" s="21">
        <v>0</v>
      </c>
      <c r="AB9856" s="21">
        <v>0</v>
      </c>
      <c r="AC9856" s="21">
        <v>0</v>
      </c>
      <c r="AD9856" s="21">
        <v>0</v>
      </c>
      <c r="AE9856" s="21">
        <v>0</v>
      </c>
      <c r="AF9856" s="21">
        <v>0</v>
      </c>
      <c r="AG9856" s="21"/>
      <c r="AH9856" s="21">
        <f t="shared" si="209"/>
        <v>128</v>
      </c>
      <c r="AI9856" s="21"/>
      <c r="AJ9856" s="21" t="s">
        <v>51</v>
      </c>
      <c r="AK9856" s="21" t="s">
        <v>95</v>
      </c>
      <c r="AL9856" s="21" t="s">
        <v>7376</v>
      </c>
      <c r="AM9856" s="21" t="s">
        <v>7377</v>
      </c>
      <c r="AN9856" s="21">
        <v>-122.410390366667</v>
      </c>
      <c r="AO9856" s="21">
        <v>37.797793933333303</v>
      </c>
      <c r="AP9856" s="21" t="s">
        <v>116</v>
      </c>
    </row>
    <row r="9857" spans="1:42">
      <c r="A9857" s="20">
        <v>43872</v>
      </c>
      <c r="B9857" s="21">
        <v>2</v>
      </c>
      <c r="C9857" s="21">
        <v>232</v>
      </c>
      <c r="D9857" s="21">
        <v>14476</v>
      </c>
      <c r="E9857" s="7" t="s">
        <v>112</v>
      </c>
      <c r="F9857" s="21" t="s">
        <v>104</v>
      </c>
      <c r="G9857" s="21">
        <v>2</v>
      </c>
      <c r="H9857" s="21">
        <v>1</v>
      </c>
      <c r="I9857" s="21" t="s">
        <v>7041</v>
      </c>
      <c r="J9857" s="21"/>
      <c r="K9857" s="21" t="s">
        <v>407</v>
      </c>
      <c r="L9857" s="21" t="s">
        <v>114</v>
      </c>
      <c r="M9857" s="21" t="s">
        <v>7038</v>
      </c>
      <c r="N9857" s="21" t="s">
        <v>40</v>
      </c>
      <c r="O9857" s="21">
        <v>105</v>
      </c>
      <c r="P9857" s="21"/>
      <c r="Q9857" s="21">
        <f t="shared" ref="Q9857:Q9920" si="210">S9857+T9857+U9857+V9857+W9857+X9857+Y9857+Z9857+AA9857+AB9857+AE9857+AF9857</f>
        <v>2</v>
      </c>
      <c r="R9857" s="21">
        <v>1</v>
      </c>
      <c r="S9857" s="21">
        <v>0</v>
      </c>
      <c r="T9857" s="21">
        <v>0</v>
      </c>
      <c r="U9857" s="21">
        <v>0</v>
      </c>
      <c r="V9857" s="21">
        <v>2</v>
      </c>
      <c r="W9857" s="21">
        <v>0</v>
      </c>
      <c r="X9857" s="21">
        <v>0</v>
      </c>
      <c r="Y9857" s="21">
        <v>0</v>
      </c>
      <c r="Z9857" s="21">
        <v>0</v>
      </c>
      <c r="AA9857" s="21">
        <v>0</v>
      </c>
      <c r="AB9857" s="21">
        <v>0</v>
      </c>
      <c r="AC9857" s="21">
        <v>0</v>
      </c>
      <c r="AD9857" s="21">
        <v>0</v>
      </c>
      <c r="AE9857" s="21">
        <v>0</v>
      </c>
      <c r="AF9857" s="21">
        <v>0</v>
      </c>
      <c r="AG9857" s="21"/>
      <c r="AH9857" s="21">
        <f t="shared" si="209"/>
        <v>128</v>
      </c>
      <c r="AI9857" s="21"/>
      <c r="AJ9857" s="21" t="s">
        <v>51</v>
      </c>
      <c r="AK9857" s="21" t="s">
        <v>52</v>
      </c>
      <c r="AL9857" s="21" t="s">
        <v>7378</v>
      </c>
      <c r="AM9857" s="21" t="s">
        <v>7379</v>
      </c>
      <c r="AN9857" s="21">
        <v>-122.40678950221201</v>
      </c>
      <c r="AO9857" s="21">
        <v>37.796921360174402</v>
      </c>
      <c r="AP9857" s="21" t="s">
        <v>116</v>
      </c>
    </row>
    <row r="9858" spans="1:42">
      <c r="A9858" s="20">
        <v>43872</v>
      </c>
      <c r="B9858" s="21">
        <v>2</v>
      </c>
      <c r="C9858" s="21">
        <v>232</v>
      </c>
      <c r="D9858" s="21">
        <v>14476</v>
      </c>
      <c r="E9858" s="7" t="s">
        <v>112</v>
      </c>
      <c r="F9858" s="21" t="s">
        <v>104</v>
      </c>
      <c r="G9858" s="21">
        <v>2</v>
      </c>
      <c r="H9858" s="21">
        <v>2</v>
      </c>
      <c r="I9858" s="21" t="s">
        <v>3918</v>
      </c>
      <c r="J9858" s="21"/>
      <c r="K9858" s="21" t="s">
        <v>407</v>
      </c>
      <c r="L9858" s="21" t="s">
        <v>114</v>
      </c>
      <c r="M9858" s="21" t="s">
        <v>7038</v>
      </c>
      <c r="N9858" s="21" t="s">
        <v>40</v>
      </c>
      <c r="O9858" s="21">
        <v>28</v>
      </c>
      <c r="P9858" s="21"/>
      <c r="Q9858" s="21">
        <f t="shared" si="210"/>
        <v>2</v>
      </c>
      <c r="R9858" s="21">
        <v>1</v>
      </c>
      <c r="S9858" s="21">
        <v>0</v>
      </c>
      <c r="T9858" s="21">
        <v>0</v>
      </c>
      <c r="U9858" s="21">
        <v>2</v>
      </c>
      <c r="V9858" s="21">
        <v>0</v>
      </c>
      <c r="W9858" s="21">
        <v>0</v>
      </c>
      <c r="X9858" s="21">
        <v>0</v>
      </c>
      <c r="Y9858" s="21">
        <v>0</v>
      </c>
      <c r="Z9858" s="21">
        <v>0</v>
      </c>
      <c r="AA9858" s="21">
        <v>0</v>
      </c>
      <c r="AB9858" s="21">
        <v>0</v>
      </c>
      <c r="AC9858" s="21">
        <v>0</v>
      </c>
      <c r="AD9858" s="21">
        <v>0</v>
      </c>
      <c r="AE9858" s="21">
        <v>0</v>
      </c>
      <c r="AF9858" s="21">
        <v>0</v>
      </c>
      <c r="AG9858" s="21"/>
      <c r="AH9858" s="21">
        <f t="shared" si="209"/>
        <v>64</v>
      </c>
      <c r="AI9858" s="21"/>
      <c r="AJ9858" s="21" t="s">
        <v>51</v>
      </c>
      <c r="AK9858" s="21" t="s">
        <v>52</v>
      </c>
      <c r="AL9858" s="21"/>
      <c r="AM9858" s="21" t="s">
        <v>7380</v>
      </c>
      <c r="AN9858" s="21">
        <v>-122.410342316667</v>
      </c>
      <c r="AO9858" s="21">
        <v>37.797727866666698</v>
      </c>
      <c r="AP9858" s="21" t="s">
        <v>116</v>
      </c>
    </row>
    <row r="9859" spans="1:42">
      <c r="A9859" s="20">
        <v>43872</v>
      </c>
      <c r="B9859" s="21">
        <v>2</v>
      </c>
      <c r="C9859" s="21">
        <v>232</v>
      </c>
      <c r="D9859" s="21">
        <v>14476</v>
      </c>
      <c r="E9859" s="7" t="s">
        <v>112</v>
      </c>
      <c r="F9859" s="21" t="s">
        <v>104</v>
      </c>
      <c r="G9859" s="21">
        <v>2</v>
      </c>
      <c r="H9859" s="21">
        <v>3</v>
      </c>
      <c r="I9859" s="21" t="s">
        <v>7047</v>
      </c>
      <c r="J9859" s="21"/>
      <c r="K9859" s="21" t="s">
        <v>585</v>
      </c>
      <c r="L9859" s="21" t="s">
        <v>141</v>
      </c>
      <c r="M9859" s="21" t="s">
        <v>7038</v>
      </c>
      <c r="N9859" s="21" t="s">
        <v>40</v>
      </c>
      <c r="O9859" s="21">
        <v>55</v>
      </c>
      <c r="P9859" s="21"/>
      <c r="Q9859" s="21">
        <f t="shared" si="210"/>
        <v>2</v>
      </c>
      <c r="R9859" s="21">
        <v>1</v>
      </c>
      <c r="S9859" s="21">
        <v>0</v>
      </c>
      <c r="T9859" s="21">
        <v>0</v>
      </c>
      <c r="U9859" s="21">
        <v>0</v>
      </c>
      <c r="V9859" s="21">
        <v>0</v>
      </c>
      <c r="W9859" s="21">
        <v>2</v>
      </c>
      <c r="X9859" s="21">
        <v>0</v>
      </c>
      <c r="Y9859" s="21">
        <v>0</v>
      </c>
      <c r="Z9859" s="21">
        <v>0</v>
      </c>
      <c r="AA9859" s="21">
        <v>0</v>
      </c>
      <c r="AB9859" s="21">
        <v>0</v>
      </c>
      <c r="AC9859" s="21">
        <v>0</v>
      </c>
      <c r="AD9859" s="21">
        <v>0</v>
      </c>
      <c r="AE9859" s="21">
        <v>0</v>
      </c>
      <c r="AF9859" s="21">
        <v>0</v>
      </c>
      <c r="AG9859" s="21"/>
      <c r="AH9859" s="21">
        <f t="shared" si="209"/>
        <v>192</v>
      </c>
      <c r="AI9859" s="21"/>
      <c r="AJ9859" s="21" t="s">
        <v>51</v>
      </c>
      <c r="AK9859" s="21" t="s">
        <v>52</v>
      </c>
      <c r="AL9859" s="21"/>
      <c r="AM9859" s="21" t="s">
        <v>7381</v>
      </c>
      <c r="AN9859" s="21">
        <v>-122.410283416667</v>
      </c>
      <c r="AO9859" s="21">
        <v>37.7983263666667</v>
      </c>
      <c r="AP9859" s="21" t="s">
        <v>116</v>
      </c>
    </row>
    <row r="9860" spans="1:42">
      <c r="A9860" s="20">
        <v>43872</v>
      </c>
      <c r="B9860" s="21">
        <v>2</v>
      </c>
      <c r="C9860" s="21">
        <v>232</v>
      </c>
      <c r="D9860" s="21">
        <v>14476</v>
      </c>
      <c r="E9860" s="7" t="s">
        <v>112</v>
      </c>
      <c r="F9860" s="21" t="s">
        <v>104</v>
      </c>
      <c r="G9860" s="21">
        <v>2</v>
      </c>
      <c r="H9860" s="21">
        <v>4</v>
      </c>
      <c r="I9860" s="21" t="s">
        <v>7049</v>
      </c>
      <c r="J9860" s="21"/>
      <c r="K9860" s="21" t="s">
        <v>585</v>
      </c>
      <c r="L9860" s="21" t="s">
        <v>141</v>
      </c>
      <c r="M9860" s="21" t="s">
        <v>7038</v>
      </c>
      <c r="N9860" s="21"/>
      <c r="O9860" s="21">
        <v>18</v>
      </c>
      <c r="P9860" s="21"/>
      <c r="Q9860" s="21">
        <f t="shared" si="210"/>
        <v>1</v>
      </c>
      <c r="R9860" s="21">
        <v>1</v>
      </c>
      <c r="S9860" s="21">
        <v>0</v>
      </c>
      <c r="T9860" s="21">
        <v>0</v>
      </c>
      <c r="U9860" s="21">
        <v>1</v>
      </c>
      <c r="V9860" s="21">
        <v>0</v>
      </c>
      <c r="W9860" s="21">
        <v>0</v>
      </c>
      <c r="X9860" s="21">
        <v>0</v>
      </c>
      <c r="Y9860" s="21">
        <v>0</v>
      </c>
      <c r="Z9860" s="21">
        <v>0</v>
      </c>
      <c r="AA9860" s="21">
        <v>0</v>
      </c>
      <c r="AB9860" s="21">
        <v>0</v>
      </c>
      <c r="AC9860" s="21">
        <v>0</v>
      </c>
      <c r="AD9860" s="21">
        <v>0</v>
      </c>
      <c r="AE9860" s="21">
        <v>0</v>
      </c>
      <c r="AF9860" s="21">
        <v>0</v>
      </c>
      <c r="AG9860" s="21"/>
      <c r="AH9860" s="21">
        <f t="shared" si="209"/>
        <v>32</v>
      </c>
      <c r="AI9860" s="21"/>
      <c r="AJ9860" s="21" t="s">
        <v>51</v>
      </c>
      <c r="AK9860" s="21" t="s">
        <v>52</v>
      </c>
      <c r="AL9860" s="21"/>
      <c r="AM9860" s="21" t="s">
        <v>7382</v>
      </c>
      <c r="AN9860" s="21">
        <v>-122.409516083333</v>
      </c>
      <c r="AO9860" s="21">
        <v>37.798391883333302</v>
      </c>
      <c r="AP9860" s="21" t="s">
        <v>116</v>
      </c>
    </row>
    <row r="9861" spans="1:42">
      <c r="A9861" s="20">
        <v>43872</v>
      </c>
      <c r="B9861" s="21">
        <v>2</v>
      </c>
      <c r="C9861" s="21">
        <v>232</v>
      </c>
      <c r="D9861" s="21">
        <v>14476</v>
      </c>
      <c r="E9861" s="7" t="s">
        <v>112</v>
      </c>
      <c r="F9861" s="21" t="s">
        <v>104</v>
      </c>
      <c r="G9861" s="21">
        <v>2</v>
      </c>
      <c r="H9861" s="21">
        <v>5</v>
      </c>
      <c r="I9861" s="21" t="s">
        <v>4944</v>
      </c>
      <c r="J9861" s="21"/>
      <c r="K9861" s="21" t="s">
        <v>50</v>
      </c>
      <c r="L9861" s="21" t="s">
        <v>114</v>
      </c>
      <c r="M9861" s="21" t="s">
        <v>7038</v>
      </c>
      <c r="N9861" s="21" t="s">
        <v>40</v>
      </c>
      <c r="O9861" s="21">
        <v>68</v>
      </c>
      <c r="P9861" s="21"/>
      <c r="Q9861" s="21">
        <f t="shared" si="210"/>
        <v>3</v>
      </c>
      <c r="R9861" s="21">
        <v>1</v>
      </c>
      <c r="S9861" s="21">
        <v>0</v>
      </c>
      <c r="T9861" s="21">
        <v>0</v>
      </c>
      <c r="U9861" s="21">
        <v>0</v>
      </c>
      <c r="V9861" s="21">
        <v>2</v>
      </c>
      <c r="W9861" s="21">
        <v>1</v>
      </c>
      <c r="X9861" s="21">
        <v>0</v>
      </c>
      <c r="Y9861" s="21">
        <v>0</v>
      </c>
      <c r="Z9861" s="21">
        <v>0</v>
      </c>
      <c r="AA9861" s="21">
        <v>0</v>
      </c>
      <c r="AB9861" s="21">
        <v>0</v>
      </c>
      <c r="AC9861" s="21">
        <v>0</v>
      </c>
      <c r="AD9861" s="21">
        <v>0</v>
      </c>
      <c r="AE9861" s="21">
        <v>0</v>
      </c>
      <c r="AF9861" s="21">
        <v>0</v>
      </c>
      <c r="AG9861" s="21"/>
      <c r="AH9861" s="21">
        <f t="shared" si="209"/>
        <v>224</v>
      </c>
      <c r="AI9861" s="21"/>
      <c r="AJ9861" s="21" t="s">
        <v>51</v>
      </c>
      <c r="AK9861" s="21" t="s">
        <v>52</v>
      </c>
      <c r="AL9861" s="21"/>
      <c r="AM9861" s="21" t="s">
        <v>7383</v>
      </c>
      <c r="AN9861" s="21">
        <v>-122.41274874088199</v>
      </c>
      <c r="AO9861" s="21">
        <v>37.799528000348701</v>
      </c>
      <c r="AP9861" s="21" t="s">
        <v>116</v>
      </c>
    </row>
    <row r="9862" spans="1:42">
      <c r="A9862" s="20">
        <v>43872</v>
      </c>
      <c r="B9862" s="21">
        <v>2</v>
      </c>
      <c r="C9862" s="21">
        <v>232</v>
      </c>
      <c r="D9862" s="21">
        <v>14476</v>
      </c>
      <c r="E9862" s="7" t="s">
        <v>112</v>
      </c>
      <c r="F9862" s="21" t="s">
        <v>104</v>
      </c>
      <c r="G9862" s="21">
        <v>2</v>
      </c>
      <c r="H9862" s="21">
        <v>6</v>
      </c>
      <c r="I9862" s="21" t="s">
        <v>7384</v>
      </c>
      <c r="J9862" s="21"/>
      <c r="K9862" s="21" t="s">
        <v>407</v>
      </c>
      <c r="L9862" s="21" t="s">
        <v>141</v>
      </c>
      <c r="M9862" s="21" t="s">
        <v>7038</v>
      </c>
      <c r="N9862" s="21" t="s">
        <v>44</v>
      </c>
      <c r="O9862" s="21">
        <v>118</v>
      </c>
      <c r="P9862" s="21"/>
      <c r="Q9862" s="21">
        <f t="shared" si="210"/>
        <v>3</v>
      </c>
      <c r="R9862" s="21">
        <v>1</v>
      </c>
      <c r="S9862" s="21">
        <v>0</v>
      </c>
      <c r="T9862" s="21">
        <v>0</v>
      </c>
      <c r="U9862" s="21">
        <v>0</v>
      </c>
      <c r="V9862" s="21">
        <v>0</v>
      </c>
      <c r="W9862" s="21">
        <v>3</v>
      </c>
      <c r="X9862" s="21">
        <v>0</v>
      </c>
      <c r="Y9862" s="21">
        <v>0</v>
      </c>
      <c r="Z9862" s="21">
        <v>0</v>
      </c>
      <c r="AA9862" s="21">
        <v>0</v>
      </c>
      <c r="AB9862" s="21">
        <v>0</v>
      </c>
      <c r="AC9862" s="21">
        <v>0</v>
      </c>
      <c r="AD9862" s="21">
        <v>0</v>
      </c>
      <c r="AE9862" s="21">
        <v>0</v>
      </c>
      <c r="AF9862" s="21">
        <v>0</v>
      </c>
      <c r="AG9862" s="21"/>
      <c r="AH9862" s="21">
        <f t="shared" si="209"/>
        <v>288</v>
      </c>
      <c r="AI9862" s="21"/>
      <c r="AJ9862" s="21" t="s">
        <v>51</v>
      </c>
      <c r="AK9862" s="21" t="s">
        <v>52</v>
      </c>
      <c r="AL9862" s="21" t="s">
        <v>7385</v>
      </c>
      <c r="AM9862" s="21" t="s">
        <v>7386</v>
      </c>
      <c r="AN9862" s="21">
        <v>-122.40852674999999</v>
      </c>
      <c r="AO9862" s="21">
        <v>37.798584433333303</v>
      </c>
      <c r="AP9862" s="21" t="s">
        <v>116</v>
      </c>
    </row>
    <row r="9863" spans="1:42">
      <c r="A9863" s="20">
        <v>43872</v>
      </c>
      <c r="B9863" s="21">
        <v>2</v>
      </c>
      <c r="C9863" s="21">
        <v>232</v>
      </c>
      <c r="D9863" s="21">
        <v>14476</v>
      </c>
      <c r="E9863" s="7" t="s">
        <v>112</v>
      </c>
      <c r="F9863" s="21" t="s">
        <v>104</v>
      </c>
      <c r="G9863" s="21">
        <v>2</v>
      </c>
      <c r="H9863" s="21">
        <v>7</v>
      </c>
      <c r="I9863" s="21" t="s">
        <v>7387</v>
      </c>
      <c r="J9863" s="21"/>
      <c r="K9863" s="21" t="s">
        <v>407</v>
      </c>
      <c r="L9863" s="21" t="s">
        <v>141</v>
      </c>
      <c r="M9863" s="21" t="s">
        <v>7038</v>
      </c>
      <c r="N9863" s="21" t="s">
        <v>40</v>
      </c>
      <c r="O9863" s="21">
        <v>29</v>
      </c>
      <c r="P9863" s="21"/>
      <c r="Q9863" s="21">
        <f t="shared" si="210"/>
        <v>2</v>
      </c>
      <c r="R9863" s="21">
        <v>1</v>
      </c>
      <c r="S9863" s="21">
        <v>0</v>
      </c>
      <c r="T9863" s="21">
        <v>0</v>
      </c>
      <c r="U9863" s="21">
        <v>0</v>
      </c>
      <c r="V9863" s="21">
        <v>1</v>
      </c>
      <c r="W9863" s="21">
        <v>1</v>
      </c>
      <c r="X9863" s="21">
        <v>0</v>
      </c>
      <c r="Y9863" s="21">
        <v>0</v>
      </c>
      <c r="Z9863" s="21">
        <v>0</v>
      </c>
      <c r="AA9863" s="21">
        <v>0</v>
      </c>
      <c r="AB9863" s="21">
        <v>0</v>
      </c>
      <c r="AC9863" s="21">
        <v>0</v>
      </c>
      <c r="AD9863" s="21">
        <v>0</v>
      </c>
      <c r="AE9863" s="21">
        <v>0</v>
      </c>
      <c r="AF9863" s="21">
        <v>0</v>
      </c>
      <c r="AG9863" s="21"/>
      <c r="AH9863" s="21">
        <f t="shared" si="209"/>
        <v>160</v>
      </c>
      <c r="AI9863" s="21"/>
      <c r="AJ9863" s="21" t="s">
        <v>51</v>
      </c>
      <c r="AK9863" s="21" t="s">
        <v>52</v>
      </c>
      <c r="AL9863" s="21"/>
      <c r="AM9863" s="21" t="s">
        <v>7388</v>
      </c>
      <c r="AN9863" s="21">
        <v>-122.409845589618</v>
      </c>
      <c r="AO9863" s="21">
        <v>37.796129038241197</v>
      </c>
      <c r="AP9863" s="21" t="s">
        <v>116</v>
      </c>
    </row>
    <row r="9864" spans="1:42">
      <c r="A9864" s="20">
        <v>43872</v>
      </c>
      <c r="B9864" s="21">
        <v>2</v>
      </c>
      <c r="C9864" s="21">
        <v>232</v>
      </c>
      <c r="D9864" s="21">
        <v>14476</v>
      </c>
      <c r="E9864" s="7" t="s">
        <v>112</v>
      </c>
      <c r="F9864" s="21" t="s">
        <v>104</v>
      </c>
      <c r="G9864" s="21">
        <v>2</v>
      </c>
      <c r="H9864" s="21">
        <v>8</v>
      </c>
      <c r="I9864" s="21" t="s">
        <v>6267</v>
      </c>
      <c r="J9864" s="21"/>
      <c r="K9864" s="21" t="s">
        <v>1115</v>
      </c>
      <c r="L9864" s="21" t="s">
        <v>141</v>
      </c>
      <c r="M9864" s="21" t="s">
        <v>7038</v>
      </c>
      <c r="N9864" s="21" t="s">
        <v>40</v>
      </c>
      <c r="O9864" s="21">
        <v>44</v>
      </c>
      <c r="P9864" s="21"/>
      <c r="Q9864" s="21">
        <f t="shared" si="210"/>
        <v>2</v>
      </c>
      <c r="R9864" s="21">
        <v>1</v>
      </c>
      <c r="S9864" s="21">
        <v>0</v>
      </c>
      <c r="T9864" s="21">
        <v>0</v>
      </c>
      <c r="U9864" s="21">
        <v>0</v>
      </c>
      <c r="V9864" s="21">
        <v>1</v>
      </c>
      <c r="W9864" s="21">
        <v>1</v>
      </c>
      <c r="X9864" s="21">
        <v>0</v>
      </c>
      <c r="Y9864" s="21">
        <v>0</v>
      </c>
      <c r="Z9864" s="21">
        <v>0</v>
      </c>
      <c r="AA9864" s="21">
        <v>0</v>
      </c>
      <c r="AB9864" s="21">
        <v>0</v>
      </c>
      <c r="AC9864" s="21">
        <v>0</v>
      </c>
      <c r="AD9864" s="21">
        <v>0</v>
      </c>
      <c r="AE9864" s="21">
        <v>0</v>
      </c>
      <c r="AF9864" s="21">
        <v>0</v>
      </c>
      <c r="AG9864" s="21"/>
      <c r="AH9864" s="21">
        <f t="shared" si="209"/>
        <v>160</v>
      </c>
      <c r="AI9864" s="21"/>
      <c r="AJ9864" s="21" t="s">
        <v>51</v>
      </c>
      <c r="AK9864" s="21" t="s">
        <v>95</v>
      </c>
      <c r="AL9864" s="21"/>
      <c r="AM9864" s="21" t="s">
        <v>7389</v>
      </c>
      <c r="AN9864" s="21">
        <v>-122.407955816667</v>
      </c>
      <c r="AO9864" s="21">
        <v>37.798624283333297</v>
      </c>
      <c r="AP9864" s="21" t="s">
        <v>116</v>
      </c>
    </row>
    <row r="9865" spans="1:42">
      <c r="A9865" s="20">
        <v>43872</v>
      </c>
      <c r="B9865" s="21">
        <v>2</v>
      </c>
      <c r="C9865" s="21">
        <v>232</v>
      </c>
      <c r="D9865" s="21">
        <v>14476</v>
      </c>
      <c r="E9865" s="7" t="s">
        <v>112</v>
      </c>
      <c r="F9865" s="21" t="s">
        <v>104</v>
      </c>
      <c r="G9865" s="21">
        <v>2</v>
      </c>
      <c r="H9865" s="21">
        <v>9</v>
      </c>
      <c r="I9865" s="21" t="s">
        <v>4249</v>
      </c>
      <c r="J9865" s="21"/>
      <c r="K9865" s="21" t="s">
        <v>1115</v>
      </c>
      <c r="L9865" s="21" t="s">
        <v>141</v>
      </c>
      <c r="M9865" s="21" t="s">
        <v>7038</v>
      </c>
      <c r="N9865" s="21" t="s">
        <v>40</v>
      </c>
      <c r="O9865" s="21">
        <v>23</v>
      </c>
      <c r="P9865" s="21"/>
      <c r="Q9865" s="21">
        <f t="shared" si="210"/>
        <v>1</v>
      </c>
      <c r="R9865" s="21">
        <v>1</v>
      </c>
      <c r="S9865" s="21">
        <v>0</v>
      </c>
      <c r="T9865" s="21">
        <v>0</v>
      </c>
      <c r="U9865" s="21">
        <v>1</v>
      </c>
      <c r="V9865" s="21">
        <v>0</v>
      </c>
      <c r="W9865" s="21">
        <v>0</v>
      </c>
      <c r="X9865" s="21">
        <v>0</v>
      </c>
      <c r="Y9865" s="21">
        <v>0</v>
      </c>
      <c r="Z9865" s="21">
        <v>0</v>
      </c>
      <c r="AA9865" s="21">
        <v>0</v>
      </c>
      <c r="AB9865" s="21">
        <v>0</v>
      </c>
      <c r="AC9865" s="21">
        <v>0</v>
      </c>
      <c r="AD9865" s="21">
        <v>0</v>
      </c>
      <c r="AE9865" s="21">
        <v>0</v>
      </c>
      <c r="AF9865" s="21">
        <v>0</v>
      </c>
      <c r="AG9865" s="21"/>
      <c r="AH9865" s="21">
        <f t="shared" si="209"/>
        <v>32</v>
      </c>
      <c r="AI9865" s="21"/>
      <c r="AJ9865" s="21" t="s">
        <v>51</v>
      </c>
      <c r="AK9865" s="21" t="s">
        <v>95</v>
      </c>
      <c r="AL9865" s="21"/>
      <c r="AM9865" s="21" t="s">
        <v>7390</v>
      </c>
      <c r="AN9865" s="21">
        <v>-122.40782615000001</v>
      </c>
      <c r="AO9865" s="21">
        <v>37.798537816666602</v>
      </c>
      <c r="AP9865" s="21" t="s">
        <v>116</v>
      </c>
    </row>
    <row r="9866" spans="1:42">
      <c r="A9866" s="20">
        <v>43872</v>
      </c>
      <c r="B9866" s="21">
        <v>2</v>
      </c>
      <c r="C9866" s="21">
        <v>232</v>
      </c>
      <c r="D9866" s="21">
        <v>14476</v>
      </c>
      <c r="E9866" s="7" t="s">
        <v>112</v>
      </c>
      <c r="F9866" s="21" t="s">
        <v>104</v>
      </c>
      <c r="G9866" s="21">
        <v>2</v>
      </c>
      <c r="H9866" s="21">
        <v>10</v>
      </c>
      <c r="I9866" s="21" t="s">
        <v>3504</v>
      </c>
      <c r="J9866" s="21"/>
      <c r="K9866" s="21" t="s">
        <v>1115</v>
      </c>
      <c r="L9866" s="21" t="s">
        <v>141</v>
      </c>
      <c r="M9866" s="21" t="s">
        <v>7038</v>
      </c>
      <c r="N9866" s="21" t="s">
        <v>40</v>
      </c>
      <c r="O9866" s="21">
        <v>63</v>
      </c>
      <c r="P9866" s="21"/>
      <c r="Q9866" s="21">
        <f t="shared" si="210"/>
        <v>3</v>
      </c>
      <c r="R9866" s="21">
        <v>1</v>
      </c>
      <c r="S9866" s="21">
        <v>0</v>
      </c>
      <c r="T9866" s="21">
        <v>0</v>
      </c>
      <c r="U9866" s="21">
        <v>1</v>
      </c>
      <c r="V9866" s="21">
        <v>2</v>
      </c>
      <c r="W9866" s="21">
        <v>0</v>
      </c>
      <c r="X9866" s="21">
        <v>0</v>
      </c>
      <c r="Y9866" s="21">
        <v>0</v>
      </c>
      <c r="Z9866" s="21">
        <v>0</v>
      </c>
      <c r="AA9866" s="21">
        <v>0</v>
      </c>
      <c r="AB9866" s="21">
        <v>0</v>
      </c>
      <c r="AC9866" s="21">
        <v>0</v>
      </c>
      <c r="AD9866" s="21">
        <v>0</v>
      </c>
      <c r="AE9866" s="21">
        <v>0</v>
      </c>
      <c r="AF9866" s="21">
        <v>0</v>
      </c>
      <c r="AG9866" s="21"/>
      <c r="AH9866" s="21">
        <f t="shared" si="209"/>
        <v>160</v>
      </c>
      <c r="AI9866" s="21"/>
      <c r="AJ9866" s="21" t="s">
        <v>51</v>
      </c>
      <c r="AK9866" s="21" t="s">
        <v>95</v>
      </c>
      <c r="AL9866" s="21"/>
      <c r="AM9866" s="21" t="s">
        <v>7391</v>
      </c>
      <c r="AN9866" s="21">
        <v>-122.407335233333</v>
      </c>
      <c r="AO9866" s="21">
        <v>37.7981622</v>
      </c>
      <c r="AP9866" s="21" t="s">
        <v>116</v>
      </c>
    </row>
    <row r="9867" spans="1:42">
      <c r="A9867" s="20">
        <v>43872</v>
      </c>
      <c r="B9867" s="21">
        <v>2</v>
      </c>
      <c r="C9867" s="21">
        <v>232</v>
      </c>
      <c r="D9867" s="21">
        <v>14476</v>
      </c>
      <c r="E9867" s="7" t="s">
        <v>112</v>
      </c>
      <c r="F9867" s="21" t="s">
        <v>104</v>
      </c>
      <c r="G9867" s="21">
        <v>2</v>
      </c>
      <c r="H9867" s="21">
        <v>11</v>
      </c>
      <c r="I9867" s="21" t="s">
        <v>7066</v>
      </c>
      <c r="J9867" s="21"/>
      <c r="K9867" s="21" t="s">
        <v>185</v>
      </c>
      <c r="L9867" s="21" t="s">
        <v>114</v>
      </c>
      <c r="M9867" s="21" t="s">
        <v>7038</v>
      </c>
      <c r="N9867" s="21" t="s">
        <v>40</v>
      </c>
      <c r="O9867" s="21">
        <v>45</v>
      </c>
      <c r="P9867" s="21"/>
      <c r="Q9867" s="21">
        <f t="shared" si="210"/>
        <v>2</v>
      </c>
      <c r="R9867" s="21">
        <v>1</v>
      </c>
      <c r="S9867" s="21">
        <v>0</v>
      </c>
      <c r="T9867" s="21">
        <v>0</v>
      </c>
      <c r="U9867" s="21">
        <v>0</v>
      </c>
      <c r="V9867" s="21">
        <v>2</v>
      </c>
      <c r="W9867" s="21">
        <v>0</v>
      </c>
      <c r="X9867" s="21">
        <v>0</v>
      </c>
      <c r="Y9867" s="21">
        <v>0</v>
      </c>
      <c r="Z9867" s="21">
        <v>0</v>
      </c>
      <c r="AA9867" s="21">
        <v>0</v>
      </c>
      <c r="AB9867" s="21">
        <v>0</v>
      </c>
      <c r="AC9867" s="21">
        <v>0</v>
      </c>
      <c r="AD9867" s="21">
        <v>0</v>
      </c>
      <c r="AE9867" s="21">
        <v>0</v>
      </c>
      <c r="AF9867" s="21">
        <v>0</v>
      </c>
      <c r="AG9867" s="21"/>
      <c r="AH9867" s="21">
        <f t="shared" si="209"/>
        <v>128</v>
      </c>
      <c r="AI9867" s="21"/>
      <c r="AJ9867" s="21" t="s">
        <v>51</v>
      </c>
      <c r="AK9867" s="21" t="s">
        <v>95</v>
      </c>
      <c r="AL9867" s="21"/>
      <c r="AM9867" s="21" t="s">
        <v>7392</v>
      </c>
      <c r="AN9867" s="21">
        <v>-122.407141416667</v>
      </c>
      <c r="AO9867" s="21">
        <v>37.798052666666699</v>
      </c>
      <c r="AP9867" s="21" t="s">
        <v>116</v>
      </c>
    </row>
    <row r="9868" spans="1:42">
      <c r="A9868" s="20">
        <v>43872</v>
      </c>
      <c r="B9868" s="21">
        <v>2</v>
      </c>
      <c r="C9868" s="21">
        <v>232</v>
      </c>
      <c r="D9868" s="21">
        <v>14476</v>
      </c>
      <c r="E9868" s="7" t="s">
        <v>112</v>
      </c>
      <c r="F9868" s="21" t="s">
        <v>104</v>
      </c>
      <c r="G9868" s="21">
        <v>2</v>
      </c>
      <c r="H9868" s="21">
        <v>12</v>
      </c>
      <c r="I9868" s="21" t="s">
        <v>4958</v>
      </c>
      <c r="J9868" s="21"/>
      <c r="K9868" s="21" t="s">
        <v>50</v>
      </c>
      <c r="L9868" s="21" t="s">
        <v>114</v>
      </c>
      <c r="M9868" s="21" t="s">
        <v>7038</v>
      </c>
      <c r="N9868" s="21" t="s">
        <v>40</v>
      </c>
      <c r="O9868" s="21">
        <v>23</v>
      </c>
      <c r="P9868" s="21"/>
      <c r="Q9868" s="21">
        <f t="shared" si="210"/>
        <v>2</v>
      </c>
      <c r="R9868" s="21">
        <v>1</v>
      </c>
      <c r="S9868" s="21">
        <v>0</v>
      </c>
      <c r="T9868" s="21">
        <v>0</v>
      </c>
      <c r="U9868" s="21">
        <v>2</v>
      </c>
      <c r="V9868" s="21">
        <v>0</v>
      </c>
      <c r="W9868" s="21">
        <v>0</v>
      </c>
      <c r="X9868" s="21">
        <v>0</v>
      </c>
      <c r="Y9868" s="21">
        <v>0</v>
      </c>
      <c r="Z9868" s="21">
        <v>0</v>
      </c>
      <c r="AA9868" s="21">
        <v>0</v>
      </c>
      <c r="AB9868" s="21">
        <v>0</v>
      </c>
      <c r="AC9868" s="21">
        <v>0</v>
      </c>
      <c r="AD9868" s="21">
        <v>0</v>
      </c>
      <c r="AE9868" s="21">
        <v>0</v>
      </c>
      <c r="AF9868" s="21">
        <v>0</v>
      </c>
      <c r="AG9868" s="21"/>
      <c r="AH9868" s="21">
        <f t="shared" si="209"/>
        <v>64</v>
      </c>
      <c r="AI9868" s="21"/>
      <c r="AJ9868" s="21" t="s">
        <v>51</v>
      </c>
      <c r="AK9868" s="21" t="s">
        <v>95</v>
      </c>
      <c r="AL9868" s="21"/>
      <c r="AM9868" s="21" t="s">
        <v>7393</v>
      </c>
      <c r="AN9868" s="21">
        <v>-122.408935933333</v>
      </c>
      <c r="AO9868" s="21">
        <v>37.7988960333333</v>
      </c>
      <c r="AP9868" s="21" t="s">
        <v>116</v>
      </c>
    </row>
    <row r="9869" spans="1:42">
      <c r="A9869" s="20">
        <v>43872</v>
      </c>
      <c r="B9869" s="21">
        <v>2</v>
      </c>
      <c r="C9869" s="21">
        <v>232</v>
      </c>
      <c r="D9869" s="21">
        <v>14476</v>
      </c>
      <c r="E9869" s="7" t="s">
        <v>112</v>
      </c>
      <c r="F9869" s="21" t="s">
        <v>104</v>
      </c>
      <c r="G9869" s="21">
        <v>2</v>
      </c>
      <c r="H9869" s="21">
        <v>13</v>
      </c>
      <c r="I9869" s="21" t="s">
        <v>4855</v>
      </c>
      <c r="J9869" s="21"/>
      <c r="K9869" s="21" t="s">
        <v>7068</v>
      </c>
      <c r="L9869" s="21" t="s">
        <v>141</v>
      </c>
      <c r="M9869" s="21" t="s">
        <v>6618</v>
      </c>
      <c r="N9869" s="21" t="s">
        <v>40</v>
      </c>
      <c r="O9869" s="21">
        <v>42</v>
      </c>
      <c r="P9869" s="21"/>
      <c r="Q9869" s="21">
        <f t="shared" si="210"/>
        <v>2</v>
      </c>
      <c r="R9869" s="21">
        <v>1</v>
      </c>
      <c r="S9869" s="21">
        <v>0</v>
      </c>
      <c r="T9869" s="21">
        <v>0</v>
      </c>
      <c r="U9869" s="21">
        <v>2</v>
      </c>
      <c r="V9869" s="21">
        <v>0</v>
      </c>
      <c r="W9869" s="21">
        <v>0</v>
      </c>
      <c r="X9869" s="21">
        <v>0</v>
      </c>
      <c r="Y9869" s="21">
        <v>0</v>
      </c>
      <c r="Z9869" s="21">
        <v>0</v>
      </c>
      <c r="AA9869" s="21">
        <v>0</v>
      </c>
      <c r="AB9869" s="21">
        <v>0</v>
      </c>
      <c r="AC9869" s="21">
        <v>0</v>
      </c>
      <c r="AD9869" s="21">
        <v>0</v>
      </c>
      <c r="AE9869" s="21">
        <v>0</v>
      </c>
      <c r="AF9869" s="21">
        <v>0</v>
      </c>
      <c r="AG9869" s="21"/>
      <c r="AH9869" s="21">
        <f t="shared" si="209"/>
        <v>64</v>
      </c>
      <c r="AI9869" s="21"/>
      <c r="AJ9869" s="21" t="s">
        <v>51</v>
      </c>
      <c r="AK9869" s="21" t="s">
        <v>95</v>
      </c>
      <c r="AL9869" s="21"/>
      <c r="AM9869" s="21" t="s">
        <v>7394</v>
      </c>
      <c r="AN9869" s="21">
        <v>-122.408922416667</v>
      </c>
      <c r="AO9869" s="21">
        <v>37.798959416666698</v>
      </c>
      <c r="AP9869" s="21" t="s">
        <v>116</v>
      </c>
    </row>
    <row r="9870" spans="1:42">
      <c r="A9870" s="20">
        <v>43872</v>
      </c>
      <c r="B9870" s="21">
        <v>2</v>
      </c>
      <c r="C9870" s="21">
        <v>232</v>
      </c>
      <c r="D9870" s="21">
        <v>14476</v>
      </c>
      <c r="E9870" s="7" t="s">
        <v>112</v>
      </c>
      <c r="F9870" s="21" t="s">
        <v>104</v>
      </c>
      <c r="G9870" s="21">
        <v>2</v>
      </c>
      <c r="H9870" s="21">
        <v>14</v>
      </c>
      <c r="I9870" s="21" t="s">
        <v>4853</v>
      </c>
      <c r="J9870" s="21"/>
      <c r="K9870" s="21" t="s">
        <v>7068</v>
      </c>
      <c r="L9870" s="21" t="s">
        <v>141</v>
      </c>
      <c r="M9870" s="21" t="s">
        <v>6618</v>
      </c>
      <c r="N9870" s="21" t="s">
        <v>40</v>
      </c>
      <c r="O9870" s="21">
        <v>36</v>
      </c>
      <c r="P9870" s="21"/>
      <c r="Q9870" s="21">
        <f t="shared" si="210"/>
        <v>2</v>
      </c>
      <c r="R9870" s="21">
        <v>1</v>
      </c>
      <c r="S9870" s="21">
        <v>0</v>
      </c>
      <c r="T9870" s="21">
        <v>0</v>
      </c>
      <c r="U9870" s="21">
        <v>2</v>
      </c>
      <c r="V9870" s="21">
        <v>0</v>
      </c>
      <c r="W9870" s="21">
        <v>0</v>
      </c>
      <c r="X9870" s="21">
        <v>0</v>
      </c>
      <c r="Y9870" s="21">
        <v>0</v>
      </c>
      <c r="Z9870" s="21">
        <v>0</v>
      </c>
      <c r="AA9870" s="21">
        <v>0</v>
      </c>
      <c r="AB9870" s="21">
        <v>0</v>
      </c>
      <c r="AC9870" s="21">
        <v>0</v>
      </c>
      <c r="AD9870" s="21">
        <v>0</v>
      </c>
      <c r="AE9870" s="21">
        <v>0</v>
      </c>
      <c r="AF9870" s="21">
        <v>0</v>
      </c>
      <c r="AG9870" s="21"/>
      <c r="AH9870" s="21">
        <f t="shared" si="209"/>
        <v>64</v>
      </c>
      <c r="AI9870" s="21"/>
      <c r="AJ9870" s="21" t="s">
        <v>51</v>
      </c>
      <c r="AK9870" s="21" t="s">
        <v>95</v>
      </c>
      <c r="AL9870" s="21"/>
      <c r="AM9870" s="21" t="s">
        <v>7395</v>
      </c>
      <c r="AN9870" s="21">
        <v>-122.408913966667</v>
      </c>
      <c r="AO9870" s="21">
        <v>37.7989881833333</v>
      </c>
      <c r="AP9870" s="21" t="s">
        <v>116</v>
      </c>
    </row>
    <row r="9871" spans="1:42">
      <c r="A9871" s="20">
        <v>43872</v>
      </c>
      <c r="B9871" s="21">
        <v>2</v>
      </c>
      <c r="C9871" s="21">
        <v>232</v>
      </c>
      <c r="D9871" s="21">
        <v>14476</v>
      </c>
      <c r="E9871" s="7" t="s">
        <v>112</v>
      </c>
      <c r="F9871" s="21" t="s">
        <v>104</v>
      </c>
      <c r="G9871" s="21">
        <v>2</v>
      </c>
      <c r="H9871" s="21">
        <v>15</v>
      </c>
      <c r="I9871" s="21" t="s">
        <v>3047</v>
      </c>
      <c r="J9871" s="21"/>
      <c r="K9871" s="21" t="s">
        <v>50</v>
      </c>
      <c r="L9871" s="21" t="s">
        <v>141</v>
      </c>
      <c r="M9871" s="21" t="s">
        <v>7038</v>
      </c>
      <c r="N9871" s="21" t="s">
        <v>40</v>
      </c>
      <c r="O9871" s="21">
        <v>32</v>
      </c>
      <c r="P9871" s="21"/>
      <c r="Q9871" s="21">
        <f t="shared" si="210"/>
        <v>2</v>
      </c>
      <c r="R9871" s="21">
        <v>1</v>
      </c>
      <c r="S9871" s="21">
        <v>0</v>
      </c>
      <c r="T9871" s="21">
        <v>0</v>
      </c>
      <c r="U9871" s="21">
        <v>0</v>
      </c>
      <c r="V9871" s="21">
        <v>1</v>
      </c>
      <c r="W9871" s="21">
        <v>1</v>
      </c>
      <c r="X9871" s="21">
        <v>0</v>
      </c>
      <c r="Y9871" s="21">
        <v>0</v>
      </c>
      <c r="Z9871" s="21">
        <v>0</v>
      </c>
      <c r="AA9871" s="21">
        <v>0</v>
      </c>
      <c r="AB9871" s="21">
        <v>0</v>
      </c>
      <c r="AC9871" s="21">
        <v>0</v>
      </c>
      <c r="AD9871" s="21">
        <v>0</v>
      </c>
      <c r="AE9871" s="21">
        <v>0</v>
      </c>
      <c r="AF9871" s="21">
        <v>0</v>
      </c>
      <c r="AG9871" s="21"/>
      <c r="AH9871" s="21">
        <f t="shared" si="209"/>
        <v>160</v>
      </c>
      <c r="AI9871" s="21"/>
      <c r="AJ9871" s="21" t="s">
        <v>51</v>
      </c>
      <c r="AK9871" s="21" t="s">
        <v>95</v>
      </c>
      <c r="AL9871" s="21"/>
      <c r="AM9871" s="21" t="s">
        <v>7396</v>
      </c>
      <c r="AN9871" s="21">
        <v>-122.40888573333299</v>
      </c>
      <c r="AO9871" s="21">
        <v>37.799066983333297</v>
      </c>
      <c r="AP9871" s="21" t="s">
        <v>116</v>
      </c>
    </row>
    <row r="9872" spans="1:42">
      <c r="A9872" s="20">
        <v>43872</v>
      </c>
      <c r="B9872" s="21">
        <v>2</v>
      </c>
      <c r="C9872" s="21">
        <v>232</v>
      </c>
      <c r="D9872" s="21">
        <v>14476</v>
      </c>
      <c r="E9872" s="7" t="s">
        <v>112</v>
      </c>
      <c r="F9872" s="21" t="s">
        <v>104</v>
      </c>
      <c r="G9872" s="21">
        <v>2</v>
      </c>
      <c r="H9872" s="21">
        <v>16</v>
      </c>
      <c r="I9872" s="21" t="s">
        <v>6223</v>
      </c>
      <c r="J9872" s="21"/>
      <c r="K9872" s="21" t="s">
        <v>1115</v>
      </c>
      <c r="L9872" s="21" t="s">
        <v>141</v>
      </c>
      <c r="M9872" s="21" t="s">
        <v>7038</v>
      </c>
      <c r="N9872" s="21" t="s">
        <v>40</v>
      </c>
      <c r="O9872" s="21">
        <v>28</v>
      </c>
      <c r="P9872" s="21"/>
      <c r="Q9872" s="21">
        <f t="shared" si="210"/>
        <v>1</v>
      </c>
      <c r="R9872" s="21">
        <v>1</v>
      </c>
      <c r="S9872" s="21">
        <v>0</v>
      </c>
      <c r="T9872" s="21">
        <v>0</v>
      </c>
      <c r="U9872" s="21">
        <v>0</v>
      </c>
      <c r="V9872" s="21">
        <v>0</v>
      </c>
      <c r="W9872" s="21">
        <v>1</v>
      </c>
      <c r="X9872" s="21">
        <v>0</v>
      </c>
      <c r="Y9872" s="21">
        <v>0</v>
      </c>
      <c r="Z9872" s="21">
        <v>0</v>
      </c>
      <c r="AA9872" s="21">
        <v>0</v>
      </c>
      <c r="AB9872" s="21">
        <v>0</v>
      </c>
      <c r="AC9872" s="21">
        <v>0</v>
      </c>
      <c r="AD9872" s="21">
        <v>0</v>
      </c>
      <c r="AE9872" s="21">
        <v>0</v>
      </c>
      <c r="AF9872" s="21">
        <v>0</v>
      </c>
      <c r="AG9872" s="21"/>
      <c r="AH9872" s="21">
        <f t="shared" si="209"/>
        <v>96</v>
      </c>
      <c r="AI9872" s="21"/>
      <c r="AJ9872" s="21" t="s">
        <v>51</v>
      </c>
      <c r="AK9872" s="21" t="s">
        <v>52</v>
      </c>
      <c r="AL9872" s="21"/>
      <c r="AM9872" s="21" t="s">
        <v>7397</v>
      </c>
      <c r="AN9872" s="21">
        <v>-122.408361333333</v>
      </c>
      <c r="AO9872" s="21">
        <v>37.798874783333297</v>
      </c>
      <c r="AP9872" s="21" t="s">
        <v>116</v>
      </c>
    </row>
    <row r="9873" spans="1:42">
      <c r="A9873" s="20">
        <v>43872</v>
      </c>
      <c r="B9873" s="21">
        <v>2</v>
      </c>
      <c r="C9873" s="21">
        <v>232</v>
      </c>
      <c r="D9873" s="21">
        <v>14476</v>
      </c>
      <c r="E9873" s="7" t="s">
        <v>112</v>
      </c>
      <c r="F9873" s="21" t="s">
        <v>104</v>
      </c>
      <c r="G9873" s="21">
        <v>2</v>
      </c>
      <c r="H9873" s="21">
        <v>17</v>
      </c>
      <c r="I9873" s="21" t="s">
        <v>3277</v>
      </c>
      <c r="J9873" s="21"/>
      <c r="K9873" s="21" t="s">
        <v>7068</v>
      </c>
      <c r="L9873" s="21" t="s">
        <v>141</v>
      </c>
      <c r="M9873" s="21" t="s">
        <v>7038</v>
      </c>
      <c r="N9873" s="21" t="s">
        <v>40</v>
      </c>
      <c r="O9873" s="21">
        <v>36</v>
      </c>
      <c r="P9873" s="21"/>
      <c r="Q9873" s="21">
        <f t="shared" si="210"/>
        <v>1</v>
      </c>
      <c r="R9873" s="21">
        <v>1</v>
      </c>
      <c r="S9873" s="21">
        <v>0</v>
      </c>
      <c r="T9873" s="21">
        <v>0</v>
      </c>
      <c r="U9873" s="21">
        <v>0</v>
      </c>
      <c r="V9873" s="21">
        <v>1</v>
      </c>
      <c r="W9873" s="21">
        <v>0</v>
      </c>
      <c r="X9873" s="21">
        <v>0</v>
      </c>
      <c r="Y9873" s="21">
        <v>0</v>
      </c>
      <c r="Z9873" s="21">
        <v>0</v>
      </c>
      <c r="AA9873" s="21">
        <v>0</v>
      </c>
      <c r="AB9873" s="21">
        <v>0</v>
      </c>
      <c r="AC9873" s="21">
        <v>0</v>
      </c>
      <c r="AD9873" s="21">
        <v>0</v>
      </c>
      <c r="AE9873" s="21">
        <v>0</v>
      </c>
      <c r="AF9873" s="21">
        <v>0</v>
      </c>
      <c r="AG9873" s="21"/>
      <c r="AH9873" s="21">
        <f t="shared" si="209"/>
        <v>64</v>
      </c>
      <c r="AI9873" s="21"/>
      <c r="AJ9873" s="21" t="s">
        <v>51</v>
      </c>
      <c r="AK9873" s="21" t="s">
        <v>95</v>
      </c>
      <c r="AL9873" s="21"/>
      <c r="AM9873" s="21" t="s">
        <v>7398</v>
      </c>
      <c r="AN9873" s="21">
        <v>-122.40883416666701</v>
      </c>
      <c r="AO9873" s="21">
        <v>37.798657949999999</v>
      </c>
      <c r="AP9873" s="21" t="s">
        <v>116</v>
      </c>
    </row>
    <row r="9874" spans="1:42">
      <c r="A9874" s="20">
        <v>43872</v>
      </c>
      <c r="B9874" s="21">
        <v>2</v>
      </c>
      <c r="C9874" s="21">
        <v>232</v>
      </c>
      <c r="D9874" s="21">
        <v>14476</v>
      </c>
      <c r="E9874" s="7" t="s">
        <v>112</v>
      </c>
      <c r="F9874" s="21" t="s">
        <v>104</v>
      </c>
      <c r="G9874" s="21">
        <v>2</v>
      </c>
      <c r="H9874" s="21">
        <v>18</v>
      </c>
      <c r="I9874" s="21" t="s">
        <v>7399</v>
      </c>
      <c r="J9874" s="21"/>
      <c r="K9874" s="21" t="s">
        <v>585</v>
      </c>
      <c r="L9874" s="21" t="s">
        <v>114</v>
      </c>
      <c r="M9874" s="21" t="s">
        <v>7038</v>
      </c>
      <c r="N9874" s="21" t="s">
        <v>40</v>
      </c>
      <c r="O9874" s="21">
        <v>43</v>
      </c>
      <c r="P9874" s="21"/>
      <c r="Q9874" s="21">
        <f t="shared" si="210"/>
        <v>3</v>
      </c>
      <c r="R9874" s="21">
        <v>1</v>
      </c>
      <c r="S9874" s="21">
        <v>0</v>
      </c>
      <c r="T9874" s="21">
        <v>0</v>
      </c>
      <c r="U9874" s="21">
        <v>3</v>
      </c>
      <c r="V9874" s="21">
        <v>0</v>
      </c>
      <c r="W9874" s="21">
        <v>0</v>
      </c>
      <c r="X9874" s="21">
        <v>0</v>
      </c>
      <c r="Y9874" s="21">
        <v>0</v>
      </c>
      <c r="Z9874" s="21">
        <v>0</v>
      </c>
      <c r="AA9874" s="21">
        <v>0</v>
      </c>
      <c r="AB9874" s="21">
        <v>0</v>
      </c>
      <c r="AC9874" s="21">
        <v>0</v>
      </c>
      <c r="AD9874" s="21">
        <v>0</v>
      </c>
      <c r="AE9874" s="21">
        <v>0</v>
      </c>
      <c r="AF9874" s="21">
        <v>0</v>
      </c>
      <c r="AG9874" s="21"/>
      <c r="AH9874" s="21">
        <f t="shared" si="209"/>
        <v>96</v>
      </c>
      <c r="AI9874" s="21"/>
      <c r="AJ9874" s="21" t="s">
        <v>51</v>
      </c>
      <c r="AK9874" s="21" t="s">
        <v>95</v>
      </c>
      <c r="AL9874" s="21"/>
      <c r="AM9874" s="21" t="s">
        <v>7400</v>
      </c>
      <c r="AN9874" s="21">
        <v>-122.409161066667</v>
      </c>
      <c r="AO9874" s="21">
        <v>37.7986082166667</v>
      </c>
      <c r="AP9874" s="21" t="s">
        <v>116</v>
      </c>
    </row>
    <row r="9875" spans="1:42">
      <c r="A9875" s="20">
        <v>43872</v>
      </c>
      <c r="B9875" s="21">
        <v>2</v>
      </c>
      <c r="C9875" s="21">
        <v>232</v>
      </c>
      <c r="D9875" s="21">
        <v>14476</v>
      </c>
      <c r="E9875" s="7" t="s">
        <v>112</v>
      </c>
      <c r="F9875" s="21" t="s">
        <v>104</v>
      </c>
      <c r="G9875" s="21">
        <v>2</v>
      </c>
      <c r="H9875" s="21">
        <v>19</v>
      </c>
      <c r="I9875" s="21" t="s">
        <v>7401</v>
      </c>
      <c r="J9875" s="21"/>
      <c r="K9875" s="21" t="s">
        <v>585</v>
      </c>
      <c r="L9875" s="21" t="s">
        <v>114</v>
      </c>
      <c r="M9875" s="21" t="s">
        <v>7038</v>
      </c>
      <c r="N9875" s="21"/>
      <c r="O9875" s="21">
        <v>35</v>
      </c>
      <c r="P9875" s="21"/>
      <c r="Q9875" s="21">
        <f t="shared" si="210"/>
        <v>2</v>
      </c>
      <c r="R9875" s="21">
        <v>1</v>
      </c>
      <c r="S9875" s="21">
        <v>0</v>
      </c>
      <c r="T9875" s="21">
        <v>0</v>
      </c>
      <c r="U9875" s="21">
        <v>1</v>
      </c>
      <c r="V9875" s="21">
        <v>1</v>
      </c>
      <c r="W9875" s="21">
        <v>0</v>
      </c>
      <c r="X9875" s="21">
        <v>0</v>
      </c>
      <c r="Y9875" s="21">
        <v>0</v>
      </c>
      <c r="Z9875" s="21">
        <v>0</v>
      </c>
      <c r="AA9875" s="21">
        <v>0</v>
      </c>
      <c r="AB9875" s="21">
        <v>0</v>
      </c>
      <c r="AC9875" s="21">
        <v>0</v>
      </c>
      <c r="AD9875" s="21">
        <v>0</v>
      </c>
      <c r="AE9875" s="21">
        <v>0</v>
      </c>
      <c r="AF9875" s="21">
        <v>0</v>
      </c>
      <c r="AG9875" s="21"/>
      <c r="AH9875" s="21">
        <f t="shared" si="209"/>
        <v>96</v>
      </c>
      <c r="AI9875" s="21"/>
      <c r="AJ9875" s="21" t="s">
        <v>51</v>
      </c>
      <c r="AK9875" s="21" t="s">
        <v>95</v>
      </c>
      <c r="AL9875" s="21"/>
      <c r="AM9875" s="21" t="s">
        <v>7402</v>
      </c>
      <c r="AN9875" s="21">
        <v>-122.409983083333</v>
      </c>
      <c r="AO9875" s="21">
        <v>37.798531500000003</v>
      </c>
      <c r="AP9875" s="21" t="s">
        <v>116</v>
      </c>
    </row>
    <row r="9876" spans="1:42">
      <c r="A9876" s="20">
        <v>43872</v>
      </c>
      <c r="B9876" s="21">
        <v>2</v>
      </c>
      <c r="C9876" s="21">
        <v>232</v>
      </c>
      <c r="D9876" s="21">
        <v>14476</v>
      </c>
      <c r="E9876" s="7" t="s">
        <v>112</v>
      </c>
      <c r="F9876" s="21" t="s">
        <v>104</v>
      </c>
      <c r="G9876" s="21">
        <v>2</v>
      </c>
      <c r="H9876" s="21">
        <v>20</v>
      </c>
      <c r="I9876" s="21" t="s">
        <v>7403</v>
      </c>
      <c r="J9876" s="21"/>
      <c r="K9876" s="21" t="s">
        <v>407</v>
      </c>
      <c r="L9876" s="21" t="s">
        <v>114</v>
      </c>
      <c r="M9876" s="21" t="s">
        <v>7038</v>
      </c>
      <c r="N9876" s="21" t="s">
        <v>40</v>
      </c>
      <c r="O9876" s="21">
        <v>42</v>
      </c>
      <c r="P9876" s="21"/>
      <c r="Q9876" s="21">
        <f t="shared" si="210"/>
        <v>3</v>
      </c>
      <c r="R9876" s="21">
        <v>1</v>
      </c>
      <c r="S9876" s="21">
        <v>0</v>
      </c>
      <c r="T9876" s="21">
        <v>0</v>
      </c>
      <c r="U9876" s="21">
        <v>2</v>
      </c>
      <c r="V9876" s="21">
        <v>1</v>
      </c>
      <c r="W9876" s="21">
        <v>0</v>
      </c>
      <c r="X9876" s="21">
        <v>0</v>
      </c>
      <c r="Y9876" s="21">
        <v>0</v>
      </c>
      <c r="Z9876" s="21">
        <v>0</v>
      </c>
      <c r="AA9876" s="21">
        <v>0</v>
      </c>
      <c r="AB9876" s="21">
        <v>0</v>
      </c>
      <c r="AC9876" s="21">
        <v>0</v>
      </c>
      <c r="AD9876" s="21">
        <v>0</v>
      </c>
      <c r="AE9876" s="21">
        <v>0</v>
      </c>
      <c r="AF9876" s="21">
        <v>0</v>
      </c>
      <c r="AG9876" s="21"/>
      <c r="AH9876" s="21">
        <f t="shared" si="209"/>
        <v>128</v>
      </c>
      <c r="AI9876" s="21"/>
      <c r="AJ9876" s="21" t="s">
        <v>51</v>
      </c>
      <c r="AK9876" s="21" t="s">
        <v>52</v>
      </c>
      <c r="AL9876" s="21"/>
      <c r="AM9876" s="21" t="s">
        <v>7404</v>
      </c>
      <c r="AN9876" s="21">
        <v>-122.41079013333299</v>
      </c>
      <c r="AO9876" s="21">
        <v>37.799708350000003</v>
      </c>
      <c r="AP9876" s="21" t="s">
        <v>116</v>
      </c>
    </row>
    <row r="9877" spans="1:42">
      <c r="A9877" s="20">
        <v>43872</v>
      </c>
      <c r="B9877" s="21">
        <v>2</v>
      </c>
      <c r="C9877" s="21">
        <v>232</v>
      </c>
      <c r="D9877" s="21">
        <v>14476</v>
      </c>
      <c r="E9877" s="7" t="s">
        <v>112</v>
      </c>
      <c r="F9877" s="21" t="s">
        <v>104</v>
      </c>
      <c r="G9877" s="21">
        <v>2</v>
      </c>
      <c r="H9877" s="21">
        <v>21</v>
      </c>
      <c r="I9877" s="21" t="s">
        <v>3295</v>
      </c>
      <c r="J9877" s="21"/>
      <c r="K9877" s="21" t="s">
        <v>407</v>
      </c>
      <c r="L9877" s="21" t="s">
        <v>114</v>
      </c>
      <c r="M9877" s="21" t="s">
        <v>7038</v>
      </c>
      <c r="N9877" s="21" t="s">
        <v>40</v>
      </c>
      <c r="O9877" s="21">
        <v>62</v>
      </c>
      <c r="P9877" s="21"/>
      <c r="Q9877" s="21">
        <f t="shared" si="210"/>
        <v>3</v>
      </c>
      <c r="R9877" s="21">
        <v>1</v>
      </c>
      <c r="S9877" s="21">
        <v>0</v>
      </c>
      <c r="T9877" s="21">
        <v>0</v>
      </c>
      <c r="U9877" s="21">
        <v>1</v>
      </c>
      <c r="V9877" s="21">
        <v>2</v>
      </c>
      <c r="W9877" s="21">
        <v>0</v>
      </c>
      <c r="X9877" s="21">
        <v>0</v>
      </c>
      <c r="Y9877" s="21">
        <v>0</v>
      </c>
      <c r="Z9877" s="21">
        <v>0</v>
      </c>
      <c r="AA9877" s="21">
        <v>0</v>
      </c>
      <c r="AB9877" s="21">
        <v>0</v>
      </c>
      <c r="AC9877" s="21">
        <v>0</v>
      </c>
      <c r="AD9877" s="21">
        <v>0</v>
      </c>
      <c r="AE9877" s="21">
        <v>0</v>
      </c>
      <c r="AF9877" s="21">
        <v>0</v>
      </c>
      <c r="AG9877" s="21"/>
      <c r="AH9877" s="21">
        <f t="shared" si="209"/>
        <v>160</v>
      </c>
      <c r="AI9877" s="21"/>
      <c r="AJ9877" s="21" t="s">
        <v>51</v>
      </c>
      <c r="AK9877" s="21" t="s">
        <v>52</v>
      </c>
      <c r="AL9877" s="21"/>
      <c r="AM9877" s="21" t="s">
        <v>7405</v>
      </c>
      <c r="AN9877" s="21">
        <v>-122.410717283333</v>
      </c>
      <c r="AO9877" s="21">
        <v>37.799778833333299</v>
      </c>
      <c r="AP9877" s="21" t="s">
        <v>116</v>
      </c>
    </row>
    <row r="9878" spans="1:42">
      <c r="A9878" s="20">
        <v>43872</v>
      </c>
      <c r="B9878" s="21">
        <v>2</v>
      </c>
      <c r="C9878" s="21">
        <v>232</v>
      </c>
      <c r="D9878" s="21">
        <v>14476</v>
      </c>
      <c r="E9878" s="7" t="s">
        <v>112</v>
      </c>
      <c r="F9878" s="21" t="s">
        <v>104</v>
      </c>
      <c r="G9878" s="21">
        <v>2</v>
      </c>
      <c r="H9878" s="21">
        <v>22</v>
      </c>
      <c r="I9878" s="21" t="s">
        <v>7130</v>
      </c>
      <c r="J9878" s="21"/>
      <c r="K9878" s="21" t="s">
        <v>407</v>
      </c>
      <c r="L9878" s="21" t="s">
        <v>141</v>
      </c>
      <c r="M9878" s="21" t="s">
        <v>7038</v>
      </c>
      <c r="N9878" s="21" t="s">
        <v>44</v>
      </c>
      <c r="O9878" s="21">
        <v>38</v>
      </c>
      <c r="P9878" s="21"/>
      <c r="Q9878" s="21">
        <f t="shared" si="210"/>
        <v>0</v>
      </c>
      <c r="R9878" s="21">
        <v>1</v>
      </c>
      <c r="S9878" s="21">
        <v>0</v>
      </c>
      <c r="T9878" s="21">
        <v>0</v>
      </c>
      <c r="U9878" s="21">
        <v>0</v>
      </c>
      <c r="V9878" s="21">
        <v>0</v>
      </c>
      <c r="W9878" s="21">
        <v>0</v>
      </c>
      <c r="X9878" s="21">
        <v>0</v>
      </c>
      <c r="Y9878" s="21">
        <v>0</v>
      </c>
      <c r="Z9878" s="21">
        <v>0</v>
      </c>
      <c r="AA9878" s="21">
        <v>0</v>
      </c>
      <c r="AB9878" s="21">
        <v>0</v>
      </c>
      <c r="AC9878" s="21">
        <v>0</v>
      </c>
      <c r="AD9878" s="21">
        <v>0</v>
      </c>
      <c r="AE9878" s="21">
        <v>0</v>
      </c>
      <c r="AF9878" s="21">
        <v>0</v>
      </c>
      <c r="AG9878" s="21"/>
      <c r="AH9878" s="21">
        <f t="shared" si="209"/>
        <v>0</v>
      </c>
      <c r="AI9878" s="21"/>
      <c r="AJ9878" s="21" t="s">
        <v>51</v>
      </c>
      <c r="AK9878" s="21" t="s">
        <v>52</v>
      </c>
      <c r="AL9878" s="21" t="s">
        <v>7222</v>
      </c>
      <c r="AM9878" s="21" t="s">
        <v>7406</v>
      </c>
      <c r="AN9878" s="21">
        <v>-122.41035821666701</v>
      </c>
      <c r="AO9878" s="21">
        <v>37.797755850000001</v>
      </c>
      <c r="AP9878" s="21" t="s">
        <v>116</v>
      </c>
    </row>
    <row r="9879" spans="1:42">
      <c r="A9879" s="20">
        <v>43872</v>
      </c>
      <c r="B9879" s="21">
        <v>2</v>
      </c>
      <c r="C9879" s="21">
        <v>232</v>
      </c>
      <c r="D9879" s="21">
        <v>14476</v>
      </c>
      <c r="E9879" s="7" t="s">
        <v>112</v>
      </c>
      <c r="F9879" s="21" t="s">
        <v>104</v>
      </c>
      <c r="G9879" s="21">
        <v>2</v>
      </c>
      <c r="H9879" s="21">
        <v>23</v>
      </c>
      <c r="I9879" s="21" t="s">
        <v>7407</v>
      </c>
      <c r="J9879" s="21"/>
      <c r="K9879" s="21" t="s">
        <v>407</v>
      </c>
      <c r="L9879" s="21" t="s">
        <v>141</v>
      </c>
      <c r="M9879" s="21" t="s">
        <v>7038</v>
      </c>
      <c r="N9879" s="21" t="s">
        <v>40</v>
      </c>
      <c r="O9879" s="21">
        <v>18</v>
      </c>
      <c r="P9879" s="21"/>
      <c r="Q9879" s="21">
        <f t="shared" si="210"/>
        <v>0</v>
      </c>
      <c r="R9879" s="21">
        <v>1</v>
      </c>
      <c r="S9879" s="21">
        <v>0</v>
      </c>
      <c r="T9879" s="21">
        <v>0</v>
      </c>
      <c r="U9879" s="21">
        <v>0</v>
      </c>
      <c r="V9879" s="21">
        <v>0</v>
      </c>
      <c r="W9879" s="21">
        <v>0</v>
      </c>
      <c r="X9879" s="21">
        <v>0</v>
      </c>
      <c r="Y9879" s="21">
        <v>0</v>
      </c>
      <c r="Z9879" s="21">
        <v>0</v>
      </c>
      <c r="AA9879" s="21">
        <v>0</v>
      </c>
      <c r="AB9879" s="21">
        <v>0</v>
      </c>
      <c r="AC9879" s="21">
        <v>0</v>
      </c>
      <c r="AD9879" s="21">
        <v>0</v>
      </c>
      <c r="AE9879" s="21">
        <v>0</v>
      </c>
      <c r="AF9879" s="21">
        <v>0</v>
      </c>
      <c r="AG9879" s="21"/>
      <c r="AH9879" s="21">
        <f t="shared" si="209"/>
        <v>0</v>
      </c>
      <c r="AI9879" s="21"/>
      <c r="AJ9879" s="21" t="s">
        <v>51</v>
      </c>
      <c r="AK9879" s="21" t="s">
        <v>52</v>
      </c>
      <c r="AL9879" s="21"/>
      <c r="AM9879" s="21" t="s">
        <v>7408</v>
      </c>
      <c r="AN9879" s="21">
        <v>-122.410360183333</v>
      </c>
      <c r="AO9879" s="21">
        <v>37.797718683333301</v>
      </c>
      <c r="AP9879" s="21" t="s">
        <v>116</v>
      </c>
    </row>
    <row r="9880" spans="1:42">
      <c r="A9880" s="20">
        <v>43872</v>
      </c>
      <c r="B9880" s="21">
        <v>2</v>
      </c>
      <c r="C9880" s="21">
        <v>232</v>
      </c>
      <c r="D9880" s="21">
        <v>14476</v>
      </c>
      <c r="E9880" s="7" t="s">
        <v>112</v>
      </c>
      <c r="F9880" s="21" t="s">
        <v>104</v>
      </c>
      <c r="G9880" s="21">
        <v>2</v>
      </c>
      <c r="H9880" s="21">
        <v>24</v>
      </c>
      <c r="I9880" s="21" t="s">
        <v>5954</v>
      </c>
      <c r="J9880" s="21"/>
      <c r="K9880" s="21" t="s">
        <v>407</v>
      </c>
      <c r="L9880" s="21" t="s">
        <v>141</v>
      </c>
      <c r="M9880" s="21" t="s">
        <v>7038</v>
      </c>
      <c r="N9880" s="21" t="s">
        <v>40</v>
      </c>
      <c r="O9880" s="21">
        <v>53</v>
      </c>
      <c r="P9880" s="21"/>
      <c r="Q9880" s="21">
        <f t="shared" si="210"/>
        <v>3</v>
      </c>
      <c r="R9880" s="21">
        <v>1</v>
      </c>
      <c r="S9880" s="21">
        <v>0</v>
      </c>
      <c r="T9880" s="21">
        <v>0</v>
      </c>
      <c r="U9880" s="21">
        <v>3</v>
      </c>
      <c r="V9880" s="21">
        <v>0</v>
      </c>
      <c r="W9880" s="21">
        <v>0</v>
      </c>
      <c r="X9880" s="21">
        <v>0</v>
      </c>
      <c r="Y9880" s="21">
        <v>0</v>
      </c>
      <c r="Z9880" s="21">
        <v>0</v>
      </c>
      <c r="AA9880" s="21">
        <v>0</v>
      </c>
      <c r="AB9880" s="21">
        <v>0</v>
      </c>
      <c r="AC9880" s="21">
        <v>0</v>
      </c>
      <c r="AD9880" s="21">
        <v>0</v>
      </c>
      <c r="AE9880" s="21">
        <v>0</v>
      </c>
      <c r="AF9880" s="21">
        <v>0</v>
      </c>
      <c r="AG9880" s="21"/>
      <c r="AH9880" s="21">
        <f t="shared" si="209"/>
        <v>96</v>
      </c>
      <c r="AI9880" s="21"/>
      <c r="AJ9880" s="21" t="s">
        <v>51</v>
      </c>
      <c r="AK9880" s="21" t="s">
        <v>52</v>
      </c>
      <c r="AL9880" s="21"/>
      <c r="AM9880" s="21" t="s">
        <v>7409</v>
      </c>
      <c r="AN9880" s="21">
        <v>-122.410343083333</v>
      </c>
      <c r="AO9880" s="21">
        <v>37.797658533333298</v>
      </c>
      <c r="AP9880" s="21" t="s">
        <v>116</v>
      </c>
    </row>
    <row r="9881" spans="1:42">
      <c r="A9881" s="20">
        <v>43872</v>
      </c>
      <c r="B9881" s="21">
        <v>2</v>
      </c>
      <c r="C9881" s="21">
        <v>232</v>
      </c>
      <c r="D9881" s="21">
        <v>14476</v>
      </c>
      <c r="E9881" s="7" t="s">
        <v>112</v>
      </c>
      <c r="F9881" s="21" t="s">
        <v>104</v>
      </c>
      <c r="G9881" s="21">
        <v>2</v>
      </c>
      <c r="H9881" s="21">
        <v>25</v>
      </c>
      <c r="I9881" s="21" t="s">
        <v>7410</v>
      </c>
      <c r="J9881" s="21"/>
      <c r="K9881" s="21" t="s">
        <v>407</v>
      </c>
      <c r="L9881" s="21" t="s">
        <v>141</v>
      </c>
      <c r="M9881" s="21" t="s">
        <v>7038</v>
      </c>
      <c r="N9881" s="21" t="s">
        <v>40</v>
      </c>
      <c r="O9881" s="21">
        <v>93</v>
      </c>
      <c r="P9881" s="21"/>
      <c r="Q9881" s="21">
        <f t="shared" si="210"/>
        <v>7</v>
      </c>
      <c r="R9881" s="21">
        <v>1</v>
      </c>
      <c r="S9881" s="21">
        <v>0</v>
      </c>
      <c r="T9881" s="21">
        <v>1</v>
      </c>
      <c r="U9881" s="21">
        <v>6</v>
      </c>
      <c r="V9881" s="21">
        <v>0</v>
      </c>
      <c r="W9881" s="21">
        <v>0</v>
      </c>
      <c r="X9881" s="21">
        <v>0</v>
      </c>
      <c r="Y9881" s="21">
        <v>0</v>
      </c>
      <c r="Z9881" s="21">
        <v>0</v>
      </c>
      <c r="AA9881" s="21">
        <v>0</v>
      </c>
      <c r="AB9881" s="21">
        <v>0</v>
      </c>
      <c r="AC9881" s="21">
        <v>0</v>
      </c>
      <c r="AD9881" s="21">
        <v>0</v>
      </c>
      <c r="AE9881" s="21">
        <v>0</v>
      </c>
      <c r="AF9881" s="21">
        <v>0</v>
      </c>
      <c r="AG9881" s="21"/>
      <c r="AH9881" s="21">
        <f t="shared" si="209"/>
        <v>212</v>
      </c>
      <c r="AI9881" s="21"/>
      <c r="AJ9881" s="21" t="s">
        <v>51</v>
      </c>
      <c r="AK9881" s="21" t="s">
        <v>52</v>
      </c>
      <c r="AL9881" s="21" t="s">
        <v>7411</v>
      </c>
      <c r="AM9881" s="21" t="s">
        <v>7412</v>
      </c>
      <c r="AN9881" s="21">
        <v>-122.410306116667</v>
      </c>
      <c r="AO9881" s="21">
        <v>37.797581649999998</v>
      </c>
      <c r="AP9881" s="21" t="s">
        <v>116</v>
      </c>
    </row>
    <row r="9882" spans="1:42">
      <c r="A9882" s="20">
        <v>43872</v>
      </c>
      <c r="B9882" s="21">
        <v>2</v>
      </c>
      <c r="C9882" s="21">
        <v>232</v>
      </c>
      <c r="D9882" s="21">
        <v>14476</v>
      </c>
      <c r="E9882" s="7" t="s">
        <v>112</v>
      </c>
      <c r="F9882" s="21" t="s">
        <v>104</v>
      </c>
      <c r="G9882" s="21">
        <v>2</v>
      </c>
      <c r="H9882" s="21">
        <v>26</v>
      </c>
      <c r="I9882" s="21" t="s">
        <v>7413</v>
      </c>
      <c r="J9882" s="21"/>
      <c r="K9882" s="21" t="s">
        <v>185</v>
      </c>
      <c r="L9882" s="21" t="s">
        <v>141</v>
      </c>
      <c r="M9882" s="21" t="s">
        <v>6618</v>
      </c>
      <c r="N9882" s="21" t="s">
        <v>40</v>
      </c>
      <c r="O9882" s="21">
        <v>68</v>
      </c>
      <c r="P9882" s="21"/>
      <c r="Q9882" s="21">
        <f t="shared" si="210"/>
        <v>1</v>
      </c>
      <c r="R9882" s="21">
        <v>1</v>
      </c>
      <c r="S9882" s="21">
        <v>0</v>
      </c>
      <c r="T9882" s="21">
        <v>0</v>
      </c>
      <c r="U9882" s="21">
        <v>0</v>
      </c>
      <c r="V9882" s="21">
        <v>1</v>
      </c>
      <c r="W9882" s="21">
        <v>0</v>
      </c>
      <c r="X9882" s="21">
        <v>0</v>
      </c>
      <c r="Y9882" s="21">
        <v>0</v>
      </c>
      <c r="Z9882" s="21">
        <v>0</v>
      </c>
      <c r="AA9882" s="21">
        <v>0</v>
      </c>
      <c r="AB9882" s="21">
        <v>0</v>
      </c>
      <c r="AC9882" s="21">
        <v>0</v>
      </c>
      <c r="AD9882" s="21">
        <v>0</v>
      </c>
      <c r="AE9882" s="21">
        <v>0</v>
      </c>
      <c r="AF9882" s="21">
        <v>0</v>
      </c>
      <c r="AG9882" s="21"/>
      <c r="AH9882" s="21">
        <f t="shared" si="209"/>
        <v>64</v>
      </c>
      <c r="AI9882" s="21"/>
      <c r="AJ9882" s="21" t="s">
        <v>54</v>
      </c>
      <c r="AK9882" s="21" t="s">
        <v>52</v>
      </c>
      <c r="AL9882" s="21"/>
      <c r="AM9882" s="21" t="s">
        <v>7414</v>
      </c>
      <c r="AN9882" s="21">
        <v>-122.410736383333</v>
      </c>
      <c r="AO9882" s="21">
        <v>37.797363383333298</v>
      </c>
      <c r="AP9882" s="21" t="s">
        <v>116</v>
      </c>
    </row>
    <row r="9883" spans="1:42">
      <c r="A9883" s="20">
        <v>43872</v>
      </c>
      <c r="B9883" s="21">
        <v>2</v>
      </c>
      <c r="C9883" s="21">
        <v>232</v>
      </c>
      <c r="D9883" s="21">
        <v>14476</v>
      </c>
      <c r="E9883" s="7" t="s">
        <v>112</v>
      </c>
      <c r="F9883" s="21" t="s">
        <v>104</v>
      </c>
      <c r="G9883" s="21">
        <v>2</v>
      </c>
      <c r="H9883" s="21">
        <v>27</v>
      </c>
      <c r="I9883" s="21" t="s">
        <v>7415</v>
      </c>
      <c r="J9883" s="21"/>
      <c r="K9883" s="21" t="s">
        <v>4704</v>
      </c>
      <c r="L9883" s="21" t="s">
        <v>114</v>
      </c>
      <c r="M9883" s="21" t="s">
        <v>7038</v>
      </c>
      <c r="N9883" s="21" t="s">
        <v>40</v>
      </c>
      <c r="O9883" s="21">
        <v>53</v>
      </c>
      <c r="P9883" s="21"/>
      <c r="Q9883" s="21">
        <f t="shared" si="210"/>
        <v>4</v>
      </c>
      <c r="R9883" s="21">
        <v>1</v>
      </c>
      <c r="S9883" s="21">
        <v>0</v>
      </c>
      <c r="T9883" s="21">
        <v>1</v>
      </c>
      <c r="U9883" s="21">
        <v>3</v>
      </c>
      <c r="V9883" s="21">
        <v>0</v>
      </c>
      <c r="W9883" s="21">
        <v>0</v>
      </c>
      <c r="X9883" s="21">
        <v>0</v>
      </c>
      <c r="Y9883" s="21">
        <v>0</v>
      </c>
      <c r="Z9883" s="21">
        <v>0</v>
      </c>
      <c r="AA9883" s="21">
        <v>0</v>
      </c>
      <c r="AB9883" s="21">
        <v>0</v>
      </c>
      <c r="AC9883" s="21">
        <v>0</v>
      </c>
      <c r="AD9883" s="21">
        <v>0</v>
      </c>
      <c r="AE9883" s="21">
        <v>0</v>
      </c>
      <c r="AF9883" s="21">
        <v>0</v>
      </c>
      <c r="AG9883" s="21"/>
      <c r="AH9883" s="21">
        <f t="shared" si="209"/>
        <v>116</v>
      </c>
      <c r="AI9883" s="21"/>
      <c r="AJ9883" s="21" t="s">
        <v>54</v>
      </c>
      <c r="AK9883" s="21" t="s">
        <v>52</v>
      </c>
      <c r="AL9883" s="21"/>
      <c r="AM9883" s="21" t="s">
        <v>7416</v>
      </c>
      <c r="AN9883" s="21">
        <v>-122.4113085</v>
      </c>
      <c r="AO9883" s="21">
        <v>37.797412450000003</v>
      </c>
      <c r="AP9883" s="21" t="s">
        <v>116</v>
      </c>
    </row>
    <row r="9884" spans="1:42">
      <c r="A9884" s="20">
        <v>43872</v>
      </c>
      <c r="B9884" s="21">
        <v>2</v>
      </c>
      <c r="C9884" s="21">
        <v>232</v>
      </c>
      <c r="D9884" s="21">
        <v>14476</v>
      </c>
      <c r="E9884" s="7" t="s">
        <v>112</v>
      </c>
      <c r="F9884" s="21" t="s">
        <v>104</v>
      </c>
      <c r="G9884" s="21">
        <v>2</v>
      </c>
      <c r="H9884" s="21">
        <v>28</v>
      </c>
      <c r="I9884" s="21" t="s">
        <v>7417</v>
      </c>
      <c r="J9884" s="21"/>
      <c r="K9884" s="21" t="s">
        <v>185</v>
      </c>
      <c r="L9884" s="21" t="s">
        <v>114</v>
      </c>
      <c r="M9884" s="21" t="s">
        <v>7038</v>
      </c>
      <c r="N9884" s="21" t="s">
        <v>40</v>
      </c>
      <c r="O9884" s="21">
        <v>64</v>
      </c>
      <c r="P9884" s="21"/>
      <c r="Q9884" s="21">
        <f t="shared" si="210"/>
        <v>5</v>
      </c>
      <c r="R9884" s="21">
        <v>1</v>
      </c>
      <c r="S9884" s="21">
        <v>3</v>
      </c>
      <c r="T9884" s="21">
        <v>1</v>
      </c>
      <c r="U9884" s="21">
        <v>1</v>
      </c>
      <c r="V9884" s="21">
        <v>0</v>
      </c>
      <c r="W9884" s="21">
        <v>0</v>
      </c>
      <c r="X9884" s="21">
        <v>0</v>
      </c>
      <c r="Y9884" s="21">
        <v>0</v>
      </c>
      <c r="Z9884" s="21">
        <v>0</v>
      </c>
      <c r="AA9884" s="21">
        <v>0</v>
      </c>
      <c r="AB9884" s="21">
        <v>0</v>
      </c>
      <c r="AC9884" s="21">
        <v>0</v>
      </c>
      <c r="AD9884" s="21">
        <v>0</v>
      </c>
      <c r="AE9884" s="21">
        <v>0</v>
      </c>
      <c r="AF9884" s="21">
        <v>0</v>
      </c>
      <c r="AG9884" s="21"/>
      <c r="AH9884" s="21">
        <f t="shared" si="209"/>
        <v>100</v>
      </c>
      <c r="AI9884" s="21"/>
      <c r="AJ9884" s="21" t="s">
        <v>54</v>
      </c>
      <c r="AK9884" s="21" t="s">
        <v>95</v>
      </c>
      <c r="AL9884" s="21"/>
      <c r="AM9884" s="21" t="s">
        <v>7418</v>
      </c>
      <c r="AN9884" s="21">
        <v>-122.412637650102</v>
      </c>
      <c r="AO9884" s="21">
        <v>37.7995813504604</v>
      </c>
      <c r="AP9884" s="21" t="s">
        <v>116</v>
      </c>
    </row>
    <row r="9885" spans="1:42">
      <c r="A9885" s="20">
        <v>43872</v>
      </c>
      <c r="B9885" s="21">
        <v>2</v>
      </c>
      <c r="C9885" s="21">
        <v>232</v>
      </c>
      <c r="D9885" s="21">
        <v>14476</v>
      </c>
      <c r="E9885" s="7" t="s">
        <v>112</v>
      </c>
      <c r="F9885" s="21" t="s">
        <v>104</v>
      </c>
      <c r="G9885" s="21">
        <v>2</v>
      </c>
      <c r="H9885" s="21">
        <v>29</v>
      </c>
      <c r="I9885" s="21" t="s">
        <v>6084</v>
      </c>
      <c r="J9885" s="21"/>
      <c r="K9885" s="21" t="s">
        <v>6992</v>
      </c>
      <c r="L9885" s="21" t="s">
        <v>114</v>
      </c>
      <c r="M9885" s="21" t="s">
        <v>6618</v>
      </c>
      <c r="N9885" s="21" t="s">
        <v>40</v>
      </c>
      <c r="O9885" s="21">
        <v>79</v>
      </c>
      <c r="P9885" s="21"/>
      <c r="Q9885" s="21">
        <f t="shared" si="210"/>
        <v>3</v>
      </c>
      <c r="R9885" s="21">
        <v>1</v>
      </c>
      <c r="S9885" s="21">
        <v>0</v>
      </c>
      <c r="T9885" s="21">
        <v>0</v>
      </c>
      <c r="U9885" s="21">
        <v>2</v>
      </c>
      <c r="V9885" s="21">
        <v>1</v>
      </c>
      <c r="W9885" s="21">
        <v>0</v>
      </c>
      <c r="X9885" s="21">
        <v>0</v>
      </c>
      <c r="Y9885" s="21">
        <v>0</v>
      </c>
      <c r="Z9885" s="21">
        <v>0</v>
      </c>
      <c r="AA9885" s="21">
        <v>0</v>
      </c>
      <c r="AB9885" s="21">
        <v>0</v>
      </c>
      <c r="AC9885" s="21">
        <v>0</v>
      </c>
      <c r="AD9885" s="21">
        <v>0</v>
      </c>
      <c r="AE9885" s="21">
        <v>0</v>
      </c>
      <c r="AF9885" s="21">
        <v>0</v>
      </c>
      <c r="AG9885" s="21"/>
      <c r="AH9885" s="21">
        <f t="shared" si="209"/>
        <v>128</v>
      </c>
      <c r="AI9885" s="21"/>
      <c r="AJ9885" s="21" t="s">
        <v>54</v>
      </c>
      <c r="AK9885" s="21" t="s">
        <v>52</v>
      </c>
      <c r="AL9885" s="21"/>
      <c r="AM9885" s="21" t="s">
        <v>7419</v>
      </c>
      <c r="AN9885" s="21">
        <v>-122.41182515</v>
      </c>
      <c r="AO9885" s="21">
        <v>37.796808566666698</v>
      </c>
      <c r="AP9885" s="21" t="s">
        <v>116</v>
      </c>
    </row>
    <row r="9886" spans="1:42">
      <c r="A9886" s="20">
        <v>43872</v>
      </c>
      <c r="B9886" s="21">
        <v>2</v>
      </c>
      <c r="C9886" s="21">
        <v>232</v>
      </c>
      <c r="D9886" s="21">
        <v>14476</v>
      </c>
      <c r="E9886" s="7" t="s">
        <v>112</v>
      </c>
      <c r="F9886" s="21" t="s">
        <v>104</v>
      </c>
      <c r="G9886" s="21">
        <v>2</v>
      </c>
      <c r="H9886" s="21">
        <v>30</v>
      </c>
      <c r="I9886" s="21" t="s">
        <v>7420</v>
      </c>
      <c r="J9886" s="21"/>
      <c r="K9886" s="21" t="s">
        <v>6992</v>
      </c>
      <c r="L9886" s="21" t="s">
        <v>141</v>
      </c>
      <c r="M9886" s="21" t="s">
        <v>7038</v>
      </c>
      <c r="N9886" s="21" t="s">
        <v>40</v>
      </c>
      <c r="O9886" s="21">
        <v>65</v>
      </c>
      <c r="P9886" s="21"/>
      <c r="Q9886" s="21">
        <f t="shared" si="210"/>
        <v>4</v>
      </c>
      <c r="R9886" s="21">
        <v>1</v>
      </c>
      <c r="S9886" s="21">
        <v>1</v>
      </c>
      <c r="T9886" s="21">
        <v>1</v>
      </c>
      <c r="U9886" s="21">
        <v>2</v>
      </c>
      <c r="V9886" s="21">
        <v>0</v>
      </c>
      <c r="W9886" s="21">
        <v>0</v>
      </c>
      <c r="X9886" s="21">
        <v>0</v>
      </c>
      <c r="Y9886" s="21">
        <v>0</v>
      </c>
      <c r="Z9886" s="21">
        <v>0</v>
      </c>
      <c r="AA9886" s="21">
        <v>0</v>
      </c>
      <c r="AB9886" s="21">
        <v>0</v>
      </c>
      <c r="AC9886" s="21">
        <v>0</v>
      </c>
      <c r="AD9886" s="21">
        <v>0</v>
      </c>
      <c r="AE9886" s="21">
        <v>0</v>
      </c>
      <c r="AF9886" s="21">
        <v>0</v>
      </c>
      <c r="AG9886" s="21"/>
      <c r="AH9886" s="21">
        <f t="shared" si="209"/>
        <v>100</v>
      </c>
      <c r="AI9886" s="21"/>
      <c r="AJ9886" s="21" t="s">
        <v>54</v>
      </c>
      <c r="AK9886" s="21" t="s">
        <v>52</v>
      </c>
      <c r="AL9886" s="21"/>
      <c r="AM9886" s="21" t="s">
        <v>7421</v>
      </c>
      <c r="AN9886" s="21">
        <v>-122.411912183333</v>
      </c>
      <c r="AO9886" s="21">
        <v>37.796821633333302</v>
      </c>
      <c r="AP9886" s="21" t="s">
        <v>116</v>
      </c>
    </row>
    <row r="9887" spans="1:42">
      <c r="A9887" s="20">
        <v>43872</v>
      </c>
      <c r="B9887" s="21">
        <v>2</v>
      </c>
      <c r="C9887" s="21">
        <v>232</v>
      </c>
      <c r="D9887" s="21">
        <v>14476</v>
      </c>
      <c r="E9887" s="7" t="s">
        <v>112</v>
      </c>
      <c r="F9887" s="21" t="s">
        <v>104</v>
      </c>
      <c r="G9887" s="21">
        <v>2</v>
      </c>
      <c r="H9887" s="21">
        <v>31</v>
      </c>
      <c r="I9887" s="21" t="s">
        <v>7422</v>
      </c>
      <c r="J9887" s="21"/>
      <c r="K9887" s="21" t="s">
        <v>102</v>
      </c>
      <c r="L9887" s="21" t="s">
        <v>141</v>
      </c>
      <c r="M9887" s="21" t="s">
        <v>7038</v>
      </c>
      <c r="N9887" s="21" t="s">
        <v>40</v>
      </c>
      <c r="O9887" s="21">
        <v>55</v>
      </c>
      <c r="P9887" s="21"/>
      <c r="Q9887" s="21">
        <f t="shared" si="210"/>
        <v>4</v>
      </c>
      <c r="R9887" s="21">
        <v>1</v>
      </c>
      <c r="S9887" s="21">
        <v>2</v>
      </c>
      <c r="T9887" s="21">
        <v>0</v>
      </c>
      <c r="U9887" s="21">
        <v>2</v>
      </c>
      <c r="V9887" s="21">
        <v>0</v>
      </c>
      <c r="W9887" s="21">
        <v>0</v>
      </c>
      <c r="X9887" s="21">
        <v>0</v>
      </c>
      <c r="Y9887" s="21">
        <v>0</v>
      </c>
      <c r="Z9887" s="21">
        <v>0</v>
      </c>
      <c r="AA9887" s="21">
        <v>0</v>
      </c>
      <c r="AB9887" s="21">
        <v>0</v>
      </c>
      <c r="AC9887" s="21">
        <v>0</v>
      </c>
      <c r="AD9887" s="21">
        <v>0</v>
      </c>
      <c r="AE9887" s="21">
        <v>0</v>
      </c>
      <c r="AF9887" s="21">
        <v>0</v>
      </c>
      <c r="AG9887" s="21"/>
      <c r="AH9887" s="21">
        <f t="shared" si="209"/>
        <v>96</v>
      </c>
      <c r="AI9887" s="21"/>
      <c r="AJ9887" s="21" t="s">
        <v>54</v>
      </c>
      <c r="AK9887" s="21" t="s">
        <v>52</v>
      </c>
      <c r="AL9887" s="21"/>
      <c r="AM9887" s="21" t="s">
        <v>7423</v>
      </c>
      <c r="AN9887" s="21">
        <v>-122.411877416667</v>
      </c>
      <c r="AO9887" s="21">
        <v>37.796632066666703</v>
      </c>
      <c r="AP9887" s="21" t="s">
        <v>116</v>
      </c>
    </row>
    <row r="9888" spans="1:42">
      <c r="A9888" s="20">
        <v>43872</v>
      </c>
      <c r="B9888" s="21">
        <v>2</v>
      </c>
      <c r="C9888" s="21">
        <v>232</v>
      </c>
      <c r="D9888" s="21">
        <v>14476</v>
      </c>
      <c r="E9888" s="7" t="s">
        <v>112</v>
      </c>
      <c r="F9888" s="21" t="s">
        <v>104</v>
      </c>
      <c r="G9888" s="21">
        <v>2</v>
      </c>
      <c r="H9888" s="21">
        <v>32</v>
      </c>
      <c r="I9888" s="21" t="s">
        <v>7424</v>
      </c>
      <c r="J9888" s="21"/>
      <c r="K9888" s="21" t="s">
        <v>6992</v>
      </c>
      <c r="L9888" s="21" t="s">
        <v>141</v>
      </c>
      <c r="M9888" s="21" t="s">
        <v>7038</v>
      </c>
      <c r="N9888" s="21" t="s">
        <v>44</v>
      </c>
      <c r="O9888" s="21">
        <v>82</v>
      </c>
      <c r="P9888" s="21"/>
      <c r="Q9888" s="21">
        <f t="shared" si="210"/>
        <v>3</v>
      </c>
      <c r="R9888" s="21">
        <v>1</v>
      </c>
      <c r="S9888" s="21">
        <v>0</v>
      </c>
      <c r="T9888" s="21">
        <v>0</v>
      </c>
      <c r="U9888" s="21">
        <v>1</v>
      </c>
      <c r="V9888" s="21">
        <v>1</v>
      </c>
      <c r="W9888" s="21">
        <v>1</v>
      </c>
      <c r="X9888" s="21">
        <v>0</v>
      </c>
      <c r="Y9888" s="21">
        <v>0</v>
      </c>
      <c r="Z9888" s="21">
        <v>0</v>
      </c>
      <c r="AA9888" s="21">
        <v>0</v>
      </c>
      <c r="AB9888" s="21">
        <v>0</v>
      </c>
      <c r="AC9888" s="21">
        <v>0</v>
      </c>
      <c r="AD9888" s="21">
        <v>0</v>
      </c>
      <c r="AE9888" s="21">
        <v>0</v>
      </c>
      <c r="AF9888" s="21">
        <v>0</v>
      </c>
      <c r="AG9888" s="21"/>
      <c r="AH9888" s="21">
        <f t="shared" si="209"/>
        <v>192</v>
      </c>
      <c r="AI9888" s="21"/>
      <c r="AJ9888" s="21" t="s">
        <v>54</v>
      </c>
      <c r="AK9888" s="21" t="s">
        <v>52</v>
      </c>
      <c r="AL9888" s="21" t="s">
        <v>7105</v>
      </c>
      <c r="AM9888" s="21" t="s">
        <v>7425</v>
      </c>
      <c r="AN9888" s="21">
        <v>-122.41182865</v>
      </c>
      <c r="AO9888" s="21">
        <v>37.796457116666602</v>
      </c>
      <c r="AP9888" s="21" t="s">
        <v>116</v>
      </c>
    </row>
    <row r="9889" spans="1:42">
      <c r="A9889" s="20">
        <v>43872</v>
      </c>
      <c r="B9889" s="21">
        <v>2</v>
      </c>
      <c r="C9889" s="21">
        <v>232</v>
      </c>
      <c r="D9889" s="21">
        <v>14476</v>
      </c>
      <c r="E9889" s="7" t="s">
        <v>112</v>
      </c>
      <c r="F9889" s="21" t="s">
        <v>104</v>
      </c>
      <c r="G9889" s="21">
        <v>2</v>
      </c>
      <c r="H9889" s="21">
        <v>33</v>
      </c>
      <c r="I9889" s="21" t="s">
        <v>4828</v>
      </c>
      <c r="J9889" s="21"/>
      <c r="K9889" s="21" t="s">
        <v>6992</v>
      </c>
      <c r="L9889" s="21" t="s">
        <v>114</v>
      </c>
      <c r="M9889" s="21" t="s">
        <v>7038</v>
      </c>
      <c r="N9889" s="21" t="s">
        <v>40</v>
      </c>
      <c r="O9889" s="21">
        <v>22</v>
      </c>
      <c r="P9889" s="21"/>
      <c r="Q9889" s="21">
        <f t="shared" si="210"/>
        <v>1</v>
      </c>
      <c r="R9889" s="21">
        <v>1</v>
      </c>
      <c r="S9889" s="21">
        <v>0</v>
      </c>
      <c r="T9889" s="21">
        <v>0</v>
      </c>
      <c r="U9889" s="21">
        <v>0</v>
      </c>
      <c r="V9889" s="21">
        <v>1</v>
      </c>
      <c r="W9889" s="21">
        <v>0</v>
      </c>
      <c r="X9889" s="21">
        <v>0</v>
      </c>
      <c r="Y9889" s="21">
        <v>0</v>
      </c>
      <c r="Z9889" s="21">
        <v>0</v>
      </c>
      <c r="AA9889" s="21">
        <v>0</v>
      </c>
      <c r="AB9889" s="21">
        <v>0</v>
      </c>
      <c r="AC9889" s="21">
        <v>0</v>
      </c>
      <c r="AD9889" s="21">
        <v>0</v>
      </c>
      <c r="AE9889" s="21">
        <v>0</v>
      </c>
      <c r="AF9889" s="21">
        <v>0</v>
      </c>
      <c r="AG9889" s="21"/>
      <c r="AH9889" s="21">
        <f t="shared" si="209"/>
        <v>64</v>
      </c>
      <c r="AI9889" s="21"/>
      <c r="AJ9889" s="21" t="s">
        <v>54</v>
      </c>
      <c r="AK9889" s="21" t="s">
        <v>52</v>
      </c>
      <c r="AL9889" s="21" t="s">
        <v>7156</v>
      </c>
      <c r="AM9889" s="21" t="s">
        <v>7426</v>
      </c>
      <c r="AN9889" s="21">
        <v>-122.41162553333299</v>
      </c>
      <c r="AO9889" s="21">
        <v>37.796245466666598</v>
      </c>
      <c r="AP9889" s="21" t="s">
        <v>116</v>
      </c>
    </row>
    <row r="9890" spans="1:42">
      <c r="A9890" s="20">
        <v>43872</v>
      </c>
      <c r="B9890" s="21">
        <v>2</v>
      </c>
      <c r="C9890" s="21">
        <v>232</v>
      </c>
      <c r="D9890" s="21">
        <v>14476</v>
      </c>
      <c r="E9890" s="7" t="s">
        <v>112</v>
      </c>
      <c r="F9890" s="21" t="s">
        <v>104</v>
      </c>
      <c r="G9890" s="21">
        <v>2</v>
      </c>
      <c r="H9890" s="21">
        <v>34</v>
      </c>
      <c r="I9890" s="21" t="s">
        <v>7427</v>
      </c>
      <c r="J9890" s="21"/>
      <c r="K9890" s="21" t="s">
        <v>7362</v>
      </c>
      <c r="L9890" s="21" t="s">
        <v>141</v>
      </c>
      <c r="M9890" s="21" t="s">
        <v>7038</v>
      </c>
      <c r="N9890" s="21" t="s">
        <v>44</v>
      </c>
      <c r="O9890" s="21">
        <v>54</v>
      </c>
      <c r="P9890" s="21"/>
      <c r="Q9890" s="21">
        <f t="shared" si="210"/>
        <v>1</v>
      </c>
      <c r="R9890" s="21">
        <v>1</v>
      </c>
      <c r="S9890" s="21">
        <v>0</v>
      </c>
      <c r="T9890" s="21">
        <v>0</v>
      </c>
      <c r="U9890" s="21">
        <v>0</v>
      </c>
      <c r="V9890" s="21">
        <v>1</v>
      </c>
      <c r="W9890" s="21">
        <v>0</v>
      </c>
      <c r="X9890" s="21">
        <v>0</v>
      </c>
      <c r="Y9890" s="21">
        <v>0</v>
      </c>
      <c r="Z9890" s="21">
        <v>0</v>
      </c>
      <c r="AA9890" s="21">
        <v>0</v>
      </c>
      <c r="AB9890" s="21">
        <v>0</v>
      </c>
      <c r="AC9890" s="21">
        <v>0</v>
      </c>
      <c r="AD9890" s="21">
        <v>0</v>
      </c>
      <c r="AE9890" s="21">
        <v>0</v>
      </c>
      <c r="AF9890" s="21">
        <v>0</v>
      </c>
      <c r="AG9890" s="21"/>
      <c r="AH9890" s="21">
        <f t="shared" si="209"/>
        <v>64</v>
      </c>
      <c r="AI9890" s="21"/>
      <c r="AJ9890" s="21" t="s">
        <v>54</v>
      </c>
      <c r="AK9890" s="21" t="s">
        <v>52</v>
      </c>
      <c r="AL9890" s="21" t="s">
        <v>7428</v>
      </c>
      <c r="AM9890" s="21" t="s">
        <v>7429</v>
      </c>
      <c r="AN9890" s="21">
        <v>-122.41124998333299</v>
      </c>
      <c r="AO9890" s="21">
        <v>37.796370466666701</v>
      </c>
      <c r="AP9890" s="21" t="s">
        <v>116</v>
      </c>
    </row>
    <row r="9891" spans="1:42">
      <c r="A9891" s="20">
        <v>43872</v>
      </c>
      <c r="B9891" s="21">
        <v>2</v>
      </c>
      <c r="C9891" s="21">
        <v>232</v>
      </c>
      <c r="D9891" s="21">
        <v>14476</v>
      </c>
      <c r="E9891" s="7" t="s">
        <v>112</v>
      </c>
      <c r="F9891" s="21" t="s">
        <v>104</v>
      </c>
      <c r="G9891" s="21">
        <v>2</v>
      </c>
      <c r="H9891" s="21">
        <v>35</v>
      </c>
      <c r="I9891" s="21" t="s">
        <v>3119</v>
      </c>
      <c r="J9891" s="21"/>
      <c r="K9891" s="21" t="s">
        <v>7362</v>
      </c>
      <c r="L9891" s="21" t="s">
        <v>141</v>
      </c>
      <c r="M9891" s="21" t="s">
        <v>7038</v>
      </c>
      <c r="N9891" s="21" t="s">
        <v>40</v>
      </c>
      <c r="O9891" s="21">
        <v>49</v>
      </c>
      <c r="P9891" s="21"/>
      <c r="Q9891" s="21">
        <f t="shared" si="210"/>
        <v>2</v>
      </c>
      <c r="R9891" s="21">
        <v>1</v>
      </c>
      <c r="S9891" s="21">
        <v>0</v>
      </c>
      <c r="T9891" s="21">
        <v>0</v>
      </c>
      <c r="U9891" s="21">
        <v>2</v>
      </c>
      <c r="V9891" s="21">
        <v>0</v>
      </c>
      <c r="W9891" s="21">
        <v>0</v>
      </c>
      <c r="X9891" s="21">
        <v>0</v>
      </c>
      <c r="Y9891" s="21">
        <v>0</v>
      </c>
      <c r="Z9891" s="21">
        <v>0</v>
      </c>
      <c r="AA9891" s="21">
        <v>0</v>
      </c>
      <c r="AB9891" s="21">
        <v>0</v>
      </c>
      <c r="AC9891" s="21">
        <v>0</v>
      </c>
      <c r="AD9891" s="21">
        <v>0</v>
      </c>
      <c r="AE9891" s="21">
        <v>0</v>
      </c>
      <c r="AF9891" s="21">
        <v>0</v>
      </c>
      <c r="AG9891" s="21"/>
      <c r="AH9891" s="21">
        <f t="shared" si="209"/>
        <v>64</v>
      </c>
      <c r="AI9891" s="21"/>
      <c r="AJ9891" s="21" t="s">
        <v>54</v>
      </c>
      <c r="AK9891" s="21" t="s">
        <v>52</v>
      </c>
      <c r="AL9891" s="21" t="s">
        <v>7430</v>
      </c>
      <c r="AM9891" s="21" t="s">
        <v>7431</v>
      </c>
      <c r="AN9891" s="21">
        <v>-122.41117041666701</v>
      </c>
      <c r="AO9891" s="21">
        <v>37.796379316666702</v>
      </c>
      <c r="AP9891" s="21" t="s">
        <v>116</v>
      </c>
    </row>
    <row r="9892" spans="1:42">
      <c r="A9892" s="20">
        <v>43872</v>
      </c>
      <c r="B9892" s="21">
        <v>2</v>
      </c>
      <c r="C9892" s="21">
        <v>232</v>
      </c>
      <c r="D9892" s="21">
        <v>14476</v>
      </c>
      <c r="E9892" s="7" t="s">
        <v>112</v>
      </c>
      <c r="F9892" s="21" t="s">
        <v>104</v>
      </c>
      <c r="G9892" s="21">
        <v>2</v>
      </c>
      <c r="H9892" s="21">
        <v>36</v>
      </c>
      <c r="I9892" s="21" t="s">
        <v>7432</v>
      </c>
      <c r="J9892" s="21"/>
      <c r="K9892" s="21" t="s">
        <v>7362</v>
      </c>
      <c r="L9892" s="21" t="s">
        <v>141</v>
      </c>
      <c r="M9892" s="21" t="s">
        <v>7038</v>
      </c>
      <c r="N9892" s="21" t="s">
        <v>44</v>
      </c>
      <c r="O9892" s="21">
        <v>125</v>
      </c>
      <c r="P9892" s="21"/>
      <c r="Q9892" s="21">
        <f t="shared" si="210"/>
        <v>2</v>
      </c>
      <c r="R9892" s="21">
        <v>1</v>
      </c>
      <c r="S9892" s="21">
        <v>0</v>
      </c>
      <c r="T9892" s="21">
        <v>0</v>
      </c>
      <c r="U9892" s="21">
        <v>0</v>
      </c>
      <c r="V9892" s="21">
        <v>0</v>
      </c>
      <c r="W9892" s="21">
        <v>2</v>
      </c>
      <c r="X9892" s="21">
        <v>0</v>
      </c>
      <c r="Y9892" s="21">
        <v>0</v>
      </c>
      <c r="Z9892" s="21">
        <v>0</v>
      </c>
      <c r="AA9892" s="21">
        <v>0</v>
      </c>
      <c r="AB9892" s="21">
        <v>0</v>
      </c>
      <c r="AC9892" s="21">
        <v>0</v>
      </c>
      <c r="AD9892" s="21">
        <v>0</v>
      </c>
      <c r="AE9892" s="21">
        <v>0</v>
      </c>
      <c r="AF9892" s="21">
        <v>0</v>
      </c>
      <c r="AG9892" s="21"/>
      <c r="AH9892" s="21">
        <f t="shared" si="209"/>
        <v>192</v>
      </c>
      <c r="AI9892" s="21"/>
      <c r="AJ9892" s="21" t="s">
        <v>54</v>
      </c>
      <c r="AK9892" s="21" t="s">
        <v>52</v>
      </c>
      <c r="AL9892" s="21" t="s">
        <v>7433</v>
      </c>
      <c r="AM9892" s="21" t="s">
        <v>7434</v>
      </c>
      <c r="AN9892" s="21">
        <v>-122.411138783333</v>
      </c>
      <c r="AO9892" s="21">
        <v>37.796452616666699</v>
      </c>
      <c r="AP9892" s="21" t="s">
        <v>116</v>
      </c>
    </row>
    <row r="9893" spans="1:42">
      <c r="A9893" s="20">
        <v>43872</v>
      </c>
      <c r="B9893" s="21">
        <v>2</v>
      </c>
      <c r="C9893" s="21">
        <v>232</v>
      </c>
      <c r="D9893" s="21">
        <v>14476</v>
      </c>
      <c r="E9893" s="7" t="s">
        <v>112</v>
      </c>
      <c r="F9893" s="21" t="s">
        <v>104</v>
      </c>
      <c r="G9893" s="21">
        <v>2</v>
      </c>
      <c r="H9893" s="21">
        <v>37</v>
      </c>
      <c r="I9893" s="21" t="s">
        <v>3121</v>
      </c>
      <c r="J9893" s="21"/>
      <c r="K9893" s="21" t="s">
        <v>7151</v>
      </c>
      <c r="L9893" s="21" t="s">
        <v>141</v>
      </c>
      <c r="M9893" s="21" t="s">
        <v>7038</v>
      </c>
      <c r="N9893" s="21" t="s">
        <v>44</v>
      </c>
      <c r="O9893" s="21">
        <v>30</v>
      </c>
      <c r="P9893" s="21"/>
      <c r="Q9893" s="21">
        <f t="shared" si="210"/>
        <v>1</v>
      </c>
      <c r="R9893" s="21">
        <v>1</v>
      </c>
      <c r="S9893" s="21">
        <v>0</v>
      </c>
      <c r="T9893" s="21">
        <v>0</v>
      </c>
      <c r="U9893" s="21">
        <v>1</v>
      </c>
      <c r="V9893" s="21">
        <v>0</v>
      </c>
      <c r="W9893" s="21">
        <v>0</v>
      </c>
      <c r="X9893" s="21">
        <v>0</v>
      </c>
      <c r="Y9893" s="21">
        <v>0</v>
      </c>
      <c r="Z9893" s="21">
        <v>0</v>
      </c>
      <c r="AA9893" s="21">
        <v>0</v>
      </c>
      <c r="AB9893" s="21">
        <v>0</v>
      </c>
      <c r="AC9893" s="21">
        <v>0</v>
      </c>
      <c r="AD9893" s="21">
        <v>0</v>
      </c>
      <c r="AE9893" s="21">
        <v>0</v>
      </c>
      <c r="AF9893" s="21">
        <v>0</v>
      </c>
      <c r="AG9893" s="21"/>
      <c r="AH9893" s="21">
        <f t="shared" si="209"/>
        <v>32</v>
      </c>
      <c r="AI9893" s="21"/>
      <c r="AJ9893" s="21" t="s">
        <v>54</v>
      </c>
      <c r="AK9893" s="21" t="s">
        <v>52</v>
      </c>
      <c r="AL9893" s="21" t="s">
        <v>7105</v>
      </c>
      <c r="AM9893" s="21" t="s">
        <v>7435</v>
      </c>
      <c r="AN9893" s="21">
        <v>-122.41091413333299</v>
      </c>
      <c r="AO9893" s="21">
        <v>37.796402583333297</v>
      </c>
      <c r="AP9893" s="21" t="s">
        <v>116</v>
      </c>
    </row>
    <row r="9894" spans="1:42">
      <c r="A9894" s="20">
        <v>43872</v>
      </c>
      <c r="B9894" s="21">
        <v>2</v>
      </c>
      <c r="C9894" s="21">
        <v>232</v>
      </c>
      <c r="D9894" s="21">
        <v>14476</v>
      </c>
      <c r="E9894" s="7" t="s">
        <v>112</v>
      </c>
      <c r="F9894" s="21" t="s">
        <v>104</v>
      </c>
      <c r="G9894" s="21">
        <v>2</v>
      </c>
      <c r="H9894" s="21">
        <v>38</v>
      </c>
      <c r="I9894" s="21" t="s">
        <v>7262</v>
      </c>
      <c r="J9894" s="21"/>
      <c r="K9894" s="21" t="s">
        <v>7151</v>
      </c>
      <c r="L9894" s="21" t="s">
        <v>141</v>
      </c>
      <c r="M9894" s="21" t="s">
        <v>7038</v>
      </c>
      <c r="N9894" s="21" t="s">
        <v>40</v>
      </c>
      <c r="O9894" s="21">
        <v>115</v>
      </c>
      <c r="P9894" s="21"/>
      <c r="Q9894" s="21">
        <f t="shared" si="210"/>
        <v>3</v>
      </c>
      <c r="R9894" s="21">
        <v>1</v>
      </c>
      <c r="S9894" s="21">
        <v>0</v>
      </c>
      <c r="T9894" s="21">
        <v>0</v>
      </c>
      <c r="U9894" s="21">
        <v>0</v>
      </c>
      <c r="V9894" s="21">
        <v>3</v>
      </c>
      <c r="W9894" s="21">
        <v>0</v>
      </c>
      <c r="X9894" s="21">
        <v>0</v>
      </c>
      <c r="Y9894" s="21">
        <v>0</v>
      </c>
      <c r="Z9894" s="21">
        <v>0</v>
      </c>
      <c r="AA9894" s="21">
        <v>0</v>
      </c>
      <c r="AB9894" s="21">
        <v>0</v>
      </c>
      <c r="AC9894" s="21">
        <v>0</v>
      </c>
      <c r="AD9894" s="21">
        <v>0</v>
      </c>
      <c r="AE9894" s="21">
        <v>0</v>
      </c>
      <c r="AF9894" s="21">
        <v>0</v>
      </c>
      <c r="AG9894" s="21"/>
      <c r="AH9894" s="21">
        <f t="shared" si="209"/>
        <v>192</v>
      </c>
      <c r="AI9894" s="21"/>
      <c r="AJ9894" s="21" t="s">
        <v>54</v>
      </c>
      <c r="AK9894" s="21" t="s">
        <v>52</v>
      </c>
      <c r="AL9894" s="21"/>
      <c r="AM9894" s="21" t="s">
        <v>7436</v>
      </c>
      <c r="AN9894" s="21">
        <v>-122.41089701666699</v>
      </c>
      <c r="AO9894" s="21">
        <v>37.796419933333297</v>
      </c>
      <c r="AP9894" s="21" t="s">
        <v>116</v>
      </c>
    </row>
    <row r="9895" spans="1:42">
      <c r="A9895" s="20">
        <v>43872</v>
      </c>
      <c r="B9895" s="21">
        <v>2</v>
      </c>
      <c r="C9895" s="21">
        <v>232</v>
      </c>
      <c r="D9895" s="21">
        <v>14476</v>
      </c>
      <c r="E9895" s="7" t="s">
        <v>112</v>
      </c>
      <c r="F9895" s="21" t="s">
        <v>104</v>
      </c>
      <c r="G9895" s="21">
        <v>2</v>
      </c>
      <c r="H9895" s="21">
        <v>39</v>
      </c>
      <c r="I9895" s="21" t="s">
        <v>7437</v>
      </c>
      <c r="J9895" s="21"/>
      <c r="K9895" s="21" t="s">
        <v>7362</v>
      </c>
      <c r="L9895" s="21" t="s">
        <v>141</v>
      </c>
      <c r="M9895" s="21" t="s">
        <v>7038</v>
      </c>
      <c r="N9895" s="21" t="s">
        <v>40</v>
      </c>
      <c r="O9895" s="21">
        <v>40</v>
      </c>
      <c r="P9895" s="21"/>
      <c r="Q9895" s="21">
        <f t="shared" si="210"/>
        <v>2</v>
      </c>
      <c r="R9895" s="21">
        <v>1</v>
      </c>
      <c r="S9895" s="21">
        <v>1</v>
      </c>
      <c r="T9895" s="21">
        <v>1</v>
      </c>
      <c r="U9895" s="21">
        <v>0</v>
      </c>
      <c r="V9895" s="21">
        <v>0</v>
      </c>
      <c r="W9895" s="21">
        <v>0</v>
      </c>
      <c r="X9895" s="21">
        <v>0</v>
      </c>
      <c r="Y9895" s="21">
        <v>0</v>
      </c>
      <c r="Z9895" s="21">
        <v>0</v>
      </c>
      <c r="AA9895" s="21">
        <v>0</v>
      </c>
      <c r="AB9895" s="21">
        <v>0</v>
      </c>
      <c r="AC9895" s="21">
        <v>0</v>
      </c>
      <c r="AD9895" s="21">
        <v>0</v>
      </c>
      <c r="AE9895" s="21">
        <v>0</v>
      </c>
      <c r="AF9895" s="21">
        <v>0</v>
      </c>
      <c r="AG9895" s="21"/>
      <c r="AH9895" s="21">
        <f t="shared" si="209"/>
        <v>36</v>
      </c>
      <c r="AI9895" s="21"/>
      <c r="AJ9895" s="21" t="s">
        <v>54</v>
      </c>
      <c r="AK9895" s="21" t="s">
        <v>52</v>
      </c>
      <c r="AL9895" s="21"/>
      <c r="AM9895" s="21" t="s">
        <v>7438</v>
      </c>
      <c r="AN9895" s="21">
        <v>-122.410761866667</v>
      </c>
      <c r="AO9895" s="21">
        <v>37.796437633333298</v>
      </c>
      <c r="AP9895" s="21" t="s">
        <v>116</v>
      </c>
    </row>
    <row r="9896" spans="1:42">
      <c r="A9896" s="20">
        <v>43872</v>
      </c>
      <c r="B9896" s="21">
        <v>2</v>
      </c>
      <c r="C9896" s="21">
        <v>232</v>
      </c>
      <c r="D9896" s="21">
        <v>14476</v>
      </c>
      <c r="E9896" s="7" t="s">
        <v>112</v>
      </c>
      <c r="F9896" s="21" t="s">
        <v>104</v>
      </c>
      <c r="G9896" s="21">
        <v>2</v>
      </c>
      <c r="H9896" s="21">
        <v>40</v>
      </c>
      <c r="I9896" s="21" t="s">
        <v>7439</v>
      </c>
      <c r="J9896" s="21"/>
      <c r="K9896" s="21" t="s">
        <v>7362</v>
      </c>
      <c r="L9896" s="21" t="s">
        <v>141</v>
      </c>
      <c r="M9896" s="21" t="s">
        <v>7038</v>
      </c>
      <c r="N9896" s="21" t="s">
        <v>40</v>
      </c>
      <c r="O9896" s="21">
        <v>33</v>
      </c>
      <c r="P9896" s="21"/>
      <c r="Q9896" s="21">
        <f t="shared" si="210"/>
        <v>2</v>
      </c>
      <c r="R9896" s="21">
        <v>1</v>
      </c>
      <c r="S9896" s="21">
        <v>1</v>
      </c>
      <c r="T9896" s="21">
        <v>0</v>
      </c>
      <c r="U9896" s="21">
        <v>1</v>
      </c>
      <c r="V9896" s="21">
        <v>0</v>
      </c>
      <c r="W9896" s="21">
        <v>0</v>
      </c>
      <c r="X9896" s="21">
        <v>0</v>
      </c>
      <c r="Y9896" s="21">
        <v>0</v>
      </c>
      <c r="Z9896" s="21">
        <v>0</v>
      </c>
      <c r="AA9896" s="21">
        <v>0</v>
      </c>
      <c r="AB9896" s="21">
        <v>0</v>
      </c>
      <c r="AC9896" s="21">
        <v>0</v>
      </c>
      <c r="AD9896" s="21">
        <v>0</v>
      </c>
      <c r="AE9896" s="21">
        <v>0</v>
      </c>
      <c r="AF9896" s="21">
        <v>0</v>
      </c>
      <c r="AG9896" s="21"/>
      <c r="AH9896" s="21">
        <f t="shared" si="209"/>
        <v>48</v>
      </c>
      <c r="AI9896" s="21"/>
      <c r="AJ9896" s="21" t="s">
        <v>54</v>
      </c>
      <c r="AK9896" s="21" t="s">
        <v>52</v>
      </c>
      <c r="AL9896" s="21"/>
      <c r="AM9896" s="21" t="s">
        <v>7440</v>
      </c>
      <c r="AN9896" s="21">
        <v>-122.410658933333</v>
      </c>
      <c r="AO9896" s="21">
        <v>37.796340466666699</v>
      </c>
      <c r="AP9896" s="21" t="s">
        <v>116</v>
      </c>
    </row>
    <row r="9897" spans="1:42">
      <c r="A9897" s="20">
        <v>43872</v>
      </c>
      <c r="B9897" s="21">
        <v>2</v>
      </c>
      <c r="C9897" s="21">
        <v>232</v>
      </c>
      <c r="D9897" s="21">
        <v>14476</v>
      </c>
      <c r="E9897" s="7" t="s">
        <v>112</v>
      </c>
      <c r="F9897" s="21" t="s">
        <v>104</v>
      </c>
      <c r="G9897" s="21">
        <v>2</v>
      </c>
      <c r="H9897" s="21">
        <v>41</v>
      </c>
      <c r="I9897" s="21" t="s">
        <v>7441</v>
      </c>
      <c r="J9897" s="21"/>
      <c r="K9897" s="21" t="s">
        <v>7362</v>
      </c>
      <c r="L9897" s="21" t="s">
        <v>141</v>
      </c>
      <c r="M9897" s="21" t="s">
        <v>7038</v>
      </c>
      <c r="N9897" s="21" t="s">
        <v>40</v>
      </c>
      <c r="O9897" s="21">
        <v>37</v>
      </c>
      <c r="P9897" s="21"/>
      <c r="Q9897" s="21">
        <f t="shared" si="210"/>
        <v>3</v>
      </c>
      <c r="R9897" s="21">
        <v>1</v>
      </c>
      <c r="S9897" s="21">
        <v>0</v>
      </c>
      <c r="T9897" s="21">
        <v>1</v>
      </c>
      <c r="U9897" s="21">
        <v>2</v>
      </c>
      <c r="V9897" s="21">
        <v>0</v>
      </c>
      <c r="W9897" s="21">
        <v>0</v>
      </c>
      <c r="X9897" s="21">
        <v>0</v>
      </c>
      <c r="Y9897" s="21">
        <v>0</v>
      </c>
      <c r="Z9897" s="21">
        <v>0</v>
      </c>
      <c r="AA9897" s="21">
        <v>0</v>
      </c>
      <c r="AB9897" s="21">
        <v>0</v>
      </c>
      <c r="AC9897" s="21">
        <v>0</v>
      </c>
      <c r="AD9897" s="21">
        <v>0</v>
      </c>
      <c r="AE9897" s="21">
        <v>0</v>
      </c>
      <c r="AF9897" s="21">
        <v>0</v>
      </c>
      <c r="AG9897" s="21"/>
      <c r="AH9897" s="21">
        <f t="shared" si="209"/>
        <v>84</v>
      </c>
      <c r="AI9897" s="21"/>
      <c r="AJ9897" s="21" t="s">
        <v>54</v>
      </c>
      <c r="AK9897" s="21" t="s">
        <v>52</v>
      </c>
      <c r="AL9897" s="21"/>
      <c r="AM9897" s="21" t="s">
        <v>7442</v>
      </c>
      <c r="AN9897" s="21">
        <v>-122.410437733333</v>
      </c>
      <c r="AO9897" s="21">
        <v>37.796455016666599</v>
      </c>
      <c r="AP9897" s="21" t="s">
        <v>116</v>
      </c>
    </row>
    <row r="9898" spans="1:42">
      <c r="A9898" s="20">
        <v>43872</v>
      </c>
      <c r="B9898" s="21">
        <v>2</v>
      </c>
      <c r="C9898" s="21">
        <v>232</v>
      </c>
      <c r="D9898" s="21">
        <v>14476</v>
      </c>
      <c r="E9898" s="7" t="s">
        <v>112</v>
      </c>
      <c r="F9898" s="21" t="s">
        <v>104</v>
      </c>
      <c r="G9898" s="21">
        <v>2</v>
      </c>
      <c r="H9898" s="21">
        <v>42</v>
      </c>
      <c r="I9898" s="21" t="s">
        <v>7443</v>
      </c>
      <c r="J9898" s="21"/>
      <c r="K9898" s="21" t="s">
        <v>7362</v>
      </c>
      <c r="L9898" s="21" t="s">
        <v>114</v>
      </c>
      <c r="M9898" s="21" t="s">
        <v>7038</v>
      </c>
      <c r="N9898" s="21" t="s">
        <v>42</v>
      </c>
      <c r="O9898" s="21">
        <v>93</v>
      </c>
      <c r="P9898" s="21"/>
      <c r="Q9898" s="21">
        <f t="shared" si="210"/>
        <v>5</v>
      </c>
      <c r="R9898" s="21">
        <v>1</v>
      </c>
      <c r="S9898" s="21">
        <v>0</v>
      </c>
      <c r="T9898" s="21">
        <v>1</v>
      </c>
      <c r="U9898" s="21">
        <v>3</v>
      </c>
      <c r="V9898" s="21">
        <v>0</v>
      </c>
      <c r="W9898" s="21">
        <v>1</v>
      </c>
      <c r="X9898" s="21">
        <v>0</v>
      </c>
      <c r="Y9898" s="21">
        <v>0</v>
      </c>
      <c r="Z9898" s="21">
        <v>0</v>
      </c>
      <c r="AA9898" s="21">
        <v>0</v>
      </c>
      <c r="AB9898" s="21">
        <v>0</v>
      </c>
      <c r="AC9898" s="21">
        <v>0</v>
      </c>
      <c r="AD9898" s="21">
        <v>0</v>
      </c>
      <c r="AE9898" s="21">
        <v>0</v>
      </c>
      <c r="AF9898" s="21">
        <v>0</v>
      </c>
      <c r="AG9898" s="21"/>
      <c r="AH9898" s="21">
        <f t="shared" si="209"/>
        <v>212</v>
      </c>
      <c r="AI9898" s="21"/>
      <c r="AJ9898" s="21" t="s">
        <v>54</v>
      </c>
      <c r="AK9898" s="21" t="s">
        <v>95</v>
      </c>
      <c r="AL9898" s="21" t="s">
        <v>7444</v>
      </c>
      <c r="AM9898" s="21" t="s">
        <v>7445</v>
      </c>
      <c r="AN9898" s="21">
        <v>-122.410535466667</v>
      </c>
      <c r="AO9898" s="21">
        <v>37.796504949999999</v>
      </c>
      <c r="AP9898" s="21" t="s">
        <v>116</v>
      </c>
    </row>
    <row r="9899" spans="1:42">
      <c r="A9899" s="20">
        <v>43872</v>
      </c>
      <c r="B9899" s="21">
        <v>2</v>
      </c>
      <c r="C9899" s="21">
        <v>232</v>
      </c>
      <c r="D9899" s="21">
        <v>14476</v>
      </c>
      <c r="E9899" s="7" t="s">
        <v>112</v>
      </c>
      <c r="F9899" s="21" t="s">
        <v>104</v>
      </c>
      <c r="G9899" s="21">
        <v>2</v>
      </c>
      <c r="H9899" s="21">
        <v>43</v>
      </c>
      <c r="I9899" s="21" t="s">
        <v>7446</v>
      </c>
      <c r="J9899" s="21"/>
      <c r="K9899" s="21" t="s">
        <v>7447</v>
      </c>
      <c r="L9899" s="21" t="s">
        <v>141</v>
      </c>
      <c r="M9899" s="21" t="s">
        <v>7038</v>
      </c>
      <c r="N9899" s="21" t="s">
        <v>40</v>
      </c>
      <c r="O9899" s="21">
        <v>62</v>
      </c>
      <c r="P9899" s="21"/>
      <c r="Q9899" s="21">
        <f t="shared" si="210"/>
        <v>3</v>
      </c>
      <c r="R9899" s="21">
        <v>1</v>
      </c>
      <c r="S9899" s="21">
        <v>1</v>
      </c>
      <c r="T9899" s="21">
        <v>1</v>
      </c>
      <c r="U9899" s="21">
        <v>0</v>
      </c>
      <c r="V9899" s="21">
        <v>1</v>
      </c>
      <c r="W9899" s="21">
        <v>0</v>
      </c>
      <c r="X9899" s="21">
        <v>0</v>
      </c>
      <c r="Y9899" s="21">
        <v>0</v>
      </c>
      <c r="Z9899" s="21">
        <v>0</v>
      </c>
      <c r="AA9899" s="21">
        <v>0</v>
      </c>
      <c r="AB9899" s="21">
        <v>0</v>
      </c>
      <c r="AC9899" s="21">
        <v>0</v>
      </c>
      <c r="AD9899" s="21">
        <v>0</v>
      </c>
      <c r="AE9899" s="21">
        <v>0</v>
      </c>
      <c r="AF9899" s="21">
        <v>0</v>
      </c>
      <c r="AG9899" s="21"/>
      <c r="AH9899" s="21">
        <f t="shared" si="209"/>
        <v>100</v>
      </c>
      <c r="AI9899" s="21"/>
      <c r="AJ9899" s="21" t="s">
        <v>51</v>
      </c>
      <c r="AK9899" s="21" t="s">
        <v>95</v>
      </c>
      <c r="AL9899" s="21"/>
      <c r="AM9899" s="21" t="s">
        <v>7448</v>
      </c>
      <c r="AN9899" s="21">
        <v>-122.410998866667</v>
      </c>
      <c r="AO9899" s="21">
        <v>37.796957633333299</v>
      </c>
      <c r="AP9899" s="21" t="s">
        <v>116</v>
      </c>
    </row>
    <row r="9900" spans="1:42">
      <c r="A9900" s="20">
        <v>43872</v>
      </c>
      <c r="B9900" s="21">
        <v>2</v>
      </c>
      <c r="C9900" s="21">
        <v>232</v>
      </c>
      <c r="D9900" s="21">
        <v>14476</v>
      </c>
      <c r="E9900" s="7" t="s">
        <v>112</v>
      </c>
      <c r="F9900" s="21" t="s">
        <v>104</v>
      </c>
      <c r="G9900" s="21">
        <v>2</v>
      </c>
      <c r="H9900" s="21">
        <v>44</v>
      </c>
      <c r="I9900" s="21" t="s">
        <v>7449</v>
      </c>
      <c r="J9900" s="21"/>
      <c r="K9900" s="21" t="s">
        <v>7447</v>
      </c>
      <c r="L9900" s="21" t="s">
        <v>1846</v>
      </c>
      <c r="M9900" s="21" t="s">
        <v>6618</v>
      </c>
      <c r="N9900" s="21" t="s">
        <v>40</v>
      </c>
      <c r="O9900" s="21">
        <v>107</v>
      </c>
      <c r="P9900" s="21"/>
      <c r="Q9900" s="21">
        <f t="shared" si="210"/>
        <v>6</v>
      </c>
      <c r="R9900" s="21">
        <v>1</v>
      </c>
      <c r="S9900" s="21">
        <v>2</v>
      </c>
      <c r="T9900" s="21">
        <v>2</v>
      </c>
      <c r="U9900" s="21">
        <v>1</v>
      </c>
      <c r="V9900" s="21">
        <v>0</v>
      </c>
      <c r="W9900" s="21">
        <v>1</v>
      </c>
      <c r="X9900" s="21">
        <v>0</v>
      </c>
      <c r="Y9900" s="21">
        <v>0</v>
      </c>
      <c r="Z9900" s="21">
        <v>0</v>
      </c>
      <c r="AA9900" s="21">
        <v>0</v>
      </c>
      <c r="AB9900" s="21">
        <v>0</v>
      </c>
      <c r="AC9900" s="21">
        <v>0</v>
      </c>
      <c r="AD9900" s="21">
        <v>0</v>
      </c>
      <c r="AE9900" s="21">
        <v>0</v>
      </c>
      <c r="AF9900" s="21">
        <v>0</v>
      </c>
      <c r="AG9900" s="21"/>
      <c r="AH9900" s="21">
        <f t="shared" si="209"/>
        <v>200</v>
      </c>
      <c r="AI9900" s="21"/>
      <c r="AJ9900" s="21" t="s">
        <v>51</v>
      </c>
      <c r="AK9900" s="21" t="s">
        <v>95</v>
      </c>
      <c r="AL9900" s="21" t="s">
        <v>7450</v>
      </c>
      <c r="AM9900" s="21" t="s">
        <v>7451</v>
      </c>
      <c r="AN9900" s="21">
        <v>-122.411004916667</v>
      </c>
      <c r="AO9900" s="21">
        <v>37.796963966666702</v>
      </c>
      <c r="AP9900" s="21" t="s">
        <v>116</v>
      </c>
    </row>
    <row r="9901" spans="1:42">
      <c r="A9901" s="20">
        <v>43872</v>
      </c>
      <c r="B9901" s="21">
        <v>2</v>
      </c>
      <c r="C9901" s="21">
        <v>232</v>
      </c>
      <c r="D9901" s="21">
        <v>14476</v>
      </c>
      <c r="E9901" s="7" t="s">
        <v>112</v>
      </c>
      <c r="F9901" s="21" t="s">
        <v>104</v>
      </c>
      <c r="G9901" s="21">
        <v>2</v>
      </c>
      <c r="H9901" s="21">
        <v>45</v>
      </c>
      <c r="I9901" s="21" t="s">
        <v>7452</v>
      </c>
      <c r="J9901" s="21"/>
      <c r="K9901" s="21" t="s">
        <v>7447</v>
      </c>
      <c r="L9901" s="21" t="s">
        <v>114</v>
      </c>
      <c r="M9901" s="21" t="s">
        <v>6618</v>
      </c>
      <c r="N9901" s="21" t="s">
        <v>40</v>
      </c>
      <c r="O9901" s="21">
        <v>129</v>
      </c>
      <c r="P9901" s="21"/>
      <c r="Q9901" s="21">
        <f t="shared" si="210"/>
        <v>4</v>
      </c>
      <c r="R9901" s="21">
        <v>1</v>
      </c>
      <c r="S9901" s="21">
        <v>1</v>
      </c>
      <c r="T9901" s="21">
        <v>0</v>
      </c>
      <c r="U9901" s="21">
        <v>3</v>
      </c>
      <c r="V9901" s="21">
        <v>0</v>
      </c>
      <c r="W9901" s="21">
        <v>0</v>
      </c>
      <c r="X9901" s="21">
        <v>0</v>
      </c>
      <c r="Y9901" s="21">
        <v>0</v>
      </c>
      <c r="Z9901" s="21">
        <v>0</v>
      </c>
      <c r="AA9901" s="21">
        <v>0</v>
      </c>
      <c r="AB9901" s="21">
        <v>0</v>
      </c>
      <c r="AC9901" s="21">
        <v>0</v>
      </c>
      <c r="AD9901" s="21">
        <v>0</v>
      </c>
      <c r="AE9901" s="21">
        <v>0</v>
      </c>
      <c r="AF9901" s="21">
        <v>0</v>
      </c>
      <c r="AG9901" s="21"/>
      <c r="AH9901" s="21">
        <f t="shared" si="209"/>
        <v>112</v>
      </c>
      <c r="AI9901" s="21"/>
      <c r="AJ9901" s="21" t="s">
        <v>51</v>
      </c>
      <c r="AK9901" s="21" t="s">
        <v>95</v>
      </c>
      <c r="AL9901" s="21" t="s">
        <v>7450</v>
      </c>
      <c r="AM9901" s="21" t="s">
        <v>7453</v>
      </c>
      <c r="AN9901" s="21">
        <v>-122.411067816667</v>
      </c>
      <c r="AO9901" s="21">
        <v>37.796685416666598</v>
      </c>
      <c r="AP9901" s="21" t="s">
        <v>116</v>
      </c>
    </row>
    <row r="9902" spans="1:42">
      <c r="A9902" s="20">
        <v>43872</v>
      </c>
      <c r="B9902" s="21">
        <v>2</v>
      </c>
      <c r="C9902" s="21">
        <v>232</v>
      </c>
      <c r="D9902" s="21">
        <v>14476</v>
      </c>
      <c r="E9902" s="7" t="s">
        <v>112</v>
      </c>
      <c r="F9902" s="21" t="s">
        <v>104</v>
      </c>
      <c r="G9902" s="21">
        <v>2</v>
      </c>
      <c r="H9902" s="21">
        <v>46</v>
      </c>
      <c r="I9902" s="21" t="s">
        <v>7454</v>
      </c>
      <c r="J9902" s="21"/>
      <c r="K9902" s="21" t="s">
        <v>156</v>
      </c>
      <c r="L9902" s="21" t="s">
        <v>141</v>
      </c>
      <c r="M9902" s="21" t="s">
        <v>7038</v>
      </c>
      <c r="N9902" s="21" t="s">
        <v>40</v>
      </c>
      <c r="O9902" s="21">
        <v>87</v>
      </c>
      <c r="P9902" s="21"/>
      <c r="Q9902" s="21">
        <f t="shared" si="210"/>
        <v>6</v>
      </c>
      <c r="R9902" s="21">
        <v>1</v>
      </c>
      <c r="S9902" s="21">
        <v>0</v>
      </c>
      <c r="T9902" s="21">
        <v>2</v>
      </c>
      <c r="U9902" s="21">
        <v>4</v>
      </c>
      <c r="V9902" s="21">
        <v>0</v>
      </c>
      <c r="W9902" s="21">
        <v>0</v>
      </c>
      <c r="X9902" s="21">
        <v>0</v>
      </c>
      <c r="Y9902" s="21">
        <v>0</v>
      </c>
      <c r="Z9902" s="21">
        <v>0</v>
      </c>
      <c r="AA9902" s="21">
        <v>0</v>
      </c>
      <c r="AB9902" s="21">
        <v>0</v>
      </c>
      <c r="AC9902" s="21">
        <v>0</v>
      </c>
      <c r="AD9902" s="21">
        <v>0</v>
      </c>
      <c r="AE9902" s="21">
        <v>0</v>
      </c>
      <c r="AF9902" s="21">
        <v>0</v>
      </c>
      <c r="AG9902" s="21"/>
      <c r="AH9902" s="21">
        <f t="shared" si="209"/>
        <v>168</v>
      </c>
      <c r="AI9902" s="21"/>
      <c r="AJ9902" s="21" t="s">
        <v>54</v>
      </c>
      <c r="AK9902" s="21" t="s">
        <v>52</v>
      </c>
      <c r="AL9902" s="21"/>
      <c r="AM9902" s="21" t="s">
        <v>7455</v>
      </c>
      <c r="AN9902" s="21">
        <v>-122.415351016667</v>
      </c>
      <c r="AO9902" s="21">
        <v>37.7996658333333</v>
      </c>
      <c r="AP9902" s="21" t="s">
        <v>116</v>
      </c>
    </row>
    <row r="9903" spans="1:42">
      <c r="A9903" s="20">
        <v>43872</v>
      </c>
      <c r="B9903" s="21">
        <v>2</v>
      </c>
      <c r="C9903" s="21">
        <v>232</v>
      </c>
      <c r="D9903" s="21">
        <v>14476</v>
      </c>
      <c r="E9903" s="7" t="s">
        <v>112</v>
      </c>
      <c r="F9903" s="21" t="s">
        <v>104</v>
      </c>
      <c r="G9903" s="21">
        <v>2</v>
      </c>
      <c r="H9903" s="21">
        <v>47</v>
      </c>
      <c r="I9903" s="21" t="s">
        <v>7456</v>
      </c>
      <c r="J9903" s="21"/>
      <c r="K9903" s="21" t="s">
        <v>156</v>
      </c>
      <c r="L9903" s="21" t="s">
        <v>141</v>
      </c>
      <c r="M9903" s="21" t="s">
        <v>7038</v>
      </c>
      <c r="N9903" s="21" t="s">
        <v>44</v>
      </c>
      <c r="O9903" s="21">
        <v>90</v>
      </c>
      <c r="P9903" s="21"/>
      <c r="Q9903" s="21">
        <f t="shared" si="210"/>
        <v>1</v>
      </c>
      <c r="R9903" s="21">
        <v>1</v>
      </c>
      <c r="S9903" s="21">
        <v>0</v>
      </c>
      <c r="T9903" s="21">
        <v>0</v>
      </c>
      <c r="U9903" s="21">
        <v>0</v>
      </c>
      <c r="V9903" s="21">
        <v>0</v>
      </c>
      <c r="W9903" s="21">
        <v>1</v>
      </c>
      <c r="X9903" s="21">
        <v>0</v>
      </c>
      <c r="Y9903" s="21">
        <v>0</v>
      </c>
      <c r="Z9903" s="21">
        <v>0</v>
      </c>
      <c r="AA9903" s="21">
        <v>0</v>
      </c>
      <c r="AB9903" s="21">
        <v>0</v>
      </c>
      <c r="AC9903" s="21">
        <v>0</v>
      </c>
      <c r="AD9903" s="21">
        <v>0</v>
      </c>
      <c r="AE9903" s="21">
        <v>0</v>
      </c>
      <c r="AF9903" s="21">
        <v>0</v>
      </c>
      <c r="AG9903" s="21"/>
      <c r="AH9903" s="21">
        <f t="shared" si="209"/>
        <v>96</v>
      </c>
      <c r="AI9903" s="21"/>
      <c r="AJ9903" s="21" t="s">
        <v>54</v>
      </c>
      <c r="AK9903" s="21" t="s">
        <v>52</v>
      </c>
      <c r="AL9903" s="21" t="s">
        <v>7457</v>
      </c>
      <c r="AM9903" s="21" t="s">
        <v>7458</v>
      </c>
      <c r="AN9903" s="21">
        <v>-122.41522886666699</v>
      </c>
      <c r="AO9903" s="21">
        <v>37.799658883333301</v>
      </c>
      <c r="AP9903" s="21" t="s">
        <v>116</v>
      </c>
    </row>
    <row r="9904" spans="1:42">
      <c r="A9904" s="20">
        <v>43872</v>
      </c>
      <c r="B9904" s="21">
        <v>2</v>
      </c>
      <c r="C9904" s="21">
        <v>232</v>
      </c>
      <c r="D9904" s="21">
        <v>14476</v>
      </c>
      <c r="E9904" s="7" t="s">
        <v>112</v>
      </c>
      <c r="F9904" s="21" t="s">
        <v>104</v>
      </c>
      <c r="G9904" s="21">
        <v>2</v>
      </c>
      <c r="H9904" s="21">
        <v>48</v>
      </c>
      <c r="I9904" s="21" t="s">
        <v>7459</v>
      </c>
      <c r="J9904" s="21"/>
      <c r="K9904" s="21" t="s">
        <v>156</v>
      </c>
      <c r="L9904" s="21" t="s">
        <v>141</v>
      </c>
      <c r="M9904" s="21" t="s">
        <v>7038</v>
      </c>
      <c r="N9904" s="21" t="s">
        <v>40</v>
      </c>
      <c r="O9904" s="21">
        <v>27</v>
      </c>
      <c r="P9904" s="21"/>
      <c r="Q9904" s="21">
        <f t="shared" si="210"/>
        <v>2</v>
      </c>
      <c r="R9904" s="21">
        <v>1</v>
      </c>
      <c r="S9904" s="21">
        <v>1</v>
      </c>
      <c r="T9904" s="21">
        <v>0</v>
      </c>
      <c r="U9904" s="21">
        <v>1</v>
      </c>
      <c r="V9904" s="21">
        <v>0</v>
      </c>
      <c r="W9904" s="21">
        <v>0</v>
      </c>
      <c r="X9904" s="21">
        <v>0</v>
      </c>
      <c r="Y9904" s="21">
        <v>0</v>
      </c>
      <c r="Z9904" s="21">
        <v>0</v>
      </c>
      <c r="AA9904" s="21">
        <v>0</v>
      </c>
      <c r="AB9904" s="21">
        <v>0</v>
      </c>
      <c r="AC9904" s="21">
        <v>0</v>
      </c>
      <c r="AD9904" s="21">
        <v>0</v>
      </c>
      <c r="AE9904" s="21">
        <v>0</v>
      </c>
      <c r="AF9904" s="21">
        <v>0</v>
      </c>
      <c r="AG9904" s="21"/>
      <c r="AH9904" s="21">
        <f t="shared" si="209"/>
        <v>48</v>
      </c>
      <c r="AI9904" s="21"/>
      <c r="AJ9904" s="21" t="s">
        <v>54</v>
      </c>
      <c r="AK9904" s="21" t="s">
        <v>52</v>
      </c>
      <c r="AL9904" s="21"/>
      <c r="AM9904" s="21" t="s">
        <v>7460</v>
      </c>
      <c r="AN9904" s="21">
        <v>-122.415044466667</v>
      </c>
      <c r="AO9904" s="21">
        <v>37.799674183333302</v>
      </c>
      <c r="AP9904" s="21" t="s">
        <v>116</v>
      </c>
    </row>
    <row r="9905" spans="1:42">
      <c r="A9905" s="20">
        <v>43872</v>
      </c>
      <c r="B9905" s="21">
        <v>2</v>
      </c>
      <c r="C9905" s="21">
        <v>232</v>
      </c>
      <c r="D9905" s="21">
        <v>14476</v>
      </c>
      <c r="E9905" s="7" t="s">
        <v>112</v>
      </c>
      <c r="F9905" s="21" t="s">
        <v>104</v>
      </c>
      <c r="G9905" s="21">
        <v>2</v>
      </c>
      <c r="H9905" s="21">
        <v>49</v>
      </c>
      <c r="I9905" s="21" t="s">
        <v>3121</v>
      </c>
      <c r="J9905" s="21"/>
      <c r="K9905" s="21" t="s">
        <v>156</v>
      </c>
      <c r="L9905" s="21" t="s">
        <v>141</v>
      </c>
      <c r="M9905" s="21" t="s">
        <v>7038</v>
      </c>
      <c r="N9905" s="21" t="s">
        <v>44</v>
      </c>
      <c r="O9905" s="21">
        <v>53</v>
      </c>
      <c r="P9905" s="21"/>
      <c r="Q9905" s="21">
        <f t="shared" si="210"/>
        <v>0</v>
      </c>
      <c r="R9905" s="21">
        <v>1</v>
      </c>
      <c r="S9905" s="21">
        <v>0</v>
      </c>
      <c r="T9905" s="21">
        <v>0</v>
      </c>
      <c r="U9905" s="21">
        <v>0</v>
      </c>
      <c r="V9905" s="21">
        <v>0</v>
      </c>
      <c r="W9905" s="21">
        <v>0</v>
      </c>
      <c r="X9905" s="21">
        <v>0</v>
      </c>
      <c r="Y9905" s="21">
        <v>0</v>
      </c>
      <c r="Z9905" s="21">
        <v>0</v>
      </c>
      <c r="AA9905" s="21">
        <v>0</v>
      </c>
      <c r="AB9905" s="21">
        <v>0</v>
      </c>
      <c r="AC9905" s="21">
        <v>0</v>
      </c>
      <c r="AD9905" s="21">
        <v>0</v>
      </c>
      <c r="AE9905" s="21">
        <v>0</v>
      </c>
      <c r="AF9905" s="21">
        <v>0</v>
      </c>
      <c r="AG9905" s="21"/>
      <c r="AH9905" s="21">
        <f t="shared" si="209"/>
        <v>0</v>
      </c>
      <c r="AI9905" s="21"/>
      <c r="AJ9905" s="21" t="s">
        <v>54</v>
      </c>
      <c r="AK9905" s="21" t="s">
        <v>52</v>
      </c>
      <c r="AL9905" s="21" t="s">
        <v>7461</v>
      </c>
      <c r="AM9905" s="21" t="s">
        <v>7462</v>
      </c>
      <c r="AN9905" s="21">
        <v>-122.414811883333</v>
      </c>
      <c r="AO9905" s="21">
        <v>37.799677916666603</v>
      </c>
      <c r="AP9905" s="21" t="s">
        <v>116</v>
      </c>
    </row>
    <row r="9906" spans="1:42">
      <c r="A9906" s="20">
        <v>43872</v>
      </c>
      <c r="B9906" s="21">
        <v>2</v>
      </c>
      <c r="C9906" s="21">
        <v>232</v>
      </c>
      <c r="D9906" s="21">
        <v>14476</v>
      </c>
      <c r="E9906" s="7" t="s">
        <v>112</v>
      </c>
      <c r="F9906" s="21" t="s">
        <v>104</v>
      </c>
      <c r="G9906" s="21">
        <v>2</v>
      </c>
      <c r="H9906" s="21">
        <v>50</v>
      </c>
      <c r="I9906" s="21" t="s">
        <v>7463</v>
      </c>
      <c r="J9906" s="21"/>
      <c r="K9906" s="21" t="s">
        <v>156</v>
      </c>
      <c r="L9906" s="21" t="s">
        <v>141</v>
      </c>
      <c r="M9906" s="21" t="s">
        <v>7038</v>
      </c>
      <c r="N9906" s="21" t="s">
        <v>40</v>
      </c>
      <c r="O9906" s="21">
        <v>22</v>
      </c>
      <c r="P9906" s="21"/>
      <c r="Q9906" s="21">
        <f t="shared" si="210"/>
        <v>1</v>
      </c>
      <c r="R9906" s="21">
        <v>1</v>
      </c>
      <c r="S9906" s="21">
        <v>0</v>
      </c>
      <c r="T9906" s="21">
        <v>0</v>
      </c>
      <c r="U9906" s="21">
        <v>0</v>
      </c>
      <c r="V9906" s="21">
        <v>1</v>
      </c>
      <c r="W9906" s="21">
        <v>0</v>
      </c>
      <c r="X9906" s="21">
        <v>0</v>
      </c>
      <c r="Y9906" s="21">
        <v>0</v>
      </c>
      <c r="Z9906" s="21">
        <v>0</v>
      </c>
      <c r="AA9906" s="21">
        <v>0</v>
      </c>
      <c r="AB9906" s="21">
        <v>0</v>
      </c>
      <c r="AC9906" s="21">
        <v>0</v>
      </c>
      <c r="AD9906" s="21">
        <v>0</v>
      </c>
      <c r="AE9906" s="21">
        <v>0</v>
      </c>
      <c r="AF9906" s="21">
        <v>0</v>
      </c>
      <c r="AG9906" s="21"/>
      <c r="AH9906" s="21">
        <f t="shared" si="209"/>
        <v>64</v>
      </c>
      <c r="AI9906" s="21"/>
      <c r="AJ9906" s="21" t="s">
        <v>54</v>
      </c>
      <c r="AK9906" s="21" t="s">
        <v>52</v>
      </c>
      <c r="AL9906" s="21"/>
      <c r="AM9906" s="21" t="s">
        <v>7464</v>
      </c>
      <c r="AN9906" s="21">
        <v>-122.417453331963</v>
      </c>
      <c r="AO9906" s="21">
        <v>37.801462102591898</v>
      </c>
      <c r="AP9906" s="21" t="s">
        <v>116</v>
      </c>
    </row>
    <row r="9907" spans="1:42">
      <c r="A9907" s="20">
        <v>43872</v>
      </c>
      <c r="B9907" s="21">
        <v>2</v>
      </c>
      <c r="C9907" s="21">
        <v>232</v>
      </c>
      <c r="D9907" s="21">
        <v>14476</v>
      </c>
      <c r="E9907" s="7" t="s">
        <v>112</v>
      </c>
      <c r="F9907" s="21" t="s">
        <v>104</v>
      </c>
      <c r="G9907" s="21">
        <v>2</v>
      </c>
      <c r="H9907" s="21">
        <v>51</v>
      </c>
      <c r="I9907" s="21" t="s">
        <v>7465</v>
      </c>
      <c r="J9907" s="21"/>
      <c r="K9907" s="21" t="s">
        <v>156</v>
      </c>
      <c r="L9907" s="21" t="s">
        <v>141</v>
      </c>
      <c r="M9907" s="21" t="s">
        <v>7038</v>
      </c>
      <c r="N9907" s="21" t="s">
        <v>40</v>
      </c>
      <c r="O9907" s="21">
        <v>27</v>
      </c>
      <c r="P9907" s="21"/>
      <c r="Q9907" s="21">
        <f t="shared" si="210"/>
        <v>2</v>
      </c>
      <c r="R9907" s="21">
        <v>1</v>
      </c>
      <c r="S9907" s="21">
        <v>0</v>
      </c>
      <c r="T9907" s="21">
        <v>1</v>
      </c>
      <c r="U9907" s="21">
        <v>1</v>
      </c>
      <c r="V9907" s="21">
        <v>0</v>
      </c>
      <c r="W9907" s="21">
        <v>0</v>
      </c>
      <c r="X9907" s="21">
        <v>0</v>
      </c>
      <c r="Y9907" s="21">
        <v>0</v>
      </c>
      <c r="Z9907" s="21">
        <v>0</v>
      </c>
      <c r="AA9907" s="21">
        <v>0</v>
      </c>
      <c r="AB9907" s="21">
        <v>0</v>
      </c>
      <c r="AC9907" s="21">
        <v>0</v>
      </c>
      <c r="AD9907" s="21">
        <v>0</v>
      </c>
      <c r="AE9907" s="21">
        <v>0</v>
      </c>
      <c r="AF9907" s="21">
        <v>0</v>
      </c>
      <c r="AG9907" s="21"/>
      <c r="AH9907" s="21">
        <f t="shared" si="209"/>
        <v>52</v>
      </c>
      <c r="AI9907" s="21"/>
      <c r="AJ9907" s="21" t="s">
        <v>54</v>
      </c>
      <c r="AK9907" s="21" t="s">
        <v>52</v>
      </c>
      <c r="AL9907" s="21"/>
      <c r="AM9907" s="21" t="s">
        <v>7466</v>
      </c>
      <c r="AN9907" s="21">
        <v>-122.413977233333</v>
      </c>
      <c r="AO9907" s="21">
        <v>37.799756383333303</v>
      </c>
      <c r="AP9907" s="21" t="s">
        <v>116</v>
      </c>
    </row>
    <row r="9908" spans="1:42">
      <c r="A9908" s="20">
        <v>43872</v>
      </c>
      <c r="B9908" s="21">
        <v>2</v>
      </c>
      <c r="C9908" s="21">
        <v>232</v>
      </c>
      <c r="D9908" s="21">
        <v>14476</v>
      </c>
      <c r="E9908" s="7" t="s">
        <v>112</v>
      </c>
      <c r="F9908" s="21" t="s">
        <v>104</v>
      </c>
      <c r="G9908" s="21">
        <v>2</v>
      </c>
      <c r="H9908" s="21">
        <v>52</v>
      </c>
      <c r="I9908" s="21" t="s">
        <v>7467</v>
      </c>
      <c r="J9908" s="21"/>
      <c r="K9908" s="21" t="s">
        <v>156</v>
      </c>
      <c r="L9908" s="21" t="s">
        <v>141</v>
      </c>
      <c r="M9908" s="21" t="s">
        <v>7038</v>
      </c>
      <c r="N9908" s="21" t="s">
        <v>40</v>
      </c>
      <c r="O9908" s="21">
        <v>42</v>
      </c>
      <c r="P9908" s="21"/>
      <c r="Q9908" s="21">
        <f t="shared" si="210"/>
        <v>3</v>
      </c>
      <c r="R9908" s="21">
        <v>1</v>
      </c>
      <c r="S9908" s="21">
        <v>0</v>
      </c>
      <c r="T9908" s="21">
        <v>1</v>
      </c>
      <c r="U9908" s="21">
        <v>2</v>
      </c>
      <c r="V9908" s="21">
        <v>0</v>
      </c>
      <c r="W9908" s="21">
        <v>0</v>
      </c>
      <c r="X9908" s="21">
        <v>0</v>
      </c>
      <c r="Y9908" s="21">
        <v>0</v>
      </c>
      <c r="Z9908" s="21">
        <v>0</v>
      </c>
      <c r="AA9908" s="21">
        <v>0</v>
      </c>
      <c r="AB9908" s="21">
        <v>0</v>
      </c>
      <c r="AC9908" s="21">
        <v>0</v>
      </c>
      <c r="AD9908" s="21">
        <v>0</v>
      </c>
      <c r="AE9908" s="21">
        <v>0</v>
      </c>
      <c r="AF9908" s="21">
        <v>0</v>
      </c>
      <c r="AG9908" s="21"/>
      <c r="AH9908" s="21">
        <f t="shared" si="209"/>
        <v>84</v>
      </c>
      <c r="AI9908" s="21"/>
      <c r="AJ9908" s="21" t="s">
        <v>54</v>
      </c>
      <c r="AK9908" s="21" t="s">
        <v>52</v>
      </c>
      <c r="AL9908" s="21"/>
      <c r="AM9908" s="21" t="s">
        <v>7468</v>
      </c>
      <c r="AN9908" s="21">
        <v>-122.413627916667</v>
      </c>
      <c r="AO9908" s="21">
        <v>37.799824516666703</v>
      </c>
      <c r="AP9908" s="21" t="s">
        <v>116</v>
      </c>
    </row>
    <row r="9909" spans="1:42">
      <c r="A9909" s="20">
        <v>43872</v>
      </c>
      <c r="B9909" s="21">
        <v>2</v>
      </c>
      <c r="C9909" s="21">
        <v>232</v>
      </c>
      <c r="D9909" s="21">
        <v>14476</v>
      </c>
      <c r="E9909" s="7" t="s">
        <v>112</v>
      </c>
      <c r="F9909" s="21" t="s">
        <v>104</v>
      </c>
      <c r="G9909" s="21">
        <v>2</v>
      </c>
      <c r="H9909" s="21">
        <v>53</v>
      </c>
      <c r="I9909" s="21" t="s">
        <v>7469</v>
      </c>
      <c r="J9909" s="21"/>
      <c r="K9909" s="21" t="s">
        <v>156</v>
      </c>
      <c r="L9909" s="21" t="s">
        <v>141</v>
      </c>
      <c r="M9909" s="21" t="s">
        <v>7038</v>
      </c>
      <c r="N9909" s="21" t="s">
        <v>40</v>
      </c>
      <c r="O9909" s="21">
        <v>21</v>
      </c>
      <c r="P9909" s="21"/>
      <c r="Q9909" s="21">
        <f t="shared" si="210"/>
        <v>2</v>
      </c>
      <c r="R9909" s="21">
        <v>1</v>
      </c>
      <c r="S9909" s="21">
        <v>0</v>
      </c>
      <c r="T9909" s="21">
        <v>0</v>
      </c>
      <c r="U9909" s="21">
        <v>1</v>
      </c>
      <c r="V9909" s="21">
        <v>1</v>
      </c>
      <c r="W9909" s="21">
        <v>0</v>
      </c>
      <c r="X9909" s="21">
        <v>0</v>
      </c>
      <c r="Y9909" s="21">
        <v>0</v>
      </c>
      <c r="Z9909" s="21">
        <v>0</v>
      </c>
      <c r="AA9909" s="21">
        <v>0</v>
      </c>
      <c r="AB9909" s="21">
        <v>0</v>
      </c>
      <c r="AC9909" s="21">
        <v>0</v>
      </c>
      <c r="AD9909" s="21">
        <v>0</v>
      </c>
      <c r="AE9909" s="21">
        <v>0</v>
      </c>
      <c r="AF9909" s="21">
        <v>0</v>
      </c>
      <c r="AG9909" s="21"/>
      <c r="AH9909" s="21">
        <f t="shared" ref="AH9909:AH9972" si="211">(S9909*16)+(T9909*20)+(U9909*32)+(V9909*64)+(W9909*96)</f>
        <v>96</v>
      </c>
      <c r="AI9909" s="21"/>
      <c r="AJ9909" s="21" t="s">
        <v>54</v>
      </c>
      <c r="AK9909" s="21" t="s">
        <v>52</v>
      </c>
      <c r="AL9909" s="21"/>
      <c r="AM9909" s="21" t="s">
        <v>7470</v>
      </c>
      <c r="AN9909" s="21">
        <v>-122.416132170686</v>
      </c>
      <c r="AO9909" s="21">
        <v>37.801339043699201</v>
      </c>
      <c r="AP9909" s="21" t="s">
        <v>116</v>
      </c>
    </row>
    <row r="9910" spans="1:42">
      <c r="A9910" s="20">
        <v>43872</v>
      </c>
      <c r="B9910" s="21">
        <v>2</v>
      </c>
      <c r="C9910" s="21">
        <v>232</v>
      </c>
      <c r="D9910" s="21">
        <v>14476</v>
      </c>
      <c r="E9910" s="7" t="s">
        <v>112</v>
      </c>
      <c r="F9910" s="21" t="s">
        <v>104</v>
      </c>
      <c r="G9910" s="21">
        <v>2</v>
      </c>
      <c r="H9910" s="21">
        <v>54</v>
      </c>
      <c r="I9910" s="21" t="s">
        <v>7471</v>
      </c>
      <c r="J9910" s="21"/>
      <c r="K9910" s="21" t="s">
        <v>156</v>
      </c>
      <c r="L9910" s="21" t="s">
        <v>141</v>
      </c>
      <c r="M9910" s="21" t="s">
        <v>7038</v>
      </c>
      <c r="N9910" s="21" t="s">
        <v>40</v>
      </c>
      <c r="O9910" s="21">
        <v>106</v>
      </c>
      <c r="P9910" s="21"/>
      <c r="Q9910" s="21">
        <f t="shared" si="210"/>
        <v>8</v>
      </c>
      <c r="R9910" s="21">
        <v>1</v>
      </c>
      <c r="S9910" s="21">
        <v>3</v>
      </c>
      <c r="T9910" s="21">
        <v>1</v>
      </c>
      <c r="U9910" s="21">
        <v>3</v>
      </c>
      <c r="V9910" s="21">
        <v>1</v>
      </c>
      <c r="W9910" s="21">
        <v>0</v>
      </c>
      <c r="X9910" s="21">
        <v>0</v>
      </c>
      <c r="Y9910" s="21">
        <v>0</v>
      </c>
      <c r="Z9910" s="21">
        <v>0</v>
      </c>
      <c r="AA9910" s="21">
        <v>0</v>
      </c>
      <c r="AB9910" s="21">
        <v>0</v>
      </c>
      <c r="AC9910" s="21">
        <v>0</v>
      </c>
      <c r="AD9910" s="21">
        <v>0</v>
      </c>
      <c r="AE9910" s="21">
        <v>0</v>
      </c>
      <c r="AF9910" s="21">
        <v>0</v>
      </c>
      <c r="AG9910" s="21"/>
      <c r="AH9910" s="21">
        <f t="shared" si="211"/>
        <v>228</v>
      </c>
      <c r="AI9910" s="21"/>
      <c r="AJ9910" s="21" t="s">
        <v>54</v>
      </c>
      <c r="AK9910" s="21" t="s">
        <v>52</v>
      </c>
      <c r="AL9910" s="21" t="s">
        <v>7472</v>
      </c>
      <c r="AM9910" s="21" t="s">
        <v>7473</v>
      </c>
      <c r="AN9910" s="21">
        <v>-122.413169283333</v>
      </c>
      <c r="AO9910" s="21">
        <v>37.799879933333301</v>
      </c>
      <c r="AP9910" s="21" t="s">
        <v>116</v>
      </c>
    </row>
    <row r="9911" spans="1:42">
      <c r="A9911" s="20">
        <v>43872</v>
      </c>
      <c r="B9911" s="21">
        <v>2</v>
      </c>
      <c r="C9911" s="21">
        <v>232</v>
      </c>
      <c r="D9911" s="21">
        <v>14476</v>
      </c>
      <c r="E9911" s="7" t="s">
        <v>112</v>
      </c>
      <c r="F9911" s="21" t="s">
        <v>104</v>
      </c>
      <c r="G9911" s="21">
        <v>2</v>
      </c>
      <c r="H9911" s="21">
        <v>55</v>
      </c>
      <c r="I9911" s="21" t="s">
        <v>7474</v>
      </c>
      <c r="J9911" s="21"/>
      <c r="K9911" s="21" t="s">
        <v>156</v>
      </c>
      <c r="L9911" s="21" t="s">
        <v>141</v>
      </c>
      <c r="M9911" s="21" t="s">
        <v>7038</v>
      </c>
      <c r="N9911" s="21" t="s">
        <v>40</v>
      </c>
      <c r="O9911" s="21">
        <v>61</v>
      </c>
      <c r="P9911" s="21"/>
      <c r="Q9911" s="21">
        <f t="shared" si="210"/>
        <v>5</v>
      </c>
      <c r="R9911" s="21">
        <v>1</v>
      </c>
      <c r="S9911" s="21">
        <v>0</v>
      </c>
      <c r="T9911" s="21">
        <v>2</v>
      </c>
      <c r="U9911" s="21">
        <v>3</v>
      </c>
      <c r="V9911" s="21">
        <v>0</v>
      </c>
      <c r="W9911" s="21">
        <v>0</v>
      </c>
      <c r="X9911" s="21">
        <v>0</v>
      </c>
      <c r="Y9911" s="21">
        <v>0</v>
      </c>
      <c r="Z9911" s="21">
        <v>0</v>
      </c>
      <c r="AA9911" s="21">
        <v>0</v>
      </c>
      <c r="AB9911" s="21">
        <v>0</v>
      </c>
      <c r="AC9911" s="21">
        <v>0</v>
      </c>
      <c r="AD9911" s="21">
        <v>0</v>
      </c>
      <c r="AE9911" s="21">
        <v>0</v>
      </c>
      <c r="AF9911" s="21">
        <v>0</v>
      </c>
      <c r="AG9911" s="21"/>
      <c r="AH9911" s="21">
        <f t="shared" si="211"/>
        <v>136</v>
      </c>
      <c r="AI9911" s="21"/>
      <c r="AJ9911" s="21" t="s">
        <v>54</v>
      </c>
      <c r="AK9911" s="21" t="s">
        <v>95</v>
      </c>
      <c r="AL9911" s="21"/>
      <c r="AM9911" s="21" t="s">
        <v>7475</v>
      </c>
      <c r="AN9911" s="21">
        <v>-122.41293145</v>
      </c>
      <c r="AO9911" s="21">
        <v>37.7999135833333</v>
      </c>
      <c r="AP9911" s="21" t="s">
        <v>116</v>
      </c>
    </row>
    <row r="9912" spans="1:42">
      <c r="A9912" s="20">
        <v>43872</v>
      </c>
      <c r="B9912" s="21">
        <v>2</v>
      </c>
      <c r="C9912" s="21">
        <v>232</v>
      </c>
      <c r="D9912" s="21">
        <v>14476</v>
      </c>
      <c r="E9912" s="7" t="s">
        <v>112</v>
      </c>
      <c r="F9912" s="21" t="s">
        <v>104</v>
      </c>
      <c r="G9912" s="21">
        <v>2</v>
      </c>
      <c r="H9912" s="21">
        <v>56</v>
      </c>
      <c r="I9912" s="21" t="s">
        <v>7476</v>
      </c>
      <c r="J9912" s="21"/>
      <c r="K9912" s="21" t="s">
        <v>100</v>
      </c>
      <c r="L9912" s="21" t="s">
        <v>141</v>
      </c>
      <c r="M9912" s="21" t="s">
        <v>7038</v>
      </c>
      <c r="N9912" s="21" t="s">
        <v>40</v>
      </c>
      <c r="O9912" s="21">
        <v>58</v>
      </c>
      <c r="P9912" s="21"/>
      <c r="Q9912" s="21">
        <f t="shared" si="210"/>
        <v>3</v>
      </c>
      <c r="R9912" s="21">
        <v>1</v>
      </c>
      <c r="S9912" s="21">
        <v>0</v>
      </c>
      <c r="T9912" s="21">
        <v>0</v>
      </c>
      <c r="U9912" s="21">
        <v>1</v>
      </c>
      <c r="V9912" s="21">
        <v>1</v>
      </c>
      <c r="W9912" s="21">
        <v>1</v>
      </c>
      <c r="X9912" s="21">
        <v>0</v>
      </c>
      <c r="Y9912" s="21">
        <v>0</v>
      </c>
      <c r="Z9912" s="21">
        <v>0</v>
      </c>
      <c r="AA9912" s="21">
        <v>0</v>
      </c>
      <c r="AB9912" s="21">
        <v>0</v>
      </c>
      <c r="AC9912" s="21">
        <v>0</v>
      </c>
      <c r="AD9912" s="21">
        <v>0</v>
      </c>
      <c r="AE9912" s="21">
        <v>0</v>
      </c>
      <c r="AF9912" s="21">
        <v>0</v>
      </c>
      <c r="AG9912" s="21"/>
      <c r="AH9912" s="21">
        <f t="shared" si="211"/>
        <v>192</v>
      </c>
      <c r="AI9912" s="21"/>
      <c r="AJ9912" s="21" t="s">
        <v>51</v>
      </c>
      <c r="AK9912" s="21" t="s">
        <v>95</v>
      </c>
      <c r="AL9912" s="21" t="s">
        <v>7477</v>
      </c>
      <c r="AM9912" s="21" t="s">
        <v>7478</v>
      </c>
      <c r="AN9912" s="21">
        <v>-122.41278629999999</v>
      </c>
      <c r="AO9912" s="21">
        <v>37.799954849999999</v>
      </c>
      <c r="AP9912" s="21" t="s">
        <v>116</v>
      </c>
    </row>
    <row r="9913" spans="1:42">
      <c r="A9913" s="20">
        <v>43872</v>
      </c>
      <c r="B9913" s="21">
        <v>2</v>
      </c>
      <c r="C9913" s="21">
        <v>232</v>
      </c>
      <c r="D9913" s="21">
        <v>14476</v>
      </c>
      <c r="E9913" s="7" t="s">
        <v>112</v>
      </c>
      <c r="F9913" s="21" t="s">
        <v>104</v>
      </c>
      <c r="G9913" s="21">
        <v>2</v>
      </c>
      <c r="H9913" s="21">
        <v>57</v>
      </c>
      <c r="I9913" s="21" t="s">
        <v>3305</v>
      </c>
      <c r="J9913" s="21"/>
      <c r="K9913" s="21" t="s">
        <v>6992</v>
      </c>
      <c r="L9913" s="21" t="s">
        <v>114</v>
      </c>
      <c r="M9913" s="21" t="s">
        <v>7038</v>
      </c>
      <c r="N9913" s="21" t="s">
        <v>40</v>
      </c>
      <c r="O9913" s="21">
        <v>32</v>
      </c>
      <c r="P9913" s="21"/>
      <c r="Q9913" s="21">
        <f t="shared" si="210"/>
        <v>2</v>
      </c>
      <c r="R9913" s="21">
        <v>1</v>
      </c>
      <c r="S9913" s="21">
        <v>0</v>
      </c>
      <c r="T9913" s="21">
        <v>0</v>
      </c>
      <c r="U9913" s="21">
        <v>0</v>
      </c>
      <c r="V9913" s="21">
        <v>1</v>
      </c>
      <c r="W9913" s="21">
        <v>1</v>
      </c>
      <c r="X9913" s="21">
        <v>0</v>
      </c>
      <c r="Y9913" s="21">
        <v>0</v>
      </c>
      <c r="Z9913" s="21">
        <v>0</v>
      </c>
      <c r="AA9913" s="21">
        <v>0</v>
      </c>
      <c r="AB9913" s="21">
        <v>0</v>
      </c>
      <c r="AC9913" s="21">
        <v>0</v>
      </c>
      <c r="AD9913" s="21">
        <v>0</v>
      </c>
      <c r="AE9913" s="21">
        <v>0</v>
      </c>
      <c r="AF9913" s="21">
        <v>0</v>
      </c>
      <c r="AG9913" s="21"/>
      <c r="AH9913" s="21">
        <f t="shared" si="211"/>
        <v>160</v>
      </c>
      <c r="AI9913" s="21"/>
      <c r="AJ9913" s="21" t="s">
        <v>51</v>
      </c>
      <c r="AK9913" s="21" t="s">
        <v>52</v>
      </c>
      <c r="AL9913" s="21"/>
      <c r="AM9913" s="21" t="s">
        <v>7479</v>
      </c>
      <c r="AN9913" s="21">
        <v>-122.412493966667</v>
      </c>
      <c r="AO9913" s="21">
        <v>37.800085133333297</v>
      </c>
      <c r="AP9913" s="21" t="s">
        <v>116</v>
      </c>
    </row>
    <row r="9914" spans="1:42">
      <c r="A9914" s="20">
        <v>43872</v>
      </c>
      <c r="B9914" s="21">
        <v>2</v>
      </c>
      <c r="C9914" s="21">
        <v>232</v>
      </c>
      <c r="D9914" s="21">
        <v>14476</v>
      </c>
      <c r="E9914" s="7" t="s">
        <v>112</v>
      </c>
      <c r="F9914" s="21" t="s">
        <v>104</v>
      </c>
      <c r="G9914" s="21">
        <v>2</v>
      </c>
      <c r="H9914" s="21">
        <v>58</v>
      </c>
      <c r="I9914" s="21" t="s">
        <v>7480</v>
      </c>
      <c r="J9914" s="21"/>
      <c r="K9914" s="21" t="s">
        <v>7481</v>
      </c>
      <c r="L9914" s="21" t="s">
        <v>114</v>
      </c>
      <c r="M9914" s="21" t="s">
        <v>7038</v>
      </c>
      <c r="N9914" s="21" t="s">
        <v>40</v>
      </c>
      <c r="O9914" s="21">
        <v>65</v>
      </c>
      <c r="P9914" s="21"/>
      <c r="Q9914" s="21">
        <f t="shared" si="210"/>
        <v>4</v>
      </c>
      <c r="R9914" s="21">
        <v>1</v>
      </c>
      <c r="S9914" s="21">
        <v>0</v>
      </c>
      <c r="T9914" s="21">
        <v>0</v>
      </c>
      <c r="U9914" s="21">
        <v>2</v>
      </c>
      <c r="V9914" s="21">
        <v>1</v>
      </c>
      <c r="W9914" s="21">
        <v>1</v>
      </c>
      <c r="X9914" s="21">
        <v>0</v>
      </c>
      <c r="Y9914" s="21">
        <v>0</v>
      </c>
      <c r="Z9914" s="21">
        <v>0</v>
      </c>
      <c r="AA9914" s="21">
        <v>0</v>
      </c>
      <c r="AB9914" s="21">
        <v>0</v>
      </c>
      <c r="AC9914" s="21">
        <v>0</v>
      </c>
      <c r="AD9914" s="21">
        <v>0</v>
      </c>
      <c r="AE9914" s="21">
        <v>0</v>
      </c>
      <c r="AF9914" s="21">
        <v>0</v>
      </c>
      <c r="AG9914" s="21"/>
      <c r="AH9914" s="21">
        <f t="shared" si="211"/>
        <v>224</v>
      </c>
      <c r="AI9914" s="21"/>
      <c r="AJ9914" s="21" t="s">
        <v>51</v>
      </c>
      <c r="AK9914" s="21" t="s">
        <v>95</v>
      </c>
      <c r="AL9914" s="21"/>
      <c r="AM9914" s="21" t="s">
        <v>7482</v>
      </c>
      <c r="AN9914" s="21">
        <v>-122.413033066667</v>
      </c>
      <c r="AO9914" s="21">
        <v>37.801397333333298</v>
      </c>
      <c r="AP9914" s="21" t="s">
        <v>116</v>
      </c>
    </row>
    <row r="9915" spans="1:42">
      <c r="A9915" s="20">
        <v>43872</v>
      </c>
      <c r="B9915" s="21">
        <v>2</v>
      </c>
      <c r="C9915" s="21">
        <v>232</v>
      </c>
      <c r="D9915" s="21">
        <v>14476</v>
      </c>
      <c r="E9915" s="7" t="s">
        <v>112</v>
      </c>
      <c r="F9915" s="21" t="s">
        <v>104</v>
      </c>
      <c r="G9915" s="21">
        <v>2</v>
      </c>
      <c r="H9915" s="21">
        <v>59</v>
      </c>
      <c r="I9915" s="21" t="s">
        <v>7483</v>
      </c>
      <c r="J9915" s="21"/>
      <c r="K9915" s="21" t="s">
        <v>7481</v>
      </c>
      <c r="L9915" s="21" t="s">
        <v>114</v>
      </c>
      <c r="M9915" s="21" t="s">
        <v>7038</v>
      </c>
      <c r="N9915" s="21" t="s">
        <v>40</v>
      </c>
      <c r="O9915" s="21">
        <v>32</v>
      </c>
      <c r="P9915" s="21"/>
      <c r="Q9915" s="21">
        <f t="shared" si="210"/>
        <v>3</v>
      </c>
      <c r="R9915" s="21">
        <v>1</v>
      </c>
      <c r="S9915" s="21">
        <v>1</v>
      </c>
      <c r="T9915" s="21">
        <v>1</v>
      </c>
      <c r="U9915" s="21">
        <v>1</v>
      </c>
      <c r="V9915" s="21">
        <v>0</v>
      </c>
      <c r="W9915" s="21">
        <v>0</v>
      </c>
      <c r="X9915" s="21">
        <v>0</v>
      </c>
      <c r="Y9915" s="21">
        <v>0</v>
      </c>
      <c r="Z9915" s="21">
        <v>0</v>
      </c>
      <c r="AA9915" s="21">
        <v>0</v>
      </c>
      <c r="AB9915" s="21">
        <v>0</v>
      </c>
      <c r="AC9915" s="21">
        <v>0</v>
      </c>
      <c r="AD9915" s="21">
        <v>0</v>
      </c>
      <c r="AE9915" s="21">
        <v>0</v>
      </c>
      <c r="AF9915" s="21">
        <v>0</v>
      </c>
      <c r="AG9915" s="21"/>
      <c r="AH9915" s="21">
        <f t="shared" si="211"/>
        <v>68</v>
      </c>
      <c r="AI9915" s="21"/>
      <c r="AJ9915" s="21" t="s">
        <v>51</v>
      </c>
      <c r="AK9915" s="21" t="s">
        <v>95</v>
      </c>
      <c r="AL9915" s="21"/>
      <c r="AM9915" s="21" t="s">
        <v>7484</v>
      </c>
      <c r="AN9915" s="21">
        <v>-122.413240316667</v>
      </c>
      <c r="AO9915" s="21">
        <v>37.8013932333333</v>
      </c>
      <c r="AP9915" s="21" t="s">
        <v>116</v>
      </c>
    </row>
    <row r="9916" spans="1:42">
      <c r="A9916" s="20">
        <v>43872</v>
      </c>
      <c r="B9916" s="21">
        <v>2</v>
      </c>
      <c r="C9916" s="21">
        <v>232</v>
      </c>
      <c r="D9916" s="21">
        <v>14476</v>
      </c>
      <c r="E9916" s="7" t="s">
        <v>112</v>
      </c>
      <c r="F9916" s="21" t="s">
        <v>104</v>
      </c>
      <c r="G9916" s="21">
        <v>2</v>
      </c>
      <c r="H9916" s="21">
        <v>60</v>
      </c>
      <c r="I9916" s="21" t="s">
        <v>7485</v>
      </c>
      <c r="J9916" s="21"/>
      <c r="K9916" s="21" t="s">
        <v>7481</v>
      </c>
      <c r="L9916" s="21" t="s">
        <v>114</v>
      </c>
      <c r="M9916" s="21" t="s">
        <v>7038</v>
      </c>
      <c r="N9916" s="21" t="s">
        <v>40</v>
      </c>
      <c r="O9916" s="21">
        <v>43</v>
      </c>
      <c r="P9916" s="21"/>
      <c r="Q9916" s="21">
        <f t="shared" si="210"/>
        <v>3</v>
      </c>
      <c r="R9916" s="21">
        <v>1</v>
      </c>
      <c r="S9916" s="21">
        <v>1</v>
      </c>
      <c r="T9916" s="21">
        <v>1</v>
      </c>
      <c r="U9916" s="21">
        <v>1</v>
      </c>
      <c r="V9916" s="21">
        <v>0</v>
      </c>
      <c r="W9916" s="21">
        <v>0</v>
      </c>
      <c r="X9916" s="21">
        <v>0</v>
      </c>
      <c r="Y9916" s="21">
        <v>0</v>
      </c>
      <c r="Z9916" s="21">
        <v>0</v>
      </c>
      <c r="AA9916" s="21">
        <v>0</v>
      </c>
      <c r="AB9916" s="21">
        <v>0</v>
      </c>
      <c r="AC9916" s="21">
        <v>0</v>
      </c>
      <c r="AD9916" s="21">
        <v>0</v>
      </c>
      <c r="AE9916" s="21">
        <v>0</v>
      </c>
      <c r="AF9916" s="21">
        <v>0</v>
      </c>
      <c r="AG9916" s="21"/>
      <c r="AH9916" s="21">
        <f t="shared" si="211"/>
        <v>68</v>
      </c>
      <c r="AI9916" s="21"/>
      <c r="AJ9916" s="21" t="s">
        <v>51</v>
      </c>
      <c r="AK9916" s="21" t="s">
        <v>95</v>
      </c>
      <c r="AL9916" s="21"/>
      <c r="AM9916" s="21" t="s">
        <v>7486</v>
      </c>
      <c r="AN9916" s="21">
        <v>-122.413399016667</v>
      </c>
      <c r="AO9916" s="21">
        <v>37.801325400000003</v>
      </c>
      <c r="AP9916" s="21" t="s">
        <v>116</v>
      </c>
    </row>
    <row r="9917" spans="1:42">
      <c r="A9917" s="20">
        <v>43872</v>
      </c>
      <c r="B9917" s="21">
        <v>2</v>
      </c>
      <c r="C9917" s="21">
        <v>232</v>
      </c>
      <c r="D9917" s="21">
        <v>14476</v>
      </c>
      <c r="E9917" s="7" t="s">
        <v>112</v>
      </c>
      <c r="F9917" s="21" t="s">
        <v>104</v>
      </c>
      <c r="G9917" s="21">
        <v>2</v>
      </c>
      <c r="H9917" s="21">
        <v>61</v>
      </c>
      <c r="I9917" s="21" t="s">
        <v>6262</v>
      </c>
      <c r="J9917" s="21"/>
      <c r="K9917" s="21" t="s">
        <v>7481</v>
      </c>
      <c r="L9917" s="21" t="s">
        <v>114</v>
      </c>
      <c r="M9917" s="21" t="s">
        <v>7038</v>
      </c>
      <c r="N9917" s="21" t="s">
        <v>40</v>
      </c>
      <c r="O9917" s="21">
        <v>35</v>
      </c>
      <c r="P9917" s="21"/>
      <c r="Q9917" s="21">
        <f t="shared" si="210"/>
        <v>3</v>
      </c>
      <c r="R9917" s="21">
        <v>1</v>
      </c>
      <c r="S9917" s="21">
        <v>0</v>
      </c>
      <c r="T9917" s="21">
        <v>1</v>
      </c>
      <c r="U9917" s="21">
        <v>2</v>
      </c>
      <c r="V9917" s="21">
        <v>0</v>
      </c>
      <c r="W9917" s="21">
        <v>0</v>
      </c>
      <c r="X9917" s="21">
        <v>0</v>
      </c>
      <c r="Y9917" s="21">
        <v>0</v>
      </c>
      <c r="Z9917" s="21">
        <v>0</v>
      </c>
      <c r="AA9917" s="21">
        <v>0</v>
      </c>
      <c r="AB9917" s="21">
        <v>0</v>
      </c>
      <c r="AC9917" s="21">
        <v>0</v>
      </c>
      <c r="AD9917" s="21">
        <v>0</v>
      </c>
      <c r="AE9917" s="21">
        <v>0</v>
      </c>
      <c r="AF9917" s="21">
        <v>0</v>
      </c>
      <c r="AG9917" s="21"/>
      <c r="AH9917" s="21">
        <f t="shared" si="211"/>
        <v>84</v>
      </c>
      <c r="AI9917" s="21"/>
      <c r="AJ9917" s="21" t="s">
        <v>51</v>
      </c>
      <c r="AK9917" s="21" t="s">
        <v>95</v>
      </c>
      <c r="AL9917" s="21"/>
      <c r="AM9917" s="21" t="s">
        <v>7487</v>
      </c>
      <c r="AN9917" s="21">
        <v>-122.41341851666699</v>
      </c>
      <c r="AO9917" s="21">
        <v>37.801304983333303</v>
      </c>
      <c r="AP9917" s="21" t="s">
        <v>116</v>
      </c>
    </row>
    <row r="9918" spans="1:42">
      <c r="A9918" s="20">
        <v>43872</v>
      </c>
      <c r="B9918" s="21">
        <v>2</v>
      </c>
      <c r="C9918" s="21">
        <v>232</v>
      </c>
      <c r="D9918" s="21">
        <v>14476</v>
      </c>
      <c r="E9918" s="7" t="s">
        <v>112</v>
      </c>
      <c r="F9918" s="21" t="s">
        <v>104</v>
      </c>
      <c r="G9918" s="21">
        <v>2</v>
      </c>
      <c r="H9918" s="21">
        <v>62</v>
      </c>
      <c r="I9918" s="21" t="s">
        <v>7488</v>
      </c>
      <c r="J9918" s="21"/>
      <c r="K9918" s="21" t="s">
        <v>7481</v>
      </c>
      <c r="L9918" s="21" t="s">
        <v>114</v>
      </c>
      <c r="M9918" s="21" t="s">
        <v>7038</v>
      </c>
      <c r="N9918" s="21" t="s">
        <v>40</v>
      </c>
      <c r="O9918" s="21">
        <v>32</v>
      </c>
      <c r="P9918" s="21"/>
      <c r="Q9918" s="21">
        <f t="shared" si="210"/>
        <v>2</v>
      </c>
      <c r="R9918" s="21">
        <v>1</v>
      </c>
      <c r="S9918" s="21">
        <v>1</v>
      </c>
      <c r="T9918" s="21">
        <v>0</v>
      </c>
      <c r="U9918" s="21">
        <v>0</v>
      </c>
      <c r="V9918" s="21">
        <v>1</v>
      </c>
      <c r="W9918" s="21">
        <v>0</v>
      </c>
      <c r="X9918" s="21">
        <v>0</v>
      </c>
      <c r="Y9918" s="21">
        <v>0</v>
      </c>
      <c r="Z9918" s="21">
        <v>0</v>
      </c>
      <c r="AA9918" s="21">
        <v>0</v>
      </c>
      <c r="AB9918" s="21">
        <v>0</v>
      </c>
      <c r="AC9918" s="21">
        <v>0</v>
      </c>
      <c r="AD9918" s="21">
        <v>0</v>
      </c>
      <c r="AE9918" s="21">
        <v>0</v>
      </c>
      <c r="AF9918" s="21">
        <v>0</v>
      </c>
      <c r="AG9918" s="21"/>
      <c r="AH9918" s="21">
        <f t="shared" si="211"/>
        <v>80</v>
      </c>
      <c r="AI9918" s="21"/>
      <c r="AJ9918" s="21" t="s">
        <v>51</v>
      </c>
      <c r="AK9918" s="21" t="s">
        <v>95</v>
      </c>
      <c r="AL9918" s="21"/>
      <c r="AM9918" s="21" t="s">
        <v>7489</v>
      </c>
      <c r="AN9918" s="21">
        <v>-122.41371125000001</v>
      </c>
      <c r="AO9918" s="21">
        <v>37.801314266666601</v>
      </c>
      <c r="AP9918" s="21" t="s">
        <v>116</v>
      </c>
    </row>
    <row r="9919" spans="1:42">
      <c r="A9919" s="20">
        <v>43872</v>
      </c>
      <c r="B9919" s="21">
        <v>2</v>
      </c>
      <c r="C9919" s="21">
        <v>232</v>
      </c>
      <c r="D9919" s="21">
        <v>14476</v>
      </c>
      <c r="E9919" s="7" t="s">
        <v>112</v>
      </c>
      <c r="F9919" s="21" t="s">
        <v>104</v>
      </c>
      <c r="G9919" s="21">
        <v>2</v>
      </c>
      <c r="H9919" s="21">
        <v>63</v>
      </c>
      <c r="I9919" s="21" t="s">
        <v>7490</v>
      </c>
      <c r="J9919" s="21"/>
      <c r="K9919" s="21" t="s">
        <v>7481</v>
      </c>
      <c r="L9919" s="21" t="s">
        <v>114</v>
      </c>
      <c r="M9919" s="21" t="s">
        <v>7038</v>
      </c>
      <c r="N9919" s="21" t="s">
        <v>40</v>
      </c>
      <c r="O9919" s="21">
        <v>24</v>
      </c>
      <c r="P9919" s="21"/>
      <c r="Q9919" s="21">
        <f t="shared" si="210"/>
        <v>2</v>
      </c>
      <c r="R9919" s="21">
        <v>1</v>
      </c>
      <c r="S9919" s="21">
        <v>0</v>
      </c>
      <c r="T9919" s="21">
        <v>0</v>
      </c>
      <c r="U9919" s="21">
        <v>1</v>
      </c>
      <c r="V9919" s="21">
        <v>1</v>
      </c>
      <c r="W9919" s="21">
        <v>0</v>
      </c>
      <c r="X9919" s="21">
        <v>0</v>
      </c>
      <c r="Y9919" s="21">
        <v>0</v>
      </c>
      <c r="Z9919" s="21">
        <v>0</v>
      </c>
      <c r="AA9919" s="21">
        <v>0</v>
      </c>
      <c r="AB9919" s="21">
        <v>0</v>
      </c>
      <c r="AC9919" s="21">
        <v>0</v>
      </c>
      <c r="AD9919" s="21">
        <v>0</v>
      </c>
      <c r="AE9919" s="21">
        <v>0</v>
      </c>
      <c r="AF9919" s="21">
        <v>0</v>
      </c>
      <c r="AG9919" s="21"/>
      <c r="AH9919" s="21">
        <f t="shared" si="211"/>
        <v>96</v>
      </c>
      <c r="AI9919" s="21"/>
      <c r="AJ9919" s="21" t="s">
        <v>51</v>
      </c>
      <c r="AK9919" s="21" t="s">
        <v>95</v>
      </c>
      <c r="AL9919" s="21"/>
      <c r="AM9919" s="21" t="s">
        <v>7491</v>
      </c>
      <c r="AN9919" s="21">
        <v>-122.413815433333</v>
      </c>
      <c r="AO9919" s="21">
        <v>37.801255666666698</v>
      </c>
      <c r="AP9919" s="21" t="s">
        <v>116</v>
      </c>
    </row>
    <row r="9920" spans="1:42">
      <c r="A9920" s="20">
        <v>43872</v>
      </c>
      <c r="B9920" s="21">
        <v>2</v>
      </c>
      <c r="C9920" s="21">
        <v>232</v>
      </c>
      <c r="D9920" s="21">
        <v>14476</v>
      </c>
      <c r="E9920" s="7" t="s">
        <v>112</v>
      </c>
      <c r="F9920" s="21" t="s">
        <v>104</v>
      </c>
      <c r="G9920" s="21">
        <v>2</v>
      </c>
      <c r="H9920" s="21">
        <v>64</v>
      </c>
      <c r="I9920" s="21" t="s">
        <v>6515</v>
      </c>
      <c r="J9920" s="21"/>
      <c r="K9920" s="21" t="s">
        <v>7481</v>
      </c>
      <c r="L9920" s="21" t="s">
        <v>114</v>
      </c>
      <c r="M9920" s="21" t="s">
        <v>7038</v>
      </c>
      <c r="N9920" s="21" t="s">
        <v>40</v>
      </c>
      <c r="O9920" s="21">
        <v>14</v>
      </c>
      <c r="P9920" s="21"/>
      <c r="Q9920" s="21">
        <f t="shared" si="210"/>
        <v>1</v>
      </c>
      <c r="R9920" s="21">
        <v>1</v>
      </c>
      <c r="S9920" s="21">
        <v>0</v>
      </c>
      <c r="T9920" s="21">
        <v>0</v>
      </c>
      <c r="U9920" s="21">
        <v>0</v>
      </c>
      <c r="V9920" s="21">
        <v>0</v>
      </c>
      <c r="W9920" s="21">
        <v>1</v>
      </c>
      <c r="X9920" s="21">
        <v>0</v>
      </c>
      <c r="Y9920" s="21">
        <v>0</v>
      </c>
      <c r="Z9920" s="21">
        <v>0</v>
      </c>
      <c r="AA9920" s="21">
        <v>0</v>
      </c>
      <c r="AB9920" s="21">
        <v>0</v>
      </c>
      <c r="AC9920" s="21">
        <v>0</v>
      </c>
      <c r="AD9920" s="21">
        <v>0</v>
      </c>
      <c r="AE9920" s="21">
        <v>0</v>
      </c>
      <c r="AF9920" s="21">
        <v>0</v>
      </c>
      <c r="AG9920" s="21"/>
      <c r="AH9920" s="21">
        <f t="shared" si="211"/>
        <v>96</v>
      </c>
      <c r="AI9920" s="21"/>
      <c r="AJ9920" s="21" t="s">
        <v>51</v>
      </c>
      <c r="AK9920" s="21" t="s">
        <v>95</v>
      </c>
      <c r="AL9920" s="21"/>
      <c r="AM9920" s="21" t="s">
        <v>7492</v>
      </c>
      <c r="AN9920" s="21">
        <v>-122.41407573333299</v>
      </c>
      <c r="AO9920" s="21">
        <v>37.801328300000002</v>
      </c>
      <c r="AP9920" s="21" t="s">
        <v>116</v>
      </c>
    </row>
    <row r="9921" spans="1:42">
      <c r="A9921" s="20">
        <v>43872</v>
      </c>
      <c r="B9921" s="21">
        <v>2</v>
      </c>
      <c r="C9921" s="21">
        <v>232</v>
      </c>
      <c r="D9921" s="21">
        <v>14476</v>
      </c>
      <c r="E9921" s="7" t="s">
        <v>112</v>
      </c>
      <c r="F9921" s="21" t="s">
        <v>104</v>
      </c>
      <c r="G9921" s="21">
        <v>2</v>
      </c>
      <c r="H9921" s="21">
        <v>65</v>
      </c>
      <c r="I9921" s="21" t="s">
        <v>7493</v>
      </c>
      <c r="J9921" s="21"/>
      <c r="K9921" s="21" t="s">
        <v>101</v>
      </c>
      <c r="L9921" s="21" t="s">
        <v>114</v>
      </c>
      <c r="M9921" s="21" t="s">
        <v>6618</v>
      </c>
      <c r="N9921" s="21" t="s">
        <v>40</v>
      </c>
      <c r="O9921" s="21">
        <v>30</v>
      </c>
      <c r="P9921" s="21"/>
      <c r="Q9921" s="21">
        <f t="shared" ref="Q9921:Q9984" si="212">S9921+T9921+U9921+V9921+W9921+X9921+Y9921+Z9921+AA9921+AB9921+AE9921+AF9921</f>
        <v>1</v>
      </c>
      <c r="R9921" s="21">
        <v>1</v>
      </c>
      <c r="S9921" s="21">
        <v>0</v>
      </c>
      <c r="T9921" s="21">
        <v>0</v>
      </c>
      <c r="U9921" s="21">
        <v>0</v>
      </c>
      <c r="V9921" s="21">
        <v>1</v>
      </c>
      <c r="W9921" s="21">
        <v>0</v>
      </c>
      <c r="X9921" s="21">
        <v>0</v>
      </c>
      <c r="Y9921" s="21">
        <v>0</v>
      </c>
      <c r="Z9921" s="21">
        <v>0</v>
      </c>
      <c r="AA9921" s="21">
        <v>0</v>
      </c>
      <c r="AB9921" s="21">
        <v>0</v>
      </c>
      <c r="AC9921" s="21">
        <v>0</v>
      </c>
      <c r="AD9921" s="21">
        <v>0</v>
      </c>
      <c r="AE9921" s="21">
        <v>0</v>
      </c>
      <c r="AF9921" s="21">
        <v>0</v>
      </c>
      <c r="AG9921" s="21"/>
      <c r="AH9921" s="21">
        <f t="shared" si="211"/>
        <v>64</v>
      </c>
      <c r="AI9921" s="21"/>
      <c r="AJ9921" s="21" t="s">
        <v>54</v>
      </c>
      <c r="AK9921" s="21" t="s">
        <v>52</v>
      </c>
      <c r="AL9921" s="21"/>
      <c r="AM9921" s="21" t="s">
        <v>7494</v>
      </c>
      <c r="AN9921" s="21">
        <v>-122.4143292</v>
      </c>
      <c r="AO9921" s="21">
        <v>37.801003616666698</v>
      </c>
      <c r="AP9921" s="21" t="s">
        <v>116</v>
      </c>
    </row>
    <row r="9922" spans="1:42">
      <c r="A9922" s="20">
        <v>43872</v>
      </c>
      <c r="B9922" s="21">
        <v>2</v>
      </c>
      <c r="C9922" s="21">
        <v>232</v>
      </c>
      <c r="D9922" s="21">
        <v>14476</v>
      </c>
      <c r="E9922" s="7" t="s">
        <v>112</v>
      </c>
      <c r="F9922" s="21" t="s">
        <v>104</v>
      </c>
      <c r="G9922" s="21">
        <v>2</v>
      </c>
      <c r="H9922" s="21">
        <v>66</v>
      </c>
      <c r="I9922" s="21" t="s">
        <v>7495</v>
      </c>
      <c r="J9922" s="21"/>
      <c r="K9922" s="21" t="s">
        <v>7481</v>
      </c>
      <c r="L9922" s="21" t="s">
        <v>141</v>
      </c>
      <c r="M9922" s="21" t="s">
        <v>7038</v>
      </c>
      <c r="N9922" s="21" t="s">
        <v>40</v>
      </c>
      <c r="O9922" s="21">
        <v>20</v>
      </c>
      <c r="P9922" s="21"/>
      <c r="Q9922" s="21">
        <f t="shared" si="212"/>
        <v>1</v>
      </c>
      <c r="R9922" s="21">
        <v>1</v>
      </c>
      <c r="S9922" s="21">
        <v>0</v>
      </c>
      <c r="T9922" s="21">
        <v>1</v>
      </c>
      <c r="U9922" s="21">
        <v>0</v>
      </c>
      <c r="V9922" s="21">
        <v>0</v>
      </c>
      <c r="W9922" s="21">
        <v>0</v>
      </c>
      <c r="X9922" s="21">
        <v>0</v>
      </c>
      <c r="Y9922" s="21">
        <v>0</v>
      </c>
      <c r="Z9922" s="21">
        <v>0</v>
      </c>
      <c r="AA9922" s="21">
        <v>0</v>
      </c>
      <c r="AB9922" s="21">
        <v>0</v>
      </c>
      <c r="AC9922" s="21">
        <v>0</v>
      </c>
      <c r="AD9922" s="21">
        <v>0</v>
      </c>
      <c r="AE9922" s="21">
        <v>0</v>
      </c>
      <c r="AF9922" s="21">
        <v>0</v>
      </c>
      <c r="AG9922" s="21"/>
      <c r="AH9922" s="21">
        <f t="shared" si="211"/>
        <v>20</v>
      </c>
      <c r="AI9922" s="21"/>
      <c r="AJ9922" s="21" t="s">
        <v>51</v>
      </c>
      <c r="AK9922" s="21" t="s">
        <v>52</v>
      </c>
      <c r="AL9922" s="21"/>
      <c r="AM9922" s="21" t="s">
        <v>7496</v>
      </c>
      <c r="AN9922" s="21">
        <v>-122.414201666667</v>
      </c>
      <c r="AO9922" s="21">
        <v>37.801212999999997</v>
      </c>
      <c r="AP9922" s="21" t="s">
        <v>116</v>
      </c>
    </row>
    <row r="9923" spans="1:42">
      <c r="A9923" s="20">
        <v>43872</v>
      </c>
      <c r="B9923" s="21">
        <v>2</v>
      </c>
      <c r="C9923" s="21">
        <v>232</v>
      </c>
      <c r="D9923" s="21">
        <v>14476</v>
      </c>
      <c r="E9923" s="7" t="s">
        <v>112</v>
      </c>
      <c r="F9923" s="21" t="s">
        <v>104</v>
      </c>
      <c r="G9923" s="21">
        <v>2</v>
      </c>
      <c r="H9923" s="21">
        <v>67</v>
      </c>
      <c r="I9923" s="21" t="s">
        <v>3677</v>
      </c>
      <c r="J9923" s="21"/>
      <c r="K9923" s="21" t="s">
        <v>7481</v>
      </c>
      <c r="L9923" s="21" t="s">
        <v>141</v>
      </c>
      <c r="M9923" s="21" t="s">
        <v>7038</v>
      </c>
      <c r="N9923" s="21" t="s">
        <v>40</v>
      </c>
      <c r="O9923" s="21">
        <v>55</v>
      </c>
      <c r="P9923" s="21"/>
      <c r="Q9923" s="21">
        <f t="shared" si="212"/>
        <v>5</v>
      </c>
      <c r="R9923" s="21">
        <v>1</v>
      </c>
      <c r="S9923" s="21">
        <v>2</v>
      </c>
      <c r="T9923" s="21">
        <v>0</v>
      </c>
      <c r="U9923" s="21">
        <v>3</v>
      </c>
      <c r="V9923" s="21">
        <v>0</v>
      </c>
      <c r="W9923" s="21">
        <v>0</v>
      </c>
      <c r="X9923" s="21">
        <v>0</v>
      </c>
      <c r="Y9923" s="21">
        <v>0</v>
      </c>
      <c r="Z9923" s="21">
        <v>0</v>
      </c>
      <c r="AA9923" s="21">
        <v>0</v>
      </c>
      <c r="AB9923" s="21">
        <v>0</v>
      </c>
      <c r="AC9923" s="21">
        <v>0</v>
      </c>
      <c r="AD9923" s="21">
        <v>0</v>
      </c>
      <c r="AE9923" s="21">
        <v>0</v>
      </c>
      <c r="AF9923" s="21">
        <v>0</v>
      </c>
      <c r="AG9923" s="21"/>
      <c r="AH9923" s="21">
        <f t="shared" si="211"/>
        <v>128</v>
      </c>
      <c r="AI9923" s="21"/>
      <c r="AJ9923" s="21" t="s">
        <v>51</v>
      </c>
      <c r="AK9923" s="21" t="s">
        <v>52</v>
      </c>
      <c r="AL9923" s="21"/>
      <c r="AM9923" s="21" t="s">
        <v>7497</v>
      </c>
      <c r="AN9923" s="21">
        <v>-122.414116566667</v>
      </c>
      <c r="AO9923" s="21">
        <v>37.801227333333301</v>
      </c>
      <c r="AP9923" s="21" t="s">
        <v>116</v>
      </c>
    </row>
    <row r="9924" spans="1:42">
      <c r="A9924" s="20">
        <v>43872</v>
      </c>
      <c r="B9924" s="21">
        <v>2</v>
      </c>
      <c r="C9924" s="21">
        <v>232</v>
      </c>
      <c r="D9924" s="21">
        <v>14476</v>
      </c>
      <c r="E9924" s="7" t="s">
        <v>112</v>
      </c>
      <c r="F9924" s="21" t="s">
        <v>104</v>
      </c>
      <c r="G9924" s="21">
        <v>2</v>
      </c>
      <c r="H9924" s="21">
        <v>68</v>
      </c>
      <c r="I9924" s="21" t="s">
        <v>7498</v>
      </c>
      <c r="J9924" s="21"/>
      <c r="K9924" s="21" t="s">
        <v>7481</v>
      </c>
      <c r="L9924" s="21" t="s">
        <v>141</v>
      </c>
      <c r="M9924" s="21" t="s">
        <v>7038</v>
      </c>
      <c r="N9924" s="21" t="s">
        <v>40</v>
      </c>
      <c r="O9924" s="21">
        <v>29</v>
      </c>
      <c r="P9924" s="21"/>
      <c r="Q9924" s="21">
        <f t="shared" si="212"/>
        <v>2</v>
      </c>
      <c r="R9924" s="21">
        <v>1</v>
      </c>
      <c r="S9924" s="21">
        <v>0</v>
      </c>
      <c r="T9924" s="21">
        <v>0</v>
      </c>
      <c r="U9924" s="21">
        <v>0</v>
      </c>
      <c r="V9924" s="21">
        <v>2</v>
      </c>
      <c r="W9924" s="21">
        <v>0</v>
      </c>
      <c r="X9924" s="21">
        <v>0</v>
      </c>
      <c r="Y9924" s="21">
        <v>0</v>
      </c>
      <c r="Z9924" s="21">
        <v>0</v>
      </c>
      <c r="AA9924" s="21">
        <v>0</v>
      </c>
      <c r="AB9924" s="21">
        <v>0</v>
      </c>
      <c r="AC9924" s="21">
        <v>0</v>
      </c>
      <c r="AD9924" s="21">
        <v>0</v>
      </c>
      <c r="AE9924" s="21">
        <v>0</v>
      </c>
      <c r="AF9924" s="21">
        <v>0</v>
      </c>
      <c r="AG9924" s="21"/>
      <c r="AH9924" s="21">
        <f t="shared" si="211"/>
        <v>128</v>
      </c>
      <c r="AI9924" s="21"/>
      <c r="AJ9924" s="21" t="s">
        <v>51</v>
      </c>
      <c r="AK9924" s="21" t="s">
        <v>52</v>
      </c>
      <c r="AL9924" s="21"/>
      <c r="AM9924" s="21" t="s">
        <v>7499</v>
      </c>
      <c r="AN9924" s="21">
        <v>-122.413865201921</v>
      </c>
      <c r="AO9924" s="21">
        <v>37.799507520983397</v>
      </c>
      <c r="AP9924" s="21" t="s">
        <v>116</v>
      </c>
    </row>
    <row r="9925" spans="1:42">
      <c r="A9925" s="20">
        <v>43872</v>
      </c>
      <c r="B9925" s="21">
        <v>2</v>
      </c>
      <c r="C9925" s="21">
        <v>232</v>
      </c>
      <c r="D9925" s="21">
        <v>14476</v>
      </c>
      <c r="E9925" s="7" t="s">
        <v>112</v>
      </c>
      <c r="F9925" s="21" t="s">
        <v>104</v>
      </c>
      <c r="G9925" s="21">
        <v>2</v>
      </c>
      <c r="H9925" s="21">
        <v>69</v>
      </c>
      <c r="I9925" s="21" t="s">
        <v>7500</v>
      </c>
      <c r="J9925" s="21"/>
      <c r="K9925" s="21" t="s">
        <v>7481</v>
      </c>
      <c r="L9925" s="21" t="s">
        <v>141</v>
      </c>
      <c r="M9925" s="21" t="s">
        <v>7038</v>
      </c>
      <c r="N9925" s="21" t="s">
        <v>40</v>
      </c>
      <c r="O9925" s="21">
        <v>44</v>
      </c>
      <c r="P9925" s="21"/>
      <c r="Q9925" s="21">
        <f t="shared" si="212"/>
        <v>3</v>
      </c>
      <c r="R9925" s="21">
        <v>1</v>
      </c>
      <c r="S9925" s="21">
        <v>1</v>
      </c>
      <c r="T9925" s="21">
        <v>0</v>
      </c>
      <c r="U9925" s="21">
        <v>2</v>
      </c>
      <c r="V9925" s="21">
        <v>0</v>
      </c>
      <c r="W9925" s="21">
        <v>0</v>
      </c>
      <c r="X9925" s="21">
        <v>0</v>
      </c>
      <c r="Y9925" s="21">
        <v>0</v>
      </c>
      <c r="Z9925" s="21">
        <v>0</v>
      </c>
      <c r="AA9925" s="21">
        <v>0</v>
      </c>
      <c r="AB9925" s="21">
        <v>0</v>
      </c>
      <c r="AC9925" s="21">
        <v>0</v>
      </c>
      <c r="AD9925" s="21">
        <v>0</v>
      </c>
      <c r="AE9925" s="21">
        <v>0</v>
      </c>
      <c r="AF9925" s="21">
        <v>0</v>
      </c>
      <c r="AG9925" s="21"/>
      <c r="AH9925" s="21">
        <f t="shared" si="211"/>
        <v>80</v>
      </c>
      <c r="AI9925" s="21"/>
      <c r="AJ9925" s="21" t="s">
        <v>51</v>
      </c>
      <c r="AK9925" s="21" t="s">
        <v>52</v>
      </c>
      <c r="AL9925" s="21"/>
      <c r="AM9925" s="21" t="s">
        <v>7501</v>
      </c>
      <c r="AN9925" s="21">
        <v>-122.4138367</v>
      </c>
      <c r="AO9925" s="21">
        <v>37.8013679833333</v>
      </c>
      <c r="AP9925" s="21" t="s">
        <v>116</v>
      </c>
    </row>
    <row r="9926" spans="1:42">
      <c r="A9926" s="20">
        <v>43872</v>
      </c>
      <c r="B9926" s="21">
        <v>2</v>
      </c>
      <c r="C9926" s="21">
        <v>232</v>
      </c>
      <c r="D9926" s="21">
        <v>14476</v>
      </c>
      <c r="E9926" s="7" t="s">
        <v>112</v>
      </c>
      <c r="F9926" s="21" t="s">
        <v>104</v>
      </c>
      <c r="G9926" s="21">
        <v>2</v>
      </c>
      <c r="H9926" s="21">
        <v>70</v>
      </c>
      <c r="I9926" s="21" t="s">
        <v>6243</v>
      </c>
      <c r="J9926" s="21"/>
      <c r="K9926" s="21" t="s">
        <v>7481</v>
      </c>
      <c r="L9926" s="21" t="s">
        <v>141</v>
      </c>
      <c r="M9926" s="21" t="s">
        <v>7038</v>
      </c>
      <c r="N9926" s="21" t="s">
        <v>40</v>
      </c>
      <c r="O9926" s="21">
        <v>54</v>
      </c>
      <c r="P9926" s="21"/>
      <c r="Q9926" s="21">
        <f t="shared" si="212"/>
        <v>3</v>
      </c>
      <c r="R9926" s="21">
        <v>1</v>
      </c>
      <c r="S9926" s="21">
        <v>1</v>
      </c>
      <c r="T9926" s="21">
        <v>0</v>
      </c>
      <c r="U9926" s="21">
        <v>1</v>
      </c>
      <c r="V9926" s="21">
        <v>1</v>
      </c>
      <c r="W9926" s="21">
        <v>0</v>
      </c>
      <c r="X9926" s="21">
        <v>0</v>
      </c>
      <c r="Y9926" s="21">
        <v>0</v>
      </c>
      <c r="Z9926" s="21">
        <v>0</v>
      </c>
      <c r="AA9926" s="21">
        <v>0</v>
      </c>
      <c r="AB9926" s="21">
        <v>0</v>
      </c>
      <c r="AC9926" s="21">
        <v>0</v>
      </c>
      <c r="AD9926" s="21">
        <v>0</v>
      </c>
      <c r="AE9926" s="21">
        <v>0</v>
      </c>
      <c r="AF9926" s="21">
        <v>0</v>
      </c>
      <c r="AG9926" s="21"/>
      <c r="AH9926" s="21">
        <f t="shared" si="211"/>
        <v>112</v>
      </c>
      <c r="AI9926" s="21"/>
      <c r="AJ9926" s="21" t="s">
        <v>51</v>
      </c>
      <c r="AK9926" s="21" t="s">
        <v>52</v>
      </c>
      <c r="AL9926" s="21"/>
      <c r="AM9926" s="21" t="s">
        <v>7502</v>
      </c>
      <c r="AN9926" s="21">
        <v>-122.413650283333</v>
      </c>
      <c r="AO9926" s="21">
        <v>37.801323316666704</v>
      </c>
      <c r="AP9926" s="21" t="s">
        <v>116</v>
      </c>
    </row>
    <row r="9927" spans="1:42">
      <c r="A9927" s="20">
        <v>43872</v>
      </c>
      <c r="B9927" s="21">
        <v>2</v>
      </c>
      <c r="C9927" s="21">
        <v>232</v>
      </c>
      <c r="D9927" s="21">
        <v>14476</v>
      </c>
      <c r="E9927" s="7" t="s">
        <v>112</v>
      </c>
      <c r="F9927" s="21" t="s">
        <v>104</v>
      </c>
      <c r="G9927" s="21">
        <v>2</v>
      </c>
      <c r="H9927" s="21">
        <v>71</v>
      </c>
      <c r="I9927" s="21" t="s">
        <v>4537</v>
      </c>
      <c r="J9927" s="21"/>
      <c r="K9927" s="21" t="s">
        <v>7481</v>
      </c>
      <c r="L9927" s="21" t="s">
        <v>141</v>
      </c>
      <c r="M9927" s="21" t="s">
        <v>7038</v>
      </c>
      <c r="N9927" s="21" t="s">
        <v>40</v>
      </c>
      <c r="O9927" s="21">
        <v>40</v>
      </c>
      <c r="P9927" s="21"/>
      <c r="Q9927" s="21">
        <f t="shared" si="212"/>
        <v>3</v>
      </c>
      <c r="R9927" s="21">
        <v>1</v>
      </c>
      <c r="S9927" s="21">
        <v>0</v>
      </c>
      <c r="T9927" s="21">
        <v>0</v>
      </c>
      <c r="U9927" s="21">
        <v>3</v>
      </c>
      <c r="V9927" s="21">
        <v>0</v>
      </c>
      <c r="W9927" s="21">
        <v>0</v>
      </c>
      <c r="X9927" s="21">
        <v>0</v>
      </c>
      <c r="Y9927" s="21">
        <v>0</v>
      </c>
      <c r="Z9927" s="21">
        <v>0</v>
      </c>
      <c r="AA9927" s="21">
        <v>0</v>
      </c>
      <c r="AB9927" s="21">
        <v>0</v>
      </c>
      <c r="AC9927" s="21">
        <v>0</v>
      </c>
      <c r="AD9927" s="21">
        <v>0</v>
      </c>
      <c r="AE9927" s="21">
        <v>0</v>
      </c>
      <c r="AF9927" s="21">
        <v>0</v>
      </c>
      <c r="AG9927" s="21"/>
      <c r="AH9927" s="21">
        <f t="shared" si="211"/>
        <v>96</v>
      </c>
      <c r="AI9927" s="21"/>
      <c r="AJ9927" s="21" t="s">
        <v>51</v>
      </c>
      <c r="AK9927" s="21" t="s">
        <v>52</v>
      </c>
      <c r="AL9927" s="21"/>
      <c r="AM9927" s="21" t="s">
        <v>7503</v>
      </c>
      <c r="AN9927" s="21">
        <v>-122.413482233333</v>
      </c>
      <c r="AO9927" s="21">
        <v>37.801338983333302</v>
      </c>
      <c r="AP9927" s="21" t="s">
        <v>116</v>
      </c>
    </row>
    <row r="9928" spans="1:42">
      <c r="A9928" s="20">
        <v>43872</v>
      </c>
      <c r="B9928" s="21">
        <v>2</v>
      </c>
      <c r="C9928" s="21">
        <v>232</v>
      </c>
      <c r="D9928" s="21">
        <v>14476</v>
      </c>
      <c r="E9928" s="7" t="s">
        <v>112</v>
      </c>
      <c r="F9928" s="21" t="s">
        <v>104</v>
      </c>
      <c r="G9928" s="21">
        <v>2</v>
      </c>
      <c r="H9928" s="21">
        <v>72</v>
      </c>
      <c r="I9928" s="21" t="s">
        <v>4541</v>
      </c>
      <c r="J9928" s="21"/>
      <c r="K9928" s="21" t="s">
        <v>7481</v>
      </c>
      <c r="L9928" s="21" t="s">
        <v>141</v>
      </c>
      <c r="M9928" s="21" t="s">
        <v>7038</v>
      </c>
      <c r="N9928" s="21" t="s">
        <v>40</v>
      </c>
      <c r="O9928" s="21">
        <v>15</v>
      </c>
      <c r="P9928" s="21"/>
      <c r="Q9928" s="21">
        <f t="shared" si="212"/>
        <v>1</v>
      </c>
      <c r="R9928" s="21">
        <v>1</v>
      </c>
      <c r="S9928" s="21">
        <v>0</v>
      </c>
      <c r="T9928" s="21">
        <v>0</v>
      </c>
      <c r="U9928" s="21">
        <v>1</v>
      </c>
      <c r="V9928" s="21">
        <v>0</v>
      </c>
      <c r="W9928" s="21">
        <v>0</v>
      </c>
      <c r="X9928" s="21">
        <v>0</v>
      </c>
      <c r="Y9928" s="21">
        <v>0</v>
      </c>
      <c r="Z9928" s="21">
        <v>0</v>
      </c>
      <c r="AA9928" s="21">
        <v>0</v>
      </c>
      <c r="AB9928" s="21">
        <v>0</v>
      </c>
      <c r="AC9928" s="21">
        <v>0</v>
      </c>
      <c r="AD9928" s="21">
        <v>0</v>
      </c>
      <c r="AE9928" s="21">
        <v>0</v>
      </c>
      <c r="AF9928" s="21">
        <v>0</v>
      </c>
      <c r="AG9928" s="21"/>
      <c r="AH9928" s="21">
        <f t="shared" si="211"/>
        <v>32</v>
      </c>
      <c r="AI9928" s="21"/>
      <c r="AJ9928" s="21" t="s">
        <v>51</v>
      </c>
      <c r="AK9928" s="21" t="s">
        <v>52</v>
      </c>
      <c r="AL9928" s="21"/>
      <c r="AM9928" s="21" t="s">
        <v>7504</v>
      </c>
      <c r="AN9928" s="21">
        <v>-122.413408166667</v>
      </c>
      <c r="AO9928" s="21">
        <v>37.801397716666699</v>
      </c>
      <c r="AP9928" s="21" t="s">
        <v>116</v>
      </c>
    </row>
    <row r="9929" spans="1:42">
      <c r="A9929" s="20">
        <v>43872</v>
      </c>
      <c r="B9929" s="21">
        <v>2</v>
      </c>
      <c r="C9929" s="21">
        <v>232</v>
      </c>
      <c r="D9929" s="21">
        <v>14476</v>
      </c>
      <c r="E9929" s="7" t="s">
        <v>112</v>
      </c>
      <c r="F9929" s="21" t="s">
        <v>104</v>
      </c>
      <c r="G9929" s="21">
        <v>2</v>
      </c>
      <c r="H9929" s="21">
        <v>73</v>
      </c>
      <c r="I9929" s="21" t="s">
        <v>3707</v>
      </c>
      <c r="J9929" s="21"/>
      <c r="K9929" s="21" t="s">
        <v>7481</v>
      </c>
      <c r="L9929" s="21" t="s">
        <v>141</v>
      </c>
      <c r="M9929" s="21" t="s">
        <v>7038</v>
      </c>
      <c r="N9929" s="21" t="s">
        <v>40</v>
      </c>
      <c r="O9929" s="21">
        <v>47</v>
      </c>
      <c r="P9929" s="21"/>
      <c r="Q9929" s="21">
        <f t="shared" si="212"/>
        <v>4</v>
      </c>
      <c r="R9929" s="21">
        <v>1</v>
      </c>
      <c r="S9929" s="21">
        <v>0</v>
      </c>
      <c r="T9929" s="21">
        <v>0</v>
      </c>
      <c r="U9929" s="21">
        <v>4</v>
      </c>
      <c r="V9929" s="21">
        <v>0</v>
      </c>
      <c r="W9929" s="21">
        <v>0</v>
      </c>
      <c r="X9929" s="21">
        <v>0</v>
      </c>
      <c r="Y9929" s="21">
        <v>0</v>
      </c>
      <c r="Z9929" s="21">
        <v>0</v>
      </c>
      <c r="AA9929" s="21">
        <v>0</v>
      </c>
      <c r="AB9929" s="21">
        <v>0</v>
      </c>
      <c r="AC9929" s="21">
        <v>0</v>
      </c>
      <c r="AD9929" s="21">
        <v>0</v>
      </c>
      <c r="AE9929" s="21">
        <v>0</v>
      </c>
      <c r="AF9929" s="21">
        <v>0</v>
      </c>
      <c r="AG9929" s="21"/>
      <c r="AH9929" s="21">
        <f t="shared" si="211"/>
        <v>128</v>
      </c>
      <c r="AI9929" s="21"/>
      <c r="AJ9929" s="21" t="s">
        <v>51</v>
      </c>
      <c r="AK9929" s="21" t="s">
        <v>52</v>
      </c>
      <c r="AL9929" s="21"/>
      <c r="AM9929" s="21" t="s">
        <v>7505</v>
      </c>
      <c r="AN9929" s="21">
        <v>-122.415042139118</v>
      </c>
      <c r="AO9929" s="21">
        <v>37.799790049382402</v>
      </c>
      <c r="AP9929" s="21" t="s">
        <v>116</v>
      </c>
    </row>
    <row r="9930" spans="1:42">
      <c r="A9930" s="20">
        <v>43872</v>
      </c>
      <c r="B9930" s="21">
        <v>2</v>
      </c>
      <c r="C9930" s="21">
        <v>232</v>
      </c>
      <c r="D9930" s="21">
        <v>14476</v>
      </c>
      <c r="E9930" s="7" t="s">
        <v>112</v>
      </c>
      <c r="F9930" s="21" t="s">
        <v>104</v>
      </c>
      <c r="G9930" s="21">
        <v>2</v>
      </c>
      <c r="H9930" s="21">
        <v>74</v>
      </c>
      <c r="I9930" s="21" t="s">
        <v>7506</v>
      </c>
      <c r="J9930" s="21"/>
      <c r="K9930" s="21" t="s">
        <v>7481</v>
      </c>
      <c r="L9930" s="21" t="s">
        <v>141</v>
      </c>
      <c r="M9930" s="21" t="s">
        <v>7038</v>
      </c>
      <c r="N9930" s="21" t="s">
        <v>40</v>
      </c>
      <c r="O9930" s="21">
        <v>58</v>
      </c>
      <c r="P9930" s="21"/>
      <c r="Q9930" s="21">
        <f t="shared" si="212"/>
        <v>4</v>
      </c>
      <c r="R9930" s="21">
        <v>1</v>
      </c>
      <c r="S9930" s="21">
        <v>0</v>
      </c>
      <c r="T9930" s="21">
        <v>0</v>
      </c>
      <c r="U9930" s="21">
        <v>3</v>
      </c>
      <c r="V9930" s="21">
        <v>1</v>
      </c>
      <c r="W9930" s="21">
        <v>0</v>
      </c>
      <c r="X9930" s="21">
        <v>0</v>
      </c>
      <c r="Y9930" s="21">
        <v>0</v>
      </c>
      <c r="Z9930" s="21">
        <v>0</v>
      </c>
      <c r="AA9930" s="21">
        <v>0</v>
      </c>
      <c r="AB9930" s="21">
        <v>0</v>
      </c>
      <c r="AC9930" s="21">
        <v>0</v>
      </c>
      <c r="AD9930" s="21">
        <v>0</v>
      </c>
      <c r="AE9930" s="21">
        <v>0</v>
      </c>
      <c r="AF9930" s="21">
        <v>0</v>
      </c>
      <c r="AG9930" s="21"/>
      <c r="AH9930" s="21">
        <f t="shared" si="211"/>
        <v>160</v>
      </c>
      <c r="AI9930" s="21"/>
      <c r="AJ9930" s="21" t="s">
        <v>51</v>
      </c>
      <c r="AK9930" s="21" t="s">
        <v>52</v>
      </c>
      <c r="AL9930" s="21"/>
      <c r="AM9930" s="21" t="s">
        <v>7507</v>
      </c>
      <c r="AN9930" s="21">
        <v>-122.41305996666701</v>
      </c>
      <c r="AO9930" s="21">
        <v>37.801431916666701</v>
      </c>
      <c r="AP9930" s="21" t="s">
        <v>116</v>
      </c>
    </row>
    <row r="9931" spans="1:42">
      <c r="A9931" s="20">
        <v>43872</v>
      </c>
      <c r="B9931" s="21">
        <v>2</v>
      </c>
      <c r="C9931" s="21">
        <v>232</v>
      </c>
      <c r="D9931" s="21">
        <v>14476</v>
      </c>
      <c r="E9931" s="7" t="s">
        <v>112</v>
      </c>
      <c r="F9931" s="21" t="s">
        <v>104</v>
      </c>
      <c r="G9931" s="21">
        <v>2</v>
      </c>
      <c r="H9931" s="21">
        <v>75</v>
      </c>
      <c r="I9931" s="21" t="s">
        <v>4352</v>
      </c>
      <c r="J9931" s="21"/>
      <c r="K9931" s="21" t="s">
        <v>156</v>
      </c>
      <c r="L9931" s="21" t="s">
        <v>114</v>
      </c>
      <c r="M9931" s="21" t="s">
        <v>7038</v>
      </c>
      <c r="N9931" s="21" t="s">
        <v>44</v>
      </c>
      <c r="O9931" s="21">
        <v>113</v>
      </c>
      <c r="P9931" s="21"/>
      <c r="Q9931" s="21">
        <f t="shared" si="212"/>
        <v>1</v>
      </c>
      <c r="R9931" s="21">
        <v>1</v>
      </c>
      <c r="S9931" s="21">
        <v>0</v>
      </c>
      <c r="T9931" s="21">
        <v>0</v>
      </c>
      <c r="U9931" s="21">
        <v>0</v>
      </c>
      <c r="V9931" s="21">
        <v>0</v>
      </c>
      <c r="W9931" s="21">
        <v>1</v>
      </c>
      <c r="X9931" s="21">
        <v>0</v>
      </c>
      <c r="Y9931" s="21">
        <v>0</v>
      </c>
      <c r="Z9931" s="21">
        <v>0</v>
      </c>
      <c r="AA9931" s="21">
        <v>0</v>
      </c>
      <c r="AB9931" s="21">
        <v>0</v>
      </c>
      <c r="AC9931" s="21">
        <v>0</v>
      </c>
      <c r="AD9931" s="21">
        <v>0</v>
      </c>
      <c r="AE9931" s="21">
        <v>0</v>
      </c>
      <c r="AF9931" s="21">
        <v>0</v>
      </c>
      <c r="AG9931" s="21"/>
      <c r="AH9931" s="21">
        <f t="shared" si="211"/>
        <v>96</v>
      </c>
      <c r="AI9931" s="21"/>
      <c r="AJ9931" s="21" t="s">
        <v>54</v>
      </c>
      <c r="AK9931" s="21" t="s">
        <v>52</v>
      </c>
      <c r="AL9931" s="21" t="s">
        <v>7508</v>
      </c>
      <c r="AM9931" s="21" t="s">
        <v>7509</v>
      </c>
      <c r="AN9931" s="21">
        <v>-122.41319394999999</v>
      </c>
      <c r="AO9931" s="21">
        <v>37.799951933333297</v>
      </c>
      <c r="AP9931" s="21" t="s">
        <v>116</v>
      </c>
    </row>
    <row r="9932" spans="1:42">
      <c r="A9932" s="20">
        <v>43872</v>
      </c>
      <c r="B9932" s="21">
        <v>2</v>
      </c>
      <c r="C9932" s="21">
        <v>232</v>
      </c>
      <c r="D9932" s="21">
        <v>14476</v>
      </c>
      <c r="E9932" s="7" t="s">
        <v>112</v>
      </c>
      <c r="F9932" s="21" t="s">
        <v>104</v>
      </c>
      <c r="G9932" s="21">
        <v>2</v>
      </c>
      <c r="H9932" s="21">
        <v>76</v>
      </c>
      <c r="I9932" s="21" t="s">
        <v>7510</v>
      </c>
      <c r="J9932" s="21"/>
      <c r="K9932" s="21" t="s">
        <v>156</v>
      </c>
      <c r="L9932" s="21" t="s">
        <v>114</v>
      </c>
      <c r="M9932" s="21" t="s">
        <v>7038</v>
      </c>
      <c r="N9932" s="21" t="s">
        <v>40</v>
      </c>
      <c r="O9932" s="21">
        <v>54</v>
      </c>
      <c r="P9932" s="21"/>
      <c r="Q9932" s="21">
        <f t="shared" si="212"/>
        <v>4</v>
      </c>
      <c r="R9932" s="21">
        <v>1</v>
      </c>
      <c r="S9932" s="21">
        <v>0</v>
      </c>
      <c r="T9932" s="21">
        <v>0</v>
      </c>
      <c r="U9932" s="21">
        <v>2</v>
      </c>
      <c r="V9932" s="21">
        <v>2</v>
      </c>
      <c r="W9932" s="21">
        <v>0</v>
      </c>
      <c r="X9932" s="21">
        <v>0</v>
      </c>
      <c r="Y9932" s="21">
        <v>0</v>
      </c>
      <c r="Z9932" s="21">
        <v>0</v>
      </c>
      <c r="AA9932" s="21">
        <v>0</v>
      </c>
      <c r="AB9932" s="21">
        <v>0</v>
      </c>
      <c r="AC9932" s="21">
        <v>0</v>
      </c>
      <c r="AD9932" s="21">
        <v>0</v>
      </c>
      <c r="AE9932" s="21">
        <v>0</v>
      </c>
      <c r="AF9932" s="21">
        <v>0</v>
      </c>
      <c r="AG9932" s="21"/>
      <c r="AH9932" s="21">
        <f t="shared" si="211"/>
        <v>192</v>
      </c>
      <c r="AI9932" s="21"/>
      <c r="AJ9932" s="21" t="s">
        <v>54</v>
      </c>
      <c r="AK9932" s="21" t="s">
        <v>52</v>
      </c>
      <c r="AL9932" s="21" t="s">
        <v>7511</v>
      </c>
      <c r="AM9932" s="21" t="s">
        <v>7512</v>
      </c>
      <c r="AN9932" s="21">
        <v>-122.413312083333</v>
      </c>
      <c r="AO9932" s="21">
        <v>37.800040116666601</v>
      </c>
      <c r="AP9932" s="21" t="s">
        <v>116</v>
      </c>
    </row>
    <row r="9933" spans="1:42">
      <c r="A9933" s="20">
        <v>43872</v>
      </c>
      <c r="B9933" s="21">
        <v>2</v>
      </c>
      <c r="C9933" s="21">
        <v>232</v>
      </c>
      <c r="D9933" s="21">
        <v>14476</v>
      </c>
      <c r="E9933" s="7" t="s">
        <v>112</v>
      </c>
      <c r="F9933" s="21" t="s">
        <v>104</v>
      </c>
      <c r="G9933" s="21">
        <v>2</v>
      </c>
      <c r="H9933" s="21">
        <v>77</v>
      </c>
      <c r="I9933" s="21" t="s">
        <v>7513</v>
      </c>
      <c r="J9933" s="21"/>
      <c r="K9933" s="21" t="s">
        <v>156</v>
      </c>
      <c r="L9933" s="21" t="s">
        <v>114</v>
      </c>
      <c r="M9933" s="21" t="s">
        <v>7038</v>
      </c>
      <c r="N9933" s="21" t="s">
        <v>44</v>
      </c>
      <c r="O9933" s="21">
        <v>91</v>
      </c>
      <c r="P9933" s="21"/>
      <c r="Q9933" s="21">
        <f t="shared" si="212"/>
        <v>1</v>
      </c>
      <c r="R9933" s="21">
        <v>1</v>
      </c>
      <c r="S9933" s="21">
        <v>0</v>
      </c>
      <c r="T9933" s="21">
        <v>0</v>
      </c>
      <c r="U9933" s="21">
        <v>0</v>
      </c>
      <c r="V9933" s="21">
        <v>0</v>
      </c>
      <c r="W9933" s="21">
        <v>1</v>
      </c>
      <c r="X9933" s="21">
        <v>0</v>
      </c>
      <c r="Y9933" s="21">
        <v>0</v>
      </c>
      <c r="Z9933" s="21">
        <v>0</v>
      </c>
      <c r="AA9933" s="21">
        <v>0</v>
      </c>
      <c r="AB9933" s="21">
        <v>0</v>
      </c>
      <c r="AC9933" s="21">
        <v>0</v>
      </c>
      <c r="AD9933" s="21">
        <v>0</v>
      </c>
      <c r="AE9933" s="21">
        <v>0</v>
      </c>
      <c r="AF9933" s="21">
        <v>0</v>
      </c>
      <c r="AG9933" s="21"/>
      <c r="AH9933" s="21">
        <f t="shared" si="211"/>
        <v>96</v>
      </c>
      <c r="AI9933" s="21"/>
      <c r="AJ9933" s="21" t="s">
        <v>54</v>
      </c>
      <c r="AK9933" s="21" t="s">
        <v>52</v>
      </c>
      <c r="AL9933" s="21" t="s">
        <v>7514</v>
      </c>
      <c r="AM9933" s="21" t="s">
        <v>7515</v>
      </c>
      <c r="AN9933" s="21">
        <v>-122.413548233333</v>
      </c>
      <c r="AO9933" s="21">
        <v>37.799973366666599</v>
      </c>
      <c r="AP9933" s="21" t="s">
        <v>116</v>
      </c>
    </row>
    <row r="9934" spans="1:42">
      <c r="A9934" s="20">
        <v>43872</v>
      </c>
      <c r="B9934" s="21">
        <v>2</v>
      </c>
      <c r="C9934" s="21">
        <v>232</v>
      </c>
      <c r="D9934" s="21">
        <v>14476</v>
      </c>
      <c r="E9934" s="7" t="s">
        <v>112</v>
      </c>
      <c r="F9934" s="21" t="s">
        <v>104</v>
      </c>
      <c r="G9934" s="21">
        <v>2</v>
      </c>
      <c r="H9934" s="21">
        <v>78</v>
      </c>
      <c r="I9934" s="21" t="s">
        <v>3286</v>
      </c>
      <c r="J9934" s="21"/>
      <c r="K9934" s="21" t="s">
        <v>156</v>
      </c>
      <c r="L9934" s="21" t="s">
        <v>114</v>
      </c>
      <c r="M9934" s="21" t="s">
        <v>7038</v>
      </c>
      <c r="N9934" s="21" t="s">
        <v>40</v>
      </c>
      <c r="O9934" s="21">
        <v>30</v>
      </c>
      <c r="P9934" s="21"/>
      <c r="Q9934" s="21">
        <f t="shared" si="212"/>
        <v>1</v>
      </c>
      <c r="R9934" s="21">
        <v>1</v>
      </c>
      <c r="S9934" s="21">
        <v>0</v>
      </c>
      <c r="T9934" s="21">
        <v>0</v>
      </c>
      <c r="U9934" s="21">
        <v>0</v>
      </c>
      <c r="V9934" s="21">
        <v>1</v>
      </c>
      <c r="W9934" s="21">
        <v>0</v>
      </c>
      <c r="X9934" s="21">
        <v>0</v>
      </c>
      <c r="Y9934" s="21">
        <v>0</v>
      </c>
      <c r="Z9934" s="21">
        <v>0</v>
      </c>
      <c r="AA9934" s="21">
        <v>0</v>
      </c>
      <c r="AB9934" s="21">
        <v>0</v>
      </c>
      <c r="AC9934" s="21">
        <v>0</v>
      </c>
      <c r="AD9934" s="21">
        <v>0</v>
      </c>
      <c r="AE9934" s="21">
        <v>0</v>
      </c>
      <c r="AF9934" s="21">
        <v>0</v>
      </c>
      <c r="AG9934" s="21"/>
      <c r="AH9934" s="21">
        <f t="shared" si="211"/>
        <v>64</v>
      </c>
      <c r="AI9934" s="21"/>
      <c r="AJ9934" s="21" t="s">
        <v>54</v>
      </c>
      <c r="AK9934" s="21" t="s">
        <v>52</v>
      </c>
      <c r="AL9934" s="21"/>
      <c r="AM9934" s="21" t="s">
        <v>7516</v>
      </c>
      <c r="AN9934" s="21">
        <v>-122.413673366667</v>
      </c>
      <c r="AO9934" s="21">
        <v>37.799970716666699</v>
      </c>
      <c r="AP9934" s="21" t="s">
        <v>116</v>
      </c>
    </row>
    <row r="9935" spans="1:42">
      <c r="A9935" s="20">
        <v>43872</v>
      </c>
      <c r="B9935" s="21">
        <v>2</v>
      </c>
      <c r="C9935" s="21">
        <v>232</v>
      </c>
      <c r="D9935" s="21">
        <v>14476</v>
      </c>
      <c r="E9935" s="7" t="s">
        <v>112</v>
      </c>
      <c r="F9935" s="21" t="s">
        <v>104</v>
      </c>
      <c r="G9935" s="21">
        <v>2</v>
      </c>
      <c r="H9935" s="21">
        <v>79</v>
      </c>
      <c r="I9935" s="21" t="s">
        <v>7443</v>
      </c>
      <c r="J9935" s="21"/>
      <c r="K9935" s="21" t="s">
        <v>156</v>
      </c>
      <c r="L9935" s="21" t="s">
        <v>114</v>
      </c>
      <c r="M9935" s="21" t="s">
        <v>7038</v>
      </c>
      <c r="N9935" s="21" t="s">
        <v>40</v>
      </c>
      <c r="O9935" s="21">
        <v>46</v>
      </c>
      <c r="P9935" s="21"/>
      <c r="Q9935" s="21">
        <f t="shared" si="212"/>
        <v>3</v>
      </c>
      <c r="R9935" s="21">
        <v>1</v>
      </c>
      <c r="S9935" s="21">
        <v>0</v>
      </c>
      <c r="T9935" s="21">
        <v>0</v>
      </c>
      <c r="U9935" s="21">
        <v>1</v>
      </c>
      <c r="V9935" s="21">
        <v>2</v>
      </c>
      <c r="W9935" s="21">
        <v>0</v>
      </c>
      <c r="X9935" s="21">
        <v>0</v>
      </c>
      <c r="Y9935" s="21">
        <v>0</v>
      </c>
      <c r="Z9935" s="21">
        <v>0</v>
      </c>
      <c r="AA9935" s="21">
        <v>0</v>
      </c>
      <c r="AB9935" s="21">
        <v>0</v>
      </c>
      <c r="AC9935" s="21">
        <v>0</v>
      </c>
      <c r="AD9935" s="21">
        <v>0</v>
      </c>
      <c r="AE9935" s="21">
        <v>0</v>
      </c>
      <c r="AF9935" s="21">
        <v>0</v>
      </c>
      <c r="AG9935" s="21"/>
      <c r="AH9935" s="21">
        <f t="shared" si="211"/>
        <v>160</v>
      </c>
      <c r="AI9935" s="21"/>
      <c r="AJ9935" s="21" t="s">
        <v>54</v>
      </c>
      <c r="AK9935" s="21" t="s">
        <v>52</v>
      </c>
      <c r="AL9935" s="21"/>
      <c r="AM9935" s="21" t="s">
        <v>7517</v>
      </c>
      <c r="AN9935" s="21">
        <v>-122.414701416667</v>
      </c>
      <c r="AO9935" s="21">
        <v>37.799843299999999</v>
      </c>
      <c r="AP9935" s="21" t="s">
        <v>116</v>
      </c>
    </row>
    <row r="9936" spans="1:42">
      <c r="A9936" s="20">
        <v>43872</v>
      </c>
      <c r="B9936" s="21">
        <v>2</v>
      </c>
      <c r="C9936" s="21">
        <v>232</v>
      </c>
      <c r="D9936" s="21">
        <v>14476</v>
      </c>
      <c r="E9936" s="7" t="s">
        <v>112</v>
      </c>
      <c r="F9936" s="21" t="s">
        <v>104</v>
      </c>
      <c r="G9936" s="21">
        <v>2</v>
      </c>
      <c r="H9936" s="21">
        <v>80</v>
      </c>
      <c r="I9936" s="21" t="s">
        <v>7518</v>
      </c>
      <c r="J9936" s="21"/>
      <c r="K9936" s="21" t="s">
        <v>156</v>
      </c>
      <c r="L9936" s="21" t="s">
        <v>114</v>
      </c>
      <c r="M9936" s="21" t="s">
        <v>7038</v>
      </c>
      <c r="N9936" s="21" t="s">
        <v>40</v>
      </c>
      <c r="O9936" s="21">
        <v>55</v>
      </c>
      <c r="P9936" s="21"/>
      <c r="Q9936" s="21">
        <f t="shared" si="212"/>
        <v>4</v>
      </c>
      <c r="R9936" s="21">
        <v>1</v>
      </c>
      <c r="S9936" s="21">
        <v>0</v>
      </c>
      <c r="T9936" s="21">
        <v>0</v>
      </c>
      <c r="U9936" s="21">
        <v>2</v>
      </c>
      <c r="V9936" s="21">
        <v>0</v>
      </c>
      <c r="W9936" s="21">
        <v>2</v>
      </c>
      <c r="X9936" s="21">
        <v>0</v>
      </c>
      <c r="Y9936" s="21">
        <v>0</v>
      </c>
      <c r="Z9936" s="21">
        <v>0</v>
      </c>
      <c r="AA9936" s="21">
        <v>0</v>
      </c>
      <c r="AB9936" s="21">
        <v>0</v>
      </c>
      <c r="AC9936" s="21">
        <v>0</v>
      </c>
      <c r="AD9936" s="21">
        <v>0</v>
      </c>
      <c r="AE9936" s="21">
        <v>0</v>
      </c>
      <c r="AF9936" s="21">
        <v>0</v>
      </c>
      <c r="AG9936" s="21"/>
      <c r="AH9936" s="21">
        <f t="shared" si="211"/>
        <v>256</v>
      </c>
      <c r="AI9936" s="21"/>
      <c r="AJ9936" s="21" t="s">
        <v>54</v>
      </c>
      <c r="AK9936" s="21" t="s">
        <v>52</v>
      </c>
      <c r="AL9936" s="21"/>
      <c r="AM9936" s="21" t="s">
        <v>7519</v>
      </c>
      <c r="AN9936" s="21">
        <v>-122.414823216667</v>
      </c>
      <c r="AO9936" s="21">
        <v>37.7998083833333</v>
      </c>
      <c r="AP9936" s="21" t="s">
        <v>116</v>
      </c>
    </row>
    <row r="9937" spans="1:42">
      <c r="A9937" s="20">
        <v>43872</v>
      </c>
      <c r="B9937" s="21">
        <v>2</v>
      </c>
      <c r="C9937" s="21">
        <v>232</v>
      </c>
      <c r="D9937" s="21">
        <v>14476</v>
      </c>
      <c r="E9937" s="7" t="s">
        <v>112</v>
      </c>
      <c r="F9937" s="21" t="s">
        <v>104</v>
      </c>
      <c r="G9937" s="21">
        <v>2</v>
      </c>
      <c r="H9937" s="21">
        <v>81</v>
      </c>
      <c r="I9937" s="21" t="s">
        <v>7520</v>
      </c>
      <c r="J9937" s="21"/>
      <c r="K9937" s="21" t="s">
        <v>156</v>
      </c>
      <c r="L9937" s="21" t="s">
        <v>114</v>
      </c>
      <c r="M9937" s="21" t="s">
        <v>7038</v>
      </c>
      <c r="N9937" s="21" t="s">
        <v>44</v>
      </c>
      <c r="O9937" s="21">
        <v>105</v>
      </c>
      <c r="P9937" s="21"/>
      <c r="Q9937" s="21">
        <f t="shared" si="212"/>
        <v>2</v>
      </c>
      <c r="R9937" s="21">
        <v>1</v>
      </c>
      <c r="S9937" s="21">
        <v>0</v>
      </c>
      <c r="T9937" s="21">
        <v>0</v>
      </c>
      <c r="U9937" s="21">
        <v>0</v>
      </c>
      <c r="V9937" s="21">
        <v>2</v>
      </c>
      <c r="W9937" s="21">
        <v>0</v>
      </c>
      <c r="X9937" s="21">
        <v>0</v>
      </c>
      <c r="Y9937" s="21">
        <v>0</v>
      </c>
      <c r="Z9937" s="21">
        <v>0</v>
      </c>
      <c r="AA9937" s="21">
        <v>0</v>
      </c>
      <c r="AB9937" s="21">
        <v>0</v>
      </c>
      <c r="AC9937" s="21">
        <v>0</v>
      </c>
      <c r="AD9937" s="21">
        <v>0</v>
      </c>
      <c r="AE9937" s="21">
        <v>0</v>
      </c>
      <c r="AF9937" s="21">
        <v>0</v>
      </c>
      <c r="AG9937" s="21"/>
      <c r="AH9937" s="21">
        <f t="shared" si="211"/>
        <v>128</v>
      </c>
      <c r="AI9937" s="21"/>
      <c r="AJ9937" s="21" t="s">
        <v>54</v>
      </c>
      <c r="AK9937" s="21" t="s">
        <v>52</v>
      </c>
      <c r="AL9937" s="21" t="s">
        <v>7521</v>
      </c>
      <c r="AM9937" s="21" t="s">
        <v>7522</v>
      </c>
      <c r="AN9937" s="21">
        <v>-122.414968033333</v>
      </c>
      <c r="AO9937" s="21">
        <v>37.799714633333302</v>
      </c>
      <c r="AP9937" s="21" t="s">
        <v>116</v>
      </c>
    </row>
    <row r="9938" spans="1:42">
      <c r="A9938" s="20">
        <v>43872</v>
      </c>
      <c r="B9938" s="21">
        <v>2</v>
      </c>
      <c r="C9938" s="21">
        <v>232</v>
      </c>
      <c r="D9938" s="21">
        <v>14476</v>
      </c>
      <c r="E9938" s="7" t="s">
        <v>112</v>
      </c>
      <c r="F9938" s="21" t="s">
        <v>104</v>
      </c>
      <c r="G9938" s="21">
        <v>2</v>
      </c>
      <c r="H9938" s="21">
        <v>82</v>
      </c>
      <c r="I9938" s="21" t="s">
        <v>7523</v>
      </c>
      <c r="J9938" s="21"/>
      <c r="K9938" s="21" t="s">
        <v>7524</v>
      </c>
      <c r="L9938" s="21" t="s">
        <v>11</v>
      </c>
      <c r="M9938" s="21" t="s">
        <v>7038</v>
      </c>
      <c r="N9938" s="21" t="s">
        <v>40</v>
      </c>
      <c r="O9938" s="21">
        <v>112</v>
      </c>
      <c r="P9938" s="21"/>
      <c r="Q9938" s="21">
        <f t="shared" si="212"/>
        <v>7</v>
      </c>
      <c r="R9938" s="21">
        <v>1</v>
      </c>
      <c r="S9938" s="21">
        <v>0</v>
      </c>
      <c r="T9938" s="21">
        <v>0</v>
      </c>
      <c r="U9938" s="21">
        <v>5</v>
      </c>
      <c r="V9938" s="21">
        <v>2</v>
      </c>
      <c r="W9938" s="21">
        <v>0</v>
      </c>
      <c r="X9938" s="21">
        <v>0</v>
      </c>
      <c r="Y9938" s="21">
        <v>0</v>
      </c>
      <c r="Z9938" s="21">
        <v>0</v>
      </c>
      <c r="AA9938" s="21">
        <v>0</v>
      </c>
      <c r="AB9938" s="21">
        <v>0</v>
      </c>
      <c r="AC9938" s="21">
        <v>0</v>
      </c>
      <c r="AD9938" s="21">
        <v>0</v>
      </c>
      <c r="AE9938" s="21">
        <v>0</v>
      </c>
      <c r="AF9938" s="21">
        <v>0</v>
      </c>
      <c r="AG9938" s="21"/>
      <c r="AH9938" s="21">
        <f t="shared" si="211"/>
        <v>288</v>
      </c>
      <c r="AI9938" s="21"/>
      <c r="AJ9938" s="21" t="s">
        <v>54</v>
      </c>
      <c r="AK9938" s="21" t="s">
        <v>52</v>
      </c>
      <c r="AL9938" s="21"/>
      <c r="AM9938" s="21" t="s">
        <v>7525</v>
      </c>
      <c r="AN9938" s="21">
        <v>-122.41510991666701</v>
      </c>
      <c r="AO9938" s="21">
        <v>37.799641583333297</v>
      </c>
      <c r="AP9938" s="21" t="s">
        <v>116</v>
      </c>
    </row>
    <row r="9939" spans="1:42">
      <c r="A9939" s="20">
        <v>43872</v>
      </c>
      <c r="B9939" s="21">
        <v>2</v>
      </c>
      <c r="C9939" s="21">
        <v>232</v>
      </c>
      <c r="D9939" s="21">
        <v>14476</v>
      </c>
      <c r="E9939" s="7" t="s">
        <v>112</v>
      </c>
      <c r="F9939" s="21" t="s">
        <v>104</v>
      </c>
      <c r="G9939" s="21">
        <v>2</v>
      </c>
      <c r="H9939" s="21">
        <v>83</v>
      </c>
      <c r="I9939" s="21" t="s">
        <v>7526</v>
      </c>
      <c r="J9939" s="21"/>
      <c r="K9939" s="21" t="s">
        <v>156</v>
      </c>
      <c r="L9939" s="21" t="s">
        <v>114</v>
      </c>
      <c r="M9939" s="21" t="s">
        <v>7038</v>
      </c>
      <c r="N9939" s="21" t="s">
        <v>40</v>
      </c>
      <c r="O9939" s="21">
        <v>46</v>
      </c>
      <c r="P9939" s="21"/>
      <c r="Q9939" s="21">
        <f t="shared" si="212"/>
        <v>2</v>
      </c>
      <c r="R9939" s="21">
        <v>1</v>
      </c>
      <c r="S9939" s="21">
        <v>0</v>
      </c>
      <c r="T9939" s="21">
        <v>0</v>
      </c>
      <c r="U9939" s="21">
        <v>1</v>
      </c>
      <c r="V9939" s="21">
        <v>0</v>
      </c>
      <c r="W9939" s="21">
        <v>1</v>
      </c>
      <c r="X9939" s="21">
        <v>0</v>
      </c>
      <c r="Y9939" s="21">
        <v>0</v>
      </c>
      <c r="Z9939" s="21">
        <v>0</v>
      </c>
      <c r="AA9939" s="21">
        <v>0</v>
      </c>
      <c r="AB9939" s="21">
        <v>0</v>
      </c>
      <c r="AC9939" s="21">
        <v>0</v>
      </c>
      <c r="AD9939" s="21">
        <v>0</v>
      </c>
      <c r="AE9939" s="21">
        <v>0</v>
      </c>
      <c r="AF9939" s="21">
        <v>0</v>
      </c>
      <c r="AG9939" s="21"/>
      <c r="AH9939" s="21">
        <f t="shared" si="211"/>
        <v>128</v>
      </c>
      <c r="AI9939" s="21"/>
      <c r="AJ9939" s="21" t="s">
        <v>54</v>
      </c>
      <c r="AK9939" s="21" t="s">
        <v>52</v>
      </c>
      <c r="AL9939" s="21"/>
      <c r="AM9939" s="21" t="s">
        <v>7527</v>
      </c>
      <c r="AN9939" s="21">
        <v>-122.415246016667</v>
      </c>
      <c r="AO9939" s="21">
        <v>37.799620650000001</v>
      </c>
      <c r="AP9939" s="21" t="s">
        <v>116</v>
      </c>
    </row>
    <row r="9940" spans="1:42">
      <c r="A9940" s="20">
        <v>43872</v>
      </c>
      <c r="B9940" s="21">
        <v>2</v>
      </c>
      <c r="C9940" s="21">
        <v>232</v>
      </c>
      <c r="D9940" s="21">
        <v>14476</v>
      </c>
      <c r="E9940" s="7" t="s">
        <v>112</v>
      </c>
      <c r="F9940" s="21" t="s">
        <v>104</v>
      </c>
      <c r="G9940" s="21">
        <v>2</v>
      </c>
      <c r="H9940" s="21">
        <v>84</v>
      </c>
      <c r="I9940" s="21" t="s">
        <v>7528</v>
      </c>
      <c r="J9940" s="21"/>
      <c r="K9940" s="21" t="s">
        <v>156</v>
      </c>
      <c r="L9940" s="21" t="s">
        <v>114</v>
      </c>
      <c r="M9940" s="21" t="s">
        <v>7038</v>
      </c>
      <c r="N9940" s="21" t="s">
        <v>40</v>
      </c>
      <c r="O9940" s="21">
        <v>29</v>
      </c>
      <c r="P9940" s="21"/>
      <c r="Q9940" s="21">
        <f t="shared" si="212"/>
        <v>1</v>
      </c>
      <c r="R9940" s="21">
        <v>1</v>
      </c>
      <c r="S9940" s="21">
        <v>0</v>
      </c>
      <c r="T9940" s="21">
        <v>0</v>
      </c>
      <c r="U9940" s="21">
        <v>1</v>
      </c>
      <c r="V9940" s="21">
        <v>0</v>
      </c>
      <c r="W9940" s="21">
        <v>0</v>
      </c>
      <c r="X9940" s="21">
        <v>0</v>
      </c>
      <c r="Y9940" s="21">
        <v>0</v>
      </c>
      <c r="Z9940" s="21">
        <v>0</v>
      </c>
      <c r="AA9940" s="21">
        <v>0</v>
      </c>
      <c r="AB9940" s="21">
        <v>0</v>
      </c>
      <c r="AC9940" s="21">
        <v>0</v>
      </c>
      <c r="AD9940" s="21">
        <v>0</v>
      </c>
      <c r="AE9940" s="21">
        <v>0</v>
      </c>
      <c r="AF9940" s="21">
        <v>0</v>
      </c>
      <c r="AG9940" s="21"/>
      <c r="AH9940" s="21">
        <f t="shared" si="211"/>
        <v>32</v>
      </c>
      <c r="AI9940" s="21"/>
      <c r="AJ9940" s="21" t="s">
        <v>54</v>
      </c>
      <c r="AK9940" s="21" t="s">
        <v>95</v>
      </c>
      <c r="AL9940" s="21"/>
      <c r="AM9940" s="21" t="s">
        <v>7529</v>
      </c>
      <c r="AN9940" s="21">
        <v>-122.415508633333</v>
      </c>
      <c r="AO9940" s="21">
        <v>37.799711816666701</v>
      </c>
      <c r="AP9940" s="21" t="s">
        <v>116</v>
      </c>
    </row>
    <row r="9941" spans="1:42">
      <c r="A9941" s="20">
        <v>43872</v>
      </c>
      <c r="B9941" s="21">
        <v>2</v>
      </c>
      <c r="C9941" s="21">
        <v>232</v>
      </c>
      <c r="D9941" s="21">
        <v>14476</v>
      </c>
      <c r="E9941" s="7" t="s">
        <v>112</v>
      </c>
      <c r="F9941" s="21" t="s">
        <v>104</v>
      </c>
      <c r="G9941" s="21">
        <v>2</v>
      </c>
      <c r="H9941" s="21">
        <v>85</v>
      </c>
      <c r="I9941" s="21" t="s">
        <v>7530</v>
      </c>
      <c r="J9941" s="21"/>
      <c r="K9941" s="21" t="s">
        <v>156</v>
      </c>
      <c r="L9941" s="21" t="s">
        <v>114</v>
      </c>
      <c r="M9941" s="21" t="s">
        <v>7038</v>
      </c>
      <c r="N9941" s="21" t="s">
        <v>44</v>
      </c>
      <c r="O9941" s="21">
        <v>71</v>
      </c>
      <c r="P9941" s="21"/>
      <c r="Q9941" s="21">
        <f t="shared" si="212"/>
        <v>3</v>
      </c>
      <c r="R9941" s="21">
        <v>1</v>
      </c>
      <c r="S9941" s="21">
        <v>1</v>
      </c>
      <c r="T9941" s="21">
        <v>0</v>
      </c>
      <c r="U9941" s="21">
        <v>1</v>
      </c>
      <c r="V9941" s="21">
        <v>1</v>
      </c>
      <c r="W9941" s="21">
        <v>0</v>
      </c>
      <c r="X9941" s="21">
        <v>0</v>
      </c>
      <c r="Y9941" s="21">
        <v>0</v>
      </c>
      <c r="Z9941" s="21">
        <v>0</v>
      </c>
      <c r="AA9941" s="21">
        <v>0</v>
      </c>
      <c r="AB9941" s="21">
        <v>0</v>
      </c>
      <c r="AC9941" s="21">
        <v>0</v>
      </c>
      <c r="AD9941" s="21">
        <v>0</v>
      </c>
      <c r="AE9941" s="21">
        <v>0</v>
      </c>
      <c r="AF9941" s="21">
        <v>0</v>
      </c>
      <c r="AG9941" s="21"/>
      <c r="AH9941" s="21">
        <f t="shared" si="211"/>
        <v>112</v>
      </c>
      <c r="AI9941" s="21"/>
      <c r="AJ9941" s="21" t="s">
        <v>54</v>
      </c>
      <c r="AK9941" s="21" t="s">
        <v>52</v>
      </c>
      <c r="AL9941" s="21" t="s">
        <v>7531</v>
      </c>
      <c r="AM9941" s="21" t="s">
        <v>7532</v>
      </c>
      <c r="AN9941" s="21">
        <v>-122.41578920000001</v>
      </c>
      <c r="AO9941" s="21">
        <v>37.799855233333297</v>
      </c>
      <c r="AP9941" s="21" t="s">
        <v>116</v>
      </c>
    </row>
    <row r="9942" spans="1:42">
      <c r="A9942" s="20">
        <v>43872</v>
      </c>
      <c r="B9942" s="21">
        <v>2</v>
      </c>
      <c r="C9942" s="21">
        <v>232</v>
      </c>
      <c r="D9942" s="21">
        <v>14476</v>
      </c>
      <c r="E9942" s="7" t="s">
        <v>112</v>
      </c>
      <c r="F9942" s="21" t="s">
        <v>104</v>
      </c>
      <c r="G9942" s="21">
        <v>2</v>
      </c>
      <c r="H9942" s="21">
        <v>86</v>
      </c>
      <c r="I9942" s="21" t="s">
        <v>7533</v>
      </c>
      <c r="J9942" s="21"/>
      <c r="K9942" s="21" t="s">
        <v>103</v>
      </c>
      <c r="L9942" s="21" t="s">
        <v>114</v>
      </c>
      <c r="M9942" s="21" t="s">
        <v>7038</v>
      </c>
      <c r="N9942" s="21" t="s">
        <v>40</v>
      </c>
      <c r="O9942" s="21">
        <v>97</v>
      </c>
      <c r="P9942" s="21"/>
      <c r="Q9942" s="21">
        <f t="shared" si="212"/>
        <v>5</v>
      </c>
      <c r="R9942" s="21">
        <v>1</v>
      </c>
      <c r="S9942" s="21">
        <v>1</v>
      </c>
      <c r="T9942" s="21">
        <v>0</v>
      </c>
      <c r="U9942" s="21">
        <v>4</v>
      </c>
      <c r="V9942" s="21">
        <v>0</v>
      </c>
      <c r="W9942" s="21">
        <v>0</v>
      </c>
      <c r="X9942" s="21">
        <v>0</v>
      </c>
      <c r="Y9942" s="21">
        <v>0</v>
      </c>
      <c r="Z9942" s="21">
        <v>0</v>
      </c>
      <c r="AA9942" s="21">
        <v>0</v>
      </c>
      <c r="AB9942" s="21">
        <v>0</v>
      </c>
      <c r="AC9942" s="21">
        <v>0</v>
      </c>
      <c r="AD9942" s="21">
        <v>0</v>
      </c>
      <c r="AE9942" s="21">
        <v>0</v>
      </c>
      <c r="AF9942" s="21">
        <v>0</v>
      </c>
      <c r="AG9942" s="21"/>
      <c r="AH9942" s="21">
        <f t="shared" si="211"/>
        <v>144</v>
      </c>
      <c r="AI9942" s="21"/>
      <c r="AJ9942" s="21" t="s">
        <v>54</v>
      </c>
      <c r="AK9942" s="21" t="s">
        <v>52</v>
      </c>
      <c r="AL9942" s="21" t="s">
        <v>7534</v>
      </c>
      <c r="AM9942" s="21" t="s">
        <v>7535</v>
      </c>
      <c r="AN9942" s="21">
        <v>-122.415832516667</v>
      </c>
      <c r="AO9942" s="21">
        <v>37.799835633333302</v>
      </c>
      <c r="AP9942" s="21" t="s">
        <v>116</v>
      </c>
    </row>
    <row r="9943" spans="1:42">
      <c r="A9943" s="20">
        <v>43872</v>
      </c>
      <c r="B9943" s="21">
        <v>2</v>
      </c>
      <c r="C9943" s="21">
        <v>232</v>
      </c>
      <c r="D9943" s="21">
        <v>14476</v>
      </c>
      <c r="E9943" s="7" t="s">
        <v>112</v>
      </c>
      <c r="F9943" s="21" t="s">
        <v>104</v>
      </c>
      <c r="G9943" s="21">
        <v>2</v>
      </c>
      <c r="H9943" s="21">
        <v>87</v>
      </c>
      <c r="I9943" s="21" t="s">
        <v>4972</v>
      </c>
      <c r="J9943" s="21"/>
      <c r="K9943" s="21" t="s">
        <v>103</v>
      </c>
      <c r="L9943" s="21" t="s">
        <v>114</v>
      </c>
      <c r="M9943" s="21" t="s">
        <v>7038</v>
      </c>
      <c r="N9943" s="21" t="s">
        <v>44</v>
      </c>
      <c r="O9943" s="21">
        <v>95</v>
      </c>
      <c r="P9943" s="21"/>
      <c r="Q9943" s="21">
        <f t="shared" si="212"/>
        <v>1</v>
      </c>
      <c r="R9943" s="21">
        <v>1</v>
      </c>
      <c r="S9943" s="21">
        <v>0</v>
      </c>
      <c r="T9943" s="21">
        <v>0</v>
      </c>
      <c r="U9943" s="21">
        <v>0</v>
      </c>
      <c r="V9943" s="21">
        <v>0</v>
      </c>
      <c r="W9943" s="21">
        <v>1</v>
      </c>
      <c r="X9943" s="21">
        <v>0</v>
      </c>
      <c r="Y9943" s="21">
        <v>0</v>
      </c>
      <c r="Z9943" s="21">
        <v>0</v>
      </c>
      <c r="AA9943" s="21">
        <v>0</v>
      </c>
      <c r="AB9943" s="21">
        <v>0</v>
      </c>
      <c r="AC9943" s="21">
        <v>0</v>
      </c>
      <c r="AD9943" s="21">
        <v>0</v>
      </c>
      <c r="AE9943" s="21">
        <v>0</v>
      </c>
      <c r="AF9943" s="21">
        <v>0</v>
      </c>
      <c r="AG9943" s="21"/>
      <c r="AH9943" s="21">
        <f t="shared" si="211"/>
        <v>96</v>
      </c>
      <c r="AI9943" s="21"/>
      <c r="AJ9943" s="21" t="s">
        <v>54</v>
      </c>
      <c r="AK9943" s="21" t="s">
        <v>52</v>
      </c>
      <c r="AL9943" s="21" t="s">
        <v>7536</v>
      </c>
      <c r="AM9943" s="21" t="s">
        <v>7537</v>
      </c>
      <c r="AN9943" s="21">
        <v>-122.415857766667</v>
      </c>
      <c r="AO9943" s="21">
        <v>37.800122850000001</v>
      </c>
      <c r="AP9943" s="21" t="s">
        <v>116</v>
      </c>
    </row>
    <row r="9944" spans="1:42">
      <c r="A9944" s="20">
        <v>43872</v>
      </c>
      <c r="B9944" s="21">
        <v>2</v>
      </c>
      <c r="C9944" s="21">
        <v>232</v>
      </c>
      <c r="D9944" s="21">
        <v>14476</v>
      </c>
      <c r="E9944" s="7" t="s">
        <v>112</v>
      </c>
      <c r="F9944" s="21" t="s">
        <v>104</v>
      </c>
      <c r="G9944" s="21">
        <v>2</v>
      </c>
      <c r="H9944" s="21">
        <v>88</v>
      </c>
      <c r="I9944" s="21" t="s">
        <v>7538</v>
      </c>
      <c r="J9944" s="21"/>
      <c r="K9944" s="21" t="s">
        <v>1066</v>
      </c>
      <c r="L9944" s="21" t="s">
        <v>114</v>
      </c>
      <c r="M9944" s="21" t="s">
        <v>7038</v>
      </c>
      <c r="N9944" s="21" t="s">
        <v>44</v>
      </c>
      <c r="O9944" s="21">
        <v>101</v>
      </c>
      <c r="P9944" s="21"/>
      <c r="Q9944" s="21">
        <f t="shared" si="212"/>
        <v>1</v>
      </c>
      <c r="R9944" s="21">
        <v>1</v>
      </c>
      <c r="S9944" s="21">
        <v>0</v>
      </c>
      <c r="T9944" s="21">
        <v>0</v>
      </c>
      <c r="U9944" s="21">
        <v>0</v>
      </c>
      <c r="V9944" s="21">
        <v>0</v>
      </c>
      <c r="W9944" s="21">
        <v>1</v>
      </c>
      <c r="X9944" s="21">
        <v>0</v>
      </c>
      <c r="Y9944" s="21">
        <v>0</v>
      </c>
      <c r="Z9944" s="21">
        <v>0</v>
      </c>
      <c r="AA9944" s="21">
        <v>0</v>
      </c>
      <c r="AB9944" s="21">
        <v>0</v>
      </c>
      <c r="AC9944" s="21">
        <v>0</v>
      </c>
      <c r="AD9944" s="21">
        <v>0</v>
      </c>
      <c r="AE9944" s="21">
        <v>0</v>
      </c>
      <c r="AF9944" s="21">
        <v>0</v>
      </c>
      <c r="AG9944" s="21"/>
      <c r="AH9944" s="21">
        <f t="shared" si="211"/>
        <v>96</v>
      </c>
      <c r="AI9944" s="21"/>
      <c r="AJ9944" s="21" t="s">
        <v>54</v>
      </c>
      <c r="AK9944" s="21" t="s">
        <v>52</v>
      </c>
      <c r="AL9944" s="21" t="s">
        <v>7539</v>
      </c>
      <c r="AM9944" s="21" t="s">
        <v>7540</v>
      </c>
      <c r="AN9944" s="21">
        <v>-122.412659926214</v>
      </c>
      <c r="AO9944" s="21">
        <v>37.797918210742601</v>
      </c>
      <c r="AP9944" s="21" t="s">
        <v>116</v>
      </c>
    </row>
    <row r="9945" spans="1:42">
      <c r="A9945" s="20">
        <v>43872</v>
      </c>
      <c r="B9945" s="21">
        <v>2</v>
      </c>
      <c r="C9945" s="21">
        <v>232</v>
      </c>
      <c r="D9945" s="21">
        <v>14476</v>
      </c>
      <c r="E9945" s="7" t="s">
        <v>112</v>
      </c>
      <c r="F9945" s="21" t="s">
        <v>104</v>
      </c>
      <c r="G9945" s="21">
        <v>2</v>
      </c>
      <c r="H9945" s="21">
        <v>89</v>
      </c>
      <c r="I9945" s="21" t="s">
        <v>2197</v>
      </c>
      <c r="J9945" s="21"/>
      <c r="K9945" s="21" t="s">
        <v>103</v>
      </c>
      <c r="L9945" s="21" t="s">
        <v>114</v>
      </c>
      <c r="M9945" s="21" t="s">
        <v>7038</v>
      </c>
      <c r="N9945" s="21" t="s">
        <v>40</v>
      </c>
      <c r="O9945" s="21">
        <v>50</v>
      </c>
      <c r="P9945" s="21"/>
      <c r="Q9945" s="21">
        <f t="shared" si="212"/>
        <v>1</v>
      </c>
      <c r="R9945" s="21">
        <v>1</v>
      </c>
      <c r="S9945" s="21">
        <v>0</v>
      </c>
      <c r="T9945" s="21">
        <v>0</v>
      </c>
      <c r="U9945" s="21">
        <v>0</v>
      </c>
      <c r="V9945" s="21">
        <v>1</v>
      </c>
      <c r="W9945" s="21">
        <v>0</v>
      </c>
      <c r="X9945" s="21">
        <v>0</v>
      </c>
      <c r="Y9945" s="21">
        <v>0</v>
      </c>
      <c r="Z9945" s="21">
        <v>0</v>
      </c>
      <c r="AA9945" s="21">
        <v>0</v>
      </c>
      <c r="AB9945" s="21">
        <v>0</v>
      </c>
      <c r="AC9945" s="21">
        <v>0</v>
      </c>
      <c r="AD9945" s="21">
        <v>0</v>
      </c>
      <c r="AE9945" s="21">
        <v>0</v>
      </c>
      <c r="AF9945" s="21">
        <v>0</v>
      </c>
      <c r="AG9945" s="21"/>
      <c r="AH9945" s="21">
        <f t="shared" si="211"/>
        <v>64</v>
      </c>
      <c r="AI9945" s="21"/>
      <c r="AJ9945" s="21" t="s">
        <v>54</v>
      </c>
      <c r="AK9945" s="21" t="s">
        <v>52</v>
      </c>
      <c r="AL9945" s="21"/>
      <c r="AM9945" s="21" t="s">
        <v>7541</v>
      </c>
      <c r="AN9945" s="21">
        <v>-122.416016483333</v>
      </c>
      <c r="AO9945" s="21">
        <v>37.801122016666703</v>
      </c>
      <c r="AP9945" s="21" t="s">
        <v>116</v>
      </c>
    </row>
    <row r="9946" spans="1:42">
      <c r="A9946" s="20">
        <v>43872</v>
      </c>
      <c r="B9946" s="21">
        <v>2</v>
      </c>
      <c r="C9946" s="21">
        <v>232</v>
      </c>
      <c r="D9946" s="21">
        <v>14476</v>
      </c>
      <c r="E9946" s="7" t="s">
        <v>112</v>
      </c>
      <c r="F9946" s="21" t="s">
        <v>104</v>
      </c>
      <c r="G9946" s="21">
        <v>2</v>
      </c>
      <c r="H9946" s="21">
        <v>91</v>
      </c>
      <c r="I9946" s="21" t="s">
        <v>7542</v>
      </c>
      <c r="J9946" s="21"/>
      <c r="K9946" s="21" t="s">
        <v>101</v>
      </c>
      <c r="L9946" s="21" t="s">
        <v>141</v>
      </c>
      <c r="M9946" s="21" t="s">
        <v>7038</v>
      </c>
      <c r="N9946" s="21" t="s">
        <v>42</v>
      </c>
      <c r="O9946" s="21">
        <v>139</v>
      </c>
      <c r="P9946" s="21"/>
      <c r="Q9946" s="21">
        <f t="shared" si="212"/>
        <v>3</v>
      </c>
      <c r="R9946" s="21">
        <v>1</v>
      </c>
      <c r="S9946" s="21">
        <v>1</v>
      </c>
      <c r="T9946" s="21">
        <v>0</v>
      </c>
      <c r="U9946" s="21">
        <v>2</v>
      </c>
      <c r="V9946" s="21">
        <v>0</v>
      </c>
      <c r="W9946" s="21">
        <v>0</v>
      </c>
      <c r="X9946" s="21">
        <v>0</v>
      </c>
      <c r="Y9946" s="21">
        <v>0</v>
      </c>
      <c r="Z9946" s="21">
        <v>0</v>
      </c>
      <c r="AA9946" s="21">
        <v>0</v>
      </c>
      <c r="AB9946" s="21">
        <v>0</v>
      </c>
      <c r="AC9946" s="21">
        <v>0</v>
      </c>
      <c r="AD9946" s="21">
        <v>0</v>
      </c>
      <c r="AE9946" s="21">
        <v>0</v>
      </c>
      <c r="AF9946" s="21">
        <v>0</v>
      </c>
      <c r="AG9946" s="21"/>
      <c r="AH9946" s="21">
        <f t="shared" si="211"/>
        <v>80</v>
      </c>
      <c r="AI9946" s="21"/>
      <c r="AJ9946" s="21" t="s">
        <v>54</v>
      </c>
      <c r="AK9946" s="21" t="s">
        <v>52</v>
      </c>
      <c r="AL9946" s="21" t="s">
        <v>7543</v>
      </c>
      <c r="AM9946" s="21" t="s">
        <v>7544</v>
      </c>
      <c r="AN9946" s="21">
        <v>-122.41502073333299</v>
      </c>
      <c r="AO9946" s="21">
        <v>37.801152616666698</v>
      </c>
      <c r="AP9946" s="21" t="s">
        <v>116</v>
      </c>
    </row>
    <row r="9947" spans="1:42">
      <c r="A9947" s="20">
        <v>43872</v>
      </c>
      <c r="B9947" s="21">
        <v>2</v>
      </c>
      <c r="C9947" s="21">
        <v>232</v>
      </c>
      <c r="D9947" s="21">
        <v>14476</v>
      </c>
      <c r="E9947" s="7" t="s">
        <v>112</v>
      </c>
      <c r="F9947" s="21" t="s">
        <v>104</v>
      </c>
      <c r="G9947" s="21">
        <v>2</v>
      </c>
      <c r="H9947" s="21">
        <v>92</v>
      </c>
      <c r="I9947" s="21" t="s">
        <v>7545</v>
      </c>
      <c r="J9947" s="21"/>
      <c r="K9947" s="21" t="s">
        <v>7481</v>
      </c>
      <c r="L9947" s="21" t="s">
        <v>114</v>
      </c>
      <c r="M9947" s="21" t="s">
        <v>7038</v>
      </c>
      <c r="N9947" s="21" t="s">
        <v>40</v>
      </c>
      <c r="O9947" s="21">
        <v>57</v>
      </c>
      <c r="P9947" s="21"/>
      <c r="Q9947" s="21">
        <f t="shared" si="212"/>
        <v>3</v>
      </c>
      <c r="R9947" s="21">
        <v>1</v>
      </c>
      <c r="S9947" s="21">
        <v>1</v>
      </c>
      <c r="T9947" s="21">
        <v>1</v>
      </c>
      <c r="U9947" s="21">
        <v>1</v>
      </c>
      <c r="V9947" s="21">
        <v>0</v>
      </c>
      <c r="W9947" s="21">
        <v>0</v>
      </c>
      <c r="X9947" s="21">
        <v>0</v>
      </c>
      <c r="Y9947" s="21">
        <v>0</v>
      </c>
      <c r="Z9947" s="21">
        <v>0</v>
      </c>
      <c r="AA9947" s="21">
        <v>0</v>
      </c>
      <c r="AB9947" s="21">
        <v>0</v>
      </c>
      <c r="AC9947" s="21">
        <v>0</v>
      </c>
      <c r="AD9947" s="21">
        <v>0</v>
      </c>
      <c r="AE9947" s="21">
        <v>0</v>
      </c>
      <c r="AF9947" s="21">
        <v>0</v>
      </c>
      <c r="AG9947" s="21"/>
      <c r="AH9947" s="21">
        <f t="shared" si="211"/>
        <v>68</v>
      </c>
      <c r="AI9947" s="21"/>
      <c r="AJ9947" s="21" t="s">
        <v>54</v>
      </c>
      <c r="AK9947" s="21" t="s">
        <v>95</v>
      </c>
      <c r="AL9947" s="21" t="s">
        <v>7546</v>
      </c>
      <c r="AM9947" s="21" t="s">
        <v>7547</v>
      </c>
      <c r="AN9947" s="21">
        <v>-122.4150042</v>
      </c>
      <c r="AO9947" s="21">
        <v>37.801141700000002</v>
      </c>
      <c r="AP9947" s="21" t="s">
        <v>116</v>
      </c>
    </row>
    <row r="9948" spans="1:42">
      <c r="A9948" s="20">
        <v>43872</v>
      </c>
      <c r="B9948" s="21">
        <v>2</v>
      </c>
      <c r="C9948" s="21">
        <v>232</v>
      </c>
      <c r="D9948" s="21">
        <v>14476</v>
      </c>
      <c r="E9948" s="7" t="s">
        <v>112</v>
      </c>
      <c r="F9948" s="21" t="s">
        <v>104</v>
      </c>
      <c r="G9948" s="21">
        <v>2</v>
      </c>
      <c r="H9948" s="21">
        <v>93</v>
      </c>
      <c r="I9948" s="21" t="s">
        <v>4259</v>
      </c>
      <c r="J9948" s="21"/>
      <c r="K9948" s="21" t="s">
        <v>7481</v>
      </c>
      <c r="L9948" s="21" t="s">
        <v>114</v>
      </c>
      <c r="M9948" s="21" t="s">
        <v>7038</v>
      </c>
      <c r="N9948" s="21" t="s">
        <v>40</v>
      </c>
      <c r="O9948" s="21">
        <v>13</v>
      </c>
      <c r="P9948" s="21"/>
      <c r="Q9948" s="21">
        <f t="shared" si="212"/>
        <v>1</v>
      </c>
      <c r="R9948" s="21">
        <v>1</v>
      </c>
      <c r="S9948" s="21">
        <v>0</v>
      </c>
      <c r="T9948" s="21">
        <v>0</v>
      </c>
      <c r="U9948" s="21">
        <v>1</v>
      </c>
      <c r="V9948" s="21">
        <v>0</v>
      </c>
      <c r="W9948" s="21">
        <v>0</v>
      </c>
      <c r="X9948" s="21">
        <v>0</v>
      </c>
      <c r="Y9948" s="21">
        <v>0</v>
      </c>
      <c r="Z9948" s="21">
        <v>0</v>
      </c>
      <c r="AA9948" s="21">
        <v>0</v>
      </c>
      <c r="AB9948" s="21">
        <v>0</v>
      </c>
      <c r="AC9948" s="21">
        <v>0</v>
      </c>
      <c r="AD9948" s="21">
        <v>0</v>
      </c>
      <c r="AE9948" s="21">
        <v>0</v>
      </c>
      <c r="AF9948" s="21">
        <v>0</v>
      </c>
      <c r="AG9948" s="21"/>
      <c r="AH9948" s="21">
        <f t="shared" si="211"/>
        <v>32</v>
      </c>
      <c r="AI9948" s="21"/>
      <c r="AJ9948" s="21" t="s">
        <v>54</v>
      </c>
      <c r="AK9948" s="21" t="s">
        <v>95</v>
      </c>
      <c r="AL9948" s="21"/>
      <c r="AM9948" s="21" t="s">
        <v>7548</v>
      </c>
      <c r="AN9948" s="21">
        <v>-122.41502604999999</v>
      </c>
      <c r="AO9948" s="21">
        <v>37.801110433333299</v>
      </c>
      <c r="AP9948" s="21" t="s">
        <v>116</v>
      </c>
    </row>
    <row r="9949" spans="1:42">
      <c r="A9949" s="20">
        <v>43872</v>
      </c>
      <c r="B9949" s="21">
        <v>2</v>
      </c>
      <c r="C9949" s="21">
        <v>232</v>
      </c>
      <c r="D9949" s="21">
        <v>14476</v>
      </c>
      <c r="E9949" s="7" t="s">
        <v>112</v>
      </c>
      <c r="F9949" s="21" t="s">
        <v>104</v>
      </c>
      <c r="G9949" s="21">
        <v>2</v>
      </c>
      <c r="H9949" s="21">
        <v>94</v>
      </c>
      <c r="I9949" s="21" t="s">
        <v>7549</v>
      </c>
      <c r="J9949" s="21"/>
      <c r="K9949" s="21" t="s">
        <v>7481</v>
      </c>
      <c r="L9949" s="21" t="s">
        <v>11</v>
      </c>
      <c r="M9949" s="21" t="s">
        <v>6618</v>
      </c>
      <c r="N9949" s="21" t="s">
        <v>40</v>
      </c>
      <c r="O9949" s="21">
        <v>32</v>
      </c>
      <c r="P9949" s="21"/>
      <c r="Q9949" s="21">
        <f t="shared" si="212"/>
        <v>6</v>
      </c>
      <c r="R9949" s="21">
        <v>1</v>
      </c>
      <c r="S9949" s="21">
        <v>0</v>
      </c>
      <c r="T9949" s="21">
        <v>0</v>
      </c>
      <c r="U9949" s="21">
        <v>5</v>
      </c>
      <c r="V9949" s="21">
        <v>0</v>
      </c>
      <c r="W9949" s="21">
        <v>1</v>
      </c>
      <c r="X9949" s="21">
        <v>0</v>
      </c>
      <c r="Y9949" s="21">
        <v>0</v>
      </c>
      <c r="Z9949" s="21">
        <v>0</v>
      </c>
      <c r="AA9949" s="21">
        <v>0</v>
      </c>
      <c r="AB9949" s="21">
        <v>0</v>
      </c>
      <c r="AC9949" s="21">
        <v>0</v>
      </c>
      <c r="AD9949" s="21">
        <v>0</v>
      </c>
      <c r="AE9949" s="21">
        <v>0</v>
      </c>
      <c r="AF9949" s="21">
        <v>0</v>
      </c>
      <c r="AG9949" s="21"/>
      <c r="AH9949" s="21">
        <f t="shared" si="211"/>
        <v>256</v>
      </c>
      <c r="AI9949" s="21"/>
      <c r="AJ9949" s="21" t="s">
        <v>54</v>
      </c>
      <c r="AK9949" s="21" t="s">
        <v>95</v>
      </c>
      <c r="AL9949" s="21"/>
      <c r="AM9949" s="21" t="s">
        <v>7550</v>
      </c>
      <c r="AN9949" s="21">
        <v>-122.415321583333</v>
      </c>
      <c r="AO9949" s="21">
        <v>37.801115516666599</v>
      </c>
      <c r="AP9949" s="21" t="s">
        <v>116</v>
      </c>
    </row>
    <row r="9950" spans="1:42">
      <c r="A9950" s="20">
        <v>43872</v>
      </c>
      <c r="B9950" s="21">
        <v>2</v>
      </c>
      <c r="C9950" s="21">
        <v>232</v>
      </c>
      <c r="D9950" s="21">
        <v>14476</v>
      </c>
      <c r="E9950" s="7" t="s">
        <v>112</v>
      </c>
      <c r="F9950" s="21" t="s">
        <v>104</v>
      </c>
      <c r="G9950" s="21">
        <v>2</v>
      </c>
      <c r="H9950" s="21">
        <v>95</v>
      </c>
      <c r="I9950" s="21" t="s">
        <v>7300</v>
      </c>
      <c r="J9950" s="21"/>
      <c r="K9950" s="21" t="s">
        <v>148</v>
      </c>
      <c r="L9950" s="21" t="s">
        <v>114</v>
      </c>
      <c r="M9950" s="21" t="s">
        <v>7038</v>
      </c>
      <c r="N9950" s="21" t="s">
        <v>44</v>
      </c>
      <c r="O9950" s="21">
        <v>143</v>
      </c>
      <c r="P9950" s="21"/>
      <c r="Q9950" s="21">
        <f t="shared" si="212"/>
        <v>4</v>
      </c>
      <c r="R9950" s="21">
        <v>1</v>
      </c>
      <c r="S9950" s="21">
        <v>0</v>
      </c>
      <c r="T9950" s="21">
        <v>0</v>
      </c>
      <c r="U9950" s="21">
        <v>0</v>
      </c>
      <c r="V9950" s="21">
        <v>0</v>
      </c>
      <c r="W9950" s="21">
        <v>4</v>
      </c>
      <c r="X9950" s="21">
        <v>0</v>
      </c>
      <c r="Y9950" s="21">
        <v>0</v>
      </c>
      <c r="Z9950" s="21">
        <v>0</v>
      </c>
      <c r="AA9950" s="21">
        <v>0</v>
      </c>
      <c r="AB9950" s="21">
        <v>0</v>
      </c>
      <c r="AC9950" s="21">
        <v>0</v>
      </c>
      <c r="AD9950" s="21">
        <v>0</v>
      </c>
      <c r="AE9950" s="21">
        <v>0</v>
      </c>
      <c r="AF9950" s="21">
        <v>0</v>
      </c>
      <c r="AG9950" s="21"/>
      <c r="AH9950" s="21">
        <f t="shared" si="211"/>
        <v>384</v>
      </c>
      <c r="AI9950" s="21"/>
      <c r="AJ9950" s="21" t="s">
        <v>54</v>
      </c>
      <c r="AK9950" s="21" t="s">
        <v>52</v>
      </c>
      <c r="AL9950" s="21" t="s">
        <v>7551</v>
      </c>
      <c r="AM9950" s="21" t="s">
        <v>7552</v>
      </c>
      <c r="AN9950" s="21">
        <v>-122.415413683333</v>
      </c>
      <c r="AO9950" s="21">
        <v>37.801062716666699</v>
      </c>
      <c r="AP9950" s="21" t="s">
        <v>116</v>
      </c>
    </row>
    <row r="9951" spans="1:42">
      <c r="A9951" s="20">
        <v>43872</v>
      </c>
      <c r="B9951" s="21">
        <v>2</v>
      </c>
      <c r="C9951" s="21">
        <v>232</v>
      </c>
      <c r="D9951" s="21">
        <v>14476</v>
      </c>
      <c r="E9951" s="7" t="s">
        <v>112</v>
      </c>
      <c r="F9951" s="21" t="s">
        <v>104</v>
      </c>
      <c r="G9951" s="21">
        <v>2</v>
      </c>
      <c r="H9951" s="21">
        <v>96</v>
      </c>
      <c r="I9951" s="21" t="s">
        <v>7553</v>
      </c>
      <c r="J9951" s="21"/>
      <c r="K9951" s="21" t="s">
        <v>7481</v>
      </c>
      <c r="L9951" s="21" t="s">
        <v>114</v>
      </c>
      <c r="M9951" s="21" t="s">
        <v>7038</v>
      </c>
      <c r="N9951" s="21" t="s">
        <v>40</v>
      </c>
      <c r="O9951" s="21">
        <v>43</v>
      </c>
      <c r="P9951" s="21"/>
      <c r="Q9951" s="21">
        <f t="shared" si="212"/>
        <v>2</v>
      </c>
      <c r="R9951" s="21">
        <v>1</v>
      </c>
      <c r="S9951" s="21">
        <v>0</v>
      </c>
      <c r="T9951" s="21">
        <v>1</v>
      </c>
      <c r="U9951" s="21">
        <v>1</v>
      </c>
      <c r="V9951" s="21">
        <v>0</v>
      </c>
      <c r="W9951" s="21">
        <v>0</v>
      </c>
      <c r="X9951" s="21">
        <v>0</v>
      </c>
      <c r="Y9951" s="21">
        <v>0</v>
      </c>
      <c r="Z9951" s="21">
        <v>0</v>
      </c>
      <c r="AA9951" s="21">
        <v>0</v>
      </c>
      <c r="AB9951" s="21">
        <v>0</v>
      </c>
      <c r="AC9951" s="21">
        <v>0</v>
      </c>
      <c r="AD9951" s="21">
        <v>0</v>
      </c>
      <c r="AE9951" s="21">
        <v>0</v>
      </c>
      <c r="AF9951" s="21">
        <v>0</v>
      </c>
      <c r="AG9951" s="21"/>
      <c r="AH9951" s="21">
        <f t="shared" si="211"/>
        <v>52</v>
      </c>
      <c r="AI9951" s="21"/>
      <c r="AJ9951" s="21" t="s">
        <v>51</v>
      </c>
      <c r="AK9951" s="21" t="s">
        <v>95</v>
      </c>
      <c r="AL9951" s="21"/>
      <c r="AM9951" s="21" t="s">
        <v>7554</v>
      </c>
      <c r="AN9951" s="21">
        <v>-122.41548075</v>
      </c>
      <c r="AO9951" s="21">
        <v>37.801098416666598</v>
      </c>
      <c r="AP9951" s="21" t="s">
        <v>116</v>
      </c>
    </row>
    <row r="9952" spans="1:42">
      <c r="A9952" s="20">
        <v>43872</v>
      </c>
      <c r="B9952" s="21">
        <v>2</v>
      </c>
      <c r="C9952" s="21">
        <v>232</v>
      </c>
      <c r="D9952" s="21">
        <v>14476</v>
      </c>
      <c r="E9952" s="7" t="s">
        <v>112</v>
      </c>
      <c r="F9952" s="21" t="s">
        <v>104</v>
      </c>
      <c r="G9952" s="21">
        <v>2</v>
      </c>
      <c r="H9952" s="21">
        <v>97</v>
      </c>
      <c r="I9952" s="21" t="s">
        <v>7555</v>
      </c>
      <c r="J9952" s="21"/>
      <c r="K9952" s="21" t="s">
        <v>7481</v>
      </c>
      <c r="L9952" s="21" t="s">
        <v>141</v>
      </c>
      <c r="M9952" s="21" t="s">
        <v>6618</v>
      </c>
      <c r="N9952" s="21" t="s">
        <v>40</v>
      </c>
      <c r="O9952" s="21">
        <v>63</v>
      </c>
      <c r="P9952" s="21"/>
      <c r="Q9952" s="21">
        <f t="shared" si="212"/>
        <v>4</v>
      </c>
      <c r="R9952" s="21">
        <v>1</v>
      </c>
      <c r="S9952" s="21">
        <v>1</v>
      </c>
      <c r="T9952" s="21">
        <v>0</v>
      </c>
      <c r="U9952" s="21">
        <v>2</v>
      </c>
      <c r="V9952" s="21">
        <v>1</v>
      </c>
      <c r="W9952" s="21">
        <v>0</v>
      </c>
      <c r="X9952" s="21">
        <v>0</v>
      </c>
      <c r="Y9952" s="21">
        <v>0</v>
      </c>
      <c r="Z9952" s="21">
        <v>0</v>
      </c>
      <c r="AA9952" s="21">
        <v>0</v>
      </c>
      <c r="AB9952" s="21">
        <v>0</v>
      </c>
      <c r="AC9952" s="21">
        <v>0</v>
      </c>
      <c r="AD9952" s="21">
        <v>0</v>
      </c>
      <c r="AE9952" s="21">
        <v>0</v>
      </c>
      <c r="AF9952" s="21">
        <v>0</v>
      </c>
      <c r="AG9952" s="21"/>
      <c r="AH9952" s="21">
        <f t="shared" si="211"/>
        <v>144</v>
      </c>
      <c r="AI9952" s="21"/>
      <c r="AJ9952" s="21" t="s">
        <v>54</v>
      </c>
      <c r="AK9952" s="21" t="s">
        <v>52</v>
      </c>
      <c r="AL9952" s="21"/>
      <c r="AM9952" s="21" t="s">
        <v>7556</v>
      </c>
      <c r="AN9952" s="21">
        <v>-122.41567605</v>
      </c>
      <c r="AO9952" s="21">
        <v>37.801087899999999</v>
      </c>
      <c r="AP9952" s="21" t="s">
        <v>116</v>
      </c>
    </row>
    <row r="9953" spans="1:42">
      <c r="A9953" s="20">
        <v>43872</v>
      </c>
      <c r="B9953" s="21">
        <v>2</v>
      </c>
      <c r="C9953" s="21">
        <v>232</v>
      </c>
      <c r="D9953" s="21">
        <v>14476</v>
      </c>
      <c r="E9953" s="7" t="s">
        <v>112</v>
      </c>
      <c r="F9953" s="21" t="s">
        <v>104</v>
      </c>
      <c r="G9953" s="21">
        <v>2</v>
      </c>
      <c r="H9953" s="21">
        <v>98</v>
      </c>
      <c r="I9953" s="21" t="s">
        <v>7557</v>
      </c>
      <c r="J9953" s="21"/>
      <c r="K9953" s="21" t="s">
        <v>103</v>
      </c>
      <c r="L9953" s="21" t="s">
        <v>114</v>
      </c>
      <c r="M9953" s="21" t="s">
        <v>7038</v>
      </c>
      <c r="N9953" s="21" t="s">
        <v>44</v>
      </c>
      <c r="O9953" s="21">
        <v>48</v>
      </c>
      <c r="P9953" s="21"/>
      <c r="Q9953" s="21">
        <f t="shared" si="212"/>
        <v>1</v>
      </c>
      <c r="R9953" s="21">
        <v>1</v>
      </c>
      <c r="S9953" s="21">
        <v>0</v>
      </c>
      <c r="T9953" s="21">
        <v>0</v>
      </c>
      <c r="U9953" s="21">
        <v>0</v>
      </c>
      <c r="V9953" s="21">
        <v>1</v>
      </c>
      <c r="W9953" s="21">
        <v>0</v>
      </c>
      <c r="X9953" s="21">
        <v>0</v>
      </c>
      <c r="Y9953" s="21">
        <v>0</v>
      </c>
      <c r="Z9953" s="21">
        <v>0</v>
      </c>
      <c r="AA9953" s="21">
        <v>0</v>
      </c>
      <c r="AB9953" s="21">
        <v>0</v>
      </c>
      <c r="AC9953" s="21">
        <v>0</v>
      </c>
      <c r="AD9953" s="21">
        <v>0</v>
      </c>
      <c r="AE9953" s="21">
        <v>0</v>
      </c>
      <c r="AF9953" s="21">
        <v>0</v>
      </c>
      <c r="AG9953" s="21"/>
      <c r="AH9953" s="21">
        <f t="shared" si="211"/>
        <v>64</v>
      </c>
      <c r="AI9953" s="21"/>
      <c r="AJ9953" s="21" t="s">
        <v>54</v>
      </c>
      <c r="AK9953" s="21" t="s">
        <v>95</v>
      </c>
      <c r="AL9953" s="21" t="s">
        <v>7558</v>
      </c>
      <c r="AM9953" s="21" t="s">
        <v>7559</v>
      </c>
      <c r="AN9953" s="21">
        <v>-122.415713966667</v>
      </c>
      <c r="AO9953" s="21">
        <v>37.801077433333298</v>
      </c>
      <c r="AP9953" s="21" t="s">
        <v>116</v>
      </c>
    </row>
    <row r="9954" spans="1:42">
      <c r="A9954" s="20">
        <v>43872</v>
      </c>
      <c r="B9954" s="21">
        <v>2</v>
      </c>
      <c r="C9954" s="21">
        <v>232</v>
      </c>
      <c r="D9954" s="21">
        <v>14476</v>
      </c>
      <c r="E9954" s="7" t="s">
        <v>112</v>
      </c>
      <c r="F9954" s="21" t="s">
        <v>104</v>
      </c>
      <c r="G9954" s="21">
        <v>2</v>
      </c>
      <c r="H9954" s="21">
        <v>99</v>
      </c>
      <c r="I9954" s="21" t="s">
        <v>7560</v>
      </c>
      <c r="J9954" s="21"/>
      <c r="K9954" s="21" t="s">
        <v>7481</v>
      </c>
      <c r="L9954" s="21" t="s">
        <v>141</v>
      </c>
      <c r="M9954" s="21" t="s">
        <v>7038</v>
      </c>
      <c r="N9954" s="21" t="s">
        <v>42</v>
      </c>
      <c r="O9954" s="21">
        <v>101</v>
      </c>
      <c r="P9954" s="21"/>
      <c r="Q9954" s="21">
        <f t="shared" si="212"/>
        <v>4</v>
      </c>
      <c r="R9954" s="21">
        <v>1</v>
      </c>
      <c r="S9954" s="21">
        <v>2</v>
      </c>
      <c r="T9954" s="21">
        <v>1</v>
      </c>
      <c r="U9954" s="21">
        <v>1</v>
      </c>
      <c r="V9954" s="21">
        <v>0</v>
      </c>
      <c r="W9954" s="21">
        <v>0</v>
      </c>
      <c r="X9954" s="21">
        <v>0</v>
      </c>
      <c r="Y9954" s="21">
        <v>0</v>
      </c>
      <c r="Z9954" s="21">
        <v>0</v>
      </c>
      <c r="AA9954" s="21">
        <v>0</v>
      </c>
      <c r="AB9954" s="21">
        <v>0</v>
      </c>
      <c r="AC9954" s="21">
        <v>0</v>
      </c>
      <c r="AD9954" s="21">
        <v>0</v>
      </c>
      <c r="AE9954" s="21">
        <v>0</v>
      </c>
      <c r="AF9954" s="21">
        <v>0</v>
      </c>
      <c r="AG9954" s="21"/>
      <c r="AH9954" s="21">
        <f t="shared" si="211"/>
        <v>84</v>
      </c>
      <c r="AI9954" s="21"/>
      <c r="AJ9954" s="21" t="s">
        <v>54</v>
      </c>
      <c r="AK9954" s="21" t="s">
        <v>52</v>
      </c>
      <c r="AL9954" s="21" t="s">
        <v>7561</v>
      </c>
      <c r="AM9954" s="21" t="s">
        <v>7562</v>
      </c>
      <c r="AN9954" s="21">
        <v>-122.415858133333</v>
      </c>
      <c r="AO9954" s="21">
        <v>37.8010734333333</v>
      </c>
      <c r="AP9954" s="21" t="s">
        <v>116</v>
      </c>
    </row>
    <row r="9955" spans="1:42">
      <c r="A9955" s="20">
        <v>43872</v>
      </c>
      <c r="B9955" s="21">
        <v>2</v>
      </c>
      <c r="C9955" s="21">
        <v>232</v>
      </c>
      <c r="D9955" s="21">
        <v>14476</v>
      </c>
      <c r="E9955" s="7" t="s">
        <v>112</v>
      </c>
      <c r="F9955" s="21" t="s">
        <v>104</v>
      </c>
      <c r="G9955" s="21">
        <v>2</v>
      </c>
      <c r="H9955" s="21">
        <v>100</v>
      </c>
      <c r="I9955" s="21" t="s">
        <v>4030</v>
      </c>
      <c r="J9955" s="21"/>
      <c r="K9955" s="21" t="s">
        <v>103</v>
      </c>
      <c r="L9955" s="21" t="s">
        <v>114</v>
      </c>
      <c r="M9955" s="21" t="s">
        <v>7038</v>
      </c>
      <c r="N9955" s="21" t="s">
        <v>44</v>
      </c>
      <c r="O9955" s="21">
        <v>56</v>
      </c>
      <c r="P9955" s="21"/>
      <c r="Q9955" s="21">
        <f t="shared" si="212"/>
        <v>2</v>
      </c>
      <c r="R9955" s="21">
        <v>1</v>
      </c>
      <c r="S9955" s="21">
        <v>0</v>
      </c>
      <c r="T9955" s="21">
        <v>0</v>
      </c>
      <c r="U9955" s="21">
        <v>1</v>
      </c>
      <c r="V9955" s="21">
        <v>1</v>
      </c>
      <c r="W9955" s="21">
        <v>0</v>
      </c>
      <c r="X9955" s="21">
        <v>0</v>
      </c>
      <c r="Y9955" s="21">
        <v>0</v>
      </c>
      <c r="Z9955" s="21">
        <v>0</v>
      </c>
      <c r="AA9955" s="21">
        <v>0</v>
      </c>
      <c r="AB9955" s="21">
        <v>0</v>
      </c>
      <c r="AC9955" s="21">
        <v>0</v>
      </c>
      <c r="AD9955" s="21">
        <v>0</v>
      </c>
      <c r="AE9955" s="21">
        <v>0</v>
      </c>
      <c r="AF9955" s="21">
        <v>0</v>
      </c>
      <c r="AG9955" s="21"/>
      <c r="AH9955" s="21">
        <f t="shared" si="211"/>
        <v>96</v>
      </c>
      <c r="AI9955" s="21"/>
      <c r="AJ9955" s="21" t="s">
        <v>54</v>
      </c>
      <c r="AK9955" s="21" t="s">
        <v>52</v>
      </c>
      <c r="AL9955" s="21" t="s">
        <v>7563</v>
      </c>
      <c r="AM9955" s="21" t="s">
        <v>7564</v>
      </c>
      <c r="AN9955" s="21">
        <v>-122.41587983333299</v>
      </c>
      <c r="AO9955" s="21">
        <v>37.801031216666701</v>
      </c>
      <c r="AP9955" s="21" t="s">
        <v>116</v>
      </c>
    </row>
    <row r="9956" spans="1:42">
      <c r="A9956" s="20">
        <v>43872</v>
      </c>
      <c r="B9956" s="21">
        <v>2</v>
      </c>
      <c r="C9956" s="21">
        <v>232</v>
      </c>
      <c r="D9956" s="21">
        <v>14476</v>
      </c>
      <c r="E9956" s="7" t="s">
        <v>112</v>
      </c>
      <c r="F9956" s="21" t="s">
        <v>104</v>
      </c>
      <c r="G9956" s="21">
        <v>2</v>
      </c>
      <c r="H9956" s="21">
        <v>101</v>
      </c>
      <c r="I9956" s="21" t="s">
        <v>3225</v>
      </c>
      <c r="J9956" s="21"/>
      <c r="K9956" s="21" t="s">
        <v>156</v>
      </c>
      <c r="L9956" s="21" t="s">
        <v>114</v>
      </c>
      <c r="M9956" s="21" t="s">
        <v>7038</v>
      </c>
      <c r="N9956" s="21" t="s">
        <v>44</v>
      </c>
      <c r="O9956" s="21">
        <v>107</v>
      </c>
      <c r="P9956" s="21"/>
      <c r="Q9956" s="21">
        <f t="shared" si="212"/>
        <v>1</v>
      </c>
      <c r="R9956" s="21">
        <v>1</v>
      </c>
      <c r="S9956" s="21">
        <v>0</v>
      </c>
      <c r="T9956" s="21">
        <v>0</v>
      </c>
      <c r="U9956" s="21">
        <v>0</v>
      </c>
      <c r="V9956" s="21">
        <v>0</v>
      </c>
      <c r="W9956" s="21">
        <v>1</v>
      </c>
      <c r="X9956" s="21">
        <v>0</v>
      </c>
      <c r="Y9956" s="21">
        <v>0</v>
      </c>
      <c r="Z9956" s="21">
        <v>0</v>
      </c>
      <c r="AA9956" s="21">
        <v>0</v>
      </c>
      <c r="AB9956" s="21">
        <v>0</v>
      </c>
      <c r="AC9956" s="21">
        <v>0</v>
      </c>
      <c r="AD9956" s="21">
        <v>0</v>
      </c>
      <c r="AE9956" s="21">
        <v>0</v>
      </c>
      <c r="AF9956" s="21">
        <v>0</v>
      </c>
      <c r="AG9956" s="21"/>
      <c r="AH9956" s="21">
        <f t="shared" si="211"/>
        <v>96</v>
      </c>
      <c r="AI9956" s="21"/>
      <c r="AJ9956" s="21" t="s">
        <v>54</v>
      </c>
      <c r="AK9956" s="21" t="s">
        <v>95</v>
      </c>
      <c r="AL9956" s="21" t="s">
        <v>7565</v>
      </c>
      <c r="AM9956" s="21" t="s">
        <v>7566</v>
      </c>
      <c r="AN9956" s="21">
        <v>-122.41586763333299</v>
      </c>
      <c r="AO9956" s="21">
        <v>37.7998352166667</v>
      </c>
      <c r="AP9956" s="21" t="s">
        <v>116</v>
      </c>
    </row>
    <row r="9957" spans="1:42">
      <c r="A9957" s="20">
        <v>43872</v>
      </c>
      <c r="B9957" s="21">
        <v>2</v>
      </c>
      <c r="C9957" s="21">
        <v>232</v>
      </c>
      <c r="D9957" s="21">
        <v>14476</v>
      </c>
      <c r="E9957" s="7" t="s">
        <v>112</v>
      </c>
      <c r="F9957" s="21" t="s">
        <v>104</v>
      </c>
      <c r="G9957" s="21">
        <v>2</v>
      </c>
      <c r="H9957" s="21">
        <v>102</v>
      </c>
      <c r="I9957" s="21" t="s">
        <v>7221</v>
      </c>
      <c r="J9957" s="21"/>
      <c r="K9957" s="21" t="s">
        <v>156</v>
      </c>
      <c r="L9957" s="21" t="s">
        <v>114</v>
      </c>
      <c r="M9957" s="21" t="s">
        <v>7038</v>
      </c>
      <c r="N9957" s="21" t="s">
        <v>44</v>
      </c>
      <c r="O9957" s="21">
        <v>114</v>
      </c>
      <c r="P9957" s="21"/>
      <c r="Q9957" s="21">
        <f t="shared" si="212"/>
        <v>2</v>
      </c>
      <c r="R9957" s="21">
        <v>1</v>
      </c>
      <c r="S9957" s="21">
        <v>0</v>
      </c>
      <c r="T9957" s="21">
        <v>0</v>
      </c>
      <c r="U9957" s="21">
        <v>0</v>
      </c>
      <c r="V9957" s="21">
        <v>1</v>
      </c>
      <c r="W9957" s="21">
        <v>1</v>
      </c>
      <c r="X9957" s="21">
        <v>0</v>
      </c>
      <c r="Y9957" s="21">
        <v>0</v>
      </c>
      <c r="Z9957" s="21">
        <v>0</v>
      </c>
      <c r="AA9957" s="21">
        <v>0</v>
      </c>
      <c r="AB9957" s="21">
        <v>0</v>
      </c>
      <c r="AC9957" s="21">
        <v>0</v>
      </c>
      <c r="AD9957" s="21">
        <v>0</v>
      </c>
      <c r="AE9957" s="21">
        <v>0</v>
      </c>
      <c r="AF9957" s="21">
        <v>0</v>
      </c>
      <c r="AG9957" s="21"/>
      <c r="AH9957" s="21">
        <f t="shared" si="211"/>
        <v>160</v>
      </c>
      <c r="AI9957" s="21"/>
      <c r="AJ9957" s="21" t="s">
        <v>54</v>
      </c>
      <c r="AK9957" s="21" t="s">
        <v>52</v>
      </c>
      <c r="AL9957" s="21" t="s">
        <v>7567</v>
      </c>
      <c r="AM9957" s="21" t="s">
        <v>7568</v>
      </c>
      <c r="AN9957" s="21">
        <v>-122.41602949999999</v>
      </c>
      <c r="AO9957" s="21">
        <v>37.799608816666698</v>
      </c>
      <c r="AP9957" s="21" t="s">
        <v>116</v>
      </c>
    </row>
    <row r="9958" spans="1:42">
      <c r="A9958" s="20">
        <v>43872</v>
      </c>
      <c r="B9958" s="21">
        <v>2</v>
      </c>
      <c r="C9958" s="21">
        <v>232</v>
      </c>
      <c r="D9958" s="21">
        <v>14476</v>
      </c>
      <c r="E9958" s="7" t="s">
        <v>112</v>
      </c>
      <c r="F9958" s="21" t="s">
        <v>104</v>
      </c>
      <c r="G9958" s="21">
        <v>2</v>
      </c>
      <c r="H9958" s="21">
        <v>103</v>
      </c>
      <c r="I9958" s="21" t="s">
        <v>7569</v>
      </c>
      <c r="J9958" s="21"/>
      <c r="K9958" s="21" t="s">
        <v>156</v>
      </c>
      <c r="L9958" s="21" t="s">
        <v>114</v>
      </c>
      <c r="M9958" s="21" t="s">
        <v>7038</v>
      </c>
      <c r="N9958" s="21" t="s">
        <v>40</v>
      </c>
      <c r="O9958" s="21">
        <v>32</v>
      </c>
      <c r="P9958" s="21"/>
      <c r="Q9958" s="21">
        <f t="shared" si="212"/>
        <v>1</v>
      </c>
      <c r="R9958" s="21">
        <v>1</v>
      </c>
      <c r="S9958" s="21">
        <v>0</v>
      </c>
      <c r="T9958" s="21">
        <v>0</v>
      </c>
      <c r="U9958" s="21">
        <v>1</v>
      </c>
      <c r="V9958" s="21">
        <v>0</v>
      </c>
      <c r="W9958" s="21">
        <v>0</v>
      </c>
      <c r="X9958" s="21">
        <v>0</v>
      </c>
      <c r="Y9958" s="21">
        <v>0</v>
      </c>
      <c r="Z9958" s="21">
        <v>0</v>
      </c>
      <c r="AA9958" s="21">
        <v>0</v>
      </c>
      <c r="AB9958" s="21">
        <v>0</v>
      </c>
      <c r="AC9958" s="21">
        <v>0</v>
      </c>
      <c r="AD9958" s="21">
        <v>0</v>
      </c>
      <c r="AE9958" s="21">
        <v>0</v>
      </c>
      <c r="AF9958" s="21">
        <v>0</v>
      </c>
      <c r="AG9958" s="21"/>
      <c r="AH9958" s="21">
        <f t="shared" si="211"/>
        <v>32</v>
      </c>
      <c r="AI9958" s="21"/>
      <c r="AJ9958" s="21" t="s">
        <v>54</v>
      </c>
      <c r="AK9958" s="21" t="s">
        <v>52</v>
      </c>
      <c r="AL9958" s="21"/>
      <c r="AM9958" s="21" t="s">
        <v>7570</v>
      </c>
      <c r="AN9958" s="21">
        <v>-122.416516683333</v>
      </c>
      <c r="AO9958" s="21">
        <v>37.799493333333302</v>
      </c>
      <c r="AP9958" s="21" t="s">
        <v>116</v>
      </c>
    </row>
    <row r="9959" spans="1:42">
      <c r="A9959" s="20">
        <v>43872</v>
      </c>
      <c r="B9959" s="21">
        <v>2</v>
      </c>
      <c r="C9959" s="21">
        <v>232</v>
      </c>
      <c r="D9959" s="21">
        <v>14476</v>
      </c>
      <c r="E9959" s="7" t="s">
        <v>112</v>
      </c>
      <c r="F9959" s="21" t="s">
        <v>104</v>
      </c>
      <c r="G9959" s="21">
        <v>2</v>
      </c>
      <c r="H9959" s="21">
        <v>104</v>
      </c>
      <c r="I9959" s="21" t="s">
        <v>7571</v>
      </c>
      <c r="J9959" s="21"/>
      <c r="K9959" s="21" t="s">
        <v>148</v>
      </c>
      <c r="L9959" s="21" t="s">
        <v>141</v>
      </c>
      <c r="M9959" s="21" t="s">
        <v>7038</v>
      </c>
      <c r="N9959" s="21" t="s">
        <v>40</v>
      </c>
      <c r="O9959" s="21">
        <v>51</v>
      </c>
      <c r="P9959" s="21"/>
      <c r="Q9959" s="21">
        <f t="shared" si="212"/>
        <v>4</v>
      </c>
      <c r="R9959" s="21">
        <v>1</v>
      </c>
      <c r="S9959" s="21">
        <v>0</v>
      </c>
      <c r="T9959" s="21">
        <v>0</v>
      </c>
      <c r="U9959" s="21">
        <v>4</v>
      </c>
      <c r="V9959" s="21">
        <v>0</v>
      </c>
      <c r="W9959" s="21">
        <v>0</v>
      </c>
      <c r="X9959" s="21">
        <v>0</v>
      </c>
      <c r="Y9959" s="21">
        <v>0</v>
      </c>
      <c r="Z9959" s="21">
        <v>0</v>
      </c>
      <c r="AA9959" s="21">
        <v>0</v>
      </c>
      <c r="AB9959" s="21">
        <v>0</v>
      </c>
      <c r="AC9959" s="21">
        <v>0</v>
      </c>
      <c r="AD9959" s="21">
        <v>0</v>
      </c>
      <c r="AE9959" s="21">
        <v>0</v>
      </c>
      <c r="AF9959" s="21">
        <v>0</v>
      </c>
      <c r="AG9959" s="21"/>
      <c r="AH9959" s="21">
        <f t="shared" si="211"/>
        <v>128</v>
      </c>
      <c r="AI9959" s="21"/>
      <c r="AJ9959" s="21" t="s">
        <v>51</v>
      </c>
      <c r="AK9959" s="21" t="s">
        <v>52</v>
      </c>
      <c r="AL9959" s="21"/>
      <c r="AM9959" s="21" t="s">
        <v>7572</v>
      </c>
      <c r="AN9959" s="21">
        <v>-122.415780133333</v>
      </c>
      <c r="AO9959" s="21">
        <v>37.800644650000002</v>
      </c>
      <c r="AP9959" s="21" t="s">
        <v>116</v>
      </c>
    </row>
    <row r="9960" spans="1:42">
      <c r="A9960" s="20">
        <v>43872</v>
      </c>
      <c r="B9960" s="21">
        <v>2</v>
      </c>
      <c r="C9960" s="21">
        <v>232</v>
      </c>
      <c r="D9960" s="21">
        <v>14476</v>
      </c>
      <c r="E9960" s="7" t="s">
        <v>112</v>
      </c>
      <c r="F9960" s="21" t="s">
        <v>104</v>
      </c>
      <c r="G9960" s="21">
        <v>2</v>
      </c>
      <c r="H9960" s="21">
        <v>105</v>
      </c>
      <c r="I9960" s="21" t="s">
        <v>7432</v>
      </c>
      <c r="J9960" s="21"/>
      <c r="K9960" s="21" t="s">
        <v>148</v>
      </c>
      <c r="L9960" s="21" t="s">
        <v>141</v>
      </c>
      <c r="M9960" s="21" t="s">
        <v>7038</v>
      </c>
      <c r="N9960" s="21" t="s">
        <v>44</v>
      </c>
      <c r="O9960" s="21">
        <v>67</v>
      </c>
      <c r="P9960" s="21"/>
      <c r="Q9960" s="21">
        <f t="shared" si="212"/>
        <v>1</v>
      </c>
      <c r="R9960" s="21">
        <v>1</v>
      </c>
      <c r="S9960" s="21">
        <v>0</v>
      </c>
      <c r="T9960" s="21">
        <v>0</v>
      </c>
      <c r="U9960" s="21">
        <v>0</v>
      </c>
      <c r="V9960" s="21">
        <v>0</v>
      </c>
      <c r="W9960" s="21">
        <v>1</v>
      </c>
      <c r="X9960" s="21">
        <v>0</v>
      </c>
      <c r="Y9960" s="21">
        <v>0</v>
      </c>
      <c r="Z9960" s="21">
        <v>0</v>
      </c>
      <c r="AA9960" s="21">
        <v>0</v>
      </c>
      <c r="AB9960" s="21">
        <v>0</v>
      </c>
      <c r="AC9960" s="21">
        <v>0</v>
      </c>
      <c r="AD9960" s="21">
        <v>0</v>
      </c>
      <c r="AE9960" s="21">
        <v>0</v>
      </c>
      <c r="AF9960" s="21">
        <v>0</v>
      </c>
      <c r="AG9960" s="21"/>
      <c r="AH9960" s="21">
        <f t="shared" si="211"/>
        <v>96</v>
      </c>
      <c r="AI9960" s="21"/>
      <c r="AJ9960" s="21" t="s">
        <v>51</v>
      </c>
      <c r="AK9960" s="21" t="s">
        <v>52</v>
      </c>
      <c r="AL9960" s="21" t="s">
        <v>7573</v>
      </c>
      <c r="AM9960" s="21" t="s">
        <v>7574</v>
      </c>
      <c r="AN9960" s="21">
        <v>-122.41562445</v>
      </c>
      <c r="AO9960" s="21">
        <v>37.8005389666667</v>
      </c>
      <c r="AP9960" s="21" t="s">
        <v>116</v>
      </c>
    </row>
    <row r="9961" spans="1:42">
      <c r="A9961" s="20">
        <v>43872</v>
      </c>
      <c r="B9961" s="21">
        <v>2</v>
      </c>
      <c r="C9961" s="21">
        <v>232</v>
      </c>
      <c r="D9961" s="21">
        <v>14476</v>
      </c>
      <c r="E9961" s="7" t="s">
        <v>112</v>
      </c>
      <c r="F9961" s="21" t="s">
        <v>104</v>
      </c>
      <c r="G9961" s="21">
        <v>2</v>
      </c>
      <c r="H9961" s="21">
        <v>106</v>
      </c>
      <c r="I9961" s="21" t="s">
        <v>7575</v>
      </c>
      <c r="J9961" s="21"/>
      <c r="K9961" s="21" t="s">
        <v>148</v>
      </c>
      <c r="L9961" s="21" t="s">
        <v>141</v>
      </c>
      <c r="M9961" s="21" t="s">
        <v>7038</v>
      </c>
      <c r="N9961" s="21" t="s">
        <v>40</v>
      </c>
      <c r="O9961" s="21">
        <v>15</v>
      </c>
      <c r="P9961" s="21"/>
      <c r="Q9961" s="21">
        <f t="shared" si="212"/>
        <v>3</v>
      </c>
      <c r="R9961" s="21">
        <v>1</v>
      </c>
      <c r="S9961" s="21">
        <v>0</v>
      </c>
      <c r="T9961" s="21">
        <v>0</v>
      </c>
      <c r="U9961" s="21">
        <v>2</v>
      </c>
      <c r="V9961" s="21">
        <v>0</v>
      </c>
      <c r="W9961" s="21">
        <v>1</v>
      </c>
      <c r="X9961" s="21">
        <v>0</v>
      </c>
      <c r="Y9961" s="21">
        <v>0</v>
      </c>
      <c r="Z9961" s="21">
        <v>0</v>
      </c>
      <c r="AA9961" s="21">
        <v>0</v>
      </c>
      <c r="AB9961" s="21">
        <v>0</v>
      </c>
      <c r="AC9961" s="21">
        <v>0</v>
      </c>
      <c r="AD9961" s="21">
        <v>0</v>
      </c>
      <c r="AE9961" s="21">
        <v>0</v>
      </c>
      <c r="AF9961" s="21">
        <v>0</v>
      </c>
      <c r="AG9961" s="21"/>
      <c r="AH9961" s="21">
        <f t="shared" si="211"/>
        <v>160</v>
      </c>
      <c r="AI9961" s="21"/>
      <c r="AJ9961" s="21" t="s">
        <v>51</v>
      </c>
      <c r="AK9961" s="21" t="s">
        <v>52</v>
      </c>
      <c r="AL9961" s="21"/>
      <c r="AM9961" s="21" t="s">
        <v>7576</v>
      </c>
      <c r="AN9961" s="21">
        <v>-122.415607116667</v>
      </c>
      <c r="AO9961" s="21">
        <v>37.8005191833333</v>
      </c>
      <c r="AP9961" s="21" t="s">
        <v>116</v>
      </c>
    </row>
    <row r="9962" spans="1:42">
      <c r="A9962" s="20">
        <v>43872</v>
      </c>
      <c r="B9962" s="21">
        <v>2</v>
      </c>
      <c r="C9962" s="21">
        <v>232</v>
      </c>
      <c r="D9962" s="21">
        <v>14476</v>
      </c>
      <c r="E9962" s="7" t="s">
        <v>112</v>
      </c>
      <c r="F9962" s="21" t="s">
        <v>104</v>
      </c>
      <c r="G9962" s="21">
        <v>2</v>
      </c>
      <c r="H9962" s="21">
        <v>107</v>
      </c>
      <c r="I9962" s="21" t="s">
        <v>7577</v>
      </c>
      <c r="J9962" s="21"/>
      <c r="K9962" s="21" t="s">
        <v>148</v>
      </c>
      <c r="L9962" s="21" t="s">
        <v>114</v>
      </c>
      <c r="M9962" s="21" t="s">
        <v>6618</v>
      </c>
      <c r="N9962" s="21" t="s">
        <v>40</v>
      </c>
      <c r="O9962" s="21">
        <v>82</v>
      </c>
      <c r="P9962" s="21"/>
      <c r="Q9962" s="21">
        <f t="shared" si="212"/>
        <v>4</v>
      </c>
      <c r="R9962" s="21">
        <v>1</v>
      </c>
      <c r="S9962" s="21">
        <v>1</v>
      </c>
      <c r="T9962" s="21">
        <v>2</v>
      </c>
      <c r="U9962" s="21">
        <v>1</v>
      </c>
      <c r="V9962" s="21">
        <v>0</v>
      </c>
      <c r="W9962" s="21">
        <v>0</v>
      </c>
      <c r="X9962" s="21">
        <v>0</v>
      </c>
      <c r="Y9962" s="21">
        <v>0</v>
      </c>
      <c r="Z9962" s="21">
        <v>0</v>
      </c>
      <c r="AA9962" s="21">
        <v>0</v>
      </c>
      <c r="AB9962" s="21">
        <v>0</v>
      </c>
      <c r="AC9962" s="21">
        <v>0</v>
      </c>
      <c r="AD9962" s="21">
        <v>0</v>
      </c>
      <c r="AE9962" s="21">
        <v>0</v>
      </c>
      <c r="AF9962" s="21">
        <v>0</v>
      </c>
      <c r="AG9962" s="21"/>
      <c r="AH9962" s="21">
        <f t="shared" si="211"/>
        <v>88</v>
      </c>
      <c r="AI9962" s="21"/>
      <c r="AJ9962" s="21" t="s">
        <v>51</v>
      </c>
      <c r="AK9962" s="21" t="s">
        <v>52</v>
      </c>
      <c r="AL9962" s="21" t="s">
        <v>7578</v>
      </c>
      <c r="AM9962" s="21" t="s">
        <v>7579</v>
      </c>
      <c r="AN9962" s="21">
        <v>-122.41551115</v>
      </c>
      <c r="AO9962" s="21">
        <v>37.800672516666701</v>
      </c>
      <c r="AP9962" s="21" t="s">
        <v>116</v>
      </c>
    </row>
    <row r="9963" spans="1:42">
      <c r="A9963" s="20">
        <v>43872</v>
      </c>
      <c r="B9963" s="21">
        <v>2</v>
      </c>
      <c r="C9963" s="21">
        <v>232</v>
      </c>
      <c r="D9963" s="21">
        <v>14476</v>
      </c>
      <c r="E9963" s="7" t="s">
        <v>112</v>
      </c>
      <c r="F9963" s="21" t="s">
        <v>104</v>
      </c>
      <c r="G9963" s="21">
        <v>2</v>
      </c>
      <c r="H9963" s="21">
        <v>108</v>
      </c>
      <c r="I9963" s="21" t="s">
        <v>7580</v>
      </c>
      <c r="J9963" s="21"/>
      <c r="K9963" s="21" t="s">
        <v>148</v>
      </c>
      <c r="L9963" s="21" t="s">
        <v>141</v>
      </c>
      <c r="M9963" s="21" t="s">
        <v>7038</v>
      </c>
      <c r="N9963" s="21" t="s">
        <v>40</v>
      </c>
      <c r="O9963" s="21">
        <v>45</v>
      </c>
      <c r="P9963" s="21"/>
      <c r="Q9963" s="21">
        <f t="shared" si="212"/>
        <v>3</v>
      </c>
      <c r="R9963" s="21">
        <v>1</v>
      </c>
      <c r="S9963" s="21">
        <v>1</v>
      </c>
      <c r="T9963" s="21">
        <v>0</v>
      </c>
      <c r="U9963" s="21">
        <v>1</v>
      </c>
      <c r="V9963" s="21">
        <v>1</v>
      </c>
      <c r="W9963" s="21">
        <v>0</v>
      </c>
      <c r="X9963" s="21">
        <v>0</v>
      </c>
      <c r="Y9963" s="21">
        <v>0</v>
      </c>
      <c r="Z9963" s="21">
        <v>0</v>
      </c>
      <c r="AA9963" s="21">
        <v>0</v>
      </c>
      <c r="AB9963" s="21">
        <v>0</v>
      </c>
      <c r="AC9963" s="21">
        <v>0</v>
      </c>
      <c r="AD9963" s="21">
        <v>0</v>
      </c>
      <c r="AE9963" s="21">
        <v>0</v>
      </c>
      <c r="AF9963" s="21">
        <v>0</v>
      </c>
      <c r="AG9963" s="21"/>
      <c r="AH9963" s="21">
        <f t="shared" si="211"/>
        <v>112</v>
      </c>
      <c r="AI9963" s="21"/>
      <c r="AJ9963" s="21" t="s">
        <v>51</v>
      </c>
      <c r="AK9963" s="21" t="s">
        <v>52</v>
      </c>
      <c r="AL9963" s="21"/>
      <c r="AM9963" s="21" t="s">
        <v>7581</v>
      </c>
      <c r="AN9963" s="21">
        <v>-122.415414266667</v>
      </c>
      <c r="AO9963" s="21">
        <v>37.8006420166667</v>
      </c>
      <c r="AP9963" s="21" t="s">
        <v>116</v>
      </c>
    </row>
    <row r="9964" spans="1:42">
      <c r="A9964" s="20">
        <v>43872</v>
      </c>
      <c r="B9964" s="21">
        <v>2</v>
      </c>
      <c r="C9964" s="21">
        <v>232</v>
      </c>
      <c r="D9964" s="21">
        <v>14476</v>
      </c>
      <c r="E9964" s="7" t="s">
        <v>112</v>
      </c>
      <c r="F9964" s="21" t="s">
        <v>104</v>
      </c>
      <c r="G9964" s="21">
        <v>2</v>
      </c>
      <c r="H9964" s="21">
        <v>109</v>
      </c>
      <c r="I9964" s="21" t="s">
        <v>3119</v>
      </c>
      <c r="J9964" s="21"/>
      <c r="K9964" s="21" t="s">
        <v>148</v>
      </c>
      <c r="L9964" s="21" t="s">
        <v>141</v>
      </c>
      <c r="M9964" s="21" t="s">
        <v>7038</v>
      </c>
      <c r="N9964" s="21" t="s">
        <v>40</v>
      </c>
      <c r="O9964" s="21">
        <v>41</v>
      </c>
      <c r="P9964" s="21"/>
      <c r="Q9964" s="21">
        <f t="shared" si="212"/>
        <v>3</v>
      </c>
      <c r="R9964" s="21">
        <v>1</v>
      </c>
      <c r="S9964" s="21">
        <v>1</v>
      </c>
      <c r="T9964" s="21">
        <v>0</v>
      </c>
      <c r="U9964" s="21">
        <v>0</v>
      </c>
      <c r="V9964" s="21">
        <v>2</v>
      </c>
      <c r="W9964" s="21">
        <v>0</v>
      </c>
      <c r="X9964" s="21">
        <v>0</v>
      </c>
      <c r="Y9964" s="21">
        <v>0</v>
      </c>
      <c r="Z9964" s="21">
        <v>0</v>
      </c>
      <c r="AA9964" s="21">
        <v>0</v>
      </c>
      <c r="AB9964" s="21">
        <v>0</v>
      </c>
      <c r="AC9964" s="21">
        <v>0</v>
      </c>
      <c r="AD9964" s="21">
        <v>0</v>
      </c>
      <c r="AE9964" s="21">
        <v>0</v>
      </c>
      <c r="AF9964" s="21">
        <v>0</v>
      </c>
      <c r="AG9964" s="21"/>
      <c r="AH9964" s="21">
        <f t="shared" si="211"/>
        <v>144</v>
      </c>
      <c r="AI9964" s="21"/>
      <c r="AJ9964" s="21" t="s">
        <v>51</v>
      </c>
      <c r="AK9964" s="21" t="s">
        <v>52</v>
      </c>
      <c r="AL9964" s="21"/>
      <c r="AM9964" s="21" t="s">
        <v>7582</v>
      </c>
      <c r="AN9964" s="21">
        <v>-122.4153486</v>
      </c>
      <c r="AO9964" s="21">
        <v>37.800578016666698</v>
      </c>
      <c r="AP9964" s="21" t="s">
        <v>116</v>
      </c>
    </row>
    <row r="9965" spans="1:42">
      <c r="A9965" s="20">
        <v>43872</v>
      </c>
      <c r="B9965" s="21">
        <v>2</v>
      </c>
      <c r="C9965" s="21">
        <v>232</v>
      </c>
      <c r="D9965" s="21">
        <v>14476</v>
      </c>
      <c r="E9965" s="7" t="s">
        <v>112</v>
      </c>
      <c r="F9965" s="21" t="s">
        <v>104</v>
      </c>
      <c r="G9965" s="21">
        <v>2</v>
      </c>
      <c r="H9965" s="21">
        <v>110</v>
      </c>
      <c r="I9965" s="21" t="s">
        <v>3121</v>
      </c>
      <c r="J9965" s="21"/>
      <c r="K9965" s="21" t="s">
        <v>148</v>
      </c>
      <c r="L9965" s="21" t="s">
        <v>141</v>
      </c>
      <c r="M9965" s="21" t="s">
        <v>7038</v>
      </c>
      <c r="N9965" s="21" t="s">
        <v>40</v>
      </c>
      <c r="O9965" s="21">
        <v>27</v>
      </c>
      <c r="P9965" s="21"/>
      <c r="Q9965" s="21">
        <f t="shared" si="212"/>
        <v>2</v>
      </c>
      <c r="R9965" s="21">
        <v>1</v>
      </c>
      <c r="S9965" s="21">
        <v>0</v>
      </c>
      <c r="T9965" s="21">
        <v>0</v>
      </c>
      <c r="U9965" s="21">
        <v>2</v>
      </c>
      <c r="V9965" s="21">
        <v>0</v>
      </c>
      <c r="W9965" s="21">
        <v>0</v>
      </c>
      <c r="X9965" s="21">
        <v>0</v>
      </c>
      <c r="Y9965" s="21">
        <v>0</v>
      </c>
      <c r="Z9965" s="21">
        <v>0</v>
      </c>
      <c r="AA9965" s="21">
        <v>0</v>
      </c>
      <c r="AB9965" s="21">
        <v>0</v>
      </c>
      <c r="AC9965" s="21">
        <v>0</v>
      </c>
      <c r="AD9965" s="21">
        <v>0</v>
      </c>
      <c r="AE9965" s="21">
        <v>0</v>
      </c>
      <c r="AF9965" s="21">
        <v>0</v>
      </c>
      <c r="AG9965" s="21"/>
      <c r="AH9965" s="21">
        <f t="shared" si="211"/>
        <v>64</v>
      </c>
      <c r="AI9965" s="21"/>
      <c r="AJ9965" s="21" t="s">
        <v>3023</v>
      </c>
      <c r="AK9965" s="21" t="s">
        <v>52</v>
      </c>
      <c r="AL9965" s="21"/>
      <c r="AM9965" s="21" t="s">
        <v>7583</v>
      </c>
      <c r="AN9965" s="21">
        <v>-122.415149766667</v>
      </c>
      <c r="AO9965" s="21">
        <v>37.8006206833333</v>
      </c>
      <c r="AP9965" s="21" t="s">
        <v>116</v>
      </c>
    </row>
    <row r="9966" spans="1:42">
      <c r="A9966" s="20">
        <v>43872</v>
      </c>
      <c r="B9966" s="21">
        <v>2</v>
      </c>
      <c r="C9966" s="21">
        <v>232</v>
      </c>
      <c r="D9966" s="21">
        <v>14476</v>
      </c>
      <c r="E9966" s="7" t="s">
        <v>112</v>
      </c>
      <c r="F9966" s="21" t="s">
        <v>104</v>
      </c>
      <c r="G9966" s="21">
        <v>2</v>
      </c>
      <c r="H9966" s="21">
        <v>111</v>
      </c>
      <c r="I9966" s="21" t="s">
        <v>7437</v>
      </c>
      <c r="J9966" s="21"/>
      <c r="K9966" s="21" t="s">
        <v>148</v>
      </c>
      <c r="L9966" s="21" t="s">
        <v>141</v>
      </c>
      <c r="M9966" s="21" t="s">
        <v>7038</v>
      </c>
      <c r="N9966" s="21" t="s">
        <v>42</v>
      </c>
      <c r="O9966" s="21">
        <v>91</v>
      </c>
      <c r="P9966" s="21"/>
      <c r="Q9966" s="21">
        <f t="shared" si="212"/>
        <v>2</v>
      </c>
      <c r="R9966" s="21">
        <v>1</v>
      </c>
      <c r="S9966" s="21">
        <v>0</v>
      </c>
      <c r="T9966" s="21">
        <v>0</v>
      </c>
      <c r="U9966" s="21">
        <v>0</v>
      </c>
      <c r="V9966" s="21">
        <v>1</v>
      </c>
      <c r="W9966" s="21">
        <v>1</v>
      </c>
      <c r="X9966" s="21">
        <v>0</v>
      </c>
      <c r="Y9966" s="21">
        <v>0</v>
      </c>
      <c r="Z9966" s="21">
        <v>0</v>
      </c>
      <c r="AA9966" s="21">
        <v>0</v>
      </c>
      <c r="AB9966" s="21">
        <v>0</v>
      </c>
      <c r="AC9966" s="21">
        <v>0</v>
      </c>
      <c r="AD9966" s="21">
        <v>0</v>
      </c>
      <c r="AE9966" s="21">
        <v>0</v>
      </c>
      <c r="AF9966" s="21">
        <v>0</v>
      </c>
      <c r="AG9966" s="21"/>
      <c r="AH9966" s="21">
        <f t="shared" si="211"/>
        <v>160</v>
      </c>
      <c r="AI9966" s="21"/>
      <c r="AJ9966" s="21" t="s">
        <v>51</v>
      </c>
      <c r="AK9966" s="21" t="s">
        <v>52</v>
      </c>
      <c r="AL9966" s="21" t="s">
        <v>7584</v>
      </c>
      <c r="AM9966" s="21" t="s">
        <v>7585</v>
      </c>
      <c r="AN9966" s="21">
        <v>-122.414960583333</v>
      </c>
      <c r="AO9966" s="21">
        <v>37.800639816666603</v>
      </c>
      <c r="AP9966" s="21" t="s">
        <v>116</v>
      </c>
    </row>
    <row r="9967" spans="1:42">
      <c r="A9967" s="20">
        <v>43872</v>
      </c>
      <c r="B9967" s="21">
        <v>2</v>
      </c>
      <c r="C9967" s="21">
        <v>232</v>
      </c>
      <c r="D9967" s="21">
        <v>14476</v>
      </c>
      <c r="E9967" s="7" t="s">
        <v>112</v>
      </c>
      <c r="F9967" s="21" t="s">
        <v>104</v>
      </c>
      <c r="G9967" s="21">
        <v>2</v>
      </c>
      <c r="H9967" s="21">
        <v>112</v>
      </c>
      <c r="I9967" s="21" t="s">
        <v>7586</v>
      </c>
      <c r="J9967" s="21"/>
      <c r="K9967" s="21" t="s">
        <v>148</v>
      </c>
      <c r="L9967" s="21" t="s">
        <v>114</v>
      </c>
      <c r="M9967" s="21" t="s">
        <v>6618</v>
      </c>
      <c r="N9967" s="21" t="s">
        <v>44</v>
      </c>
      <c r="O9967" s="21">
        <v>64</v>
      </c>
      <c r="P9967" s="21"/>
      <c r="Q9967" s="21">
        <f t="shared" si="212"/>
        <v>1</v>
      </c>
      <c r="R9967" s="21">
        <v>1</v>
      </c>
      <c r="S9967" s="21">
        <v>0</v>
      </c>
      <c r="T9967" s="21">
        <v>0</v>
      </c>
      <c r="U9967" s="21">
        <v>0</v>
      </c>
      <c r="V9967" s="21">
        <v>0</v>
      </c>
      <c r="W9967" s="21">
        <v>1</v>
      </c>
      <c r="X9967" s="21">
        <v>0</v>
      </c>
      <c r="Y9967" s="21">
        <v>0</v>
      </c>
      <c r="Z9967" s="21">
        <v>0</v>
      </c>
      <c r="AA9967" s="21">
        <v>0</v>
      </c>
      <c r="AB9967" s="21">
        <v>0</v>
      </c>
      <c r="AC9967" s="21">
        <v>0</v>
      </c>
      <c r="AD9967" s="21">
        <v>0</v>
      </c>
      <c r="AE9967" s="21">
        <v>0</v>
      </c>
      <c r="AF9967" s="21">
        <v>0</v>
      </c>
      <c r="AG9967" s="21"/>
      <c r="AH9967" s="21">
        <f t="shared" si="211"/>
        <v>96</v>
      </c>
      <c r="AI9967" s="21"/>
      <c r="AJ9967" s="21" t="s">
        <v>51</v>
      </c>
      <c r="AK9967" s="21" t="s">
        <v>52</v>
      </c>
      <c r="AL9967" s="21" t="s">
        <v>7105</v>
      </c>
      <c r="AM9967" s="21" t="s">
        <v>7587</v>
      </c>
      <c r="AN9967" s="21">
        <v>-122.414646733333</v>
      </c>
      <c r="AO9967" s="21">
        <v>37.800711966666697</v>
      </c>
      <c r="AP9967" s="21" t="s">
        <v>116</v>
      </c>
    </row>
    <row r="9968" spans="1:42">
      <c r="A9968" s="20">
        <v>43872</v>
      </c>
      <c r="B9968" s="21">
        <v>2</v>
      </c>
      <c r="C9968" s="21">
        <v>232</v>
      </c>
      <c r="D9968" s="21">
        <v>14476</v>
      </c>
      <c r="E9968" s="7" t="s">
        <v>112</v>
      </c>
      <c r="F9968" s="21" t="s">
        <v>104</v>
      </c>
      <c r="G9968" s="21">
        <v>2</v>
      </c>
      <c r="H9968" s="21">
        <v>113</v>
      </c>
      <c r="I9968" s="21" t="s">
        <v>7588</v>
      </c>
      <c r="J9968" s="21"/>
      <c r="K9968" s="21" t="s">
        <v>148</v>
      </c>
      <c r="L9968" s="21" t="s">
        <v>141</v>
      </c>
      <c r="M9968" s="21" t="s">
        <v>7038</v>
      </c>
      <c r="N9968" s="21" t="s">
        <v>40</v>
      </c>
      <c r="O9968" s="21">
        <v>34</v>
      </c>
      <c r="P9968" s="21"/>
      <c r="Q9968" s="21">
        <f t="shared" si="212"/>
        <v>2</v>
      </c>
      <c r="R9968" s="21">
        <v>1</v>
      </c>
      <c r="S9968" s="21">
        <v>0</v>
      </c>
      <c r="T9968" s="21">
        <v>0</v>
      </c>
      <c r="U9968" s="21">
        <v>2</v>
      </c>
      <c r="V9968" s="21">
        <v>0</v>
      </c>
      <c r="W9968" s="21">
        <v>0</v>
      </c>
      <c r="X9968" s="21">
        <v>0</v>
      </c>
      <c r="Y9968" s="21">
        <v>0</v>
      </c>
      <c r="Z9968" s="21">
        <v>0</v>
      </c>
      <c r="AA9968" s="21">
        <v>0</v>
      </c>
      <c r="AB9968" s="21">
        <v>0</v>
      </c>
      <c r="AC9968" s="21">
        <v>0</v>
      </c>
      <c r="AD9968" s="21">
        <v>0</v>
      </c>
      <c r="AE9968" s="21">
        <v>0</v>
      </c>
      <c r="AF9968" s="21">
        <v>0</v>
      </c>
      <c r="AG9968" s="21"/>
      <c r="AH9968" s="21">
        <f t="shared" si="211"/>
        <v>64</v>
      </c>
      <c r="AI9968" s="21"/>
      <c r="AJ9968" s="21" t="s">
        <v>51</v>
      </c>
      <c r="AK9968" s="21" t="s">
        <v>52</v>
      </c>
      <c r="AL9968" s="21"/>
      <c r="AM9968" s="21" t="s">
        <v>7589</v>
      </c>
      <c r="AN9968" s="21">
        <v>-122.41463</v>
      </c>
      <c r="AO9968" s="21">
        <v>37.8007450333333</v>
      </c>
      <c r="AP9968" s="21" t="s">
        <v>116</v>
      </c>
    </row>
    <row r="9969" spans="1:42">
      <c r="A9969" s="20">
        <v>43872</v>
      </c>
      <c r="B9969" s="21">
        <v>2</v>
      </c>
      <c r="C9969" s="21">
        <v>232</v>
      </c>
      <c r="D9969" s="21">
        <v>14476</v>
      </c>
      <c r="E9969" s="7" t="s">
        <v>112</v>
      </c>
      <c r="F9969" s="21" t="s">
        <v>104</v>
      </c>
      <c r="G9969" s="21">
        <v>2</v>
      </c>
      <c r="H9969" s="21">
        <v>114</v>
      </c>
      <c r="I9969" s="21" t="s">
        <v>7590</v>
      </c>
      <c r="J9969" s="21"/>
      <c r="K9969" s="21" t="s">
        <v>101</v>
      </c>
      <c r="L9969" s="21" t="s">
        <v>141</v>
      </c>
      <c r="M9969" s="21" t="s">
        <v>7038</v>
      </c>
      <c r="N9969" s="21" t="s">
        <v>44</v>
      </c>
      <c r="O9969" s="21">
        <v>60</v>
      </c>
      <c r="P9969" s="21"/>
      <c r="Q9969" s="21">
        <f t="shared" si="212"/>
        <v>1</v>
      </c>
      <c r="R9969" s="21">
        <v>1</v>
      </c>
      <c r="S9969" s="21">
        <v>0</v>
      </c>
      <c r="T9969" s="21">
        <v>0</v>
      </c>
      <c r="U9969" s="21">
        <v>0</v>
      </c>
      <c r="V9969" s="21">
        <v>0</v>
      </c>
      <c r="W9969" s="21">
        <v>1</v>
      </c>
      <c r="X9969" s="21">
        <v>0</v>
      </c>
      <c r="Y9969" s="21">
        <v>0</v>
      </c>
      <c r="Z9969" s="21">
        <v>0</v>
      </c>
      <c r="AA9969" s="21">
        <v>0</v>
      </c>
      <c r="AB9969" s="21">
        <v>0</v>
      </c>
      <c r="AC9969" s="21">
        <v>0</v>
      </c>
      <c r="AD9969" s="21">
        <v>0</v>
      </c>
      <c r="AE9969" s="21">
        <v>0</v>
      </c>
      <c r="AF9969" s="21">
        <v>0</v>
      </c>
      <c r="AG9969" s="21"/>
      <c r="AH9969" s="21">
        <f t="shared" si="211"/>
        <v>96</v>
      </c>
      <c r="AI9969" s="21"/>
      <c r="AJ9969" s="21" t="s">
        <v>51</v>
      </c>
      <c r="AK9969" s="21" t="s">
        <v>52</v>
      </c>
      <c r="AL9969" s="21" t="s">
        <v>7591</v>
      </c>
      <c r="AM9969" s="21" t="s">
        <v>7592</v>
      </c>
      <c r="AN9969" s="21">
        <v>-122.41452408333301</v>
      </c>
      <c r="AO9969" s="21">
        <v>37.800676816666602</v>
      </c>
      <c r="AP9969" s="21" t="s">
        <v>116</v>
      </c>
    </row>
    <row r="9970" spans="1:42">
      <c r="A9970" s="20">
        <v>43872</v>
      </c>
      <c r="B9970" s="21">
        <v>2</v>
      </c>
      <c r="C9970" s="21">
        <v>232</v>
      </c>
      <c r="D9970" s="21">
        <v>14476</v>
      </c>
      <c r="E9970" s="7" t="s">
        <v>112</v>
      </c>
      <c r="F9970" s="21" t="s">
        <v>104</v>
      </c>
      <c r="G9970" s="21">
        <v>2</v>
      </c>
      <c r="H9970" s="21">
        <v>115</v>
      </c>
      <c r="I9970" s="21" t="s">
        <v>4352</v>
      </c>
      <c r="J9970" s="21"/>
      <c r="K9970" s="21" t="s">
        <v>1147</v>
      </c>
      <c r="L9970" s="21" t="s">
        <v>114</v>
      </c>
      <c r="M9970" s="21" t="s">
        <v>7038</v>
      </c>
      <c r="N9970" s="21" t="s">
        <v>40</v>
      </c>
      <c r="O9970" s="21">
        <v>27</v>
      </c>
      <c r="P9970" s="21"/>
      <c r="Q9970" s="21">
        <f t="shared" si="212"/>
        <v>2</v>
      </c>
      <c r="R9970" s="21">
        <v>1</v>
      </c>
      <c r="S9970" s="21">
        <v>1</v>
      </c>
      <c r="T9970" s="21">
        <v>0</v>
      </c>
      <c r="U9970" s="21">
        <v>0</v>
      </c>
      <c r="V9970" s="21">
        <v>0</v>
      </c>
      <c r="W9970" s="21">
        <v>1</v>
      </c>
      <c r="X9970" s="21">
        <v>0</v>
      </c>
      <c r="Y9970" s="21">
        <v>0</v>
      </c>
      <c r="Z9970" s="21">
        <v>0</v>
      </c>
      <c r="AA9970" s="21">
        <v>0</v>
      </c>
      <c r="AB9970" s="21">
        <v>0</v>
      </c>
      <c r="AC9970" s="21">
        <v>0</v>
      </c>
      <c r="AD9970" s="21">
        <v>0</v>
      </c>
      <c r="AE9970" s="21">
        <v>0</v>
      </c>
      <c r="AF9970" s="21">
        <v>0</v>
      </c>
      <c r="AG9970" s="21"/>
      <c r="AH9970" s="21">
        <f t="shared" si="211"/>
        <v>112</v>
      </c>
      <c r="AI9970" s="21"/>
      <c r="AJ9970" s="21" t="s">
        <v>51</v>
      </c>
      <c r="AK9970" s="21" t="s">
        <v>52</v>
      </c>
      <c r="AL9970" s="21"/>
      <c r="AM9970" s="21" t="s">
        <v>7593</v>
      </c>
      <c r="AN9970" s="21">
        <v>-122.41369203333301</v>
      </c>
      <c r="AO9970" s="21">
        <v>37.801842483333303</v>
      </c>
      <c r="AP9970" s="21" t="s">
        <v>116</v>
      </c>
    </row>
    <row r="9971" spans="1:42">
      <c r="A9971" s="20">
        <v>43872</v>
      </c>
      <c r="B9971" s="21">
        <v>2</v>
      </c>
      <c r="C9971" s="21">
        <v>232</v>
      </c>
      <c r="D9971" s="21">
        <v>14476</v>
      </c>
      <c r="E9971" s="7" t="s">
        <v>112</v>
      </c>
      <c r="F9971" s="21" t="s">
        <v>104</v>
      </c>
      <c r="G9971" s="21">
        <v>2</v>
      </c>
      <c r="H9971" s="21">
        <v>116</v>
      </c>
      <c r="I9971" s="21" t="s">
        <v>7415</v>
      </c>
      <c r="J9971" s="21"/>
      <c r="K9971" s="21" t="s">
        <v>1147</v>
      </c>
      <c r="L9971" s="21" t="s">
        <v>114</v>
      </c>
      <c r="M9971" s="21" t="s">
        <v>6618</v>
      </c>
      <c r="N9971" s="21" t="s">
        <v>40</v>
      </c>
      <c r="O9971" s="21">
        <v>37</v>
      </c>
      <c r="P9971" s="21"/>
      <c r="Q9971" s="21">
        <f t="shared" si="212"/>
        <v>2</v>
      </c>
      <c r="R9971" s="21">
        <v>1</v>
      </c>
      <c r="S9971" s="21">
        <v>0</v>
      </c>
      <c r="T9971" s="21">
        <v>1</v>
      </c>
      <c r="U9971" s="21">
        <v>0</v>
      </c>
      <c r="V9971" s="21">
        <v>0</v>
      </c>
      <c r="W9971" s="21">
        <v>1</v>
      </c>
      <c r="X9971" s="21">
        <v>0</v>
      </c>
      <c r="Y9971" s="21">
        <v>0</v>
      </c>
      <c r="Z9971" s="21">
        <v>0</v>
      </c>
      <c r="AA9971" s="21">
        <v>0</v>
      </c>
      <c r="AB9971" s="21">
        <v>0</v>
      </c>
      <c r="AC9971" s="21">
        <v>0</v>
      </c>
      <c r="AD9971" s="21">
        <v>0</v>
      </c>
      <c r="AE9971" s="21">
        <v>0</v>
      </c>
      <c r="AF9971" s="21">
        <v>0</v>
      </c>
      <c r="AG9971" s="21"/>
      <c r="AH9971" s="21">
        <f t="shared" si="211"/>
        <v>116</v>
      </c>
      <c r="AI9971" s="21"/>
      <c r="AJ9971" s="21" t="s">
        <v>51</v>
      </c>
      <c r="AK9971" s="21" t="s">
        <v>52</v>
      </c>
      <c r="AL9971" s="21"/>
      <c r="AM9971" s="21" t="s">
        <v>7594</v>
      </c>
      <c r="AN9971" s="21">
        <v>-122.41395793333299</v>
      </c>
      <c r="AO9971" s="21">
        <v>37.8018252166667</v>
      </c>
      <c r="AP9971" s="21" t="s">
        <v>116</v>
      </c>
    </row>
    <row r="9972" spans="1:42">
      <c r="A9972" s="20">
        <v>43872</v>
      </c>
      <c r="B9972" s="21">
        <v>2</v>
      </c>
      <c r="C9972" s="21">
        <v>232</v>
      </c>
      <c r="D9972" s="21">
        <v>14476</v>
      </c>
      <c r="E9972" s="7" t="s">
        <v>112</v>
      </c>
      <c r="F9972" s="21" t="s">
        <v>104</v>
      </c>
      <c r="G9972" s="21">
        <v>2</v>
      </c>
      <c r="H9972" s="21">
        <v>117</v>
      </c>
      <c r="I9972" s="21" t="s">
        <v>7123</v>
      </c>
      <c r="J9972" s="21"/>
      <c r="K9972" s="21" t="s">
        <v>1147</v>
      </c>
      <c r="L9972" s="21" t="s">
        <v>141</v>
      </c>
      <c r="M9972" s="21" t="s">
        <v>7038</v>
      </c>
      <c r="N9972" s="21" t="s">
        <v>44</v>
      </c>
      <c r="O9972" s="21">
        <v>85</v>
      </c>
      <c r="P9972" s="21"/>
      <c r="Q9972" s="21">
        <f t="shared" si="212"/>
        <v>1</v>
      </c>
      <c r="R9972" s="21">
        <v>1</v>
      </c>
      <c r="S9972" s="21">
        <v>0</v>
      </c>
      <c r="T9972" s="21">
        <v>0</v>
      </c>
      <c r="U9972" s="21">
        <v>0</v>
      </c>
      <c r="V9972" s="21">
        <v>0</v>
      </c>
      <c r="W9972" s="21">
        <v>1</v>
      </c>
      <c r="X9972" s="21">
        <v>0</v>
      </c>
      <c r="Y9972" s="21">
        <v>0</v>
      </c>
      <c r="Z9972" s="21">
        <v>0</v>
      </c>
      <c r="AA9972" s="21">
        <v>0</v>
      </c>
      <c r="AB9972" s="21">
        <v>0</v>
      </c>
      <c r="AC9972" s="21">
        <v>0</v>
      </c>
      <c r="AD9972" s="21">
        <v>0</v>
      </c>
      <c r="AE9972" s="21">
        <v>0</v>
      </c>
      <c r="AF9972" s="21">
        <v>0</v>
      </c>
      <c r="AG9972" s="21"/>
      <c r="AH9972" s="21">
        <f t="shared" si="211"/>
        <v>96</v>
      </c>
      <c r="AI9972" s="21"/>
      <c r="AJ9972" s="21" t="s">
        <v>51</v>
      </c>
      <c r="AK9972" s="21" t="s">
        <v>52</v>
      </c>
      <c r="AL9972" s="21" t="s">
        <v>7595</v>
      </c>
      <c r="AM9972" s="21" t="s">
        <v>7596</v>
      </c>
      <c r="AN9972" s="21">
        <v>-122.414103383333</v>
      </c>
      <c r="AO9972" s="21">
        <v>37.801795116666597</v>
      </c>
      <c r="AP9972" s="21" t="s">
        <v>116</v>
      </c>
    </row>
    <row r="9973" spans="1:42">
      <c r="A9973" s="20">
        <v>43872</v>
      </c>
      <c r="B9973" s="21">
        <v>2</v>
      </c>
      <c r="C9973" s="21">
        <v>232</v>
      </c>
      <c r="D9973" s="21">
        <v>14476</v>
      </c>
      <c r="E9973" s="7" t="s">
        <v>112</v>
      </c>
      <c r="F9973" s="21" t="s">
        <v>104</v>
      </c>
      <c r="G9973" s="21">
        <v>2</v>
      </c>
      <c r="H9973" s="21">
        <v>118</v>
      </c>
      <c r="I9973" s="21" t="s">
        <v>7597</v>
      </c>
      <c r="J9973" s="21"/>
      <c r="K9973" s="21" t="s">
        <v>1147</v>
      </c>
      <c r="L9973" s="21" t="s">
        <v>114</v>
      </c>
      <c r="M9973" s="21" t="s">
        <v>7038</v>
      </c>
      <c r="N9973" s="21" t="s">
        <v>44</v>
      </c>
      <c r="O9973" s="21">
        <v>130</v>
      </c>
      <c r="P9973" s="21"/>
      <c r="Q9973" s="21">
        <f t="shared" si="212"/>
        <v>1</v>
      </c>
      <c r="R9973" s="21">
        <v>1</v>
      </c>
      <c r="S9973" s="21">
        <v>0</v>
      </c>
      <c r="T9973" s="21">
        <v>0</v>
      </c>
      <c r="U9973" s="21">
        <v>0</v>
      </c>
      <c r="V9973" s="21">
        <v>0</v>
      </c>
      <c r="W9973" s="21">
        <v>1</v>
      </c>
      <c r="X9973" s="21">
        <v>0</v>
      </c>
      <c r="Y9973" s="21">
        <v>0</v>
      </c>
      <c r="Z9973" s="21">
        <v>0</v>
      </c>
      <c r="AA9973" s="21">
        <v>0</v>
      </c>
      <c r="AB9973" s="21">
        <v>0</v>
      </c>
      <c r="AC9973" s="21">
        <v>0</v>
      </c>
      <c r="AD9973" s="21">
        <v>0</v>
      </c>
      <c r="AE9973" s="21">
        <v>0</v>
      </c>
      <c r="AF9973" s="21">
        <v>0</v>
      </c>
      <c r="AG9973" s="21"/>
      <c r="AH9973" s="21">
        <f t="shared" ref="AH9973:AH10036" si="213">(S9973*16)+(T9973*20)+(U9973*32)+(V9973*64)+(W9973*96)</f>
        <v>96</v>
      </c>
      <c r="AI9973" s="21"/>
      <c r="AJ9973" s="21" t="s">
        <v>51</v>
      </c>
      <c r="AK9973" s="21" t="s">
        <v>52</v>
      </c>
      <c r="AL9973" s="21" t="s">
        <v>7598</v>
      </c>
      <c r="AM9973" s="21" t="s">
        <v>7599</v>
      </c>
      <c r="AN9973" s="21">
        <v>-122.414212416667</v>
      </c>
      <c r="AO9973" s="21">
        <v>37.801798583333301</v>
      </c>
      <c r="AP9973" s="21" t="s">
        <v>116</v>
      </c>
    </row>
    <row r="9974" spans="1:42">
      <c r="A9974" s="20">
        <v>43872</v>
      </c>
      <c r="B9974" s="21">
        <v>2</v>
      </c>
      <c r="C9974" s="21">
        <v>232</v>
      </c>
      <c r="D9974" s="21">
        <v>14476</v>
      </c>
      <c r="E9974" s="7" t="s">
        <v>112</v>
      </c>
      <c r="F9974" s="21" t="s">
        <v>104</v>
      </c>
      <c r="G9974" s="21">
        <v>2</v>
      </c>
      <c r="H9974" s="21">
        <v>119</v>
      </c>
      <c r="I9974" s="21" t="s">
        <v>7600</v>
      </c>
      <c r="J9974" s="21"/>
      <c r="K9974" s="21" t="s">
        <v>1147</v>
      </c>
      <c r="L9974" s="21" t="s">
        <v>114</v>
      </c>
      <c r="M9974" s="21" t="s">
        <v>7038</v>
      </c>
      <c r="N9974" s="21" t="s">
        <v>40</v>
      </c>
      <c r="O9974" s="21">
        <v>81</v>
      </c>
      <c r="P9974" s="21"/>
      <c r="Q9974" s="21">
        <f t="shared" si="212"/>
        <v>5</v>
      </c>
      <c r="R9974" s="21">
        <v>1</v>
      </c>
      <c r="S9974" s="21">
        <v>1</v>
      </c>
      <c r="T9974" s="21">
        <v>0</v>
      </c>
      <c r="U9974" s="21">
        <v>3</v>
      </c>
      <c r="V9974" s="21">
        <v>1</v>
      </c>
      <c r="W9974" s="21">
        <v>0</v>
      </c>
      <c r="X9974" s="21">
        <v>0</v>
      </c>
      <c r="Y9974" s="21">
        <v>0</v>
      </c>
      <c r="Z9974" s="21">
        <v>0</v>
      </c>
      <c r="AA9974" s="21">
        <v>0</v>
      </c>
      <c r="AB9974" s="21">
        <v>0</v>
      </c>
      <c r="AC9974" s="21">
        <v>0</v>
      </c>
      <c r="AD9974" s="21">
        <v>0</v>
      </c>
      <c r="AE9974" s="21">
        <v>0</v>
      </c>
      <c r="AF9974" s="21">
        <v>0</v>
      </c>
      <c r="AG9974" s="21"/>
      <c r="AH9974" s="21">
        <f t="shared" si="213"/>
        <v>176</v>
      </c>
      <c r="AI9974" s="21"/>
      <c r="AJ9974" s="21" t="s">
        <v>54</v>
      </c>
      <c r="AK9974" s="21" t="s">
        <v>52</v>
      </c>
      <c r="AL9974" s="21"/>
      <c r="AM9974" s="21" t="s">
        <v>7601</v>
      </c>
      <c r="AN9974" s="21">
        <v>-122.414773333333</v>
      </c>
      <c r="AO9974" s="21">
        <v>37.801754150000001</v>
      </c>
      <c r="AP9974" s="21" t="s">
        <v>116</v>
      </c>
    </row>
    <row r="9975" spans="1:42">
      <c r="A9975" s="20">
        <v>43872</v>
      </c>
      <c r="B9975" s="21">
        <v>2</v>
      </c>
      <c r="C9975" s="21">
        <v>232</v>
      </c>
      <c r="D9975" s="21">
        <v>14476</v>
      </c>
      <c r="E9975" s="7" t="s">
        <v>112</v>
      </c>
      <c r="F9975" s="21" t="s">
        <v>104</v>
      </c>
      <c r="G9975" s="21">
        <v>2</v>
      </c>
      <c r="H9975" s="21">
        <v>120</v>
      </c>
      <c r="I9975" s="21" t="s">
        <v>7602</v>
      </c>
      <c r="J9975" s="21"/>
      <c r="K9975" s="21" t="s">
        <v>1147</v>
      </c>
      <c r="L9975" s="21" t="s">
        <v>114</v>
      </c>
      <c r="M9975" s="21" t="s">
        <v>7038</v>
      </c>
      <c r="N9975" s="21" t="s">
        <v>40</v>
      </c>
      <c r="O9975" s="21">
        <v>42</v>
      </c>
      <c r="P9975" s="21"/>
      <c r="Q9975" s="21">
        <f t="shared" si="212"/>
        <v>2</v>
      </c>
      <c r="R9975" s="21">
        <v>1</v>
      </c>
      <c r="S9975" s="21">
        <v>0</v>
      </c>
      <c r="T9975" s="21">
        <v>0</v>
      </c>
      <c r="U9975" s="21">
        <v>0</v>
      </c>
      <c r="V9975" s="21">
        <v>0</v>
      </c>
      <c r="W9975" s="21">
        <v>2</v>
      </c>
      <c r="X9975" s="21">
        <v>0</v>
      </c>
      <c r="Y9975" s="21">
        <v>0</v>
      </c>
      <c r="Z9975" s="21">
        <v>0</v>
      </c>
      <c r="AA9975" s="21">
        <v>0</v>
      </c>
      <c r="AB9975" s="21">
        <v>0</v>
      </c>
      <c r="AC9975" s="21">
        <v>0</v>
      </c>
      <c r="AD9975" s="21">
        <v>0</v>
      </c>
      <c r="AE9975" s="21">
        <v>0</v>
      </c>
      <c r="AF9975" s="21">
        <v>0</v>
      </c>
      <c r="AG9975" s="21"/>
      <c r="AH9975" s="21">
        <f t="shared" si="213"/>
        <v>192</v>
      </c>
      <c r="AI9975" s="21"/>
      <c r="AJ9975" s="21" t="s">
        <v>54</v>
      </c>
      <c r="AK9975" s="21" t="s">
        <v>52</v>
      </c>
      <c r="AL9975" s="21"/>
      <c r="AM9975" s="21" t="s">
        <v>7603</v>
      </c>
      <c r="AN9975" s="21">
        <v>-122.4149426</v>
      </c>
      <c r="AO9975" s="21">
        <v>37.8016857</v>
      </c>
      <c r="AP9975" s="21" t="s">
        <v>116</v>
      </c>
    </row>
    <row r="9976" spans="1:42">
      <c r="A9976" s="20">
        <v>43872</v>
      </c>
      <c r="B9976" s="21">
        <v>2</v>
      </c>
      <c r="C9976" s="21">
        <v>232</v>
      </c>
      <c r="D9976" s="21">
        <v>14476</v>
      </c>
      <c r="E9976" s="7" t="s">
        <v>112</v>
      </c>
      <c r="F9976" s="21" t="s">
        <v>104</v>
      </c>
      <c r="G9976" s="21">
        <v>2</v>
      </c>
      <c r="H9976" s="21">
        <v>121</v>
      </c>
      <c r="I9976" s="21" t="s">
        <v>7604</v>
      </c>
      <c r="J9976" s="21"/>
      <c r="K9976" s="21" t="s">
        <v>1147</v>
      </c>
      <c r="L9976" s="21" t="s">
        <v>114</v>
      </c>
      <c r="M9976" s="21" t="s">
        <v>7038</v>
      </c>
      <c r="N9976" s="21" t="s">
        <v>44</v>
      </c>
      <c r="O9976" s="21">
        <v>93</v>
      </c>
      <c r="P9976" s="21"/>
      <c r="Q9976" s="21">
        <f t="shared" si="212"/>
        <v>1</v>
      </c>
      <c r="R9976" s="21">
        <v>1</v>
      </c>
      <c r="S9976" s="21">
        <v>0</v>
      </c>
      <c r="T9976" s="21">
        <v>0</v>
      </c>
      <c r="U9976" s="21">
        <v>0</v>
      </c>
      <c r="V9976" s="21">
        <v>0</v>
      </c>
      <c r="W9976" s="21">
        <v>1</v>
      </c>
      <c r="X9976" s="21">
        <v>0</v>
      </c>
      <c r="Y9976" s="21">
        <v>0</v>
      </c>
      <c r="Z9976" s="21">
        <v>0</v>
      </c>
      <c r="AA9976" s="21">
        <v>0</v>
      </c>
      <c r="AB9976" s="21">
        <v>0</v>
      </c>
      <c r="AC9976" s="21">
        <v>0</v>
      </c>
      <c r="AD9976" s="21">
        <v>0</v>
      </c>
      <c r="AE9976" s="21">
        <v>0</v>
      </c>
      <c r="AF9976" s="21">
        <v>0</v>
      </c>
      <c r="AG9976" s="21"/>
      <c r="AH9976" s="21">
        <f t="shared" si="213"/>
        <v>96</v>
      </c>
      <c r="AI9976" s="21"/>
      <c r="AJ9976" s="21" t="s">
        <v>54</v>
      </c>
      <c r="AK9976" s="21" t="s">
        <v>52</v>
      </c>
      <c r="AL9976" s="21" t="s">
        <v>7605</v>
      </c>
      <c r="AM9976" s="21" t="s">
        <v>7606</v>
      </c>
      <c r="AN9976" s="21">
        <v>-122.41502885</v>
      </c>
      <c r="AO9976" s="21">
        <v>37.801682733333301</v>
      </c>
      <c r="AP9976" s="21" t="s">
        <v>116</v>
      </c>
    </row>
    <row r="9977" spans="1:42">
      <c r="A9977" s="20">
        <v>43872</v>
      </c>
      <c r="B9977" s="21">
        <v>2</v>
      </c>
      <c r="C9977" s="21">
        <v>232</v>
      </c>
      <c r="D9977" s="21">
        <v>14476</v>
      </c>
      <c r="E9977" s="7" t="s">
        <v>112</v>
      </c>
      <c r="F9977" s="21" t="s">
        <v>104</v>
      </c>
      <c r="G9977" s="21">
        <v>2</v>
      </c>
      <c r="H9977" s="21">
        <v>122</v>
      </c>
      <c r="I9977" s="21" t="s">
        <v>7607</v>
      </c>
      <c r="J9977" s="21"/>
      <c r="K9977" s="21" t="s">
        <v>1147</v>
      </c>
      <c r="L9977" s="21" t="s">
        <v>114</v>
      </c>
      <c r="M9977" s="21" t="s">
        <v>7038</v>
      </c>
      <c r="N9977" s="21" t="s">
        <v>40</v>
      </c>
      <c r="O9977" s="21">
        <v>67</v>
      </c>
      <c r="P9977" s="21"/>
      <c r="Q9977" s="21">
        <f t="shared" si="212"/>
        <v>3</v>
      </c>
      <c r="R9977" s="21">
        <v>1</v>
      </c>
      <c r="S9977" s="21">
        <v>0</v>
      </c>
      <c r="T9977" s="21">
        <v>1</v>
      </c>
      <c r="U9977" s="21">
        <v>2</v>
      </c>
      <c r="V9977" s="21">
        <v>0</v>
      </c>
      <c r="W9977" s="21">
        <v>0</v>
      </c>
      <c r="X9977" s="21">
        <v>0</v>
      </c>
      <c r="Y9977" s="21">
        <v>0</v>
      </c>
      <c r="Z9977" s="21">
        <v>0</v>
      </c>
      <c r="AA9977" s="21">
        <v>0</v>
      </c>
      <c r="AB9977" s="21">
        <v>0</v>
      </c>
      <c r="AC9977" s="21">
        <v>0</v>
      </c>
      <c r="AD9977" s="21">
        <v>0</v>
      </c>
      <c r="AE9977" s="21">
        <v>0</v>
      </c>
      <c r="AF9977" s="21">
        <v>0</v>
      </c>
      <c r="AG9977" s="21"/>
      <c r="AH9977" s="21">
        <f t="shared" si="213"/>
        <v>84</v>
      </c>
      <c r="AI9977" s="21"/>
      <c r="AJ9977" s="21" t="s">
        <v>54</v>
      </c>
      <c r="AK9977" s="21" t="s">
        <v>52</v>
      </c>
      <c r="AL9977" s="21"/>
      <c r="AM9977" s="21" t="s">
        <v>7608</v>
      </c>
      <c r="AN9977" s="21">
        <v>-122.415326633333</v>
      </c>
      <c r="AO9977" s="21">
        <v>37.801670983333302</v>
      </c>
      <c r="AP9977" s="21" t="s">
        <v>116</v>
      </c>
    </row>
    <row r="9978" spans="1:42">
      <c r="A9978" s="20">
        <v>43872</v>
      </c>
      <c r="B9978" s="21">
        <v>2</v>
      </c>
      <c r="C9978" s="21">
        <v>232</v>
      </c>
      <c r="D9978" s="21">
        <v>14476</v>
      </c>
      <c r="E9978" s="7" t="s">
        <v>112</v>
      </c>
      <c r="F9978" s="21" t="s">
        <v>104</v>
      </c>
      <c r="G9978" s="21">
        <v>2</v>
      </c>
      <c r="H9978" s="21">
        <v>123</v>
      </c>
      <c r="I9978" s="21" t="s">
        <v>7609</v>
      </c>
      <c r="J9978" s="21"/>
      <c r="K9978" s="21" t="s">
        <v>1147</v>
      </c>
      <c r="L9978" s="21" t="s">
        <v>114</v>
      </c>
      <c r="M9978" s="21" t="s">
        <v>7038</v>
      </c>
      <c r="N9978" s="21" t="s">
        <v>40</v>
      </c>
      <c r="O9978" s="21">
        <v>59</v>
      </c>
      <c r="P9978" s="21"/>
      <c r="Q9978" s="21">
        <f t="shared" si="212"/>
        <v>3</v>
      </c>
      <c r="R9978" s="21">
        <v>1</v>
      </c>
      <c r="S9978" s="21">
        <v>2</v>
      </c>
      <c r="T9978" s="21">
        <v>0</v>
      </c>
      <c r="U9978" s="21">
        <v>1</v>
      </c>
      <c r="V9978" s="21">
        <v>0</v>
      </c>
      <c r="W9978" s="21">
        <v>0</v>
      </c>
      <c r="X9978" s="21">
        <v>0</v>
      </c>
      <c r="Y9978" s="21">
        <v>0</v>
      </c>
      <c r="Z9978" s="21">
        <v>0</v>
      </c>
      <c r="AA9978" s="21">
        <v>0</v>
      </c>
      <c r="AB9978" s="21">
        <v>0</v>
      </c>
      <c r="AC9978" s="21">
        <v>0</v>
      </c>
      <c r="AD9978" s="21">
        <v>0</v>
      </c>
      <c r="AE9978" s="21">
        <v>0</v>
      </c>
      <c r="AF9978" s="21">
        <v>0</v>
      </c>
      <c r="AG9978" s="21"/>
      <c r="AH9978" s="21">
        <f t="shared" si="213"/>
        <v>64</v>
      </c>
      <c r="AI9978" s="21"/>
      <c r="AJ9978" s="21" t="s">
        <v>51</v>
      </c>
      <c r="AK9978" s="21" t="s">
        <v>52</v>
      </c>
      <c r="AL9978" s="21"/>
      <c r="AM9978" s="21" t="s">
        <v>7610</v>
      </c>
      <c r="AN9978" s="21">
        <v>-122.41544175</v>
      </c>
      <c r="AO9978" s="21">
        <v>37.801634016666597</v>
      </c>
      <c r="AP9978" s="21" t="s">
        <v>116</v>
      </c>
    </row>
    <row r="9979" spans="1:42">
      <c r="A9979" s="20">
        <v>43872</v>
      </c>
      <c r="B9979" s="21">
        <v>2</v>
      </c>
      <c r="C9979" s="21">
        <v>232</v>
      </c>
      <c r="D9979" s="21">
        <v>14476</v>
      </c>
      <c r="E9979" s="7" t="s">
        <v>112</v>
      </c>
      <c r="F9979" s="21" t="s">
        <v>104</v>
      </c>
      <c r="G9979" s="21">
        <v>2</v>
      </c>
      <c r="H9979" s="21">
        <v>124</v>
      </c>
      <c r="I9979" s="21" t="s">
        <v>7611</v>
      </c>
      <c r="J9979" s="21"/>
      <c r="K9979" s="21" t="s">
        <v>1147</v>
      </c>
      <c r="L9979" s="21" t="s">
        <v>114</v>
      </c>
      <c r="M9979" s="21" t="s">
        <v>7038</v>
      </c>
      <c r="N9979" s="21" t="s">
        <v>40</v>
      </c>
      <c r="O9979" s="21">
        <v>101</v>
      </c>
      <c r="P9979" s="21"/>
      <c r="Q9979" s="21">
        <f t="shared" si="212"/>
        <v>5</v>
      </c>
      <c r="R9979" s="21">
        <v>1</v>
      </c>
      <c r="S9979" s="21">
        <v>2</v>
      </c>
      <c r="T9979" s="21">
        <v>1</v>
      </c>
      <c r="U9979" s="21">
        <v>1</v>
      </c>
      <c r="V9979" s="21">
        <v>1</v>
      </c>
      <c r="W9979" s="21">
        <v>0</v>
      </c>
      <c r="X9979" s="21">
        <v>0</v>
      </c>
      <c r="Y9979" s="21">
        <v>0</v>
      </c>
      <c r="Z9979" s="21">
        <v>0</v>
      </c>
      <c r="AA9979" s="21">
        <v>0</v>
      </c>
      <c r="AB9979" s="21">
        <v>0</v>
      </c>
      <c r="AC9979" s="21">
        <v>0</v>
      </c>
      <c r="AD9979" s="21">
        <v>0</v>
      </c>
      <c r="AE9979" s="21">
        <v>0</v>
      </c>
      <c r="AF9979" s="21">
        <v>0</v>
      </c>
      <c r="AG9979" s="21"/>
      <c r="AH9979" s="21">
        <f t="shared" si="213"/>
        <v>148</v>
      </c>
      <c r="AI9979" s="21"/>
      <c r="AJ9979" s="21" t="s">
        <v>51</v>
      </c>
      <c r="AK9979" s="21" t="s">
        <v>52</v>
      </c>
      <c r="AL9979" s="21" t="s">
        <v>7430</v>
      </c>
      <c r="AM9979" s="21" t="s">
        <v>7612</v>
      </c>
      <c r="AN9979" s="21">
        <v>-122.41555875</v>
      </c>
      <c r="AO9979" s="21">
        <v>37.801613083333301</v>
      </c>
      <c r="AP9979" s="21" t="s">
        <v>116</v>
      </c>
    </row>
    <row r="9980" spans="1:42">
      <c r="A9980" s="20">
        <v>43872</v>
      </c>
      <c r="B9980" s="21">
        <v>2</v>
      </c>
      <c r="C9980" s="21">
        <v>232</v>
      </c>
      <c r="D9980" s="21">
        <v>14476</v>
      </c>
      <c r="E9980" s="7" t="s">
        <v>112</v>
      </c>
      <c r="F9980" s="21" t="s">
        <v>104</v>
      </c>
      <c r="G9980" s="21">
        <v>2</v>
      </c>
      <c r="H9980" s="21">
        <v>125</v>
      </c>
      <c r="I9980" s="21" t="s">
        <v>7613</v>
      </c>
      <c r="J9980" s="21"/>
      <c r="K9980" s="21" t="s">
        <v>1147</v>
      </c>
      <c r="L9980" s="21" t="s">
        <v>114</v>
      </c>
      <c r="M9980" s="21" t="s">
        <v>7038</v>
      </c>
      <c r="N9980" s="21" t="s">
        <v>44</v>
      </c>
      <c r="O9980" s="21">
        <v>154</v>
      </c>
      <c r="P9980" s="21"/>
      <c r="Q9980" s="21">
        <f t="shared" si="212"/>
        <v>1</v>
      </c>
      <c r="R9980" s="21">
        <v>1</v>
      </c>
      <c r="S9980" s="21">
        <v>0</v>
      </c>
      <c r="T9980" s="21">
        <v>0</v>
      </c>
      <c r="U9980" s="21">
        <v>0</v>
      </c>
      <c r="V9980" s="21">
        <v>0</v>
      </c>
      <c r="W9980" s="21">
        <v>1</v>
      </c>
      <c r="X9980" s="21">
        <v>0</v>
      </c>
      <c r="Y9980" s="21">
        <v>0</v>
      </c>
      <c r="Z9980" s="21">
        <v>0</v>
      </c>
      <c r="AA9980" s="21">
        <v>0</v>
      </c>
      <c r="AB9980" s="21">
        <v>0</v>
      </c>
      <c r="AC9980" s="21">
        <v>0</v>
      </c>
      <c r="AD9980" s="21">
        <v>0</v>
      </c>
      <c r="AE9980" s="21">
        <v>0</v>
      </c>
      <c r="AF9980" s="21">
        <v>0</v>
      </c>
      <c r="AG9980" s="21"/>
      <c r="AH9980" s="21">
        <f t="shared" si="213"/>
        <v>96</v>
      </c>
      <c r="AI9980" s="21"/>
      <c r="AJ9980" s="21" t="s">
        <v>51</v>
      </c>
      <c r="AK9980" s="21" t="s">
        <v>52</v>
      </c>
      <c r="AL9980" s="21" t="s">
        <v>7614</v>
      </c>
      <c r="AM9980" s="21" t="s">
        <v>7615</v>
      </c>
      <c r="AN9980" s="21">
        <v>-122.415593683333</v>
      </c>
      <c r="AO9980" s="21">
        <v>37.801595833333302</v>
      </c>
      <c r="AP9980" s="21" t="s">
        <v>116</v>
      </c>
    </row>
    <row r="9981" spans="1:42">
      <c r="A9981" s="20">
        <v>43872</v>
      </c>
      <c r="B9981" s="21">
        <v>2</v>
      </c>
      <c r="C9981" s="21">
        <v>232</v>
      </c>
      <c r="D9981" s="21">
        <v>14476</v>
      </c>
      <c r="E9981" s="7" t="s">
        <v>112</v>
      </c>
      <c r="F9981" s="21" t="s">
        <v>104</v>
      </c>
      <c r="G9981" s="21">
        <v>2</v>
      </c>
      <c r="H9981" s="21">
        <v>126</v>
      </c>
      <c r="I9981" s="21" t="s">
        <v>7616</v>
      </c>
      <c r="J9981" s="21"/>
      <c r="K9981" s="21" t="s">
        <v>1147</v>
      </c>
      <c r="L9981" s="21" t="s">
        <v>114</v>
      </c>
      <c r="M9981" s="21" t="s">
        <v>7038</v>
      </c>
      <c r="N9981" s="21" t="s">
        <v>44</v>
      </c>
      <c r="O9981" s="21">
        <v>82</v>
      </c>
      <c r="P9981" s="21"/>
      <c r="Q9981" s="21">
        <f t="shared" si="212"/>
        <v>1</v>
      </c>
      <c r="R9981" s="21">
        <v>1</v>
      </c>
      <c r="S9981" s="21">
        <v>0</v>
      </c>
      <c r="T9981" s="21">
        <v>0</v>
      </c>
      <c r="U9981" s="21">
        <v>0</v>
      </c>
      <c r="V9981" s="21">
        <v>0</v>
      </c>
      <c r="W9981" s="21">
        <v>1</v>
      </c>
      <c r="X9981" s="21">
        <v>0</v>
      </c>
      <c r="Y9981" s="21">
        <v>0</v>
      </c>
      <c r="Z9981" s="21">
        <v>0</v>
      </c>
      <c r="AA9981" s="21">
        <v>0</v>
      </c>
      <c r="AB9981" s="21">
        <v>0</v>
      </c>
      <c r="AC9981" s="21">
        <v>0</v>
      </c>
      <c r="AD9981" s="21">
        <v>0</v>
      </c>
      <c r="AE9981" s="21">
        <v>0</v>
      </c>
      <c r="AF9981" s="21">
        <v>0</v>
      </c>
      <c r="AG9981" s="21"/>
      <c r="AH9981" s="21">
        <f t="shared" si="213"/>
        <v>96</v>
      </c>
      <c r="AI9981" s="21"/>
      <c r="AJ9981" s="21" t="s">
        <v>51</v>
      </c>
      <c r="AK9981" s="21" t="s">
        <v>52</v>
      </c>
      <c r="AL9981" s="21" t="s">
        <v>7617</v>
      </c>
      <c r="AM9981" s="21" t="s">
        <v>7618</v>
      </c>
      <c r="AN9981" s="21">
        <v>-122.415644183333</v>
      </c>
      <c r="AO9981" s="21">
        <v>37.801525666666699</v>
      </c>
      <c r="AP9981" s="21" t="s">
        <v>116</v>
      </c>
    </row>
    <row r="9982" spans="1:42">
      <c r="A9982" s="20">
        <v>43872</v>
      </c>
      <c r="B9982" s="21">
        <v>2</v>
      </c>
      <c r="C9982" s="21">
        <v>232</v>
      </c>
      <c r="D9982" s="21">
        <v>14476</v>
      </c>
      <c r="E9982" s="7" t="s">
        <v>112</v>
      </c>
      <c r="F9982" s="21" t="s">
        <v>104</v>
      </c>
      <c r="G9982" s="21">
        <v>2</v>
      </c>
      <c r="H9982" s="21">
        <v>127</v>
      </c>
      <c r="I9982" s="21" t="s">
        <v>7619</v>
      </c>
      <c r="J9982" s="21"/>
      <c r="K9982" s="21" t="s">
        <v>103</v>
      </c>
      <c r="L9982" s="21" t="s">
        <v>114</v>
      </c>
      <c r="M9982" s="21" t="s">
        <v>7038</v>
      </c>
      <c r="N9982" s="21" t="s">
        <v>44</v>
      </c>
      <c r="O9982" s="21">
        <v>42</v>
      </c>
      <c r="P9982" s="21"/>
      <c r="Q9982" s="21">
        <f t="shared" si="212"/>
        <v>1</v>
      </c>
      <c r="R9982" s="21">
        <v>1</v>
      </c>
      <c r="S9982" s="21">
        <v>0</v>
      </c>
      <c r="T9982" s="21">
        <v>0</v>
      </c>
      <c r="U9982" s="21">
        <v>0</v>
      </c>
      <c r="V9982" s="21">
        <v>0</v>
      </c>
      <c r="W9982" s="21">
        <v>1</v>
      </c>
      <c r="X9982" s="21">
        <v>0</v>
      </c>
      <c r="Y9982" s="21">
        <v>0</v>
      </c>
      <c r="Z9982" s="21">
        <v>0</v>
      </c>
      <c r="AA9982" s="21">
        <v>0</v>
      </c>
      <c r="AB9982" s="21">
        <v>0</v>
      </c>
      <c r="AC9982" s="21">
        <v>0</v>
      </c>
      <c r="AD9982" s="21">
        <v>0</v>
      </c>
      <c r="AE9982" s="21">
        <v>0</v>
      </c>
      <c r="AF9982" s="21">
        <v>0</v>
      </c>
      <c r="AG9982" s="21"/>
      <c r="AH9982" s="21">
        <f t="shared" si="213"/>
        <v>96</v>
      </c>
      <c r="AI9982" s="21"/>
      <c r="AJ9982" s="21" t="s">
        <v>51</v>
      </c>
      <c r="AK9982" s="21" t="s">
        <v>95</v>
      </c>
      <c r="AL9982" s="21" t="s">
        <v>7620</v>
      </c>
      <c r="AM9982" s="21" t="s">
        <v>7621</v>
      </c>
      <c r="AN9982" s="21">
        <v>-122.415802483333</v>
      </c>
      <c r="AO9982" s="21">
        <v>37.801486616666701</v>
      </c>
      <c r="AP9982" s="21" t="s">
        <v>116</v>
      </c>
    </row>
    <row r="9983" spans="1:42">
      <c r="A9983" s="20">
        <v>43872</v>
      </c>
      <c r="B9983" s="21">
        <v>2</v>
      </c>
      <c r="C9983" s="21">
        <v>232</v>
      </c>
      <c r="D9983" s="21">
        <v>14476</v>
      </c>
      <c r="E9983" s="7" t="s">
        <v>112</v>
      </c>
      <c r="F9983" s="21" t="s">
        <v>104</v>
      </c>
      <c r="G9983" s="21">
        <v>2</v>
      </c>
      <c r="H9983" s="21">
        <v>128</v>
      </c>
      <c r="I9983" s="21" t="s">
        <v>7622</v>
      </c>
      <c r="J9983" s="21"/>
      <c r="K9983" s="21" t="s">
        <v>1147</v>
      </c>
      <c r="L9983" s="21" t="s">
        <v>141</v>
      </c>
      <c r="M9983" s="21" t="s">
        <v>7038</v>
      </c>
      <c r="N9983" s="21" t="s">
        <v>40</v>
      </c>
      <c r="O9983" s="21">
        <v>23</v>
      </c>
      <c r="P9983" s="21"/>
      <c r="Q9983" s="21">
        <f t="shared" si="212"/>
        <v>2</v>
      </c>
      <c r="R9983" s="21">
        <v>1</v>
      </c>
      <c r="S9983" s="21">
        <v>0</v>
      </c>
      <c r="T9983" s="21">
        <v>0</v>
      </c>
      <c r="U9983" s="21">
        <v>1</v>
      </c>
      <c r="V9983" s="21">
        <v>1</v>
      </c>
      <c r="W9983" s="21">
        <v>0</v>
      </c>
      <c r="X9983" s="21">
        <v>0</v>
      </c>
      <c r="Y9983" s="21">
        <v>0</v>
      </c>
      <c r="Z9983" s="21">
        <v>0</v>
      </c>
      <c r="AA9983" s="21">
        <v>0</v>
      </c>
      <c r="AB9983" s="21">
        <v>0</v>
      </c>
      <c r="AC9983" s="21">
        <v>0</v>
      </c>
      <c r="AD9983" s="21">
        <v>0</v>
      </c>
      <c r="AE9983" s="21">
        <v>0</v>
      </c>
      <c r="AF9983" s="21">
        <v>0</v>
      </c>
      <c r="AG9983" s="21"/>
      <c r="AH9983" s="21">
        <f t="shared" si="213"/>
        <v>96</v>
      </c>
      <c r="AI9983" s="21"/>
      <c r="AJ9983" s="21" t="s">
        <v>51</v>
      </c>
      <c r="AK9983" s="21" t="s">
        <v>52</v>
      </c>
      <c r="AL9983" s="21"/>
      <c r="AM9983" s="21" t="s">
        <v>7623</v>
      </c>
      <c r="AN9983" s="21">
        <v>-122.415861983333</v>
      </c>
      <c r="AO9983" s="21">
        <v>37.801492383333297</v>
      </c>
      <c r="AP9983" s="21" t="s">
        <v>116</v>
      </c>
    </row>
    <row r="9984" spans="1:42">
      <c r="A9984" s="20">
        <v>43872</v>
      </c>
      <c r="B9984" s="21">
        <v>2</v>
      </c>
      <c r="C9984" s="21">
        <v>232</v>
      </c>
      <c r="D9984" s="21">
        <v>14476</v>
      </c>
      <c r="E9984" s="7" t="s">
        <v>112</v>
      </c>
      <c r="F9984" s="21" t="s">
        <v>104</v>
      </c>
      <c r="G9984" s="21">
        <v>2</v>
      </c>
      <c r="H9984" s="21">
        <v>129</v>
      </c>
      <c r="I9984" s="21" t="s">
        <v>7624</v>
      </c>
      <c r="J9984" s="21"/>
      <c r="K9984" s="21" t="s">
        <v>1147</v>
      </c>
      <c r="L9984" s="21" t="s">
        <v>141</v>
      </c>
      <c r="M9984" s="21" t="s">
        <v>7038</v>
      </c>
      <c r="N9984" s="21" t="s">
        <v>40</v>
      </c>
      <c r="O9984" s="21">
        <v>48</v>
      </c>
      <c r="P9984" s="21"/>
      <c r="Q9984" s="21">
        <f t="shared" si="212"/>
        <v>3</v>
      </c>
      <c r="R9984" s="21">
        <v>1</v>
      </c>
      <c r="S9984" s="21">
        <v>0</v>
      </c>
      <c r="T9984" s="21">
        <v>0</v>
      </c>
      <c r="U9984" s="21">
        <v>2</v>
      </c>
      <c r="V9984" s="21">
        <v>0</v>
      </c>
      <c r="W9984" s="21">
        <v>1</v>
      </c>
      <c r="X9984" s="21">
        <v>0</v>
      </c>
      <c r="Y9984" s="21">
        <v>0</v>
      </c>
      <c r="Z9984" s="21">
        <v>0</v>
      </c>
      <c r="AA9984" s="21">
        <v>0</v>
      </c>
      <c r="AB9984" s="21">
        <v>0</v>
      </c>
      <c r="AC9984" s="21">
        <v>0</v>
      </c>
      <c r="AD9984" s="21">
        <v>0</v>
      </c>
      <c r="AE9984" s="21">
        <v>0</v>
      </c>
      <c r="AF9984" s="21">
        <v>0</v>
      </c>
      <c r="AG9984" s="21"/>
      <c r="AH9984" s="21">
        <f t="shared" si="213"/>
        <v>160</v>
      </c>
      <c r="AI9984" s="21"/>
      <c r="AJ9984" s="21" t="s">
        <v>51</v>
      </c>
      <c r="AK9984" s="21" t="s">
        <v>52</v>
      </c>
      <c r="AL9984" s="21"/>
      <c r="AM9984" s="21" t="s">
        <v>7625</v>
      </c>
      <c r="AN9984" s="21">
        <v>-122.416742165055</v>
      </c>
      <c r="AO9984" s="21">
        <v>37.8002629469024</v>
      </c>
      <c r="AP9984" s="21" t="s">
        <v>116</v>
      </c>
    </row>
    <row r="9985" spans="1:42">
      <c r="A9985" s="20">
        <v>43872</v>
      </c>
      <c r="B9985" s="21">
        <v>2</v>
      </c>
      <c r="C9985" s="21">
        <v>232</v>
      </c>
      <c r="D9985" s="21">
        <v>14476</v>
      </c>
      <c r="E9985" s="7" t="s">
        <v>112</v>
      </c>
      <c r="F9985" s="21" t="s">
        <v>104</v>
      </c>
      <c r="G9985" s="21">
        <v>2</v>
      </c>
      <c r="H9985" s="21">
        <v>130</v>
      </c>
      <c r="I9985" s="21" t="s">
        <v>7580</v>
      </c>
      <c r="J9985" s="21"/>
      <c r="K9985" s="21" t="s">
        <v>1147</v>
      </c>
      <c r="L9985" s="21" t="s">
        <v>141</v>
      </c>
      <c r="M9985" s="21" t="s">
        <v>7038</v>
      </c>
      <c r="N9985" s="21" t="s">
        <v>40</v>
      </c>
      <c r="O9985" s="21">
        <v>33</v>
      </c>
      <c r="P9985" s="21"/>
      <c r="Q9985" s="21">
        <f t="shared" ref="Q9985:Q10048" si="214">S9985+T9985+U9985+V9985+W9985+X9985+Y9985+Z9985+AA9985+AB9985+AE9985+AF9985</f>
        <v>2</v>
      </c>
      <c r="R9985" s="21">
        <v>1</v>
      </c>
      <c r="S9985" s="21">
        <v>0</v>
      </c>
      <c r="T9985" s="21">
        <v>0</v>
      </c>
      <c r="U9985" s="21">
        <v>2</v>
      </c>
      <c r="V9985" s="21">
        <v>0</v>
      </c>
      <c r="W9985" s="21">
        <v>0</v>
      </c>
      <c r="X9985" s="21">
        <v>0</v>
      </c>
      <c r="Y9985" s="21">
        <v>0</v>
      </c>
      <c r="Z9985" s="21">
        <v>0</v>
      </c>
      <c r="AA9985" s="21">
        <v>0</v>
      </c>
      <c r="AB9985" s="21">
        <v>0</v>
      </c>
      <c r="AC9985" s="21">
        <v>0</v>
      </c>
      <c r="AD9985" s="21">
        <v>0</v>
      </c>
      <c r="AE9985" s="21">
        <v>0</v>
      </c>
      <c r="AF9985" s="21">
        <v>0</v>
      </c>
      <c r="AG9985" s="21"/>
      <c r="AH9985" s="21">
        <f t="shared" si="213"/>
        <v>64</v>
      </c>
      <c r="AI9985" s="21"/>
      <c r="AJ9985" s="21" t="s">
        <v>51</v>
      </c>
      <c r="AK9985" s="21" t="s">
        <v>52</v>
      </c>
      <c r="AL9985" s="21"/>
      <c r="AM9985" s="21" t="s">
        <v>7626</v>
      </c>
      <c r="AN9985" s="21">
        <v>-122.41555706389801</v>
      </c>
      <c r="AO9985" s="21">
        <v>37.799582138497499</v>
      </c>
      <c r="AP9985" s="21" t="s">
        <v>116</v>
      </c>
    </row>
    <row r="9986" spans="1:42">
      <c r="A9986" s="20">
        <v>43872</v>
      </c>
      <c r="B9986" s="21">
        <v>2</v>
      </c>
      <c r="C9986" s="21">
        <v>232</v>
      </c>
      <c r="D9986" s="21">
        <v>14476</v>
      </c>
      <c r="E9986" s="7" t="s">
        <v>112</v>
      </c>
      <c r="F9986" s="21" t="s">
        <v>104</v>
      </c>
      <c r="G9986" s="21">
        <v>2</v>
      </c>
      <c r="H9986" s="21">
        <v>131</v>
      </c>
      <c r="I9986" s="21" t="s">
        <v>7627</v>
      </c>
      <c r="J9986" s="21"/>
      <c r="K9986" s="21" t="s">
        <v>1147</v>
      </c>
      <c r="L9986" s="21" t="s">
        <v>141</v>
      </c>
      <c r="M9986" s="21" t="s">
        <v>7038</v>
      </c>
      <c r="N9986" s="21" t="s">
        <v>44</v>
      </c>
      <c r="O9986" s="21">
        <v>80</v>
      </c>
      <c r="P9986" s="21"/>
      <c r="Q9986" s="21">
        <f t="shared" si="214"/>
        <v>2</v>
      </c>
      <c r="R9986" s="21">
        <v>1</v>
      </c>
      <c r="S9986" s="21">
        <v>0</v>
      </c>
      <c r="T9986" s="21">
        <v>0</v>
      </c>
      <c r="U9986" s="21">
        <v>1</v>
      </c>
      <c r="V9986" s="21">
        <v>0</v>
      </c>
      <c r="W9986" s="21">
        <v>1</v>
      </c>
      <c r="X9986" s="21">
        <v>0</v>
      </c>
      <c r="Y9986" s="21">
        <v>0</v>
      </c>
      <c r="Z9986" s="21">
        <v>0</v>
      </c>
      <c r="AA9986" s="21">
        <v>0</v>
      </c>
      <c r="AB9986" s="21">
        <v>0</v>
      </c>
      <c r="AC9986" s="21">
        <v>0</v>
      </c>
      <c r="AD9986" s="21">
        <v>0</v>
      </c>
      <c r="AE9986" s="21">
        <v>0</v>
      </c>
      <c r="AF9986" s="21">
        <v>0</v>
      </c>
      <c r="AG9986" s="21"/>
      <c r="AH9986" s="21">
        <f t="shared" si="213"/>
        <v>128</v>
      </c>
      <c r="AI9986" s="21"/>
      <c r="AJ9986" s="21" t="s">
        <v>51</v>
      </c>
      <c r="AK9986" s="21" t="s">
        <v>52</v>
      </c>
      <c r="AL9986" s="21" t="s">
        <v>7190</v>
      </c>
      <c r="AM9986" s="21" t="s">
        <v>7628</v>
      </c>
      <c r="AN9986" s="21">
        <v>-122.415322033333</v>
      </c>
      <c r="AO9986" s="21">
        <v>37.8015966166667</v>
      </c>
      <c r="AP9986" s="21" t="s">
        <v>116</v>
      </c>
    </row>
    <row r="9987" spans="1:42">
      <c r="A9987" s="20">
        <v>43872</v>
      </c>
      <c r="B9987" s="21">
        <v>2</v>
      </c>
      <c r="C9987" s="21">
        <v>232</v>
      </c>
      <c r="D9987" s="21">
        <v>14476</v>
      </c>
      <c r="E9987" s="7" t="s">
        <v>112</v>
      </c>
      <c r="F9987" s="21" t="s">
        <v>104</v>
      </c>
      <c r="G9987" s="21">
        <v>2</v>
      </c>
      <c r="H9987" s="21">
        <v>132</v>
      </c>
      <c r="I9987" s="21" t="s">
        <v>7629</v>
      </c>
      <c r="J9987" s="21"/>
      <c r="K9987" s="21" t="s">
        <v>1147</v>
      </c>
      <c r="L9987" s="21" t="s">
        <v>141</v>
      </c>
      <c r="M9987" s="21" t="s">
        <v>7038</v>
      </c>
      <c r="N9987" s="21" t="s">
        <v>40</v>
      </c>
      <c r="O9987" s="21">
        <v>25</v>
      </c>
      <c r="P9987" s="21"/>
      <c r="Q9987" s="21">
        <f t="shared" si="214"/>
        <v>1</v>
      </c>
      <c r="R9987" s="21">
        <v>1</v>
      </c>
      <c r="S9987" s="21">
        <v>1</v>
      </c>
      <c r="T9987" s="21">
        <v>0</v>
      </c>
      <c r="U9987" s="21">
        <v>0</v>
      </c>
      <c r="V9987" s="21">
        <v>0</v>
      </c>
      <c r="W9987" s="21">
        <v>0</v>
      </c>
      <c r="X9987" s="21">
        <v>0</v>
      </c>
      <c r="Y9987" s="21">
        <v>0</v>
      </c>
      <c r="Z9987" s="21">
        <v>0</v>
      </c>
      <c r="AA9987" s="21">
        <v>0</v>
      </c>
      <c r="AB9987" s="21">
        <v>0</v>
      </c>
      <c r="AC9987" s="21">
        <v>0</v>
      </c>
      <c r="AD9987" s="21">
        <v>0</v>
      </c>
      <c r="AE9987" s="21">
        <v>0</v>
      </c>
      <c r="AF9987" s="21">
        <v>0</v>
      </c>
      <c r="AG9987" s="21"/>
      <c r="AH9987" s="21">
        <f t="shared" si="213"/>
        <v>16</v>
      </c>
      <c r="AI9987" s="21"/>
      <c r="AJ9987" s="21" t="s">
        <v>51</v>
      </c>
      <c r="AK9987" s="21" t="s">
        <v>52</v>
      </c>
      <c r="AL9987" s="21"/>
      <c r="AM9987" s="21" t="s">
        <v>7630</v>
      </c>
      <c r="AN9987" s="21">
        <v>-122.41658573234901</v>
      </c>
      <c r="AO9987" s="21">
        <v>37.801726920071502</v>
      </c>
      <c r="AP9987" s="21" t="s">
        <v>116</v>
      </c>
    </row>
    <row r="9988" spans="1:42">
      <c r="A9988" s="20">
        <v>43872</v>
      </c>
      <c r="B9988" s="21">
        <v>2</v>
      </c>
      <c r="C9988" s="21">
        <v>232</v>
      </c>
      <c r="D9988" s="21">
        <v>14476</v>
      </c>
      <c r="E9988" s="7" t="s">
        <v>112</v>
      </c>
      <c r="F9988" s="21" t="s">
        <v>104</v>
      </c>
      <c r="G9988" s="21">
        <v>2</v>
      </c>
      <c r="H9988" s="21">
        <v>133</v>
      </c>
      <c r="I9988" s="21" t="s">
        <v>7588</v>
      </c>
      <c r="J9988" s="21"/>
      <c r="K9988" s="21" t="s">
        <v>1147</v>
      </c>
      <c r="L9988" s="21" t="s">
        <v>141</v>
      </c>
      <c r="M9988" s="21" t="s">
        <v>7038</v>
      </c>
      <c r="N9988" s="21" t="s">
        <v>40</v>
      </c>
      <c r="O9988" s="21">
        <v>21</v>
      </c>
      <c r="P9988" s="21"/>
      <c r="Q9988" s="21">
        <f t="shared" si="214"/>
        <v>1</v>
      </c>
      <c r="R9988" s="21">
        <v>1</v>
      </c>
      <c r="S9988" s="21">
        <v>0</v>
      </c>
      <c r="T9988" s="21">
        <v>1</v>
      </c>
      <c r="U9988" s="21">
        <v>0</v>
      </c>
      <c r="V9988" s="21">
        <v>0</v>
      </c>
      <c r="W9988" s="21">
        <v>0</v>
      </c>
      <c r="X9988" s="21">
        <v>0</v>
      </c>
      <c r="Y9988" s="21">
        <v>0</v>
      </c>
      <c r="Z9988" s="21">
        <v>0</v>
      </c>
      <c r="AA9988" s="21">
        <v>0</v>
      </c>
      <c r="AB9988" s="21">
        <v>0</v>
      </c>
      <c r="AC9988" s="21">
        <v>0</v>
      </c>
      <c r="AD9988" s="21">
        <v>0</v>
      </c>
      <c r="AE9988" s="21">
        <v>0</v>
      </c>
      <c r="AF9988" s="21">
        <v>0</v>
      </c>
      <c r="AG9988" s="21"/>
      <c r="AH9988" s="21">
        <f t="shared" si="213"/>
        <v>20</v>
      </c>
      <c r="AI9988" s="21"/>
      <c r="AJ9988" s="21" t="s">
        <v>51</v>
      </c>
      <c r="AK9988" s="21" t="s">
        <v>95</v>
      </c>
      <c r="AL9988" s="21"/>
      <c r="AM9988" s="21" t="s">
        <v>7631</v>
      </c>
      <c r="AN9988" s="21">
        <v>-122.415164933333</v>
      </c>
      <c r="AO9988" s="21">
        <v>37.801586066666601</v>
      </c>
      <c r="AP9988" s="21" t="s">
        <v>116</v>
      </c>
    </row>
    <row r="9989" spans="1:42">
      <c r="A9989" s="20">
        <v>43872</v>
      </c>
      <c r="B9989" s="21">
        <v>2</v>
      </c>
      <c r="C9989" s="21">
        <v>232</v>
      </c>
      <c r="D9989" s="21">
        <v>14476</v>
      </c>
      <c r="E9989" s="7" t="s">
        <v>112</v>
      </c>
      <c r="F9989" s="21" t="s">
        <v>104</v>
      </c>
      <c r="G9989" s="21">
        <v>2</v>
      </c>
      <c r="H9989" s="21">
        <v>134</v>
      </c>
      <c r="I9989" s="21" t="s">
        <v>7632</v>
      </c>
      <c r="J9989" s="21"/>
      <c r="K9989" s="21" t="s">
        <v>1147</v>
      </c>
      <c r="L9989" s="21" t="s">
        <v>141</v>
      </c>
      <c r="M9989" s="21" t="s">
        <v>7038</v>
      </c>
      <c r="N9989" s="21" t="s">
        <v>44</v>
      </c>
      <c r="O9989" s="21">
        <v>45</v>
      </c>
      <c r="P9989" s="21"/>
      <c r="Q9989" s="21">
        <f t="shared" si="214"/>
        <v>1</v>
      </c>
      <c r="R9989" s="21">
        <v>1</v>
      </c>
      <c r="S9989" s="21">
        <v>0</v>
      </c>
      <c r="T9989" s="21">
        <v>0</v>
      </c>
      <c r="U9989" s="21">
        <v>0</v>
      </c>
      <c r="V9989" s="21">
        <v>0</v>
      </c>
      <c r="W9989" s="21">
        <v>1</v>
      </c>
      <c r="X9989" s="21">
        <v>0</v>
      </c>
      <c r="Y9989" s="21">
        <v>0</v>
      </c>
      <c r="Z9989" s="21">
        <v>0</v>
      </c>
      <c r="AA9989" s="21">
        <v>0</v>
      </c>
      <c r="AB9989" s="21">
        <v>0</v>
      </c>
      <c r="AC9989" s="21">
        <v>0</v>
      </c>
      <c r="AD9989" s="21">
        <v>0</v>
      </c>
      <c r="AE9989" s="21">
        <v>0</v>
      </c>
      <c r="AF9989" s="21">
        <v>0</v>
      </c>
      <c r="AG9989" s="21"/>
      <c r="AH9989" s="21">
        <f t="shared" si="213"/>
        <v>96</v>
      </c>
      <c r="AI9989" s="21"/>
      <c r="AJ9989" s="21" t="s">
        <v>51</v>
      </c>
      <c r="AK9989" s="21" t="s">
        <v>95</v>
      </c>
      <c r="AL9989" s="21" t="s">
        <v>7633</v>
      </c>
      <c r="AM9989" s="21" t="s">
        <v>7634</v>
      </c>
      <c r="AN9989" s="21">
        <v>-122.41503415</v>
      </c>
      <c r="AO9989" s="21">
        <v>37.801602583333299</v>
      </c>
      <c r="AP9989" s="21" t="s">
        <v>116</v>
      </c>
    </row>
    <row r="9990" spans="1:42">
      <c r="A9990" s="20">
        <v>43872</v>
      </c>
      <c r="B9990" s="21">
        <v>2</v>
      </c>
      <c r="C9990" s="21">
        <v>232</v>
      </c>
      <c r="D9990" s="21">
        <v>14476</v>
      </c>
      <c r="E9990" s="7" t="s">
        <v>112</v>
      </c>
      <c r="F9990" s="21" t="s">
        <v>104</v>
      </c>
      <c r="G9990" s="21">
        <v>2</v>
      </c>
      <c r="H9990" s="21">
        <v>135</v>
      </c>
      <c r="I9990" s="21" t="s">
        <v>7635</v>
      </c>
      <c r="J9990" s="21"/>
      <c r="K9990" s="21" t="s">
        <v>1147</v>
      </c>
      <c r="L9990" s="21" t="s">
        <v>141</v>
      </c>
      <c r="M9990" s="21" t="s">
        <v>7038</v>
      </c>
      <c r="N9990" s="21" t="s">
        <v>40</v>
      </c>
      <c r="O9990" s="21">
        <v>32</v>
      </c>
      <c r="P9990" s="21"/>
      <c r="Q9990" s="21">
        <f t="shared" si="214"/>
        <v>2</v>
      </c>
      <c r="R9990" s="21">
        <v>1</v>
      </c>
      <c r="S9990" s="21">
        <v>0</v>
      </c>
      <c r="T9990" s="21">
        <v>1</v>
      </c>
      <c r="U9990" s="21">
        <v>1</v>
      </c>
      <c r="V9990" s="21">
        <v>0</v>
      </c>
      <c r="W9990" s="21">
        <v>0</v>
      </c>
      <c r="X9990" s="21">
        <v>0</v>
      </c>
      <c r="Y9990" s="21">
        <v>0</v>
      </c>
      <c r="Z9990" s="21">
        <v>0</v>
      </c>
      <c r="AA9990" s="21">
        <v>0</v>
      </c>
      <c r="AB9990" s="21">
        <v>0</v>
      </c>
      <c r="AC9990" s="21">
        <v>0</v>
      </c>
      <c r="AD9990" s="21">
        <v>0</v>
      </c>
      <c r="AE9990" s="21">
        <v>0</v>
      </c>
      <c r="AF9990" s="21">
        <v>0</v>
      </c>
      <c r="AG9990" s="21"/>
      <c r="AH9990" s="21">
        <f t="shared" si="213"/>
        <v>52</v>
      </c>
      <c r="AI9990" s="21"/>
      <c r="AJ9990" s="21" t="s">
        <v>51</v>
      </c>
      <c r="AK9990" s="21" t="s">
        <v>52</v>
      </c>
      <c r="AL9990" s="21"/>
      <c r="AM9990" s="21" t="s">
        <v>7636</v>
      </c>
      <c r="AN9990" s="21">
        <v>-122.41489335</v>
      </c>
      <c r="AO9990" s="21">
        <v>37.801627416666598</v>
      </c>
      <c r="AP9990" s="21" t="s">
        <v>116</v>
      </c>
    </row>
    <row r="9991" spans="1:42">
      <c r="A9991" s="20">
        <v>43872</v>
      </c>
      <c r="B9991" s="21">
        <v>2</v>
      </c>
      <c r="C9991" s="21">
        <v>232</v>
      </c>
      <c r="D9991" s="21">
        <v>14476</v>
      </c>
      <c r="E9991" s="7" t="s">
        <v>112</v>
      </c>
      <c r="F9991" s="21" t="s">
        <v>104</v>
      </c>
      <c r="G9991" s="21">
        <v>2</v>
      </c>
      <c r="H9991" s="21">
        <v>136</v>
      </c>
      <c r="I9991" s="21" t="s">
        <v>7637</v>
      </c>
      <c r="J9991" s="21"/>
      <c r="K9991" s="21" t="s">
        <v>7270</v>
      </c>
      <c r="L9991" s="21" t="s">
        <v>1846</v>
      </c>
      <c r="M9991" s="21" t="s">
        <v>7038</v>
      </c>
      <c r="N9991" s="21" t="s">
        <v>40</v>
      </c>
      <c r="O9991" s="21">
        <v>186</v>
      </c>
      <c r="P9991" s="21"/>
      <c r="Q9991" s="21">
        <f t="shared" si="214"/>
        <v>11</v>
      </c>
      <c r="R9991" s="21">
        <v>1</v>
      </c>
      <c r="S9991" s="21">
        <v>5</v>
      </c>
      <c r="T9991" s="21">
        <v>2</v>
      </c>
      <c r="U9991" s="21">
        <v>4</v>
      </c>
      <c r="V9991" s="21">
        <v>0</v>
      </c>
      <c r="W9991" s="21">
        <v>0</v>
      </c>
      <c r="X9991" s="21">
        <v>0</v>
      </c>
      <c r="Y9991" s="21">
        <v>0</v>
      </c>
      <c r="Z9991" s="21">
        <v>0</v>
      </c>
      <c r="AA9991" s="21">
        <v>0</v>
      </c>
      <c r="AB9991" s="21">
        <v>0</v>
      </c>
      <c r="AC9991" s="21">
        <v>0</v>
      </c>
      <c r="AD9991" s="21">
        <v>0</v>
      </c>
      <c r="AE9991" s="21">
        <v>0</v>
      </c>
      <c r="AF9991" s="21">
        <v>0</v>
      </c>
      <c r="AG9991" s="21"/>
      <c r="AH9991" s="21">
        <f t="shared" si="213"/>
        <v>248</v>
      </c>
      <c r="AI9991" s="21"/>
      <c r="AJ9991" s="21" t="s">
        <v>51</v>
      </c>
      <c r="AK9991" s="21" t="s">
        <v>52</v>
      </c>
      <c r="AL9991" s="21"/>
      <c r="AM9991" s="21" t="s">
        <v>7638</v>
      </c>
      <c r="AN9991" s="21">
        <v>-122.41441956666699</v>
      </c>
      <c r="AO9991" s="21">
        <v>37.801640583333302</v>
      </c>
      <c r="AP9991" s="21" t="s">
        <v>116</v>
      </c>
    </row>
    <row r="9992" spans="1:42">
      <c r="A9992" s="20">
        <v>43872</v>
      </c>
      <c r="B9992" s="21">
        <v>2</v>
      </c>
      <c r="C9992" s="21">
        <v>232</v>
      </c>
      <c r="D9992" s="21">
        <v>14476</v>
      </c>
      <c r="E9992" s="7" t="s">
        <v>112</v>
      </c>
      <c r="F9992" s="21" t="s">
        <v>104</v>
      </c>
      <c r="G9992" s="21">
        <v>2</v>
      </c>
      <c r="H9992" s="21">
        <v>137</v>
      </c>
      <c r="I9992" s="21" t="s">
        <v>7639</v>
      </c>
      <c r="J9992" s="21"/>
      <c r="K9992" s="21" t="s">
        <v>1147</v>
      </c>
      <c r="L9992" s="21" t="s">
        <v>141</v>
      </c>
      <c r="M9992" s="21" t="s">
        <v>7038</v>
      </c>
      <c r="N9992" s="21" t="s">
        <v>40</v>
      </c>
      <c r="O9992" s="21">
        <v>59</v>
      </c>
      <c r="P9992" s="21"/>
      <c r="Q9992" s="21">
        <f t="shared" si="214"/>
        <v>3</v>
      </c>
      <c r="R9992" s="21">
        <v>1</v>
      </c>
      <c r="S9992" s="21">
        <v>0</v>
      </c>
      <c r="T9992" s="21">
        <v>0</v>
      </c>
      <c r="U9992" s="21">
        <v>1</v>
      </c>
      <c r="V9992" s="21">
        <v>1</v>
      </c>
      <c r="W9992" s="21">
        <v>1</v>
      </c>
      <c r="X9992" s="21">
        <v>0</v>
      </c>
      <c r="Y9992" s="21">
        <v>0</v>
      </c>
      <c r="Z9992" s="21">
        <v>0</v>
      </c>
      <c r="AA9992" s="21">
        <v>0</v>
      </c>
      <c r="AB9992" s="21">
        <v>0</v>
      </c>
      <c r="AC9992" s="21">
        <v>0</v>
      </c>
      <c r="AD9992" s="21">
        <v>0</v>
      </c>
      <c r="AE9992" s="21">
        <v>0</v>
      </c>
      <c r="AF9992" s="21">
        <v>0</v>
      </c>
      <c r="AG9992" s="21"/>
      <c r="AH9992" s="21">
        <f t="shared" si="213"/>
        <v>192</v>
      </c>
      <c r="AI9992" s="21"/>
      <c r="AJ9992" s="21" t="s">
        <v>51</v>
      </c>
      <c r="AK9992" s="21" t="s">
        <v>52</v>
      </c>
      <c r="AL9992" s="21"/>
      <c r="AM9992" s="21" t="s">
        <v>7640</v>
      </c>
      <c r="AN9992" s="21">
        <v>-122.41417825000001</v>
      </c>
      <c r="AO9992" s="21">
        <v>37.801755216666699</v>
      </c>
      <c r="AP9992" s="21" t="s">
        <v>116</v>
      </c>
    </row>
    <row r="9993" spans="1:42">
      <c r="A9993" s="20">
        <v>43872</v>
      </c>
      <c r="B9993" s="21">
        <v>2</v>
      </c>
      <c r="C9993" s="21">
        <v>232</v>
      </c>
      <c r="D9993" s="21">
        <v>14476</v>
      </c>
      <c r="E9993" s="7" t="s">
        <v>112</v>
      </c>
      <c r="F9993" s="21" t="s">
        <v>104</v>
      </c>
      <c r="G9993" s="21">
        <v>2</v>
      </c>
      <c r="H9993" s="21">
        <v>138</v>
      </c>
      <c r="I9993" s="21" t="s">
        <v>7123</v>
      </c>
      <c r="J9993" s="21"/>
      <c r="K9993" s="21" t="s">
        <v>1147</v>
      </c>
      <c r="L9993" s="21" t="s">
        <v>141</v>
      </c>
      <c r="M9993" s="21" t="s">
        <v>7038</v>
      </c>
      <c r="N9993" s="21" t="s">
        <v>40</v>
      </c>
      <c r="O9993" s="21">
        <v>62</v>
      </c>
      <c r="P9993" s="21"/>
      <c r="Q9993" s="21">
        <f t="shared" si="214"/>
        <v>4</v>
      </c>
      <c r="R9993" s="21">
        <v>1</v>
      </c>
      <c r="S9993" s="21">
        <v>0</v>
      </c>
      <c r="T9993" s="21">
        <v>0</v>
      </c>
      <c r="U9993" s="21">
        <v>3</v>
      </c>
      <c r="V9993" s="21">
        <v>1</v>
      </c>
      <c r="W9993" s="21">
        <v>0</v>
      </c>
      <c r="X9993" s="21">
        <v>0</v>
      </c>
      <c r="Y9993" s="21">
        <v>0</v>
      </c>
      <c r="Z9993" s="21">
        <v>0</v>
      </c>
      <c r="AA9993" s="21">
        <v>0</v>
      </c>
      <c r="AB9993" s="21">
        <v>0</v>
      </c>
      <c r="AC9993" s="21">
        <v>0</v>
      </c>
      <c r="AD9993" s="21">
        <v>0</v>
      </c>
      <c r="AE9993" s="21">
        <v>0</v>
      </c>
      <c r="AF9993" s="21">
        <v>0</v>
      </c>
      <c r="AG9993" s="21"/>
      <c r="AH9993" s="21">
        <f t="shared" si="213"/>
        <v>160</v>
      </c>
      <c r="AI9993" s="21"/>
      <c r="AJ9993" s="21" t="s">
        <v>51</v>
      </c>
      <c r="AK9993" s="21" t="s">
        <v>52</v>
      </c>
      <c r="AL9993" s="21"/>
      <c r="AM9993" s="21" t="s">
        <v>7641</v>
      </c>
      <c r="AN9993" s="21">
        <v>-122.414007833333</v>
      </c>
      <c r="AO9993" s="21">
        <v>37.801803583333303</v>
      </c>
      <c r="AP9993" s="21" t="s">
        <v>116</v>
      </c>
    </row>
    <row r="9994" spans="1:42">
      <c r="A9994" s="20">
        <v>43872</v>
      </c>
      <c r="B9994" s="21">
        <v>2</v>
      </c>
      <c r="C9994" s="21">
        <v>232</v>
      </c>
      <c r="D9994" s="21">
        <v>14476</v>
      </c>
      <c r="E9994" s="7" t="s">
        <v>112</v>
      </c>
      <c r="F9994" s="21" t="s">
        <v>104</v>
      </c>
      <c r="G9994" s="21">
        <v>2</v>
      </c>
      <c r="H9994" s="21">
        <v>139</v>
      </c>
      <c r="I9994" s="21" t="s">
        <v>7642</v>
      </c>
      <c r="J9994" s="21"/>
      <c r="K9994" s="21" t="s">
        <v>1147</v>
      </c>
      <c r="L9994" s="21" t="s">
        <v>141</v>
      </c>
      <c r="M9994" s="21" t="s">
        <v>7038</v>
      </c>
      <c r="N9994" s="21" t="s">
        <v>40</v>
      </c>
      <c r="O9994" s="21">
        <v>134</v>
      </c>
      <c r="P9994" s="21"/>
      <c r="Q9994" s="21">
        <f t="shared" si="214"/>
        <v>9</v>
      </c>
      <c r="R9994" s="21">
        <v>1</v>
      </c>
      <c r="S9994" s="21">
        <v>1</v>
      </c>
      <c r="T9994" s="21">
        <v>0</v>
      </c>
      <c r="U9994" s="21">
        <v>7</v>
      </c>
      <c r="V9994" s="21">
        <v>1</v>
      </c>
      <c r="W9994" s="21">
        <v>0</v>
      </c>
      <c r="X9994" s="21">
        <v>0</v>
      </c>
      <c r="Y9994" s="21">
        <v>0</v>
      </c>
      <c r="Z9994" s="21">
        <v>0</v>
      </c>
      <c r="AA9994" s="21">
        <v>0</v>
      </c>
      <c r="AB9994" s="21">
        <v>0</v>
      </c>
      <c r="AC9994" s="21">
        <v>0</v>
      </c>
      <c r="AD9994" s="21">
        <v>0</v>
      </c>
      <c r="AE9994" s="21">
        <v>0</v>
      </c>
      <c r="AF9994" s="21">
        <v>0</v>
      </c>
      <c r="AG9994" s="21"/>
      <c r="AH9994" s="21">
        <f t="shared" si="213"/>
        <v>304</v>
      </c>
      <c r="AI9994" s="21"/>
      <c r="AJ9994" s="21" t="s">
        <v>51</v>
      </c>
      <c r="AK9994" s="21" t="s">
        <v>52</v>
      </c>
      <c r="AL9994" s="21"/>
      <c r="AM9994" s="21" t="s">
        <v>7643</v>
      </c>
      <c r="AN9994" s="21">
        <v>-122.413774316667</v>
      </c>
      <c r="AO9994" s="21">
        <v>37.801771449999997</v>
      </c>
      <c r="AP9994" s="21" t="s">
        <v>116</v>
      </c>
    </row>
    <row r="9995" spans="1:42">
      <c r="A9995" s="20">
        <v>43872</v>
      </c>
      <c r="B9995" s="21">
        <v>2</v>
      </c>
      <c r="C9995" s="21">
        <v>232</v>
      </c>
      <c r="D9995" s="21">
        <v>14476</v>
      </c>
      <c r="E9995" s="7" t="s">
        <v>112</v>
      </c>
      <c r="F9995" s="21" t="s">
        <v>104</v>
      </c>
      <c r="G9995" s="21">
        <v>2</v>
      </c>
      <c r="H9995" s="21">
        <v>140</v>
      </c>
      <c r="I9995" s="21" t="s">
        <v>6048</v>
      </c>
      <c r="J9995" s="21"/>
      <c r="K9995" s="21" t="s">
        <v>1147</v>
      </c>
      <c r="L9995" s="21" t="s">
        <v>141</v>
      </c>
      <c r="M9995" s="21" t="s">
        <v>7038</v>
      </c>
      <c r="N9995" s="21" t="s">
        <v>44</v>
      </c>
      <c r="O9995" s="21">
        <v>59</v>
      </c>
      <c r="P9995" s="21"/>
      <c r="Q9995" s="21">
        <f t="shared" si="214"/>
        <v>1</v>
      </c>
      <c r="R9995" s="21">
        <v>1</v>
      </c>
      <c r="S9995" s="21">
        <v>0</v>
      </c>
      <c r="T9995" s="21">
        <v>0</v>
      </c>
      <c r="U9995" s="21">
        <v>0</v>
      </c>
      <c r="V9995" s="21">
        <v>0</v>
      </c>
      <c r="W9995" s="21">
        <v>1</v>
      </c>
      <c r="X9995" s="21">
        <v>0</v>
      </c>
      <c r="Y9995" s="21">
        <v>0</v>
      </c>
      <c r="Z9995" s="21">
        <v>0</v>
      </c>
      <c r="AA9995" s="21">
        <v>0</v>
      </c>
      <c r="AB9995" s="21">
        <v>0</v>
      </c>
      <c r="AC9995" s="21">
        <v>0</v>
      </c>
      <c r="AD9995" s="21">
        <v>0</v>
      </c>
      <c r="AE9995" s="21">
        <v>0</v>
      </c>
      <c r="AF9995" s="21">
        <v>0</v>
      </c>
      <c r="AG9995" s="21"/>
      <c r="AH9995" s="21">
        <f t="shared" si="213"/>
        <v>96</v>
      </c>
      <c r="AI9995" s="21"/>
      <c r="AJ9995" s="21" t="s">
        <v>51</v>
      </c>
      <c r="AK9995" s="21" t="s">
        <v>52</v>
      </c>
      <c r="AL9995" s="21" t="s">
        <v>7644</v>
      </c>
      <c r="AM9995" s="21" t="s">
        <v>7645</v>
      </c>
      <c r="AN9995" s="21">
        <v>-122.413588116667</v>
      </c>
      <c r="AO9995" s="21">
        <v>37.801845733333302</v>
      </c>
      <c r="AP9995" s="21" t="s">
        <v>116</v>
      </c>
    </row>
    <row r="9996" spans="1:42">
      <c r="A9996" s="20">
        <v>43872</v>
      </c>
      <c r="B9996" s="21">
        <v>2</v>
      </c>
      <c r="C9996" s="21">
        <v>232</v>
      </c>
      <c r="D9996" s="21">
        <v>14476</v>
      </c>
      <c r="E9996" s="7" t="s">
        <v>112</v>
      </c>
      <c r="F9996" s="21" t="s">
        <v>104</v>
      </c>
      <c r="G9996" s="21">
        <v>2</v>
      </c>
      <c r="H9996" s="21">
        <v>141</v>
      </c>
      <c r="I9996" s="21" t="s">
        <v>7646</v>
      </c>
      <c r="J9996" s="21"/>
      <c r="K9996" s="21" t="s">
        <v>1147</v>
      </c>
      <c r="L9996" s="21" t="s">
        <v>141</v>
      </c>
      <c r="M9996" s="21" t="s">
        <v>7038</v>
      </c>
      <c r="N9996" s="21" t="s">
        <v>40</v>
      </c>
      <c r="O9996" s="21">
        <v>25</v>
      </c>
      <c r="P9996" s="21"/>
      <c r="Q9996" s="21">
        <f t="shared" si="214"/>
        <v>2</v>
      </c>
      <c r="R9996" s="21">
        <v>1</v>
      </c>
      <c r="S9996" s="21">
        <v>0</v>
      </c>
      <c r="T9996" s="21">
        <v>1</v>
      </c>
      <c r="U9996" s="21">
        <v>1</v>
      </c>
      <c r="V9996" s="21">
        <v>0</v>
      </c>
      <c r="W9996" s="21">
        <v>0</v>
      </c>
      <c r="X9996" s="21">
        <v>0</v>
      </c>
      <c r="Y9996" s="21">
        <v>0</v>
      </c>
      <c r="Z9996" s="21">
        <v>0</v>
      </c>
      <c r="AA9996" s="21">
        <v>0</v>
      </c>
      <c r="AB9996" s="21">
        <v>0</v>
      </c>
      <c r="AC9996" s="21">
        <v>0</v>
      </c>
      <c r="AD9996" s="21">
        <v>0</v>
      </c>
      <c r="AE9996" s="21">
        <v>0</v>
      </c>
      <c r="AF9996" s="21">
        <v>0</v>
      </c>
      <c r="AG9996" s="21"/>
      <c r="AH9996" s="21">
        <f t="shared" si="213"/>
        <v>52</v>
      </c>
      <c r="AI9996" s="21"/>
      <c r="AJ9996" s="21" t="s">
        <v>51</v>
      </c>
      <c r="AK9996" s="21" t="s">
        <v>52</v>
      </c>
      <c r="AL9996" s="21"/>
      <c r="AM9996" s="21" t="s">
        <v>7647</v>
      </c>
      <c r="AN9996" s="21">
        <v>-122.413518466667</v>
      </c>
      <c r="AO9996" s="21">
        <v>37.8018717</v>
      </c>
      <c r="AP9996" s="21" t="s">
        <v>116</v>
      </c>
    </row>
    <row r="9997" spans="1:42">
      <c r="A9997" s="20">
        <v>43872</v>
      </c>
      <c r="B9997" s="21">
        <v>2</v>
      </c>
      <c r="C9997" s="21">
        <v>232</v>
      </c>
      <c r="D9997" s="21">
        <v>14476</v>
      </c>
      <c r="E9997" s="7" t="s">
        <v>112</v>
      </c>
      <c r="F9997" s="21" t="s">
        <v>104</v>
      </c>
      <c r="G9997" s="21">
        <v>2</v>
      </c>
      <c r="H9997" s="21">
        <v>142</v>
      </c>
      <c r="I9997" s="21" t="s">
        <v>7648</v>
      </c>
      <c r="J9997" s="21"/>
      <c r="K9997" s="21" t="s">
        <v>1147</v>
      </c>
      <c r="L9997" s="21" t="s">
        <v>141</v>
      </c>
      <c r="M9997" s="21" t="s">
        <v>7038</v>
      </c>
      <c r="N9997" s="21" t="s">
        <v>40</v>
      </c>
      <c r="O9997" s="21">
        <v>24</v>
      </c>
      <c r="P9997" s="21"/>
      <c r="Q9997" s="21">
        <f t="shared" si="214"/>
        <v>1</v>
      </c>
      <c r="R9997" s="21">
        <v>1</v>
      </c>
      <c r="S9997" s="21">
        <v>0</v>
      </c>
      <c r="T9997" s="21">
        <v>0</v>
      </c>
      <c r="U9997" s="21">
        <v>0</v>
      </c>
      <c r="V9997" s="21">
        <v>0</v>
      </c>
      <c r="W9997" s="21">
        <v>1</v>
      </c>
      <c r="X9997" s="21">
        <v>0</v>
      </c>
      <c r="Y9997" s="21">
        <v>0</v>
      </c>
      <c r="Z9997" s="21">
        <v>0</v>
      </c>
      <c r="AA9997" s="21">
        <v>0</v>
      </c>
      <c r="AB9997" s="21">
        <v>0</v>
      </c>
      <c r="AC9997" s="21">
        <v>0</v>
      </c>
      <c r="AD9997" s="21">
        <v>0</v>
      </c>
      <c r="AE9997" s="21">
        <v>0</v>
      </c>
      <c r="AF9997" s="21">
        <v>0</v>
      </c>
      <c r="AG9997" s="21"/>
      <c r="AH9997" s="21">
        <f t="shared" si="213"/>
        <v>96</v>
      </c>
      <c r="AI9997" s="21"/>
      <c r="AJ9997" s="21" t="s">
        <v>3023</v>
      </c>
      <c r="AK9997" s="21" t="s">
        <v>52</v>
      </c>
      <c r="AL9997" s="21"/>
      <c r="AM9997" s="21" t="s">
        <v>7649</v>
      </c>
      <c r="AN9997" s="21">
        <v>-122.41341016666701</v>
      </c>
      <c r="AO9997" s="21">
        <v>37.801845616666597</v>
      </c>
      <c r="AP9997" s="21" t="s">
        <v>116</v>
      </c>
    </row>
    <row r="9998" spans="1:42">
      <c r="A9998" s="20">
        <v>43872</v>
      </c>
      <c r="B9998" s="21">
        <v>2</v>
      </c>
      <c r="C9998" s="21">
        <v>232</v>
      </c>
      <c r="D9998" s="21">
        <v>14476</v>
      </c>
      <c r="E9998" s="7" t="s">
        <v>112</v>
      </c>
      <c r="F9998" s="21" t="s">
        <v>104</v>
      </c>
      <c r="G9998" s="21">
        <v>2</v>
      </c>
      <c r="H9998" s="21">
        <v>143</v>
      </c>
      <c r="I9998" s="21" t="s">
        <v>3490</v>
      </c>
      <c r="J9998" s="21"/>
      <c r="K9998" s="21" t="s">
        <v>1147</v>
      </c>
      <c r="L9998" s="21" t="s">
        <v>141</v>
      </c>
      <c r="M9998" s="21" t="s">
        <v>7038</v>
      </c>
      <c r="N9998" s="21" t="s">
        <v>44</v>
      </c>
      <c r="O9998" s="21">
        <v>77</v>
      </c>
      <c r="P9998" s="21"/>
      <c r="Q9998" s="21">
        <f t="shared" si="214"/>
        <v>2</v>
      </c>
      <c r="R9998" s="21">
        <v>1</v>
      </c>
      <c r="S9998" s="21">
        <v>0</v>
      </c>
      <c r="T9998" s="21">
        <v>0</v>
      </c>
      <c r="U9998" s="21">
        <v>1</v>
      </c>
      <c r="V9998" s="21">
        <v>0</v>
      </c>
      <c r="W9998" s="21">
        <v>1</v>
      </c>
      <c r="X9998" s="21">
        <v>0</v>
      </c>
      <c r="Y9998" s="21">
        <v>0</v>
      </c>
      <c r="Z9998" s="21">
        <v>0</v>
      </c>
      <c r="AA9998" s="21">
        <v>0</v>
      </c>
      <c r="AB9998" s="21">
        <v>0</v>
      </c>
      <c r="AC9998" s="21">
        <v>0</v>
      </c>
      <c r="AD9998" s="21">
        <v>0</v>
      </c>
      <c r="AE9998" s="21">
        <v>0</v>
      </c>
      <c r="AF9998" s="21">
        <v>0</v>
      </c>
      <c r="AG9998" s="21"/>
      <c r="AH9998" s="21">
        <f t="shared" si="213"/>
        <v>128</v>
      </c>
      <c r="AI9998" s="21"/>
      <c r="AJ9998" s="21" t="s">
        <v>51</v>
      </c>
      <c r="AK9998" s="21" t="s">
        <v>52</v>
      </c>
      <c r="AL9998" s="21" t="s">
        <v>7650</v>
      </c>
      <c r="AM9998" s="21" t="s">
        <v>7651</v>
      </c>
      <c r="AN9998" s="21">
        <v>-122.413154483333</v>
      </c>
      <c r="AO9998" s="21">
        <v>37.801891183333296</v>
      </c>
      <c r="AP9998" s="21" t="s">
        <v>116</v>
      </c>
    </row>
    <row r="9999" spans="1:42">
      <c r="A9999" s="20">
        <v>43872</v>
      </c>
      <c r="B9999" s="21">
        <v>2</v>
      </c>
      <c r="C9999" s="21">
        <v>232</v>
      </c>
      <c r="D9999" s="21">
        <v>14476</v>
      </c>
      <c r="E9999" s="7" t="s">
        <v>112</v>
      </c>
      <c r="F9999" s="21" t="s">
        <v>104</v>
      </c>
      <c r="G9999" s="21">
        <v>2</v>
      </c>
      <c r="H9999" s="21">
        <v>144</v>
      </c>
      <c r="I9999" s="21" t="s">
        <v>4972</v>
      </c>
      <c r="J9999" s="21"/>
      <c r="K9999" s="21" t="s">
        <v>1446</v>
      </c>
      <c r="L9999" s="21" t="s">
        <v>114</v>
      </c>
      <c r="M9999" s="21" t="s">
        <v>7038</v>
      </c>
      <c r="N9999" s="21" t="s">
        <v>44</v>
      </c>
      <c r="O9999" s="21">
        <v>129</v>
      </c>
      <c r="P9999" s="21"/>
      <c r="Q9999" s="21">
        <f t="shared" si="214"/>
        <v>2</v>
      </c>
      <c r="R9999" s="21">
        <v>1</v>
      </c>
      <c r="S9999" s="21">
        <v>0</v>
      </c>
      <c r="T9999" s="21">
        <v>0</v>
      </c>
      <c r="U9999" s="21">
        <v>1</v>
      </c>
      <c r="V9999" s="21">
        <v>1</v>
      </c>
      <c r="W9999" s="21">
        <v>0</v>
      </c>
      <c r="X9999" s="21">
        <v>0</v>
      </c>
      <c r="Y9999" s="21">
        <v>0</v>
      </c>
      <c r="Z9999" s="21">
        <v>0</v>
      </c>
      <c r="AA9999" s="21">
        <v>0</v>
      </c>
      <c r="AB9999" s="21">
        <v>0</v>
      </c>
      <c r="AC9999" s="21">
        <v>0</v>
      </c>
      <c r="AD9999" s="21">
        <v>0</v>
      </c>
      <c r="AE9999" s="21">
        <v>0</v>
      </c>
      <c r="AF9999" s="21">
        <v>0</v>
      </c>
      <c r="AG9999" s="21"/>
      <c r="AH9999" s="21">
        <f t="shared" si="213"/>
        <v>96</v>
      </c>
      <c r="AI9999" s="21"/>
      <c r="AJ9999" s="21" t="s">
        <v>54</v>
      </c>
      <c r="AK9999" s="21" t="s">
        <v>52</v>
      </c>
      <c r="AL9999" s="21" t="s">
        <v>7652</v>
      </c>
      <c r="AM9999" s="21" t="s">
        <v>7653</v>
      </c>
      <c r="AN9999" s="21">
        <v>-122.4148142</v>
      </c>
      <c r="AO9999" s="21">
        <v>37.799772383333298</v>
      </c>
      <c r="AP9999" s="21" t="s">
        <v>116</v>
      </c>
    </row>
    <row r="10000" spans="1:42">
      <c r="A10000" s="20">
        <v>43872</v>
      </c>
      <c r="B10000" s="21">
        <v>2</v>
      </c>
      <c r="C10000" s="21">
        <v>232</v>
      </c>
      <c r="D10000" s="21">
        <v>14476</v>
      </c>
      <c r="E10000" s="7" t="s">
        <v>112</v>
      </c>
      <c r="F10000" s="21" t="s">
        <v>104</v>
      </c>
      <c r="G10000" s="21">
        <v>2</v>
      </c>
      <c r="H10000" s="21">
        <v>145</v>
      </c>
      <c r="I10000" s="21" t="s">
        <v>7361</v>
      </c>
      <c r="J10000" s="21"/>
      <c r="K10000" s="21" t="s">
        <v>148</v>
      </c>
      <c r="L10000" s="21" t="s">
        <v>141</v>
      </c>
      <c r="M10000" s="21" t="s">
        <v>7038</v>
      </c>
      <c r="N10000" s="21" t="s">
        <v>40</v>
      </c>
      <c r="O10000" s="21">
        <v>59</v>
      </c>
      <c r="P10000" s="21"/>
      <c r="Q10000" s="21">
        <f t="shared" si="214"/>
        <v>2</v>
      </c>
      <c r="R10000" s="21">
        <v>1</v>
      </c>
      <c r="S10000" s="21">
        <v>0</v>
      </c>
      <c r="T10000" s="21">
        <v>0</v>
      </c>
      <c r="U10000" s="21">
        <v>1</v>
      </c>
      <c r="V10000" s="21">
        <v>1</v>
      </c>
      <c r="W10000" s="21">
        <v>0</v>
      </c>
      <c r="X10000" s="21">
        <v>0</v>
      </c>
      <c r="Y10000" s="21">
        <v>0</v>
      </c>
      <c r="Z10000" s="21">
        <v>0</v>
      </c>
      <c r="AA10000" s="21">
        <v>0</v>
      </c>
      <c r="AB10000" s="21">
        <v>0</v>
      </c>
      <c r="AC10000" s="21">
        <v>0</v>
      </c>
      <c r="AD10000" s="21">
        <v>0</v>
      </c>
      <c r="AE10000" s="21">
        <v>0</v>
      </c>
      <c r="AF10000" s="21">
        <v>0</v>
      </c>
      <c r="AG10000" s="21"/>
      <c r="AH10000" s="21">
        <f t="shared" si="213"/>
        <v>96</v>
      </c>
      <c r="AI10000" s="21"/>
      <c r="AJ10000" s="21" t="s">
        <v>54</v>
      </c>
      <c r="AK10000" s="21" t="s">
        <v>52</v>
      </c>
      <c r="AL10000" s="21" t="s">
        <v>7654</v>
      </c>
      <c r="AM10000" s="21" t="s">
        <v>7655</v>
      </c>
      <c r="AN10000" s="21">
        <v>-122.417683066667</v>
      </c>
      <c r="AO10000" s="21">
        <v>37.800264466666697</v>
      </c>
      <c r="AP10000" s="21" t="s">
        <v>116</v>
      </c>
    </row>
    <row r="10001" spans="1:42">
      <c r="A10001" s="20">
        <v>43872</v>
      </c>
      <c r="B10001" s="21">
        <v>2</v>
      </c>
      <c r="C10001" s="21">
        <v>232</v>
      </c>
      <c r="D10001" s="21">
        <v>14476</v>
      </c>
      <c r="E10001" s="7" t="s">
        <v>112</v>
      </c>
      <c r="F10001" s="21" t="s">
        <v>104</v>
      </c>
      <c r="G10001" s="21">
        <v>2</v>
      </c>
      <c r="H10001" s="21">
        <v>146</v>
      </c>
      <c r="I10001" s="21" t="s">
        <v>7656</v>
      </c>
      <c r="J10001" s="21"/>
      <c r="K10001" s="21" t="s">
        <v>1446</v>
      </c>
      <c r="L10001" s="21" t="s">
        <v>141</v>
      </c>
      <c r="M10001" s="21" t="s">
        <v>7038</v>
      </c>
      <c r="N10001" s="21" t="s">
        <v>40</v>
      </c>
      <c r="O10001" s="21">
        <v>31</v>
      </c>
      <c r="P10001" s="21"/>
      <c r="Q10001" s="21">
        <f t="shared" si="214"/>
        <v>1</v>
      </c>
      <c r="R10001" s="21">
        <v>1</v>
      </c>
      <c r="S10001" s="21">
        <v>0</v>
      </c>
      <c r="T10001" s="21">
        <v>1</v>
      </c>
      <c r="U10001" s="21">
        <v>0</v>
      </c>
      <c r="V10001" s="21">
        <v>0</v>
      </c>
      <c r="W10001" s="21">
        <v>0</v>
      </c>
      <c r="X10001" s="21">
        <v>0</v>
      </c>
      <c r="Y10001" s="21">
        <v>0</v>
      </c>
      <c r="Z10001" s="21">
        <v>0</v>
      </c>
      <c r="AA10001" s="21">
        <v>0</v>
      </c>
      <c r="AB10001" s="21">
        <v>0</v>
      </c>
      <c r="AC10001" s="21">
        <v>0</v>
      </c>
      <c r="AD10001" s="21">
        <v>0</v>
      </c>
      <c r="AE10001" s="21">
        <v>0</v>
      </c>
      <c r="AF10001" s="21">
        <v>0</v>
      </c>
      <c r="AG10001" s="21"/>
      <c r="AH10001" s="21">
        <f t="shared" si="213"/>
        <v>20</v>
      </c>
      <c r="AI10001" s="21"/>
      <c r="AJ10001" s="21" t="s">
        <v>54</v>
      </c>
      <c r="AK10001" s="21" t="s">
        <v>52</v>
      </c>
      <c r="AL10001" s="21"/>
      <c r="AM10001" s="21" t="s">
        <v>7657</v>
      </c>
      <c r="AN10001" s="21">
        <v>-122.41764336666699</v>
      </c>
      <c r="AO10001" s="21">
        <v>37.800478599999998</v>
      </c>
      <c r="AP10001" s="21" t="s">
        <v>116</v>
      </c>
    </row>
    <row r="10002" spans="1:42">
      <c r="A10002" s="20">
        <v>43872</v>
      </c>
      <c r="B10002" s="21">
        <v>2</v>
      </c>
      <c r="C10002" s="21">
        <v>232</v>
      </c>
      <c r="D10002" s="21">
        <v>14476</v>
      </c>
      <c r="E10002" s="7" t="s">
        <v>112</v>
      </c>
      <c r="F10002" s="21" t="s">
        <v>104</v>
      </c>
      <c r="G10002" s="21">
        <v>2</v>
      </c>
      <c r="H10002" s="21">
        <v>147</v>
      </c>
      <c r="I10002" s="21" t="s">
        <v>7658</v>
      </c>
      <c r="J10002" s="21"/>
      <c r="K10002" s="21" t="s">
        <v>91</v>
      </c>
      <c r="L10002" s="21" t="s">
        <v>114</v>
      </c>
      <c r="M10002" s="21" t="s">
        <v>7038</v>
      </c>
      <c r="N10002" s="21" t="s">
        <v>44</v>
      </c>
      <c r="O10002" s="21">
        <v>143</v>
      </c>
      <c r="P10002" s="21"/>
      <c r="Q10002" s="21">
        <f t="shared" si="214"/>
        <v>1</v>
      </c>
      <c r="R10002" s="21">
        <v>1</v>
      </c>
      <c r="S10002" s="21">
        <v>0</v>
      </c>
      <c r="T10002" s="21">
        <v>0</v>
      </c>
      <c r="U10002" s="21">
        <v>0</v>
      </c>
      <c r="V10002" s="21">
        <v>0</v>
      </c>
      <c r="W10002" s="21">
        <v>1</v>
      </c>
      <c r="X10002" s="21">
        <v>0</v>
      </c>
      <c r="Y10002" s="21">
        <v>0</v>
      </c>
      <c r="Z10002" s="21">
        <v>0</v>
      </c>
      <c r="AA10002" s="21">
        <v>0</v>
      </c>
      <c r="AB10002" s="21">
        <v>0</v>
      </c>
      <c r="AC10002" s="21">
        <v>0</v>
      </c>
      <c r="AD10002" s="21">
        <v>0</v>
      </c>
      <c r="AE10002" s="21">
        <v>0</v>
      </c>
      <c r="AF10002" s="21">
        <v>0</v>
      </c>
      <c r="AG10002" s="21"/>
      <c r="AH10002" s="21">
        <f t="shared" si="213"/>
        <v>96</v>
      </c>
      <c r="AI10002" s="21"/>
      <c r="AJ10002" s="21" t="s">
        <v>51</v>
      </c>
      <c r="AK10002" s="21" t="s">
        <v>52</v>
      </c>
      <c r="AL10002" s="21" t="s">
        <v>7659</v>
      </c>
      <c r="AM10002" s="21" t="s">
        <v>7660</v>
      </c>
      <c r="AN10002" s="21">
        <v>-122.417617233333</v>
      </c>
      <c r="AO10002" s="21">
        <v>37.800728599999999</v>
      </c>
      <c r="AP10002" s="21" t="s">
        <v>116</v>
      </c>
    </row>
    <row r="10003" spans="1:42">
      <c r="A10003" s="20">
        <v>43872</v>
      </c>
      <c r="B10003" s="21">
        <v>2</v>
      </c>
      <c r="C10003" s="21">
        <v>232</v>
      </c>
      <c r="D10003" s="21">
        <v>14476</v>
      </c>
      <c r="E10003" s="7" t="s">
        <v>112</v>
      </c>
      <c r="F10003" s="21" t="s">
        <v>104</v>
      </c>
      <c r="G10003" s="21">
        <v>2</v>
      </c>
      <c r="H10003" s="21">
        <v>148</v>
      </c>
      <c r="I10003" s="21" t="s">
        <v>2192</v>
      </c>
      <c r="J10003" s="21"/>
      <c r="K10003" s="21" t="s">
        <v>91</v>
      </c>
      <c r="L10003" s="21" t="s">
        <v>141</v>
      </c>
      <c r="M10003" s="21" t="s">
        <v>7038</v>
      </c>
      <c r="N10003" s="21" t="s">
        <v>40</v>
      </c>
      <c r="O10003" s="21">
        <v>63</v>
      </c>
      <c r="P10003" s="21"/>
      <c r="Q10003" s="21">
        <f t="shared" si="214"/>
        <v>4</v>
      </c>
      <c r="R10003" s="21">
        <v>1</v>
      </c>
      <c r="S10003" s="21">
        <v>0</v>
      </c>
      <c r="T10003" s="21">
        <v>0</v>
      </c>
      <c r="U10003" s="21">
        <v>2</v>
      </c>
      <c r="V10003" s="21">
        <v>1</v>
      </c>
      <c r="W10003" s="21">
        <v>1</v>
      </c>
      <c r="X10003" s="21">
        <v>0</v>
      </c>
      <c r="Y10003" s="21">
        <v>0</v>
      </c>
      <c r="Z10003" s="21">
        <v>0</v>
      </c>
      <c r="AA10003" s="21">
        <v>0</v>
      </c>
      <c r="AB10003" s="21">
        <v>0</v>
      </c>
      <c r="AC10003" s="21">
        <v>0</v>
      </c>
      <c r="AD10003" s="21">
        <v>0</v>
      </c>
      <c r="AE10003" s="21">
        <v>0</v>
      </c>
      <c r="AF10003" s="21">
        <v>0</v>
      </c>
      <c r="AG10003" s="21"/>
      <c r="AH10003" s="21">
        <f t="shared" si="213"/>
        <v>224</v>
      </c>
      <c r="AI10003" s="21"/>
      <c r="AJ10003" s="21" t="s">
        <v>51</v>
      </c>
      <c r="AK10003" s="21" t="s">
        <v>52</v>
      </c>
      <c r="AL10003" s="21" t="s">
        <v>7511</v>
      </c>
      <c r="AM10003" s="21" t="s">
        <v>7661</v>
      </c>
      <c r="AN10003" s="21">
        <v>-122.41859867558099</v>
      </c>
      <c r="AO10003" s="21">
        <v>37.799524806516096</v>
      </c>
      <c r="AP10003" s="21" t="s">
        <v>116</v>
      </c>
    </row>
    <row r="10004" spans="1:42">
      <c r="A10004" s="20">
        <v>43872</v>
      </c>
      <c r="B10004" s="21">
        <v>2</v>
      </c>
      <c r="C10004" s="21">
        <v>232</v>
      </c>
      <c r="D10004" s="21">
        <v>14476</v>
      </c>
      <c r="E10004" s="7" t="s">
        <v>112</v>
      </c>
      <c r="F10004" s="21" t="s">
        <v>104</v>
      </c>
      <c r="G10004" s="21">
        <v>2</v>
      </c>
      <c r="H10004" s="21">
        <v>149</v>
      </c>
      <c r="I10004" s="21" t="s">
        <v>7662</v>
      </c>
      <c r="J10004" s="21"/>
      <c r="K10004" s="21" t="s">
        <v>1446</v>
      </c>
      <c r="L10004" s="21" t="s">
        <v>114</v>
      </c>
      <c r="M10004" s="21" t="s">
        <v>7038</v>
      </c>
      <c r="N10004" s="21" t="s">
        <v>40</v>
      </c>
      <c r="O10004" s="21">
        <v>29</v>
      </c>
      <c r="P10004" s="21"/>
      <c r="Q10004" s="21">
        <f t="shared" si="214"/>
        <v>2</v>
      </c>
      <c r="R10004" s="21">
        <v>1</v>
      </c>
      <c r="S10004" s="21">
        <v>0</v>
      </c>
      <c r="T10004" s="21">
        <v>0</v>
      </c>
      <c r="U10004" s="21">
        <v>1</v>
      </c>
      <c r="V10004" s="21">
        <v>1</v>
      </c>
      <c r="W10004" s="21">
        <v>0</v>
      </c>
      <c r="X10004" s="21">
        <v>0</v>
      </c>
      <c r="Y10004" s="21">
        <v>0</v>
      </c>
      <c r="Z10004" s="21">
        <v>0</v>
      </c>
      <c r="AA10004" s="21">
        <v>0</v>
      </c>
      <c r="AB10004" s="21">
        <v>0</v>
      </c>
      <c r="AC10004" s="21">
        <v>0</v>
      </c>
      <c r="AD10004" s="21">
        <v>0</v>
      </c>
      <c r="AE10004" s="21">
        <v>0</v>
      </c>
      <c r="AF10004" s="21">
        <v>0</v>
      </c>
      <c r="AG10004" s="21"/>
      <c r="AH10004" s="21">
        <f t="shared" si="213"/>
        <v>96</v>
      </c>
      <c r="AI10004" s="21"/>
      <c r="AJ10004" s="21" t="s">
        <v>51</v>
      </c>
      <c r="AK10004" s="21" t="s">
        <v>52</v>
      </c>
      <c r="AL10004" s="21"/>
      <c r="AM10004" s="21" t="s">
        <v>7663</v>
      </c>
      <c r="AN10004" s="21">
        <v>-122.417712516667</v>
      </c>
      <c r="AO10004" s="21">
        <v>37.800773316666699</v>
      </c>
      <c r="AP10004" s="21" t="s">
        <v>116</v>
      </c>
    </row>
    <row r="10005" spans="1:42">
      <c r="A10005" s="20">
        <v>43872</v>
      </c>
      <c r="B10005" s="21">
        <v>2</v>
      </c>
      <c r="C10005" s="21">
        <v>232</v>
      </c>
      <c r="D10005" s="21">
        <v>14476</v>
      </c>
      <c r="E10005" s="7" t="s">
        <v>112</v>
      </c>
      <c r="F10005" s="21" t="s">
        <v>104</v>
      </c>
      <c r="G10005" s="21">
        <v>2</v>
      </c>
      <c r="H10005" s="21">
        <v>150</v>
      </c>
      <c r="I10005" s="21" t="s">
        <v>7664</v>
      </c>
      <c r="J10005" s="21"/>
      <c r="K10005" s="21" t="s">
        <v>1446</v>
      </c>
      <c r="L10005" s="21" t="s">
        <v>114</v>
      </c>
      <c r="M10005" s="21" t="s">
        <v>7038</v>
      </c>
      <c r="N10005" s="21" t="s">
        <v>44</v>
      </c>
      <c r="O10005" s="21">
        <v>129</v>
      </c>
      <c r="P10005" s="21"/>
      <c r="Q10005" s="21">
        <f t="shared" si="214"/>
        <v>3</v>
      </c>
      <c r="R10005" s="21">
        <v>1</v>
      </c>
      <c r="S10005" s="21">
        <v>0</v>
      </c>
      <c r="T10005" s="21">
        <v>0</v>
      </c>
      <c r="U10005" s="21">
        <v>1</v>
      </c>
      <c r="V10005" s="21">
        <v>0</v>
      </c>
      <c r="W10005" s="21">
        <v>1</v>
      </c>
      <c r="X10005" s="21">
        <v>0</v>
      </c>
      <c r="Y10005" s="21">
        <v>0</v>
      </c>
      <c r="Z10005" s="21">
        <v>0</v>
      </c>
      <c r="AA10005" s="21">
        <v>0</v>
      </c>
      <c r="AB10005" s="21">
        <v>0</v>
      </c>
      <c r="AC10005" s="21">
        <v>0</v>
      </c>
      <c r="AD10005" s="21">
        <v>0</v>
      </c>
      <c r="AE10005" s="21">
        <v>0</v>
      </c>
      <c r="AF10005" s="21">
        <v>1</v>
      </c>
      <c r="AG10005" s="21"/>
      <c r="AH10005" s="21">
        <f t="shared" si="213"/>
        <v>128</v>
      </c>
      <c r="AI10005" s="21"/>
      <c r="AJ10005" s="21" t="s">
        <v>51</v>
      </c>
      <c r="AK10005" s="21" t="s">
        <v>52</v>
      </c>
      <c r="AL10005" s="21" t="s">
        <v>7665</v>
      </c>
      <c r="AM10005" s="21" t="s">
        <v>7666</v>
      </c>
      <c r="AN10005" s="21">
        <v>-122.417711316667</v>
      </c>
      <c r="AO10005" s="21">
        <v>37.800938733333297</v>
      </c>
      <c r="AP10005" s="21" t="s">
        <v>116</v>
      </c>
    </row>
    <row r="10006" spans="1:42">
      <c r="A10006" s="20">
        <v>43872</v>
      </c>
      <c r="B10006" s="21">
        <v>2</v>
      </c>
      <c r="C10006" s="21">
        <v>232</v>
      </c>
      <c r="D10006" s="21">
        <v>14476</v>
      </c>
      <c r="E10006" s="7" t="s">
        <v>112</v>
      </c>
      <c r="F10006" s="21" t="s">
        <v>104</v>
      </c>
      <c r="G10006" s="21">
        <v>2</v>
      </c>
      <c r="H10006" s="21">
        <v>152</v>
      </c>
      <c r="I10006" s="21" t="s">
        <v>7667</v>
      </c>
      <c r="J10006" s="21"/>
      <c r="K10006" s="21" t="s">
        <v>1446</v>
      </c>
      <c r="L10006" s="21" t="s">
        <v>114</v>
      </c>
      <c r="M10006" s="21" t="s">
        <v>7038</v>
      </c>
      <c r="N10006" s="21" t="s">
        <v>44</v>
      </c>
      <c r="O10006" s="21">
        <v>154</v>
      </c>
      <c r="P10006" s="21"/>
      <c r="Q10006" s="21">
        <f t="shared" si="214"/>
        <v>4</v>
      </c>
      <c r="R10006" s="21">
        <v>1</v>
      </c>
      <c r="S10006" s="21">
        <v>0</v>
      </c>
      <c r="T10006" s="21">
        <v>3</v>
      </c>
      <c r="U10006" s="21">
        <v>1</v>
      </c>
      <c r="V10006" s="21">
        <v>0</v>
      </c>
      <c r="W10006" s="21">
        <v>0</v>
      </c>
      <c r="X10006" s="21">
        <v>0</v>
      </c>
      <c r="Y10006" s="21">
        <v>0</v>
      </c>
      <c r="Z10006" s="21">
        <v>0</v>
      </c>
      <c r="AA10006" s="21">
        <v>0</v>
      </c>
      <c r="AB10006" s="21">
        <v>0</v>
      </c>
      <c r="AC10006" s="21">
        <v>0</v>
      </c>
      <c r="AD10006" s="21">
        <v>0</v>
      </c>
      <c r="AE10006" s="21">
        <v>0</v>
      </c>
      <c r="AF10006" s="21">
        <v>0</v>
      </c>
      <c r="AG10006" s="21"/>
      <c r="AH10006" s="21">
        <f t="shared" si="213"/>
        <v>92</v>
      </c>
      <c r="AI10006" s="21"/>
      <c r="AJ10006" s="21" t="s">
        <v>51</v>
      </c>
      <c r="AK10006" s="21" t="s">
        <v>52</v>
      </c>
      <c r="AL10006" s="21" t="s">
        <v>7668</v>
      </c>
      <c r="AM10006" s="21" t="s">
        <v>7669</v>
      </c>
      <c r="AN10006" s="21">
        <v>-122.417694583333</v>
      </c>
      <c r="AO10006" s="21">
        <v>37.801024433333303</v>
      </c>
      <c r="AP10006" s="21" t="s">
        <v>116</v>
      </c>
    </row>
    <row r="10007" spans="1:42">
      <c r="A10007" s="20">
        <v>43872</v>
      </c>
      <c r="B10007" s="21">
        <v>2</v>
      </c>
      <c r="C10007" s="21">
        <v>232</v>
      </c>
      <c r="D10007" s="21">
        <v>14476</v>
      </c>
      <c r="E10007" s="7" t="s">
        <v>112</v>
      </c>
      <c r="F10007" s="21" t="s">
        <v>104</v>
      </c>
      <c r="G10007" s="21">
        <v>2</v>
      </c>
      <c r="H10007" s="21">
        <v>153</v>
      </c>
      <c r="I10007" s="21" t="s">
        <v>2851</v>
      </c>
      <c r="J10007" s="21"/>
      <c r="K10007" s="21" t="s">
        <v>1446</v>
      </c>
      <c r="L10007" s="21" t="s">
        <v>141</v>
      </c>
      <c r="M10007" s="21" t="s">
        <v>7038</v>
      </c>
      <c r="N10007" s="21" t="s">
        <v>40</v>
      </c>
      <c r="O10007" s="21">
        <v>65</v>
      </c>
      <c r="P10007" s="21"/>
      <c r="Q10007" s="21">
        <f t="shared" si="214"/>
        <v>3</v>
      </c>
      <c r="R10007" s="21">
        <v>1</v>
      </c>
      <c r="S10007" s="21">
        <v>0</v>
      </c>
      <c r="T10007" s="21">
        <v>0</v>
      </c>
      <c r="U10007" s="21">
        <v>2</v>
      </c>
      <c r="V10007" s="21">
        <v>1</v>
      </c>
      <c r="W10007" s="21">
        <v>0</v>
      </c>
      <c r="X10007" s="21">
        <v>0</v>
      </c>
      <c r="Y10007" s="21">
        <v>0</v>
      </c>
      <c r="Z10007" s="21">
        <v>0</v>
      </c>
      <c r="AA10007" s="21">
        <v>0</v>
      </c>
      <c r="AB10007" s="21">
        <v>0</v>
      </c>
      <c r="AC10007" s="21">
        <v>0</v>
      </c>
      <c r="AD10007" s="21">
        <v>0</v>
      </c>
      <c r="AE10007" s="21">
        <v>0</v>
      </c>
      <c r="AF10007" s="21">
        <v>0</v>
      </c>
      <c r="AG10007" s="21"/>
      <c r="AH10007" s="21">
        <f t="shared" si="213"/>
        <v>128</v>
      </c>
      <c r="AI10007" s="21"/>
      <c r="AJ10007" s="21" t="s">
        <v>51</v>
      </c>
      <c r="AK10007" s="21" t="s">
        <v>52</v>
      </c>
      <c r="AL10007" s="21" t="s">
        <v>7511</v>
      </c>
      <c r="AM10007" s="21" t="s">
        <v>7670</v>
      </c>
      <c r="AN10007" s="21">
        <v>-122.417868483333</v>
      </c>
      <c r="AO10007" s="21">
        <v>37.801461116666701</v>
      </c>
      <c r="AP10007" s="21" t="s">
        <v>116</v>
      </c>
    </row>
    <row r="10008" spans="1:42">
      <c r="A10008" s="20">
        <v>43872</v>
      </c>
      <c r="B10008" s="21">
        <v>2</v>
      </c>
      <c r="C10008" s="21">
        <v>232</v>
      </c>
      <c r="D10008" s="21">
        <v>14476</v>
      </c>
      <c r="E10008" s="7" t="s">
        <v>112</v>
      </c>
      <c r="F10008" s="21" t="s">
        <v>104</v>
      </c>
      <c r="G10008" s="21">
        <v>2</v>
      </c>
      <c r="H10008" s="21">
        <v>154</v>
      </c>
      <c r="I10008" s="21" t="s">
        <v>7671</v>
      </c>
      <c r="J10008" s="21"/>
      <c r="K10008" s="21" t="s">
        <v>1446</v>
      </c>
      <c r="L10008" s="21" t="s">
        <v>114</v>
      </c>
      <c r="M10008" s="21" t="s">
        <v>7038</v>
      </c>
      <c r="N10008" s="21" t="s">
        <v>44</v>
      </c>
      <c r="O10008" s="21">
        <v>56</v>
      </c>
      <c r="P10008" s="21"/>
      <c r="Q10008" s="21">
        <f t="shared" si="214"/>
        <v>1</v>
      </c>
      <c r="R10008" s="21">
        <v>1</v>
      </c>
      <c r="S10008" s="21">
        <v>0</v>
      </c>
      <c r="T10008" s="21">
        <v>0</v>
      </c>
      <c r="U10008" s="21">
        <v>0</v>
      </c>
      <c r="V10008" s="21">
        <v>0</v>
      </c>
      <c r="W10008" s="21">
        <v>1</v>
      </c>
      <c r="X10008" s="21">
        <v>0</v>
      </c>
      <c r="Y10008" s="21">
        <v>0</v>
      </c>
      <c r="Z10008" s="21">
        <v>0</v>
      </c>
      <c r="AA10008" s="21">
        <v>0</v>
      </c>
      <c r="AB10008" s="21">
        <v>0</v>
      </c>
      <c r="AC10008" s="21">
        <v>0</v>
      </c>
      <c r="AD10008" s="21">
        <v>0</v>
      </c>
      <c r="AE10008" s="21">
        <v>0</v>
      </c>
      <c r="AF10008" s="21">
        <v>0</v>
      </c>
      <c r="AG10008" s="21"/>
      <c r="AH10008" s="21">
        <f t="shared" si="213"/>
        <v>96</v>
      </c>
      <c r="AI10008" s="21"/>
      <c r="AJ10008" s="21" t="s">
        <v>51</v>
      </c>
      <c r="AK10008" s="21" t="s">
        <v>52</v>
      </c>
      <c r="AL10008" s="21" t="s">
        <v>7558</v>
      </c>
      <c r="AM10008" s="21" t="s">
        <v>7672</v>
      </c>
      <c r="AN10008" s="21">
        <v>-122.41783155</v>
      </c>
      <c r="AO10008" s="21">
        <v>37.801544</v>
      </c>
      <c r="AP10008" s="21" t="s">
        <v>116</v>
      </c>
    </row>
    <row r="10009" spans="1:42">
      <c r="A10009" s="20">
        <v>43872</v>
      </c>
      <c r="B10009" s="21">
        <v>2</v>
      </c>
      <c r="C10009" s="21">
        <v>232</v>
      </c>
      <c r="D10009" s="21">
        <v>14476</v>
      </c>
      <c r="E10009" s="7" t="s">
        <v>112</v>
      </c>
      <c r="F10009" s="21" t="s">
        <v>104</v>
      </c>
      <c r="G10009" s="21">
        <v>2</v>
      </c>
      <c r="H10009" s="21">
        <v>155</v>
      </c>
      <c r="I10009" s="21" t="s">
        <v>7673</v>
      </c>
      <c r="J10009" s="21"/>
      <c r="K10009" s="21" t="s">
        <v>1446</v>
      </c>
      <c r="L10009" s="21" t="s">
        <v>114</v>
      </c>
      <c r="M10009" s="21" t="s">
        <v>7038</v>
      </c>
      <c r="N10009" s="21" t="s">
        <v>40</v>
      </c>
      <c r="O10009" s="21">
        <v>88</v>
      </c>
      <c r="P10009" s="21"/>
      <c r="Q10009" s="21">
        <f t="shared" si="214"/>
        <v>6</v>
      </c>
      <c r="R10009" s="21">
        <v>1</v>
      </c>
      <c r="S10009" s="21">
        <v>0</v>
      </c>
      <c r="T10009" s="21">
        <v>0</v>
      </c>
      <c r="U10009" s="21">
        <v>5</v>
      </c>
      <c r="V10009" s="21">
        <v>1</v>
      </c>
      <c r="W10009" s="21">
        <v>0</v>
      </c>
      <c r="X10009" s="21">
        <v>0</v>
      </c>
      <c r="Y10009" s="21">
        <v>0</v>
      </c>
      <c r="Z10009" s="21">
        <v>0</v>
      </c>
      <c r="AA10009" s="21">
        <v>0</v>
      </c>
      <c r="AB10009" s="21">
        <v>0</v>
      </c>
      <c r="AC10009" s="21">
        <v>0</v>
      </c>
      <c r="AD10009" s="21">
        <v>0</v>
      </c>
      <c r="AE10009" s="21">
        <v>0</v>
      </c>
      <c r="AF10009" s="21">
        <v>0</v>
      </c>
      <c r="AG10009" s="21"/>
      <c r="AH10009" s="21">
        <f t="shared" si="213"/>
        <v>224</v>
      </c>
      <c r="AI10009" s="21"/>
      <c r="AJ10009" s="21" t="s">
        <v>51</v>
      </c>
      <c r="AK10009" s="21" t="s">
        <v>52</v>
      </c>
      <c r="AL10009" s="21"/>
      <c r="AM10009" s="21" t="s">
        <v>7674</v>
      </c>
      <c r="AN10009" s="21">
        <v>-122.41744552243701</v>
      </c>
      <c r="AO10009" s="21">
        <v>37.799547840757697</v>
      </c>
      <c r="AP10009" s="21" t="s">
        <v>116</v>
      </c>
    </row>
    <row r="10010" spans="1:42">
      <c r="A10010" s="20">
        <v>43872</v>
      </c>
      <c r="B10010" s="21">
        <v>2</v>
      </c>
      <c r="C10010" s="21">
        <v>232</v>
      </c>
      <c r="D10010" s="21">
        <v>14476</v>
      </c>
      <c r="E10010" s="7" t="s">
        <v>112</v>
      </c>
      <c r="F10010" s="21" t="s">
        <v>104</v>
      </c>
      <c r="G10010" s="21">
        <v>2</v>
      </c>
      <c r="H10010" s="21">
        <v>156</v>
      </c>
      <c r="I10010" s="21" t="s">
        <v>4858</v>
      </c>
      <c r="J10010" s="21"/>
      <c r="K10010" s="21" t="s">
        <v>1446</v>
      </c>
      <c r="L10010" s="21" t="s">
        <v>114</v>
      </c>
      <c r="M10010" s="21" t="s">
        <v>7038</v>
      </c>
      <c r="N10010" s="21" t="s">
        <v>40</v>
      </c>
      <c r="O10010" s="21">
        <v>19</v>
      </c>
      <c r="P10010" s="21"/>
      <c r="Q10010" s="21">
        <f t="shared" si="214"/>
        <v>1</v>
      </c>
      <c r="R10010" s="21">
        <v>1</v>
      </c>
      <c r="S10010" s="21">
        <v>1</v>
      </c>
      <c r="T10010" s="21">
        <v>0</v>
      </c>
      <c r="U10010" s="21">
        <v>0</v>
      </c>
      <c r="V10010" s="21">
        <v>0</v>
      </c>
      <c r="W10010" s="21">
        <v>0</v>
      </c>
      <c r="X10010" s="21">
        <v>0</v>
      </c>
      <c r="Y10010" s="21">
        <v>0</v>
      </c>
      <c r="Z10010" s="21">
        <v>0</v>
      </c>
      <c r="AA10010" s="21">
        <v>0</v>
      </c>
      <c r="AB10010" s="21">
        <v>0</v>
      </c>
      <c r="AC10010" s="21">
        <v>0</v>
      </c>
      <c r="AD10010" s="21">
        <v>0</v>
      </c>
      <c r="AE10010" s="21">
        <v>0</v>
      </c>
      <c r="AF10010" s="21">
        <v>0</v>
      </c>
      <c r="AG10010" s="21"/>
      <c r="AH10010" s="21">
        <f t="shared" si="213"/>
        <v>16</v>
      </c>
      <c r="AI10010" s="21"/>
      <c r="AJ10010" s="21" t="s">
        <v>51</v>
      </c>
      <c r="AK10010" s="21" t="s">
        <v>52</v>
      </c>
      <c r="AL10010" s="21"/>
      <c r="AM10010" s="21" t="s">
        <v>7675</v>
      </c>
      <c r="AN10010" s="21">
        <v>-122.417963466667</v>
      </c>
      <c r="AO10010" s="21">
        <v>37.802023966666702</v>
      </c>
      <c r="AP10010" s="21" t="s">
        <v>116</v>
      </c>
    </row>
    <row r="10011" spans="1:42">
      <c r="A10011" s="20">
        <v>43889</v>
      </c>
      <c r="B10011" s="21">
        <v>5</v>
      </c>
      <c r="C10011" s="21">
        <v>302</v>
      </c>
      <c r="D10011" s="21">
        <v>10415</v>
      </c>
      <c r="E10011" s="21" t="s">
        <v>37</v>
      </c>
      <c r="F10011" s="21" t="s">
        <v>38</v>
      </c>
      <c r="G10011" s="21">
        <v>4</v>
      </c>
      <c r="H10011" s="21">
        <v>1</v>
      </c>
      <c r="I10011" s="21" t="s">
        <v>5848</v>
      </c>
      <c r="K10011" s="21" t="s">
        <v>2125</v>
      </c>
      <c r="N10011" s="21" t="s">
        <v>44</v>
      </c>
      <c r="O10011" s="21">
        <v>126</v>
      </c>
      <c r="Q10011" s="21">
        <f t="shared" si="214"/>
        <v>4</v>
      </c>
      <c r="R10011" s="21">
        <v>1</v>
      </c>
      <c r="S10011" s="21">
        <v>0</v>
      </c>
      <c r="T10011" s="21">
        <v>0</v>
      </c>
      <c r="U10011" s="21">
        <v>0</v>
      </c>
      <c r="V10011" s="21">
        <v>0</v>
      </c>
      <c r="W10011" s="21">
        <v>0</v>
      </c>
      <c r="X10011" s="21">
        <v>0</v>
      </c>
      <c r="Y10011" s="21">
        <v>0</v>
      </c>
      <c r="Z10011" s="21">
        <v>0</v>
      </c>
      <c r="AA10011" s="21">
        <v>0</v>
      </c>
      <c r="AB10011" s="21">
        <v>4</v>
      </c>
      <c r="AC10011" s="21">
        <v>0</v>
      </c>
      <c r="AD10011" s="21">
        <v>0</v>
      </c>
      <c r="AE10011" s="21">
        <v>0</v>
      </c>
      <c r="AF10011" s="21">
        <v>0</v>
      </c>
      <c r="AG10011" s="21">
        <v>0</v>
      </c>
      <c r="AH10011" s="21">
        <f t="shared" si="213"/>
        <v>0</v>
      </c>
      <c r="AI10011" s="21"/>
      <c r="AJ10011" s="21" t="s">
        <v>51</v>
      </c>
      <c r="AK10011" s="21" t="s">
        <v>52</v>
      </c>
      <c r="AL10011" s="21" t="s">
        <v>7676</v>
      </c>
      <c r="AM10011" s="21" t="s">
        <v>7677</v>
      </c>
      <c r="AN10011" s="21">
        <v>-122.400714716667</v>
      </c>
      <c r="AO10011" s="21">
        <v>37.769054400000002</v>
      </c>
      <c r="AP10011" s="21" t="s">
        <v>116</v>
      </c>
    </row>
    <row r="10012" spans="1:42">
      <c r="A10012" s="20">
        <v>43889</v>
      </c>
      <c r="B10012" s="21">
        <v>5</v>
      </c>
      <c r="C10012" s="21">
        <v>302</v>
      </c>
      <c r="D10012" s="21">
        <v>10415</v>
      </c>
      <c r="E10012" s="21" t="s">
        <v>37</v>
      </c>
      <c r="F10012" s="21" t="s">
        <v>38</v>
      </c>
      <c r="G10012" s="21">
        <v>4</v>
      </c>
      <c r="H10012" s="21">
        <v>2</v>
      </c>
      <c r="I10012" s="21" t="s">
        <v>7678</v>
      </c>
      <c r="K10012" s="21" t="s">
        <v>7679</v>
      </c>
      <c r="N10012" s="21" t="s">
        <v>40</v>
      </c>
      <c r="O10012" s="21">
        <v>96</v>
      </c>
      <c r="Q10012" s="21">
        <f t="shared" si="214"/>
        <v>4</v>
      </c>
      <c r="R10012" s="21">
        <v>1</v>
      </c>
      <c r="S10012" s="21">
        <v>0</v>
      </c>
      <c r="T10012" s="21">
        <v>0</v>
      </c>
      <c r="U10012" s="21">
        <v>0</v>
      </c>
      <c r="V10012" s="21">
        <v>0</v>
      </c>
      <c r="W10012" s="21">
        <v>0</v>
      </c>
      <c r="X10012" s="21">
        <v>0</v>
      </c>
      <c r="Y10012" s="21">
        <v>0</v>
      </c>
      <c r="Z10012" s="21">
        <v>0</v>
      </c>
      <c r="AA10012" s="21">
        <v>0</v>
      </c>
      <c r="AB10012" s="21">
        <v>4</v>
      </c>
      <c r="AC10012" s="21">
        <v>0</v>
      </c>
      <c r="AD10012" s="21">
        <v>0</v>
      </c>
      <c r="AE10012" s="21">
        <v>0</v>
      </c>
      <c r="AF10012" s="21">
        <v>0</v>
      </c>
      <c r="AG10012" s="21">
        <v>0</v>
      </c>
      <c r="AH10012" s="21">
        <f t="shared" si="213"/>
        <v>0</v>
      </c>
      <c r="AI10012" s="21"/>
      <c r="AJ10012" s="21" t="s">
        <v>51</v>
      </c>
      <c r="AK10012" s="21" t="s">
        <v>95</v>
      </c>
      <c r="AL10012" s="21" t="s">
        <v>7680</v>
      </c>
      <c r="AM10012" s="21" t="s">
        <v>7681</v>
      </c>
      <c r="AN10012" s="21">
        <v>-122.41001091666701</v>
      </c>
      <c r="AO10012" s="21">
        <v>37.791864633333297</v>
      </c>
      <c r="AP10012" s="21" t="s">
        <v>116</v>
      </c>
    </row>
    <row r="10013" spans="1:42">
      <c r="A10013" s="20">
        <v>43889</v>
      </c>
      <c r="B10013" s="21">
        <v>5</v>
      </c>
      <c r="C10013" s="21">
        <v>302</v>
      </c>
      <c r="D10013" s="21">
        <v>10415</v>
      </c>
      <c r="E10013" s="21" t="s">
        <v>37</v>
      </c>
      <c r="F10013" s="21" t="s">
        <v>38</v>
      </c>
      <c r="G10013" s="21">
        <v>4</v>
      </c>
      <c r="H10013" s="21">
        <v>3</v>
      </c>
      <c r="I10013" s="21" t="s">
        <v>7300</v>
      </c>
      <c r="K10013" s="21" t="s">
        <v>407</v>
      </c>
      <c r="N10013" s="21" t="s">
        <v>40</v>
      </c>
      <c r="O10013" s="21">
        <v>56</v>
      </c>
      <c r="Q10013" s="21">
        <f t="shared" si="214"/>
        <v>2</v>
      </c>
      <c r="R10013" s="21">
        <v>1</v>
      </c>
      <c r="S10013" s="21">
        <v>0</v>
      </c>
      <c r="T10013" s="21">
        <v>0</v>
      </c>
      <c r="U10013" s="21">
        <v>0</v>
      </c>
      <c r="V10013" s="21">
        <v>0</v>
      </c>
      <c r="W10013" s="21">
        <v>0</v>
      </c>
      <c r="X10013" s="21">
        <v>0</v>
      </c>
      <c r="Y10013" s="21">
        <v>0</v>
      </c>
      <c r="Z10013" s="21">
        <v>0</v>
      </c>
      <c r="AA10013" s="21">
        <v>0</v>
      </c>
      <c r="AB10013" s="21">
        <v>2</v>
      </c>
      <c r="AC10013" s="21">
        <v>0</v>
      </c>
      <c r="AD10013" s="21">
        <v>0</v>
      </c>
      <c r="AE10013" s="21">
        <v>0</v>
      </c>
      <c r="AF10013" s="21">
        <v>0</v>
      </c>
      <c r="AG10013" s="21">
        <v>0</v>
      </c>
      <c r="AH10013" s="21">
        <f t="shared" si="213"/>
        <v>0</v>
      </c>
      <c r="AI10013" s="21"/>
      <c r="AJ10013" s="21" t="s">
        <v>54</v>
      </c>
      <c r="AK10013" s="21" t="s">
        <v>95</v>
      </c>
      <c r="AL10013" s="21"/>
      <c r="AM10013" s="21" t="s">
        <v>7682</v>
      </c>
      <c r="AN10013" s="21">
        <v>-122.4069818</v>
      </c>
      <c r="AO10013" s="21">
        <v>37.7928018666667</v>
      </c>
      <c r="AP10013" s="21" t="s">
        <v>116</v>
      </c>
    </row>
    <row r="10014" spans="1:42">
      <c r="A10014" s="20">
        <v>43889</v>
      </c>
      <c r="B10014" s="21">
        <v>5</v>
      </c>
      <c r="C10014" s="21">
        <v>302</v>
      </c>
      <c r="D10014" s="21">
        <v>10415</v>
      </c>
      <c r="E10014" s="21" t="s">
        <v>37</v>
      </c>
      <c r="F10014" s="21" t="s">
        <v>38</v>
      </c>
      <c r="G10014" s="21">
        <v>4</v>
      </c>
      <c r="H10014" s="21">
        <v>4</v>
      </c>
      <c r="I10014" s="21" t="s">
        <v>7300</v>
      </c>
      <c r="K10014" s="21" t="s">
        <v>407</v>
      </c>
      <c r="N10014" s="21" t="s">
        <v>40</v>
      </c>
      <c r="O10014" s="21">
        <v>48</v>
      </c>
      <c r="Q10014" s="21">
        <f t="shared" si="214"/>
        <v>1</v>
      </c>
      <c r="R10014" s="21">
        <v>1</v>
      </c>
      <c r="S10014" s="21">
        <v>0</v>
      </c>
      <c r="T10014" s="21">
        <v>0</v>
      </c>
      <c r="U10014" s="21">
        <v>0</v>
      </c>
      <c r="V10014" s="21">
        <v>0</v>
      </c>
      <c r="W10014" s="21">
        <v>0</v>
      </c>
      <c r="X10014" s="21">
        <v>0</v>
      </c>
      <c r="Y10014" s="21">
        <v>0</v>
      </c>
      <c r="Z10014" s="21">
        <v>0</v>
      </c>
      <c r="AA10014" s="21">
        <v>0</v>
      </c>
      <c r="AB10014" s="21">
        <v>1</v>
      </c>
      <c r="AC10014" s="21">
        <v>0</v>
      </c>
      <c r="AD10014" s="21">
        <v>0</v>
      </c>
      <c r="AE10014" s="21">
        <v>0</v>
      </c>
      <c r="AF10014" s="21">
        <v>0</v>
      </c>
      <c r="AG10014" s="21">
        <v>0</v>
      </c>
      <c r="AH10014" s="21">
        <f t="shared" si="213"/>
        <v>0</v>
      </c>
      <c r="AI10014" s="21"/>
      <c r="AJ10014" s="21" t="s">
        <v>54</v>
      </c>
      <c r="AK10014" s="21" t="s">
        <v>52</v>
      </c>
      <c r="AL10014" s="21" t="s">
        <v>7683</v>
      </c>
      <c r="AM10014" s="21" t="s">
        <v>7684</v>
      </c>
      <c r="AN10014" s="21">
        <v>-122.4095325</v>
      </c>
      <c r="AO10014" s="21">
        <v>37.7934222833333</v>
      </c>
      <c r="AP10014" s="21" t="s">
        <v>116</v>
      </c>
    </row>
    <row r="10015" spans="1:42">
      <c r="A10015" s="20">
        <v>43889</v>
      </c>
      <c r="B10015" s="21">
        <v>5</v>
      </c>
      <c r="C10015" s="21">
        <v>302</v>
      </c>
      <c r="D10015" s="21">
        <v>10415</v>
      </c>
      <c r="E10015" s="21" t="s">
        <v>37</v>
      </c>
      <c r="F10015" s="21" t="s">
        <v>38</v>
      </c>
      <c r="G10015" s="21">
        <v>4</v>
      </c>
      <c r="H10015" s="21">
        <v>5</v>
      </c>
      <c r="I10015" s="21" t="s">
        <v>7685</v>
      </c>
      <c r="K10015" s="21" t="s">
        <v>68</v>
      </c>
      <c r="N10015" s="21" t="s">
        <v>40</v>
      </c>
      <c r="O10015" s="21">
        <v>45</v>
      </c>
      <c r="Q10015" s="21">
        <f t="shared" si="214"/>
        <v>1</v>
      </c>
      <c r="R10015" s="21">
        <v>1</v>
      </c>
      <c r="S10015" s="21">
        <v>0</v>
      </c>
      <c r="T10015" s="21">
        <v>0</v>
      </c>
      <c r="U10015" s="21">
        <v>0</v>
      </c>
      <c r="V10015" s="21">
        <v>0</v>
      </c>
      <c r="W10015" s="21">
        <v>0</v>
      </c>
      <c r="X10015" s="21">
        <v>0</v>
      </c>
      <c r="Y10015" s="21">
        <v>0</v>
      </c>
      <c r="Z10015" s="21">
        <v>0</v>
      </c>
      <c r="AA10015" s="21">
        <v>1</v>
      </c>
      <c r="AB10015" s="21">
        <v>0</v>
      </c>
      <c r="AC10015" s="21">
        <v>0</v>
      </c>
      <c r="AD10015" s="21">
        <v>0</v>
      </c>
      <c r="AE10015" s="21">
        <v>0</v>
      </c>
      <c r="AF10015" s="21">
        <v>0</v>
      </c>
      <c r="AG10015" s="21">
        <v>0</v>
      </c>
      <c r="AH10015" s="21">
        <f t="shared" si="213"/>
        <v>0</v>
      </c>
      <c r="AI10015" s="21"/>
      <c r="AJ10015" s="21" t="s">
        <v>51</v>
      </c>
      <c r="AK10015" s="21" t="s">
        <v>95</v>
      </c>
      <c r="AL10015" s="21" t="s">
        <v>7686</v>
      </c>
      <c r="AM10015" s="21" t="s">
        <v>7687</v>
      </c>
      <c r="AN10015" s="21">
        <v>-122.409151583333</v>
      </c>
      <c r="AO10015" s="21">
        <v>37.793879500000003</v>
      </c>
      <c r="AP10015" s="21" t="s">
        <v>116</v>
      </c>
    </row>
    <row r="10016" spans="1:42">
      <c r="A10016" s="20">
        <v>43889</v>
      </c>
      <c r="B10016" s="21">
        <v>5</v>
      </c>
      <c r="C10016" s="21">
        <v>302</v>
      </c>
      <c r="D10016" s="21">
        <v>10415</v>
      </c>
      <c r="E10016" s="21" t="s">
        <v>37</v>
      </c>
      <c r="F10016" s="21" t="s">
        <v>38</v>
      </c>
      <c r="G10016" s="21">
        <v>4</v>
      </c>
      <c r="H10016" s="21">
        <v>7</v>
      </c>
      <c r="I10016" s="21" t="s">
        <v>7688</v>
      </c>
      <c r="K10016" s="21" t="s">
        <v>68</v>
      </c>
      <c r="N10016" s="21" t="s">
        <v>44</v>
      </c>
      <c r="O10016" s="21">
        <v>152</v>
      </c>
      <c r="Q10016" s="21">
        <f t="shared" si="214"/>
        <v>2</v>
      </c>
      <c r="R10016" s="21">
        <v>1</v>
      </c>
      <c r="S10016" s="21">
        <v>0</v>
      </c>
      <c r="T10016" s="21">
        <v>0</v>
      </c>
      <c r="U10016" s="21">
        <v>0</v>
      </c>
      <c r="V10016" s="21">
        <v>0</v>
      </c>
      <c r="W10016" s="21">
        <v>0</v>
      </c>
      <c r="X10016" s="21">
        <v>0</v>
      </c>
      <c r="Y10016" s="21">
        <v>0</v>
      </c>
      <c r="Z10016" s="21">
        <v>0</v>
      </c>
      <c r="AA10016" s="21">
        <v>2</v>
      </c>
      <c r="AB10016" s="21">
        <v>0</v>
      </c>
      <c r="AC10016" s="21">
        <v>0</v>
      </c>
      <c r="AD10016" s="21">
        <v>0</v>
      </c>
      <c r="AE10016" s="21">
        <v>0</v>
      </c>
      <c r="AF10016" s="21">
        <v>0</v>
      </c>
      <c r="AG10016" s="21">
        <v>0</v>
      </c>
      <c r="AH10016" s="21">
        <f t="shared" si="213"/>
        <v>0</v>
      </c>
      <c r="AI10016" s="21"/>
      <c r="AJ10016" s="21" t="s">
        <v>51</v>
      </c>
      <c r="AK10016" s="21" t="s">
        <v>95</v>
      </c>
      <c r="AL10016" s="21" t="s">
        <v>7689</v>
      </c>
      <c r="AM10016" s="21" t="s">
        <v>7690</v>
      </c>
      <c r="AN10016" s="21">
        <v>-122.40881033333299</v>
      </c>
      <c r="AO10016" s="21">
        <v>37.7938643166666</v>
      </c>
      <c r="AP10016" s="21" t="s">
        <v>116</v>
      </c>
    </row>
    <row r="10017" spans="1:42">
      <c r="A10017" s="20">
        <v>43889</v>
      </c>
      <c r="B10017" s="21">
        <v>5</v>
      </c>
      <c r="C10017" s="21">
        <v>302</v>
      </c>
      <c r="D10017" s="21">
        <v>10415</v>
      </c>
      <c r="E10017" s="21" t="s">
        <v>37</v>
      </c>
      <c r="F10017" s="21" t="s">
        <v>38</v>
      </c>
      <c r="G10017" s="21">
        <v>4</v>
      </c>
      <c r="H10017" s="21">
        <v>8</v>
      </c>
      <c r="I10017" s="21" t="s">
        <v>7691</v>
      </c>
      <c r="K10017" s="21" t="s">
        <v>7692</v>
      </c>
      <c r="N10017" s="21" t="s">
        <v>40</v>
      </c>
      <c r="O10017" s="21">
        <v>81</v>
      </c>
      <c r="Q10017" s="21">
        <f t="shared" si="214"/>
        <v>4</v>
      </c>
      <c r="R10017" s="21">
        <v>1</v>
      </c>
      <c r="S10017" s="21">
        <v>0</v>
      </c>
      <c r="T10017" s="21">
        <v>0</v>
      </c>
      <c r="U10017" s="21">
        <v>0</v>
      </c>
      <c r="V10017" s="21">
        <v>0</v>
      </c>
      <c r="W10017" s="21">
        <v>0</v>
      </c>
      <c r="X10017" s="21">
        <v>0</v>
      </c>
      <c r="Y10017" s="21">
        <v>0</v>
      </c>
      <c r="Z10017" s="21">
        <v>0</v>
      </c>
      <c r="AA10017" s="21">
        <v>4</v>
      </c>
      <c r="AB10017" s="21">
        <v>0</v>
      </c>
      <c r="AC10017" s="21">
        <v>0</v>
      </c>
      <c r="AD10017" s="21">
        <v>0</v>
      </c>
      <c r="AE10017" s="21">
        <v>0</v>
      </c>
      <c r="AF10017" s="21">
        <v>0</v>
      </c>
      <c r="AG10017" s="21">
        <v>0</v>
      </c>
      <c r="AH10017" s="21">
        <f t="shared" si="213"/>
        <v>0</v>
      </c>
      <c r="AI10017" s="21"/>
      <c r="AJ10017" s="21" t="s">
        <v>51</v>
      </c>
      <c r="AK10017" s="21" t="s">
        <v>95</v>
      </c>
      <c r="AL10017" s="21" t="s">
        <v>7693</v>
      </c>
      <c r="AM10017" s="21" t="s">
        <v>7694</v>
      </c>
      <c r="AN10017" s="21">
        <v>-122.40875025</v>
      </c>
      <c r="AO10017" s="21">
        <v>37.793565083333299</v>
      </c>
      <c r="AP10017" s="21" t="s">
        <v>116</v>
      </c>
    </row>
    <row r="10018" spans="1:42">
      <c r="A10018" s="20">
        <v>43889</v>
      </c>
      <c r="B10018" s="21">
        <v>5</v>
      </c>
      <c r="C10018" s="21">
        <v>302</v>
      </c>
      <c r="D10018" s="21">
        <v>10415</v>
      </c>
      <c r="E10018" s="21" t="s">
        <v>37</v>
      </c>
      <c r="F10018" s="21" t="s">
        <v>38</v>
      </c>
      <c r="G10018" s="21">
        <v>4</v>
      </c>
      <c r="H10018" s="21">
        <v>9</v>
      </c>
      <c r="I10018" s="21" t="s">
        <v>3807</v>
      </c>
      <c r="K10018" s="21" t="s">
        <v>68</v>
      </c>
      <c r="N10018" s="21" t="s">
        <v>44</v>
      </c>
      <c r="O10018" s="21">
        <v>147</v>
      </c>
      <c r="Q10018" s="21">
        <f t="shared" si="214"/>
        <v>6</v>
      </c>
      <c r="R10018" s="21">
        <v>1</v>
      </c>
      <c r="S10018" s="21">
        <v>0</v>
      </c>
      <c r="T10018" s="21">
        <v>0</v>
      </c>
      <c r="U10018" s="21">
        <v>0</v>
      </c>
      <c r="V10018" s="21">
        <v>0</v>
      </c>
      <c r="W10018" s="21">
        <v>0</v>
      </c>
      <c r="X10018" s="21">
        <v>0</v>
      </c>
      <c r="Y10018" s="21">
        <v>0</v>
      </c>
      <c r="Z10018" s="21">
        <v>0</v>
      </c>
      <c r="AA10018" s="21">
        <v>0</v>
      </c>
      <c r="AB10018" s="21">
        <v>6</v>
      </c>
      <c r="AC10018" s="21">
        <v>0</v>
      </c>
      <c r="AD10018" s="21">
        <v>0</v>
      </c>
      <c r="AE10018" s="21">
        <v>0</v>
      </c>
      <c r="AF10018" s="21">
        <v>0</v>
      </c>
      <c r="AG10018" s="21">
        <v>0</v>
      </c>
      <c r="AH10018" s="21">
        <f t="shared" si="213"/>
        <v>0</v>
      </c>
      <c r="AI10018" s="21"/>
      <c r="AJ10018" s="21" t="s">
        <v>54</v>
      </c>
      <c r="AK10018" s="21" t="s">
        <v>95</v>
      </c>
      <c r="AL10018" s="21" t="s">
        <v>7695</v>
      </c>
      <c r="AM10018" s="21" t="s">
        <v>7696</v>
      </c>
      <c r="AN10018" s="21">
        <v>-122.408741233333</v>
      </c>
      <c r="AO10018" s="21">
        <v>37.793032050000001</v>
      </c>
      <c r="AP10018" s="21" t="s">
        <v>116</v>
      </c>
    </row>
    <row r="10019" spans="1:42">
      <c r="A10019" s="20">
        <v>43889</v>
      </c>
      <c r="B10019" s="21">
        <v>5</v>
      </c>
      <c r="C10019" s="21">
        <v>302</v>
      </c>
      <c r="D10019" s="21">
        <v>10415</v>
      </c>
      <c r="E10019" s="21" t="s">
        <v>37</v>
      </c>
      <c r="F10019" s="21" t="s">
        <v>38</v>
      </c>
      <c r="G10019" s="21">
        <v>4</v>
      </c>
      <c r="H10019" s="27">
        <v>10.1785714285714</v>
      </c>
      <c r="I10019" s="21" t="s">
        <v>7293</v>
      </c>
      <c r="K10019" s="21" t="s">
        <v>7068</v>
      </c>
      <c r="N10019" s="21" t="s">
        <v>40</v>
      </c>
      <c r="O10019" s="21">
        <v>71</v>
      </c>
      <c r="Q10019" s="21">
        <f t="shared" si="214"/>
        <v>1</v>
      </c>
      <c r="R10019" s="21">
        <v>1</v>
      </c>
      <c r="S10019" s="21">
        <v>0</v>
      </c>
      <c r="T10019" s="21">
        <v>0</v>
      </c>
      <c r="U10019" s="21">
        <v>0</v>
      </c>
      <c r="V10019" s="21">
        <v>0</v>
      </c>
      <c r="W10019" s="21">
        <v>0</v>
      </c>
      <c r="X10019" s="21">
        <v>0</v>
      </c>
      <c r="Y10019" s="21">
        <v>0</v>
      </c>
      <c r="Z10019" s="21">
        <v>0</v>
      </c>
      <c r="AA10019" s="21">
        <v>1</v>
      </c>
      <c r="AB10019" s="21">
        <v>0</v>
      </c>
      <c r="AC10019" s="21">
        <v>0</v>
      </c>
      <c r="AD10019" s="21">
        <v>0</v>
      </c>
      <c r="AE10019" s="21">
        <v>0</v>
      </c>
      <c r="AF10019" s="21">
        <v>0</v>
      </c>
      <c r="AG10019" s="21">
        <v>0</v>
      </c>
      <c r="AH10019" s="21">
        <f t="shared" si="213"/>
        <v>0</v>
      </c>
      <c r="AI10019" s="21"/>
      <c r="AJ10019" s="21" t="s">
        <v>51</v>
      </c>
      <c r="AK10019" s="21" t="s">
        <v>52</v>
      </c>
      <c r="AL10019" s="21" t="s">
        <v>515</v>
      </c>
      <c r="AM10019" s="21" t="s">
        <v>7697</v>
      </c>
      <c r="AN10019" s="21">
        <v>-122.408635783333</v>
      </c>
      <c r="AO10019" s="21">
        <v>37.793894616666698</v>
      </c>
      <c r="AP10019" s="21" t="s">
        <v>116</v>
      </c>
    </row>
    <row r="10020" spans="1:42">
      <c r="A10020" s="20">
        <v>43889</v>
      </c>
      <c r="B10020" s="21">
        <v>5</v>
      </c>
      <c r="C10020" s="21">
        <v>302</v>
      </c>
      <c r="D10020" s="21">
        <v>10415</v>
      </c>
      <c r="E10020" s="21" t="s">
        <v>37</v>
      </c>
      <c r="F10020" s="21" t="s">
        <v>38</v>
      </c>
      <c r="G10020" s="21">
        <v>4</v>
      </c>
      <c r="H10020" s="27">
        <v>11.3571428571429</v>
      </c>
      <c r="I10020" s="21" t="s">
        <v>7698</v>
      </c>
      <c r="K10020" s="21" t="s">
        <v>50</v>
      </c>
      <c r="N10020" s="21" t="s">
        <v>40</v>
      </c>
      <c r="O10020" s="21">
        <v>73</v>
      </c>
      <c r="Q10020" s="21">
        <f t="shared" si="214"/>
        <v>2</v>
      </c>
      <c r="R10020" s="21">
        <v>1</v>
      </c>
      <c r="S10020" s="21">
        <v>0</v>
      </c>
      <c r="T10020" s="21">
        <v>0</v>
      </c>
      <c r="U10020" s="21">
        <v>0</v>
      </c>
      <c r="V10020" s="21">
        <v>0</v>
      </c>
      <c r="W10020" s="21">
        <v>0</v>
      </c>
      <c r="X10020" s="21">
        <v>0</v>
      </c>
      <c r="Y10020" s="21">
        <v>0</v>
      </c>
      <c r="Z10020" s="21">
        <v>0</v>
      </c>
      <c r="AA10020" s="21">
        <v>1</v>
      </c>
      <c r="AB10020" s="21">
        <v>1</v>
      </c>
      <c r="AC10020" s="21">
        <v>0</v>
      </c>
      <c r="AD10020" s="21">
        <v>0</v>
      </c>
      <c r="AE10020" s="21">
        <v>0</v>
      </c>
      <c r="AF10020" s="21">
        <v>0</v>
      </c>
      <c r="AG10020" s="21">
        <v>0</v>
      </c>
      <c r="AH10020" s="21">
        <f t="shared" si="213"/>
        <v>0</v>
      </c>
      <c r="AI10020" s="21"/>
      <c r="AJ10020" s="21" t="s">
        <v>51</v>
      </c>
      <c r="AK10020" s="21" t="s">
        <v>52</v>
      </c>
      <c r="AL10020" s="21"/>
      <c r="AM10020" s="21" t="s">
        <v>7699</v>
      </c>
      <c r="AN10020" s="21">
        <v>-122.407741483333</v>
      </c>
      <c r="AO10020" s="21">
        <v>37.794171216666697</v>
      </c>
      <c r="AP10020" s="21" t="s">
        <v>116</v>
      </c>
    </row>
    <row r="10021" spans="1:42">
      <c r="A10021" s="20">
        <v>43889</v>
      </c>
      <c r="B10021" s="21">
        <v>5</v>
      </c>
      <c r="C10021" s="21">
        <v>302</v>
      </c>
      <c r="D10021" s="21">
        <v>10415</v>
      </c>
      <c r="E10021" s="21" t="s">
        <v>37</v>
      </c>
      <c r="F10021" s="21" t="s">
        <v>38</v>
      </c>
      <c r="G10021" s="21">
        <v>4</v>
      </c>
      <c r="H10021" s="27">
        <v>12.535714285714301</v>
      </c>
      <c r="I10021" s="21" t="s">
        <v>7607</v>
      </c>
      <c r="K10021" s="21" t="s">
        <v>50</v>
      </c>
      <c r="N10021" s="21" t="s">
        <v>40</v>
      </c>
      <c r="O10021" s="21">
        <v>59</v>
      </c>
      <c r="Q10021" s="21">
        <f t="shared" si="214"/>
        <v>1</v>
      </c>
      <c r="R10021" s="21">
        <v>1</v>
      </c>
      <c r="S10021" s="21">
        <v>0</v>
      </c>
      <c r="T10021" s="21">
        <v>0</v>
      </c>
      <c r="U10021" s="21">
        <v>0</v>
      </c>
      <c r="V10021" s="21">
        <v>0</v>
      </c>
      <c r="W10021" s="21">
        <v>0</v>
      </c>
      <c r="X10021" s="21">
        <v>0</v>
      </c>
      <c r="Y10021" s="21">
        <v>0</v>
      </c>
      <c r="Z10021" s="21">
        <v>0</v>
      </c>
      <c r="AA10021" s="21">
        <v>0</v>
      </c>
      <c r="AB10021" s="21">
        <v>1</v>
      </c>
      <c r="AC10021" s="21">
        <v>0</v>
      </c>
      <c r="AD10021" s="21">
        <v>0</v>
      </c>
      <c r="AE10021" s="21">
        <v>0</v>
      </c>
      <c r="AF10021" s="21">
        <v>0</v>
      </c>
      <c r="AG10021" s="21">
        <v>0</v>
      </c>
      <c r="AH10021" s="21">
        <f t="shared" si="213"/>
        <v>0</v>
      </c>
      <c r="AI10021" s="21"/>
      <c r="AJ10021" s="21" t="s">
        <v>51</v>
      </c>
      <c r="AK10021" s="21" t="s">
        <v>95</v>
      </c>
      <c r="AL10021" s="21"/>
      <c r="AM10021" s="21" t="s">
        <v>7700</v>
      </c>
      <c r="AN10021" s="21">
        <v>-122.407943366667</v>
      </c>
      <c r="AO10021" s="21">
        <v>37.794453433333302</v>
      </c>
      <c r="AP10021" s="21" t="s">
        <v>116</v>
      </c>
    </row>
    <row r="10022" spans="1:42">
      <c r="A10022" s="20">
        <v>43889</v>
      </c>
      <c r="B10022" s="21">
        <v>5</v>
      </c>
      <c r="C10022" s="21">
        <v>302</v>
      </c>
      <c r="D10022" s="21">
        <v>10415</v>
      </c>
      <c r="E10022" s="21" t="s">
        <v>37</v>
      </c>
      <c r="F10022" s="21" t="s">
        <v>38</v>
      </c>
      <c r="G10022" s="21">
        <v>4</v>
      </c>
      <c r="H10022" s="27">
        <v>13.714285714285699</v>
      </c>
      <c r="I10022" s="21" t="s">
        <v>7701</v>
      </c>
      <c r="K10022" s="21" t="s">
        <v>50</v>
      </c>
      <c r="N10022" s="21" t="s">
        <v>40</v>
      </c>
      <c r="O10022" s="21">
        <v>38</v>
      </c>
      <c r="Q10022" s="21">
        <f t="shared" si="214"/>
        <v>1</v>
      </c>
      <c r="R10022" s="21">
        <v>1</v>
      </c>
      <c r="S10022" s="21">
        <v>0</v>
      </c>
      <c r="T10022" s="21">
        <v>0</v>
      </c>
      <c r="U10022" s="21">
        <v>0</v>
      </c>
      <c r="V10022" s="21">
        <v>0</v>
      </c>
      <c r="W10022" s="21">
        <v>0</v>
      </c>
      <c r="X10022" s="21">
        <v>0</v>
      </c>
      <c r="Y10022" s="21">
        <v>0</v>
      </c>
      <c r="Z10022" s="21">
        <v>0</v>
      </c>
      <c r="AA10022" s="21">
        <v>1</v>
      </c>
      <c r="AB10022" s="21">
        <v>0</v>
      </c>
      <c r="AC10022" s="21">
        <v>0</v>
      </c>
      <c r="AD10022" s="21">
        <v>0</v>
      </c>
      <c r="AE10022" s="21">
        <v>0</v>
      </c>
      <c r="AF10022" s="21">
        <v>0</v>
      </c>
      <c r="AG10022" s="21">
        <v>0</v>
      </c>
      <c r="AH10022" s="21">
        <f t="shared" si="213"/>
        <v>0</v>
      </c>
      <c r="AI10022" s="21"/>
      <c r="AJ10022" s="21" t="s">
        <v>51</v>
      </c>
      <c r="AK10022" s="21" t="s">
        <v>52</v>
      </c>
      <c r="AL10022" s="21"/>
      <c r="AM10022" s="21" t="s">
        <v>7702</v>
      </c>
      <c r="AN10022" s="21">
        <v>-122.408012966667</v>
      </c>
      <c r="AO10022" s="21">
        <v>37.794650133333299</v>
      </c>
      <c r="AP10022" s="21" t="s">
        <v>116</v>
      </c>
    </row>
    <row r="10023" spans="1:42">
      <c r="A10023" s="20">
        <v>43889</v>
      </c>
      <c r="B10023" s="21">
        <v>5</v>
      </c>
      <c r="C10023" s="21">
        <v>302</v>
      </c>
      <c r="D10023" s="21">
        <v>10415</v>
      </c>
      <c r="E10023" s="21" t="s">
        <v>37</v>
      </c>
      <c r="F10023" s="21" t="s">
        <v>38</v>
      </c>
      <c r="G10023" s="21">
        <v>4</v>
      </c>
      <c r="H10023" s="27">
        <v>14.8928571428571</v>
      </c>
      <c r="I10023" s="21" t="s">
        <v>7703</v>
      </c>
      <c r="K10023" s="21" t="s">
        <v>50</v>
      </c>
      <c r="N10023" s="21" t="s">
        <v>40</v>
      </c>
      <c r="O10023" s="21">
        <v>36</v>
      </c>
      <c r="Q10023" s="21">
        <f t="shared" si="214"/>
        <v>1</v>
      </c>
      <c r="R10023" s="21">
        <v>1</v>
      </c>
      <c r="S10023" s="21">
        <v>0</v>
      </c>
      <c r="T10023" s="21">
        <v>0</v>
      </c>
      <c r="U10023" s="21">
        <v>0</v>
      </c>
      <c r="V10023" s="21">
        <v>0</v>
      </c>
      <c r="W10023" s="21">
        <v>0</v>
      </c>
      <c r="X10023" s="21">
        <v>0</v>
      </c>
      <c r="Y10023" s="21">
        <v>0</v>
      </c>
      <c r="Z10023" s="21">
        <v>0</v>
      </c>
      <c r="AA10023" s="21">
        <v>0</v>
      </c>
      <c r="AB10023" s="21">
        <v>1</v>
      </c>
      <c r="AC10023" s="21">
        <v>0</v>
      </c>
      <c r="AD10023" s="21">
        <v>0</v>
      </c>
      <c r="AE10023" s="21">
        <v>0</v>
      </c>
      <c r="AF10023" s="21">
        <v>0</v>
      </c>
      <c r="AG10023" s="21">
        <v>0</v>
      </c>
      <c r="AH10023" s="21">
        <f t="shared" si="213"/>
        <v>0</v>
      </c>
      <c r="AI10023" s="21"/>
      <c r="AJ10023" s="21" t="s">
        <v>51</v>
      </c>
      <c r="AK10023" s="21" t="s">
        <v>52</v>
      </c>
      <c r="AL10023" s="21"/>
      <c r="AM10023" s="21" t="s">
        <v>7704</v>
      </c>
      <c r="AN10023" s="21">
        <v>-122.408094666667</v>
      </c>
      <c r="AO10023" s="21">
        <v>37.795126716666701</v>
      </c>
      <c r="AP10023" s="21" t="s">
        <v>116</v>
      </c>
    </row>
    <row r="10024" spans="1:42">
      <c r="A10024" s="20">
        <v>43889</v>
      </c>
      <c r="B10024" s="21">
        <v>5</v>
      </c>
      <c r="C10024" s="21">
        <v>302</v>
      </c>
      <c r="D10024" s="21">
        <v>10415</v>
      </c>
      <c r="E10024" s="21" t="s">
        <v>37</v>
      </c>
      <c r="F10024" s="21" t="s">
        <v>38</v>
      </c>
      <c r="G10024" s="21">
        <v>4</v>
      </c>
      <c r="H10024" s="27">
        <v>16.071428571428601</v>
      </c>
      <c r="I10024" s="21" t="s">
        <v>7705</v>
      </c>
      <c r="K10024" s="21" t="s">
        <v>50</v>
      </c>
      <c r="N10024" s="21" t="s">
        <v>40</v>
      </c>
      <c r="O10024" s="21">
        <v>124</v>
      </c>
      <c r="Q10024" s="21">
        <f t="shared" si="214"/>
        <v>6</v>
      </c>
      <c r="R10024" s="21">
        <v>1</v>
      </c>
      <c r="S10024" s="21">
        <v>0</v>
      </c>
      <c r="T10024" s="21">
        <v>0</v>
      </c>
      <c r="U10024" s="21">
        <v>0</v>
      </c>
      <c r="V10024" s="21">
        <v>0</v>
      </c>
      <c r="W10024" s="21">
        <v>0</v>
      </c>
      <c r="X10024" s="21">
        <v>0</v>
      </c>
      <c r="Y10024" s="21">
        <v>0</v>
      </c>
      <c r="Z10024" s="21">
        <v>0</v>
      </c>
      <c r="AA10024" s="21">
        <v>0</v>
      </c>
      <c r="AB10024" s="21">
        <v>6</v>
      </c>
      <c r="AC10024" s="21">
        <v>0</v>
      </c>
      <c r="AD10024" s="21">
        <v>0</v>
      </c>
      <c r="AE10024" s="21">
        <v>0</v>
      </c>
      <c r="AF10024" s="21">
        <v>0</v>
      </c>
      <c r="AG10024" s="21">
        <v>0</v>
      </c>
      <c r="AH10024" s="21">
        <f t="shared" si="213"/>
        <v>0</v>
      </c>
      <c r="AI10024" s="21"/>
      <c r="AJ10024" s="21" t="s">
        <v>51</v>
      </c>
      <c r="AK10024" s="21" t="s">
        <v>95</v>
      </c>
      <c r="AL10024" s="21"/>
      <c r="AM10024" s="21" t="s">
        <v>7706</v>
      </c>
      <c r="AN10024" s="21">
        <v>-122.408271916667</v>
      </c>
      <c r="AO10024" s="21">
        <v>37.795431683333298</v>
      </c>
      <c r="AP10024" s="21" t="s">
        <v>116</v>
      </c>
    </row>
    <row r="10025" spans="1:42">
      <c r="A10025" s="20">
        <v>43889</v>
      </c>
      <c r="B10025" s="21">
        <v>5</v>
      </c>
      <c r="C10025" s="21">
        <v>302</v>
      </c>
      <c r="D10025" s="21">
        <v>10415</v>
      </c>
      <c r="E10025" s="21" t="s">
        <v>37</v>
      </c>
      <c r="F10025" s="21" t="s">
        <v>38</v>
      </c>
      <c r="G10025" s="21">
        <v>4</v>
      </c>
      <c r="H10025" s="27">
        <v>17.25</v>
      </c>
      <c r="I10025" s="21" t="s">
        <v>7707</v>
      </c>
      <c r="K10025" s="21" t="s">
        <v>50</v>
      </c>
      <c r="N10025" s="21" t="s">
        <v>40</v>
      </c>
      <c r="O10025" s="21">
        <v>50</v>
      </c>
      <c r="Q10025" s="21">
        <f t="shared" si="214"/>
        <v>2</v>
      </c>
      <c r="R10025" s="21">
        <v>1</v>
      </c>
      <c r="S10025" s="21">
        <v>0</v>
      </c>
      <c r="T10025" s="21">
        <v>0</v>
      </c>
      <c r="U10025" s="21">
        <v>0</v>
      </c>
      <c r="V10025" s="21">
        <v>0</v>
      </c>
      <c r="W10025" s="21">
        <v>0</v>
      </c>
      <c r="X10025" s="21">
        <v>0</v>
      </c>
      <c r="Y10025" s="21">
        <v>0</v>
      </c>
      <c r="Z10025" s="21">
        <v>0</v>
      </c>
      <c r="AA10025" s="21">
        <v>1</v>
      </c>
      <c r="AB10025" s="21">
        <v>1</v>
      </c>
      <c r="AC10025" s="21">
        <v>0</v>
      </c>
      <c r="AD10025" s="21">
        <v>0</v>
      </c>
      <c r="AE10025" s="21">
        <v>0</v>
      </c>
      <c r="AF10025" s="21">
        <v>0</v>
      </c>
      <c r="AG10025" s="21">
        <v>0</v>
      </c>
      <c r="AH10025" s="21">
        <f t="shared" si="213"/>
        <v>0</v>
      </c>
      <c r="AI10025" s="21"/>
      <c r="AJ10025" s="21" t="s">
        <v>51</v>
      </c>
      <c r="AK10025" s="21" t="s">
        <v>95</v>
      </c>
      <c r="AL10025" s="21"/>
      <c r="AM10025" s="21" t="s">
        <v>7708</v>
      </c>
      <c r="AN10025" s="21">
        <v>-122.408220466667</v>
      </c>
      <c r="AO10025" s="21">
        <v>37.795971583333298</v>
      </c>
      <c r="AP10025" s="21" t="s">
        <v>116</v>
      </c>
    </row>
    <row r="10026" spans="1:42">
      <c r="A10026" s="20">
        <v>43889</v>
      </c>
      <c r="B10026" s="21">
        <v>5</v>
      </c>
      <c r="C10026" s="21">
        <v>302</v>
      </c>
      <c r="D10026" s="21">
        <v>10415</v>
      </c>
      <c r="E10026" s="21" t="s">
        <v>37</v>
      </c>
      <c r="F10026" s="21" t="s">
        <v>38</v>
      </c>
      <c r="G10026" s="21">
        <v>4</v>
      </c>
      <c r="H10026" s="27">
        <v>18.428571428571399</v>
      </c>
      <c r="I10026" s="21" t="s">
        <v>3005</v>
      </c>
      <c r="K10026" s="21" t="s">
        <v>50</v>
      </c>
      <c r="N10026" s="21" t="s">
        <v>40</v>
      </c>
      <c r="O10026" s="21">
        <v>83</v>
      </c>
      <c r="Q10026" s="21">
        <f t="shared" si="214"/>
        <v>3</v>
      </c>
      <c r="R10026" s="21">
        <v>1</v>
      </c>
      <c r="S10026" s="21">
        <v>0</v>
      </c>
      <c r="T10026" s="21">
        <v>0</v>
      </c>
      <c r="U10026" s="21">
        <v>0</v>
      </c>
      <c r="V10026" s="21">
        <v>0</v>
      </c>
      <c r="W10026" s="21">
        <v>0</v>
      </c>
      <c r="X10026" s="21">
        <v>0</v>
      </c>
      <c r="Y10026" s="21">
        <v>0</v>
      </c>
      <c r="Z10026" s="21">
        <v>0</v>
      </c>
      <c r="AA10026" s="21">
        <v>0</v>
      </c>
      <c r="AB10026" s="21">
        <v>3</v>
      </c>
      <c r="AC10026" s="21">
        <v>0</v>
      </c>
      <c r="AD10026" s="21">
        <v>0</v>
      </c>
      <c r="AE10026" s="21">
        <v>0</v>
      </c>
      <c r="AF10026" s="21">
        <v>0</v>
      </c>
      <c r="AG10026" s="21">
        <v>0</v>
      </c>
      <c r="AH10026" s="21">
        <f t="shared" si="213"/>
        <v>0</v>
      </c>
      <c r="AI10026" s="21"/>
      <c r="AJ10026" s="21" t="s">
        <v>51</v>
      </c>
      <c r="AK10026" s="21" t="s">
        <v>95</v>
      </c>
      <c r="AL10026" s="21" t="s">
        <v>7709</v>
      </c>
      <c r="AM10026" s="21" t="s">
        <v>7710</v>
      </c>
      <c r="AN10026" s="21">
        <v>-122.408366516667</v>
      </c>
      <c r="AO10026" s="21">
        <v>37.796153316666597</v>
      </c>
      <c r="AP10026" s="21" t="s">
        <v>116</v>
      </c>
    </row>
    <row r="10027" spans="1:42">
      <c r="A10027" s="20">
        <v>43889</v>
      </c>
      <c r="B10027" s="21">
        <v>5</v>
      </c>
      <c r="C10027" s="21">
        <v>302</v>
      </c>
      <c r="D10027" s="21">
        <v>10415</v>
      </c>
      <c r="E10027" s="21" t="s">
        <v>37</v>
      </c>
      <c r="F10027" s="21" t="s">
        <v>38</v>
      </c>
      <c r="G10027" s="21">
        <v>4</v>
      </c>
      <c r="H10027" s="27">
        <v>19.6071428571429</v>
      </c>
      <c r="I10027" s="21" t="s">
        <v>7711</v>
      </c>
      <c r="K10027" s="21" t="s">
        <v>50</v>
      </c>
      <c r="N10027" s="21" t="s">
        <v>40</v>
      </c>
      <c r="O10027" s="21">
        <v>109</v>
      </c>
      <c r="Q10027" s="21">
        <f t="shared" si="214"/>
        <v>4</v>
      </c>
      <c r="R10027" s="21">
        <v>1</v>
      </c>
      <c r="S10027" s="21">
        <v>0</v>
      </c>
      <c r="T10027" s="21">
        <v>0</v>
      </c>
      <c r="U10027" s="21">
        <v>0</v>
      </c>
      <c r="V10027" s="21">
        <v>0</v>
      </c>
      <c r="W10027" s="21">
        <v>0</v>
      </c>
      <c r="X10027" s="21">
        <v>0</v>
      </c>
      <c r="Y10027" s="21">
        <v>0</v>
      </c>
      <c r="Z10027" s="21">
        <v>0</v>
      </c>
      <c r="AA10027" s="21">
        <v>0</v>
      </c>
      <c r="AB10027" s="21">
        <v>4</v>
      </c>
      <c r="AC10027" s="21">
        <v>0</v>
      </c>
      <c r="AD10027" s="21">
        <v>0</v>
      </c>
      <c r="AE10027" s="21">
        <v>0</v>
      </c>
      <c r="AF10027" s="21">
        <v>0</v>
      </c>
      <c r="AG10027" s="21">
        <v>0</v>
      </c>
      <c r="AH10027" s="21">
        <f t="shared" si="213"/>
        <v>0</v>
      </c>
      <c r="AI10027" s="21"/>
      <c r="AJ10027" s="21" t="s">
        <v>51</v>
      </c>
      <c r="AK10027" s="21" t="s">
        <v>95</v>
      </c>
      <c r="AL10027" s="21" t="s">
        <v>7712</v>
      </c>
      <c r="AM10027" s="21" t="s">
        <v>7713</v>
      </c>
      <c r="AN10027" s="21">
        <v>-122.40842883333301</v>
      </c>
      <c r="AO10027" s="21">
        <v>37.796708766666697</v>
      </c>
      <c r="AP10027" s="21" t="s">
        <v>116</v>
      </c>
    </row>
    <row r="10028" spans="1:42">
      <c r="A10028" s="20">
        <v>43889</v>
      </c>
      <c r="B10028" s="21">
        <v>5</v>
      </c>
      <c r="C10028" s="21">
        <v>302</v>
      </c>
      <c r="D10028" s="21">
        <v>10415</v>
      </c>
      <c r="E10028" s="21" t="s">
        <v>37</v>
      </c>
      <c r="F10028" s="21" t="s">
        <v>38</v>
      </c>
      <c r="G10028" s="21">
        <v>4</v>
      </c>
      <c r="H10028" s="27">
        <v>20.785714285714299</v>
      </c>
      <c r="I10028" s="21" t="s">
        <v>7714</v>
      </c>
      <c r="K10028" s="21" t="s">
        <v>185</v>
      </c>
      <c r="N10028" s="21" t="s">
        <v>40</v>
      </c>
      <c r="O10028" s="21">
        <v>180</v>
      </c>
      <c r="Q10028" s="21">
        <f t="shared" si="214"/>
        <v>5</v>
      </c>
      <c r="R10028" s="21">
        <v>1</v>
      </c>
      <c r="S10028" s="21">
        <v>0</v>
      </c>
      <c r="T10028" s="21">
        <v>0</v>
      </c>
      <c r="U10028" s="21">
        <v>0</v>
      </c>
      <c r="V10028" s="21">
        <v>0</v>
      </c>
      <c r="W10028" s="21">
        <v>0</v>
      </c>
      <c r="X10028" s="21">
        <v>0</v>
      </c>
      <c r="Y10028" s="21">
        <v>0</v>
      </c>
      <c r="Z10028" s="21">
        <v>0</v>
      </c>
      <c r="AA10028" s="21">
        <v>1</v>
      </c>
      <c r="AB10028" s="21">
        <v>4</v>
      </c>
      <c r="AC10028" s="21">
        <v>0</v>
      </c>
      <c r="AD10028" s="21">
        <v>0</v>
      </c>
      <c r="AE10028" s="21">
        <v>0</v>
      </c>
      <c r="AF10028" s="21">
        <v>0</v>
      </c>
      <c r="AG10028" s="21">
        <v>0</v>
      </c>
      <c r="AH10028" s="21">
        <f t="shared" si="213"/>
        <v>0</v>
      </c>
      <c r="AI10028" s="21"/>
      <c r="AJ10028" s="21" t="s">
        <v>51</v>
      </c>
      <c r="AK10028" s="21" t="s">
        <v>95</v>
      </c>
      <c r="AL10028" s="21" t="s">
        <v>7715</v>
      </c>
      <c r="AM10028" s="21" t="s">
        <v>7716</v>
      </c>
      <c r="AN10028" s="21">
        <v>-122.40858514999999</v>
      </c>
      <c r="AO10028" s="21">
        <v>37.796886166666603</v>
      </c>
      <c r="AP10028" s="21" t="s">
        <v>116</v>
      </c>
    </row>
    <row r="10029" spans="1:42">
      <c r="A10029" s="20">
        <v>43889</v>
      </c>
      <c r="B10029" s="21">
        <v>5</v>
      </c>
      <c r="C10029" s="21">
        <v>302</v>
      </c>
      <c r="D10029" s="21">
        <v>10415</v>
      </c>
      <c r="E10029" s="21" t="s">
        <v>37</v>
      </c>
      <c r="F10029" s="21" t="s">
        <v>38</v>
      </c>
      <c r="G10029" s="21">
        <v>4</v>
      </c>
      <c r="H10029" s="27">
        <v>21.964285714285701</v>
      </c>
      <c r="I10029" s="21" t="s">
        <v>7717</v>
      </c>
      <c r="K10029" s="21" t="s">
        <v>7362</v>
      </c>
      <c r="N10029" s="21" t="s">
        <v>40</v>
      </c>
      <c r="O10029" s="21">
        <v>83</v>
      </c>
      <c r="Q10029" s="21">
        <f t="shared" si="214"/>
        <v>2</v>
      </c>
      <c r="R10029" s="21">
        <v>1</v>
      </c>
      <c r="S10029" s="21">
        <v>0</v>
      </c>
      <c r="T10029" s="21">
        <v>0</v>
      </c>
      <c r="U10029" s="21">
        <v>0</v>
      </c>
      <c r="V10029" s="21">
        <v>0</v>
      </c>
      <c r="W10029" s="21">
        <v>0</v>
      </c>
      <c r="X10029" s="21">
        <v>0</v>
      </c>
      <c r="Y10029" s="21">
        <v>0</v>
      </c>
      <c r="Z10029" s="21">
        <v>0</v>
      </c>
      <c r="AA10029" s="21">
        <v>2</v>
      </c>
      <c r="AB10029" s="21">
        <v>0</v>
      </c>
      <c r="AC10029" s="21">
        <v>0</v>
      </c>
      <c r="AD10029" s="21">
        <v>0</v>
      </c>
      <c r="AE10029" s="21">
        <v>0</v>
      </c>
      <c r="AF10029" s="21">
        <v>0</v>
      </c>
      <c r="AG10029" s="21">
        <v>0</v>
      </c>
      <c r="AH10029" s="21">
        <f t="shared" si="213"/>
        <v>0</v>
      </c>
      <c r="AI10029" s="21"/>
      <c r="AJ10029" s="21" t="s">
        <v>54</v>
      </c>
      <c r="AK10029" s="21" t="s">
        <v>95</v>
      </c>
      <c r="AL10029" s="21" t="s">
        <v>7718</v>
      </c>
      <c r="AM10029" s="21" t="s">
        <v>7719</v>
      </c>
      <c r="AN10029" s="21">
        <v>-122.408165966667</v>
      </c>
      <c r="AO10029" s="21">
        <v>37.797416983333299</v>
      </c>
      <c r="AP10029" s="21" t="s">
        <v>116</v>
      </c>
    </row>
    <row r="10030" spans="1:42">
      <c r="A10030" s="20">
        <v>43889</v>
      </c>
      <c r="B10030" s="21">
        <v>5</v>
      </c>
      <c r="C10030" s="21">
        <v>302</v>
      </c>
      <c r="D10030" s="21">
        <v>10415</v>
      </c>
      <c r="E10030" s="21" t="s">
        <v>37</v>
      </c>
      <c r="F10030" s="21" t="s">
        <v>38</v>
      </c>
      <c r="G10030" s="21">
        <v>4</v>
      </c>
      <c r="H10030" s="27">
        <v>23.142857142857199</v>
      </c>
      <c r="I10030" s="21" t="s">
        <v>7720</v>
      </c>
      <c r="K10030" s="21" t="s">
        <v>7362</v>
      </c>
      <c r="N10030" s="21" t="s">
        <v>40</v>
      </c>
      <c r="O10030" s="21">
        <v>46</v>
      </c>
      <c r="Q10030" s="21">
        <f t="shared" si="214"/>
        <v>1</v>
      </c>
      <c r="R10030" s="21">
        <v>1</v>
      </c>
      <c r="S10030" s="21">
        <v>0</v>
      </c>
      <c r="T10030" s="21">
        <v>0</v>
      </c>
      <c r="U10030" s="21">
        <v>0</v>
      </c>
      <c r="V10030" s="21">
        <v>0</v>
      </c>
      <c r="W10030" s="21">
        <v>0</v>
      </c>
      <c r="X10030" s="21">
        <v>0</v>
      </c>
      <c r="Y10030" s="21">
        <v>0</v>
      </c>
      <c r="Z10030" s="21">
        <v>0</v>
      </c>
      <c r="AA10030" s="21">
        <v>1</v>
      </c>
      <c r="AB10030" s="21">
        <v>0</v>
      </c>
      <c r="AC10030" s="21">
        <v>0</v>
      </c>
      <c r="AD10030" s="21">
        <v>0</v>
      </c>
      <c r="AE10030" s="21">
        <v>0</v>
      </c>
      <c r="AF10030" s="21">
        <v>0</v>
      </c>
      <c r="AG10030" s="21">
        <v>0</v>
      </c>
      <c r="AH10030" s="21">
        <f t="shared" si="213"/>
        <v>0</v>
      </c>
      <c r="AI10030" s="21"/>
      <c r="AJ10030" s="21" t="s">
        <v>54</v>
      </c>
      <c r="AK10030" s="21" t="s">
        <v>95</v>
      </c>
      <c r="AL10030" s="21"/>
      <c r="AM10030" s="21" t="s">
        <v>7721</v>
      </c>
      <c r="AN10030" s="21">
        <v>-122.408375083333</v>
      </c>
      <c r="AO10030" s="21">
        <v>37.797337266666602</v>
      </c>
      <c r="AP10030" s="21" t="s">
        <v>116</v>
      </c>
    </row>
    <row r="10031" spans="1:42">
      <c r="A10031" s="20">
        <v>43889</v>
      </c>
      <c r="B10031" s="21">
        <v>5</v>
      </c>
      <c r="C10031" s="21">
        <v>302</v>
      </c>
      <c r="D10031" s="21">
        <v>10415</v>
      </c>
      <c r="E10031" s="21" t="s">
        <v>37</v>
      </c>
      <c r="F10031" s="21" t="s">
        <v>38</v>
      </c>
      <c r="G10031" s="21">
        <v>4</v>
      </c>
      <c r="H10031" s="27">
        <v>24.321428571428601</v>
      </c>
      <c r="I10031" s="21" t="s">
        <v>6045</v>
      </c>
      <c r="K10031" s="21" t="s">
        <v>7151</v>
      </c>
      <c r="N10031" s="21" t="s">
        <v>40</v>
      </c>
      <c r="O10031" s="21">
        <v>97</v>
      </c>
      <c r="Q10031" s="21">
        <f t="shared" si="214"/>
        <v>3</v>
      </c>
      <c r="R10031" s="21">
        <v>1</v>
      </c>
      <c r="S10031" s="21">
        <v>0</v>
      </c>
      <c r="T10031" s="21">
        <v>0</v>
      </c>
      <c r="U10031" s="21">
        <v>0</v>
      </c>
      <c r="V10031" s="21">
        <v>0</v>
      </c>
      <c r="W10031" s="21">
        <v>0</v>
      </c>
      <c r="X10031" s="21">
        <v>0</v>
      </c>
      <c r="Y10031" s="21">
        <v>0</v>
      </c>
      <c r="Z10031" s="21">
        <v>0</v>
      </c>
      <c r="AA10031" s="21">
        <v>0</v>
      </c>
      <c r="AB10031" s="21">
        <v>3</v>
      </c>
      <c r="AC10031" s="21">
        <v>0</v>
      </c>
      <c r="AD10031" s="21">
        <v>0</v>
      </c>
      <c r="AE10031" s="21">
        <v>0</v>
      </c>
      <c r="AF10031" s="21">
        <v>0</v>
      </c>
      <c r="AG10031" s="21">
        <v>0</v>
      </c>
      <c r="AH10031" s="21">
        <f t="shared" si="213"/>
        <v>0</v>
      </c>
      <c r="AI10031" s="21"/>
      <c r="AJ10031" s="21" t="s">
        <v>51</v>
      </c>
      <c r="AK10031" s="21" t="s">
        <v>52</v>
      </c>
      <c r="AL10031" s="21" t="s">
        <v>7722</v>
      </c>
      <c r="AM10031" s="21" t="s">
        <v>7723</v>
      </c>
      <c r="AN10031" s="21">
        <v>-122.409798766667</v>
      </c>
      <c r="AO10031" s="21">
        <v>37.796564449999998</v>
      </c>
      <c r="AP10031" s="21" t="s">
        <v>116</v>
      </c>
    </row>
    <row r="10032" spans="1:42">
      <c r="A10032" s="20">
        <v>43889</v>
      </c>
      <c r="B10032" s="21">
        <v>5</v>
      </c>
      <c r="C10032" s="21">
        <v>302</v>
      </c>
      <c r="D10032" s="21">
        <v>10415</v>
      </c>
      <c r="E10032" s="21" t="s">
        <v>37</v>
      </c>
      <c r="F10032" s="21" t="s">
        <v>38</v>
      </c>
      <c r="G10032" s="21">
        <v>4</v>
      </c>
      <c r="H10032" s="27">
        <v>25.5</v>
      </c>
      <c r="I10032" s="21" t="s">
        <v>7724</v>
      </c>
      <c r="K10032" s="21" t="s">
        <v>50</v>
      </c>
      <c r="N10032" s="21" t="s">
        <v>40</v>
      </c>
      <c r="O10032" s="21">
        <v>80</v>
      </c>
      <c r="Q10032" s="21">
        <f t="shared" si="214"/>
        <v>3</v>
      </c>
      <c r="R10032" s="21">
        <v>1</v>
      </c>
      <c r="S10032" s="21">
        <v>0</v>
      </c>
      <c r="T10032" s="21">
        <v>0</v>
      </c>
      <c r="U10032" s="21">
        <v>0</v>
      </c>
      <c r="V10032" s="21">
        <v>0</v>
      </c>
      <c r="W10032" s="21">
        <v>0</v>
      </c>
      <c r="X10032" s="21">
        <v>0</v>
      </c>
      <c r="Y10032" s="21">
        <v>0</v>
      </c>
      <c r="Z10032" s="21">
        <v>0</v>
      </c>
      <c r="AA10032" s="21">
        <v>1</v>
      </c>
      <c r="AB10032" s="21">
        <v>2</v>
      </c>
      <c r="AC10032" s="21">
        <v>0</v>
      </c>
      <c r="AD10032" s="21">
        <v>0</v>
      </c>
      <c r="AE10032" s="21">
        <v>0</v>
      </c>
      <c r="AF10032" s="21">
        <v>0</v>
      </c>
      <c r="AG10032" s="21">
        <v>0</v>
      </c>
      <c r="AH10032" s="21">
        <f t="shared" si="213"/>
        <v>0</v>
      </c>
      <c r="AI10032" s="21"/>
      <c r="AJ10032" s="21" t="s">
        <v>51</v>
      </c>
      <c r="AK10032" s="21" t="s">
        <v>52</v>
      </c>
      <c r="AL10032" s="21"/>
      <c r="AM10032" s="21" t="s">
        <v>7725</v>
      </c>
      <c r="AN10032" s="21">
        <v>-122.409404216667</v>
      </c>
      <c r="AO10032" s="21">
        <v>37.7974751333333</v>
      </c>
      <c r="AP10032" s="21" t="s">
        <v>116</v>
      </c>
    </row>
    <row r="10033" spans="1:42">
      <c r="A10033" s="20">
        <v>43889</v>
      </c>
      <c r="B10033" s="21">
        <v>5</v>
      </c>
      <c r="C10033" s="21">
        <v>302</v>
      </c>
      <c r="D10033" s="21">
        <v>10415</v>
      </c>
      <c r="E10033" s="21" t="s">
        <v>37</v>
      </c>
      <c r="F10033" s="21" t="s">
        <v>38</v>
      </c>
      <c r="G10033" s="21">
        <v>4</v>
      </c>
      <c r="H10033" s="27">
        <v>26.678571428571399</v>
      </c>
      <c r="I10033" s="21" t="s">
        <v>7726</v>
      </c>
      <c r="K10033" s="21" t="s">
        <v>50</v>
      </c>
      <c r="N10033" s="21" t="s">
        <v>40</v>
      </c>
      <c r="O10033" s="21">
        <v>217</v>
      </c>
      <c r="Q10033" s="21">
        <f t="shared" si="214"/>
        <v>9</v>
      </c>
      <c r="R10033" s="21">
        <v>1</v>
      </c>
      <c r="S10033" s="21">
        <v>0</v>
      </c>
      <c r="T10033" s="21">
        <v>0</v>
      </c>
      <c r="U10033" s="21">
        <v>0</v>
      </c>
      <c r="V10033" s="21">
        <v>0</v>
      </c>
      <c r="W10033" s="21">
        <v>0</v>
      </c>
      <c r="X10033" s="21">
        <v>0</v>
      </c>
      <c r="Y10033" s="21">
        <v>0</v>
      </c>
      <c r="Z10033" s="21">
        <v>0</v>
      </c>
      <c r="AA10033" s="21">
        <v>1</v>
      </c>
      <c r="AB10033" s="21">
        <v>8</v>
      </c>
      <c r="AC10033" s="21">
        <v>0</v>
      </c>
      <c r="AD10033" s="21">
        <v>0</v>
      </c>
      <c r="AE10033" s="21">
        <v>0</v>
      </c>
      <c r="AF10033" s="21">
        <v>0</v>
      </c>
      <c r="AG10033" s="21">
        <v>0</v>
      </c>
      <c r="AH10033" s="21">
        <f t="shared" si="213"/>
        <v>0</v>
      </c>
      <c r="AI10033" s="21"/>
      <c r="AJ10033" s="21" t="s">
        <v>51</v>
      </c>
      <c r="AK10033" s="21" t="s">
        <v>52</v>
      </c>
      <c r="AL10033" s="21" t="s">
        <v>7727</v>
      </c>
      <c r="AM10033" s="21" t="s">
        <v>7728</v>
      </c>
      <c r="AN10033" s="21">
        <v>-122.40876476666701</v>
      </c>
      <c r="AO10033" s="21">
        <v>37.797361883333302</v>
      </c>
      <c r="AP10033" s="21" t="s">
        <v>116</v>
      </c>
    </row>
    <row r="10034" spans="1:42">
      <c r="A10034" s="20">
        <v>43889</v>
      </c>
      <c r="B10034" s="21">
        <v>5</v>
      </c>
      <c r="C10034" s="21">
        <v>302</v>
      </c>
      <c r="D10034" s="21">
        <v>10415</v>
      </c>
      <c r="E10034" s="21" t="s">
        <v>37</v>
      </c>
      <c r="F10034" s="21" t="s">
        <v>38</v>
      </c>
      <c r="G10034" s="21">
        <v>4</v>
      </c>
      <c r="H10034" s="27">
        <v>27.8571428571429</v>
      </c>
      <c r="I10034" s="21" t="s">
        <v>7729</v>
      </c>
      <c r="K10034" s="21" t="s">
        <v>7068</v>
      </c>
      <c r="N10034" s="21" t="s">
        <v>40</v>
      </c>
      <c r="O10034" s="21">
        <v>41</v>
      </c>
      <c r="Q10034" s="21">
        <f t="shared" si="214"/>
        <v>2</v>
      </c>
      <c r="R10034" s="21">
        <v>1</v>
      </c>
      <c r="S10034" s="21">
        <v>0</v>
      </c>
      <c r="T10034" s="21">
        <v>0</v>
      </c>
      <c r="U10034" s="21">
        <v>0</v>
      </c>
      <c r="V10034" s="21">
        <v>0</v>
      </c>
      <c r="W10034" s="21">
        <v>0</v>
      </c>
      <c r="X10034" s="21">
        <v>0</v>
      </c>
      <c r="Y10034" s="21">
        <v>0</v>
      </c>
      <c r="Z10034" s="21">
        <v>0</v>
      </c>
      <c r="AA10034" s="21">
        <v>0</v>
      </c>
      <c r="AB10034" s="21">
        <v>2</v>
      </c>
      <c r="AC10034" s="21">
        <v>0</v>
      </c>
      <c r="AD10034" s="21">
        <v>0</v>
      </c>
      <c r="AE10034" s="21">
        <v>0</v>
      </c>
      <c r="AF10034" s="21">
        <v>0</v>
      </c>
      <c r="AG10034" s="21">
        <v>0</v>
      </c>
      <c r="AH10034" s="21">
        <f t="shared" si="213"/>
        <v>0</v>
      </c>
      <c r="AI10034" s="21"/>
      <c r="AJ10034" s="21" t="s">
        <v>51</v>
      </c>
      <c r="AK10034" s="21" t="s">
        <v>52</v>
      </c>
      <c r="AL10034" s="21" t="s">
        <v>7709</v>
      </c>
      <c r="AM10034" s="21" t="s">
        <v>7730</v>
      </c>
      <c r="AN10034" s="21">
        <v>-122.40859804999999</v>
      </c>
      <c r="AO10034" s="21">
        <v>37.797064433333297</v>
      </c>
      <c r="AP10034" s="21" t="s">
        <v>116</v>
      </c>
    </row>
    <row r="10035" spans="1:42">
      <c r="A10035" s="20">
        <v>43889</v>
      </c>
      <c r="B10035" s="21">
        <v>5</v>
      </c>
      <c r="C10035" s="21">
        <v>302</v>
      </c>
      <c r="D10035" s="21">
        <v>10415</v>
      </c>
      <c r="E10035" s="21" t="s">
        <v>37</v>
      </c>
      <c r="F10035" s="21" t="s">
        <v>38</v>
      </c>
      <c r="G10035" s="21">
        <v>4</v>
      </c>
      <c r="H10035" s="27">
        <v>29.035714285714299</v>
      </c>
      <c r="I10035" s="21" t="s">
        <v>5862</v>
      </c>
      <c r="K10035" s="21" t="s">
        <v>50</v>
      </c>
      <c r="N10035" s="21" t="s">
        <v>40</v>
      </c>
      <c r="O10035" s="21">
        <v>87</v>
      </c>
      <c r="Q10035" s="21">
        <f t="shared" si="214"/>
        <v>3</v>
      </c>
      <c r="R10035" s="21">
        <v>1</v>
      </c>
      <c r="S10035" s="21">
        <v>0</v>
      </c>
      <c r="T10035" s="21">
        <v>0</v>
      </c>
      <c r="U10035" s="21">
        <v>0</v>
      </c>
      <c r="V10035" s="21">
        <v>0</v>
      </c>
      <c r="W10035" s="21">
        <v>0</v>
      </c>
      <c r="X10035" s="21">
        <v>0</v>
      </c>
      <c r="Y10035" s="21">
        <v>0</v>
      </c>
      <c r="Z10035" s="21">
        <v>0</v>
      </c>
      <c r="AA10035" s="21">
        <v>0</v>
      </c>
      <c r="AB10035" s="21">
        <v>3</v>
      </c>
      <c r="AC10035" s="21">
        <v>0</v>
      </c>
      <c r="AD10035" s="21">
        <v>0</v>
      </c>
      <c r="AE10035" s="21">
        <v>0</v>
      </c>
      <c r="AF10035" s="21">
        <v>0</v>
      </c>
      <c r="AG10035" s="21">
        <v>0</v>
      </c>
      <c r="AH10035" s="21">
        <f t="shared" si="213"/>
        <v>0</v>
      </c>
      <c r="AI10035" s="21"/>
      <c r="AJ10035" s="21" t="s">
        <v>51</v>
      </c>
      <c r="AK10035" s="21" t="s">
        <v>52</v>
      </c>
      <c r="AL10035" s="21" t="s">
        <v>7731</v>
      </c>
      <c r="AM10035" s="21" t="s">
        <v>7732</v>
      </c>
      <c r="AN10035" s="21">
        <v>-122.408547233333</v>
      </c>
      <c r="AO10035" s="21">
        <v>37.796910466666702</v>
      </c>
      <c r="AP10035" s="21" t="s">
        <v>116</v>
      </c>
    </row>
    <row r="10036" spans="1:42">
      <c r="A10036" s="20">
        <v>43889</v>
      </c>
      <c r="B10036" s="21">
        <v>5</v>
      </c>
      <c r="C10036" s="21">
        <v>302</v>
      </c>
      <c r="D10036" s="21">
        <v>10415</v>
      </c>
      <c r="E10036" s="21" t="s">
        <v>37</v>
      </c>
      <c r="F10036" s="21" t="s">
        <v>38</v>
      </c>
      <c r="G10036" s="21">
        <v>4</v>
      </c>
      <c r="H10036" s="27">
        <v>30.214285714285701</v>
      </c>
      <c r="I10036" s="21" t="s">
        <v>7733</v>
      </c>
      <c r="K10036" s="21" t="s">
        <v>7068</v>
      </c>
      <c r="N10036" s="21" t="s">
        <v>40</v>
      </c>
      <c r="O10036" s="21">
        <v>70</v>
      </c>
      <c r="Q10036" s="21">
        <f t="shared" si="214"/>
        <v>2</v>
      </c>
      <c r="R10036" s="21">
        <v>1</v>
      </c>
      <c r="S10036" s="21">
        <v>0</v>
      </c>
      <c r="T10036" s="21">
        <v>0</v>
      </c>
      <c r="U10036" s="21">
        <v>0</v>
      </c>
      <c r="V10036" s="21">
        <v>0</v>
      </c>
      <c r="W10036" s="21">
        <v>0</v>
      </c>
      <c r="X10036" s="21">
        <v>0</v>
      </c>
      <c r="Y10036" s="21">
        <v>0</v>
      </c>
      <c r="Z10036" s="21">
        <v>0</v>
      </c>
      <c r="AA10036" s="21">
        <v>0</v>
      </c>
      <c r="AB10036" s="21">
        <v>2</v>
      </c>
      <c r="AC10036" s="21">
        <v>0</v>
      </c>
      <c r="AD10036" s="21">
        <v>0</v>
      </c>
      <c r="AE10036" s="21">
        <v>0</v>
      </c>
      <c r="AF10036" s="21">
        <v>0</v>
      </c>
      <c r="AG10036" s="21">
        <v>0</v>
      </c>
      <c r="AH10036" s="21">
        <f t="shared" si="213"/>
        <v>0</v>
      </c>
      <c r="AI10036" s="21"/>
      <c r="AJ10036" s="21" t="s">
        <v>51</v>
      </c>
      <c r="AK10036" s="21" t="s">
        <v>52</v>
      </c>
      <c r="AL10036" s="21" t="s">
        <v>7734</v>
      </c>
      <c r="AM10036" s="21" t="s">
        <v>7735</v>
      </c>
      <c r="AN10036" s="21">
        <v>-122.4084886</v>
      </c>
      <c r="AO10036" s="21">
        <v>37.796620449999999</v>
      </c>
      <c r="AP10036" s="21" t="s">
        <v>116</v>
      </c>
    </row>
    <row r="10037" spans="1:42">
      <c r="A10037" s="20">
        <v>43889</v>
      </c>
      <c r="B10037" s="21">
        <v>5</v>
      </c>
      <c r="C10037" s="21">
        <v>302</v>
      </c>
      <c r="D10037" s="21">
        <v>10415</v>
      </c>
      <c r="E10037" s="21" t="s">
        <v>37</v>
      </c>
      <c r="F10037" s="21" t="s">
        <v>38</v>
      </c>
      <c r="G10037" s="21">
        <v>4</v>
      </c>
      <c r="H10037" s="27">
        <v>31.392857142857199</v>
      </c>
      <c r="I10037" s="21" t="s">
        <v>7736</v>
      </c>
      <c r="K10037" s="21" t="s">
        <v>7068</v>
      </c>
      <c r="N10037" s="21" t="s">
        <v>40</v>
      </c>
      <c r="O10037" s="21">
        <v>170</v>
      </c>
      <c r="Q10037" s="21">
        <f t="shared" si="214"/>
        <v>7</v>
      </c>
      <c r="R10037" s="21">
        <v>1</v>
      </c>
      <c r="S10037" s="21">
        <v>0</v>
      </c>
      <c r="T10037" s="21">
        <v>0</v>
      </c>
      <c r="U10037" s="21">
        <v>0</v>
      </c>
      <c r="V10037" s="21">
        <v>0</v>
      </c>
      <c r="W10037" s="21">
        <v>0</v>
      </c>
      <c r="X10037" s="21">
        <v>0</v>
      </c>
      <c r="Y10037" s="21">
        <v>0</v>
      </c>
      <c r="Z10037" s="21">
        <v>0</v>
      </c>
      <c r="AA10037" s="21">
        <v>1</v>
      </c>
      <c r="AB10037" s="21">
        <v>6</v>
      </c>
      <c r="AC10037" s="21">
        <v>0</v>
      </c>
      <c r="AD10037" s="21">
        <v>0</v>
      </c>
      <c r="AE10037" s="21">
        <v>0</v>
      </c>
      <c r="AF10037" s="21">
        <v>0</v>
      </c>
      <c r="AG10037" s="21">
        <v>0</v>
      </c>
      <c r="AH10037" s="21">
        <f t="shared" ref="AH10037:AH10100" si="215">(S10037*16)+(T10037*20)+(U10037*32)+(V10037*64)+(W10037*96)</f>
        <v>0</v>
      </c>
      <c r="AI10037" s="21"/>
      <c r="AJ10037" s="21" t="s">
        <v>51</v>
      </c>
      <c r="AK10037" s="21" t="s">
        <v>95</v>
      </c>
      <c r="AL10037" s="21" t="s">
        <v>7737</v>
      </c>
      <c r="AM10037" s="21" t="s">
        <v>7738</v>
      </c>
      <c r="AN10037" s="21">
        <v>-122.40850298333299</v>
      </c>
      <c r="AO10037" s="21">
        <v>37.796457466666602</v>
      </c>
      <c r="AP10037" s="21" t="s">
        <v>116</v>
      </c>
    </row>
    <row r="10038" spans="1:42">
      <c r="A10038" s="20">
        <v>43889</v>
      </c>
      <c r="B10038" s="21">
        <v>5</v>
      </c>
      <c r="C10038" s="21">
        <v>302</v>
      </c>
      <c r="D10038" s="21">
        <v>10415</v>
      </c>
      <c r="E10038" s="21" t="s">
        <v>37</v>
      </c>
      <c r="F10038" s="21" t="s">
        <v>38</v>
      </c>
      <c r="G10038" s="21">
        <v>4</v>
      </c>
      <c r="H10038" s="27">
        <v>32.571428571428598</v>
      </c>
      <c r="I10038" s="21" t="s">
        <v>7739</v>
      </c>
      <c r="K10038" s="21" t="s">
        <v>7068</v>
      </c>
      <c r="N10038" s="21" t="s">
        <v>40</v>
      </c>
      <c r="O10038" s="21">
        <v>139</v>
      </c>
      <c r="Q10038" s="21">
        <f t="shared" si="214"/>
        <v>6</v>
      </c>
      <c r="R10038" s="21">
        <v>1</v>
      </c>
      <c r="S10038" s="21">
        <v>0</v>
      </c>
      <c r="T10038" s="21">
        <v>0</v>
      </c>
      <c r="U10038" s="21">
        <v>0</v>
      </c>
      <c r="V10038" s="21">
        <v>0</v>
      </c>
      <c r="W10038" s="21">
        <v>0</v>
      </c>
      <c r="X10038" s="21">
        <v>0</v>
      </c>
      <c r="Y10038" s="21">
        <v>0</v>
      </c>
      <c r="Z10038" s="21">
        <v>0</v>
      </c>
      <c r="AA10038" s="21">
        <v>1</v>
      </c>
      <c r="AB10038" s="21">
        <v>5</v>
      </c>
      <c r="AC10038" s="21">
        <v>0</v>
      </c>
      <c r="AD10038" s="21">
        <v>0</v>
      </c>
      <c r="AE10038" s="21">
        <v>0</v>
      </c>
      <c r="AF10038" s="21">
        <v>0</v>
      </c>
      <c r="AG10038" s="21">
        <v>0</v>
      </c>
      <c r="AH10038" s="21">
        <f t="shared" si="215"/>
        <v>0</v>
      </c>
      <c r="AI10038" s="21"/>
      <c r="AJ10038" s="21" t="s">
        <v>51</v>
      </c>
      <c r="AK10038" s="21" t="s">
        <v>95</v>
      </c>
      <c r="AL10038" s="21" t="s">
        <v>7740</v>
      </c>
      <c r="AM10038" s="21" t="s">
        <v>7741</v>
      </c>
      <c r="AN10038" s="21">
        <v>-122.408381233333</v>
      </c>
      <c r="AO10038" s="21">
        <v>37.796179133333297</v>
      </c>
      <c r="AP10038" s="21" t="s">
        <v>116</v>
      </c>
    </row>
    <row r="10039" spans="1:42">
      <c r="A10039" s="20">
        <v>43889</v>
      </c>
      <c r="B10039" s="21">
        <v>5</v>
      </c>
      <c r="C10039" s="21">
        <v>302</v>
      </c>
      <c r="D10039" s="21">
        <v>10415</v>
      </c>
      <c r="E10039" s="21" t="s">
        <v>37</v>
      </c>
      <c r="F10039" s="21" t="s">
        <v>38</v>
      </c>
      <c r="G10039" s="21">
        <v>4</v>
      </c>
      <c r="H10039" s="27">
        <v>33.75</v>
      </c>
      <c r="I10039" s="21" t="s">
        <v>7742</v>
      </c>
      <c r="K10039" s="21" t="s">
        <v>50</v>
      </c>
      <c r="N10039" s="21" t="s">
        <v>40</v>
      </c>
      <c r="O10039" s="21">
        <v>91</v>
      </c>
      <c r="Q10039" s="21">
        <f t="shared" si="214"/>
        <v>3</v>
      </c>
      <c r="R10039" s="21">
        <v>1</v>
      </c>
      <c r="S10039" s="21">
        <v>0</v>
      </c>
      <c r="T10039" s="21">
        <v>0</v>
      </c>
      <c r="U10039" s="21">
        <v>0</v>
      </c>
      <c r="V10039" s="21">
        <v>0</v>
      </c>
      <c r="W10039" s="21">
        <v>0</v>
      </c>
      <c r="X10039" s="21">
        <v>0</v>
      </c>
      <c r="Y10039" s="21">
        <v>0</v>
      </c>
      <c r="Z10039" s="21">
        <v>0</v>
      </c>
      <c r="AA10039" s="21">
        <v>1</v>
      </c>
      <c r="AB10039" s="21">
        <v>2</v>
      </c>
      <c r="AC10039" s="21">
        <v>0</v>
      </c>
      <c r="AD10039" s="21">
        <v>0</v>
      </c>
      <c r="AE10039" s="21">
        <v>0</v>
      </c>
      <c r="AF10039" s="21">
        <v>0</v>
      </c>
      <c r="AG10039" s="21">
        <v>0</v>
      </c>
      <c r="AH10039" s="21">
        <f t="shared" si="215"/>
        <v>0</v>
      </c>
      <c r="AI10039" s="21"/>
      <c r="AJ10039" s="21" t="s">
        <v>51</v>
      </c>
      <c r="AK10039" s="21" t="s">
        <v>52</v>
      </c>
      <c r="AL10039" s="21" t="s">
        <v>7743</v>
      </c>
      <c r="AM10039" s="21" t="s">
        <v>7744</v>
      </c>
      <c r="AN10039" s="21">
        <v>-122.408342416667</v>
      </c>
      <c r="AO10039" s="21">
        <v>37.796031883333299</v>
      </c>
      <c r="AP10039" s="21" t="s">
        <v>116</v>
      </c>
    </row>
    <row r="10040" spans="1:42">
      <c r="A10040" s="20">
        <v>43889</v>
      </c>
      <c r="B10040" s="21">
        <v>5</v>
      </c>
      <c r="C10040" s="21">
        <v>302</v>
      </c>
      <c r="D10040" s="21">
        <v>10415</v>
      </c>
      <c r="E10040" s="21" t="s">
        <v>37</v>
      </c>
      <c r="F10040" s="21" t="s">
        <v>38</v>
      </c>
      <c r="G10040" s="21">
        <v>4</v>
      </c>
      <c r="H10040" s="27">
        <v>34.928571428571402</v>
      </c>
      <c r="I10040" s="21" t="s">
        <v>7745</v>
      </c>
      <c r="K10040" s="21" t="s">
        <v>7068</v>
      </c>
      <c r="N10040" s="21" t="s">
        <v>40</v>
      </c>
      <c r="O10040" s="21">
        <v>131</v>
      </c>
      <c r="Q10040" s="21">
        <f t="shared" si="214"/>
        <v>4</v>
      </c>
      <c r="R10040" s="21">
        <v>1</v>
      </c>
      <c r="S10040" s="21">
        <v>0</v>
      </c>
      <c r="T10040" s="21">
        <v>0</v>
      </c>
      <c r="U10040" s="21">
        <v>0</v>
      </c>
      <c r="V10040" s="21">
        <v>0</v>
      </c>
      <c r="W10040" s="21">
        <v>0</v>
      </c>
      <c r="X10040" s="21">
        <v>0</v>
      </c>
      <c r="Y10040" s="21">
        <v>0</v>
      </c>
      <c r="Z10040" s="21">
        <v>0</v>
      </c>
      <c r="AA10040" s="21">
        <v>2</v>
      </c>
      <c r="AB10040" s="21">
        <v>2</v>
      </c>
      <c r="AC10040" s="21">
        <v>0</v>
      </c>
      <c r="AD10040" s="21">
        <v>0</v>
      </c>
      <c r="AE10040" s="21">
        <v>0</v>
      </c>
      <c r="AF10040" s="21">
        <v>0</v>
      </c>
      <c r="AG10040" s="21">
        <v>0</v>
      </c>
      <c r="AH10040" s="21">
        <f t="shared" si="215"/>
        <v>0</v>
      </c>
      <c r="AI10040" s="21"/>
      <c r="AJ10040" s="21" t="s">
        <v>51</v>
      </c>
      <c r="AK10040" s="21" t="s">
        <v>95</v>
      </c>
      <c r="AL10040" s="21" t="s">
        <v>7746</v>
      </c>
      <c r="AM10040" s="21" t="s">
        <v>7747</v>
      </c>
      <c r="AN10040" s="21">
        <v>-122.408331666667</v>
      </c>
      <c r="AO10040" s="21">
        <v>37.795731166666698</v>
      </c>
      <c r="AP10040" s="21" t="s">
        <v>116</v>
      </c>
    </row>
    <row r="10041" spans="1:42">
      <c r="A10041" s="20">
        <v>43889</v>
      </c>
      <c r="B10041" s="21">
        <v>5</v>
      </c>
      <c r="C10041" s="21">
        <v>302</v>
      </c>
      <c r="D10041" s="21">
        <v>10415</v>
      </c>
      <c r="E10041" s="21" t="s">
        <v>37</v>
      </c>
      <c r="F10041" s="21" t="s">
        <v>38</v>
      </c>
      <c r="G10041" s="21">
        <v>4</v>
      </c>
      <c r="H10041" s="27">
        <v>36.107142857142897</v>
      </c>
      <c r="I10041" s="21" t="s">
        <v>7748</v>
      </c>
      <c r="K10041" s="21" t="s">
        <v>7068</v>
      </c>
      <c r="N10041" s="21" t="s">
        <v>40</v>
      </c>
      <c r="O10041" s="21">
        <v>40</v>
      </c>
      <c r="Q10041" s="21">
        <f t="shared" si="214"/>
        <v>1</v>
      </c>
      <c r="R10041" s="21">
        <v>1</v>
      </c>
      <c r="S10041" s="21">
        <v>0</v>
      </c>
      <c r="T10041" s="21">
        <v>0</v>
      </c>
      <c r="U10041" s="21">
        <v>0</v>
      </c>
      <c r="V10041" s="21">
        <v>0</v>
      </c>
      <c r="W10041" s="21">
        <v>0</v>
      </c>
      <c r="X10041" s="21">
        <v>0</v>
      </c>
      <c r="Y10041" s="21">
        <v>0</v>
      </c>
      <c r="Z10041" s="21">
        <v>0</v>
      </c>
      <c r="AA10041" s="21">
        <v>1</v>
      </c>
      <c r="AB10041" s="21">
        <v>0</v>
      </c>
      <c r="AC10041" s="21">
        <v>0</v>
      </c>
      <c r="AD10041" s="21">
        <v>0</v>
      </c>
      <c r="AE10041" s="21">
        <v>0</v>
      </c>
      <c r="AF10041" s="21">
        <v>0</v>
      </c>
      <c r="AG10041" s="21">
        <v>0</v>
      </c>
      <c r="AH10041" s="21">
        <f t="shared" si="215"/>
        <v>0</v>
      </c>
      <c r="AI10041" s="21"/>
      <c r="AJ10041" s="21" t="s">
        <v>51</v>
      </c>
      <c r="AK10041" s="21" t="s">
        <v>95</v>
      </c>
      <c r="AL10041" s="21"/>
      <c r="AM10041" s="21" t="s">
        <v>7749</v>
      </c>
      <c r="AN10041" s="21">
        <v>-122.408237066667</v>
      </c>
      <c r="AO10041" s="21">
        <v>37.795610533333303</v>
      </c>
      <c r="AP10041" s="21" t="s">
        <v>116</v>
      </c>
    </row>
    <row r="10042" spans="1:42">
      <c r="A10042" s="20">
        <v>43889</v>
      </c>
      <c r="B10042" s="21">
        <v>5</v>
      </c>
      <c r="C10042" s="21">
        <v>302</v>
      </c>
      <c r="D10042" s="21">
        <v>10415</v>
      </c>
      <c r="E10042" s="21" t="s">
        <v>37</v>
      </c>
      <c r="F10042" s="21" t="s">
        <v>38</v>
      </c>
      <c r="G10042" s="21">
        <v>4</v>
      </c>
      <c r="H10042" s="27">
        <v>37.285714285714299</v>
      </c>
      <c r="I10042" s="21" t="s">
        <v>7750</v>
      </c>
      <c r="K10042" s="21" t="s">
        <v>68</v>
      </c>
      <c r="N10042" s="21" t="s">
        <v>40</v>
      </c>
      <c r="O10042" s="21">
        <v>33</v>
      </c>
      <c r="Q10042" s="21">
        <f t="shared" si="214"/>
        <v>1</v>
      </c>
      <c r="R10042" s="21">
        <v>1</v>
      </c>
      <c r="S10042" s="21">
        <v>0</v>
      </c>
      <c r="T10042" s="21">
        <v>0</v>
      </c>
      <c r="U10042" s="21">
        <v>0</v>
      </c>
      <c r="V10042" s="21">
        <v>0</v>
      </c>
      <c r="W10042" s="21">
        <v>0</v>
      </c>
      <c r="X10042" s="21">
        <v>0</v>
      </c>
      <c r="Y10042" s="21">
        <v>0</v>
      </c>
      <c r="Z10042" s="21">
        <v>0</v>
      </c>
      <c r="AA10042" s="21">
        <v>1</v>
      </c>
      <c r="AB10042" s="21">
        <v>0</v>
      </c>
      <c r="AC10042" s="21">
        <v>0</v>
      </c>
      <c r="AD10042" s="21">
        <v>0</v>
      </c>
      <c r="AE10042" s="21">
        <v>0</v>
      </c>
      <c r="AF10042" s="21">
        <v>0</v>
      </c>
      <c r="AG10042" s="21">
        <v>0</v>
      </c>
      <c r="AH10042" s="21">
        <f t="shared" si="215"/>
        <v>0</v>
      </c>
      <c r="AI10042" s="21"/>
      <c r="AJ10042" s="21" t="s">
        <v>51</v>
      </c>
      <c r="AK10042" s="21" t="s">
        <v>52</v>
      </c>
      <c r="AL10042" s="21"/>
      <c r="AM10042" s="21" t="s">
        <v>7751</v>
      </c>
      <c r="AN10042" s="21">
        <v>-122.408224333333</v>
      </c>
      <c r="AO10042" s="21">
        <v>37.795291616666702</v>
      </c>
      <c r="AP10042" s="21" t="s">
        <v>116</v>
      </c>
    </row>
    <row r="10043" spans="1:42">
      <c r="A10043" s="20">
        <v>43889</v>
      </c>
      <c r="B10043" s="21">
        <v>5</v>
      </c>
      <c r="C10043" s="21">
        <v>302</v>
      </c>
      <c r="D10043" s="21">
        <v>10415</v>
      </c>
      <c r="E10043" s="21" t="s">
        <v>37</v>
      </c>
      <c r="F10043" s="21" t="s">
        <v>38</v>
      </c>
      <c r="G10043" s="21">
        <v>4</v>
      </c>
      <c r="H10043" s="27">
        <v>38.464285714285701</v>
      </c>
      <c r="I10043" s="21" t="s">
        <v>7752</v>
      </c>
      <c r="K10043" s="21" t="s">
        <v>68</v>
      </c>
      <c r="N10043" s="21" t="s">
        <v>44</v>
      </c>
      <c r="O10043" s="21">
        <v>181</v>
      </c>
      <c r="Q10043" s="21">
        <f t="shared" si="214"/>
        <v>2</v>
      </c>
      <c r="R10043" s="21">
        <v>1</v>
      </c>
      <c r="S10043" s="21">
        <v>0</v>
      </c>
      <c r="T10043" s="21">
        <v>0</v>
      </c>
      <c r="U10043" s="21">
        <v>0</v>
      </c>
      <c r="V10043" s="21">
        <v>0</v>
      </c>
      <c r="W10043" s="21">
        <v>0</v>
      </c>
      <c r="X10043" s="21">
        <v>0</v>
      </c>
      <c r="Y10043" s="21">
        <v>0</v>
      </c>
      <c r="Z10043" s="21">
        <v>0</v>
      </c>
      <c r="AA10043" s="21">
        <v>2</v>
      </c>
      <c r="AB10043" s="21">
        <v>0</v>
      </c>
      <c r="AC10043" s="21">
        <v>0</v>
      </c>
      <c r="AD10043" s="21">
        <v>0</v>
      </c>
      <c r="AE10043" s="21">
        <v>0</v>
      </c>
      <c r="AF10043" s="21">
        <v>0</v>
      </c>
      <c r="AG10043" s="21">
        <v>0</v>
      </c>
      <c r="AH10043" s="21">
        <f t="shared" si="215"/>
        <v>0</v>
      </c>
      <c r="AI10043" s="21"/>
      <c r="AJ10043" s="21" t="s">
        <v>51</v>
      </c>
      <c r="AK10043" s="21" t="s">
        <v>52</v>
      </c>
      <c r="AL10043" s="21" t="s">
        <v>7753</v>
      </c>
      <c r="AM10043" s="21" t="s">
        <v>7754</v>
      </c>
      <c r="AN10043" s="21">
        <v>-122.40813988333301</v>
      </c>
      <c r="AO10043" s="21">
        <v>37.794350316666701</v>
      </c>
      <c r="AP10043" s="21" t="s">
        <v>116</v>
      </c>
    </row>
    <row r="10044" spans="1:42">
      <c r="A10044" s="20">
        <v>43889</v>
      </c>
      <c r="B10044" s="21">
        <v>5</v>
      </c>
      <c r="C10044" s="21">
        <v>302</v>
      </c>
      <c r="D10044" s="21">
        <v>10415</v>
      </c>
      <c r="E10044" s="21" t="s">
        <v>37</v>
      </c>
      <c r="F10044" s="21" t="s">
        <v>38</v>
      </c>
      <c r="G10044" s="21">
        <v>4</v>
      </c>
      <c r="H10044" s="27">
        <v>39.642857142857203</v>
      </c>
      <c r="I10044" s="21" t="s">
        <v>7646</v>
      </c>
      <c r="K10044" s="21" t="s">
        <v>68</v>
      </c>
      <c r="N10044" s="21" t="s">
        <v>40</v>
      </c>
      <c r="O10044" s="21">
        <v>40</v>
      </c>
      <c r="Q10044" s="21">
        <f t="shared" si="214"/>
        <v>1</v>
      </c>
      <c r="R10044" s="21">
        <v>1</v>
      </c>
      <c r="S10044" s="21">
        <v>0</v>
      </c>
      <c r="T10044" s="21">
        <v>0</v>
      </c>
      <c r="U10044" s="21">
        <v>0</v>
      </c>
      <c r="V10044" s="21">
        <v>0</v>
      </c>
      <c r="W10044" s="21">
        <v>0</v>
      </c>
      <c r="X10044" s="21">
        <v>0</v>
      </c>
      <c r="Y10044" s="21">
        <v>0</v>
      </c>
      <c r="Z10044" s="21">
        <v>0</v>
      </c>
      <c r="AA10044" s="21">
        <v>1</v>
      </c>
      <c r="AB10044" s="21">
        <v>0</v>
      </c>
      <c r="AC10044" s="21">
        <v>0</v>
      </c>
      <c r="AD10044" s="21">
        <v>0</v>
      </c>
      <c r="AE10044" s="21">
        <v>0</v>
      </c>
      <c r="AF10044" s="21">
        <v>0</v>
      </c>
      <c r="AG10044" s="21">
        <v>0</v>
      </c>
      <c r="AH10044" s="21">
        <f t="shared" si="215"/>
        <v>0</v>
      </c>
      <c r="AI10044" s="21"/>
      <c r="AJ10044" s="21" t="s">
        <v>51</v>
      </c>
      <c r="AK10044" s="21" t="s">
        <v>52</v>
      </c>
      <c r="AL10044" s="21"/>
      <c r="AM10044" s="21" t="s">
        <v>7755</v>
      </c>
      <c r="AN10044" s="21">
        <v>-122.407641566667</v>
      </c>
      <c r="AO10044" s="21">
        <v>37.794211633333298</v>
      </c>
      <c r="AP10044" s="21" t="s">
        <v>116</v>
      </c>
    </row>
    <row r="10045" spans="1:42">
      <c r="A10045" s="20">
        <v>43889</v>
      </c>
      <c r="B10045" s="21">
        <v>5</v>
      </c>
      <c r="C10045" s="21">
        <v>302</v>
      </c>
      <c r="D10045" s="21">
        <v>10415</v>
      </c>
      <c r="E10045" s="21" t="s">
        <v>37</v>
      </c>
      <c r="F10045" s="21" t="s">
        <v>38</v>
      </c>
      <c r="G10045" s="21">
        <v>4</v>
      </c>
      <c r="H10045" s="27">
        <v>40.821428571428598</v>
      </c>
      <c r="I10045" s="21" t="s">
        <v>4352</v>
      </c>
      <c r="K10045" s="21" t="s">
        <v>48</v>
      </c>
      <c r="N10045" s="21" t="s">
        <v>40</v>
      </c>
      <c r="O10045" s="21">
        <v>41</v>
      </c>
      <c r="Q10045" s="21">
        <f t="shared" si="214"/>
        <v>1</v>
      </c>
      <c r="R10045" s="21">
        <v>1</v>
      </c>
      <c r="S10045" s="21">
        <v>0</v>
      </c>
      <c r="T10045" s="21">
        <v>0</v>
      </c>
      <c r="U10045" s="21">
        <v>0</v>
      </c>
      <c r="V10045" s="21">
        <v>0</v>
      </c>
      <c r="W10045" s="21">
        <v>0</v>
      </c>
      <c r="X10045" s="21">
        <v>0</v>
      </c>
      <c r="Y10045" s="21">
        <v>0</v>
      </c>
      <c r="Z10045" s="21">
        <v>0</v>
      </c>
      <c r="AA10045" s="21">
        <v>0</v>
      </c>
      <c r="AB10045" s="21">
        <v>1</v>
      </c>
      <c r="AC10045" s="21">
        <v>0</v>
      </c>
      <c r="AD10045" s="21">
        <v>0</v>
      </c>
      <c r="AE10045" s="21">
        <v>0</v>
      </c>
      <c r="AF10045" s="21">
        <v>0</v>
      </c>
      <c r="AG10045" s="21">
        <v>0</v>
      </c>
      <c r="AH10045" s="21">
        <f t="shared" si="215"/>
        <v>0</v>
      </c>
      <c r="AI10045" s="21"/>
      <c r="AJ10045" s="21" t="s">
        <v>51</v>
      </c>
      <c r="AK10045" s="21" t="s">
        <v>95</v>
      </c>
      <c r="AL10045" s="21"/>
      <c r="AM10045" s="21" t="s">
        <v>7756</v>
      </c>
      <c r="AN10045" s="21">
        <v>-122.407010433333</v>
      </c>
      <c r="AO10045" s="21">
        <v>37.794227233333302</v>
      </c>
      <c r="AP10045" s="21" t="s">
        <v>116</v>
      </c>
    </row>
    <row r="10046" spans="1:42">
      <c r="A10046" s="20">
        <v>43889</v>
      </c>
      <c r="B10046" s="21">
        <v>5</v>
      </c>
      <c r="C10046" s="21">
        <v>302</v>
      </c>
      <c r="D10046" s="21">
        <v>10415</v>
      </c>
      <c r="E10046" s="21" t="s">
        <v>37</v>
      </c>
      <c r="F10046" s="21" t="s">
        <v>38</v>
      </c>
      <c r="G10046" s="21">
        <v>4</v>
      </c>
      <c r="H10046" s="27">
        <v>42</v>
      </c>
      <c r="I10046" s="21" t="s">
        <v>7757</v>
      </c>
      <c r="K10046" s="21" t="s">
        <v>984</v>
      </c>
      <c r="N10046" s="21" t="s">
        <v>40</v>
      </c>
      <c r="O10046" s="21">
        <v>88</v>
      </c>
      <c r="Q10046" s="21">
        <f t="shared" si="214"/>
        <v>3</v>
      </c>
      <c r="R10046" s="21">
        <v>1</v>
      </c>
      <c r="S10046" s="21">
        <v>0</v>
      </c>
      <c r="T10046" s="21">
        <v>0</v>
      </c>
      <c r="U10046" s="21">
        <v>0</v>
      </c>
      <c r="V10046" s="21">
        <v>0</v>
      </c>
      <c r="W10046" s="21">
        <v>0</v>
      </c>
      <c r="X10046" s="21">
        <v>0</v>
      </c>
      <c r="Y10046" s="21">
        <v>0</v>
      </c>
      <c r="Z10046" s="21">
        <v>0</v>
      </c>
      <c r="AA10046" s="21">
        <v>3</v>
      </c>
      <c r="AB10046" s="21">
        <v>0</v>
      </c>
      <c r="AC10046" s="21">
        <v>0</v>
      </c>
      <c r="AD10046" s="21">
        <v>0</v>
      </c>
      <c r="AE10046" s="21">
        <v>0</v>
      </c>
      <c r="AF10046" s="21">
        <v>0</v>
      </c>
      <c r="AG10046" s="21">
        <v>0</v>
      </c>
      <c r="AH10046" s="21">
        <f t="shared" si="215"/>
        <v>0</v>
      </c>
      <c r="AI10046" s="21"/>
      <c r="AJ10046" s="21" t="s">
        <v>51</v>
      </c>
      <c r="AK10046" s="21" t="s">
        <v>95</v>
      </c>
      <c r="AL10046" s="21" t="s">
        <v>7758</v>
      </c>
      <c r="AM10046" s="21" t="s">
        <v>7759</v>
      </c>
      <c r="AN10046" s="21">
        <v>-122.40655765</v>
      </c>
      <c r="AO10046" s="21">
        <v>37.794943883333303</v>
      </c>
      <c r="AP10046" s="21" t="s">
        <v>116</v>
      </c>
    </row>
    <row r="10047" spans="1:42">
      <c r="A10047" s="20">
        <v>43889</v>
      </c>
      <c r="B10047" s="21">
        <v>5</v>
      </c>
      <c r="C10047" s="21">
        <v>302</v>
      </c>
      <c r="D10047" s="21">
        <v>10415</v>
      </c>
      <c r="E10047" s="21" t="s">
        <v>37</v>
      </c>
      <c r="F10047" s="21" t="s">
        <v>38</v>
      </c>
      <c r="G10047" s="21">
        <v>4</v>
      </c>
      <c r="H10047" s="27">
        <v>43.178571428571402</v>
      </c>
      <c r="I10047" s="21" t="s">
        <v>7760</v>
      </c>
      <c r="K10047" s="21" t="s">
        <v>984</v>
      </c>
      <c r="N10047" s="21" t="s">
        <v>40</v>
      </c>
      <c r="O10047" s="21">
        <v>64</v>
      </c>
      <c r="Q10047" s="21">
        <f t="shared" si="214"/>
        <v>2</v>
      </c>
      <c r="R10047" s="21">
        <v>1</v>
      </c>
      <c r="S10047" s="21">
        <v>0</v>
      </c>
      <c r="T10047" s="21">
        <v>0</v>
      </c>
      <c r="U10047" s="21">
        <v>0</v>
      </c>
      <c r="V10047" s="21">
        <v>0</v>
      </c>
      <c r="W10047" s="21">
        <v>0</v>
      </c>
      <c r="X10047" s="21">
        <v>0</v>
      </c>
      <c r="Y10047" s="21">
        <v>0</v>
      </c>
      <c r="Z10047" s="21">
        <v>0</v>
      </c>
      <c r="AA10047" s="21">
        <v>2</v>
      </c>
      <c r="AB10047" s="21">
        <v>0</v>
      </c>
      <c r="AC10047" s="21">
        <v>0</v>
      </c>
      <c r="AD10047" s="21">
        <v>0</v>
      </c>
      <c r="AE10047" s="21">
        <v>0</v>
      </c>
      <c r="AF10047" s="21">
        <v>0</v>
      </c>
      <c r="AG10047" s="21">
        <v>0</v>
      </c>
      <c r="AH10047" s="21">
        <f t="shared" si="215"/>
        <v>0</v>
      </c>
      <c r="AI10047" s="21"/>
      <c r="AJ10047" s="21" t="s">
        <v>51</v>
      </c>
      <c r="AK10047" s="21" t="s">
        <v>52</v>
      </c>
      <c r="AL10047" s="21" t="s">
        <v>7761</v>
      </c>
      <c r="AM10047" s="21" t="s">
        <v>7762</v>
      </c>
      <c r="AN10047" s="21">
        <v>-122.407035916667</v>
      </c>
      <c r="AO10047" s="21">
        <v>37.794828883333302</v>
      </c>
      <c r="AP10047" s="21" t="s">
        <v>116</v>
      </c>
    </row>
    <row r="10048" spans="1:42">
      <c r="A10048" s="20">
        <v>43889</v>
      </c>
      <c r="B10048" s="21">
        <v>5</v>
      </c>
      <c r="C10048" s="21">
        <v>302</v>
      </c>
      <c r="D10048" s="21">
        <v>10415</v>
      </c>
      <c r="E10048" s="21" t="s">
        <v>37</v>
      </c>
      <c r="F10048" s="21" t="s">
        <v>38</v>
      </c>
      <c r="G10048" s="21">
        <v>4</v>
      </c>
      <c r="H10048" s="27">
        <v>44.357142857142897</v>
      </c>
      <c r="I10048" s="21" t="s">
        <v>7763</v>
      </c>
      <c r="K10048" s="21" t="s">
        <v>7764</v>
      </c>
      <c r="N10048" s="21" t="s">
        <v>40</v>
      </c>
      <c r="O10048" s="21">
        <v>65</v>
      </c>
      <c r="Q10048" s="21">
        <f t="shared" si="214"/>
        <v>2</v>
      </c>
      <c r="R10048" s="21">
        <v>1</v>
      </c>
      <c r="S10048" s="21">
        <v>0</v>
      </c>
      <c r="T10048" s="21">
        <v>0</v>
      </c>
      <c r="U10048" s="21">
        <v>0</v>
      </c>
      <c r="V10048" s="21">
        <v>0</v>
      </c>
      <c r="W10048" s="21">
        <v>0</v>
      </c>
      <c r="X10048" s="21">
        <v>0</v>
      </c>
      <c r="Y10048" s="21">
        <v>0</v>
      </c>
      <c r="Z10048" s="21">
        <v>0</v>
      </c>
      <c r="AA10048" s="21">
        <v>1</v>
      </c>
      <c r="AB10048" s="21">
        <v>1</v>
      </c>
      <c r="AC10048" s="21">
        <v>0</v>
      </c>
      <c r="AD10048" s="21">
        <v>0</v>
      </c>
      <c r="AE10048" s="21">
        <v>0</v>
      </c>
      <c r="AF10048" s="21">
        <v>0</v>
      </c>
      <c r="AG10048" s="21">
        <v>0</v>
      </c>
      <c r="AH10048" s="21">
        <f t="shared" si="215"/>
        <v>0</v>
      </c>
      <c r="AI10048" s="21"/>
      <c r="AJ10048" s="21" t="s">
        <v>51</v>
      </c>
      <c r="AK10048" s="21" t="s">
        <v>52</v>
      </c>
      <c r="AL10048" s="21" t="s">
        <v>7765</v>
      </c>
      <c r="AM10048" s="21" t="s">
        <v>7766</v>
      </c>
      <c r="AN10048" s="21">
        <v>-122.406930633333</v>
      </c>
      <c r="AO10048" s="21">
        <v>37.794418333333297</v>
      </c>
      <c r="AP10048" s="21" t="s">
        <v>116</v>
      </c>
    </row>
    <row r="10049" spans="1:42">
      <c r="A10049" s="20">
        <v>43889</v>
      </c>
      <c r="B10049" s="21">
        <v>5</v>
      </c>
      <c r="C10049" s="21">
        <v>302</v>
      </c>
      <c r="D10049" s="21">
        <v>10415</v>
      </c>
      <c r="E10049" s="21" t="s">
        <v>37</v>
      </c>
      <c r="F10049" s="21" t="s">
        <v>38</v>
      </c>
      <c r="G10049" s="21">
        <v>4</v>
      </c>
      <c r="H10049" s="27">
        <v>45.535714285714299</v>
      </c>
      <c r="I10049" s="21" t="s">
        <v>7483</v>
      </c>
      <c r="K10049" s="21" t="s">
        <v>984</v>
      </c>
      <c r="N10049" s="21" t="s">
        <v>40</v>
      </c>
      <c r="O10049" s="21">
        <v>85</v>
      </c>
      <c r="Q10049" s="21">
        <f t="shared" ref="Q10049:Q10112" si="216">S10049+T10049+U10049+V10049+W10049+X10049+Y10049+Z10049+AA10049+AB10049+AE10049+AF10049</f>
        <v>2</v>
      </c>
      <c r="R10049" s="21">
        <v>1</v>
      </c>
      <c r="S10049" s="21">
        <v>0</v>
      </c>
      <c r="T10049" s="21">
        <v>0</v>
      </c>
      <c r="U10049" s="21">
        <v>0</v>
      </c>
      <c r="V10049" s="21">
        <v>0</v>
      </c>
      <c r="W10049" s="21">
        <v>0</v>
      </c>
      <c r="X10049" s="21">
        <v>0</v>
      </c>
      <c r="Y10049" s="21">
        <v>0</v>
      </c>
      <c r="Z10049" s="21">
        <v>0</v>
      </c>
      <c r="AA10049" s="21">
        <v>0</v>
      </c>
      <c r="AB10049" s="21">
        <v>2</v>
      </c>
      <c r="AC10049" s="21">
        <v>0</v>
      </c>
      <c r="AD10049" s="21">
        <v>0</v>
      </c>
      <c r="AE10049" s="21">
        <v>0</v>
      </c>
      <c r="AF10049" s="21">
        <v>0</v>
      </c>
      <c r="AG10049" s="21">
        <v>0</v>
      </c>
      <c r="AH10049" s="21">
        <f t="shared" si="215"/>
        <v>0</v>
      </c>
      <c r="AI10049" s="21"/>
      <c r="AJ10049" s="21" t="s">
        <v>51</v>
      </c>
      <c r="AK10049" s="21" t="s">
        <v>95</v>
      </c>
      <c r="AL10049" s="21"/>
      <c r="AM10049" s="21" t="s">
        <v>7767</v>
      </c>
      <c r="AN10049" s="21">
        <v>-122.406812633333</v>
      </c>
      <c r="AO10049" s="21">
        <v>37.794144733333297</v>
      </c>
      <c r="AP10049" s="21" t="s">
        <v>116</v>
      </c>
    </row>
    <row r="10050" spans="1:42">
      <c r="A10050" s="20">
        <v>43889</v>
      </c>
      <c r="B10050" s="21">
        <v>5</v>
      </c>
      <c r="C10050" s="21">
        <v>302</v>
      </c>
      <c r="D10050" s="21">
        <v>10415</v>
      </c>
      <c r="E10050" s="21" t="s">
        <v>37</v>
      </c>
      <c r="F10050" s="21" t="s">
        <v>38</v>
      </c>
      <c r="G10050" s="21">
        <v>4</v>
      </c>
      <c r="H10050" s="27">
        <v>46.714285714285701</v>
      </c>
      <c r="I10050" s="21" t="s">
        <v>7143</v>
      </c>
      <c r="K10050" s="21" t="s">
        <v>62</v>
      </c>
      <c r="N10050" s="21" t="s">
        <v>40</v>
      </c>
      <c r="O10050" s="21">
        <v>87</v>
      </c>
      <c r="Q10050" s="21">
        <f t="shared" si="216"/>
        <v>2</v>
      </c>
      <c r="R10050" s="21">
        <v>1</v>
      </c>
      <c r="S10050" s="21">
        <v>0</v>
      </c>
      <c r="T10050" s="21">
        <v>0</v>
      </c>
      <c r="U10050" s="21">
        <v>0</v>
      </c>
      <c r="V10050" s="21">
        <v>0</v>
      </c>
      <c r="W10050" s="21">
        <v>0</v>
      </c>
      <c r="X10050" s="21">
        <v>0</v>
      </c>
      <c r="Y10050" s="21">
        <v>0</v>
      </c>
      <c r="Z10050" s="21">
        <v>0</v>
      </c>
      <c r="AA10050" s="21">
        <v>1</v>
      </c>
      <c r="AB10050" s="21">
        <v>1</v>
      </c>
      <c r="AC10050" s="21">
        <v>0</v>
      </c>
      <c r="AD10050" s="21">
        <v>0</v>
      </c>
      <c r="AE10050" s="21">
        <v>0</v>
      </c>
      <c r="AF10050" s="21">
        <v>0</v>
      </c>
      <c r="AG10050" s="21">
        <v>0</v>
      </c>
      <c r="AH10050" s="21">
        <f t="shared" si="215"/>
        <v>0</v>
      </c>
      <c r="AI10050" s="21"/>
      <c r="AJ10050" s="21" t="s">
        <v>54</v>
      </c>
      <c r="AK10050" s="21" t="s">
        <v>52</v>
      </c>
      <c r="AL10050" s="21"/>
      <c r="AM10050" s="21" t="s">
        <v>7768</v>
      </c>
      <c r="AN10050" s="21">
        <v>-122.406815733333</v>
      </c>
      <c r="AO10050" s="21">
        <v>37.793716449999998</v>
      </c>
      <c r="AP10050" s="21" t="s">
        <v>116</v>
      </c>
    </row>
    <row r="10051" spans="1:42">
      <c r="A10051" s="20">
        <v>43889</v>
      </c>
      <c r="B10051" s="21">
        <v>5</v>
      </c>
      <c r="C10051" s="21">
        <v>302</v>
      </c>
      <c r="D10051" s="21">
        <v>10415</v>
      </c>
      <c r="E10051" s="21" t="s">
        <v>37</v>
      </c>
      <c r="F10051" s="21" t="s">
        <v>38</v>
      </c>
      <c r="G10051" s="21">
        <v>4</v>
      </c>
      <c r="H10051" s="27">
        <v>47.892857142857203</v>
      </c>
      <c r="I10051" s="21" t="s">
        <v>7769</v>
      </c>
      <c r="K10051" s="21" t="s">
        <v>50</v>
      </c>
      <c r="N10051" s="21" t="s">
        <v>40</v>
      </c>
      <c r="O10051" s="21">
        <v>97</v>
      </c>
      <c r="Q10051" s="21">
        <f t="shared" si="216"/>
        <v>2</v>
      </c>
      <c r="R10051" s="21">
        <v>1</v>
      </c>
      <c r="S10051" s="21">
        <v>0</v>
      </c>
      <c r="T10051" s="21">
        <v>0</v>
      </c>
      <c r="U10051" s="21">
        <v>0</v>
      </c>
      <c r="V10051" s="21">
        <v>0</v>
      </c>
      <c r="W10051" s="21">
        <v>0</v>
      </c>
      <c r="X10051" s="21">
        <v>0</v>
      </c>
      <c r="Y10051" s="21">
        <v>0</v>
      </c>
      <c r="Z10051" s="21">
        <v>0</v>
      </c>
      <c r="AA10051" s="21">
        <v>2</v>
      </c>
      <c r="AB10051" s="21">
        <v>0</v>
      </c>
      <c r="AC10051" s="21">
        <v>0</v>
      </c>
      <c r="AD10051" s="21">
        <v>0</v>
      </c>
      <c r="AE10051" s="21">
        <v>0</v>
      </c>
      <c r="AF10051" s="21">
        <v>0</v>
      </c>
      <c r="AG10051" s="21">
        <v>0</v>
      </c>
      <c r="AH10051" s="21">
        <f t="shared" si="215"/>
        <v>0</v>
      </c>
      <c r="AI10051" s="21"/>
      <c r="AJ10051" s="21" t="s">
        <v>51</v>
      </c>
      <c r="AK10051" s="21" t="s">
        <v>52</v>
      </c>
      <c r="AL10051" s="21" t="s">
        <v>7770</v>
      </c>
      <c r="AM10051" s="21" t="s">
        <v>7771</v>
      </c>
      <c r="AN10051" s="21">
        <v>-122.407203866667</v>
      </c>
      <c r="AO10051" s="21">
        <v>37.793250899999997</v>
      </c>
      <c r="AP10051" s="21" t="s">
        <v>116</v>
      </c>
    </row>
    <row r="10052" spans="1:42">
      <c r="A10052" s="20">
        <v>43889</v>
      </c>
      <c r="B10052" s="21">
        <v>5</v>
      </c>
      <c r="C10052" s="21">
        <v>302</v>
      </c>
      <c r="D10052" s="21">
        <v>10415</v>
      </c>
      <c r="E10052" s="21" t="s">
        <v>37</v>
      </c>
      <c r="F10052" s="21" t="s">
        <v>38</v>
      </c>
      <c r="G10052" s="21">
        <v>4</v>
      </c>
      <c r="H10052" s="27">
        <v>49.071428571428598</v>
      </c>
      <c r="I10052" s="21" t="s">
        <v>4157</v>
      </c>
      <c r="K10052" s="21" t="s">
        <v>50</v>
      </c>
      <c r="N10052" s="21" t="s">
        <v>40</v>
      </c>
      <c r="O10052" s="21">
        <v>42</v>
      </c>
      <c r="Q10052" s="21">
        <f t="shared" si="216"/>
        <v>1</v>
      </c>
      <c r="R10052" s="21">
        <v>1</v>
      </c>
      <c r="S10052" s="21">
        <v>0</v>
      </c>
      <c r="T10052" s="21">
        <v>0</v>
      </c>
      <c r="U10052" s="21">
        <v>0</v>
      </c>
      <c r="V10052" s="21">
        <v>0</v>
      </c>
      <c r="W10052" s="21">
        <v>0</v>
      </c>
      <c r="X10052" s="21">
        <v>0</v>
      </c>
      <c r="Y10052" s="21">
        <v>0</v>
      </c>
      <c r="Z10052" s="21">
        <v>0</v>
      </c>
      <c r="AA10052" s="21">
        <v>1</v>
      </c>
      <c r="AB10052" s="21">
        <v>0</v>
      </c>
      <c r="AC10052" s="21">
        <v>0</v>
      </c>
      <c r="AD10052" s="21">
        <v>0</v>
      </c>
      <c r="AE10052" s="21">
        <v>0</v>
      </c>
      <c r="AF10052" s="21">
        <v>0</v>
      </c>
      <c r="AG10052" s="21">
        <v>0</v>
      </c>
      <c r="AH10052" s="21">
        <f t="shared" si="215"/>
        <v>0</v>
      </c>
      <c r="AI10052" s="21"/>
      <c r="AJ10052" s="21" t="s">
        <v>51</v>
      </c>
      <c r="AK10052" s="21" t="s">
        <v>52</v>
      </c>
      <c r="AL10052" s="21"/>
      <c r="AM10052" s="21" t="s">
        <v>7772</v>
      </c>
      <c r="AN10052" s="21">
        <v>-122.407224211635</v>
      </c>
      <c r="AO10052" s="21">
        <v>37.792287334363799</v>
      </c>
      <c r="AP10052" s="21" t="s">
        <v>116</v>
      </c>
    </row>
    <row r="10053" spans="1:42">
      <c r="A10053" s="20">
        <v>43889</v>
      </c>
      <c r="B10053" s="21">
        <v>5</v>
      </c>
      <c r="C10053" s="21">
        <v>302</v>
      </c>
      <c r="D10053" s="21">
        <v>10415</v>
      </c>
      <c r="E10053" s="21" t="s">
        <v>37</v>
      </c>
      <c r="F10053" s="21" t="s">
        <v>38</v>
      </c>
      <c r="G10053" s="21">
        <v>4</v>
      </c>
      <c r="H10053" s="27">
        <v>50.25</v>
      </c>
      <c r="I10053" s="21" t="s">
        <v>7773</v>
      </c>
      <c r="K10053" s="21" t="s">
        <v>971</v>
      </c>
      <c r="N10053" s="21"/>
      <c r="O10053" s="21">
        <v>121</v>
      </c>
      <c r="Q10053" s="21">
        <f t="shared" si="216"/>
        <v>3</v>
      </c>
      <c r="R10053" s="21">
        <v>1</v>
      </c>
      <c r="S10053" s="21">
        <v>0</v>
      </c>
      <c r="T10053" s="21">
        <v>0</v>
      </c>
      <c r="U10053" s="21">
        <v>0</v>
      </c>
      <c r="V10053" s="21">
        <v>0</v>
      </c>
      <c r="W10053" s="21">
        <v>0</v>
      </c>
      <c r="X10053" s="21">
        <v>0</v>
      </c>
      <c r="Y10053" s="21">
        <v>0</v>
      </c>
      <c r="Z10053" s="21">
        <v>0</v>
      </c>
      <c r="AA10053" s="21">
        <v>2</v>
      </c>
      <c r="AB10053" s="21">
        <v>1</v>
      </c>
      <c r="AC10053" s="21">
        <v>0</v>
      </c>
      <c r="AD10053" s="21">
        <v>0</v>
      </c>
      <c r="AE10053" s="21">
        <v>0</v>
      </c>
      <c r="AF10053" s="21">
        <v>0</v>
      </c>
      <c r="AG10053" s="21">
        <v>0</v>
      </c>
      <c r="AH10053" s="21">
        <f t="shared" si="215"/>
        <v>0</v>
      </c>
      <c r="AI10053" s="21"/>
      <c r="AJ10053" s="21" t="s">
        <v>54</v>
      </c>
      <c r="AK10053" s="21" t="s">
        <v>95</v>
      </c>
      <c r="AL10053" s="21"/>
      <c r="AM10053" s="21" t="s">
        <v>7774</v>
      </c>
      <c r="AN10053" s="21">
        <v>-122.40788551666699</v>
      </c>
      <c r="AO10053" s="21">
        <v>37.793794200000001</v>
      </c>
      <c r="AP10053" s="21" t="s">
        <v>116</v>
      </c>
    </row>
    <row r="10054" spans="1:42">
      <c r="A10054" s="20">
        <v>43889</v>
      </c>
      <c r="B10054" s="21">
        <v>5</v>
      </c>
      <c r="C10054" s="21">
        <v>302</v>
      </c>
      <c r="D10054" s="21">
        <v>10415</v>
      </c>
      <c r="E10054" s="21" t="s">
        <v>37</v>
      </c>
      <c r="F10054" s="21" t="s">
        <v>38</v>
      </c>
      <c r="G10054" s="21">
        <v>4</v>
      </c>
      <c r="H10054" s="27">
        <v>51.428571428571502</v>
      </c>
      <c r="I10054" s="21" t="s">
        <v>7775</v>
      </c>
      <c r="K10054" s="21" t="s">
        <v>516</v>
      </c>
      <c r="N10054" s="21" t="s">
        <v>40</v>
      </c>
      <c r="O10054" s="21">
        <v>59</v>
      </c>
      <c r="Q10054" s="21">
        <f t="shared" si="216"/>
        <v>1</v>
      </c>
      <c r="R10054" s="21">
        <v>1</v>
      </c>
      <c r="S10054" s="21">
        <v>0</v>
      </c>
      <c r="T10054" s="21">
        <v>0</v>
      </c>
      <c r="U10054" s="21">
        <v>0</v>
      </c>
      <c r="V10054" s="21">
        <v>0</v>
      </c>
      <c r="W10054" s="21">
        <v>0</v>
      </c>
      <c r="X10054" s="21">
        <v>0</v>
      </c>
      <c r="Y10054" s="21">
        <v>0</v>
      </c>
      <c r="Z10054" s="21">
        <v>0</v>
      </c>
      <c r="AA10054" s="21">
        <v>0</v>
      </c>
      <c r="AB10054" s="21">
        <v>1</v>
      </c>
      <c r="AC10054" s="21">
        <v>0</v>
      </c>
      <c r="AD10054" s="21">
        <v>0</v>
      </c>
      <c r="AE10054" s="21">
        <v>0</v>
      </c>
      <c r="AF10054" s="21">
        <v>0</v>
      </c>
      <c r="AG10054" s="21">
        <v>0</v>
      </c>
      <c r="AH10054" s="21">
        <f t="shared" si="215"/>
        <v>0</v>
      </c>
      <c r="AI10054" s="21"/>
      <c r="AJ10054" s="21" t="s">
        <v>54</v>
      </c>
      <c r="AK10054" s="21" t="s">
        <v>52</v>
      </c>
      <c r="AL10054" s="21" t="s">
        <v>7776</v>
      </c>
      <c r="AM10054" s="21" t="s">
        <v>7777</v>
      </c>
      <c r="AN10054" s="21">
        <v>-122.40598703333301</v>
      </c>
      <c r="AO10054" s="21">
        <v>37.794327516666698</v>
      </c>
      <c r="AP10054" s="21" t="s">
        <v>116</v>
      </c>
    </row>
    <row r="10055" spans="1:42">
      <c r="A10055" s="20">
        <v>43889</v>
      </c>
      <c r="B10055" s="21">
        <v>5</v>
      </c>
      <c r="C10055" s="21">
        <v>302</v>
      </c>
      <c r="D10055" s="21">
        <v>10415</v>
      </c>
      <c r="E10055" s="21" t="s">
        <v>37</v>
      </c>
      <c r="F10055" s="21" t="s">
        <v>38</v>
      </c>
      <c r="G10055" s="21">
        <v>4</v>
      </c>
      <c r="H10055" s="27">
        <v>52.607142857142897</v>
      </c>
      <c r="I10055" s="21" t="s">
        <v>7778</v>
      </c>
      <c r="K10055" s="21" t="s">
        <v>7779</v>
      </c>
      <c r="N10055" s="21" t="s">
        <v>40</v>
      </c>
      <c r="O10055" s="21">
        <v>149</v>
      </c>
      <c r="Q10055" s="21">
        <f t="shared" si="216"/>
        <v>4</v>
      </c>
      <c r="R10055" s="21">
        <v>1</v>
      </c>
      <c r="S10055" s="21">
        <v>0</v>
      </c>
      <c r="T10055" s="21">
        <v>0</v>
      </c>
      <c r="U10055" s="21">
        <v>0</v>
      </c>
      <c r="V10055" s="21">
        <v>0</v>
      </c>
      <c r="W10055" s="21">
        <v>0</v>
      </c>
      <c r="X10055" s="21">
        <v>0</v>
      </c>
      <c r="Y10055" s="21">
        <v>0</v>
      </c>
      <c r="Z10055" s="21">
        <v>0</v>
      </c>
      <c r="AA10055" s="21">
        <v>2</v>
      </c>
      <c r="AB10055" s="21">
        <v>2</v>
      </c>
      <c r="AC10055" s="21">
        <v>0</v>
      </c>
      <c r="AD10055" s="21">
        <v>0</v>
      </c>
      <c r="AE10055" s="21">
        <v>0</v>
      </c>
      <c r="AF10055" s="21">
        <v>0</v>
      </c>
      <c r="AG10055" s="21">
        <v>0</v>
      </c>
      <c r="AH10055" s="21">
        <f t="shared" si="215"/>
        <v>0</v>
      </c>
      <c r="AI10055" s="21"/>
      <c r="AJ10055" s="21" t="s">
        <v>51</v>
      </c>
      <c r="AK10055" s="21" t="s">
        <v>95</v>
      </c>
      <c r="AL10055" s="21" t="s">
        <v>7780</v>
      </c>
      <c r="AM10055" s="21" t="s">
        <v>7781</v>
      </c>
      <c r="AN10055" s="21">
        <v>-122.405876533333</v>
      </c>
      <c r="AO10055" s="21">
        <v>37.794339983333302</v>
      </c>
      <c r="AP10055" s="21" t="s">
        <v>116</v>
      </c>
    </row>
    <row r="10056" spans="1:42">
      <c r="A10056" s="20">
        <v>43889</v>
      </c>
      <c r="B10056" s="21">
        <v>5</v>
      </c>
      <c r="C10056" s="21">
        <v>302</v>
      </c>
      <c r="D10056" s="21">
        <v>10415</v>
      </c>
      <c r="E10056" s="21" t="s">
        <v>37</v>
      </c>
      <c r="F10056" s="21" t="s">
        <v>38</v>
      </c>
      <c r="G10056" s="21">
        <v>4</v>
      </c>
      <c r="H10056" s="27">
        <v>53.785714285714299</v>
      </c>
      <c r="I10056" s="21" t="s">
        <v>7782</v>
      </c>
      <c r="K10056" s="21" t="s">
        <v>68</v>
      </c>
      <c r="N10056" s="21" t="s">
        <v>40</v>
      </c>
      <c r="O10056" s="21">
        <v>49</v>
      </c>
      <c r="Q10056" s="21">
        <f t="shared" si="216"/>
        <v>1</v>
      </c>
      <c r="R10056" s="21">
        <v>1</v>
      </c>
      <c r="S10056" s="21">
        <v>0</v>
      </c>
      <c r="T10056" s="21">
        <v>0</v>
      </c>
      <c r="U10056" s="21">
        <v>0</v>
      </c>
      <c r="V10056" s="21">
        <v>0</v>
      </c>
      <c r="W10056" s="21">
        <v>0</v>
      </c>
      <c r="X10056" s="21">
        <v>0</v>
      </c>
      <c r="Y10056" s="21">
        <v>0</v>
      </c>
      <c r="Z10056" s="21">
        <v>0</v>
      </c>
      <c r="AA10056" s="21">
        <v>1</v>
      </c>
      <c r="AB10056" s="21">
        <v>0</v>
      </c>
      <c r="AC10056" s="21">
        <v>0</v>
      </c>
      <c r="AD10056" s="21">
        <v>0</v>
      </c>
      <c r="AE10056" s="21">
        <v>0</v>
      </c>
      <c r="AF10056" s="21">
        <v>0</v>
      </c>
      <c r="AG10056" s="21">
        <v>0</v>
      </c>
      <c r="AH10056" s="21">
        <f t="shared" si="215"/>
        <v>0</v>
      </c>
      <c r="AI10056" s="21"/>
      <c r="AJ10056" s="21" t="s">
        <v>54</v>
      </c>
      <c r="AK10056" s="21" t="s">
        <v>52</v>
      </c>
      <c r="AL10056" s="21"/>
      <c r="AM10056" s="21" t="s">
        <v>7783</v>
      </c>
      <c r="AN10056" s="21">
        <v>-122.40583165</v>
      </c>
      <c r="AO10056" s="21">
        <v>37.794465449999997</v>
      </c>
      <c r="AP10056" s="21" t="s">
        <v>116</v>
      </c>
    </row>
    <row r="10057" spans="1:42">
      <c r="A10057" s="20">
        <v>43889</v>
      </c>
      <c r="B10057" s="21">
        <v>5</v>
      </c>
      <c r="C10057" s="21">
        <v>302</v>
      </c>
      <c r="D10057" s="21">
        <v>10415</v>
      </c>
      <c r="E10057" s="21" t="s">
        <v>37</v>
      </c>
      <c r="F10057" s="21" t="s">
        <v>38</v>
      </c>
      <c r="G10057" s="21">
        <v>4</v>
      </c>
      <c r="H10057" s="27">
        <v>54.964285714285701</v>
      </c>
      <c r="I10057" s="21" t="s">
        <v>7784</v>
      </c>
      <c r="K10057" s="21" t="s">
        <v>68</v>
      </c>
      <c r="N10057" s="21" t="s">
        <v>40</v>
      </c>
      <c r="O10057" s="21">
        <v>36</v>
      </c>
      <c r="Q10057" s="21">
        <f t="shared" si="216"/>
        <v>1</v>
      </c>
      <c r="R10057" s="21">
        <v>1</v>
      </c>
      <c r="S10057" s="21">
        <v>0</v>
      </c>
      <c r="T10057" s="21">
        <v>0</v>
      </c>
      <c r="U10057" s="21">
        <v>0</v>
      </c>
      <c r="V10057" s="21">
        <v>0</v>
      </c>
      <c r="W10057" s="21">
        <v>0</v>
      </c>
      <c r="X10057" s="21">
        <v>0</v>
      </c>
      <c r="Y10057" s="21">
        <v>0</v>
      </c>
      <c r="Z10057" s="21">
        <v>0</v>
      </c>
      <c r="AA10057" s="21">
        <v>0</v>
      </c>
      <c r="AB10057" s="21">
        <v>1</v>
      </c>
      <c r="AC10057" s="21">
        <v>0</v>
      </c>
      <c r="AD10057" s="21">
        <v>0</v>
      </c>
      <c r="AE10057" s="21">
        <v>0</v>
      </c>
      <c r="AF10057" s="21">
        <v>0</v>
      </c>
      <c r="AG10057" s="21">
        <v>0</v>
      </c>
      <c r="AH10057" s="21">
        <f t="shared" si="215"/>
        <v>0</v>
      </c>
      <c r="AI10057" s="21"/>
      <c r="AJ10057" s="21" t="s">
        <v>51</v>
      </c>
      <c r="AK10057" s="21" t="s">
        <v>95</v>
      </c>
      <c r="AL10057" s="21"/>
      <c r="AM10057" s="21" t="s">
        <v>7785</v>
      </c>
      <c r="AN10057" s="21">
        <v>-122.405067816667</v>
      </c>
      <c r="AO10057" s="21">
        <v>37.794465216666701</v>
      </c>
      <c r="AP10057" s="21" t="s">
        <v>116</v>
      </c>
    </row>
    <row r="10058" spans="1:42">
      <c r="A10058" s="20">
        <v>43889</v>
      </c>
      <c r="B10058" s="21">
        <v>5</v>
      </c>
      <c r="C10058" s="21">
        <v>302</v>
      </c>
      <c r="D10058" s="21">
        <v>10415</v>
      </c>
      <c r="E10058" s="21" t="s">
        <v>37</v>
      </c>
      <c r="F10058" s="21" t="s">
        <v>38</v>
      </c>
      <c r="G10058" s="21">
        <v>4</v>
      </c>
      <c r="H10058" s="27">
        <v>56.142857142857203</v>
      </c>
      <c r="I10058" s="21" t="s">
        <v>7101</v>
      </c>
      <c r="K10058" s="21" t="s">
        <v>68</v>
      </c>
      <c r="N10058" s="21" t="s">
        <v>40</v>
      </c>
      <c r="O10058" s="21">
        <v>22</v>
      </c>
      <c r="Q10058" s="21">
        <f t="shared" si="216"/>
        <v>1</v>
      </c>
      <c r="R10058" s="21">
        <v>1</v>
      </c>
      <c r="S10058" s="21">
        <v>0</v>
      </c>
      <c r="T10058" s="21">
        <v>0</v>
      </c>
      <c r="U10058" s="21">
        <v>0</v>
      </c>
      <c r="V10058" s="21">
        <v>0</v>
      </c>
      <c r="W10058" s="21">
        <v>0</v>
      </c>
      <c r="X10058" s="21">
        <v>0</v>
      </c>
      <c r="Y10058" s="21">
        <v>0</v>
      </c>
      <c r="Z10058" s="21">
        <v>0</v>
      </c>
      <c r="AA10058" s="21">
        <v>1</v>
      </c>
      <c r="AB10058" s="21">
        <v>0</v>
      </c>
      <c r="AC10058" s="21">
        <v>0</v>
      </c>
      <c r="AD10058" s="21">
        <v>0</v>
      </c>
      <c r="AE10058" s="21">
        <v>0</v>
      </c>
      <c r="AF10058" s="21">
        <v>0</v>
      </c>
      <c r="AG10058" s="21">
        <v>0</v>
      </c>
      <c r="AH10058" s="21">
        <f t="shared" si="215"/>
        <v>0</v>
      </c>
      <c r="AI10058" s="21"/>
      <c r="AJ10058" s="21" t="s">
        <v>51</v>
      </c>
      <c r="AK10058" s="21" t="s">
        <v>52</v>
      </c>
      <c r="AL10058" s="21" t="s">
        <v>7786</v>
      </c>
      <c r="AM10058" s="21" t="s">
        <v>7787</v>
      </c>
      <c r="AN10058" s="21">
        <v>-122.404407983333</v>
      </c>
      <c r="AO10058" s="21">
        <v>37.794622316666697</v>
      </c>
      <c r="AP10058" s="21" t="s">
        <v>116</v>
      </c>
    </row>
    <row r="10059" spans="1:42">
      <c r="A10059" s="20">
        <v>43889</v>
      </c>
      <c r="B10059" s="21">
        <v>5</v>
      </c>
      <c r="C10059" s="21">
        <v>302</v>
      </c>
      <c r="D10059" s="21">
        <v>10415</v>
      </c>
      <c r="E10059" s="21" t="s">
        <v>37</v>
      </c>
      <c r="F10059" s="21" t="s">
        <v>38</v>
      </c>
      <c r="G10059" s="21">
        <v>4</v>
      </c>
      <c r="H10059" s="27">
        <v>57.321428571428598</v>
      </c>
      <c r="I10059" s="21" t="s">
        <v>7788</v>
      </c>
      <c r="K10059" s="21" t="s">
        <v>68</v>
      </c>
      <c r="N10059" s="21" t="s">
        <v>40</v>
      </c>
      <c r="O10059" s="21">
        <v>51</v>
      </c>
      <c r="Q10059" s="21">
        <f t="shared" si="216"/>
        <v>2</v>
      </c>
      <c r="R10059" s="21">
        <v>1</v>
      </c>
      <c r="S10059" s="21">
        <v>0</v>
      </c>
      <c r="T10059" s="21">
        <v>0</v>
      </c>
      <c r="U10059" s="21">
        <v>0</v>
      </c>
      <c r="V10059" s="21">
        <v>0</v>
      </c>
      <c r="W10059" s="21">
        <v>0</v>
      </c>
      <c r="X10059" s="21">
        <v>0</v>
      </c>
      <c r="Y10059" s="21">
        <v>0</v>
      </c>
      <c r="Z10059" s="21">
        <v>0</v>
      </c>
      <c r="AA10059" s="21">
        <v>0</v>
      </c>
      <c r="AB10059" s="21">
        <v>2</v>
      </c>
      <c r="AC10059" s="21">
        <v>0</v>
      </c>
      <c r="AD10059" s="21">
        <v>0</v>
      </c>
      <c r="AE10059" s="21">
        <v>0</v>
      </c>
      <c r="AF10059" s="21">
        <v>0</v>
      </c>
      <c r="AG10059" s="21">
        <v>0</v>
      </c>
      <c r="AH10059" s="21">
        <f t="shared" si="215"/>
        <v>0</v>
      </c>
      <c r="AI10059" s="21"/>
      <c r="AJ10059" s="21" t="s">
        <v>51</v>
      </c>
      <c r="AK10059" s="21" t="s">
        <v>52</v>
      </c>
      <c r="AL10059" s="21" t="s">
        <v>7789</v>
      </c>
      <c r="AM10059" s="21" t="s">
        <v>7790</v>
      </c>
      <c r="AN10059" s="21">
        <v>-122.404198633333</v>
      </c>
      <c r="AO10059" s="21">
        <v>37.794563816666702</v>
      </c>
      <c r="AP10059" s="21" t="s">
        <v>116</v>
      </c>
    </row>
    <row r="10060" spans="1:42">
      <c r="A10060" s="20">
        <v>43889</v>
      </c>
      <c r="B10060" s="21">
        <v>5</v>
      </c>
      <c r="C10060" s="21">
        <v>302</v>
      </c>
      <c r="D10060" s="21">
        <v>10415</v>
      </c>
      <c r="E10060" s="21" t="s">
        <v>37</v>
      </c>
      <c r="F10060" s="21" t="s">
        <v>38</v>
      </c>
      <c r="G10060" s="21">
        <v>4</v>
      </c>
      <c r="H10060" s="27">
        <v>58.5</v>
      </c>
      <c r="I10060" s="21" t="s">
        <v>7791</v>
      </c>
      <c r="K10060" s="21" t="s">
        <v>68</v>
      </c>
      <c r="N10060" s="21" t="s">
        <v>40</v>
      </c>
      <c r="O10060" s="21">
        <v>91</v>
      </c>
      <c r="Q10060" s="21">
        <f t="shared" si="216"/>
        <v>3</v>
      </c>
      <c r="R10060" s="21">
        <v>1</v>
      </c>
      <c r="S10060" s="21">
        <v>0</v>
      </c>
      <c r="T10060" s="21">
        <v>0</v>
      </c>
      <c r="U10060" s="21">
        <v>0</v>
      </c>
      <c r="V10060" s="21">
        <v>0</v>
      </c>
      <c r="W10060" s="21">
        <v>0</v>
      </c>
      <c r="X10060" s="21">
        <v>0</v>
      </c>
      <c r="Y10060" s="21">
        <v>0</v>
      </c>
      <c r="Z10060" s="21">
        <v>0</v>
      </c>
      <c r="AA10060" s="21">
        <v>1</v>
      </c>
      <c r="AB10060" s="21">
        <v>2</v>
      </c>
      <c r="AC10060" s="21">
        <v>0</v>
      </c>
      <c r="AD10060" s="21">
        <v>0</v>
      </c>
      <c r="AE10060" s="21">
        <v>0</v>
      </c>
      <c r="AF10060" s="21">
        <v>0</v>
      </c>
      <c r="AG10060" s="21">
        <v>0</v>
      </c>
      <c r="AH10060" s="21">
        <f t="shared" si="215"/>
        <v>0</v>
      </c>
      <c r="AI10060" s="21"/>
      <c r="AJ10060" s="21" t="s">
        <v>51</v>
      </c>
      <c r="AK10060" s="21" t="s">
        <v>52</v>
      </c>
      <c r="AL10060" s="21" t="s">
        <v>7792</v>
      </c>
      <c r="AM10060" s="21" t="s">
        <v>7793</v>
      </c>
      <c r="AN10060" s="21">
        <v>-122.40426448333299</v>
      </c>
      <c r="AO10060" s="21">
        <v>37.794553333333297</v>
      </c>
      <c r="AP10060" s="21" t="s">
        <v>116</v>
      </c>
    </row>
    <row r="10061" spans="1:42">
      <c r="A10061" s="20">
        <v>43889</v>
      </c>
      <c r="B10061" s="21">
        <v>5</v>
      </c>
      <c r="C10061" s="21">
        <v>302</v>
      </c>
      <c r="D10061" s="21">
        <v>10415</v>
      </c>
      <c r="E10061" s="21" t="s">
        <v>37</v>
      </c>
      <c r="F10061" s="21" t="s">
        <v>38</v>
      </c>
      <c r="G10061" s="21">
        <v>4</v>
      </c>
      <c r="H10061" s="27">
        <v>59.678571428571502</v>
      </c>
      <c r="I10061" s="21" t="s">
        <v>4213</v>
      </c>
      <c r="K10061" s="21" t="s">
        <v>6503</v>
      </c>
      <c r="N10061" s="21" t="s">
        <v>44</v>
      </c>
      <c r="O10061" s="21">
        <v>130</v>
      </c>
      <c r="Q10061" s="21">
        <f t="shared" si="216"/>
        <v>4</v>
      </c>
      <c r="R10061" s="21">
        <v>1</v>
      </c>
      <c r="S10061" s="21">
        <v>0</v>
      </c>
      <c r="T10061" s="21">
        <v>0</v>
      </c>
      <c r="U10061" s="21">
        <v>0</v>
      </c>
      <c r="V10061" s="21">
        <v>0</v>
      </c>
      <c r="W10061" s="21">
        <v>0</v>
      </c>
      <c r="X10061" s="21">
        <v>0</v>
      </c>
      <c r="Y10061" s="21">
        <v>0</v>
      </c>
      <c r="Z10061" s="21">
        <v>0</v>
      </c>
      <c r="AA10061" s="21">
        <v>0</v>
      </c>
      <c r="AB10061" s="21">
        <v>4</v>
      </c>
      <c r="AC10061" s="21">
        <v>0</v>
      </c>
      <c r="AD10061" s="21">
        <v>0</v>
      </c>
      <c r="AE10061" s="21">
        <v>0</v>
      </c>
      <c r="AF10061" s="21">
        <v>0</v>
      </c>
      <c r="AG10061" s="21">
        <v>0</v>
      </c>
      <c r="AH10061" s="21">
        <f t="shared" si="215"/>
        <v>0</v>
      </c>
      <c r="AI10061" s="21"/>
      <c r="AJ10061" s="21" t="s">
        <v>51</v>
      </c>
      <c r="AK10061" s="21" t="s">
        <v>95</v>
      </c>
      <c r="AL10061" s="21" t="s">
        <v>7794</v>
      </c>
      <c r="AM10061" s="21" t="s">
        <v>7795</v>
      </c>
      <c r="AN10061" s="21">
        <v>-122.40399126666701</v>
      </c>
      <c r="AO10061" s="21">
        <v>37.794578483333297</v>
      </c>
      <c r="AP10061" s="21" t="s">
        <v>116</v>
      </c>
    </row>
    <row r="10062" spans="1:42">
      <c r="A10062" s="20">
        <v>43889</v>
      </c>
      <c r="B10062" s="21">
        <v>5</v>
      </c>
      <c r="C10062" s="21">
        <v>302</v>
      </c>
      <c r="D10062" s="21">
        <v>10415</v>
      </c>
      <c r="E10062" s="21" t="s">
        <v>37</v>
      </c>
      <c r="F10062" s="21" t="s">
        <v>38</v>
      </c>
      <c r="G10062" s="21">
        <v>4</v>
      </c>
      <c r="H10062" s="27">
        <v>60.857142857142897</v>
      </c>
      <c r="I10062" s="21" t="s">
        <v>3399</v>
      </c>
      <c r="K10062" s="21" t="s">
        <v>71</v>
      </c>
      <c r="N10062" s="21" t="s">
        <v>40</v>
      </c>
      <c r="O10062" s="21">
        <v>49</v>
      </c>
      <c r="Q10062" s="21">
        <f t="shared" si="216"/>
        <v>2</v>
      </c>
      <c r="R10062" s="21">
        <v>1</v>
      </c>
      <c r="S10062" s="21">
        <v>0</v>
      </c>
      <c r="T10062" s="21">
        <v>0</v>
      </c>
      <c r="U10062" s="21">
        <v>0</v>
      </c>
      <c r="V10062" s="21">
        <v>0</v>
      </c>
      <c r="W10062" s="21">
        <v>0</v>
      </c>
      <c r="X10062" s="21">
        <v>0</v>
      </c>
      <c r="Y10062" s="21">
        <v>0</v>
      </c>
      <c r="Z10062" s="21">
        <v>0</v>
      </c>
      <c r="AA10062" s="21">
        <v>0</v>
      </c>
      <c r="AB10062" s="21">
        <v>2</v>
      </c>
      <c r="AC10062" s="21">
        <v>0</v>
      </c>
      <c r="AD10062" s="21">
        <v>0</v>
      </c>
      <c r="AE10062" s="21">
        <v>0</v>
      </c>
      <c r="AF10062" s="21">
        <v>0</v>
      </c>
      <c r="AG10062" s="21">
        <v>0</v>
      </c>
      <c r="AH10062" s="21">
        <f t="shared" si="215"/>
        <v>0</v>
      </c>
      <c r="AI10062" s="21"/>
      <c r="AJ10062" s="21" t="s">
        <v>51</v>
      </c>
      <c r="AK10062" s="21" t="s">
        <v>52</v>
      </c>
      <c r="AL10062" s="21"/>
      <c r="AM10062" s="21" t="s">
        <v>7796</v>
      </c>
      <c r="AN10062" s="21">
        <v>-122.403535366667</v>
      </c>
      <c r="AO10062" s="21">
        <v>37.794768166666699</v>
      </c>
      <c r="AP10062" s="21" t="s">
        <v>116</v>
      </c>
    </row>
    <row r="10063" spans="1:42">
      <c r="A10063" s="20">
        <v>43889</v>
      </c>
      <c r="B10063" s="21">
        <v>5</v>
      </c>
      <c r="C10063" s="21">
        <v>302</v>
      </c>
      <c r="D10063" s="21">
        <v>10415</v>
      </c>
      <c r="E10063" s="21" t="s">
        <v>37</v>
      </c>
      <c r="F10063" s="21" t="s">
        <v>38</v>
      </c>
      <c r="G10063" s="21">
        <v>4</v>
      </c>
      <c r="H10063" s="27">
        <v>62.035714285714299</v>
      </c>
      <c r="I10063" s="21" t="s">
        <v>5668</v>
      </c>
      <c r="K10063" s="21" t="s">
        <v>65</v>
      </c>
      <c r="N10063" s="21" t="s">
        <v>40</v>
      </c>
      <c r="O10063" s="21">
        <v>117</v>
      </c>
      <c r="Q10063" s="21">
        <f t="shared" si="216"/>
        <v>2</v>
      </c>
      <c r="R10063" s="21">
        <v>1</v>
      </c>
      <c r="S10063" s="21">
        <v>0</v>
      </c>
      <c r="T10063" s="21">
        <v>0</v>
      </c>
      <c r="U10063" s="21">
        <v>0</v>
      </c>
      <c r="V10063" s="21">
        <v>0</v>
      </c>
      <c r="W10063" s="21">
        <v>0</v>
      </c>
      <c r="X10063" s="21">
        <v>0</v>
      </c>
      <c r="Y10063" s="21">
        <v>0</v>
      </c>
      <c r="Z10063" s="21">
        <v>0</v>
      </c>
      <c r="AA10063" s="21">
        <v>0</v>
      </c>
      <c r="AB10063" s="21">
        <v>2</v>
      </c>
      <c r="AC10063" s="21">
        <v>0</v>
      </c>
      <c r="AD10063" s="21">
        <v>0</v>
      </c>
      <c r="AE10063" s="21">
        <v>0</v>
      </c>
      <c r="AF10063" s="21">
        <v>0</v>
      </c>
      <c r="AG10063" s="21">
        <v>0</v>
      </c>
      <c r="AH10063" s="21">
        <f t="shared" si="215"/>
        <v>0</v>
      </c>
      <c r="AI10063" s="21"/>
      <c r="AJ10063" s="21" t="s">
        <v>51</v>
      </c>
      <c r="AK10063" s="21" t="s">
        <v>95</v>
      </c>
      <c r="AL10063" s="21"/>
      <c r="AM10063" s="21" t="s">
        <v>7797</v>
      </c>
      <c r="AN10063" s="21">
        <v>-122.403123333333</v>
      </c>
      <c r="AO10063" s="21">
        <v>37.794553516666703</v>
      </c>
      <c r="AP10063" s="21" t="s">
        <v>116</v>
      </c>
    </row>
    <row r="10064" spans="1:42">
      <c r="A10064" s="20">
        <v>43889</v>
      </c>
      <c r="B10064" s="21">
        <v>5</v>
      </c>
      <c r="C10064" s="21">
        <v>302</v>
      </c>
      <c r="D10064" s="21">
        <v>10415</v>
      </c>
      <c r="E10064" s="21" t="s">
        <v>37</v>
      </c>
      <c r="F10064" s="21" t="s">
        <v>38</v>
      </c>
      <c r="G10064" s="21">
        <v>4</v>
      </c>
      <c r="H10064" s="27">
        <v>63.214285714285701</v>
      </c>
      <c r="I10064" s="21" t="s">
        <v>7798</v>
      </c>
      <c r="K10064" s="21" t="s">
        <v>65</v>
      </c>
      <c r="N10064" s="21" t="s">
        <v>44</v>
      </c>
      <c r="O10064" s="21">
        <v>179</v>
      </c>
      <c r="Q10064" s="21">
        <f t="shared" si="216"/>
        <v>2</v>
      </c>
      <c r="R10064" s="21">
        <v>1</v>
      </c>
      <c r="S10064" s="21">
        <v>0</v>
      </c>
      <c r="T10064" s="21">
        <v>0</v>
      </c>
      <c r="U10064" s="21">
        <v>0</v>
      </c>
      <c r="V10064" s="21">
        <v>0</v>
      </c>
      <c r="W10064" s="21">
        <v>0</v>
      </c>
      <c r="X10064" s="21">
        <v>0</v>
      </c>
      <c r="Y10064" s="21">
        <v>0</v>
      </c>
      <c r="Z10064" s="21">
        <v>0</v>
      </c>
      <c r="AA10064" s="21">
        <v>2</v>
      </c>
      <c r="AB10064" s="21">
        <v>0</v>
      </c>
      <c r="AC10064" s="21">
        <v>0</v>
      </c>
      <c r="AD10064" s="21">
        <v>0</v>
      </c>
      <c r="AE10064" s="21">
        <v>0</v>
      </c>
      <c r="AF10064" s="21">
        <v>0</v>
      </c>
      <c r="AG10064" s="21">
        <v>0</v>
      </c>
      <c r="AH10064" s="21">
        <f t="shared" si="215"/>
        <v>0</v>
      </c>
      <c r="AI10064" s="21"/>
      <c r="AJ10064" s="21" t="s">
        <v>51</v>
      </c>
      <c r="AK10064" s="21" t="s">
        <v>95</v>
      </c>
      <c r="AL10064" s="21" t="s">
        <v>7799</v>
      </c>
      <c r="AM10064" s="21" t="s">
        <v>7800</v>
      </c>
      <c r="AN10064" s="21">
        <v>-122.405458418595</v>
      </c>
      <c r="AO10064" s="21">
        <v>37.793978567412999</v>
      </c>
      <c r="AP10064" s="21" t="s">
        <v>116</v>
      </c>
    </row>
    <row r="10065" spans="1:42">
      <c r="A10065" s="20">
        <v>43889</v>
      </c>
      <c r="B10065" s="21">
        <v>5</v>
      </c>
      <c r="C10065" s="21">
        <v>302</v>
      </c>
      <c r="D10065" s="21">
        <v>10415</v>
      </c>
      <c r="E10065" s="21" t="s">
        <v>37</v>
      </c>
      <c r="F10065" s="21" t="s">
        <v>38</v>
      </c>
      <c r="G10065" s="21">
        <v>4</v>
      </c>
      <c r="H10065" s="27">
        <v>64.392857142857196</v>
      </c>
      <c r="I10065" s="21" t="s">
        <v>7801</v>
      </c>
      <c r="K10065" s="21" t="s">
        <v>39</v>
      </c>
      <c r="N10065" s="21" t="s">
        <v>40</v>
      </c>
      <c r="O10065" s="21">
        <v>48</v>
      </c>
      <c r="Q10065" s="21">
        <f t="shared" si="216"/>
        <v>1</v>
      </c>
      <c r="R10065" s="21">
        <v>1</v>
      </c>
      <c r="S10065" s="21">
        <v>0</v>
      </c>
      <c r="T10065" s="21">
        <v>0</v>
      </c>
      <c r="U10065" s="21">
        <v>0</v>
      </c>
      <c r="V10065" s="21">
        <v>0</v>
      </c>
      <c r="W10065" s="21">
        <v>0</v>
      </c>
      <c r="X10065" s="21">
        <v>0</v>
      </c>
      <c r="Y10065" s="21">
        <v>0</v>
      </c>
      <c r="Z10065" s="21">
        <v>0</v>
      </c>
      <c r="AA10065" s="21">
        <v>1</v>
      </c>
      <c r="AB10065" s="21">
        <v>0</v>
      </c>
      <c r="AC10065" s="21">
        <v>0</v>
      </c>
      <c r="AD10065" s="21">
        <v>0</v>
      </c>
      <c r="AE10065" s="21">
        <v>0</v>
      </c>
      <c r="AF10065" s="21">
        <v>0</v>
      </c>
      <c r="AG10065" s="21">
        <v>0</v>
      </c>
      <c r="AH10065" s="21">
        <f t="shared" si="215"/>
        <v>0</v>
      </c>
      <c r="AI10065" s="21"/>
      <c r="AJ10065" s="21" t="s">
        <v>51</v>
      </c>
      <c r="AK10065" s="21" t="s">
        <v>52</v>
      </c>
      <c r="AL10065" s="21"/>
      <c r="AM10065" s="21" t="s">
        <v>7802</v>
      </c>
      <c r="AN10065" s="21">
        <v>-122.404431783333</v>
      </c>
      <c r="AO10065" s="21">
        <v>37.794015600000002</v>
      </c>
      <c r="AP10065" s="21" t="s">
        <v>116</v>
      </c>
    </row>
    <row r="10066" spans="1:42">
      <c r="A10066" s="20">
        <v>43889</v>
      </c>
      <c r="B10066" s="21">
        <v>5</v>
      </c>
      <c r="C10066" s="21">
        <v>302</v>
      </c>
      <c r="D10066" s="21">
        <v>10415</v>
      </c>
      <c r="E10066" s="21" t="s">
        <v>37</v>
      </c>
      <c r="F10066" s="21" t="s">
        <v>38</v>
      </c>
      <c r="G10066" s="21">
        <v>4</v>
      </c>
      <c r="H10066" s="27">
        <v>65.571428571428598</v>
      </c>
      <c r="I10066" s="21" t="s">
        <v>6812</v>
      </c>
      <c r="K10066" s="21" t="s">
        <v>39</v>
      </c>
      <c r="N10066" s="21" t="s">
        <v>40</v>
      </c>
      <c r="O10066" s="21">
        <v>48</v>
      </c>
      <c r="Q10066" s="21">
        <f t="shared" si="216"/>
        <v>2</v>
      </c>
      <c r="R10066" s="21">
        <v>1</v>
      </c>
      <c r="S10066" s="21">
        <v>0</v>
      </c>
      <c r="T10066" s="21">
        <v>0</v>
      </c>
      <c r="U10066" s="21">
        <v>0</v>
      </c>
      <c r="V10066" s="21">
        <v>0</v>
      </c>
      <c r="W10066" s="21">
        <v>0</v>
      </c>
      <c r="X10066" s="21">
        <v>0</v>
      </c>
      <c r="Y10066" s="21">
        <v>0</v>
      </c>
      <c r="Z10066" s="21">
        <v>0</v>
      </c>
      <c r="AA10066" s="21">
        <v>0</v>
      </c>
      <c r="AB10066" s="21">
        <v>2</v>
      </c>
      <c r="AC10066" s="21">
        <v>0</v>
      </c>
      <c r="AD10066" s="21">
        <v>0</v>
      </c>
      <c r="AE10066" s="21">
        <v>0</v>
      </c>
      <c r="AF10066" s="21">
        <v>0</v>
      </c>
      <c r="AG10066" s="21">
        <v>0</v>
      </c>
      <c r="AH10066" s="21">
        <f t="shared" si="215"/>
        <v>0</v>
      </c>
      <c r="AI10066" s="21"/>
      <c r="AJ10066" s="21" t="s">
        <v>51</v>
      </c>
      <c r="AK10066" s="21" t="s">
        <v>95</v>
      </c>
      <c r="AL10066" s="21"/>
      <c r="AM10066" s="21" t="s">
        <v>7803</v>
      </c>
      <c r="AN10066" s="21">
        <v>-122.404792683333</v>
      </c>
      <c r="AO10066" s="21">
        <v>37.794806049999998</v>
      </c>
      <c r="AP10066" s="21" t="s">
        <v>116</v>
      </c>
    </row>
    <row r="10067" spans="1:42">
      <c r="A10067" s="20">
        <v>43889</v>
      </c>
      <c r="B10067" s="21">
        <v>5</v>
      </c>
      <c r="C10067" s="21">
        <v>302</v>
      </c>
      <c r="D10067" s="21">
        <v>10415</v>
      </c>
      <c r="E10067" s="21" t="s">
        <v>37</v>
      </c>
      <c r="F10067" s="21" t="s">
        <v>38</v>
      </c>
      <c r="G10067" s="21">
        <v>4</v>
      </c>
      <c r="H10067" s="27">
        <v>66.75</v>
      </c>
      <c r="I10067" s="21" t="s">
        <v>5661</v>
      </c>
      <c r="K10067" s="21" t="s">
        <v>7804</v>
      </c>
      <c r="N10067" s="21" t="s">
        <v>40</v>
      </c>
      <c r="O10067" s="21">
        <v>32</v>
      </c>
      <c r="Q10067" s="21">
        <f t="shared" si="216"/>
        <v>1</v>
      </c>
      <c r="R10067" s="21">
        <v>1</v>
      </c>
      <c r="S10067" s="21">
        <v>0</v>
      </c>
      <c r="T10067" s="21">
        <v>0</v>
      </c>
      <c r="U10067" s="21">
        <v>0</v>
      </c>
      <c r="V10067" s="21">
        <v>0</v>
      </c>
      <c r="W10067" s="21">
        <v>0</v>
      </c>
      <c r="X10067" s="21">
        <v>0</v>
      </c>
      <c r="Y10067" s="21">
        <v>0</v>
      </c>
      <c r="Z10067" s="21">
        <v>0</v>
      </c>
      <c r="AA10067" s="21">
        <v>0</v>
      </c>
      <c r="AB10067" s="21">
        <v>1</v>
      </c>
      <c r="AC10067" s="21">
        <v>0</v>
      </c>
      <c r="AD10067" s="21">
        <v>0</v>
      </c>
      <c r="AE10067" s="21">
        <v>0</v>
      </c>
      <c r="AF10067" s="21">
        <v>0</v>
      </c>
      <c r="AG10067" s="21">
        <v>0</v>
      </c>
      <c r="AH10067" s="21">
        <f t="shared" si="215"/>
        <v>0</v>
      </c>
      <c r="AI10067" s="21"/>
      <c r="AJ10067" s="21" t="s">
        <v>51</v>
      </c>
      <c r="AK10067" s="21" t="s">
        <v>95</v>
      </c>
      <c r="AL10067" s="21"/>
      <c r="AM10067" s="21" t="s">
        <v>7805</v>
      </c>
      <c r="AN10067" s="21">
        <v>-122.404612383333</v>
      </c>
      <c r="AO10067" s="21">
        <v>37.794988133333298</v>
      </c>
      <c r="AP10067" s="21" t="s">
        <v>116</v>
      </c>
    </row>
    <row r="10068" spans="1:42">
      <c r="A10068" s="20">
        <v>43889</v>
      </c>
      <c r="B10068" s="21">
        <v>5</v>
      </c>
      <c r="C10068" s="21">
        <v>302</v>
      </c>
      <c r="D10068" s="21">
        <v>10415</v>
      </c>
      <c r="E10068" s="21" t="s">
        <v>37</v>
      </c>
      <c r="F10068" s="21" t="s">
        <v>38</v>
      </c>
      <c r="G10068" s="21">
        <v>4</v>
      </c>
      <c r="H10068" s="27">
        <v>67.928571428571502</v>
      </c>
      <c r="I10068" s="21" t="s">
        <v>3200</v>
      </c>
      <c r="K10068" s="21" t="s">
        <v>71</v>
      </c>
      <c r="N10068" s="21" t="s">
        <v>40</v>
      </c>
      <c r="O10068" s="21">
        <v>45</v>
      </c>
      <c r="Q10068" s="21">
        <f t="shared" si="216"/>
        <v>2</v>
      </c>
      <c r="R10068" s="21">
        <v>1</v>
      </c>
      <c r="S10068" s="21">
        <v>0</v>
      </c>
      <c r="T10068" s="21">
        <v>0</v>
      </c>
      <c r="U10068" s="21">
        <v>0</v>
      </c>
      <c r="V10068" s="21">
        <v>0</v>
      </c>
      <c r="W10068" s="21">
        <v>0</v>
      </c>
      <c r="X10068" s="21">
        <v>0</v>
      </c>
      <c r="Y10068" s="21">
        <v>0</v>
      </c>
      <c r="Z10068" s="21">
        <v>0</v>
      </c>
      <c r="AA10068" s="21">
        <v>0</v>
      </c>
      <c r="AB10068" s="21">
        <v>2</v>
      </c>
      <c r="AC10068" s="21">
        <v>0</v>
      </c>
      <c r="AD10068" s="21">
        <v>0</v>
      </c>
      <c r="AE10068" s="21">
        <v>0</v>
      </c>
      <c r="AF10068" s="21">
        <v>0</v>
      </c>
      <c r="AG10068" s="21">
        <v>0</v>
      </c>
      <c r="AH10068" s="21">
        <f t="shared" si="215"/>
        <v>0</v>
      </c>
      <c r="AI10068" s="21"/>
      <c r="AJ10068" s="21" t="s">
        <v>51</v>
      </c>
      <c r="AK10068" s="21" t="s">
        <v>95</v>
      </c>
      <c r="AL10068" s="21"/>
      <c r="AM10068" s="21" t="s">
        <v>7806</v>
      </c>
      <c r="AN10068" s="21">
        <v>-122.404204566667</v>
      </c>
      <c r="AO10068" s="21">
        <v>37.7951354333333</v>
      </c>
      <c r="AP10068" s="21" t="s">
        <v>116</v>
      </c>
    </row>
    <row r="10069" spans="1:42">
      <c r="A10069" s="20">
        <v>43889</v>
      </c>
      <c r="B10069" s="21">
        <v>5</v>
      </c>
      <c r="C10069" s="21">
        <v>302</v>
      </c>
      <c r="D10069" s="21">
        <v>10415</v>
      </c>
      <c r="E10069" s="21" t="s">
        <v>37</v>
      </c>
      <c r="F10069" s="21" t="s">
        <v>38</v>
      </c>
      <c r="G10069" s="21">
        <v>4</v>
      </c>
      <c r="H10069" s="27">
        <v>69.107142857142904</v>
      </c>
      <c r="I10069" s="21" t="s">
        <v>3415</v>
      </c>
      <c r="K10069" s="21" t="s">
        <v>6503</v>
      </c>
      <c r="N10069" s="21" t="s">
        <v>44</v>
      </c>
      <c r="O10069" s="21">
        <v>190</v>
      </c>
      <c r="Q10069" s="21">
        <f t="shared" si="216"/>
        <v>5</v>
      </c>
      <c r="R10069" s="21">
        <v>1</v>
      </c>
      <c r="S10069" s="21">
        <v>0</v>
      </c>
      <c r="T10069" s="21">
        <v>0</v>
      </c>
      <c r="U10069" s="21">
        <v>0</v>
      </c>
      <c r="V10069" s="21">
        <v>0</v>
      </c>
      <c r="W10069" s="21">
        <v>0</v>
      </c>
      <c r="X10069" s="21">
        <v>0</v>
      </c>
      <c r="Y10069" s="21">
        <v>0</v>
      </c>
      <c r="Z10069" s="21">
        <v>0</v>
      </c>
      <c r="AA10069" s="21">
        <v>0</v>
      </c>
      <c r="AB10069" s="21">
        <v>5</v>
      </c>
      <c r="AC10069" s="21">
        <v>0</v>
      </c>
      <c r="AD10069" s="21">
        <v>0</v>
      </c>
      <c r="AE10069" s="21">
        <v>0</v>
      </c>
      <c r="AF10069" s="21">
        <v>0</v>
      </c>
      <c r="AG10069" s="21">
        <v>0</v>
      </c>
      <c r="AH10069" s="21">
        <f t="shared" si="215"/>
        <v>0</v>
      </c>
      <c r="AI10069" s="21"/>
      <c r="AJ10069" s="21" t="s">
        <v>51</v>
      </c>
      <c r="AK10069" s="21" t="s">
        <v>52</v>
      </c>
      <c r="AL10069" s="21" t="s">
        <v>7807</v>
      </c>
      <c r="AM10069" s="21" t="s">
        <v>7808</v>
      </c>
      <c r="AN10069" s="21">
        <v>-122.404005933333</v>
      </c>
      <c r="AO10069" s="21">
        <v>37.795179666666598</v>
      </c>
      <c r="AP10069" s="21" t="s">
        <v>116</v>
      </c>
    </row>
    <row r="10070" spans="1:42">
      <c r="A10070" s="20">
        <v>43889</v>
      </c>
      <c r="B10070" s="21">
        <v>5</v>
      </c>
      <c r="C10070" s="21">
        <v>302</v>
      </c>
      <c r="D10070" s="21">
        <v>10415</v>
      </c>
      <c r="E10070" s="21" t="s">
        <v>37</v>
      </c>
      <c r="F10070" s="21" t="s">
        <v>38</v>
      </c>
      <c r="G10070" s="21">
        <v>4</v>
      </c>
      <c r="H10070" s="27">
        <v>70.285714285714306</v>
      </c>
      <c r="I10070" s="21" t="s">
        <v>3399</v>
      </c>
      <c r="K10070" s="21" t="s">
        <v>2125</v>
      </c>
      <c r="N10070" s="21" t="s">
        <v>40</v>
      </c>
      <c r="O10070" s="21">
        <v>189</v>
      </c>
      <c r="Q10070" s="21">
        <f t="shared" si="216"/>
        <v>4</v>
      </c>
      <c r="R10070" s="21">
        <v>1</v>
      </c>
      <c r="S10070" s="21">
        <v>0</v>
      </c>
      <c r="T10070" s="21">
        <v>0</v>
      </c>
      <c r="U10070" s="21">
        <v>0</v>
      </c>
      <c r="V10070" s="21">
        <v>0</v>
      </c>
      <c r="W10070" s="21">
        <v>0</v>
      </c>
      <c r="X10070" s="21">
        <v>0</v>
      </c>
      <c r="Y10070" s="21">
        <v>0</v>
      </c>
      <c r="Z10070" s="21">
        <v>0</v>
      </c>
      <c r="AA10070" s="21">
        <v>0</v>
      </c>
      <c r="AB10070" s="21">
        <v>4</v>
      </c>
      <c r="AC10070" s="21">
        <v>0</v>
      </c>
      <c r="AD10070" s="21">
        <v>0</v>
      </c>
      <c r="AE10070" s="21">
        <v>0</v>
      </c>
      <c r="AF10070" s="21">
        <v>0</v>
      </c>
      <c r="AG10070" s="21">
        <v>0</v>
      </c>
      <c r="AH10070" s="21">
        <f t="shared" si="215"/>
        <v>0</v>
      </c>
      <c r="AI10070" s="21"/>
      <c r="AJ10070" s="21" t="s">
        <v>51</v>
      </c>
      <c r="AK10070" s="21" t="s">
        <v>95</v>
      </c>
      <c r="AL10070" s="21" t="s">
        <v>7809</v>
      </c>
      <c r="AM10070" s="21" t="s">
        <v>7810</v>
      </c>
      <c r="AN10070" s="21">
        <v>-122.40301101666699</v>
      </c>
      <c r="AO10070" s="21">
        <v>37.793634766666599</v>
      </c>
      <c r="AP10070" s="21" t="s">
        <v>116</v>
      </c>
    </row>
    <row r="10071" spans="1:42">
      <c r="A10071" s="20">
        <v>43889</v>
      </c>
      <c r="B10071" s="21">
        <v>5</v>
      </c>
      <c r="C10071" s="21">
        <v>302</v>
      </c>
      <c r="D10071" s="21">
        <v>10415</v>
      </c>
      <c r="E10071" s="21" t="s">
        <v>37</v>
      </c>
      <c r="F10071" s="21" t="s">
        <v>38</v>
      </c>
      <c r="G10071" s="21">
        <v>4</v>
      </c>
      <c r="H10071" s="27">
        <v>71.464285714285694</v>
      </c>
      <c r="I10071" s="21" t="s">
        <v>7811</v>
      </c>
      <c r="K10071" s="21" t="s">
        <v>62</v>
      </c>
      <c r="N10071" s="21" t="s">
        <v>40</v>
      </c>
      <c r="O10071" s="21">
        <v>71</v>
      </c>
      <c r="Q10071" s="21">
        <f t="shared" si="216"/>
        <v>3</v>
      </c>
      <c r="R10071" s="21">
        <v>1</v>
      </c>
      <c r="S10071" s="21">
        <v>0</v>
      </c>
      <c r="T10071" s="21">
        <v>0</v>
      </c>
      <c r="U10071" s="21">
        <v>0</v>
      </c>
      <c r="V10071" s="21">
        <v>0</v>
      </c>
      <c r="W10071" s="21">
        <v>0</v>
      </c>
      <c r="X10071" s="21">
        <v>0</v>
      </c>
      <c r="Y10071" s="21">
        <v>0</v>
      </c>
      <c r="Z10071" s="21">
        <v>0</v>
      </c>
      <c r="AA10071" s="21">
        <v>3</v>
      </c>
      <c r="AB10071" s="21">
        <v>0</v>
      </c>
      <c r="AC10071" s="21">
        <v>0</v>
      </c>
      <c r="AD10071" s="21">
        <v>0</v>
      </c>
      <c r="AE10071" s="21">
        <v>0</v>
      </c>
      <c r="AF10071" s="21">
        <v>0</v>
      </c>
      <c r="AG10071" s="21">
        <v>0</v>
      </c>
      <c r="AH10071" s="21">
        <f t="shared" si="215"/>
        <v>0</v>
      </c>
      <c r="AI10071" s="21"/>
      <c r="AJ10071" s="21" t="s">
        <v>51</v>
      </c>
      <c r="AK10071" s="21" t="s">
        <v>95</v>
      </c>
      <c r="AL10071" s="21" t="s">
        <v>7812</v>
      </c>
      <c r="AM10071" s="21" t="s">
        <v>7813</v>
      </c>
      <c r="AN10071" s="21">
        <v>-122.40385468333299</v>
      </c>
      <c r="AO10071" s="21">
        <v>37.793811099999999</v>
      </c>
      <c r="AP10071" s="21" t="s">
        <v>116</v>
      </c>
    </row>
    <row r="10072" spans="1:42">
      <c r="A10072" s="20">
        <v>43889</v>
      </c>
      <c r="B10072" s="21">
        <v>5</v>
      </c>
      <c r="C10072" s="21">
        <v>302</v>
      </c>
      <c r="D10072" s="21">
        <v>10415</v>
      </c>
      <c r="E10072" s="21" t="s">
        <v>37</v>
      </c>
      <c r="F10072" s="21" t="s">
        <v>38</v>
      </c>
      <c r="G10072" s="21">
        <v>4</v>
      </c>
      <c r="H10072" s="27">
        <v>72.642857142857196</v>
      </c>
      <c r="I10072" s="21" t="s">
        <v>7814</v>
      </c>
      <c r="K10072" s="21" t="s">
        <v>62</v>
      </c>
      <c r="N10072" s="21" t="s">
        <v>40</v>
      </c>
      <c r="O10072" s="21">
        <v>86</v>
      </c>
      <c r="Q10072" s="21">
        <f t="shared" si="216"/>
        <v>3</v>
      </c>
      <c r="R10072" s="21">
        <v>1</v>
      </c>
      <c r="S10072" s="21">
        <v>0</v>
      </c>
      <c r="T10072" s="21">
        <v>0</v>
      </c>
      <c r="U10072" s="21">
        <v>0</v>
      </c>
      <c r="V10072" s="21">
        <v>0</v>
      </c>
      <c r="W10072" s="21">
        <v>0</v>
      </c>
      <c r="X10072" s="21">
        <v>0</v>
      </c>
      <c r="Y10072" s="21">
        <v>0</v>
      </c>
      <c r="Z10072" s="21">
        <v>0</v>
      </c>
      <c r="AA10072" s="21">
        <v>3</v>
      </c>
      <c r="AB10072" s="21">
        <v>0</v>
      </c>
      <c r="AC10072" s="21">
        <v>0</v>
      </c>
      <c r="AD10072" s="21">
        <v>0</v>
      </c>
      <c r="AE10072" s="21">
        <v>0</v>
      </c>
      <c r="AF10072" s="21">
        <v>0</v>
      </c>
      <c r="AG10072" s="21">
        <v>0</v>
      </c>
      <c r="AH10072" s="21">
        <f t="shared" si="215"/>
        <v>0</v>
      </c>
      <c r="AI10072" s="21"/>
      <c r="AJ10072" s="21" t="s">
        <v>51</v>
      </c>
      <c r="AK10072" s="21" t="s">
        <v>52</v>
      </c>
      <c r="AL10072" s="21" t="s">
        <v>7812</v>
      </c>
      <c r="AM10072" s="21" t="s">
        <v>7815</v>
      </c>
      <c r="AN10072" s="21">
        <v>-122.403989416667</v>
      </c>
      <c r="AO10072" s="21">
        <v>37.793852633333302</v>
      </c>
      <c r="AP10072" s="21" t="s">
        <v>116</v>
      </c>
    </row>
    <row r="10073" spans="1:42">
      <c r="A10073" s="20">
        <v>43889</v>
      </c>
      <c r="B10073" s="21">
        <v>5</v>
      </c>
      <c r="C10073" s="21">
        <v>302</v>
      </c>
      <c r="D10073" s="21">
        <v>10415</v>
      </c>
      <c r="E10073" s="21" t="s">
        <v>37</v>
      </c>
      <c r="F10073" s="21" t="s">
        <v>38</v>
      </c>
      <c r="G10073" s="21">
        <v>4</v>
      </c>
      <c r="H10073" s="27">
        <v>73.821428571428598</v>
      </c>
      <c r="I10073" s="21" t="s">
        <v>7816</v>
      </c>
      <c r="K10073" s="21" t="s">
        <v>39</v>
      </c>
      <c r="N10073" s="21" t="s">
        <v>42</v>
      </c>
      <c r="O10073" s="21">
        <v>294</v>
      </c>
      <c r="Q10073" s="21">
        <f t="shared" si="216"/>
        <v>6</v>
      </c>
      <c r="R10073" s="21">
        <v>1</v>
      </c>
      <c r="S10073" s="21">
        <v>0</v>
      </c>
      <c r="T10073" s="21">
        <v>0</v>
      </c>
      <c r="U10073" s="21">
        <v>0</v>
      </c>
      <c r="V10073" s="21">
        <v>0</v>
      </c>
      <c r="W10073" s="21">
        <v>0</v>
      </c>
      <c r="X10073" s="21">
        <v>0</v>
      </c>
      <c r="Y10073" s="21">
        <v>0</v>
      </c>
      <c r="Z10073" s="21">
        <v>0</v>
      </c>
      <c r="AA10073" s="21">
        <v>2</v>
      </c>
      <c r="AB10073" s="21">
        <v>4</v>
      </c>
      <c r="AC10073" s="21">
        <v>0</v>
      </c>
      <c r="AD10073" s="21">
        <v>0</v>
      </c>
      <c r="AE10073" s="21">
        <v>0</v>
      </c>
      <c r="AF10073" s="21">
        <v>0</v>
      </c>
      <c r="AG10073" s="21">
        <v>0</v>
      </c>
      <c r="AH10073" s="21">
        <f t="shared" si="215"/>
        <v>0</v>
      </c>
      <c r="AI10073" s="21"/>
      <c r="AJ10073" s="21" t="s">
        <v>51</v>
      </c>
      <c r="AK10073" s="21" t="s">
        <v>52</v>
      </c>
      <c r="AL10073" s="21" t="s">
        <v>7817</v>
      </c>
      <c r="AM10073" s="21" t="s">
        <v>7818</v>
      </c>
      <c r="AN10073" s="21">
        <v>-122.404181833333</v>
      </c>
      <c r="AO10073" s="21">
        <v>37.793613749999999</v>
      </c>
      <c r="AP10073" s="21" t="s">
        <v>116</v>
      </c>
    </row>
    <row r="10074" spans="1:42">
      <c r="A10074" s="20">
        <v>43889</v>
      </c>
      <c r="B10074" s="21">
        <v>5</v>
      </c>
      <c r="C10074" s="21">
        <v>302</v>
      </c>
      <c r="D10074" s="21">
        <v>10415</v>
      </c>
      <c r="E10074" s="21" t="s">
        <v>37</v>
      </c>
      <c r="F10074" s="21" t="s">
        <v>38</v>
      </c>
      <c r="G10074" s="21">
        <v>4</v>
      </c>
      <c r="H10074" s="27">
        <v>75</v>
      </c>
      <c r="I10074" s="21" t="s">
        <v>7646</v>
      </c>
      <c r="K10074" s="21" t="s">
        <v>39</v>
      </c>
      <c r="N10074" s="21" t="s">
        <v>40</v>
      </c>
      <c r="O10074" s="21">
        <v>53</v>
      </c>
      <c r="Q10074" s="21">
        <f t="shared" si="216"/>
        <v>1</v>
      </c>
      <c r="R10074" s="21">
        <v>1</v>
      </c>
      <c r="S10074" s="21">
        <v>0</v>
      </c>
      <c r="T10074" s="21">
        <v>0</v>
      </c>
      <c r="U10074" s="21">
        <v>0</v>
      </c>
      <c r="V10074" s="21">
        <v>0</v>
      </c>
      <c r="W10074" s="21">
        <v>0</v>
      </c>
      <c r="X10074" s="21">
        <v>0</v>
      </c>
      <c r="Y10074" s="21">
        <v>0</v>
      </c>
      <c r="Z10074" s="21">
        <v>0</v>
      </c>
      <c r="AA10074" s="21">
        <v>0</v>
      </c>
      <c r="AB10074" s="21">
        <v>1</v>
      </c>
      <c r="AC10074" s="21">
        <v>0</v>
      </c>
      <c r="AD10074" s="21">
        <v>0</v>
      </c>
      <c r="AE10074" s="21">
        <v>0</v>
      </c>
      <c r="AF10074" s="21">
        <v>0</v>
      </c>
      <c r="AG10074" s="21">
        <v>0</v>
      </c>
      <c r="AH10074" s="21">
        <f t="shared" si="215"/>
        <v>0</v>
      </c>
      <c r="AI10074" s="21"/>
      <c r="AJ10074" s="21" t="s">
        <v>51</v>
      </c>
      <c r="AK10074" s="21" t="s">
        <v>95</v>
      </c>
      <c r="AL10074" s="21"/>
      <c r="AM10074" s="21" t="s">
        <v>7819</v>
      </c>
      <c r="AN10074" s="21">
        <v>-122.404844133333</v>
      </c>
      <c r="AO10074" s="21">
        <v>37.794379399999997</v>
      </c>
      <c r="AP10074" s="21" t="s">
        <v>116</v>
      </c>
    </row>
    <row r="10075" spans="1:42">
      <c r="A10075" s="20">
        <v>43889</v>
      </c>
      <c r="B10075" s="21">
        <v>5</v>
      </c>
      <c r="C10075" s="21">
        <v>302</v>
      </c>
      <c r="D10075" s="21">
        <v>10415</v>
      </c>
      <c r="E10075" s="21" t="s">
        <v>37</v>
      </c>
      <c r="F10075" s="21" t="s">
        <v>38</v>
      </c>
      <c r="G10075" s="21">
        <v>4</v>
      </c>
      <c r="H10075" s="27">
        <v>76.178571428571502</v>
      </c>
      <c r="I10075" s="21" t="s">
        <v>7820</v>
      </c>
      <c r="K10075" s="21" t="s">
        <v>7821</v>
      </c>
      <c r="N10075" s="21" t="s">
        <v>42</v>
      </c>
      <c r="O10075" s="21">
        <v>198</v>
      </c>
      <c r="Q10075" s="21">
        <f t="shared" si="216"/>
        <v>7</v>
      </c>
      <c r="R10075" s="21">
        <v>1</v>
      </c>
      <c r="S10075" s="21">
        <v>0</v>
      </c>
      <c r="T10075" s="21">
        <v>0</v>
      </c>
      <c r="U10075" s="21">
        <v>0</v>
      </c>
      <c r="V10075" s="21">
        <v>0</v>
      </c>
      <c r="W10075" s="21">
        <v>0</v>
      </c>
      <c r="X10075" s="21">
        <v>0</v>
      </c>
      <c r="Y10075" s="21">
        <v>0</v>
      </c>
      <c r="Z10075" s="21">
        <v>0</v>
      </c>
      <c r="AA10075" s="21">
        <v>1</v>
      </c>
      <c r="AB10075" s="21">
        <v>6</v>
      </c>
      <c r="AC10075" s="21">
        <v>0</v>
      </c>
      <c r="AD10075" s="21">
        <v>0</v>
      </c>
      <c r="AE10075" s="21">
        <v>0</v>
      </c>
      <c r="AF10075" s="21">
        <v>0</v>
      </c>
      <c r="AG10075" s="21">
        <v>0</v>
      </c>
      <c r="AH10075" s="21">
        <f t="shared" si="215"/>
        <v>0</v>
      </c>
      <c r="AI10075" s="21"/>
      <c r="AJ10075" s="21" t="s">
        <v>51</v>
      </c>
      <c r="AK10075" s="21" t="s">
        <v>95</v>
      </c>
      <c r="AL10075" s="21" t="s">
        <v>7822</v>
      </c>
      <c r="AM10075" s="21" t="s">
        <v>7823</v>
      </c>
      <c r="AN10075" s="21">
        <v>-122.40514930000001</v>
      </c>
      <c r="AO10075" s="21">
        <v>37.795980416666701</v>
      </c>
      <c r="AP10075" s="21" t="s">
        <v>116</v>
      </c>
    </row>
    <row r="10076" spans="1:42">
      <c r="A10076" s="20">
        <v>43889</v>
      </c>
      <c r="B10076" s="21">
        <v>5</v>
      </c>
      <c r="C10076" s="21">
        <v>302</v>
      </c>
      <c r="D10076" s="21">
        <v>10415</v>
      </c>
      <c r="E10076" s="21" t="s">
        <v>37</v>
      </c>
      <c r="F10076" s="21" t="s">
        <v>38</v>
      </c>
      <c r="G10076" s="21">
        <v>4</v>
      </c>
      <c r="H10076" s="27">
        <v>77.357142857142904</v>
      </c>
      <c r="I10076" s="21" t="s">
        <v>6554</v>
      </c>
      <c r="K10076" s="21" t="s">
        <v>58</v>
      </c>
      <c r="N10076" s="21" t="s">
        <v>44</v>
      </c>
      <c r="O10076" s="21">
        <v>251</v>
      </c>
      <c r="Q10076" s="21">
        <f t="shared" si="216"/>
        <v>4</v>
      </c>
      <c r="R10076" s="21">
        <v>1</v>
      </c>
      <c r="S10076" s="21">
        <v>0</v>
      </c>
      <c r="T10076" s="21">
        <v>0</v>
      </c>
      <c r="U10076" s="21">
        <v>0</v>
      </c>
      <c r="V10076" s="21">
        <v>0</v>
      </c>
      <c r="W10076" s="21">
        <v>0</v>
      </c>
      <c r="X10076" s="21">
        <v>0</v>
      </c>
      <c r="Y10076" s="21">
        <v>0</v>
      </c>
      <c r="Z10076" s="21">
        <v>0</v>
      </c>
      <c r="AA10076" s="21">
        <v>0</v>
      </c>
      <c r="AB10076" s="21">
        <v>4</v>
      </c>
      <c r="AC10076" s="21">
        <v>0</v>
      </c>
      <c r="AD10076" s="21">
        <v>0</v>
      </c>
      <c r="AE10076" s="21">
        <v>0</v>
      </c>
      <c r="AF10076" s="21">
        <v>0</v>
      </c>
      <c r="AG10076" s="21">
        <v>0</v>
      </c>
      <c r="AH10076" s="21">
        <f t="shared" si="215"/>
        <v>0</v>
      </c>
      <c r="AI10076" s="21"/>
      <c r="AJ10076" s="21" t="s">
        <v>51</v>
      </c>
      <c r="AK10076" s="21" t="s">
        <v>95</v>
      </c>
      <c r="AL10076" s="21" t="s">
        <v>7824</v>
      </c>
      <c r="AM10076" s="21" t="s">
        <v>7825</v>
      </c>
      <c r="AN10076" s="21">
        <v>-122.40425621666699</v>
      </c>
      <c r="AO10076" s="21">
        <v>37.796129066666701</v>
      </c>
      <c r="AP10076" s="21" t="s">
        <v>116</v>
      </c>
    </row>
    <row r="10077" spans="1:42">
      <c r="A10077" s="20">
        <v>43889</v>
      </c>
      <c r="B10077" s="21">
        <v>5</v>
      </c>
      <c r="C10077" s="21">
        <v>302</v>
      </c>
      <c r="D10077" s="21">
        <v>10415</v>
      </c>
      <c r="E10077" s="21" t="s">
        <v>37</v>
      </c>
      <c r="F10077" s="21" t="s">
        <v>38</v>
      </c>
      <c r="G10077" s="21">
        <v>4</v>
      </c>
      <c r="H10077" s="27">
        <v>78.535714285714306</v>
      </c>
      <c r="I10077" s="21" t="s">
        <v>3415</v>
      </c>
      <c r="K10077" s="21" t="s">
        <v>1000</v>
      </c>
      <c r="N10077" s="21" t="s">
        <v>40</v>
      </c>
      <c r="O10077" s="21">
        <v>36</v>
      </c>
      <c r="Q10077" s="21">
        <f t="shared" si="216"/>
        <v>1</v>
      </c>
      <c r="R10077" s="21">
        <v>1</v>
      </c>
      <c r="S10077" s="21">
        <v>0</v>
      </c>
      <c r="T10077" s="21">
        <v>0</v>
      </c>
      <c r="U10077" s="21">
        <v>0</v>
      </c>
      <c r="V10077" s="21">
        <v>0</v>
      </c>
      <c r="W10077" s="21">
        <v>0</v>
      </c>
      <c r="X10077" s="21">
        <v>0</v>
      </c>
      <c r="Y10077" s="21">
        <v>0</v>
      </c>
      <c r="Z10077" s="21">
        <v>0</v>
      </c>
      <c r="AA10077" s="21">
        <v>0</v>
      </c>
      <c r="AB10077" s="21">
        <v>1</v>
      </c>
      <c r="AC10077" s="21">
        <v>0</v>
      </c>
      <c r="AD10077" s="21">
        <v>0</v>
      </c>
      <c r="AE10077" s="21">
        <v>0</v>
      </c>
      <c r="AF10077" s="21">
        <v>0</v>
      </c>
      <c r="AG10077" s="21">
        <v>0</v>
      </c>
      <c r="AH10077" s="21">
        <f t="shared" si="215"/>
        <v>0</v>
      </c>
      <c r="AI10077" s="21"/>
      <c r="AJ10077" s="21" t="s">
        <v>51</v>
      </c>
      <c r="AK10077" s="21" t="s">
        <v>52</v>
      </c>
      <c r="AL10077" s="21"/>
      <c r="AM10077" s="21" t="s">
        <v>7826</v>
      </c>
      <c r="AN10077" s="21">
        <v>-122.401023383333</v>
      </c>
      <c r="AO10077" s="21">
        <v>37.794069216666699</v>
      </c>
      <c r="AP10077" s="21" t="s">
        <v>116</v>
      </c>
    </row>
    <row r="10078" spans="1:42">
      <c r="A10078" s="20">
        <v>43889</v>
      </c>
      <c r="B10078" s="21">
        <v>5</v>
      </c>
      <c r="C10078" s="21">
        <v>302</v>
      </c>
      <c r="D10078" s="21">
        <v>10415</v>
      </c>
      <c r="E10078" s="21" t="s">
        <v>37</v>
      </c>
      <c r="F10078" s="21" t="s">
        <v>38</v>
      </c>
      <c r="G10078" s="21">
        <v>4</v>
      </c>
      <c r="H10078" s="27">
        <v>79.714285714285793</v>
      </c>
      <c r="I10078" s="21" t="s">
        <v>7827</v>
      </c>
      <c r="K10078" s="21" t="s">
        <v>1000</v>
      </c>
      <c r="N10078" s="21" t="s">
        <v>40</v>
      </c>
      <c r="O10078" s="21">
        <v>92</v>
      </c>
      <c r="Q10078" s="21">
        <f t="shared" si="216"/>
        <v>3</v>
      </c>
      <c r="R10078" s="21">
        <v>1</v>
      </c>
      <c r="S10078" s="21">
        <v>0</v>
      </c>
      <c r="T10078" s="21">
        <v>0</v>
      </c>
      <c r="U10078" s="21">
        <v>0</v>
      </c>
      <c r="V10078" s="21">
        <v>0</v>
      </c>
      <c r="W10078" s="21">
        <v>0</v>
      </c>
      <c r="X10078" s="21">
        <v>0</v>
      </c>
      <c r="Y10078" s="21">
        <v>0</v>
      </c>
      <c r="Z10078" s="21">
        <v>0</v>
      </c>
      <c r="AA10078" s="21">
        <v>0</v>
      </c>
      <c r="AB10078" s="21">
        <v>3</v>
      </c>
      <c r="AC10078" s="21">
        <v>0</v>
      </c>
      <c r="AD10078" s="21">
        <v>0</v>
      </c>
      <c r="AE10078" s="21">
        <v>0</v>
      </c>
      <c r="AF10078" s="21">
        <v>0</v>
      </c>
      <c r="AG10078" s="21">
        <v>0</v>
      </c>
      <c r="AH10078" s="21">
        <f t="shared" si="215"/>
        <v>0</v>
      </c>
      <c r="AI10078" s="21"/>
      <c r="AJ10078" s="21" t="s">
        <v>51</v>
      </c>
      <c r="AK10078" s="21" t="s">
        <v>95</v>
      </c>
      <c r="AL10078" s="21" t="s">
        <v>7828</v>
      </c>
      <c r="AM10078" s="21" t="s">
        <v>7829</v>
      </c>
      <c r="AN10078" s="21">
        <v>-122.403280583309</v>
      </c>
      <c r="AO10078" s="21">
        <v>37.795779108924201</v>
      </c>
      <c r="AP10078" s="21" t="s">
        <v>116</v>
      </c>
    </row>
    <row r="10079" spans="1:42">
      <c r="A10079" s="20">
        <v>43889</v>
      </c>
      <c r="B10079" s="21">
        <v>5</v>
      </c>
      <c r="C10079" s="21">
        <v>302</v>
      </c>
      <c r="D10079" s="21">
        <v>10415</v>
      </c>
      <c r="E10079" s="21" t="s">
        <v>37</v>
      </c>
      <c r="F10079" s="21" t="s">
        <v>38</v>
      </c>
      <c r="G10079" s="21">
        <v>4</v>
      </c>
      <c r="H10079" s="27">
        <v>80.892857142857196</v>
      </c>
      <c r="I10079" s="21" t="s">
        <v>5741</v>
      </c>
      <c r="K10079" s="21" t="s">
        <v>516</v>
      </c>
      <c r="N10079" s="21" t="s">
        <v>40</v>
      </c>
      <c r="O10079" s="21">
        <v>73</v>
      </c>
      <c r="Q10079" s="21">
        <f t="shared" si="216"/>
        <v>1</v>
      </c>
      <c r="R10079" s="21">
        <v>1</v>
      </c>
      <c r="S10079" s="21">
        <v>0</v>
      </c>
      <c r="T10079" s="21">
        <v>0</v>
      </c>
      <c r="U10079" s="21">
        <v>0</v>
      </c>
      <c r="V10079" s="21">
        <v>0</v>
      </c>
      <c r="W10079" s="21">
        <v>0</v>
      </c>
      <c r="X10079" s="21">
        <v>0</v>
      </c>
      <c r="Y10079" s="21">
        <v>0</v>
      </c>
      <c r="Z10079" s="21">
        <v>0</v>
      </c>
      <c r="AA10079" s="21">
        <v>0</v>
      </c>
      <c r="AB10079" s="21">
        <v>1</v>
      </c>
      <c r="AC10079" s="21">
        <v>0</v>
      </c>
      <c r="AD10079" s="21">
        <v>0</v>
      </c>
      <c r="AE10079" s="21">
        <v>0</v>
      </c>
      <c r="AF10079" s="21">
        <v>0</v>
      </c>
      <c r="AG10079" s="21">
        <v>0</v>
      </c>
      <c r="AH10079" s="21">
        <f t="shared" si="215"/>
        <v>0</v>
      </c>
      <c r="AI10079" s="21"/>
      <c r="AJ10079" s="21" t="s">
        <v>51</v>
      </c>
      <c r="AK10079" s="21" t="s">
        <v>95</v>
      </c>
      <c r="AL10079" s="21"/>
      <c r="AM10079" s="21" t="s">
        <v>7830</v>
      </c>
      <c r="AN10079" s="21">
        <v>-122.40286146666701</v>
      </c>
      <c r="AO10079" s="21">
        <v>37.795734616666699</v>
      </c>
      <c r="AP10079" s="21" t="s">
        <v>116</v>
      </c>
    </row>
    <row r="10080" spans="1:42">
      <c r="A10080" s="20">
        <v>43889</v>
      </c>
      <c r="B10080" s="21">
        <v>5</v>
      </c>
      <c r="C10080" s="21">
        <v>302</v>
      </c>
      <c r="D10080" s="21">
        <v>10415</v>
      </c>
      <c r="E10080" s="21" t="s">
        <v>37</v>
      </c>
      <c r="F10080" s="21" t="s">
        <v>38</v>
      </c>
      <c r="G10080" s="21">
        <v>4</v>
      </c>
      <c r="H10080" s="27">
        <v>82.071428571428598</v>
      </c>
      <c r="I10080" s="21" t="s">
        <v>4200</v>
      </c>
      <c r="K10080" s="21" t="s">
        <v>56</v>
      </c>
      <c r="N10080" s="21" t="s">
        <v>40</v>
      </c>
      <c r="O10080" s="21">
        <v>82</v>
      </c>
      <c r="Q10080" s="21">
        <f t="shared" si="216"/>
        <v>4</v>
      </c>
      <c r="R10080" s="21">
        <v>1</v>
      </c>
      <c r="S10080" s="21">
        <v>0</v>
      </c>
      <c r="T10080" s="21">
        <v>0</v>
      </c>
      <c r="U10080" s="21">
        <v>0</v>
      </c>
      <c r="V10080" s="21">
        <v>0</v>
      </c>
      <c r="W10080" s="21">
        <v>0</v>
      </c>
      <c r="X10080" s="21">
        <v>0</v>
      </c>
      <c r="Y10080" s="21">
        <v>0</v>
      </c>
      <c r="Z10080" s="21">
        <v>0</v>
      </c>
      <c r="AA10080" s="21">
        <v>1</v>
      </c>
      <c r="AB10080" s="21">
        <v>3</v>
      </c>
      <c r="AC10080" s="21">
        <v>0</v>
      </c>
      <c r="AD10080" s="21">
        <v>0</v>
      </c>
      <c r="AE10080" s="21">
        <v>0</v>
      </c>
      <c r="AF10080" s="21">
        <v>0</v>
      </c>
      <c r="AG10080" s="21">
        <v>0</v>
      </c>
      <c r="AH10080" s="21">
        <f t="shared" si="215"/>
        <v>0</v>
      </c>
      <c r="AI10080" s="21"/>
      <c r="AJ10080" s="21" t="s">
        <v>54</v>
      </c>
      <c r="AK10080" s="21" t="s">
        <v>52</v>
      </c>
      <c r="AL10080" s="21"/>
      <c r="AM10080" s="21" t="s">
        <v>7831</v>
      </c>
      <c r="AN10080" s="21">
        <v>-122.40294703333301</v>
      </c>
      <c r="AO10080" s="21">
        <v>37.795498816666701</v>
      </c>
      <c r="AP10080" s="21" t="s">
        <v>116</v>
      </c>
    </row>
    <row r="10081" spans="1:42">
      <c r="A10081" s="20">
        <v>43889</v>
      </c>
      <c r="B10081" s="21">
        <v>5</v>
      </c>
      <c r="C10081" s="21">
        <v>302</v>
      </c>
      <c r="D10081" s="21">
        <v>10415</v>
      </c>
      <c r="E10081" s="21" t="s">
        <v>37</v>
      </c>
      <c r="F10081" s="21" t="s">
        <v>38</v>
      </c>
      <c r="G10081" s="21">
        <v>4</v>
      </c>
      <c r="H10081" s="27">
        <v>83.25</v>
      </c>
      <c r="I10081" s="21" t="s">
        <v>3200</v>
      </c>
      <c r="K10081" s="21" t="s">
        <v>48</v>
      </c>
      <c r="N10081" s="21" t="s">
        <v>40</v>
      </c>
      <c r="O10081" s="21">
        <v>85</v>
      </c>
      <c r="Q10081" s="21">
        <f t="shared" si="216"/>
        <v>1</v>
      </c>
      <c r="R10081" s="21">
        <v>1</v>
      </c>
      <c r="S10081" s="21">
        <v>0</v>
      </c>
      <c r="T10081" s="21">
        <v>0</v>
      </c>
      <c r="U10081" s="21">
        <v>0</v>
      </c>
      <c r="V10081" s="21">
        <v>0</v>
      </c>
      <c r="W10081" s="21">
        <v>0</v>
      </c>
      <c r="X10081" s="21">
        <v>0</v>
      </c>
      <c r="Y10081" s="21">
        <v>0</v>
      </c>
      <c r="Z10081" s="21">
        <v>0</v>
      </c>
      <c r="AA10081" s="21">
        <v>0</v>
      </c>
      <c r="AB10081" s="21">
        <v>1</v>
      </c>
      <c r="AC10081" s="21">
        <v>0</v>
      </c>
      <c r="AD10081" s="21">
        <v>0</v>
      </c>
      <c r="AE10081" s="21">
        <v>0</v>
      </c>
      <c r="AF10081" s="21">
        <v>0</v>
      </c>
      <c r="AG10081" s="21">
        <v>0</v>
      </c>
      <c r="AH10081" s="21">
        <f t="shared" si="215"/>
        <v>0</v>
      </c>
      <c r="AI10081" s="21"/>
      <c r="AJ10081" s="21" t="s">
        <v>51</v>
      </c>
      <c r="AK10081" s="21" t="s">
        <v>52</v>
      </c>
      <c r="AL10081" s="21" t="s">
        <v>7832</v>
      </c>
      <c r="AM10081" s="21" t="s">
        <v>7833</v>
      </c>
      <c r="AN10081" s="21">
        <v>-122.405500183333</v>
      </c>
      <c r="AO10081" s="21">
        <v>37.7924868666667</v>
      </c>
      <c r="AP10081" s="21" t="s">
        <v>116</v>
      </c>
    </row>
    <row r="10082" spans="1:42">
      <c r="A10082" s="20">
        <v>43889</v>
      </c>
      <c r="B10082" s="21">
        <v>5</v>
      </c>
      <c r="C10082" s="21">
        <v>302</v>
      </c>
      <c r="D10082" s="21">
        <v>10415</v>
      </c>
      <c r="E10082" s="21" t="s">
        <v>37</v>
      </c>
      <c r="F10082" s="21" t="s">
        <v>38</v>
      </c>
      <c r="G10082" s="21">
        <v>4</v>
      </c>
      <c r="H10082" s="27">
        <v>84.428571428571502</v>
      </c>
      <c r="I10082" s="21" t="s">
        <v>3559</v>
      </c>
      <c r="K10082" s="21" t="s">
        <v>48</v>
      </c>
      <c r="N10082" s="21" t="s">
        <v>40</v>
      </c>
      <c r="O10082" s="21">
        <v>139</v>
      </c>
      <c r="Q10082" s="21">
        <f t="shared" si="216"/>
        <v>3</v>
      </c>
      <c r="R10082" s="21">
        <v>1</v>
      </c>
      <c r="S10082" s="21">
        <v>0</v>
      </c>
      <c r="T10082" s="21">
        <v>0</v>
      </c>
      <c r="U10082" s="21">
        <v>0</v>
      </c>
      <c r="V10082" s="21">
        <v>0</v>
      </c>
      <c r="W10082" s="21">
        <v>0</v>
      </c>
      <c r="X10082" s="21">
        <v>0</v>
      </c>
      <c r="Y10082" s="21">
        <v>0</v>
      </c>
      <c r="Z10082" s="21">
        <v>0</v>
      </c>
      <c r="AA10082" s="21">
        <v>0</v>
      </c>
      <c r="AB10082" s="21">
        <v>3</v>
      </c>
      <c r="AC10082" s="21">
        <v>0</v>
      </c>
      <c r="AD10082" s="21">
        <v>0</v>
      </c>
      <c r="AE10082" s="21">
        <v>0</v>
      </c>
      <c r="AF10082" s="21">
        <v>0</v>
      </c>
      <c r="AG10082" s="21">
        <v>0</v>
      </c>
      <c r="AH10082" s="21">
        <f t="shared" si="215"/>
        <v>0</v>
      </c>
      <c r="AI10082" s="21"/>
      <c r="AJ10082" s="21" t="s">
        <v>51</v>
      </c>
      <c r="AK10082" s="21" t="s">
        <v>52</v>
      </c>
      <c r="AL10082" s="21" t="s">
        <v>7834</v>
      </c>
      <c r="AM10082" s="21" t="s">
        <v>7835</v>
      </c>
      <c r="AN10082" s="21">
        <v>-122.405937533333</v>
      </c>
      <c r="AO10082" s="21">
        <v>37.792582116666701</v>
      </c>
      <c r="AP10082" s="21" t="s">
        <v>116</v>
      </c>
    </row>
    <row r="10083" spans="1:42">
      <c r="A10083" s="20">
        <v>43889</v>
      </c>
      <c r="B10083" s="21">
        <v>5</v>
      </c>
      <c r="C10083" s="21">
        <v>302</v>
      </c>
      <c r="D10083" s="21">
        <v>10415</v>
      </c>
      <c r="E10083" s="21" t="s">
        <v>37</v>
      </c>
      <c r="F10083" s="21" t="s">
        <v>38</v>
      </c>
      <c r="G10083" s="21">
        <v>4</v>
      </c>
      <c r="H10083" s="27">
        <v>85.607142857142904</v>
      </c>
      <c r="I10083" s="21" t="s">
        <v>7836</v>
      </c>
      <c r="K10083" s="21" t="s">
        <v>48</v>
      </c>
      <c r="N10083" s="21" t="s">
        <v>40</v>
      </c>
      <c r="O10083" s="21">
        <v>68</v>
      </c>
      <c r="Q10083" s="21">
        <f t="shared" si="216"/>
        <v>1</v>
      </c>
      <c r="R10083" s="21">
        <v>1</v>
      </c>
      <c r="S10083" s="21">
        <v>0</v>
      </c>
      <c r="T10083" s="21">
        <v>0</v>
      </c>
      <c r="U10083" s="21">
        <v>0</v>
      </c>
      <c r="V10083" s="21">
        <v>0</v>
      </c>
      <c r="W10083" s="21">
        <v>0</v>
      </c>
      <c r="X10083" s="21">
        <v>0</v>
      </c>
      <c r="Y10083" s="21">
        <v>0</v>
      </c>
      <c r="Z10083" s="21">
        <v>0</v>
      </c>
      <c r="AA10083" s="21">
        <v>0</v>
      </c>
      <c r="AB10083" s="21">
        <v>1</v>
      </c>
      <c r="AC10083" s="21">
        <v>0</v>
      </c>
      <c r="AD10083" s="21">
        <v>0</v>
      </c>
      <c r="AE10083" s="21">
        <v>0</v>
      </c>
      <c r="AF10083" s="21">
        <v>0</v>
      </c>
      <c r="AG10083" s="21">
        <v>0</v>
      </c>
      <c r="AH10083" s="21">
        <f t="shared" si="215"/>
        <v>0</v>
      </c>
      <c r="AI10083" s="21"/>
      <c r="AJ10083" s="21" t="s">
        <v>51</v>
      </c>
      <c r="AK10083" s="21" t="s">
        <v>52</v>
      </c>
      <c r="AL10083" s="21"/>
      <c r="AM10083" s="21" t="s">
        <v>7837</v>
      </c>
      <c r="AN10083" s="21">
        <v>-122.40612521666699</v>
      </c>
      <c r="AO10083" s="21">
        <v>37.7930836833333</v>
      </c>
      <c r="AP10083" s="21" t="s">
        <v>116</v>
      </c>
    </row>
    <row r="10084" spans="1:42">
      <c r="A10084" s="20">
        <v>43889</v>
      </c>
      <c r="B10084" s="21">
        <v>5</v>
      </c>
      <c r="C10084" s="21">
        <v>302</v>
      </c>
      <c r="D10084" s="21">
        <v>10415</v>
      </c>
      <c r="E10084" s="21" t="s">
        <v>37</v>
      </c>
      <c r="F10084" s="21" t="s">
        <v>38</v>
      </c>
      <c r="G10084" s="21">
        <v>4</v>
      </c>
      <c r="H10084" s="27">
        <v>86.785714285714306</v>
      </c>
      <c r="I10084" s="21" t="s">
        <v>7801</v>
      </c>
      <c r="K10084" s="21" t="s">
        <v>48</v>
      </c>
      <c r="N10084" s="21" t="s">
        <v>44</v>
      </c>
      <c r="O10084" s="21">
        <v>342</v>
      </c>
      <c r="Q10084" s="21">
        <f t="shared" si="216"/>
        <v>3</v>
      </c>
      <c r="R10084" s="21">
        <v>1</v>
      </c>
      <c r="S10084" s="21">
        <v>0</v>
      </c>
      <c r="T10084" s="21">
        <v>0</v>
      </c>
      <c r="U10084" s="21">
        <v>0</v>
      </c>
      <c r="V10084" s="21">
        <v>0</v>
      </c>
      <c r="W10084" s="21">
        <v>0</v>
      </c>
      <c r="X10084" s="21">
        <v>0</v>
      </c>
      <c r="Y10084" s="21">
        <v>0</v>
      </c>
      <c r="Z10084" s="21">
        <v>0</v>
      </c>
      <c r="AA10084" s="21">
        <v>3</v>
      </c>
      <c r="AB10084" s="21">
        <v>0</v>
      </c>
      <c r="AC10084" s="21">
        <v>0</v>
      </c>
      <c r="AD10084" s="21">
        <v>0</v>
      </c>
      <c r="AE10084" s="21">
        <v>0</v>
      </c>
      <c r="AF10084" s="21">
        <v>0</v>
      </c>
      <c r="AG10084" s="21">
        <v>0</v>
      </c>
      <c r="AH10084" s="21">
        <f t="shared" si="215"/>
        <v>0</v>
      </c>
      <c r="AI10084" s="21"/>
      <c r="AJ10084" s="21" t="s">
        <v>51</v>
      </c>
      <c r="AK10084" s="21" t="s">
        <v>95</v>
      </c>
      <c r="AL10084" s="21" t="s">
        <v>7838</v>
      </c>
      <c r="AM10084" s="21" t="s">
        <v>7839</v>
      </c>
      <c r="AN10084" s="21">
        <v>-122.40612745</v>
      </c>
      <c r="AO10084" s="21">
        <v>37.793469966666699</v>
      </c>
      <c r="AP10084" s="21" t="s">
        <v>116</v>
      </c>
    </row>
    <row r="10085" spans="1:42">
      <c r="A10085" s="20">
        <v>43889</v>
      </c>
      <c r="B10085" s="21">
        <v>5</v>
      </c>
      <c r="C10085" s="21">
        <v>302</v>
      </c>
      <c r="D10085" s="21">
        <v>10415</v>
      </c>
      <c r="E10085" s="21" t="s">
        <v>37</v>
      </c>
      <c r="F10085" s="21" t="s">
        <v>38</v>
      </c>
      <c r="G10085" s="21">
        <v>4</v>
      </c>
      <c r="H10085" s="27">
        <v>87.964285714285793</v>
      </c>
      <c r="I10085" s="21" t="s">
        <v>7801</v>
      </c>
      <c r="K10085" s="21" t="s">
        <v>65</v>
      </c>
      <c r="N10085" s="21" t="s">
        <v>40</v>
      </c>
      <c r="O10085" s="21">
        <v>48</v>
      </c>
      <c r="Q10085" s="21">
        <f t="shared" si="216"/>
        <v>1</v>
      </c>
      <c r="R10085" s="21">
        <v>1</v>
      </c>
      <c r="S10085" s="21">
        <v>0</v>
      </c>
      <c r="T10085" s="21">
        <v>0</v>
      </c>
      <c r="U10085" s="21">
        <v>0</v>
      </c>
      <c r="V10085" s="21">
        <v>0</v>
      </c>
      <c r="W10085" s="21">
        <v>0</v>
      </c>
      <c r="X10085" s="21">
        <v>0</v>
      </c>
      <c r="Y10085" s="21">
        <v>0</v>
      </c>
      <c r="Z10085" s="21">
        <v>0</v>
      </c>
      <c r="AA10085" s="21">
        <v>0</v>
      </c>
      <c r="AB10085" s="21">
        <v>1</v>
      </c>
      <c r="AC10085" s="21">
        <v>0</v>
      </c>
      <c r="AD10085" s="21">
        <v>0</v>
      </c>
      <c r="AE10085" s="21">
        <v>0</v>
      </c>
      <c r="AF10085" s="21">
        <v>0</v>
      </c>
      <c r="AG10085" s="21">
        <v>0</v>
      </c>
      <c r="AH10085" s="21">
        <f t="shared" si="215"/>
        <v>0</v>
      </c>
      <c r="AI10085" s="21"/>
      <c r="AJ10085" s="21" t="s">
        <v>54</v>
      </c>
      <c r="AK10085" s="21" t="s">
        <v>95</v>
      </c>
      <c r="AL10085" s="21"/>
      <c r="AM10085" s="21" t="s">
        <v>7840</v>
      </c>
      <c r="AN10085" s="21">
        <v>-122.40710708872101</v>
      </c>
      <c r="AO10085" s="21">
        <v>37.792018797900297</v>
      </c>
      <c r="AP10085" s="21" t="s">
        <v>116</v>
      </c>
    </row>
    <row r="10086" spans="1:42">
      <c r="A10086" s="20">
        <v>43889</v>
      </c>
      <c r="B10086" s="21">
        <v>5</v>
      </c>
      <c r="C10086" s="21">
        <v>302</v>
      </c>
      <c r="D10086" s="21">
        <v>10415</v>
      </c>
      <c r="E10086" s="21" t="s">
        <v>37</v>
      </c>
      <c r="F10086" s="21" t="s">
        <v>38</v>
      </c>
      <c r="G10086" s="21">
        <v>4</v>
      </c>
      <c r="H10086" s="27">
        <v>89.142857142857196</v>
      </c>
      <c r="I10086" s="21" t="s">
        <v>7841</v>
      </c>
      <c r="K10086" s="21" t="s">
        <v>62</v>
      </c>
      <c r="N10086" s="21" t="s">
        <v>40</v>
      </c>
      <c r="O10086" s="21">
        <v>38</v>
      </c>
      <c r="Q10086" s="21">
        <f t="shared" si="216"/>
        <v>1</v>
      </c>
      <c r="R10086" s="21">
        <v>1</v>
      </c>
      <c r="S10086" s="21">
        <v>0</v>
      </c>
      <c r="T10086" s="21">
        <v>0</v>
      </c>
      <c r="U10086" s="21">
        <v>0</v>
      </c>
      <c r="V10086" s="21">
        <v>0</v>
      </c>
      <c r="W10086" s="21">
        <v>0</v>
      </c>
      <c r="X10086" s="21">
        <v>0</v>
      </c>
      <c r="Y10086" s="21">
        <v>0</v>
      </c>
      <c r="Z10086" s="21">
        <v>0</v>
      </c>
      <c r="AA10086" s="21">
        <v>1</v>
      </c>
      <c r="AB10086" s="21">
        <v>0</v>
      </c>
      <c r="AC10086" s="21">
        <v>0</v>
      </c>
      <c r="AD10086" s="21">
        <v>0</v>
      </c>
      <c r="AE10086" s="21">
        <v>0</v>
      </c>
      <c r="AF10086" s="21">
        <v>0</v>
      </c>
      <c r="AG10086" s="21">
        <v>0</v>
      </c>
      <c r="AH10086" s="21">
        <f t="shared" si="215"/>
        <v>0</v>
      </c>
      <c r="AI10086" s="21"/>
      <c r="AJ10086" s="21" t="s">
        <v>54</v>
      </c>
      <c r="AK10086" s="21" t="s">
        <v>52</v>
      </c>
      <c r="AL10086" s="21"/>
      <c r="AM10086" s="21" t="s">
        <v>7842</v>
      </c>
      <c r="AN10086" s="21">
        <v>-122.404910366667</v>
      </c>
      <c r="AO10086" s="21">
        <v>37.7939552333333</v>
      </c>
      <c r="AP10086" s="21" t="s">
        <v>116</v>
      </c>
    </row>
    <row r="10087" spans="1:42">
      <c r="A10087" s="20">
        <v>43889</v>
      </c>
      <c r="B10087" s="21">
        <v>5</v>
      </c>
      <c r="C10087" s="21">
        <v>302</v>
      </c>
      <c r="D10087" s="21">
        <v>10415</v>
      </c>
      <c r="E10087" s="21" t="s">
        <v>37</v>
      </c>
      <c r="F10087" s="21" t="s">
        <v>38</v>
      </c>
      <c r="G10087" s="21">
        <v>4</v>
      </c>
      <c r="H10087" s="27">
        <v>90.321428571428598</v>
      </c>
      <c r="I10087" s="21" t="s">
        <v>7843</v>
      </c>
      <c r="K10087" s="21" t="s">
        <v>1000</v>
      </c>
      <c r="N10087" s="21" t="s">
        <v>40</v>
      </c>
      <c r="O10087" s="21">
        <v>50</v>
      </c>
      <c r="Q10087" s="21">
        <f t="shared" si="216"/>
        <v>2</v>
      </c>
      <c r="R10087" s="21">
        <v>1</v>
      </c>
      <c r="S10087" s="21">
        <v>0</v>
      </c>
      <c r="T10087" s="21">
        <v>0</v>
      </c>
      <c r="U10087" s="21">
        <v>0</v>
      </c>
      <c r="V10087" s="21">
        <v>0</v>
      </c>
      <c r="W10087" s="21">
        <v>0</v>
      </c>
      <c r="X10087" s="21">
        <v>0</v>
      </c>
      <c r="Y10087" s="21">
        <v>0</v>
      </c>
      <c r="Z10087" s="21">
        <v>0</v>
      </c>
      <c r="AA10087" s="21">
        <v>2</v>
      </c>
      <c r="AB10087" s="21">
        <v>0</v>
      </c>
      <c r="AC10087" s="21">
        <v>0</v>
      </c>
      <c r="AD10087" s="21">
        <v>0</v>
      </c>
      <c r="AE10087" s="21">
        <v>0</v>
      </c>
      <c r="AF10087" s="21">
        <v>0</v>
      </c>
      <c r="AG10087" s="21">
        <v>0</v>
      </c>
      <c r="AH10087" s="21">
        <f t="shared" si="215"/>
        <v>0</v>
      </c>
      <c r="AI10087" s="21"/>
      <c r="AJ10087" s="21" t="s">
        <v>54</v>
      </c>
      <c r="AK10087" s="21" t="s">
        <v>52</v>
      </c>
      <c r="AL10087" s="21"/>
      <c r="AM10087" s="21" t="s">
        <v>7844</v>
      </c>
      <c r="AN10087" s="21">
        <v>-122.406608083333</v>
      </c>
      <c r="AO10087" s="21">
        <v>37.793386349999999</v>
      </c>
      <c r="AP10087" s="21" t="s">
        <v>116</v>
      </c>
    </row>
    <row r="10088" spans="1:42">
      <c r="A10088" s="20">
        <v>43889</v>
      </c>
      <c r="B10088" s="21">
        <v>5</v>
      </c>
      <c r="C10088" s="21">
        <v>302</v>
      </c>
      <c r="D10088" s="21">
        <v>10415</v>
      </c>
      <c r="E10088" s="21" t="s">
        <v>37</v>
      </c>
      <c r="F10088" s="21" t="s">
        <v>38</v>
      </c>
      <c r="G10088" s="21">
        <v>4</v>
      </c>
      <c r="H10088" s="27">
        <v>91.5</v>
      </c>
      <c r="I10088" s="21" t="s">
        <v>7845</v>
      </c>
      <c r="K10088" s="21" t="s">
        <v>516</v>
      </c>
      <c r="N10088" s="21" t="s">
        <v>40</v>
      </c>
      <c r="O10088" s="21">
        <v>120</v>
      </c>
      <c r="Q10088" s="21">
        <f t="shared" si="216"/>
        <v>4</v>
      </c>
      <c r="R10088" s="21">
        <v>1</v>
      </c>
      <c r="S10088" s="21">
        <v>0</v>
      </c>
      <c r="T10088" s="21">
        <v>0</v>
      </c>
      <c r="U10088" s="21">
        <v>0</v>
      </c>
      <c r="V10088" s="21">
        <v>0</v>
      </c>
      <c r="W10088" s="21">
        <v>0</v>
      </c>
      <c r="X10088" s="21">
        <v>0</v>
      </c>
      <c r="Y10088" s="21">
        <v>0</v>
      </c>
      <c r="Z10088" s="21">
        <v>0</v>
      </c>
      <c r="AA10088" s="21">
        <v>3</v>
      </c>
      <c r="AB10088" s="21">
        <v>1</v>
      </c>
      <c r="AC10088" s="21">
        <v>0</v>
      </c>
      <c r="AD10088" s="21">
        <v>0</v>
      </c>
      <c r="AE10088" s="21">
        <v>0</v>
      </c>
      <c r="AF10088" s="21">
        <v>0</v>
      </c>
      <c r="AG10088" s="21">
        <v>0</v>
      </c>
      <c r="AH10088" s="21">
        <f t="shared" si="215"/>
        <v>0</v>
      </c>
      <c r="AI10088" s="21"/>
      <c r="AJ10088" s="21" t="s">
        <v>54</v>
      </c>
      <c r="AK10088" s="21" t="s">
        <v>52</v>
      </c>
      <c r="AL10088" s="21" t="s">
        <v>7846</v>
      </c>
      <c r="AM10088" s="21" t="s">
        <v>7847</v>
      </c>
      <c r="AN10088" s="21">
        <v>-122.40619188333299</v>
      </c>
      <c r="AO10088" s="21">
        <v>37.795234366666698</v>
      </c>
      <c r="AP10088" s="21" t="s">
        <v>116</v>
      </c>
    </row>
    <row r="10089" spans="1:42">
      <c r="A10089" s="20">
        <v>43889</v>
      </c>
      <c r="B10089" s="21">
        <v>5</v>
      </c>
      <c r="C10089" s="21">
        <v>302</v>
      </c>
      <c r="D10089" s="21">
        <v>10415</v>
      </c>
      <c r="E10089" s="21" t="s">
        <v>37</v>
      </c>
      <c r="F10089" s="21" t="s">
        <v>38</v>
      </c>
      <c r="G10089" s="21">
        <v>4</v>
      </c>
      <c r="H10089" s="27">
        <v>92.678571428571502</v>
      </c>
      <c r="I10089" s="21" t="s">
        <v>7848</v>
      </c>
      <c r="K10089" s="21" t="s">
        <v>1000</v>
      </c>
      <c r="N10089" s="21" t="s">
        <v>40</v>
      </c>
      <c r="O10089" s="21">
        <v>49</v>
      </c>
      <c r="Q10089" s="21">
        <f t="shared" si="216"/>
        <v>2</v>
      </c>
      <c r="R10089" s="21">
        <v>1</v>
      </c>
      <c r="S10089" s="21">
        <v>0</v>
      </c>
      <c r="T10089" s="21">
        <v>0</v>
      </c>
      <c r="U10089" s="21">
        <v>0</v>
      </c>
      <c r="V10089" s="21">
        <v>0</v>
      </c>
      <c r="W10089" s="21">
        <v>0</v>
      </c>
      <c r="X10089" s="21">
        <v>0</v>
      </c>
      <c r="Y10089" s="21">
        <v>0</v>
      </c>
      <c r="Z10089" s="21">
        <v>0</v>
      </c>
      <c r="AA10089" s="21">
        <v>2</v>
      </c>
      <c r="AB10089" s="21">
        <v>0</v>
      </c>
      <c r="AC10089" s="21">
        <v>0</v>
      </c>
      <c r="AD10089" s="21">
        <v>0</v>
      </c>
      <c r="AE10089" s="21">
        <v>0</v>
      </c>
      <c r="AF10089" s="21">
        <v>0</v>
      </c>
      <c r="AG10089" s="21">
        <v>0</v>
      </c>
      <c r="AH10089" s="21">
        <f t="shared" si="215"/>
        <v>0</v>
      </c>
      <c r="AI10089" s="21"/>
      <c r="AJ10089" s="21" t="s">
        <v>54</v>
      </c>
      <c r="AK10089" s="21" t="s">
        <v>52</v>
      </c>
      <c r="AL10089" s="21" t="s">
        <v>7789</v>
      </c>
      <c r="AM10089" s="21" t="s">
        <v>7849</v>
      </c>
      <c r="AN10089" s="21">
        <v>-122.40691391666699</v>
      </c>
      <c r="AO10089" s="21">
        <v>37.7951004166666</v>
      </c>
      <c r="AP10089" s="21" t="s">
        <v>116</v>
      </c>
    </row>
    <row r="10090" spans="1:42">
      <c r="A10090" s="20">
        <v>43889</v>
      </c>
      <c r="B10090" s="21">
        <v>5</v>
      </c>
      <c r="C10090" s="21">
        <v>302</v>
      </c>
      <c r="D10090" s="21">
        <v>10415</v>
      </c>
      <c r="E10090" s="21" t="s">
        <v>37</v>
      </c>
      <c r="F10090" s="21" t="s">
        <v>38</v>
      </c>
      <c r="G10090" s="21">
        <v>4</v>
      </c>
      <c r="H10090" s="27">
        <v>93.857142857142904</v>
      </c>
      <c r="I10090" s="21" t="s">
        <v>7750</v>
      </c>
      <c r="K10090" s="21" t="s">
        <v>516</v>
      </c>
      <c r="N10090" s="21" t="s">
        <v>40</v>
      </c>
      <c r="O10090" s="21">
        <v>84</v>
      </c>
      <c r="Q10090" s="21">
        <f t="shared" si="216"/>
        <v>3</v>
      </c>
      <c r="R10090" s="21">
        <v>1</v>
      </c>
      <c r="S10090" s="21">
        <v>0</v>
      </c>
      <c r="T10090" s="21">
        <v>0</v>
      </c>
      <c r="U10090" s="21">
        <v>0</v>
      </c>
      <c r="V10090" s="21">
        <v>0</v>
      </c>
      <c r="W10090" s="21">
        <v>0</v>
      </c>
      <c r="X10090" s="21">
        <v>0</v>
      </c>
      <c r="Y10090" s="21">
        <v>0</v>
      </c>
      <c r="Z10090" s="21">
        <v>0</v>
      </c>
      <c r="AA10090" s="21">
        <v>0</v>
      </c>
      <c r="AB10090" s="21">
        <v>3</v>
      </c>
      <c r="AC10090" s="21">
        <v>0</v>
      </c>
      <c r="AD10090" s="21">
        <v>0</v>
      </c>
      <c r="AE10090" s="21">
        <v>0</v>
      </c>
      <c r="AF10090" s="21">
        <v>0</v>
      </c>
      <c r="AG10090" s="21">
        <v>0</v>
      </c>
      <c r="AH10090" s="21">
        <f t="shared" si="215"/>
        <v>0</v>
      </c>
      <c r="AI10090" s="21"/>
      <c r="AJ10090" s="21" t="s">
        <v>54</v>
      </c>
      <c r="AK10090" s="21" t="s">
        <v>52</v>
      </c>
      <c r="AL10090" s="21"/>
      <c r="AM10090" s="21" t="s">
        <v>7850</v>
      </c>
      <c r="AN10090" s="21">
        <v>-122.407146566667</v>
      </c>
      <c r="AO10090" s="21">
        <v>37.794989716666599</v>
      </c>
      <c r="AP10090" s="21" t="s">
        <v>116</v>
      </c>
    </row>
    <row r="10091" spans="1:42">
      <c r="A10091" s="20">
        <v>43889</v>
      </c>
      <c r="B10091" s="21">
        <v>5</v>
      </c>
      <c r="C10091" s="21">
        <v>302</v>
      </c>
      <c r="D10091" s="21">
        <v>10415</v>
      </c>
      <c r="E10091" s="21" t="s">
        <v>37</v>
      </c>
      <c r="F10091" s="21" t="s">
        <v>38</v>
      </c>
      <c r="G10091" s="21">
        <v>4</v>
      </c>
      <c r="H10091" s="27">
        <v>95.035714285714306</v>
      </c>
      <c r="I10091" s="21" t="s">
        <v>7851</v>
      </c>
      <c r="K10091" s="21" t="s">
        <v>516</v>
      </c>
      <c r="N10091" s="21" t="s">
        <v>44</v>
      </c>
      <c r="O10091" s="21">
        <v>143</v>
      </c>
      <c r="Q10091" s="21">
        <f t="shared" si="216"/>
        <v>1</v>
      </c>
      <c r="R10091" s="21">
        <v>1</v>
      </c>
      <c r="S10091" s="21">
        <v>0</v>
      </c>
      <c r="T10091" s="21">
        <v>0</v>
      </c>
      <c r="U10091" s="21">
        <v>0</v>
      </c>
      <c r="V10091" s="21">
        <v>0</v>
      </c>
      <c r="W10091" s="21">
        <v>0</v>
      </c>
      <c r="X10091" s="21">
        <v>0</v>
      </c>
      <c r="Y10091" s="21">
        <v>0</v>
      </c>
      <c r="Z10091" s="21">
        <v>0</v>
      </c>
      <c r="AA10091" s="21">
        <v>0</v>
      </c>
      <c r="AB10091" s="21">
        <v>1</v>
      </c>
      <c r="AC10091" s="21">
        <v>0</v>
      </c>
      <c r="AD10091" s="21">
        <v>0</v>
      </c>
      <c r="AE10091" s="21">
        <v>0</v>
      </c>
      <c r="AF10091" s="21">
        <v>0</v>
      </c>
      <c r="AG10091" s="21">
        <v>0</v>
      </c>
      <c r="AH10091" s="21">
        <f t="shared" si="215"/>
        <v>0</v>
      </c>
      <c r="AI10091" s="21"/>
      <c r="AJ10091" s="21" t="s">
        <v>54</v>
      </c>
      <c r="AK10091" s="21" t="s">
        <v>52</v>
      </c>
      <c r="AL10091" s="21" t="s">
        <v>7852</v>
      </c>
      <c r="AM10091" s="21" t="s">
        <v>7853</v>
      </c>
      <c r="AN10091" s="21">
        <v>-122.40744915000001</v>
      </c>
      <c r="AO10091" s="21">
        <v>37.794950983333301</v>
      </c>
      <c r="AP10091" s="21" t="s">
        <v>116</v>
      </c>
    </row>
    <row r="10092" spans="1:42">
      <c r="A10092" s="20">
        <v>43889</v>
      </c>
      <c r="B10092" s="21">
        <v>5</v>
      </c>
      <c r="C10092" s="21">
        <v>302</v>
      </c>
      <c r="D10092" s="21">
        <v>10415</v>
      </c>
      <c r="E10092" s="21" t="s">
        <v>37</v>
      </c>
      <c r="F10092" s="21" t="s">
        <v>38</v>
      </c>
      <c r="G10092" s="21">
        <v>4</v>
      </c>
      <c r="H10092" s="27">
        <v>96.214285714285793</v>
      </c>
      <c r="I10092" s="21" t="s">
        <v>7854</v>
      </c>
      <c r="K10092" s="21" t="s">
        <v>48</v>
      </c>
      <c r="N10092" s="21" t="s">
        <v>40</v>
      </c>
      <c r="O10092" s="21">
        <v>79</v>
      </c>
      <c r="Q10092" s="21">
        <f t="shared" si="216"/>
        <v>3</v>
      </c>
      <c r="R10092" s="21">
        <v>1</v>
      </c>
      <c r="S10092" s="21">
        <v>0</v>
      </c>
      <c r="T10092" s="21">
        <v>0</v>
      </c>
      <c r="U10092" s="21">
        <v>0</v>
      </c>
      <c r="V10092" s="21">
        <v>0</v>
      </c>
      <c r="W10092" s="21">
        <v>0</v>
      </c>
      <c r="X10092" s="21">
        <v>0</v>
      </c>
      <c r="Y10092" s="21">
        <v>0</v>
      </c>
      <c r="Z10092" s="21">
        <v>0</v>
      </c>
      <c r="AA10092" s="21">
        <v>0</v>
      </c>
      <c r="AB10092" s="21">
        <v>3</v>
      </c>
      <c r="AC10092" s="21">
        <v>0</v>
      </c>
      <c r="AD10092" s="21">
        <v>0</v>
      </c>
      <c r="AE10092" s="21">
        <v>0</v>
      </c>
      <c r="AF10092" s="21">
        <v>0</v>
      </c>
      <c r="AG10092" s="21">
        <v>0</v>
      </c>
      <c r="AH10092" s="21">
        <f t="shared" si="215"/>
        <v>0</v>
      </c>
      <c r="AI10092" s="21"/>
      <c r="AJ10092" s="21" t="s">
        <v>51</v>
      </c>
      <c r="AK10092" s="21" t="s">
        <v>95</v>
      </c>
      <c r="AL10092" s="21" t="s">
        <v>7855</v>
      </c>
      <c r="AM10092" s="21" t="s">
        <v>7856</v>
      </c>
      <c r="AN10092" s="21">
        <v>-122.407560616667</v>
      </c>
      <c r="AO10092" s="21">
        <v>37.795023649999997</v>
      </c>
      <c r="AP10092" s="21" t="s">
        <v>116</v>
      </c>
    </row>
    <row r="10093" spans="1:42">
      <c r="A10093" s="20">
        <v>43889</v>
      </c>
      <c r="B10093" s="21">
        <v>5</v>
      </c>
      <c r="C10093" s="21">
        <v>302</v>
      </c>
      <c r="D10093" s="21">
        <v>10415</v>
      </c>
      <c r="E10093" s="21" t="s">
        <v>37</v>
      </c>
      <c r="F10093" s="21" t="s">
        <v>38</v>
      </c>
      <c r="G10093" s="21">
        <v>4</v>
      </c>
      <c r="H10093" s="27">
        <v>97.392857142857196</v>
      </c>
      <c r="I10093" s="21" t="s">
        <v>7857</v>
      </c>
      <c r="K10093" s="21" t="s">
        <v>48</v>
      </c>
      <c r="N10093" s="21" t="s">
        <v>40</v>
      </c>
      <c r="O10093" s="21">
        <v>31</v>
      </c>
      <c r="Q10093" s="21">
        <f t="shared" si="216"/>
        <v>1</v>
      </c>
      <c r="R10093" s="21">
        <v>1</v>
      </c>
      <c r="S10093" s="21">
        <v>0</v>
      </c>
      <c r="T10093" s="21">
        <v>0</v>
      </c>
      <c r="U10093" s="21">
        <v>0</v>
      </c>
      <c r="V10093" s="21">
        <v>0</v>
      </c>
      <c r="W10093" s="21">
        <v>0</v>
      </c>
      <c r="X10093" s="21">
        <v>0</v>
      </c>
      <c r="Y10093" s="21">
        <v>0</v>
      </c>
      <c r="Z10093" s="21">
        <v>0</v>
      </c>
      <c r="AA10093" s="21">
        <v>0</v>
      </c>
      <c r="AB10093" s="21">
        <v>1</v>
      </c>
      <c r="AC10093" s="21">
        <v>0</v>
      </c>
      <c r="AD10093" s="21">
        <v>0</v>
      </c>
      <c r="AE10093" s="21">
        <v>0</v>
      </c>
      <c r="AF10093" s="21">
        <v>0</v>
      </c>
      <c r="AG10093" s="21">
        <v>0</v>
      </c>
      <c r="AH10093" s="21">
        <f t="shared" si="215"/>
        <v>0</v>
      </c>
      <c r="AI10093" s="21"/>
      <c r="AJ10093" s="21" t="s">
        <v>51</v>
      </c>
      <c r="AK10093" s="21" t="s">
        <v>95</v>
      </c>
      <c r="AL10093" s="21"/>
      <c r="AM10093" s="21" t="s">
        <v>7858</v>
      </c>
      <c r="AN10093" s="21">
        <v>-122.40697806666699</v>
      </c>
      <c r="AO10093" s="21">
        <v>37.797020966666601</v>
      </c>
      <c r="AP10093" s="21" t="s">
        <v>116</v>
      </c>
    </row>
    <row r="10094" spans="1:42">
      <c r="A10094" s="20">
        <v>43889</v>
      </c>
      <c r="B10094" s="21">
        <v>5</v>
      </c>
      <c r="C10094" s="21">
        <v>302</v>
      </c>
      <c r="D10094" s="21">
        <v>10415</v>
      </c>
      <c r="E10094" s="21" t="s">
        <v>37</v>
      </c>
      <c r="F10094" s="21" t="s">
        <v>38</v>
      </c>
      <c r="G10094" s="21">
        <v>4</v>
      </c>
      <c r="H10094" s="27">
        <v>98.571428571428598</v>
      </c>
      <c r="I10094" s="21" t="s">
        <v>3058</v>
      </c>
      <c r="K10094" s="21" t="s">
        <v>48</v>
      </c>
      <c r="N10094" s="21" t="s">
        <v>40</v>
      </c>
      <c r="O10094" s="21">
        <v>32</v>
      </c>
      <c r="Q10094" s="21">
        <f t="shared" si="216"/>
        <v>1</v>
      </c>
      <c r="R10094" s="21">
        <v>1</v>
      </c>
      <c r="S10094" s="21">
        <v>0</v>
      </c>
      <c r="T10094" s="21">
        <v>0</v>
      </c>
      <c r="U10094" s="21">
        <v>0</v>
      </c>
      <c r="V10094" s="21">
        <v>0</v>
      </c>
      <c r="W10094" s="21">
        <v>0</v>
      </c>
      <c r="X10094" s="21">
        <v>0</v>
      </c>
      <c r="Y10094" s="21">
        <v>0</v>
      </c>
      <c r="Z10094" s="21">
        <v>0</v>
      </c>
      <c r="AA10094" s="21">
        <v>1</v>
      </c>
      <c r="AB10094" s="21">
        <v>0</v>
      </c>
      <c r="AC10094" s="21">
        <v>0</v>
      </c>
      <c r="AD10094" s="21">
        <v>0</v>
      </c>
      <c r="AE10094" s="21">
        <v>0</v>
      </c>
      <c r="AF10094" s="21">
        <v>0</v>
      </c>
      <c r="AG10094" s="21">
        <v>0</v>
      </c>
      <c r="AH10094" s="21">
        <f t="shared" si="215"/>
        <v>0</v>
      </c>
      <c r="AI10094" s="21"/>
      <c r="AJ10094" s="21" t="s">
        <v>51</v>
      </c>
      <c r="AK10094" s="21" t="s">
        <v>95</v>
      </c>
      <c r="AL10094" s="21"/>
      <c r="AM10094" s="21" t="s">
        <v>7859</v>
      </c>
      <c r="AN10094" s="21">
        <v>-122.406904716667</v>
      </c>
      <c r="AO10094" s="21">
        <v>37.797249999999998</v>
      </c>
      <c r="AP10094" s="21" t="s">
        <v>116</v>
      </c>
    </row>
    <row r="10095" spans="1:42">
      <c r="A10095" s="20">
        <v>43889</v>
      </c>
      <c r="B10095" s="21">
        <v>5</v>
      </c>
      <c r="C10095" s="21">
        <v>302</v>
      </c>
      <c r="D10095" s="21">
        <v>10415</v>
      </c>
      <c r="E10095" s="21" t="s">
        <v>37</v>
      </c>
      <c r="F10095" s="21" t="s">
        <v>38</v>
      </c>
      <c r="G10095" s="21">
        <v>4</v>
      </c>
      <c r="H10095" s="27">
        <v>99.75</v>
      </c>
      <c r="I10095" s="21" t="s">
        <v>7860</v>
      </c>
      <c r="K10095" s="21" t="s">
        <v>1115</v>
      </c>
      <c r="N10095" s="21" t="s">
        <v>44</v>
      </c>
      <c r="O10095" s="21">
        <v>164</v>
      </c>
      <c r="Q10095" s="21">
        <f t="shared" si="216"/>
        <v>1</v>
      </c>
      <c r="R10095" s="21">
        <v>1</v>
      </c>
      <c r="S10095" s="21">
        <v>0</v>
      </c>
      <c r="T10095" s="21">
        <v>0</v>
      </c>
      <c r="U10095" s="21">
        <v>0</v>
      </c>
      <c r="V10095" s="21">
        <v>0</v>
      </c>
      <c r="W10095" s="21">
        <v>0</v>
      </c>
      <c r="X10095" s="21">
        <v>0</v>
      </c>
      <c r="Y10095" s="21">
        <v>0</v>
      </c>
      <c r="Z10095" s="21">
        <v>0</v>
      </c>
      <c r="AA10095" s="21">
        <v>1</v>
      </c>
      <c r="AB10095" s="21">
        <v>0</v>
      </c>
      <c r="AC10095" s="21">
        <v>0</v>
      </c>
      <c r="AD10095" s="21">
        <v>0</v>
      </c>
      <c r="AE10095" s="21">
        <v>0</v>
      </c>
      <c r="AF10095" s="21">
        <v>0</v>
      </c>
      <c r="AG10095" s="21">
        <v>0</v>
      </c>
      <c r="AH10095" s="21">
        <f t="shared" si="215"/>
        <v>0</v>
      </c>
      <c r="AI10095" s="21"/>
      <c r="AJ10095" s="21" t="s">
        <v>54</v>
      </c>
      <c r="AK10095" s="21" t="s">
        <v>52</v>
      </c>
      <c r="AL10095" s="21" t="s">
        <v>7861</v>
      </c>
      <c r="AM10095" s="21" t="s">
        <v>7862</v>
      </c>
      <c r="AN10095" s="21">
        <v>-122.40696653333301</v>
      </c>
      <c r="AO10095" s="21">
        <v>37.797592983333303</v>
      </c>
      <c r="AP10095" s="21" t="s">
        <v>116</v>
      </c>
    </row>
    <row r="10096" spans="1:42">
      <c r="A10096" s="20">
        <v>43889</v>
      </c>
      <c r="B10096" s="21">
        <v>5</v>
      </c>
      <c r="C10096" s="21">
        <v>302</v>
      </c>
      <c r="D10096" s="21">
        <v>10415</v>
      </c>
      <c r="E10096" s="21" t="s">
        <v>37</v>
      </c>
      <c r="F10096" s="21" t="s">
        <v>38</v>
      </c>
      <c r="G10096" s="21">
        <v>4</v>
      </c>
      <c r="H10096" s="27">
        <v>100.928571428571</v>
      </c>
      <c r="I10096" s="21" t="s">
        <v>7863</v>
      </c>
      <c r="K10096" s="21" t="s">
        <v>39</v>
      </c>
      <c r="N10096" s="21" t="s">
        <v>40</v>
      </c>
      <c r="O10096" s="21">
        <v>62</v>
      </c>
      <c r="Q10096" s="21">
        <f t="shared" si="216"/>
        <v>1</v>
      </c>
      <c r="R10096" s="21">
        <v>1</v>
      </c>
      <c r="S10096" s="21">
        <v>0</v>
      </c>
      <c r="T10096" s="21">
        <v>0</v>
      </c>
      <c r="U10096" s="21">
        <v>0</v>
      </c>
      <c r="V10096" s="21">
        <v>0</v>
      </c>
      <c r="W10096" s="21">
        <v>0</v>
      </c>
      <c r="X10096" s="21">
        <v>0</v>
      </c>
      <c r="Y10096" s="21">
        <v>0</v>
      </c>
      <c r="Z10096" s="21">
        <v>0</v>
      </c>
      <c r="AA10096" s="21">
        <v>0</v>
      </c>
      <c r="AB10096" s="21">
        <v>1</v>
      </c>
      <c r="AC10096" s="21">
        <v>0</v>
      </c>
      <c r="AD10096" s="21">
        <v>0</v>
      </c>
      <c r="AE10096" s="21">
        <v>0</v>
      </c>
      <c r="AF10096" s="21">
        <v>0</v>
      </c>
      <c r="AG10096" s="21">
        <v>0</v>
      </c>
      <c r="AH10096" s="21">
        <f t="shared" si="215"/>
        <v>0</v>
      </c>
      <c r="AI10096" s="21"/>
      <c r="AJ10096" s="21" t="s">
        <v>51</v>
      </c>
      <c r="AK10096" s="21" t="s">
        <v>52</v>
      </c>
      <c r="AL10096" s="21" t="s">
        <v>7864</v>
      </c>
      <c r="AM10096" s="21" t="s">
        <v>7865</v>
      </c>
      <c r="AN10096" s="21">
        <v>-122.406143683333</v>
      </c>
      <c r="AO10096" s="21">
        <v>37.797398883333301</v>
      </c>
      <c r="AP10096" s="21" t="s">
        <v>116</v>
      </c>
    </row>
    <row r="10097" spans="1:42">
      <c r="A10097" s="20">
        <v>43889</v>
      </c>
      <c r="B10097" s="21">
        <v>5</v>
      </c>
      <c r="C10097" s="21">
        <v>302</v>
      </c>
      <c r="D10097" s="21">
        <v>10415</v>
      </c>
      <c r="E10097" s="21" t="s">
        <v>37</v>
      </c>
      <c r="F10097" s="21" t="s">
        <v>38</v>
      </c>
      <c r="G10097" s="21">
        <v>4</v>
      </c>
      <c r="H10097" s="27">
        <v>102.107142857143</v>
      </c>
      <c r="I10097" s="21" t="s">
        <v>4324</v>
      </c>
      <c r="K10097" s="21" t="s">
        <v>39</v>
      </c>
      <c r="N10097" s="21" t="s">
        <v>40</v>
      </c>
      <c r="O10097" s="21">
        <v>99</v>
      </c>
      <c r="Q10097" s="21">
        <f t="shared" si="216"/>
        <v>4</v>
      </c>
      <c r="R10097" s="21">
        <v>1</v>
      </c>
      <c r="S10097" s="21">
        <v>0</v>
      </c>
      <c r="T10097" s="21">
        <v>0</v>
      </c>
      <c r="U10097" s="21">
        <v>0</v>
      </c>
      <c r="V10097" s="21">
        <v>0</v>
      </c>
      <c r="W10097" s="21">
        <v>0</v>
      </c>
      <c r="X10097" s="21">
        <v>0</v>
      </c>
      <c r="Y10097" s="21">
        <v>0</v>
      </c>
      <c r="Z10097" s="21">
        <v>0</v>
      </c>
      <c r="AA10097" s="21">
        <v>0</v>
      </c>
      <c r="AB10097" s="21">
        <v>4</v>
      </c>
      <c r="AC10097" s="21">
        <v>0</v>
      </c>
      <c r="AD10097" s="21">
        <v>0</v>
      </c>
      <c r="AE10097" s="21">
        <v>0</v>
      </c>
      <c r="AF10097" s="21">
        <v>0</v>
      </c>
      <c r="AG10097" s="21">
        <v>0</v>
      </c>
      <c r="AH10097" s="21">
        <f t="shared" si="215"/>
        <v>0</v>
      </c>
      <c r="AI10097" s="21"/>
      <c r="AJ10097" s="21" t="s">
        <v>51</v>
      </c>
      <c r="AK10097" s="21" t="s">
        <v>52</v>
      </c>
      <c r="AL10097" s="21"/>
      <c r="AM10097" s="21" t="s">
        <v>7866</v>
      </c>
      <c r="AN10097" s="21">
        <v>-122.405355983333</v>
      </c>
      <c r="AO10097" s="21">
        <v>37.796925283333302</v>
      </c>
      <c r="AP10097" s="21" t="s">
        <v>116</v>
      </c>
    </row>
    <row r="10098" spans="1:42">
      <c r="A10098" s="20">
        <v>43889</v>
      </c>
      <c r="B10098" s="21">
        <v>5</v>
      </c>
      <c r="C10098" s="21">
        <v>302</v>
      </c>
      <c r="D10098" s="21">
        <v>10415</v>
      </c>
      <c r="E10098" s="21" t="s">
        <v>37</v>
      </c>
      <c r="F10098" s="21" t="s">
        <v>38</v>
      </c>
      <c r="G10098" s="21">
        <v>4</v>
      </c>
      <c r="H10098" s="27">
        <v>103.28571428571399</v>
      </c>
      <c r="I10098" s="21" t="s">
        <v>7178</v>
      </c>
      <c r="K10098" s="21" t="s">
        <v>39</v>
      </c>
      <c r="N10098" s="21" t="s">
        <v>44</v>
      </c>
      <c r="O10098" s="21">
        <v>71</v>
      </c>
      <c r="Q10098" s="21">
        <f t="shared" si="216"/>
        <v>2</v>
      </c>
      <c r="R10098" s="21">
        <v>1</v>
      </c>
      <c r="S10098" s="21">
        <v>0</v>
      </c>
      <c r="T10098" s="21">
        <v>0</v>
      </c>
      <c r="U10098" s="21">
        <v>0</v>
      </c>
      <c r="V10098" s="21">
        <v>0</v>
      </c>
      <c r="W10098" s="21">
        <v>0</v>
      </c>
      <c r="X10098" s="21">
        <v>0</v>
      </c>
      <c r="Y10098" s="21">
        <v>0</v>
      </c>
      <c r="Z10098" s="21">
        <v>0</v>
      </c>
      <c r="AA10098" s="21">
        <v>0</v>
      </c>
      <c r="AB10098" s="21">
        <v>2</v>
      </c>
      <c r="AC10098" s="21">
        <v>0</v>
      </c>
      <c r="AD10098" s="21">
        <v>0</v>
      </c>
      <c r="AE10098" s="21">
        <v>0</v>
      </c>
      <c r="AF10098" s="21">
        <v>0</v>
      </c>
      <c r="AG10098" s="21">
        <v>0</v>
      </c>
      <c r="AH10098" s="21">
        <f t="shared" si="215"/>
        <v>0</v>
      </c>
      <c r="AI10098" s="21"/>
      <c r="AJ10098" s="21" t="s">
        <v>51</v>
      </c>
      <c r="AK10098" s="21" t="s">
        <v>95</v>
      </c>
      <c r="AL10098" s="21" t="s">
        <v>7105</v>
      </c>
      <c r="AM10098" s="21" t="s">
        <v>7867</v>
      </c>
      <c r="AN10098" s="21">
        <v>-122.403956483333</v>
      </c>
      <c r="AO10098" s="21">
        <v>37.795616000000003</v>
      </c>
      <c r="AP10098" s="21" t="s">
        <v>116</v>
      </c>
    </row>
    <row r="10099" spans="1:42">
      <c r="A10099" s="20">
        <v>43889</v>
      </c>
      <c r="B10099" s="21">
        <v>5</v>
      </c>
      <c r="C10099" s="21">
        <v>302</v>
      </c>
      <c r="D10099" s="21">
        <v>10415</v>
      </c>
      <c r="E10099" s="21" t="s">
        <v>37</v>
      </c>
      <c r="F10099" s="21" t="s">
        <v>38</v>
      </c>
      <c r="G10099" s="21">
        <v>4</v>
      </c>
      <c r="H10099" s="27">
        <v>104.46428571428601</v>
      </c>
      <c r="I10099" s="21" t="s">
        <v>5745</v>
      </c>
      <c r="K10099" s="21" t="s">
        <v>516</v>
      </c>
      <c r="N10099" s="21" t="s">
        <v>40</v>
      </c>
      <c r="O10099" s="21">
        <v>56</v>
      </c>
      <c r="Q10099" s="21">
        <f t="shared" si="216"/>
        <v>2</v>
      </c>
      <c r="R10099" s="21">
        <v>1</v>
      </c>
      <c r="S10099" s="21">
        <v>0</v>
      </c>
      <c r="T10099" s="21">
        <v>0</v>
      </c>
      <c r="U10099" s="21">
        <v>0</v>
      </c>
      <c r="V10099" s="21">
        <v>0</v>
      </c>
      <c r="W10099" s="21">
        <v>0</v>
      </c>
      <c r="X10099" s="21">
        <v>0</v>
      </c>
      <c r="Y10099" s="21">
        <v>0</v>
      </c>
      <c r="Z10099" s="21">
        <v>0</v>
      </c>
      <c r="AA10099" s="21">
        <v>1</v>
      </c>
      <c r="AB10099" s="21">
        <v>1</v>
      </c>
      <c r="AC10099" s="21">
        <v>0</v>
      </c>
      <c r="AD10099" s="21">
        <v>0</v>
      </c>
      <c r="AE10099" s="21">
        <v>0</v>
      </c>
      <c r="AF10099" s="21">
        <v>0</v>
      </c>
      <c r="AG10099" s="21">
        <v>0</v>
      </c>
      <c r="AH10099" s="21">
        <f t="shared" si="215"/>
        <v>0</v>
      </c>
      <c r="AI10099" s="21"/>
      <c r="AJ10099" s="21" t="s">
        <v>51</v>
      </c>
      <c r="AK10099" s="21" t="s">
        <v>95</v>
      </c>
      <c r="AL10099" s="21"/>
      <c r="AM10099" s="21" t="s">
        <v>7868</v>
      </c>
      <c r="AN10099" s="21">
        <v>-122.404188933333</v>
      </c>
      <c r="AO10099" s="21">
        <v>37.795336783333298</v>
      </c>
      <c r="AP10099" s="21" t="s">
        <v>116</v>
      </c>
    </row>
    <row r="10100" spans="1:42">
      <c r="A10100" s="20">
        <v>43889</v>
      </c>
      <c r="B10100" s="21">
        <v>5</v>
      </c>
      <c r="C10100" s="21">
        <v>302</v>
      </c>
      <c r="D10100" s="21">
        <v>10415</v>
      </c>
      <c r="E10100" s="21" t="s">
        <v>37</v>
      </c>
      <c r="F10100" s="21" t="s">
        <v>38</v>
      </c>
      <c r="G10100" s="21">
        <v>4</v>
      </c>
      <c r="H10100" s="27">
        <v>105.642857142857</v>
      </c>
      <c r="I10100" s="21" t="s">
        <v>4163</v>
      </c>
      <c r="K10100" s="21" t="s">
        <v>7869</v>
      </c>
      <c r="N10100" s="21" t="s">
        <v>40</v>
      </c>
      <c r="O10100" s="21">
        <v>35</v>
      </c>
      <c r="Q10100" s="21">
        <f t="shared" si="216"/>
        <v>1</v>
      </c>
      <c r="R10100" s="21">
        <v>1</v>
      </c>
      <c r="S10100" s="21">
        <v>0</v>
      </c>
      <c r="T10100" s="21">
        <v>0</v>
      </c>
      <c r="U10100" s="21">
        <v>0</v>
      </c>
      <c r="V10100" s="21">
        <v>0</v>
      </c>
      <c r="W10100" s="21">
        <v>0</v>
      </c>
      <c r="X10100" s="21">
        <v>0</v>
      </c>
      <c r="Y10100" s="21">
        <v>0</v>
      </c>
      <c r="Z10100" s="21">
        <v>0</v>
      </c>
      <c r="AA10100" s="21">
        <v>1</v>
      </c>
      <c r="AB10100" s="21">
        <v>0</v>
      </c>
      <c r="AC10100" s="21">
        <v>0</v>
      </c>
      <c r="AD10100" s="21">
        <v>0</v>
      </c>
      <c r="AE10100" s="21">
        <v>0</v>
      </c>
      <c r="AF10100" s="21">
        <v>0</v>
      </c>
      <c r="AG10100" s="21">
        <v>0</v>
      </c>
      <c r="AH10100" s="21">
        <f t="shared" si="215"/>
        <v>0</v>
      </c>
      <c r="AI10100" s="21"/>
      <c r="AJ10100" s="21" t="s">
        <v>51</v>
      </c>
      <c r="AK10100" s="21" t="s">
        <v>95</v>
      </c>
      <c r="AL10100" s="21"/>
      <c r="AM10100" s="21" t="s">
        <v>7870</v>
      </c>
      <c r="AN10100" s="21">
        <v>-122.40417454999999</v>
      </c>
      <c r="AO10100" s="21">
        <v>37.795094816666698</v>
      </c>
      <c r="AP10100" s="21" t="s">
        <v>116</v>
      </c>
    </row>
    <row r="10101" spans="1:42">
      <c r="A10101" s="20">
        <v>43889</v>
      </c>
      <c r="B10101" s="21">
        <v>5</v>
      </c>
      <c r="C10101" s="21">
        <v>302</v>
      </c>
      <c r="D10101" s="21">
        <v>10415</v>
      </c>
      <c r="E10101" s="21" t="s">
        <v>37</v>
      </c>
      <c r="F10101" s="21" t="s">
        <v>38</v>
      </c>
      <c r="G10101" s="21">
        <v>4</v>
      </c>
      <c r="H10101" s="27">
        <v>106.821428571429</v>
      </c>
      <c r="I10101" s="21" t="s">
        <v>7871</v>
      </c>
      <c r="K10101" s="21" t="s">
        <v>39</v>
      </c>
      <c r="N10101" s="21" t="s">
        <v>40</v>
      </c>
      <c r="O10101" s="21">
        <v>110</v>
      </c>
      <c r="Q10101" s="21">
        <f t="shared" si="216"/>
        <v>2</v>
      </c>
      <c r="R10101" s="21">
        <v>1</v>
      </c>
      <c r="S10101" s="21">
        <v>0</v>
      </c>
      <c r="T10101" s="21">
        <v>0</v>
      </c>
      <c r="U10101" s="21">
        <v>0</v>
      </c>
      <c r="V10101" s="21">
        <v>0</v>
      </c>
      <c r="W10101" s="21">
        <v>0</v>
      </c>
      <c r="X10101" s="21">
        <v>0</v>
      </c>
      <c r="Y10101" s="21">
        <v>0</v>
      </c>
      <c r="Z10101" s="21">
        <v>0</v>
      </c>
      <c r="AA10101" s="21">
        <v>1</v>
      </c>
      <c r="AB10101" s="21">
        <v>1</v>
      </c>
      <c r="AC10101" s="21">
        <v>0</v>
      </c>
      <c r="AD10101" s="21">
        <v>0</v>
      </c>
      <c r="AE10101" s="21">
        <v>0</v>
      </c>
      <c r="AF10101" s="21">
        <v>0</v>
      </c>
      <c r="AG10101" s="21">
        <v>0</v>
      </c>
      <c r="AH10101" s="21">
        <f t="shared" ref="AH10101:AH10164" si="217">(S10101*16)+(T10101*20)+(U10101*32)+(V10101*64)+(W10101*96)</f>
        <v>0</v>
      </c>
      <c r="AI10101" s="21"/>
      <c r="AJ10101" s="21" t="s">
        <v>51</v>
      </c>
      <c r="AK10101" s="21" t="s">
        <v>95</v>
      </c>
      <c r="AL10101" s="21" t="s">
        <v>7872</v>
      </c>
      <c r="AM10101" s="21" t="s">
        <v>7873</v>
      </c>
      <c r="AN10101" s="21">
        <v>-122.40528734999999</v>
      </c>
      <c r="AO10101" s="21">
        <v>37.7963405333333</v>
      </c>
      <c r="AP10101" s="21" t="s">
        <v>116</v>
      </c>
    </row>
    <row r="10102" spans="1:42">
      <c r="A10102" s="20">
        <v>43889</v>
      </c>
      <c r="B10102" s="21">
        <v>5</v>
      </c>
      <c r="C10102" s="21">
        <v>302</v>
      </c>
      <c r="D10102" s="21">
        <v>10415</v>
      </c>
      <c r="E10102" s="21" t="s">
        <v>37</v>
      </c>
      <c r="F10102" s="21" t="s">
        <v>38</v>
      </c>
      <c r="G10102" s="21">
        <v>4</v>
      </c>
      <c r="H10102" s="27">
        <v>108</v>
      </c>
      <c r="I10102" s="21" t="s">
        <v>3186</v>
      </c>
      <c r="K10102" s="21" t="s">
        <v>1115</v>
      </c>
      <c r="N10102" s="21" t="s">
        <v>40</v>
      </c>
      <c r="O10102" s="21">
        <v>42</v>
      </c>
      <c r="Q10102" s="21">
        <f t="shared" si="216"/>
        <v>1</v>
      </c>
      <c r="R10102" s="21">
        <v>1</v>
      </c>
      <c r="S10102" s="21">
        <v>0</v>
      </c>
      <c r="T10102" s="21">
        <v>0</v>
      </c>
      <c r="U10102" s="21">
        <v>0</v>
      </c>
      <c r="V10102" s="21">
        <v>0</v>
      </c>
      <c r="W10102" s="21">
        <v>0</v>
      </c>
      <c r="X10102" s="21">
        <v>0</v>
      </c>
      <c r="Y10102" s="21">
        <v>0</v>
      </c>
      <c r="Z10102" s="21">
        <v>0</v>
      </c>
      <c r="AA10102" s="21">
        <v>0</v>
      </c>
      <c r="AB10102" s="21">
        <v>1</v>
      </c>
      <c r="AC10102" s="21">
        <v>0</v>
      </c>
      <c r="AD10102" s="21">
        <v>0</v>
      </c>
      <c r="AE10102" s="21">
        <v>0</v>
      </c>
      <c r="AF10102" s="21">
        <v>0</v>
      </c>
      <c r="AG10102" s="21">
        <v>0</v>
      </c>
      <c r="AH10102" s="21">
        <f t="shared" si="217"/>
        <v>0</v>
      </c>
      <c r="AI10102" s="21"/>
      <c r="AJ10102" s="21" t="s">
        <v>51</v>
      </c>
      <c r="AK10102" s="21" t="s">
        <v>95</v>
      </c>
      <c r="AL10102" s="21"/>
      <c r="AM10102" s="21" t="s">
        <v>7874</v>
      </c>
      <c r="AN10102" s="21">
        <v>-122.405195983333</v>
      </c>
      <c r="AO10102" s="21">
        <v>37.7964150166666</v>
      </c>
      <c r="AP10102" s="21" t="s">
        <v>116</v>
      </c>
    </row>
    <row r="10103" spans="1:42">
      <c r="A10103" s="20">
        <v>43889</v>
      </c>
      <c r="B10103" s="21">
        <v>5</v>
      </c>
      <c r="C10103" s="21">
        <v>302</v>
      </c>
      <c r="D10103" s="21">
        <v>10415</v>
      </c>
      <c r="E10103" s="21" t="s">
        <v>37</v>
      </c>
      <c r="F10103" s="21" t="s">
        <v>38</v>
      </c>
      <c r="G10103" s="21">
        <v>4</v>
      </c>
      <c r="H10103" s="27">
        <v>109.178571428571</v>
      </c>
      <c r="I10103" s="21" t="s">
        <v>5666</v>
      </c>
      <c r="K10103" s="21" t="s">
        <v>647</v>
      </c>
      <c r="N10103" s="21" t="s">
        <v>40</v>
      </c>
      <c r="O10103" s="21">
        <v>77</v>
      </c>
      <c r="Q10103" s="21">
        <f t="shared" si="216"/>
        <v>2</v>
      </c>
      <c r="R10103" s="21">
        <v>1</v>
      </c>
      <c r="S10103" s="21">
        <v>0</v>
      </c>
      <c r="T10103" s="21">
        <v>0</v>
      </c>
      <c r="U10103" s="21">
        <v>0</v>
      </c>
      <c r="V10103" s="21">
        <v>0</v>
      </c>
      <c r="W10103" s="21">
        <v>0</v>
      </c>
      <c r="X10103" s="21">
        <v>0</v>
      </c>
      <c r="Y10103" s="21">
        <v>0</v>
      </c>
      <c r="Z10103" s="21">
        <v>0</v>
      </c>
      <c r="AA10103" s="21">
        <v>0</v>
      </c>
      <c r="AB10103" s="21">
        <v>2</v>
      </c>
      <c r="AC10103" s="21">
        <v>0</v>
      </c>
      <c r="AD10103" s="21">
        <v>0</v>
      </c>
      <c r="AE10103" s="21">
        <v>0</v>
      </c>
      <c r="AF10103" s="21">
        <v>0</v>
      </c>
      <c r="AG10103" s="21">
        <v>0</v>
      </c>
      <c r="AH10103" s="21">
        <f t="shared" si="217"/>
        <v>0</v>
      </c>
      <c r="AI10103" s="21"/>
      <c r="AJ10103" s="21" t="s">
        <v>51</v>
      </c>
      <c r="AK10103" s="21" t="s">
        <v>52</v>
      </c>
      <c r="AL10103" s="21" t="s">
        <v>7875</v>
      </c>
      <c r="AM10103" s="21" t="s">
        <v>7876</v>
      </c>
      <c r="AN10103" s="21">
        <v>-122.404906266667</v>
      </c>
      <c r="AO10103" s="21">
        <v>37.796528833333298</v>
      </c>
      <c r="AP10103" s="21" t="s">
        <v>116</v>
      </c>
    </row>
    <row r="10104" spans="1:42">
      <c r="A10104" s="20">
        <v>43889</v>
      </c>
      <c r="B10104" s="21">
        <v>5</v>
      </c>
      <c r="C10104" s="21">
        <v>302</v>
      </c>
      <c r="D10104" s="21">
        <v>10415</v>
      </c>
      <c r="E10104" s="21" t="s">
        <v>37</v>
      </c>
      <c r="F10104" s="21" t="s">
        <v>38</v>
      </c>
      <c r="G10104" s="21">
        <v>4</v>
      </c>
      <c r="H10104" s="27">
        <v>110.357142857143</v>
      </c>
      <c r="I10104" s="21" t="s">
        <v>7877</v>
      </c>
      <c r="K10104" s="21" t="s">
        <v>647</v>
      </c>
      <c r="N10104" s="21" t="s">
        <v>40</v>
      </c>
      <c r="O10104" s="21">
        <v>71</v>
      </c>
      <c r="Q10104" s="21">
        <f t="shared" si="216"/>
        <v>2</v>
      </c>
      <c r="R10104" s="21">
        <v>1</v>
      </c>
      <c r="S10104" s="21">
        <v>0</v>
      </c>
      <c r="T10104" s="21">
        <v>0</v>
      </c>
      <c r="U10104" s="21">
        <v>0</v>
      </c>
      <c r="V10104" s="21">
        <v>0</v>
      </c>
      <c r="W10104" s="21">
        <v>0</v>
      </c>
      <c r="X10104" s="21">
        <v>0</v>
      </c>
      <c r="Y10104" s="21">
        <v>0</v>
      </c>
      <c r="Z10104" s="21">
        <v>0</v>
      </c>
      <c r="AA10104" s="21">
        <v>1</v>
      </c>
      <c r="AB10104" s="21">
        <v>1</v>
      </c>
      <c r="AC10104" s="21">
        <v>0</v>
      </c>
      <c r="AD10104" s="21">
        <v>0</v>
      </c>
      <c r="AE10104" s="21">
        <v>0</v>
      </c>
      <c r="AF10104" s="21">
        <v>0</v>
      </c>
      <c r="AG10104" s="21">
        <v>0</v>
      </c>
      <c r="AH10104" s="21">
        <f t="shared" si="217"/>
        <v>0</v>
      </c>
      <c r="AI10104" s="21"/>
      <c r="AJ10104" s="21" t="s">
        <v>51</v>
      </c>
      <c r="AK10104" s="21" t="s">
        <v>95</v>
      </c>
      <c r="AL10104" s="21" t="s">
        <v>7878</v>
      </c>
      <c r="AM10104" s="21" t="s">
        <v>7879</v>
      </c>
      <c r="AN10104" s="21">
        <v>-122.40408213333301</v>
      </c>
      <c r="AO10104" s="21">
        <v>37.7963286833333</v>
      </c>
      <c r="AP10104" s="21" t="s">
        <v>116</v>
      </c>
    </row>
    <row r="10105" spans="1:42">
      <c r="A10105" s="20">
        <v>43889</v>
      </c>
      <c r="B10105" s="21">
        <v>5</v>
      </c>
      <c r="C10105" s="21">
        <v>302</v>
      </c>
      <c r="D10105" s="21">
        <v>10415</v>
      </c>
      <c r="E10105" s="21" t="s">
        <v>37</v>
      </c>
      <c r="F10105" s="21" t="s">
        <v>38</v>
      </c>
      <c r="G10105" s="21">
        <v>4</v>
      </c>
      <c r="H10105" s="27">
        <v>111.53571428571399</v>
      </c>
      <c r="I10105" s="21" t="s">
        <v>3340</v>
      </c>
      <c r="K10105" s="21" t="s">
        <v>60</v>
      </c>
      <c r="N10105" s="21" t="s">
        <v>40</v>
      </c>
      <c r="O10105" s="21">
        <v>57</v>
      </c>
      <c r="Q10105" s="21">
        <f t="shared" si="216"/>
        <v>2</v>
      </c>
      <c r="R10105" s="21">
        <v>1</v>
      </c>
      <c r="S10105" s="21">
        <v>0</v>
      </c>
      <c r="T10105" s="21">
        <v>0</v>
      </c>
      <c r="U10105" s="21">
        <v>0</v>
      </c>
      <c r="V10105" s="21">
        <v>0</v>
      </c>
      <c r="W10105" s="21">
        <v>0</v>
      </c>
      <c r="X10105" s="21">
        <v>0</v>
      </c>
      <c r="Y10105" s="21">
        <v>0</v>
      </c>
      <c r="Z10105" s="21">
        <v>0</v>
      </c>
      <c r="AA10105" s="21">
        <v>0</v>
      </c>
      <c r="AB10105" s="21">
        <v>2</v>
      </c>
      <c r="AC10105" s="21">
        <v>0</v>
      </c>
      <c r="AD10105" s="21">
        <v>0</v>
      </c>
      <c r="AE10105" s="21">
        <v>0</v>
      </c>
      <c r="AF10105" s="21">
        <v>0</v>
      </c>
      <c r="AG10105" s="21">
        <v>0</v>
      </c>
      <c r="AH10105" s="21">
        <f t="shared" si="217"/>
        <v>0</v>
      </c>
      <c r="AI10105" s="21"/>
      <c r="AJ10105" s="21" t="s">
        <v>51</v>
      </c>
      <c r="AK10105" s="21" t="s">
        <v>95</v>
      </c>
      <c r="AL10105" s="21"/>
      <c r="AM10105" s="21" t="s">
        <v>7880</v>
      </c>
      <c r="AN10105" s="21">
        <v>-122.40227558333299</v>
      </c>
      <c r="AO10105" s="21">
        <v>37.796602266666703</v>
      </c>
      <c r="AP10105" s="21" t="s">
        <v>116</v>
      </c>
    </row>
    <row r="10106" spans="1:42">
      <c r="A10106" s="20">
        <v>43889</v>
      </c>
      <c r="B10106" s="21">
        <v>5</v>
      </c>
      <c r="C10106" s="21">
        <v>302</v>
      </c>
      <c r="D10106" s="21">
        <v>10415</v>
      </c>
      <c r="E10106" s="21" t="s">
        <v>37</v>
      </c>
      <c r="F10106" s="21" t="s">
        <v>38</v>
      </c>
      <c r="G10106" s="21">
        <v>4</v>
      </c>
      <c r="H10106" s="27">
        <v>112.71428571428601</v>
      </c>
      <c r="I10106" s="21" t="s">
        <v>7881</v>
      </c>
      <c r="K10106" s="21" t="s">
        <v>60</v>
      </c>
      <c r="N10106" s="21" t="s">
        <v>40</v>
      </c>
      <c r="O10106" s="21">
        <v>93</v>
      </c>
      <c r="Q10106" s="21">
        <f t="shared" si="216"/>
        <v>3</v>
      </c>
      <c r="R10106" s="21">
        <v>1</v>
      </c>
      <c r="S10106" s="21">
        <v>0</v>
      </c>
      <c r="T10106" s="21">
        <v>0</v>
      </c>
      <c r="U10106" s="21">
        <v>0</v>
      </c>
      <c r="V10106" s="21">
        <v>0</v>
      </c>
      <c r="W10106" s="21">
        <v>0</v>
      </c>
      <c r="X10106" s="21">
        <v>0</v>
      </c>
      <c r="Y10106" s="21">
        <v>0</v>
      </c>
      <c r="Z10106" s="21">
        <v>0</v>
      </c>
      <c r="AA10106" s="21">
        <v>1</v>
      </c>
      <c r="AB10106" s="21">
        <v>2</v>
      </c>
      <c r="AC10106" s="21">
        <v>0</v>
      </c>
      <c r="AD10106" s="21">
        <v>0</v>
      </c>
      <c r="AE10106" s="21">
        <v>0</v>
      </c>
      <c r="AF10106" s="21">
        <v>0</v>
      </c>
      <c r="AG10106" s="21">
        <v>0</v>
      </c>
      <c r="AH10106" s="21">
        <f t="shared" si="217"/>
        <v>0</v>
      </c>
      <c r="AI10106" s="21"/>
      <c r="AJ10106" s="21" t="s">
        <v>51</v>
      </c>
      <c r="AK10106" s="21" t="s">
        <v>95</v>
      </c>
      <c r="AL10106" s="21" t="s">
        <v>7882</v>
      </c>
      <c r="AM10106" s="21" t="s">
        <v>7883</v>
      </c>
      <c r="AN10106" s="21">
        <v>-122.40050545</v>
      </c>
      <c r="AO10106" s="21">
        <v>37.797752016666699</v>
      </c>
      <c r="AP10106" s="21" t="s">
        <v>116</v>
      </c>
    </row>
    <row r="10107" spans="1:42">
      <c r="A10107" s="20">
        <v>43889</v>
      </c>
      <c r="B10107" s="21">
        <v>5</v>
      </c>
      <c r="C10107" s="21">
        <v>302</v>
      </c>
      <c r="D10107" s="21">
        <v>10415</v>
      </c>
      <c r="E10107" s="21" t="s">
        <v>37</v>
      </c>
      <c r="F10107" s="21" t="s">
        <v>38</v>
      </c>
      <c r="G10107" s="21">
        <v>4</v>
      </c>
      <c r="H10107" s="27">
        <v>113.892857142857</v>
      </c>
      <c r="I10107" s="21" t="s">
        <v>7884</v>
      </c>
      <c r="K10107" s="21" t="s">
        <v>58</v>
      </c>
      <c r="N10107" s="21" t="s">
        <v>40</v>
      </c>
      <c r="O10107" s="21">
        <v>42</v>
      </c>
      <c r="Q10107" s="21">
        <f t="shared" si="216"/>
        <v>1</v>
      </c>
      <c r="R10107" s="21">
        <v>1</v>
      </c>
      <c r="S10107" s="21">
        <v>0</v>
      </c>
      <c r="T10107" s="21">
        <v>0</v>
      </c>
      <c r="U10107" s="21">
        <v>0</v>
      </c>
      <c r="V10107" s="21">
        <v>0</v>
      </c>
      <c r="W10107" s="21">
        <v>0</v>
      </c>
      <c r="X10107" s="21">
        <v>0</v>
      </c>
      <c r="Y10107" s="21">
        <v>0</v>
      </c>
      <c r="Z10107" s="21">
        <v>0</v>
      </c>
      <c r="AA10107" s="21">
        <v>0</v>
      </c>
      <c r="AB10107" s="21">
        <v>1</v>
      </c>
      <c r="AC10107" s="21">
        <v>0</v>
      </c>
      <c r="AD10107" s="21">
        <v>0</v>
      </c>
      <c r="AE10107" s="21">
        <v>0</v>
      </c>
      <c r="AF10107" s="21">
        <v>0</v>
      </c>
      <c r="AG10107" s="21">
        <v>0</v>
      </c>
      <c r="AH10107" s="21">
        <f t="shared" si="217"/>
        <v>0</v>
      </c>
      <c r="AI10107" s="21"/>
      <c r="AJ10107" s="21" t="s">
        <v>51</v>
      </c>
      <c r="AK10107" s="21" t="s">
        <v>52</v>
      </c>
      <c r="AL10107" s="21" t="s">
        <v>7156</v>
      </c>
      <c r="AM10107" s="21" t="s">
        <v>7885</v>
      </c>
      <c r="AN10107" s="21">
        <v>-122.400907033333</v>
      </c>
      <c r="AO10107" s="21">
        <v>37.797049233333297</v>
      </c>
      <c r="AP10107" s="21" t="s">
        <v>116</v>
      </c>
    </row>
    <row r="10108" spans="1:42">
      <c r="A10108" s="20">
        <v>43889</v>
      </c>
      <c r="B10108" s="21">
        <v>5</v>
      </c>
      <c r="C10108" s="21">
        <v>302</v>
      </c>
      <c r="D10108" s="21">
        <v>10415</v>
      </c>
      <c r="E10108" s="21" t="s">
        <v>37</v>
      </c>
      <c r="F10108" s="21" t="s">
        <v>38</v>
      </c>
      <c r="G10108" s="21">
        <v>4</v>
      </c>
      <c r="H10108" s="27">
        <v>115.071428571429</v>
      </c>
      <c r="I10108" s="21" t="s">
        <v>7886</v>
      </c>
      <c r="K10108" s="21" t="s">
        <v>58</v>
      </c>
      <c r="N10108" s="21" t="s">
        <v>40</v>
      </c>
      <c r="O10108" s="21">
        <v>61</v>
      </c>
      <c r="Q10108" s="21">
        <f t="shared" si="216"/>
        <v>2</v>
      </c>
      <c r="R10108" s="21">
        <v>1</v>
      </c>
      <c r="S10108" s="21">
        <v>0</v>
      </c>
      <c r="T10108" s="21">
        <v>0</v>
      </c>
      <c r="U10108" s="21">
        <v>0</v>
      </c>
      <c r="V10108" s="21">
        <v>0</v>
      </c>
      <c r="W10108" s="21">
        <v>0</v>
      </c>
      <c r="X10108" s="21">
        <v>0</v>
      </c>
      <c r="Y10108" s="21">
        <v>0</v>
      </c>
      <c r="Z10108" s="21">
        <v>0</v>
      </c>
      <c r="AA10108" s="21">
        <v>1</v>
      </c>
      <c r="AB10108" s="21">
        <v>1</v>
      </c>
      <c r="AC10108" s="21">
        <v>0</v>
      </c>
      <c r="AD10108" s="21">
        <v>0</v>
      </c>
      <c r="AE10108" s="21">
        <v>0</v>
      </c>
      <c r="AF10108" s="21">
        <v>0</v>
      </c>
      <c r="AG10108" s="21">
        <v>0</v>
      </c>
      <c r="AH10108" s="21">
        <f t="shared" si="217"/>
        <v>0</v>
      </c>
      <c r="AI10108" s="21"/>
      <c r="AJ10108" s="21" t="s">
        <v>51</v>
      </c>
      <c r="AK10108" s="21" t="s">
        <v>52</v>
      </c>
      <c r="AL10108" s="21" t="s">
        <v>7887</v>
      </c>
      <c r="AM10108" s="21" t="s">
        <v>7888</v>
      </c>
      <c r="AN10108" s="21">
        <v>-122.40169160000001</v>
      </c>
      <c r="AO10108" s="21">
        <v>37.797555916666703</v>
      </c>
      <c r="AP10108" s="21" t="s">
        <v>116</v>
      </c>
    </row>
    <row r="10109" spans="1:42">
      <c r="A10109" s="20">
        <v>43889</v>
      </c>
      <c r="B10109" s="21">
        <v>5</v>
      </c>
      <c r="C10109" s="21">
        <v>302</v>
      </c>
      <c r="D10109" s="21">
        <v>10415</v>
      </c>
      <c r="E10109" s="21" t="s">
        <v>37</v>
      </c>
      <c r="F10109" s="21" t="s">
        <v>38</v>
      </c>
      <c r="G10109" s="21">
        <v>4</v>
      </c>
      <c r="H10109" s="27">
        <v>116.25</v>
      </c>
      <c r="I10109" s="21" t="s">
        <v>4929</v>
      </c>
      <c r="K10109" s="21" t="s">
        <v>7889</v>
      </c>
      <c r="N10109" s="21" t="s">
        <v>40</v>
      </c>
      <c r="O10109" s="21">
        <v>37</v>
      </c>
      <c r="Q10109" s="21">
        <f t="shared" si="216"/>
        <v>1</v>
      </c>
      <c r="R10109" s="21">
        <v>1</v>
      </c>
      <c r="S10109" s="21">
        <v>0</v>
      </c>
      <c r="T10109" s="21">
        <v>0</v>
      </c>
      <c r="U10109" s="21">
        <v>0</v>
      </c>
      <c r="V10109" s="21">
        <v>0</v>
      </c>
      <c r="W10109" s="21">
        <v>0</v>
      </c>
      <c r="X10109" s="21">
        <v>0</v>
      </c>
      <c r="Y10109" s="21">
        <v>0</v>
      </c>
      <c r="Z10109" s="21">
        <v>0</v>
      </c>
      <c r="AA10109" s="21">
        <v>0</v>
      </c>
      <c r="AB10109" s="21">
        <v>1</v>
      </c>
      <c r="AC10109" s="21">
        <v>0</v>
      </c>
      <c r="AD10109" s="21">
        <v>0</v>
      </c>
      <c r="AE10109" s="21">
        <v>0</v>
      </c>
      <c r="AF10109" s="21">
        <v>0</v>
      </c>
      <c r="AG10109" s="21">
        <v>0</v>
      </c>
      <c r="AH10109" s="21">
        <f t="shared" si="217"/>
        <v>0</v>
      </c>
      <c r="AI10109" s="21"/>
      <c r="AJ10109" s="21" t="s">
        <v>51</v>
      </c>
      <c r="AK10109" s="21" t="s">
        <v>95</v>
      </c>
      <c r="AL10109" s="21"/>
      <c r="AM10109" s="21" t="s">
        <v>7890</v>
      </c>
      <c r="AN10109" s="21">
        <v>-122.40181819999999</v>
      </c>
      <c r="AO10109" s="21">
        <v>37.796845333333302</v>
      </c>
      <c r="AP10109" s="21" t="s">
        <v>116</v>
      </c>
    </row>
    <row r="10110" spans="1:42">
      <c r="A10110" s="20">
        <v>43889</v>
      </c>
      <c r="B10110" s="21">
        <v>5</v>
      </c>
      <c r="C10110" s="21">
        <v>302</v>
      </c>
      <c r="D10110" s="21">
        <v>10415</v>
      </c>
      <c r="E10110" s="21" t="s">
        <v>37</v>
      </c>
      <c r="F10110" s="21" t="s">
        <v>38</v>
      </c>
      <c r="G10110" s="21">
        <v>4</v>
      </c>
      <c r="H10110" s="27">
        <v>117.428571428571</v>
      </c>
      <c r="I10110" s="21" t="s">
        <v>3684</v>
      </c>
      <c r="K10110" s="21" t="s">
        <v>71</v>
      </c>
      <c r="N10110" s="21" t="s">
        <v>44</v>
      </c>
      <c r="O10110" s="21">
        <v>59</v>
      </c>
      <c r="Q10110" s="21">
        <f t="shared" si="216"/>
        <v>1</v>
      </c>
      <c r="R10110" s="21">
        <v>1</v>
      </c>
      <c r="S10110" s="21">
        <v>0</v>
      </c>
      <c r="T10110" s="21">
        <v>0</v>
      </c>
      <c r="U10110" s="21">
        <v>0</v>
      </c>
      <c r="V10110" s="21">
        <v>0</v>
      </c>
      <c r="W10110" s="21">
        <v>0</v>
      </c>
      <c r="X10110" s="21">
        <v>0</v>
      </c>
      <c r="Y10110" s="21">
        <v>0</v>
      </c>
      <c r="Z10110" s="21">
        <v>0</v>
      </c>
      <c r="AA10110" s="21">
        <v>1</v>
      </c>
      <c r="AB10110" s="21">
        <v>0</v>
      </c>
      <c r="AC10110" s="21">
        <v>0</v>
      </c>
      <c r="AD10110" s="21">
        <v>0</v>
      </c>
      <c r="AE10110" s="21">
        <v>0</v>
      </c>
      <c r="AF10110" s="21">
        <v>0</v>
      </c>
      <c r="AG10110" s="21">
        <v>0</v>
      </c>
      <c r="AH10110" s="21">
        <f t="shared" si="217"/>
        <v>0</v>
      </c>
      <c r="AI10110" s="21"/>
      <c r="AJ10110" s="21" t="s">
        <v>51</v>
      </c>
      <c r="AK10110" s="21" t="s">
        <v>95</v>
      </c>
      <c r="AL10110" s="21" t="s">
        <v>7105</v>
      </c>
      <c r="AM10110" s="21" t="s">
        <v>7891</v>
      </c>
      <c r="AN10110" s="21">
        <v>-122.402682566667</v>
      </c>
      <c r="AO10110" s="21">
        <v>37.796851833333299</v>
      </c>
      <c r="AP10110" s="21" t="s">
        <v>116</v>
      </c>
    </row>
    <row r="10111" spans="1:42">
      <c r="A10111" s="20">
        <v>43889</v>
      </c>
      <c r="B10111" s="21">
        <v>5</v>
      </c>
      <c r="C10111" s="21">
        <v>302</v>
      </c>
      <c r="D10111" s="21">
        <v>10415</v>
      </c>
      <c r="E10111" s="21" t="s">
        <v>37</v>
      </c>
      <c r="F10111" s="21" t="s">
        <v>38</v>
      </c>
      <c r="G10111" s="21">
        <v>4</v>
      </c>
      <c r="H10111" s="27">
        <v>118.607142857143</v>
      </c>
      <c r="I10111" s="21" t="s">
        <v>7892</v>
      </c>
      <c r="K10111" s="21" t="s">
        <v>71</v>
      </c>
      <c r="N10111" s="21" t="s">
        <v>40</v>
      </c>
      <c r="O10111" s="21">
        <v>49</v>
      </c>
      <c r="Q10111" s="21">
        <f t="shared" si="216"/>
        <v>2</v>
      </c>
      <c r="R10111" s="21">
        <v>1</v>
      </c>
      <c r="S10111" s="21">
        <v>0</v>
      </c>
      <c r="T10111" s="21">
        <v>0</v>
      </c>
      <c r="U10111" s="21">
        <v>0</v>
      </c>
      <c r="V10111" s="21">
        <v>0</v>
      </c>
      <c r="W10111" s="21">
        <v>0</v>
      </c>
      <c r="X10111" s="21">
        <v>0</v>
      </c>
      <c r="Y10111" s="21">
        <v>0</v>
      </c>
      <c r="Z10111" s="21">
        <v>0</v>
      </c>
      <c r="AA10111" s="21">
        <v>0</v>
      </c>
      <c r="AB10111" s="21">
        <v>2</v>
      </c>
      <c r="AC10111" s="21">
        <v>0</v>
      </c>
      <c r="AD10111" s="21">
        <v>0</v>
      </c>
      <c r="AE10111" s="21">
        <v>0</v>
      </c>
      <c r="AF10111" s="21">
        <v>0</v>
      </c>
      <c r="AG10111" s="21">
        <v>0</v>
      </c>
      <c r="AH10111" s="21">
        <f t="shared" si="217"/>
        <v>0</v>
      </c>
      <c r="AI10111" s="21"/>
      <c r="AJ10111" s="21" t="s">
        <v>51</v>
      </c>
      <c r="AK10111" s="21" t="s">
        <v>52</v>
      </c>
      <c r="AL10111" s="21"/>
      <c r="AM10111" s="21" t="s">
        <v>7893</v>
      </c>
      <c r="AN10111" s="21">
        <v>-122.403128533333</v>
      </c>
      <c r="AO10111" s="21">
        <v>37.7967303</v>
      </c>
      <c r="AP10111" s="21" t="s">
        <v>116</v>
      </c>
    </row>
    <row r="10112" spans="1:42">
      <c r="A10112" s="20">
        <v>43889</v>
      </c>
      <c r="B10112" s="21">
        <v>5</v>
      </c>
      <c r="C10112" s="21">
        <v>302</v>
      </c>
      <c r="D10112" s="21">
        <v>10415</v>
      </c>
      <c r="E10112" s="21" t="s">
        <v>37</v>
      </c>
      <c r="F10112" s="21" t="s">
        <v>38</v>
      </c>
      <c r="G10112" s="21">
        <v>4</v>
      </c>
      <c r="H10112" s="27">
        <v>119.78571428571399</v>
      </c>
      <c r="I10112" s="21" t="s">
        <v>6048</v>
      </c>
      <c r="K10112" s="21" t="s">
        <v>7362</v>
      </c>
      <c r="N10112" s="21" t="s">
        <v>44</v>
      </c>
      <c r="O10112" s="21">
        <v>51</v>
      </c>
      <c r="Q10112" s="21">
        <f t="shared" si="216"/>
        <v>1</v>
      </c>
      <c r="R10112" s="21">
        <v>1</v>
      </c>
      <c r="S10112" s="21">
        <v>0</v>
      </c>
      <c r="T10112" s="21">
        <v>0</v>
      </c>
      <c r="U10112" s="21">
        <v>0</v>
      </c>
      <c r="V10112" s="21">
        <v>0</v>
      </c>
      <c r="W10112" s="21">
        <v>0</v>
      </c>
      <c r="X10112" s="21">
        <v>0</v>
      </c>
      <c r="Y10112" s="21">
        <v>0</v>
      </c>
      <c r="Z10112" s="21">
        <v>0</v>
      </c>
      <c r="AA10112" s="21">
        <v>1</v>
      </c>
      <c r="AB10112" s="21">
        <v>0</v>
      </c>
      <c r="AC10112" s="21">
        <v>0</v>
      </c>
      <c r="AD10112" s="21">
        <v>0</v>
      </c>
      <c r="AE10112" s="21">
        <v>0</v>
      </c>
      <c r="AF10112" s="21">
        <v>0</v>
      </c>
      <c r="AG10112" s="21">
        <v>0</v>
      </c>
      <c r="AH10112" s="21">
        <f t="shared" si="217"/>
        <v>0</v>
      </c>
      <c r="AI10112" s="21"/>
      <c r="AJ10112" s="21" t="s">
        <v>51</v>
      </c>
      <c r="AK10112" s="21" t="s">
        <v>52</v>
      </c>
      <c r="AL10112" s="21" t="s">
        <v>7894</v>
      </c>
      <c r="AM10112" s="21" t="s">
        <v>7895</v>
      </c>
      <c r="AN10112" s="21">
        <v>-122.404234166667</v>
      </c>
      <c r="AO10112" s="21">
        <v>37.797277066666602</v>
      </c>
      <c r="AP10112" s="21" t="s">
        <v>116</v>
      </c>
    </row>
    <row r="10113" spans="1:42">
      <c r="A10113" s="20">
        <v>43889</v>
      </c>
      <c r="B10113" s="21">
        <v>5</v>
      </c>
      <c r="C10113" s="21">
        <v>302</v>
      </c>
      <c r="D10113" s="21">
        <v>10415</v>
      </c>
      <c r="E10113" s="21" t="s">
        <v>37</v>
      </c>
      <c r="F10113" s="21" t="s">
        <v>38</v>
      </c>
      <c r="G10113" s="21">
        <v>4</v>
      </c>
      <c r="H10113" s="27">
        <v>120.96428571428601</v>
      </c>
      <c r="I10113" s="21" t="s">
        <v>7896</v>
      </c>
      <c r="K10113" s="21" t="s">
        <v>7362</v>
      </c>
      <c r="N10113" s="21" t="s">
        <v>40</v>
      </c>
      <c r="O10113" s="21">
        <v>68</v>
      </c>
      <c r="Q10113" s="21">
        <f t="shared" ref="Q10113:Q10147" si="218">S10113+T10113+U10113+V10113+W10113+X10113+Y10113+Z10113+AA10113+AB10113+AE10113+AF10113</f>
        <v>4</v>
      </c>
      <c r="R10113" s="21">
        <v>1</v>
      </c>
      <c r="S10113" s="21">
        <v>0</v>
      </c>
      <c r="T10113" s="21">
        <v>0</v>
      </c>
      <c r="U10113" s="21">
        <v>0</v>
      </c>
      <c r="V10113" s="21">
        <v>0</v>
      </c>
      <c r="W10113" s="21">
        <v>0</v>
      </c>
      <c r="X10113" s="21">
        <v>0</v>
      </c>
      <c r="Y10113" s="21">
        <v>0</v>
      </c>
      <c r="Z10113" s="21">
        <v>0</v>
      </c>
      <c r="AA10113" s="21">
        <v>2</v>
      </c>
      <c r="AB10113" s="21">
        <v>2</v>
      </c>
      <c r="AC10113" s="21">
        <v>0</v>
      </c>
      <c r="AD10113" s="21">
        <v>0</v>
      </c>
      <c r="AE10113" s="21">
        <v>0</v>
      </c>
      <c r="AF10113" s="21">
        <v>0</v>
      </c>
      <c r="AG10113" s="21">
        <v>0</v>
      </c>
      <c r="AH10113" s="21">
        <f t="shared" si="217"/>
        <v>0</v>
      </c>
      <c r="AI10113" s="21"/>
      <c r="AJ10113" s="21" t="s">
        <v>51</v>
      </c>
      <c r="AK10113" s="21" t="s">
        <v>52</v>
      </c>
      <c r="AL10113" s="21"/>
      <c r="AM10113" s="21" t="s">
        <v>7897</v>
      </c>
      <c r="AN10113" s="21">
        <v>-122.40419066666701</v>
      </c>
      <c r="AO10113" s="21">
        <v>37.797181216666701</v>
      </c>
      <c r="AP10113" s="21" t="s">
        <v>116</v>
      </c>
    </row>
    <row r="10114" spans="1:42">
      <c r="A10114" s="20">
        <v>43889</v>
      </c>
      <c r="B10114" s="21">
        <v>5</v>
      </c>
      <c r="C10114" s="21">
        <v>302</v>
      </c>
      <c r="D10114" s="21">
        <v>10415</v>
      </c>
      <c r="E10114" s="21" t="s">
        <v>37</v>
      </c>
      <c r="F10114" s="21" t="s">
        <v>38</v>
      </c>
      <c r="G10114" s="21">
        <v>4</v>
      </c>
      <c r="H10114" s="27">
        <v>122.142857142857</v>
      </c>
      <c r="I10114" s="21" t="s">
        <v>7898</v>
      </c>
      <c r="K10114" s="21" t="s">
        <v>7362</v>
      </c>
      <c r="N10114" s="21" t="s">
        <v>40</v>
      </c>
      <c r="O10114" s="21">
        <v>43</v>
      </c>
      <c r="Q10114" s="21">
        <f t="shared" si="218"/>
        <v>1</v>
      </c>
      <c r="R10114" s="21">
        <v>1</v>
      </c>
      <c r="S10114" s="21">
        <v>0</v>
      </c>
      <c r="T10114" s="21">
        <v>0</v>
      </c>
      <c r="U10114" s="21">
        <v>0</v>
      </c>
      <c r="V10114" s="21">
        <v>0</v>
      </c>
      <c r="W10114" s="21">
        <v>0</v>
      </c>
      <c r="X10114" s="21">
        <v>0</v>
      </c>
      <c r="Y10114" s="21">
        <v>0</v>
      </c>
      <c r="Z10114" s="21">
        <v>0</v>
      </c>
      <c r="AA10114" s="21">
        <v>0</v>
      </c>
      <c r="AB10114" s="21">
        <v>1</v>
      </c>
      <c r="AC10114" s="21">
        <v>0</v>
      </c>
      <c r="AD10114" s="21">
        <v>0</v>
      </c>
      <c r="AE10114" s="21">
        <v>0</v>
      </c>
      <c r="AF10114" s="21">
        <v>0</v>
      </c>
      <c r="AG10114" s="21">
        <v>0</v>
      </c>
      <c r="AH10114" s="21">
        <f t="shared" si="217"/>
        <v>0</v>
      </c>
      <c r="AI10114" s="21"/>
      <c r="AJ10114" s="21" t="s">
        <v>51</v>
      </c>
      <c r="AK10114" s="21" t="s">
        <v>95</v>
      </c>
      <c r="AL10114" s="21"/>
      <c r="AM10114" s="21" t="s">
        <v>7899</v>
      </c>
      <c r="AN10114" s="21">
        <v>-122.40480928333299</v>
      </c>
      <c r="AO10114" s="21">
        <v>37.797178766666697</v>
      </c>
      <c r="AP10114" s="21" t="s">
        <v>116</v>
      </c>
    </row>
    <row r="10115" spans="1:42">
      <c r="A10115" s="20">
        <v>43889</v>
      </c>
      <c r="B10115" s="21">
        <v>5</v>
      </c>
      <c r="C10115" s="21">
        <v>302</v>
      </c>
      <c r="D10115" s="21">
        <v>10415</v>
      </c>
      <c r="E10115" s="21" t="s">
        <v>37</v>
      </c>
      <c r="F10115" s="21" t="s">
        <v>38</v>
      </c>
      <c r="G10115" s="21">
        <v>4</v>
      </c>
      <c r="H10115" s="27">
        <v>123.321428571429</v>
      </c>
      <c r="I10115" s="21" t="s">
        <v>7900</v>
      </c>
      <c r="K10115" s="21" t="s">
        <v>1115</v>
      </c>
      <c r="N10115" s="21" t="s">
        <v>40</v>
      </c>
      <c r="O10115" s="21">
        <v>43</v>
      </c>
      <c r="Q10115" s="21">
        <f t="shared" si="218"/>
        <v>1</v>
      </c>
      <c r="R10115" s="21">
        <v>1</v>
      </c>
      <c r="S10115" s="21">
        <v>0</v>
      </c>
      <c r="T10115" s="21">
        <v>0</v>
      </c>
      <c r="U10115" s="21">
        <v>0</v>
      </c>
      <c r="V10115" s="21">
        <v>0</v>
      </c>
      <c r="W10115" s="21">
        <v>0</v>
      </c>
      <c r="X10115" s="21">
        <v>0</v>
      </c>
      <c r="Y10115" s="21">
        <v>0</v>
      </c>
      <c r="Z10115" s="21">
        <v>0</v>
      </c>
      <c r="AA10115" s="21">
        <v>0</v>
      </c>
      <c r="AB10115" s="21">
        <v>1</v>
      </c>
      <c r="AC10115" s="21">
        <v>0</v>
      </c>
      <c r="AD10115" s="21">
        <v>0</v>
      </c>
      <c r="AE10115" s="21">
        <v>0</v>
      </c>
      <c r="AF10115" s="21">
        <v>0</v>
      </c>
      <c r="AG10115" s="21">
        <v>0</v>
      </c>
      <c r="AH10115" s="21">
        <f t="shared" si="217"/>
        <v>0</v>
      </c>
      <c r="AI10115" s="21"/>
      <c r="AJ10115" s="21" t="s">
        <v>54</v>
      </c>
      <c r="AK10115" s="21" t="s">
        <v>95</v>
      </c>
      <c r="AL10115" s="21"/>
      <c r="AM10115" s="21" t="s">
        <v>7901</v>
      </c>
      <c r="AN10115" s="21">
        <v>-122.40529076666699</v>
      </c>
      <c r="AO10115" s="21">
        <v>37.797071500000001</v>
      </c>
      <c r="AP10115" s="21" t="s">
        <v>116</v>
      </c>
    </row>
    <row r="10116" spans="1:42">
      <c r="A10116" s="20">
        <v>43889</v>
      </c>
      <c r="B10116" s="21">
        <v>5</v>
      </c>
      <c r="C10116" s="21">
        <v>302</v>
      </c>
      <c r="D10116" s="21">
        <v>10415</v>
      </c>
      <c r="E10116" s="21" t="s">
        <v>37</v>
      </c>
      <c r="F10116" s="21" t="s">
        <v>38</v>
      </c>
      <c r="G10116" s="21">
        <v>4</v>
      </c>
      <c r="H10116" s="27">
        <v>124.5</v>
      </c>
      <c r="I10116" s="21" t="s">
        <v>7902</v>
      </c>
      <c r="K10116" s="21" t="s">
        <v>1115</v>
      </c>
      <c r="N10116" s="21" t="s">
        <v>40</v>
      </c>
      <c r="O10116" s="21">
        <v>51</v>
      </c>
      <c r="Q10116" s="21">
        <f t="shared" si="218"/>
        <v>1</v>
      </c>
      <c r="R10116" s="21">
        <v>1</v>
      </c>
      <c r="S10116" s="21">
        <v>0</v>
      </c>
      <c r="T10116" s="21">
        <v>0</v>
      </c>
      <c r="U10116" s="21">
        <v>0</v>
      </c>
      <c r="V10116" s="21">
        <v>0</v>
      </c>
      <c r="W10116" s="21">
        <v>0</v>
      </c>
      <c r="X10116" s="21">
        <v>0</v>
      </c>
      <c r="Y10116" s="21">
        <v>0</v>
      </c>
      <c r="Z10116" s="21">
        <v>0</v>
      </c>
      <c r="AA10116" s="21">
        <v>0</v>
      </c>
      <c r="AB10116" s="21">
        <v>1</v>
      </c>
      <c r="AC10116" s="21">
        <v>0</v>
      </c>
      <c r="AD10116" s="21">
        <v>0</v>
      </c>
      <c r="AE10116" s="21">
        <v>0</v>
      </c>
      <c r="AF10116" s="21">
        <v>0</v>
      </c>
      <c r="AG10116" s="21">
        <v>0</v>
      </c>
      <c r="AH10116" s="21">
        <f t="shared" si="217"/>
        <v>0</v>
      </c>
      <c r="AI10116" s="21"/>
      <c r="AJ10116" s="21" t="s">
        <v>51</v>
      </c>
      <c r="AK10116" s="21" t="s">
        <v>52</v>
      </c>
      <c r="AL10116" s="21"/>
      <c r="AM10116" s="21" t="s">
        <v>7903</v>
      </c>
      <c r="AN10116" s="21">
        <v>-122.40571414999999</v>
      </c>
      <c r="AO10116" s="21">
        <v>37.797298949999998</v>
      </c>
      <c r="AP10116" s="21" t="s">
        <v>116</v>
      </c>
    </row>
    <row r="10117" spans="1:42">
      <c r="A10117" s="20">
        <v>43889</v>
      </c>
      <c r="B10117" s="21">
        <v>5</v>
      </c>
      <c r="C10117" s="21">
        <v>302</v>
      </c>
      <c r="D10117" s="21">
        <v>10415</v>
      </c>
      <c r="E10117" s="21" t="s">
        <v>37</v>
      </c>
      <c r="F10117" s="21" t="s">
        <v>38</v>
      </c>
      <c r="G10117" s="21">
        <v>4</v>
      </c>
      <c r="H10117" s="27">
        <v>125.678571428571</v>
      </c>
      <c r="I10117" s="21" t="s">
        <v>3214</v>
      </c>
      <c r="K10117" s="21" t="s">
        <v>1115</v>
      </c>
      <c r="N10117" s="21" t="s">
        <v>40</v>
      </c>
      <c r="O10117" s="21">
        <v>40</v>
      </c>
      <c r="Q10117" s="21">
        <f t="shared" si="218"/>
        <v>1</v>
      </c>
      <c r="R10117" s="21">
        <v>1</v>
      </c>
      <c r="S10117" s="21">
        <v>0</v>
      </c>
      <c r="T10117" s="21">
        <v>0</v>
      </c>
      <c r="U10117" s="21">
        <v>0</v>
      </c>
      <c r="V10117" s="21">
        <v>0</v>
      </c>
      <c r="W10117" s="21">
        <v>0</v>
      </c>
      <c r="X10117" s="21">
        <v>0</v>
      </c>
      <c r="Y10117" s="21">
        <v>0</v>
      </c>
      <c r="Z10117" s="21">
        <v>0</v>
      </c>
      <c r="AA10117" s="21">
        <v>0</v>
      </c>
      <c r="AB10117" s="21">
        <v>1</v>
      </c>
      <c r="AC10117" s="21">
        <v>0</v>
      </c>
      <c r="AD10117" s="21">
        <v>0</v>
      </c>
      <c r="AE10117" s="21">
        <v>0</v>
      </c>
      <c r="AF10117" s="21">
        <v>0</v>
      </c>
      <c r="AG10117" s="21">
        <v>0</v>
      </c>
      <c r="AH10117" s="21">
        <f t="shared" si="217"/>
        <v>0</v>
      </c>
      <c r="AI10117" s="21"/>
      <c r="AJ10117" s="21" t="s">
        <v>51</v>
      </c>
      <c r="AK10117" s="21" t="s">
        <v>52</v>
      </c>
      <c r="AL10117" s="21"/>
      <c r="AM10117" s="21" t="s">
        <v>7904</v>
      </c>
      <c r="AN10117" s="21">
        <v>-122.406035283333</v>
      </c>
      <c r="AO10117" s="21">
        <v>37.797580316666597</v>
      </c>
      <c r="AP10117" s="21" t="s">
        <v>116</v>
      </c>
    </row>
    <row r="10118" spans="1:42">
      <c r="A10118" s="20">
        <v>43889</v>
      </c>
      <c r="B10118" s="21">
        <v>5</v>
      </c>
      <c r="C10118" s="21">
        <v>302</v>
      </c>
      <c r="D10118" s="21">
        <v>10415</v>
      </c>
      <c r="E10118" s="21" t="s">
        <v>37</v>
      </c>
      <c r="F10118" s="21" t="s">
        <v>38</v>
      </c>
      <c r="G10118" s="21">
        <v>4</v>
      </c>
      <c r="H10118" s="27">
        <v>126.857142857143</v>
      </c>
      <c r="I10118" s="21" t="s">
        <v>7905</v>
      </c>
      <c r="K10118" s="21" t="s">
        <v>7362</v>
      </c>
      <c r="N10118" s="21" t="s">
        <v>40</v>
      </c>
      <c r="O10118" s="21">
        <v>61</v>
      </c>
      <c r="Q10118" s="21">
        <f t="shared" si="218"/>
        <v>2</v>
      </c>
      <c r="R10118" s="21">
        <v>1</v>
      </c>
      <c r="S10118" s="21">
        <v>0</v>
      </c>
      <c r="T10118" s="21">
        <v>0</v>
      </c>
      <c r="U10118" s="21">
        <v>0</v>
      </c>
      <c r="V10118" s="21">
        <v>0</v>
      </c>
      <c r="W10118" s="21">
        <v>0</v>
      </c>
      <c r="X10118" s="21">
        <v>0</v>
      </c>
      <c r="Y10118" s="21">
        <v>0</v>
      </c>
      <c r="Z10118" s="21">
        <v>0</v>
      </c>
      <c r="AA10118" s="21">
        <v>0</v>
      </c>
      <c r="AB10118" s="21">
        <v>2</v>
      </c>
      <c r="AC10118" s="21">
        <v>0</v>
      </c>
      <c r="AD10118" s="21">
        <v>0</v>
      </c>
      <c r="AE10118" s="21">
        <v>0</v>
      </c>
      <c r="AF10118" s="21">
        <v>0</v>
      </c>
      <c r="AG10118" s="21">
        <v>0</v>
      </c>
      <c r="AH10118" s="21">
        <f t="shared" si="217"/>
        <v>0</v>
      </c>
      <c r="AI10118" s="21"/>
      <c r="AJ10118" s="21" t="s">
        <v>51</v>
      </c>
      <c r="AK10118" s="21" t="s">
        <v>52</v>
      </c>
      <c r="AL10118" s="21"/>
      <c r="AM10118" s="21" t="s">
        <v>7906</v>
      </c>
      <c r="AN10118" s="21">
        <v>-122.40535611666699</v>
      </c>
      <c r="AO10118" s="21">
        <v>37.797160816666597</v>
      </c>
      <c r="AP10118" s="21" t="s">
        <v>116</v>
      </c>
    </row>
    <row r="10119" spans="1:42">
      <c r="A10119" s="20">
        <v>43889</v>
      </c>
      <c r="B10119" s="21">
        <v>5</v>
      </c>
      <c r="C10119" s="21">
        <v>302</v>
      </c>
      <c r="D10119" s="21">
        <v>10415</v>
      </c>
      <c r="E10119" s="21" t="s">
        <v>37</v>
      </c>
      <c r="F10119" s="21" t="s">
        <v>38</v>
      </c>
      <c r="G10119" s="21">
        <v>4</v>
      </c>
      <c r="H10119" s="27">
        <v>128.03571428571399</v>
      </c>
      <c r="I10119" s="21" t="s">
        <v>5695</v>
      </c>
      <c r="K10119" s="21" t="s">
        <v>1115</v>
      </c>
      <c r="N10119" s="21" t="s">
        <v>40</v>
      </c>
      <c r="O10119" s="21">
        <v>39</v>
      </c>
      <c r="Q10119" s="21">
        <f t="shared" si="218"/>
        <v>1</v>
      </c>
      <c r="R10119" s="21">
        <v>1</v>
      </c>
      <c r="S10119" s="21">
        <v>0</v>
      </c>
      <c r="T10119" s="21">
        <v>0</v>
      </c>
      <c r="U10119" s="21">
        <v>0</v>
      </c>
      <c r="V10119" s="21">
        <v>0</v>
      </c>
      <c r="W10119" s="21">
        <v>0</v>
      </c>
      <c r="X10119" s="21">
        <v>0</v>
      </c>
      <c r="Y10119" s="21">
        <v>0</v>
      </c>
      <c r="Z10119" s="21">
        <v>0</v>
      </c>
      <c r="AA10119" s="21">
        <v>1</v>
      </c>
      <c r="AB10119" s="21">
        <v>0</v>
      </c>
      <c r="AC10119" s="21">
        <v>0</v>
      </c>
      <c r="AD10119" s="21">
        <v>0</v>
      </c>
      <c r="AE10119" s="21">
        <v>0</v>
      </c>
      <c r="AF10119" s="21">
        <v>0</v>
      </c>
      <c r="AG10119" s="21">
        <v>0</v>
      </c>
      <c r="AH10119" s="21">
        <f t="shared" si="217"/>
        <v>0</v>
      </c>
      <c r="AI10119" s="21"/>
      <c r="AJ10119" s="21" t="s">
        <v>51</v>
      </c>
      <c r="AK10119" s="21" t="s">
        <v>95</v>
      </c>
      <c r="AL10119" s="21"/>
      <c r="AM10119" s="21" t="s">
        <v>7907</v>
      </c>
      <c r="AN10119" s="21">
        <v>-122.405661783333</v>
      </c>
      <c r="AO10119" s="21">
        <v>37.797020400000001</v>
      </c>
      <c r="AP10119" s="21" t="s">
        <v>116</v>
      </c>
    </row>
    <row r="10120" spans="1:42">
      <c r="A10120" s="20">
        <v>43889</v>
      </c>
      <c r="B10120" s="21">
        <v>5</v>
      </c>
      <c r="C10120" s="21">
        <v>302</v>
      </c>
      <c r="D10120" s="21">
        <v>10415</v>
      </c>
      <c r="E10120" s="21" t="s">
        <v>37</v>
      </c>
      <c r="F10120" s="21" t="s">
        <v>38</v>
      </c>
      <c r="G10120" s="21">
        <v>4</v>
      </c>
      <c r="H10120" s="27">
        <v>129.21428571428601</v>
      </c>
      <c r="I10120" s="21" t="s">
        <v>7908</v>
      </c>
      <c r="K10120" s="21" t="s">
        <v>7362</v>
      </c>
      <c r="N10120" s="21" t="s">
        <v>40</v>
      </c>
      <c r="O10120" s="21">
        <v>73</v>
      </c>
      <c r="Q10120" s="21">
        <f t="shared" si="218"/>
        <v>2</v>
      </c>
      <c r="R10120" s="21">
        <v>1</v>
      </c>
      <c r="S10120" s="21">
        <v>0</v>
      </c>
      <c r="T10120" s="21">
        <v>0</v>
      </c>
      <c r="U10120" s="21">
        <v>0</v>
      </c>
      <c r="V10120" s="21">
        <v>0</v>
      </c>
      <c r="W10120" s="21">
        <v>0</v>
      </c>
      <c r="X10120" s="21">
        <v>0</v>
      </c>
      <c r="Y10120" s="21">
        <v>0</v>
      </c>
      <c r="Z10120" s="21">
        <v>0</v>
      </c>
      <c r="AA10120" s="21">
        <v>0</v>
      </c>
      <c r="AB10120" s="21">
        <v>2</v>
      </c>
      <c r="AC10120" s="21">
        <v>0</v>
      </c>
      <c r="AD10120" s="21">
        <v>0</v>
      </c>
      <c r="AE10120" s="21">
        <v>0</v>
      </c>
      <c r="AF10120" s="21">
        <v>0</v>
      </c>
      <c r="AG10120" s="21">
        <v>0</v>
      </c>
      <c r="AH10120" s="21">
        <f t="shared" si="217"/>
        <v>0</v>
      </c>
      <c r="AI10120" s="21"/>
      <c r="AJ10120" s="21" t="s">
        <v>51</v>
      </c>
      <c r="AK10120" s="21" t="s">
        <v>52</v>
      </c>
      <c r="AL10120" s="21"/>
      <c r="AM10120" s="21" t="s">
        <v>7909</v>
      </c>
      <c r="AN10120" s="21">
        <v>-122.40591355321</v>
      </c>
      <c r="AO10120" s="21">
        <v>37.796798288187297</v>
      </c>
      <c r="AP10120" s="21" t="s">
        <v>116</v>
      </c>
    </row>
    <row r="10121" spans="1:42">
      <c r="A10121" s="20">
        <v>43889</v>
      </c>
      <c r="B10121" s="21">
        <v>5</v>
      </c>
      <c r="C10121" s="21">
        <v>302</v>
      </c>
      <c r="D10121" s="21">
        <v>10415</v>
      </c>
      <c r="E10121" s="21" t="s">
        <v>37</v>
      </c>
      <c r="F10121" s="21" t="s">
        <v>38</v>
      </c>
      <c r="G10121" s="21">
        <v>4</v>
      </c>
      <c r="H10121" s="27">
        <v>130.392857142857</v>
      </c>
      <c r="I10121" s="21" t="s">
        <v>7910</v>
      </c>
      <c r="K10121" s="21" t="s">
        <v>7362</v>
      </c>
      <c r="N10121" s="21" t="s">
        <v>40</v>
      </c>
      <c r="O10121" s="21">
        <v>49</v>
      </c>
      <c r="Q10121" s="21">
        <f t="shared" si="218"/>
        <v>1</v>
      </c>
      <c r="R10121" s="21">
        <v>1</v>
      </c>
      <c r="S10121" s="21">
        <v>0</v>
      </c>
      <c r="T10121" s="21">
        <v>0</v>
      </c>
      <c r="U10121" s="21">
        <v>0</v>
      </c>
      <c r="V10121" s="21">
        <v>0</v>
      </c>
      <c r="W10121" s="21">
        <v>0</v>
      </c>
      <c r="X10121" s="21">
        <v>0</v>
      </c>
      <c r="Y10121" s="21">
        <v>0</v>
      </c>
      <c r="Z10121" s="21">
        <v>0</v>
      </c>
      <c r="AA10121" s="21">
        <v>1</v>
      </c>
      <c r="AB10121" s="21">
        <v>0</v>
      </c>
      <c r="AC10121" s="21">
        <v>0</v>
      </c>
      <c r="AD10121" s="21">
        <v>0</v>
      </c>
      <c r="AE10121" s="21">
        <v>0</v>
      </c>
      <c r="AF10121" s="21">
        <v>0</v>
      </c>
      <c r="AG10121" s="21">
        <v>0</v>
      </c>
      <c r="AH10121" s="21">
        <f t="shared" si="217"/>
        <v>0</v>
      </c>
      <c r="AI10121" s="21"/>
      <c r="AJ10121" s="21" t="s">
        <v>51</v>
      </c>
      <c r="AK10121" s="21" t="s">
        <v>52</v>
      </c>
      <c r="AL10121" s="21"/>
      <c r="AM10121" s="21" t="s">
        <v>7911</v>
      </c>
      <c r="AN10121" s="21">
        <v>-122.40623075000001</v>
      </c>
      <c r="AO10121" s="21">
        <v>37.797034083333401</v>
      </c>
      <c r="AP10121" s="21" t="s">
        <v>116</v>
      </c>
    </row>
    <row r="10122" spans="1:42">
      <c r="A10122" s="20">
        <v>43889</v>
      </c>
      <c r="B10122" s="21">
        <v>5</v>
      </c>
      <c r="C10122" s="21">
        <v>302</v>
      </c>
      <c r="D10122" s="21">
        <v>10415</v>
      </c>
      <c r="E10122" s="21" t="s">
        <v>37</v>
      </c>
      <c r="F10122" s="21" t="s">
        <v>38</v>
      </c>
      <c r="G10122" s="21">
        <v>4</v>
      </c>
      <c r="H10122" s="27">
        <v>131.57142857142901</v>
      </c>
      <c r="I10122" s="21" t="s">
        <v>6741</v>
      </c>
      <c r="K10122" s="21" t="s">
        <v>7362</v>
      </c>
      <c r="N10122" s="21" t="s">
        <v>44</v>
      </c>
      <c r="O10122" s="21">
        <v>78</v>
      </c>
      <c r="Q10122" s="21">
        <f t="shared" si="218"/>
        <v>1</v>
      </c>
      <c r="R10122" s="21">
        <v>1</v>
      </c>
      <c r="S10122" s="21">
        <v>0</v>
      </c>
      <c r="T10122" s="21">
        <v>0</v>
      </c>
      <c r="U10122" s="21">
        <v>0</v>
      </c>
      <c r="V10122" s="21">
        <v>0</v>
      </c>
      <c r="W10122" s="21">
        <v>0</v>
      </c>
      <c r="X10122" s="21">
        <v>0</v>
      </c>
      <c r="Y10122" s="21">
        <v>0</v>
      </c>
      <c r="Z10122" s="21">
        <v>0</v>
      </c>
      <c r="AA10122" s="21">
        <v>0</v>
      </c>
      <c r="AB10122" s="21">
        <v>1</v>
      </c>
      <c r="AC10122" s="21">
        <v>0</v>
      </c>
      <c r="AD10122" s="21">
        <v>0</v>
      </c>
      <c r="AE10122" s="21">
        <v>0</v>
      </c>
      <c r="AF10122" s="21">
        <v>0</v>
      </c>
      <c r="AG10122" s="21">
        <v>0</v>
      </c>
      <c r="AH10122" s="21">
        <f t="shared" si="217"/>
        <v>0</v>
      </c>
      <c r="AI10122" s="21"/>
      <c r="AJ10122" s="21" t="s">
        <v>51</v>
      </c>
      <c r="AK10122" s="21" t="s">
        <v>52</v>
      </c>
      <c r="AL10122" s="21" t="s">
        <v>7558</v>
      </c>
      <c r="AM10122" s="21" t="s">
        <v>7912</v>
      </c>
      <c r="AN10122" s="21">
        <v>-122.40645183333299</v>
      </c>
      <c r="AO10122" s="21">
        <v>37.796995066666597</v>
      </c>
      <c r="AP10122" s="21" t="s">
        <v>116</v>
      </c>
    </row>
    <row r="10123" spans="1:42">
      <c r="A10123" s="20">
        <v>43889</v>
      </c>
      <c r="B10123" s="21">
        <v>5</v>
      </c>
      <c r="C10123" s="21">
        <v>302</v>
      </c>
      <c r="D10123" s="21">
        <v>10415</v>
      </c>
      <c r="E10123" s="21" t="s">
        <v>37</v>
      </c>
      <c r="F10123" s="21" t="s">
        <v>38</v>
      </c>
      <c r="G10123" s="21">
        <v>4</v>
      </c>
      <c r="H10123" s="27">
        <v>132.75</v>
      </c>
      <c r="I10123" s="21" t="s">
        <v>3465</v>
      </c>
      <c r="K10123" s="21" t="s">
        <v>7362</v>
      </c>
      <c r="N10123" s="21" t="s">
        <v>40</v>
      </c>
      <c r="O10123" s="21">
        <v>51</v>
      </c>
      <c r="Q10123" s="21">
        <f t="shared" si="218"/>
        <v>1</v>
      </c>
      <c r="R10123" s="21">
        <v>1</v>
      </c>
      <c r="S10123" s="21">
        <v>0</v>
      </c>
      <c r="T10123" s="21">
        <v>0</v>
      </c>
      <c r="U10123" s="21">
        <v>0</v>
      </c>
      <c r="V10123" s="21">
        <v>0</v>
      </c>
      <c r="W10123" s="21">
        <v>0</v>
      </c>
      <c r="X10123" s="21">
        <v>0</v>
      </c>
      <c r="Y10123" s="21">
        <v>0</v>
      </c>
      <c r="Z10123" s="21">
        <v>0</v>
      </c>
      <c r="AA10123" s="21">
        <v>1</v>
      </c>
      <c r="AB10123" s="21">
        <v>0</v>
      </c>
      <c r="AC10123" s="21">
        <v>0</v>
      </c>
      <c r="AD10123" s="21">
        <v>0</v>
      </c>
      <c r="AE10123" s="21">
        <v>0</v>
      </c>
      <c r="AF10123" s="21">
        <v>0</v>
      </c>
      <c r="AG10123" s="21">
        <v>0</v>
      </c>
      <c r="AH10123" s="21">
        <f t="shared" si="217"/>
        <v>0</v>
      </c>
      <c r="AI10123" s="21"/>
      <c r="AJ10123" s="21" t="s">
        <v>51</v>
      </c>
      <c r="AK10123" s="21" t="s">
        <v>52</v>
      </c>
      <c r="AL10123" s="21"/>
      <c r="AM10123" s="21" t="s">
        <v>7913</v>
      </c>
      <c r="AN10123" s="21">
        <v>-122.40643128333301</v>
      </c>
      <c r="AO10123" s="21">
        <v>37.7969190833333</v>
      </c>
      <c r="AP10123" s="21" t="s">
        <v>116</v>
      </c>
    </row>
    <row r="10124" spans="1:42">
      <c r="A10124" s="20">
        <v>43889</v>
      </c>
      <c r="B10124" s="21">
        <v>5</v>
      </c>
      <c r="C10124" s="21">
        <v>302</v>
      </c>
      <c r="D10124" s="21">
        <v>10415</v>
      </c>
      <c r="E10124" s="21" t="s">
        <v>37</v>
      </c>
      <c r="F10124" s="21" t="s">
        <v>38</v>
      </c>
      <c r="G10124" s="21">
        <v>4</v>
      </c>
      <c r="H10124" s="27">
        <v>133.92857142857099</v>
      </c>
      <c r="I10124" s="21" t="s">
        <v>3203</v>
      </c>
      <c r="K10124" s="21" t="s">
        <v>7362</v>
      </c>
      <c r="N10124" s="21" t="s">
        <v>44</v>
      </c>
      <c r="O10124" s="21">
        <v>68</v>
      </c>
      <c r="Q10124" s="21">
        <f t="shared" si="218"/>
        <v>1</v>
      </c>
      <c r="R10124" s="21">
        <v>1</v>
      </c>
      <c r="S10124" s="21">
        <v>0</v>
      </c>
      <c r="T10124" s="21">
        <v>0</v>
      </c>
      <c r="U10124" s="21">
        <v>0</v>
      </c>
      <c r="V10124" s="21">
        <v>0</v>
      </c>
      <c r="W10124" s="21">
        <v>0</v>
      </c>
      <c r="X10124" s="21">
        <v>0</v>
      </c>
      <c r="Y10124" s="21">
        <v>0</v>
      </c>
      <c r="Z10124" s="21">
        <v>0</v>
      </c>
      <c r="AA10124" s="21">
        <v>0</v>
      </c>
      <c r="AB10124" s="21">
        <v>1</v>
      </c>
      <c r="AC10124" s="21">
        <v>0</v>
      </c>
      <c r="AD10124" s="21">
        <v>0</v>
      </c>
      <c r="AE10124" s="21">
        <v>0</v>
      </c>
      <c r="AF10124" s="21">
        <v>0</v>
      </c>
      <c r="AG10124" s="21">
        <v>0</v>
      </c>
      <c r="AH10124" s="21">
        <f t="shared" si="217"/>
        <v>0</v>
      </c>
      <c r="AI10124" s="21"/>
      <c r="AJ10124" s="21" t="s">
        <v>51</v>
      </c>
      <c r="AK10124" s="21" t="s">
        <v>52</v>
      </c>
      <c r="AL10124" s="21" t="s">
        <v>7558</v>
      </c>
      <c r="AM10124" s="21" t="s">
        <v>7914</v>
      </c>
      <c r="AN10124" s="21">
        <v>-122.40714989999999</v>
      </c>
      <c r="AO10124" s="21">
        <v>37.796842883333298</v>
      </c>
      <c r="AP10124" s="21" t="s">
        <v>116</v>
      </c>
    </row>
    <row r="10125" spans="1:42">
      <c r="A10125" s="20">
        <v>43889</v>
      </c>
      <c r="B10125" s="21">
        <v>5</v>
      </c>
      <c r="C10125" s="21">
        <v>302</v>
      </c>
      <c r="D10125" s="21">
        <v>10415</v>
      </c>
      <c r="E10125" s="21" t="s">
        <v>37</v>
      </c>
      <c r="F10125" s="21" t="s">
        <v>38</v>
      </c>
      <c r="G10125" s="21">
        <v>4</v>
      </c>
      <c r="H10125" s="27">
        <v>135.107142857143</v>
      </c>
      <c r="I10125" s="21" t="s">
        <v>7915</v>
      </c>
      <c r="K10125" s="21" t="s">
        <v>7362</v>
      </c>
      <c r="N10125" s="21" t="s">
        <v>40</v>
      </c>
      <c r="O10125" s="21">
        <v>38</v>
      </c>
      <c r="Q10125" s="21">
        <f t="shared" si="218"/>
        <v>1</v>
      </c>
      <c r="R10125" s="21">
        <v>1</v>
      </c>
      <c r="S10125" s="21">
        <v>0</v>
      </c>
      <c r="T10125" s="21">
        <v>0</v>
      </c>
      <c r="U10125" s="21">
        <v>0</v>
      </c>
      <c r="V10125" s="21">
        <v>0</v>
      </c>
      <c r="W10125" s="21">
        <v>0</v>
      </c>
      <c r="X10125" s="21">
        <v>0</v>
      </c>
      <c r="Y10125" s="21">
        <v>0</v>
      </c>
      <c r="Z10125" s="21">
        <v>0</v>
      </c>
      <c r="AA10125" s="21">
        <v>1</v>
      </c>
      <c r="AB10125" s="21">
        <v>0</v>
      </c>
      <c r="AC10125" s="21">
        <v>0</v>
      </c>
      <c r="AD10125" s="21">
        <v>0</v>
      </c>
      <c r="AE10125" s="21">
        <v>0</v>
      </c>
      <c r="AF10125" s="21">
        <v>0</v>
      </c>
      <c r="AG10125" s="21">
        <v>0</v>
      </c>
      <c r="AH10125" s="21">
        <f t="shared" si="217"/>
        <v>0</v>
      </c>
      <c r="AI10125" s="21"/>
      <c r="AJ10125" s="21" t="s">
        <v>51</v>
      </c>
      <c r="AK10125" s="21" t="s">
        <v>95</v>
      </c>
      <c r="AL10125" s="21"/>
      <c r="AM10125" s="21" t="s">
        <v>7916</v>
      </c>
      <c r="AN10125" s="21">
        <v>-122.407015976558</v>
      </c>
      <c r="AO10125" s="21">
        <v>37.7965609316851</v>
      </c>
      <c r="AP10125" s="21" t="s">
        <v>116</v>
      </c>
    </row>
    <row r="10126" spans="1:42">
      <c r="A10126" s="20">
        <v>43889</v>
      </c>
      <c r="B10126" s="21">
        <v>5</v>
      </c>
      <c r="C10126" s="21">
        <v>302</v>
      </c>
      <c r="D10126" s="21">
        <v>10415</v>
      </c>
      <c r="E10126" s="21" t="s">
        <v>37</v>
      </c>
      <c r="F10126" s="21" t="s">
        <v>38</v>
      </c>
      <c r="G10126" s="21">
        <v>4</v>
      </c>
      <c r="H10126" s="27">
        <v>136.28571428571399</v>
      </c>
      <c r="I10126" s="21" t="s">
        <v>7917</v>
      </c>
      <c r="K10126" s="21" t="s">
        <v>7362</v>
      </c>
      <c r="N10126" s="21" t="s">
        <v>40</v>
      </c>
      <c r="O10126" s="21">
        <v>117</v>
      </c>
      <c r="Q10126" s="21">
        <f t="shared" si="218"/>
        <v>5</v>
      </c>
      <c r="R10126" s="21">
        <v>1</v>
      </c>
      <c r="S10126" s="21">
        <v>0</v>
      </c>
      <c r="T10126" s="21">
        <v>0</v>
      </c>
      <c r="U10126" s="21">
        <v>0</v>
      </c>
      <c r="V10126" s="21">
        <v>0</v>
      </c>
      <c r="W10126" s="21">
        <v>0</v>
      </c>
      <c r="X10126" s="21">
        <v>0</v>
      </c>
      <c r="Y10126" s="21">
        <v>0</v>
      </c>
      <c r="Z10126" s="21">
        <v>0</v>
      </c>
      <c r="AA10126" s="21">
        <v>0</v>
      </c>
      <c r="AB10126" s="21">
        <v>5</v>
      </c>
      <c r="AC10126" s="21">
        <v>0</v>
      </c>
      <c r="AD10126" s="21">
        <v>0</v>
      </c>
      <c r="AE10126" s="21">
        <v>0</v>
      </c>
      <c r="AF10126" s="21">
        <v>0</v>
      </c>
      <c r="AG10126" s="21">
        <v>0</v>
      </c>
      <c r="AH10126" s="21">
        <f t="shared" si="217"/>
        <v>0</v>
      </c>
      <c r="AI10126" s="21"/>
      <c r="AJ10126" s="21" t="s">
        <v>51</v>
      </c>
      <c r="AK10126" s="21" t="s">
        <v>95</v>
      </c>
      <c r="AL10126" s="21" t="s">
        <v>7709</v>
      </c>
      <c r="AM10126" s="21" t="s">
        <v>7918</v>
      </c>
      <c r="AN10126" s="21">
        <v>-122.407806966667</v>
      </c>
      <c r="AO10126" s="21">
        <v>37.796808900000002</v>
      </c>
      <c r="AP10126" s="21" t="s">
        <v>116</v>
      </c>
    </row>
    <row r="10127" spans="1:42">
      <c r="A10127" s="20">
        <v>43889</v>
      </c>
      <c r="B10127" s="21">
        <v>5</v>
      </c>
      <c r="C10127" s="21">
        <v>302</v>
      </c>
      <c r="D10127" s="21">
        <v>10415</v>
      </c>
      <c r="E10127" s="21" t="s">
        <v>37</v>
      </c>
      <c r="F10127" s="21" t="s">
        <v>38</v>
      </c>
      <c r="G10127" s="21">
        <v>4</v>
      </c>
      <c r="H10127" s="27">
        <v>137.46428571428601</v>
      </c>
      <c r="I10127" s="21" t="s">
        <v>7919</v>
      </c>
      <c r="K10127" s="21" t="s">
        <v>7362</v>
      </c>
      <c r="N10127" s="21" t="s">
        <v>44</v>
      </c>
      <c r="O10127" s="21">
        <v>84</v>
      </c>
      <c r="Q10127" s="21">
        <f t="shared" si="218"/>
        <v>1</v>
      </c>
      <c r="R10127" s="21">
        <v>1</v>
      </c>
      <c r="S10127" s="21">
        <v>0</v>
      </c>
      <c r="T10127" s="21">
        <v>0</v>
      </c>
      <c r="U10127" s="21">
        <v>0</v>
      </c>
      <c r="V10127" s="21">
        <v>0</v>
      </c>
      <c r="W10127" s="21">
        <v>0</v>
      </c>
      <c r="X10127" s="21">
        <v>0</v>
      </c>
      <c r="Y10127" s="21">
        <v>0</v>
      </c>
      <c r="Z10127" s="21">
        <v>0</v>
      </c>
      <c r="AA10127" s="21">
        <v>0</v>
      </c>
      <c r="AB10127" s="21">
        <v>1</v>
      </c>
      <c r="AC10127" s="21">
        <v>0</v>
      </c>
      <c r="AD10127" s="21">
        <v>0</v>
      </c>
      <c r="AE10127" s="21">
        <v>0</v>
      </c>
      <c r="AF10127" s="21">
        <v>0</v>
      </c>
      <c r="AG10127" s="21">
        <v>0</v>
      </c>
      <c r="AH10127" s="21">
        <f t="shared" si="217"/>
        <v>0</v>
      </c>
      <c r="AI10127" s="21"/>
      <c r="AJ10127" s="21" t="s">
        <v>54</v>
      </c>
      <c r="AK10127" s="21" t="s">
        <v>52</v>
      </c>
      <c r="AL10127" s="21" t="s">
        <v>7920</v>
      </c>
      <c r="AM10127" s="21" t="s">
        <v>7921</v>
      </c>
      <c r="AN10127" s="21">
        <v>-122.408083333333</v>
      </c>
      <c r="AO10127" s="21">
        <v>37.796767166666598</v>
      </c>
      <c r="AP10127" s="21" t="s">
        <v>116</v>
      </c>
    </row>
    <row r="10128" spans="1:42">
      <c r="A10128" s="20">
        <v>43889</v>
      </c>
      <c r="B10128" s="21">
        <v>5</v>
      </c>
      <c r="C10128" s="21">
        <v>302</v>
      </c>
      <c r="D10128" s="21">
        <v>10415</v>
      </c>
      <c r="E10128" s="21" t="s">
        <v>37</v>
      </c>
      <c r="F10128" s="21" t="s">
        <v>38</v>
      </c>
      <c r="G10128" s="21">
        <v>4</v>
      </c>
      <c r="H10128" s="27">
        <v>138.642857142857</v>
      </c>
      <c r="I10128" s="21" t="s">
        <v>3123</v>
      </c>
      <c r="K10128" s="21" t="s">
        <v>647</v>
      </c>
      <c r="N10128" s="21" t="s">
        <v>44</v>
      </c>
      <c r="O10128" s="21">
        <v>68</v>
      </c>
      <c r="Q10128" s="21">
        <f t="shared" si="218"/>
        <v>1</v>
      </c>
      <c r="R10128" s="21">
        <v>1</v>
      </c>
      <c r="S10128" s="21">
        <v>0</v>
      </c>
      <c r="T10128" s="21">
        <v>0</v>
      </c>
      <c r="U10128" s="21">
        <v>0</v>
      </c>
      <c r="V10128" s="21">
        <v>0</v>
      </c>
      <c r="W10128" s="21">
        <v>0</v>
      </c>
      <c r="X10128" s="21">
        <v>0</v>
      </c>
      <c r="Y10128" s="21">
        <v>0</v>
      </c>
      <c r="Z10128" s="21">
        <v>0</v>
      </c>
      <c r="AA10128" s="21">
        <v>1</v>
      </c>
      <c r="AB10128" s="21">
        <v>0</v>
      </c>
      <c r="AC10128" s="21">
        <v>0</v>
      </c>
      <c r="AD10128" s="21">
        <v>0</v>
      </c>
      <c r="AE10128" s="21">
        <v>0</v>
      </c>
      <c r="AF10128" s="21">
        <v>0</v>
      </c>
      <c r="AG10128" s="21">
        <v>0</v>
      </c>
      <c r="AH10128" s="21">
        <f t="shared" si="217"/>
        <v>0</v>
      </c>
      <c r="AI10128" s="21"/>
      <c r="AJ10128" s="21" t="s">
        <v>54</v>
      </c>
      <c r="AK10128" s="21" t="s">
        <v>52</v>
      </c>
      <c r="AL10128" s="21" t="s">
        <v>7558</v>
      </c>
      <c r="AM10128" s="21" t="s">
        <v>7922</v>
      </c>
      <c r="AN10128" s="21">
        <v>-122.409976066667</v>
      </c>
      <c r="AO10128" s="21">
        <v>37.796535583333302</v>
      </c>
      <c r="AP10128" s="21" t="s">
        <v>116</v>
      </c>
    </row>
    <row r="10129" spans="1:42">
      <c r="A10129" s="20">
        <v>43889</v>
      </c>
      <c r="B10129" s="21">
        <v>5</v>
      </c>
      <c r="C10129" s="21">
        <v>302</v>
      </c>
      <c r="D10129" s="21">
        <v>10415</v>
      </c>
      <c r="E10129" s="21" t="s">
        <v>37</v>
      </c>
      <c r="F10129" s="21" t="s">
        <v>38</v>
      </c>
      <c r="G10129" s="21">
        <v>4</v>
      </c>
      <c r="H10129" s="27">
        <v>139.82142857142901</v>
      </c>
      <c r="I10129" s="21" t="s">
        <v>7923</v>
      </c>
      <c r="K10129" s="21" t="s">
        <v>1000</v>
      </c>
      <c r="N10129" s="21" t="s">
        <v>40</v>
      </c>
      <c r="O10129" s="21">
        <v>69</v>
      </c>
      <c r="Q10129" s="21">
        <f t="shared" si="218"/>
        <v>2</v>
      </c>
      <c r="R10129" s="21">
        <v>1</v>
      </c>
      <c r="S10129" s="21">
        <v>0</v>
      </c>
      <c r="T10129" s="21">
        <v>0</v>
      </c>
      <c r="U10129" s="21">
        <v>0</v>
      </c>
      <c r="V10129" s="21">
        <v>0</v>
      </c>
      <c r="W10129" s="21">
        <v>0</v>
      </c>
      <c r="X10129" s="21">
        <v>0</v>
      </c>
      <c r="Y10129" s="21">
        <v>0</v>
      </c>
      <c r="Z10129" s="21">
        <v>0</v>
      </c>
      <c r="AA10129" s="21">
        <v>0</v>
      </c>
      <c r="AB10129" s="21">
        <v>2</v>
      </c>
      <c r="AC10129" s="21">
        <v>0</v>
      </c>
      <c r="AD10129" s="21">
        <v>0</v>
      </c>
      <c r="AE10129" s="21">
        <v>0</v>
      </c>
      <c r="AF10129" s="21">
        <v>0</v>
      </c>
      <c r="AG10129" s="21">
        <v>0</v>
      </c>
      <c r="AH10129" s="21">
        <f t="shared" si="217"/>
        <v>0</v>
      </c>
      <c r="AI10129" s="21"/>
      <c r="AJ10129" s="21" t="s">
        <v>54</v>
      </c>
      <c r="AK10129" s="21" t="s">
        <v>52</v>
      </c>
      <c r="AL10129" s="21" t="s">
        <v>7924</v>
      </c>
      <c r="AM10129" s="21" t="s">
        <v>7925</v>
      </c>
      <c r="AN10129" s="21">
        <v>-122.410021766667</v>
      </c>
      <c r="AO10129" s="21">
        <v>37.7955610666667</v>
      </c>
      <c r="AP10129" s="21" t="s">
        <v>116</v>
      </c>
    </row>
    <row r="10130" spans="1:42">
      <c r="A10130" s="20">
        <v>43889</v>
      </c>
      <c r="B10130" s="21">
        <v>5</v>
      </c>
      <c r="C10130" s="21">
        <v>302</v>
      </c>
      <c r="D10130" s="21">
        <v>10415</v>
      </c>
      <c r="E10130" s="21" t="s">
        <v>37</v>
      </c>
      <c r="F10130" s="21" t="s">
        <v>38</v>
      </c>
      <c r="G10130" s="21">
        <v>4</v>
      </c>
      <c r="H10130" s="27">
        <v>141</v>
      </c>
      <c r="I10130" s="21" t="s">
        <v>7262</v>
      </c>
      <c r="K10130" s="21" t="s">
        <v>516</v>
      </c>
      <c r="N10130" s="21" t="s">
        <v>40</v>
      </c>
      <c r="O10130" s="21">
        <v>103</v>
      </c>
      <c r="Q10130" s="21">
        <f t="shared" si="218"/>
        <v>1</v>
      </c>
      <c r="R10130" s="21">
        <v>1</v>
      </c>
      <c r="S10130" s="21">
        <v>0</v>
      </c>
      <c r="T10130" s="21">
        <v>0</v>
      </c>
      <c r="U10130" s="21">
        <v>0</v>
      </c>
      <c r="V10130" s="21">
        <v>0</v>
      </c>
      <c r="W10130" s="21">
        <v>0</v>
      </c>
      <c r="X10130" s="21">
        <v>0</v>
      </c>
      <c r="Y10130" s="21">
        <v>0</v>
      </c>
      <c r="Z10130" s="21">
        <v>0</v>
      </c>
      <c r="AA10130" s="21">
        <v>0</v>
      </c>
      <c r="AB10130" s="21">
        <v>1</v>
      </c>
      <c r="AC10130" s="21">
        <v>0</v>
      </c>
      <c r="AD10130" s="21">
        <v>0</v>
      </c>
      <c r="AE10130" s="21">
        <v>0</v>
      </c>
      <c r="AF10130" s="21">
        <v>0</v>
      </c>
      <c r="AG10130" s="21">
        <v>0</v>
      </c>
      <c r="AH10130" s="21">
        <f t="shared" si="217"/>
        <v>0</v>
      </c>
      <c r="AI10130" s="21"/>
      <c r="AJ10130" s="21" t="s">
        <v>54</v>
      </c>
      <c r="AK10130" s="21" t="s">
        <v>52</v>
      </c>
      <c r="AL10130" s="21" t="s">
        <v>7926</v>
      </c>
      <c r="AM10130" s="21" t="s">
        <v>7927</v>
      </c>
      <c r="AN10130" s="21">
        <v>-122.408678333333</v>
      </c>
      <c r="AO10130" s="21">
        <v>37.794876183333301</v>
      </c>
      <c r="AP10130" s="21" t="s">
        <v>116</v>
      </c>
    </row>
    <row r="10131" spans="1:42">
      <c r="A10131" s="20">
        <v>43889</v>
      </c>
      <c r="B10131" s="21">
        <v>5</v>
      </c>
      <c r="C10131" s="21">
        <v>302</v>
      </c>
      <c r="D10131" s="21">
        <v>10415</v>
      </c>
      <c r="E10131" s="21" t="s">
        <v>37</v>
      </c>
      <c r="F10131" s="21" t="s">
        <v>38</v>
      </c>
      <c r="G10131" s="21">
        <v>4</v>
      </c>
      <c r="H10131" s="27">
        <v>142.17857142857099</v>
      </c>
      <c r="I10131" s="21" t="s">
        <v>6048</v>
      </c>
      <c r="K10131" s="21" t="s">
        <v>647</v>
      </c>
      <c r="N10131" s="21" t="s">
        <v>40</v>
      </c>
      <c r="O10131" s="21">
        <v>47</v>
      </c>
      <c r="Q10131" s="21">
        <f t="shared" si="218"/>
        <v>2</v>
      </c>
      <c r="R10131" s="21">
        <v>1</v>
      </c>
      <c r="S10131" s="21">
        <v>0</v>
      </c>
      <c r="T10131" s="21">
        <v>0</v>
      </c>
      <c r="U10131" s="21">
        <v>0</v>
      </c>
      <c r="V10131" s="21">
        <v>0</v>
      </c>
      <c r="W10131" s="21">
        <v>0</v>
      </c>
      <c r="X10131" s="21">
        <v>0</v>
      </c>
      <c r="Y10131" s="21">
        <v>0</v>
      </c>
      <c r="Z10131" s="21">
        <v>0</v>
      </c>
      <c r="AA10131" s="21">
        <v>0</v>
      </c>
      <c r="AB10131" s="21">
        <v>2</v>
      </c>
      <c r="AC10131" s="21">
        <v>0</v>
      </c>
      <c r="AD10131" s="21">
        <v>0</v>
      </c>
      <c r="AE10131" s="21">
        <v>0</v>
      </c>
      <c r="AF10131" s="21">
        <v>0</v>
      </c>
      <c r="AG10131" s="21">
        <v>0</v>
      </c>
      <c r="AH10131" s="21">
        <f t="shared" si="217"/>
        <v>0</v>
      </c>
      <c r="AI10131" s="21"/>
      <c r="AJ10131" s="21" t="s">
        <v>51</v>
      </c>
      <c r="AK10131" s="21" t="s">
        <v>95</v>
      </c>
      <c r="AL10131" s="21"/>
      <c r="AM10131" s="21" t="s">
        <v>7928</v>
      </c>
      <c r="AN10131" s="21">
        <v>-122.408779883333</v>
      </c>
      <c r="AO10131" s="21">
        <v>37.794863016666703</v>
      </c>
      <c r="AP10131" s="21" t="s">
        <v>116</v>
      </c>
    </row>
    <row r="10132" spans="1:42">
      <c r="A10132" s="20">
        <v>43889</v>
      </c>
      <c r="B10132" s="21">
        <v>5</v>
      </c>
      <c r="C10132" s="21">
        <v>302</v>
      </c>
      <c r="D10132" s="21">
        <v>10415</v>
      </c>
      <c r="E10132" s="21" t="s">
        <v>37</v>
      </c>
      <c r="F10132" s="21" t="s">
        <v>38</v>
      </c>
      <c r="G10132" s="21">
        <v>4</v>
      </c>
      <c r="H10132" s="27">
        <v>143.357142857143</v>
      </c>
      <c r="I10132" s="21" t="s">
        <v>7510</v>
      </c>
      <c r="K10132" s="21" t="s">
        <v>2240</v>
      </c>
      <c r="N10132" s="21" t="s">
        <v>44</v>
      </c>
      <c r="O10132" s="21">
        <v>103</v>
      </c>
      <c r="Q10132" s="21">
        <f t="shared" si="218"/>
        <v>1</v>
      </c>
      <c r="R10132" s="21">
        <v>1</v>
      </c>
      <c r="S10132" s="21">
        <v>0</v>
      </c>
      <c r="T10132" s="21">
        <v>0</v>
      </c>
      <c r="U10132" s="21">
        <v>0</v>
      </c>
      <c r="V10132" s="21">
        <v>0</v>
      </c>
      <c r="W10132" s="21">
        <v>0</v>
      </c>
      <c r="X10132" s="21">
        <v>0</v>
      </c>
      <c r="Y10132" s="21">
        <v>0</v>
      </c>
      <c r="Z10132" s="21">
        <v>0</v>
      </c>
      <c r="AA10132" s="21">
        <v>1</v>
      </c>
      <c r="AB10132" s="21">
        <v>0</v>
      </c>
      <c r="AC10132" s="21">
        <v>0</v>
      </c>
      <c r="AD10132" s="21">
        <v>0</v>
      </c>
      <c r="AE10132" s="21">
        <v>0</v>
      </c>
      <c r="AF10132" s="21">
        <v>0</v>
      </c>
      <c r="AG10132" s="21">
        <v>0</v>
      </c>
      <c r="AH10132" s="21">
        <f t="shared" si="217"/>
        <v>0</v>
      </c>
      <c r="AI10132" s="21"/>
      <c r="AJ10132" s="21" t="s">
        <v>54</v>
      </c>
      <c r="AK10132" s="21" t="s">
        <v>95</v>
      </c>
      <c r="AL10132" s="21" t="s">
        <v>7105</v>
      </c>
      <c r="AM10132" s="21" t="s">
        <v>7929</v>
      </c>
      <c r="AN10132" s="21">
        <v>-122.40927903333299</v>
      </c>
      <c r="AO10132" s="21">
        <v>37.795229516666602</v>
      </c>
      <c r="AP10132" s="21" t="s">
        <v>116</v>
      </c>
    </row>
    <row r="10133" spans="1:42">
      <c r="A10133" s="20">
        <v>43889</v>
      </c>
      <c r="B10133" s="21">
        <v>5</v>
      </c>
      <c r="C10133" s="21">
        <v>302</v>
      </c>
      <c r="D10133" s="21">
        <v>10415</v>
      </c>
      <c r="E10133" s="21" t="s">
        <v>37</v>
      </c>
      <c r="F10133" s="21" t="s">
        <v>38</v>
      </c>
      <c r="G10133" s="21">
        <v>4</v>
      </c>
      <c r="H10133" s="27">
        <v>144.53571428571399</v>
      </c>
      <c r="I10133" s="21" t="s">
        <v>7930</v>
      </c>
      <c r="K10133" s="21" t="s">
        <v>647</v>
      </c>
      <c r="N10133" s="21" t="s">
        <v>40</v>
      </c>
      <c r="O10133" s="21">
        <v>75</v>
      </c>
      <c r="Q10133" s="21">
        <f t="shared" si="218"/>
        <v>2</v>
      </c>
      <c r="R10133" s="21">
        <v>1</v>
      </c>
      <c r="S10133" s="21">
        <v>0</v>
      </c>
      <c r="T10133" s="21">
        <v>0</v>
      </c>
      <c r="U10133" s="21">
        <v>0</v>
      </c>
      <c r="V10133" s="21">
        <v>0</v>
      </c>
      <c r="W10133" s="21">
        <v>0</v>
      </c>
      <c r="X10133" s="21">
        <v>0</v>
      </c>
      <c r="Y10133" s="21">
        <v>0</v>
      </c>
      <c r="Z10133" s="21">
        <v>0</v>
      </c>
      <c r="AA10133" s="21">
        <v>1</v>
      </c>
      <c r="AB10133" s="21">
        <v>1</v>
      </c>
      <c r="AC10133" s="21">
        <v>0</v>
      </c>
      <c r="AD10133" s="21">
        <v>0</v>
      </c>
      <c r="AE10133" s="21">
        <v>0</v>
      </c>
      <c r="AF10133" s="21">
        <v>0</v>
      </c>
      <c r="AG10133" s="21">
        <v>0</v>
      </c>
      <c r="AH10133" s="21">
        <f t="shared" si="217"/>
        <v>0</v>
      </c>
      <c r="AI10133" s="21"/>
      <c r="AJ10133" s="21" t="s">
        <v>54</v>
      </c>
      <c r="AK10133" s="21" t="s">
        <v>95</v>
      </c>
      <c r="AL10133" s="21" t="s">
        <v>7875</v>
      </c>
      <c r="AM10133" s="21" t="s">
        <v>7931</v>
      </c>
      <c r="AN10133" s="21">
        <v>-122.40926641666699</v>
      </c>
      <c r="AO10133" s="21">
        <v>37.795615533333297</v>
      </c>
      <c r="AP10133" s="21" t="s">
        <v>116</v>
      </c>
    </row>
    <row r="10134" spans="1:42">
      <c r="A10134" s="20">
        <v>43889</v>
      </c>
      <c r="B10134" s="21">
        <v>5</v>
      </c>
      <c r="C10134" s="21">
        <v>302</v>
      </c>
      <c r="D10134" s="21">
        <v>10415</v>
      </c>
      <c r="E10134" s="21" t="s">
        <v>37</v>
      </c>
      <c r="F10134" s="21" t="s">
        <v>38</v>
      </c>
      <c r="G10134" s="21">
        <v>4</v>
      </c>
      <c r="H10134" s="27">
        <v>145.71428571428601</v>
      </c>
      <c r="I10134" s="21" t="s">
        <v>7288</v>
      </c>
      <c r="K10134" s="21" t="s">
        <v>647</v>
      </c>
      <c r="N10134" s="21" t="s">
        <v>40</v>
      </c>
      <c r="O10134" s="21">
        <v>56</v>
      </c>
      <c r="Q10134" s="21">
        <f t="shared" si="218"/>
        <v>1</v>
      </c>
      <c r="R10134" s="21">
        <v>1</v>
      </c>
      <c r="S10134" s="21">
        <v>0</v>
      </c>
      <c r="T10134" s="21">
        <v>0</v>
      </c>
      <c r="U10134" s="21">
        <v>0</v>
      </c>
      <c r="V10134" s="21">
        <v>0</v>
      </c>
      <c r="W10134" s="21">
        <v>0</v>
      </c>
      <c r="X10134" s="21">
        <v>0</v>
      </c>
      <c r="Y10134" s="21">
        <v>0</v>
      </c>
      <c r="Z10134" s="21">
        <v>0</v>
      </c>
      <c r="AA10134" s="21">
        <v>1</v>
      </c>
      <c r="AB10134" s="21">
        <v>0</v>
      </c>
      <c r="AC10134" s="21">
        <v>0</v>
      </c>
      <c r="AD10134" s="21">
        <v>0</v>
      </c>
      <c r="AE10134" s="21">
        <v>0</v>
      </c>
      <c r="AF10134" s="21">
        <v>0</v>
      </c>
      <c r="AG10134" s="21">
        <v>0</v>
      </c>
      <c r="AH10134" s="21">
        <f t="shared" si="217"/>
        <v>0</v>
      </c>
      <c r="AI10134" s="21"/>
      <c r="AJ10134" s="21" t="s">
        <v>54</v>
      </c>
      <c r="AK10134" s="21" t="s">
        <v>52</v>
      </c>
      <c r="AL10134" s="21"/>
      <c r="AM10134" s="21" t="s">
        <v>7932</v>
      </c>
      <c r="AN10134" s="21">
        <v>-122.409113333333</v>
      </c>
      <c r="AO10134" s="21">
        <v>37.795589483333302</v>
      </c>
      <c r="AP10134" s="21" t="s">
        <v>116</v>
      </c>
    </row>
    <row r="10135" spans="1:42">
      <c r="A10135" s="20">
        <v>43889</v>
      </c>
      <c r="B10135" s="21">
        <v>5</v>
      </c>
      <c r="C10135" s="21">
        <v>302</v>
      </c>
      <c r="D10135" s="21">
        <v>10415</v>
      </c>
      <c r="E10135" s="21" t="s">
        <v>37</v>
      </c>
      <c r="F10135" s="21" t="s">
        <v>38</v>
      </c>
      <c r="G10135" s="21">
        <v>4</v>
      </c>
      <c r="H10135" s="27">
        <v>146.892857142857</v>
      </c>
      <c r="I10135" s="21" t="s">
        <v>7933</v>
      </c>
      <c r="K10135" s="21" t="s">
        <v>647</v>
      </c>
      <c r="N10135" s="21" t="s">
        <v>40</v>
      </c>
      <c r="O10135" s="21">
        <v>78</v>
      </c>
      <c r="Q10135" s="21">
        <f t="shared" si="218"/>
        <v>2</v>
      </c>
      <c r="R10135" s="21">
        <v>1</v>
      </c>
      <c r="S10135" s="21">
        <v>0</v>
      </c>
      <c r="T10135" s="21">
        <v>0</v>
      </c>
      <c r="U10135" s="21">
        <v>0</v>
      </c>
      <c r="V10135" s="21">
        <v>0</v>
      </c>
      <c r="W10135" s="21">
        <v>0</v>
      </c>
      <c r="X10135" s="21">
        <v>0</v>
      </c>
      <c r="Y10135" s="21">
        <v>0</v>
      </c>
      <c r="Z10135" s="21">
        <v>0</v>
      </c>
      <c r="AA10135" s="21">
        <v>0</v>
      </c>
      <c r="AB10135" s="21">
        <v>2</v>
      </c>
      <c r="AC10135" s="21">
        <v>0</v>
      </c>
      <c r="AD10135" s="21">
        <v>0</v>
      </c>
      <c r="AE10135" s="21">
        <v>0</v>
      </c>
      <c r="AF10135" s="21">
        <v>0</v>
      </c>
      <c r="AG10135" s="21">
        <v>0</v>
      </c>
      <c r="AH10135" s="21">
        <f t="shared" si="217"/>
        <v>0</v>
      </c>
      <c r="AI10135" s="21"/>
      <c r="AJ10135" s="21" t="s">
        <v>54</v>
      </c>
      <c r="AK10135" s="21" t="s">
        <v>52</v>
      </c>
      <c r="AL10135" s="21" t="s">
        <v>7924</v>
      </c>
      <c r="AM10135" s="21" t="s">
        <v>7934</v>
      </c>
      <c r="AN10135" s="21">
        <v>-122.41434183821001</v>
      </c>
      <c r="AO10135" s="21">
        <v>37.793338821912201</v>
      </c>
      <c r="AP10135" s="21" t="s">
        <v>116</v>
      </c>
    </row>
    <row r="10136" spans="1:42">
      <c r="A10136" s="20">
        <v>43889</v>
      </c>
      <c r="B10136" s="21">
        <v>5</v>
      </c>
      <c r="C10136" s="21">
        <v>302</v>
      </c>
      <c r="D10136" s="21">
        <v>10415</v>
      </c>
      <c r="E10136" s="21" t="s">
        <v>37</v>
      </c>
      <c r="F10136" s="21" t="s">
        <v>38</v>
      </c>
      <c r="G10136" s="21">
        <v>4</v>
      </c>
      <c r="H10136" s="27">
        <v>148.07142857142901</v>
      </c>
      <c r="I10136" s="21" t="s">
        <v>7935</v>
      </c>
      <c r="K10136" s="21" t="s">
        <v>647</v>
      </c>
      <c r="N10136" s="21" t="s">
        <v>40</v>
      </c>
      <c r="O10136" s="21">
        <v>64</v>
      </c>
      <c r="Q10136" s="21">
        <f t="shared" si="218"/>
        <v>2</v>
      </c>
      <c r="R10136" s="21">
        <v>1</v>
      </c>
      <c r="S10136" s="21">
        <v>0</v>
      </c>
      <c r="T10136" s="21">
        <v>0</v>
      </c>
      <c r="U10136" s="21">
        <v>0</v>
      </c>
      <c r="V10136" s="21">
        <v>0</v>
      </c>
      <c r="W10136" s="21">
        <v>0</v>
      </c>
      <c r="X10136" s="21">
        <v>0</v>
      </c>
      <c r="Y10136" s="21">
        <v>0</v>
      </c>
      <c r="Z10136" s="21">
        <v>0</v>
      </c>
      <c r="AA10136" s="21">
        <v>0</v>
      </c>
      <c r="AB10136" s="21">
        <v>2</v>
      </c>
      <c r="AC10136" s="21">
        <v>0</v>
      </c>
      <c r="AD10136" s="21">
        <v>0</v>
      </c>
      <c r="AE10136" s="21">
        <v>0</v>
      </c>
      <c r="AF10136" s="21">
        <v>0</v>
      </c>
      <c r="AG10136" s="21">
        <v>0</v>
      </c>
      <c r="AH10136" s="21">
        <f t="shared" si="217"/>
        <v>0</v>
      </c>
      <c r="AI10136" s="21"/>
      <c r="AJ10136" s="21" t="s">
        <v>54</v>
      </c>
      <c r="AK10136" s="21" t="s">
        <v>52</v>
      </c>
      <c r="AL10136" s="21" t="s">
        <v>7924</v>
      </c>
      <c r="AM10136" s="21" t="s">
        <v>7936</v>
      </c>
      <c r="AN10136" s="21">
        <v>-122.407672166667</v>
      </c>
      <c r="AO10136" s="21">
        <v>37.795799899999999</v>
      </c>
      <c r="AP10136" s="21" t="s">
        <v>116</v>
      </c>
    </row>
    <row r="10137" spans="1:42">
      <c r="A10137" s="20">
        <v>43889</v>
      </c>
      <c r="B10137" s="21">
        <v>5</v>
      </c>
      <c r="C10137" s="21">
        <v>302</v>
      </c>
      <c r="D10137" s="21">
        <v>10415</v>
      </c>
      <c r="E10137" s="21" t="s">
        <v>37</v>
      </c>
      <c r="F10137" s="21" t="s">
        <v>38</v>
      </c>
      <c r="G10137" s="21">
        <v>4</v>
      </c>
      <c r="H10137" s="27">
        <v>149.25</v>
      </c>
      <c r="I10137" s="21" t="s">
        <v>4537</v>
      </c>
      <c r="K10137" s="21" t="s">
        <v>7937</v>
      </c>
      <c r="N10137" s="21" t="s">
        <v>44</v>
      </c>
      <c r="O10137" s="21">
        <v>120</v>
      </c>
      <c r="Q10137" s="21">
        <f t="shared" si="218"/>
        <v>1</v>
      </c>
      <c r="R10137" s="21">
        <v>1</v>
      </c>
      <c r="S10137" s="21">
        <v>0</v>
      </c>
      <c r="T10137" s="21">
        <v>0</v>
      </c>
      <c r="U10137" s="21">
        <v>0</v>
      </c>
      <c r="V10137" s="21">
        <v>0</v>
      </c>
      <c r="W10137" s="21">
        <v>0</v>
      </c>
      <c r="X10137" s="21">
        <v>0</v>
      </c>
      <c r="Y10137" s="21">
        <v>0</v>
      </c>
      <c r="Z10137" s="21">
        <v>0</v>
      </c>
      <c r="AA10137" s="21">
        <v>1</v>
      </c>
      <c r="AB10137" s="21">
        <v>0</v>
      </c>
      <c r="AC10137" s="21">
        <v>0</v>
      </c>
      <c r="AD10137" s="21">
        <v>0</v>
      </c>
      <c r="AE10137" s="21">
        <v>0</v>
      </c>
      <c r="AF10137" s="21">
        <v>0</v>
      </c>
      <c r="AG10137" s="21">
        <v>0</v>
      </c>
      <c r="AH10137" s="21">
        <f t="shared" si="217"/>
        <v>0</v>
      </c>
      <c r="AI10137" s="21"/>
      <c r="AJ10137" s="21" t="s">
        <v>54</v>
      </c>
      <c r="AK10137" s="21" t="s">
        <v>52</v>
      </c>
      <c r="AL10137" s="21" t="s">
        <v>7938</v>
      </c>
      <c r="AM10137" s="21" t="s">
        <v>7939</v>
      </c>
      <c r="AN10137" s="21">
        <v>-122.40746566666699</v>
      </c>
      <c r="AO10137" s="21">
        <v>37.795766066666701</v>
      </c>
      <c r="AP10137" s="21" t="s">
        <v>116</v>
      </c>
    </row>
    <row r="10138" spans="1:42">
      <c r="A10138" s="20">
        <v>43889</v>
      </c>
      <c r="B10138" s="21">
        <v>5</v>
      </c>
      <c r="C10138" s="21">
        <v>302</v>
      </c>
      <c r="D10138" s="21">
        <v>10415</v>
      </c>
      <c r="E10138" s="21" t="s">
        <v>37</v>
      </c>
      <c r="F10138" s="21" t="s">
        <v>38</v>
      </c>
      <c r="G10138" s="21">
        <v>4</v>
      </c>
      <c r="H10138" s="27">
        <v>150.42857142857201</v>
      </c>
      <c r="I10138" s="21" t="s">
        <v>7940</v>
      </c>
      <c r="K10138" s="21" t="s">
        <v>7937</v>
      </c>
      <c r="N10138" s="21" t="s">
        <v>40</v>
      </c>
      <c r="O10138" s="21">
        <v>74</v>
      </c>
      <c r="Q10138" s="21">
        <f t="shared" si="218"/>
        <v>2</v>
      </c>
      <c r="R10138" s="21">
        <v>1</v>
      </c>
      <c r="S10138" s="21">
        <v>0</v>
      </c>
      <c r="T10138" s="21">
        <v>0</v>
      </c>
      <c r="U10138" s="21">
        <v>0</v>
      </c>
      <c r="V10138" s="21">
        <v>0</v>
      </c>
      <c r="W10138" s="21">
        <v>0</v>
      </c>
      <c r="X10138" s="21">
        <v>0</v>
      </c>
      <c r="Y10138" s="21">
        <v>0</v>
      </c>
      <c r="Z10138" s="21">
        <v>0</v>
      </c>
      <c r="AA10138" s="21">
        <v>1</v>
      </c>
      <c r="AB10138" s="21">
        <v>1</v>
      </c>
      <c r="AC10138" s="21">
        <v>0</v>
      </c>
      <c r="AD10138" s="21">
        <v>0</v>
      </c>
      <c r="AE10138" s="21">
        <v>0</v>
      </c>
      <c r="AF10138" s="21">
        <v>0</v>
      </c>
      <c r="AG10138" s="21">
        <v>0</v>
      </c>
      <c r="AH10138" s="21">
        <f t="shared" si="217"/>
        <v>0</v>
      </c>
      <c r="AI10138" s="21"/>
      <c r="AJ10138" s="21" t="s">
        <v>54</v>
      </c>
      <c r="AK10138" s="21" t="s">
        <v>52</v>
      </c>
      <c r="AL10138" s="21" t="s">
        <v>7941</v>
      </c>
      <c r="AM10138" s="21" t="s">
        <v>7942</v>
      </c>
      <c r="AN10138" s="21">
        <v>-122.407436066667</v>
      </c>
      <c r="AO10138" s="21">
        <v>37.79589</v>
      </c>
      <c r="AP10138" s="21" t="s">
        <v>116</v>
      </c>
    </row>
    <row r="10139" spans="1:42">
      <c r="A10139" s="20">
        <v>43889</v>
      </c>
      <c r="B10139" s="21">
        <v>5</v>
      </c>
      <c r="C10139" s="21">
        <v>302</v>
      </c>
      <c r="D10139" s="21">
        <v>10415</v>
      </c>
      <c r="E10139" s="21" t="s">
        <v>37</v>
      </c>
      <c r="F10139" s="21" t="s">
        <v>38</v>
      </c>
      <c r="G10139" s="21">
        <v>4</v>
      </c>
      <c r="H10139" s="27">
        <v>151.607142857143</v>
      </c>
      <c r="I10139" s="21" t="s">
        <v>7943</v>
      </c>
      <c r="K10139" s="21" t="s">
        <v>647</v>
      </c>
      <c r="N10139" s="21" t="s">
        <v>40</v>
      </c>
      <c r="O10139" s="21">
        <v>60</v>
      </c>
      <c r="Q10139" s="21">
        <f t="shared" si="218"/>
        <v>2</v>
      </c>
      <c r="R10139" s="21">
        <v>1</v>
      </c>
      <c r="S10139" s="21">
        <v>0</v>
      </c>
      <c r="T10139" s="21">
        <v>0</v>
      </c>
      <c r="U10139" s="21">
        <v>0</v>
      </c>
      <c r="V10139" s="21">
        <v>0</v>
      </c>
      <c r="W10139" s="21">
        <v>0</v>
      </c>
      <c r="X10139" s="21">
        <v>0</v>
      </c>
      <c r="Y10139" s="21">
        <v>0</v>
      </c>
      <c r="Z10139" s="21">
        <v>0</v>
      </c>
      <c r="AA10139" s="21">
        <v>0</v>
      </c>
      <c r="AB10139" s="21">
        <v>2</v>
      </c>
      <c r="AC10139" s="21">
        <v>0</v>
      </c>
      <c r="AD10139" s="21">
        <v>0</v>
      </c>
      <c r="AE10139" s="21">
        <v>0</v>
      </c>
      <c r="AF10139" s="21">
        <v>0</v>
      </c>
      <c r="AG10139" s="21">
        <v>0</v>
      </c>
      <c r="AH10139" s="21">
        <f t="shared" si="217"/>
        <v>0</v>
      </c>
      <c r="AI10139" s="21"/>
      <c r="AJ10139" s="21" t="s">
        <v>54</v>
      </c>
      <c r="AK10139" s="21" t="s">
        <v>52</v>
      </c>
      <c r="AL10139" s="21" t="s">
        <v>7924</v>
      </c>
      <c r="AM10139" s="21" t="s">
        <v>7944</v>
      </c>
      <c r="AN10139" s="21">
        <v>-122.407472933333</v>
      </c>
      <c r="AO10139" s="21">
        <v>37.795788583333298</v>
      </c>
      <c r="AP10139" s="21" t="s">
        <v>116</v>
      </c>
    </row>
    <row r="10140" spans="1:42">
      <c r="A10140" s="20">
        <v>43889</v>
      </c>
      <c r="B10140" s="21">
        <v>5</v>
      </c>
      <c r="C10140" s="21">
        <v>302</v>
      </c>
      <c r="D10140" s="21">
        <v>10415</v>
      </c>
      <c r="E10140" s="21" t="s">
        <v>37</v>
      </c>
      <c r="F10140" s="21" t="s">
        <v>38</v>
      </c>
      <c r="G10140" s="21">
        <v>4</v>
      </c>
      <c r="H10140" s="27">
        <v>152.78571428571399</v>
      </c>
      <c r="I10140" s="21" t="s">
        <v>7945</v>
      </c>
      <c r="K10140" s="21" t="s">
        <v>647</v>
      </c>
      <c r="N10140" s="21" t="s">
        <v>40</v>
      </c>
      <c r="O10140" s="21">
        <v>168</v>
      </c>
      <c r="Q10140" s="21">
        <f t="shared" si="218"/>
        <v>3</v>
      </c>
      <c r="R10140" s="21">
        <v>1</v>
      </c>
      <c r="S10140" s="21">
        <v>0</v>
      </c>
      <c r="T10140" s="21">
        <v>0</v>
      </c>
      <c r="U10140" s="21">
        <v>0</v>
      </c>
      <c r="V10140" s="21">
        <v>0</v>
      </c>
      <c r="W10140" s="21">
        <v>0</v>
      </c>
      <c r="X10140" s="21">
        <v>0</v>
      </c>
      <c r="Y10140" s="21">
        <v>0</v>
      </c>
      <c r="Z10140" s="21">
        <v>0</v>
      </c>
      <c r="AA10140" s="21">
        <v>0</v>
      </c>
      <c r="AB10140" s="21">
        <v>3</v>
      </c>
      <c r="AC10140" s="21">
        <v>0</v>
      </c>
      <c r="AD10140" s="21">
        <v>0</v>
      </c>
      <c r="AE10140" s="21">
        <v>0</v>
      </c>
      <c r="AF10140" s="21">
        <v>0</v>
      </c>
      <c r="AG10140" s="21">
        <v>0</v>
      </c>
      <c r="AH10140" s="21">
        <f t="shared" si="217"/>
        <v>0</v>
      </c>
      <c r="AI10140" s="21"/>
      <c r="AJ10140" s="21" t="s">
        <v>54</v>
      </c>
      <c r="AK10140" s="21" t="s">
        <v>52</v>
      </c>
      <c r="AL10140" s="21"/>
      <c r="AM10140" s="21" t="s">
        <v>7946</v>
      </c>
      <c r="AN10140" s="21">
        <v>-122.40732901666701</v>
      </c>
      <c r="AO10140" s="21">
        <v>37.796020816666697</v>
      </c>
      <c r="AP10140" s="21" t="s">
        <v>116</v>
      </c>
    </row>
    <row r="10141" spans="1:42">
      <c r="A10141" s="20">
        <v>43889</v>
      </c>
      <c r="B10141" s="21">
        <v>5</v>
      </c>
      <c r="C10141" s="21">
        <v>302</v>
      </c>
      <c r="D10141" s="21">
        <v>10415</v>
      </c>
      <c r="E10141" s="21" t="s">
        <v>37</v>
      </c>
      <c r="F10141" s="21" t="s">
        <v>38</v>
      </c>
      <c r="G10141" s="21">
        <v>4</v>
      </c>
      <c r="H10141" s="27">
        <v>153.96428571428601</v>
      </c>
      <c r="I10141" s="21" t="s">
        <v>7947</v>
      </c>
      <c r="K10141" s="21" t="s">
        <v>647</v>
      </c>
      <c r="N10141" s="21" t="s">
        <v>40</v>
      </c>
      <c r="O10141" s="21">
        <v>101</v>
      </c>
      <c r="Q10141" s="21">
        <f t="shared" si="218"/>
        <v>3</v>
      </c>
      <c r="R10141" s="21">
        <v>1</v>
      </c>
      <c r="S10141" s="21">
        <v>0</v>
      </c>
      <c r="T10141" s="21">
        <v>0</v>
      </c>
      <c r="U10141" s="21">
        <v>0</v>
      </c>
      <c r="V10141" s="21">
        <v>0</v>
      </c>
      <c r="W10141" s="21">
        <v>0</v>
      </c>
      <c r="X10141" s="21">
        <v>0</v>
      </c>
      <c r="Y10141" s="21">
        <v>0</v>
      </c>
      <c r="Z10141" s="21">
        <v>0</v>
      </c>
      <c r="AA10141" s="21">
        <v>0</v>
      </c>
      <c r="AB10141" s="21">
        <v>3</v>
      </c>
      <c r="AC10141" s="21">
        <v>0</v>
      </c>
      <c r="AD10141" s="21">
        <v>0</v>
      </c>
      <c r="AE10141" s="21">
        <v>0</v>
      </c>
      <c r="AF10141" s="21">
        <v>0</v>
      </c>
      <c r="AG10141" s="21">
        <v>0</v>
      </c>
      <c r="AH10141" s="21">
        <f t="shared" si="217"/>
        <v>0</v>
      </c>
      <c r="AI10141" s="21"/>
      <c r="AJ10141" s="21" t="s">
        <v>54</v>
      </c>
      <c r="AK10141" s="21" t="s">
        <v>52</v>
      </c>
      <c r="AL10141" s="21"/>
      <c r="AM10141" s="21" t="s">
        <v>7948</v>
      </c>
      <c r="AN10141" s="21">
        <v>-122.406061479427</v>
      </c>
      <c r="AO10141" s="21">
        <v>37.796126518483398</v>
      </c>
      <c r="AP10141" s="21" t="s">
        <v>116</v>
      </c>
    </row>
    <row r="10142" spans="1:42">
      <c r="A10142" s="20">
        <v>43889</v>
      </c>
      <c r="B10142" s="21">
        <v>5</v>
      </c>
      <c r="C10142" s="21">
        <v>302</v>
      </c>
      <c r="D10142" s="21">
        <v>10415</v>
      </c>
      <c r="E10142" s="21" t="s">
        <v>37</v>
      </c>
      <c r="F10142" s="21" t="s">
        <v>38</v>
      </c>
      <c r="G10142" s="21">
        <v>4</v>
      </c>
      <c r="H10142" s="27">
        <v>155.142857142857</v>
      </c>
      <c r="I10142" s="21" t="s">
        <v>7949</v>
      </c>
      <c r="K10142" s="21" t="s">
        <v>647</v>
      </c>
      <c r="N10142" s="21" t="s">
        <v>40</v>
      </c>
      <c r="O10142" s="21">
        <v>99</v>
      </c>
      <c r="Q10142" s="21">
        <f t="shared" si="218"/>
        <v>4</v>
      </c>
      <c r="R10142" s="21">
        <v>1</v>
      </c>
      <c r="S10142" s="21">
        <v>0</v>
      </c>
      <c r="T10142" s="21">
        <v>0</v>
      </c>
      <c r="U10142" s="21">
        <v>0</v>
      </c>
      <c r="V10142" s="21">
        <v>0</v>
      </c>
      <c r="W10142" s="21">
        <v>0</v>
      </c>
      <c r="X10142" s="21">
        <v>0</v>
      </c>
      <c r="Y10142" s="21">
        <v>0</v>
      </c>
      <c r="Z10142" s="21">
        <v>0</v>
      </c>
      <c r="AA10142" s="21">
        <v>2</v>
      </c>
      <c r="AB10142" s="21">
        <v>2</v>
      </c>
      <c r="AC10142" s="21">
        <v>0</v>
      </c>
      <c r="AD10142" s="21">
        <v>0</v>
      </c>
      <c r="AE10142" s="21">
        <v>0</v>
      </c>
      <c r="AF10142" s="21">
        <v>0</v>
      </c>
      <c r="AG10142" s="21">
        <v>0</v>
      </c>
      <c r="AH10142" s="21">
        <f t="shared" si="217"/>
        <v>0</v>
      </c>
      <c r="AI10142" s="21"/>
      <c r="AJ10142" s="21" t="s">
        <v>54</v>
      </c>
      <c r="AK10142" s="21" t="s">
        <v>52</v>
      </c>
      <c r="AL10142" s="21"/>
      <c r="AM10142" s="21" t="s">
        <v>7950</v>
      </c>
      <c r="AN10142" s="21">
        <v>-122.40588176247201</v>
      </c>
      <c r="AO10142" s="21">
        <v>37.796154879646799</v>
      </c>
      <c r="AP10142" s="21" t="s">
        <v>116</v>
      </c>
    </row>
    <row r="10143" spans="1:42">
      <c r="A10143" s="20">
        <v>43889</v>
      </c>
      <c r="B10143" s="21">
        <v>5</v>
      </c>
      <c r="C10143" s="21">
        <v>302</v>
      </c>
      <c r="D10143" s="21">
        <v>10415</v>
      </c>
      <c r="E10143" s="21" t="s">
        <v>37</v>
      </c>
      <c r="F10143" s="21" t="s">
        <v>38</v>
      </c>
      <c r="G10143" s="21">
        <v>4</v>
      </c>
      <c r="H10143" s="27">
        <v>156.32142857142901</v>
      </c>
      <c r="I10143" s="21" t="s">
        <v>3200</v>
      </c>
      <c r="K10143" s="21" t="s">
        <v>647</v>
      </c>
      <c r="N10143" s="21" t="s">
        <v>40</v>
      </c>
      <c r="O10143" s="21">
        <v>50</v>
      </c>
      <c r="Q10143" s="21">
        <f t="shared" si="218"/>
        <v>1</v>
      </c>
      <c r="R10143" s="21">
        <v>1</v>
      </c>
      <c r="S10143" s="21">
        <v>0</v>
      </c>
      <c r="T10143" s="21">
        <v>0</v>
      </c>
      <c r="U10143" s="21">
        <v>0</v>
      </c>
      <c r="V10143" s="21">
        <v>0</v>
      </c>
      <c r="W10143" s="21">
        <v>0</v>
      </c>
      <c r="X10143" s="21">
        <v>0</v>
      </c>
      <c r="Y10143" s="21">
        <v>0</v>
      </c>
      <c r="Z10143" s="21">
        <v>0</v>
      </c>
      <c r="AA10143" s="21">
        <v>1</v>
      </c>
      <c r="AB10143" s="21">
        <v>0</v>
      </c>
      <c r="AC10143" s="21">
        <v>0</v>
      </c>
      <c r="AD10143" s="21">
        <v>0</v>
      </c>
      <c r="AE10143" s="21">
        <v>0</v>
      </c>
      <c r="AF10143" s="21">
        <v>0</v>
      </c>
      <c r="AG10143" s="21">
        <v>0</v>
      </c>
      <c r="AH10143" s="21">
        <f t="shared" si="217"/>
        <v>0</v>
      </c>
      <c r="AI10143" s="21"/>
      <c r="AJ10143" s="21" t="s">
        <v>54</v>
      </c>
      <c r="AK10143" s="21" t="s">
        <v>52</v>
      </c>
      <c r="AL10143" s="21"/>
      <c r="AM10143" s="21" t="s">
        <v>7951</v>
      </c>
      <c r="AN10143" s="21">
        <v>-122.40560710976</v>
      </c>
      <c r="AO10143" s="21">
        <v>37.796226719502698</v>
      </c>
      <c r="AP10143" s="21" t="s">
        <v>116</v>
      </c>
    </row>
    <row r="10144" spans="1:42">
      <c r="A10144" s="20">
        <v>43889</v>
      </c>
      <c r="B10144" s="21">
        <v>5</v>
      </c>
      <c r="C10144" s="21">
        <v>302</v>
      </c>
      <c r="D10144" s="21">
        <v>10415</v>
      </c>
      <c r="E10144" s="21" t="s">
        <v>37</v>
      </c>
      <c r="F10144" s="21" t="s">
        <v>38</v>
      </c>
      <c r="G10144" s="21">
        <v>4</v>
      </c>
      <c r="H10144" s="27">
        <v>157.5</v>
      </c>
      <c r="I10144" s="21" t="s">
        <v>7952</v>
      </c>
      <c r="K10144" s="21" t="s">
        <v>71</v>
      </c>
      <c r="N10144" s="21" t="s">
        <v>40</v>
      </c>
      <c r="O10144" s="21">
        <v>82</v>
      </c>
      <c r="Q10144" s="21">
        <f t="shared" si="218"/>
        <v>4</v>
      </c>
      <c r="R10144" s="21">
        <v>1</v>
      </c>
      <c r="S10144" s="21">
        <v>0</v>
      </c>
      <c r="T10144" s="21">
        <v>0</v>
      </c>
      <c r="U10144" s="21">
        <v>0</v>
      </c>
      <c r="V10144" s="21">
        <v>0</v>
      </c>
      <c r="W10144" s="21">
        <v>0</v>
      </c>
      <c r="X10144" s="21">
        <v>0</v>
      </c>
      <c r="Y10144" s="21">
        <v>0</v>
      </c>
      <c r="Z10144" s="21">
        <v>0</v>
      </c>
      <c r="AA10144" s="21">
        <v>0</v>
      </c>
      <c r="AB10144" s="21">
        <v>4</v>
      </c>
      <c r="AC10144" s="21">
        <v>0</v>
      </c>
      <c r="AD10144" s="21">
        <v>0</v>
      </c>
      <c r="AE10144" s="21">
        <v>0</v>
      </c>
      <c r="AF10144" s="21">
        <v>0</v>
      </c>
      <c r="AG10144" s="21">
        <v>0</v>
      </c>
      <c r="AH10144" s="21">
        <f t="shared" si="217"/>
        <v>0</v>
      </c>
      <c r="AI10144" s="21"/>
      <c r="AJ10144" s="21" t="s">
        <v>54</v>
      </c>
      <c r="AK10144" s="21" t="s">
        <v>52</v>
      </c>
      <c r="AL10144" s="21" t="s">
        <v>7953</v>
      </c>
      <c r="AM10144" s="21" t="s">
        <v>7954</v>
      </c>
      <c r="AN10144" s="21">
        <v>-122.40536806986</v>
      </c>
      <c r="AO10144" s="21">
        <v>37.796282898001202</v>
      </c>
      <c r="AP10144" s="21" t="s">
        <v>116</v>
      </c>
    </row>
    <row r="10145" spans="1:42">
      <c r="A10145" s="20">
        <v>43889</v>
      </c>
      <c r="B10145" s="21">
        <v>5</v>
      </c>
      <c r="C10145" s="21">
        <v>302</v>
      </c>
      <c r="D10145" s="21">
        <v>10415</v>
      </c>
      <c r="E10145" s="21" t="s">
        <v>37</v>
      </c>
      <c r="F10145" s="21" t="s">
        <v>38</v>
      </c>
      <c r="G10145" s="21">
        <v>4</v>
      </c>
      <c r="H10145" s="27">
        <v>158.67857142857201</v>
      </c>
      <c r="I10145" s="21" t="s">
        <v>6260</v>
      </c>
      <c r="K10145" s="21" t="s">
        <v>1115</v>
      </c>
      <c r="N10145" s="21" t="s">
        <v>40</v>
      </c>
      <c r="O10145" s="21">
        <v>50</v>
      </c>
      <c r="Q10145" s="21">
        <f t="shared" si="218"/>
        <v>1</v>
      </c>
      <c r="R10145" s="21">
        <v>1</v>
      </c>
      <c r="S10145" s="21">
        <v>0</v>
      </c>
      <c r="T10145" s="21">
        <v>0</v>
      </c>
      <c r="U10145" s="21">
        <v>0</v>
      </c>
      <c r="V10145" s="21">
        <v>0</v>
      </c>
      <c r="W10145" s="21">
        <v>0</v>
      </c>
      <c r="X10145" s="21">
        <v>0</v>
      </c>
      <c r="Y10145" s="21">
        <v>0</v>
      </c>
      <c r="Z10145" s="21">
        <v>0</v>
      </c>
      <c r="AA10145" s="21">
        <v>0</v>
      </c>
      <c r="AB10145" s="21">
        <v>1</v>
      </c>
      <c r="AC10145" s="21">
        <v>0</v>
      </c>
      <c r="AD10145" s="21">
        <v>0</v>
      </c>
      <c r="AE10145" s="21">
        <v>0</v>
      </c>
      <c r="AF10145" s="21">
        <v>0</v>
      </c>
      <c r="AG10145" s="21">
        <v>0</v>
      </c>
      <c r="AH10145" s="21">
        <f t="shared" si="217"/>
        <v>0</v>
      </c>
      <c r="AI10145" s="21"/>
      <c r="AJ10145" s="21" t="s">
        <v>51</v>
      </c>
      <c r="AK10145" s="21" t="s">
        <v>95</v>
      </c>
      <c r="AL10145" s="21"/>
      <c r="AM10145" s="21" t="s">
        <v>7955</v>
      </c>
      <c r="AN10145" s="21">
        <v>-122.403330995324</v>
      </c>
      <c r="AO10145" s="21">
        <v>37.796230369523499</v>
      </c>
      <c r="AP10145" s="21" t="s">
        <v>116</v>
      </c>
    </row>
    <row r="10146" spans="1:42">
      <c r="A10146" s="20">
        <v>43889</v>
      </c>
      <c r="B10146" s="21">
        <v>5</v>
      </c>
      <c r="C10146" s="21">
        <v>302</v>
      </c>
      <c r="D10146" s="21">
        <v>10415</v>
      </c>
      <c r="E10146" s="21" t="s">
        <v>37</v>
      </c>
      <c r="F10146" s="21" t="s">
        <v>38</v>
      </c>
      <c r="G10146" s="21">
        <v>4</v>
      </c>
      <c r="H10146" s="27">
        <v>159.857142857143</v>
      </c>
      <c r="I10146" s="21" t="s">
        <v>7956</v>
      </c>
      <c r="K10146" s="21" t="s">
        <v>65</v>
      </c>
      <c r="N10146" s="21" t="s">
        <v>40</v>
      </c>
      <c r="O10146" s="21">
        <v>42</v>
      </c>
      <c r="Q10146" s="21">
        <f t="shared" si="218"/>
        <v>1</v>
      </c>
      <c r="R10146" s="21">
        <v>1</v>
      </c>
      <c r="S10146" s="21">
        <v>0</v>
      </c>
      <c r="T10146" s="21">
        <v>0</v>
      </c>
      <c r="U10146" s="21">
        <v>0</v>
      </c>
      <c r="V10146" s="21">
        <v>0</v>
      </c>
      <c r="W10146" s="21">
        <v>0</v>
      </c>
      <c r="X10146" s="21">
        <v>0</v>
      </c>
      <c r="Y10146" s="21">
        <v>0</v>
      </c>
      <c r="Z10146" s="21">
        <v>0</v>
      </c>
      <c r="AA10146" s="21">
        <v>1</v>
      </c>
      <c r="AB10146" s="21">
        <v>0</v>
      </c>
      <c r="AC10146" s="21">
        <v>0</v>
      </c>
      <c r="AD10146" s="21">
        <v>0</v>
      </c>
      <c r="AE10146" s="21">
        <v>0</v>
      </c>
      <c r="AF10146" s="21">
        <v>0</v>
      </c>
      <c r="AG10146" s="21">
        <v>0</v>
      </c>
      <c r="AH10146" s="21">
        <f t="shared" si="217"/>
        <v>0</v>
      </c>
      <c r="AI10146" s="21"/>
      <c r="AJ10146" s="21" t="s">
        <v>51</v>
      </c>
      <c r="AK10146" s="21" t="s">
        <v>95</v>
      </c>
      <c r="AL10146" s="21"/>
      <c r="AM10146" s="21" t="s">
        <v>7957</v>
      </c>
      <c r="AN10146" s="21">
        <v>-122.404184794594</v>
      </c>
      <c r="AO10146" s="21">
        <v>37.796114264418698</v>
      </c>
      <c r="AP10146" s="21" t="s">
        <v>116</v>
      </c>
    </row>
    <row r="10147" spans="1:42">
      <c r="A10147" s="20">
        <v>43889</v>
      </c>
      <c r="B10147" s="21">
        <v>5</v>
      </c>
      <c r="C10147" s="21">
        <v>302</v>
      </c>
      <c r="D10147" s="21">
        <v>10415</v>
      </c>
      <c r="E10147" s="21" t="s">
        <v>37</v>
      </c>
      <c r="F10147" s="21" t="s">
        <v>38</v>
      </c>
      <c r="G10147" s="21">
        <v>4</v>
      </c>
      <c r="H10147" s="27">
        <v>161.03571428571399</v>
      </c>
      <c r="I10147" s="21" t="s">
        <v>7958</v>
      </c>
      <c r="K10147" s="21" t="s">
        <v>65</v>
      </c>
      <c r="N10147" s="21" t="s">
        <v>40</v>
      </c>
      <c r="O10147" s="21">
        <v>44</v>
      </c>
      <c r="Q10147" s="21">
        <f t="shared" si="218"/>
        <v>1</v>
      </c>
      <c r="R10147" s="21">
        <v>1</v>
      </c>
      <c r="S10147" s="21">
        <v>0</v>
      </c>
      <c r="T10147" s="21">
        <v>0</v>
      </c>
      <c r="U10147" s="21">
        <v>0</v>
      </c>
      <c r="V10147" s="21">
        <v>0</v>
      </c>
      <c r="W10147" s="21">
        <v>0</v>
      </c>
      <c r="X10147" s="21">
        <v>0</v>
      </c>
      <c r="Y10147" s="21">
        <v>0</v>
      </c>
      <c r="Z10147" s="21">
        <v>0</v>
      </c>
      <c r="AA10147" s="21">
        <v>1</v>
      </c>
      <c r="AB10147" s="21">
        <v>0</v>
      </c>
      <c r="AC10147" s="21">
        <v>0</v>
      </c>
      <c r="AD10147" s="21">
        <v>0</v>
      </c>
      <c r="AE10147" s="21">
        <v>0</v>
      </c>
      <c r="AF10147" s="21">
        <v>0</v>
      </c>
      <c r="AG10147" s="21">
        <v>0</v>
      </c>
      <c r="AH10147" s="21">
        <f t="shared" si="217"/>
        <v>0</v>
      </c>
      <c r="AI10147" s="21"/>
      <c r="AJ10147" s="21" t="s">
        <v>51</v>
      </c>
      <c r="AK10147" s="21" t="s">
        <v>52</v>
      </c>
      <c r="AL10147" s="21"/>
      <c r="AM10147" s="21" t="s">
        <v>7959</v>
      </c>
      <c r="AN10147" s="21">
        <v>-122.40413421495199</v>
      </c>
      <c r="AO10147" s="21">
        <v>37.794078315952397</v>
      </c>
      <c r="AP10147" s="21" t="s">
        <v>116</v>
      </c>
    </row>
    <row r="10148" spans="1:42">
      <c r="A10148" s="20">
        <v>43892</v>
      </c>
      <c r="B10148" s="21">
        <v>1</v>
      </c>
      <c r="C10148" s="21">
        <v>313</v>
      </c>
      <c r="D10148" s="21">
        <v>14384</v>
      </c>
      <c r="E10148" t="s">
        <v>112</v>
      </c>
      <c r="F10148" s="21" t="s">
        <v>38</v>
      </c>
      <c r="G10148" s="21">
        <v>4</v>
      </c>
      <c r="H10148" s="27">
        <v>1</v>
      </c>
      <c r="I10148" s="21" t="s">
        <v>7960</v>
      </c>
      <c r="J10148" s="21"/>
      <c r="K10148" s="21" t="s">
        <v>407</v>
      </c>
      <c r="L10148" s="21"/>
      <c r="M10148" s="21" t="s">
        <v>7038</v>
      </c>
      <c r="N10148" s="21" t="s">
        <v>40</v>
      </c>
      <c r="O10148" s="21">
        <v>77</v>
      </c>
      <c r="P10148" s="21"/>
      <c r="Q10148" s="21">
        <f t="shared" ref="Q10148:Q10211" si="219">SUM(S10148+T10148+U10148+V10148+W10148+Y10148+Z10148+AA10148+AB10148+AC10148+AF10148+AG10148+AD10147+AE10147)</f>
        <v>3</v>
      </c>
      <c r="R10148" s="21">
        <v>1</v>
      </c>
      <c r="S10148" s="21">
        <v>0</v>
      </c>
      <c r="T10148" s="21">
        <v>0</v>
      </c>
      <c r="U10148" s="21">
        <v>0</v>
      </c>
      <c r="V10148" s="21">
        <v>3</v>
      </c>
      <c r="W10148" s="21">
        <v>0</v>
      </c>
      <c r="Y10148" s="21">
        <v>0</v>
      </c>
      <c r="Z10148" s="21">
        <v>0</v>
      </c>
      <c r="AA10148" s="21">
        <v>0</v>
      </c>
      <c r="AB10148" s="21">
        <v>0</v>
      </c>
      <c r="AC10148" s="21">
        <v>0</v>
      </c>
      <c r="AD10148" s="21">
        <v>0</v>
      </c>
      <c r="AE10148" s="21">
        <v>0</v>
      </c>
      <c r="AF10148" s="21">
        <v>0</v>
      </c>
      <c r="AG10148" s="21">
        <v>0</v>
      </c>
      <c r="AH10148" s="21">
        <f t="shared" si="217"/>
        <v>192</v>
      </c>
      <c r="AI10148" s="21"/>
      <c r="AJ10148" s="21" t="s">
        <v>51</v>
      </c>
      <c r="AK10148" s="21" t="s">
        <v>52</v>
      </c>
      <c r="AL10148" s="21" t="s">
        <v>7961</v>
      </c>
      <c r="AM10148" s="21" t="s">
        <v>7962</v>
      </c>
      <c r="AN10148" s="21">
        <v>-122.410021366667</v>
      </c>
      <c r="AO10148" s="21">
        <v>37.796699599999997</v>
      </c>
      <c r="AP10148" s="21" t="s">
        <v>116</v>
      </c>
    </row>
    <row r="10149" spans="1:42">
      <c r="A10149" s="20">
        <v>43892</v>
      </c>
      <c r="B10149" s="21">
        <v>1</v>
      </c>
      <c r="C10149" s="21">
        <v>313</v>
      </c>
      <c r="D10149" s="21">
        <v>14384</v>
      </c>
      <c r="E10149" t="s">
        <v>112</v>
      </c>
      <c r="F10149" s="21" t="s">
        <v>38</v>
      </c>
      <c r="G10149" s="21">
        <v>4</v>
      </c>
      <c r="H10149" s="27">
        <v>2</v>
      </c>
      <c r="I10149" s="21" t="s">
        <v>7963</v>
      </c>
      <c r="J10149" s="21"/>
      <c r="K10149" s="21" t="s">
        <v>407</v>
      </c>
      <c r="L10149" s="21"/>
      <c r="M10149" s="21" t="s">
        <v>7038</v>
      </c>
      <c r="N10149" s="21" t="s">
        <v>40</v>
      </c>
      <c r="O10149" s="21">
        <v>64</v>
      </c>
      <c r="P10149" s="21"/>
      <c r="Q10149" s="21">
        <f t="shared" si="219"/>
        <v>4</v>
      </c>
      <c r="R10149" s="21">
        <v>1</v>
      </c>
      <c r="S10149" s="21">
        <v>0</v>
      </c>
      <c r="T10149" s="21">
        <v>0</v>
      </c>
      <c r="U10149" s="21">
        <v>0</v>
      </c>
      <c r="V10149" s="21">
        <v>4</v>
      </c>
      <c r="W10149" s="21">
        <v>0</v>
      </c>
      <c r="Y10149" s="21">
        <v>0</v>
      </c>
      <c r="Z10149" s="21">
        <v>0</v>
      </c>
      <c r="AA10149" s="21">
        <v>0</v>
      </c>
      <c r="AB10149" s="21">
        <v>0</v>
      </c>
      <c r="AC10149" s="21">
        <v>0</v>
      </c>
      <c r="AD10149" s="21">
        <v>0</v>
      </c>
      <c r="AE10149" s="21">
        <v>0</v>
      </c>
      <c r="AF10149" s="21">
        <v>0</v>
      </c>
      <c r="AG10149" s="21">
        <v>0</v>
      </c>
      <c r="AH10149" s="21">
        <f t="shared" si="217"/>
        <v>256</v>
      </c>
      <c r="AI10149" s="21"/>
      <c r="AJ10149" s="21" t="s">
        <v>51</v>
      </c>
      <c r="AK10149" s="21" t="s">
        <v>95</v>
      </c>
      <c r="AL10149" s="21"/>
      <c r="AM10149" s="21" t="s">
        <v>7964</v>
      </c>
      <c r="AN10149" s="21">
        <v>-122.41014768333299</v>
      </c>
      <c r="AO10149" s="21">
        <v>37.796916500000002</v>
      </c>
      <c r="AP10149" s="21" t="s">
        <v>116</v>
      </c>
    </row>
    <row r="10150" spans="1:42">
      <c r="A10150" s="20">
        <v>43892</v>
      </c>
      <c r="B10150" s="21">
        <v>1</v>
      </c>
      <c r="C10150" s="21">
        <v>313</v>
      </c>
      <c r="D10150" s="21">
        <v>14384</v>
      </c>
      <c r="E10150" t="s">
        <v>112</v>
      </c>
      <c r="F10150" s="21" t="s">
        <v>38</v>
      </c>
      <c r="G10150" s="21">
        <v>4</v>
      </c>
      <c r="H10150" s="27">
        <v>3</v>
      </c>
      <c r="I10150" s="21" t="s">
        <v>7965</v>
      </c>
      <c r="J10150" s="21"/>
      <c r="K10150" s="21" t="s">
        <v>185</v>
      </c>
      <c r="L10150" s="21"/>
      <c r="M10150" s="21" t="s">
        <v>7038</v>
      </c>
      <c r="N10150" s="21" t="s">
        <v>40</v>
      </c>
      <c r="O10150" s="21">
        <v>39</v>
      </c>
      <c r="P10150" s="21"/>
      <c r="Q10150" s="21">
        <f t="shared" si="219"/>
        <v>1</v>
      </c>
      <c r="R10150" s="21">
        <v>1</v>
      </c>
      <c r="S10150" s="21">
        <v>0</v>
      </c>
      <c r="T10150" s="21">
        <v>0</v>
      </c>
      <c r="U10150" s="21">
        <v>1</v>
      </c>
      <c r="V10150" s="21">
        <v>0</v>
      </c>
      <c r="W10150" s="21">
        <v>0</v>
      </c>
      <c r="Y10150" s="21">
        <v>0</v>
      </c>
      <c r="Z10150" s="21">
        <v>0</v>
      </c>
      <c r="AA10150" s="21">
        <v>0</v>
      </c>
      <c r="AB10150" s="21">
        <v>0</v>
      </c>
      <c r="AC10150" s="21">
        <v>0</v>
      </c>
      <c r="AD10150" s="21">
        <v>0</v>
      </c>
      <c r="AE10150" s="21">
        <v>0</v>
      </c>
      <c r="AF10150" s="21">
        <v>0</v>
      </c>
      <c r="AG10150" s="21">
        <v>0</v>
      </c>
      <c r="AH10150" s="21">
        <f t="shared" si="217"/>
        <v>32</v>
      </c>
      <c r="AI10150" s="21"/>
      <c r="AJ10150" s="21" t="s">
        <v>3023</v>
      </c>
      <c r="AK10150" s="21" t="s">
        <v>95</v>
      </c>
      <c r="AL10150" s="21"/>
      <c r="AM10150" s="21" t="s">
        <v>7966</v>
      </c>
      <c r="AN10150" s="21">
        <v>-122.409941083333</v>
      </c>
      <c r="AO10150" s="21">
        <v>37.797414850000003</v>
      </c>
      <c r="AP10150" s="21" t="s">
        <v>116</v>
      </c>
    </row>
    <row r="10151" spans="1:42">
      <c r="A10151" s="20">
        <v>43892</v>
      </c>
      <c r="B10151" s="21">
        <v>1</v>
      </c>
      <c r="C10151" s="21">
        <v>313</v>
      </c>
      <c r="D10151" s="21">
        <v>14384</v>
      </c>
      <c r="E10151" t="s">
        <v>112</v>
      </c>
      <c r="F10151" s="21" t="s">
        <v>38</v>
      </c>
      <c r="G10151" s="21">
        <v>4</v>
      </c>
      <c r="H10151" s="27">
        <v>4</v>
      </c>
      <c r="I10151" s="21" t="s">
        <v>7967</v>
      </c>
      <c r="J10151" s="21"/>
      <c r="K10151" s="21" t="s">
        <v>185</v>
      </c>
      <c r="L10151" s="21"/>
      <c r="M10151" s="21" t="s">
        <v>7038</v>
      </c>
      <c r="N10151" s="21" t="s">
        <v>44</v>
      </c>
      <c r="O10151" s="21">
        <v>43</v>
      </c>
      <c r="P10151" s="21"/>
      <c r="Q10151" s="21">
        <f t="shared" si="219"/>
        <v>1</v>
      </c>
      <c r="R10151" s="21">
        <v>1</v>
      </c>
      <c r="S10151" s="21">
        <v>0</v>
      </c>
      <c r="T10151" s="21">
        <v>0</v>
      </c>
      <c r="U10151" s="21">
        <v>0</v>
      </c>
      <c r="V10151" s="21">
        <v>1</v>
      </c>
      <c r="W10151" s="21">
        <v>0</v>
      </c>
      <c r="Y10151" s="21">
        <v>0</v>
      </c>
      <c r="Z10151" s="21">
        <v>0</v>
      </c>
      <c r="AA10151" s="21">
        <v>0</v>
      </c>
      <c r="AB10151" s="21">
        <v>0</v>
      </c>
      <c r="AC10151" s="21">
        <v>0</v>
      </c>
      <c r="AD10151" s="21">
        <v>0</v>
      </c>
      <c r="AE10151" s="21">
        <v>0</v>
      </c>
      <c r="AF10151" s="21">
        <v>0</v>
      </c>
      <c r="AG10151" s="21">
        <v>0</v>
      </c>
      <c r="AH10151" s="21">
        <f t="shared" si="217"/>
        <v>64</v>
      </c>
      <c r="AI10151" s="21"/>
      <c r="AJ10151" s="21" t="s">
        <v>51</v>
      </c>
      <c r="AK10151" s="21" t="s">
        <v>95</v>
      </c>
      <c r="AL10151" s="21" t="s">
        <v>7105</v>
      </c>
      <c r="AM10151" s="21" t="s">
        <v>7968</v>
      </c>
      <c r="AN10151" s="21">
        <v>-122.409982466667</v>
      </c>
      <c r="AO10151" s="21">
        <v>37.797390366666598</v>
      </c>
      <c r="AP10151" s="21" t="s">
        <v>116</v>
      </c>
    </row>
    <row r="10152" spans="1:42">
      <c r="A10152" s="20">
        <v>43892</v>
      </c>
      <c r="B10152" s="21">
        <v>1</v>
      </c>
      <c r="C10152" s="21">
        <v>313</v>
      </c>
      <c r="D10152" s="21">
        <v>14384</v>
      </c>
      <c r="E10152" t="s">
        <v>112</v>
      </c>
      <c r="F10152" s="21" t="s">
        <v>38</v>
      </c>
      <c r="G10152" s="21">
        <v>4</v>
      </c>
      <c r="H10152" s="27">
        <v>5</v>
      </c>
      <c r="I10152" s="21" t="s">
        <v>4321</v>
      </c>
      <c r="J10152" s="21"/>
      <c r="K10152" s="21" t="s">
        <v>4704</v>
      </c>
      <c r="L10152" s="21"/>
      <c r="M10152" s="21" t="s">
        <v>7038</v>
      </c>
      <c r="N10152" s="21" t="s">
        <v>40</v>
      </c>
      <c r="O10152" s="21">
        <v>26</v>
      </c>
      <c r="P10152" s="21"/>
      <c r="Q10152" s="21">
        <f t="shared" si="219"/>
        <v>2</v>
      </c>
      <c r="R10152" s="21">
        <v>1</v>
      </c>
      <c r="S10152" s="21">
        <v>0</v>
      </c>
      <c r="T10152" s="21">
        <v>0</v>
      </c>
      <c r="U10152" s="21">
        <v>2</v>
      </c>
      <c r="V10152" s="21"/>
      <c r="W10152" s="21">
        <v>0</v>
      </c>
      <c r="Y10152" s="21">
        <v>0</v>
      </c>
      <c r="Z10152" s="21">
        <v>0</v>
      </c>
      <c r="AA10152" s="21">
        <v>0</v>
      </c>
      <c r="AB10152" s="21">
        <v>0</v>
      </c>
      <c r="AC10152" s="21">
        <v>0</v>
      </c>
      <c r="AD10152" s="21">
        <v>0</v>
      </c>
      <c r="AE10152" s="21">
        <v>0</v>
      </c>
      <c r="AF10152" s="21">
        <v>0</v>
      </c>
      <c r="AG10152" s="21">
        <v>0</v>
      </c>
      <c r="AH10152" s="21">
        <f t="shared" si="217"/>
        <v>64</v>
      </c>
      <c r="AI10152" s="21"/>
      <c r="AJ10152" s="21" t="s">
        <v>51</v>
      </c>
      <c r="AK10152" s="21" t="s">
        <v>95</v>
      </c>
      <c r="AL10152" s="21"/>
      <c r="AM10152" s="21" t="s">
        <v>7969</v>
      </c>
      <c r="AN10152" s="21">
        <v>-122.408382166667</v>
      </c>
      <c r="AO10152" s="21">
        <v>37.797666149999998</v>
      </c>
      <c r="AP10152" s="21" t="s">
        <v>116</v>
      </c>
    </row>
    <row r="10153" spans="1:42">
      <c r="A10153" s="20">
        <v>43892</v>
      </c>
      <c r="B10153" s="21">
        <v>1</v>
      </c>
      <c r="C10153" s="21">
        <v>313</v>
      </c>
      <c r="D10153" s="21">
        <v>14384</v>
      </c>
      <c r="E10153" t="s">
        <v>112</v>
      </c>
      <c r="F10153" s="21" t="s">
        <v>38</v>
      </c>
      <c r="G10153" s="21">
        <v>4</v>
      </c>
      <c r="H10153" s="27">
        <v>6</v>
      </c>
      <c r="I10153" s="21" t="s">
        <v>4254</v>
      </c>
      <c r="J10153" s="21"/>
      <c r="K10153" s="21" t="s">
        <v>185</v>
      </c>
      <c r="L10153" s="21"/>
      <c r="M10153" s="21" t="s">
        <v>7038</v>
      </c>
      <c r="N10153" s="21" t="s">
        <v>44</v>
      </c>
      <c r="O10153" s="21">
        <v>71</v>
      </c>
      <c r="P10153" s="21"/>
      <c r="Q10153" s="21">
        <f t="shared" si="219"/>
        <v>1</v>
      </c>
      <c r="R10153" s="21">
        <v>1</v>
      </c>
      <c r="S10153" s="21">
        <v>0</v>
      </c>
      <c r="T10153" s="21">
        <v>0</v>
      </c>
      <c r="U10153" s="21">
        <v>0</v>
      </c>
      <c r="V10153" s="21">
        <v>1</v>
      </c>
      <c r="W10153" s="21">
        <v>0</v>
      </c>
      <c r="Y10153" s="21">
        <v>0</v>
      </c>
      <c r="Z10153" s="21">
        <v>0</v>
      </c>
      <c r="AA10153" s="21">
        <v>0</v>
      </c>
      <c r="AB10153" s="21">
        <v>0</v>
      </c>
      <c r="AC10153" s="21">
        <v>0</v>
      </c>
      <c r="AD10153" s="21">
        <v>0</v>
      </c>
      <c r="AE10153" s="21">
        <v>0</v>
      </c>
      <c r="AF10153" s="21">
        <v>0</v>
      </c>
      <c r="AG10153" s="21">
        <v>0</v>
      </c>
      <c r="AH10153" s="21">
        <f t="shared" si="217"/>
        <v>64</v>
      </c>
      <c r="AI10153" s="21"/>
      <c r="AJ10153" s="21" t="s">
        <v>51</v>
      </c>
      <c r="AK10153" s="21" t="s">
        <v>95</v>
      </c>
      <c r="AL10153" s="21" t="s">
        <v>7970</v>
      </c>
      <c r="AM10153" s="21" t="s">
        <v>7971</v>
      </c>
      <c r="AN10153" s="21">
        <v>-122.407880666667</v>
      </c>
      <c r="AO10153" s="21">
        <v>37.797667733333299</v>
      </c>
      <c r="AP10153" s="21" t="s">
        <v>116</v>
      </c>
    </row>
    <row r="10154" spans="1:42">
      <c r="A10154" s="20">
        <v>43892</v>
      </c>
      <c r="B10154" s="21">
        <v>1</v>
      </c>
      <c r="C10154" s="21">
        <v>313</v>
      </c>
      <c r="D10154" s="21">
        <v>14384</v>
      </c>
      <c r="E10154" t="s">
        <v>112</v>
      </c>
      <c r="F10154" s="21" t="s">
        <v>38</v>
      </c>
      <c r="G10154" s="21">
        <v>4</v>
      </c>
      <c r="H10154" s="27">
        <v>7</v>
      </c>
      <c r="I10154" s="21" t="s">
        <v>7384</v>
      </c>
      <c r="J10154" s="21"/>
      <c r="K10154" s="21" t="s">
        <v>185</v>
      </c>
      <c r="L10154" s="21"/>
      <c r="M10154" s="21" t="s">
        <v>7038</v>
      </c>
      <c r="N10154" s="21" t="s">
        <v>40</v>
      </c>
      <c r="O10154" s="21">
        <v>52</v>
      </c>
      <c r="P10154" s="21"/>
      <c r="Q10154" s="21">
        <f t="shared" si="219"/>
        <v>2</v>
      </c>
      <c r="R10154" s="21">
        <v>1</v>
      </c>
      <c r="S10154" s="21">
        <v>0</v>
      </c>
      <c r="T10154" s="21">
        <v>0</v>
      </c>
      <c r="U10154" s="21">
        <v>0</v>
      </c>
      <c r="V10154" s="21">
        <v>2</v>
      </c>
      <c r="W10154" s="21">
        <v>0</v>
      </c>
      <c r="Y10154" s="21">
        <v>0</v>
      </c>
      <c r="Z10154" s="21">
        <v>0</v>
      </c>
      <c r="AA10154" s="21">
        <v>0</v>
      </c>
      <c r="AB10154" s="21">
        <v>0</v>
      </c>
      <c r="AC10154" s="21">
        <v>0</v>
      </c>
      <c r="AD10154" s="21">
        <v>0</v>
      </c>
      <c r="AE10154" s="21">
        <v>0</v>
      </c>
      <c r="AF10154" s="21">
        <v>0</v>
      </c>
      <c r="AG10154" s="21">
        <v>0</v>
      </c>
      <c r="AH10154" s="21">
        <f t="shared" si="217"/>
        <v>128</v>
      </c>
      <c r="AI10154" s="21"/>
      <c r="AJ10154" s="21" t="s">
        <v>51</v>
      </c>
      <c r="AK10154" s="21" t="s">
        <v>95</v>
      </c>
      <c r="AL10154" s="21" t="s">
        <v>7972</v>
      </c>
      <c r="AM10154" s="21" t="s">
        <v>7973</v>
      </c>
      <c r="AN10154" s="21">
        <v>-122.407592916667</v>
      </c>
      <c r="AO10154" s="21">
        <v>37.797735583333299</v>
      </c>
      <c r="AP10154" s="21" t="s">
        <v>116</v>
      </c>
    </row>
    <row r="10155" spans="1:42">
      <c r="A10155" s="20">
        <v>43892</v>
      </c>
      <c r="B10155" s="21">
        <v>1</v>
      </c>
      <c r="C10155" s="21">
        <v>313</v>
      </c>
      <c r="D10155" s="21">
        <v>14384</v>
      </c>
      <c r="E10155" t="s">
        <v>112</v>
      </c>
      <c r="F10155" s="21" t="s">
        <v>38</v>
      </c>
      <c r="G10155" s="21">
        <v>4</v>
      </c>
      <c r="H10155" s="27">
        <v>8</v>
      </c>
      <c r="I10155" s="21" t="s">
        <v>3559</v>
      </c>
      <c r="J10155" s="21"/>
      <c r="K10155" s="21" t="s">
        <v>185</v>
      </c>
      <c r="L10155" s="21"/>
      <c r="M10155" s="21" t="s">
        <v>7038</v>
      </c>
      <c r="N10155" s="21" t="s">
        <v>40</v>
      </c>
      <c r="O10155" s="21">
        <v>59</v>
      </c>
      <c r="P10155" s="21"/>
      <c r="Q10155" s="21">
        <f t="shared" si="219"/>
        <v>3</v>
      </c>
      <c r="R10155" s="21">
        <v>1</v>
      </c>
      <c r="S10155" s="21">
        <v>0</v>
      </c>
      <c r="T10155" s="21">
        <v>0</v>
      </c>
      <c r="U10155" s="21">
        <v>2</v>
      </c>
      <c r="V10155" s="21">
        <v>1</v>
      </c>
      <c r="W10155" s="21">
        <v>0</v>
      </c>
      <c r="Y10155" s="21">
        <v>0</v>
      </c>
      <c r="Z10155" s="21">
        <v>0</v>
      </c>
      <c r="AA10155" s="21">
        <v>0</v>
      </c>
      <c r="AB10155" s="21">
        <v>0</v>
      </c>
      <c r="AC10155" s="21">
        <v>0</v>
      </c>
      <c r="AD10155" s="21">
        <v>0</v>
      </c>
      <c r="AE10155" s="21">
        <v>0</v>
      </c>
      <c r="AF10155" s="21">
        <v>0</v>
      </c>
      <c r="AG10155" s="21">
        <v>0</v>
      </c>
      <c r="AH10155" s="21">
        <f t="shared" si="217"/>
        <v>128</v>
      </c>
      <c r="AI10155" s="21"/>
      <c r="AJ10155" s="21" t="s">
        <v>51</v>
      </c>
      <c r="AK10155" s="21" t="s">
        <v>95</v>
      </c>
      <c r="AL10155" s="21"/>
      <c r="AM10155" s="21" t="s">
        <v>7974</v>
      </c>
      <c r="AN10155" s="21">
        <v>-122.407575266667</v>
      </c>
      <c r="AO10155" s="21">
        <v>37.797718866666699</v>
      </c>
      <c r="AP10155" s="21" t="s">
        <v>116</v>
      </c>
    </row>
    <row r="10156" spans="1:42">
      <c r="A10156" s="20">
        <v>43892</v>
      </c>
      <c r="B10156" s="21">
        <v>1</v>
      </c>
      <c r="C10156" s="21">
        <v>313</v>
      </c>
      <c r="D10156" s="21">
        <v>14384</v>
      </c>
      <c r="E10156" t="s">
        <v>112</v>
      </c>
      <c r="F10156" s="21" t="s">
        <v>38</v>
      </c>
      <c r="G10156" s="21">
        <v>4</v>
      </c>
      <c r="H10156" s="27">
        <v>9</v>
      </c>
      <c r="I10156" s="21" t="s">
        <v>7975</v>
      </c>
      <c r="J10156" s="21"/>
      <c r="K10156" s="21" t="s">
        <v>7068</v>
      </c>
      <c r="L10156" s="21"/>
      <c r="M10156" s="21" t="s">
        <v>7038</v>
      </c>
      <c r="N10156" s="21" t="s">
        <v>40</v>
      </c>
      <c r="O10156" s="21">
        <v>73</v>
      </c>
      <c r="P10156" s="21"/>
      <c r="Q10156" s="21">
        <f t="shared" si="219"/>
        <v>3</v>
      </c>
      <c r="R10156" s="21">
        <v>1</v>
      </c>
      <c r="S10156" s="21">
        <v>0</v>
      </c>
      <c r="T10156" s="21">
        <v>0</v>
      </c>
      <c r="U10156" s="21">
        <v>3</v>
      </c>
      <c r="V10156" s="21">
        <v>0</v>
      </c>
      <c r="W10156" s="21">
        <v>0</v>
      </c>
      <c r="Y10156" s="21">
        <v>0</v>
      </c>
      <c r="Z10156" s="21">
        <v>0</v>
      </c>
      <c r="AA10156" s="21">
        <v>0</v>
      </c>
      <c r="AB10156" s="21">
        <v>0</v>
      </c>
      <c r="AC10156" s="21">
        <v>0</v>
      </c>
      <c r="AD10156" s="21">
        <v>0</v>
      </c>
      <c r="AE10156" s="21">
        <v>0</v>
      </c>
      <c r="AF10156" s="21">
        <v>0</v>
      </c>
      <c r="AG10156" s="21">
        <v>0</v>
      </c>
      <c r="AH10156" s="21">
        <f t="shared" si="217"/>
        <v>96</v>
      </c>
      <c r="AI10156" s="21"/>
      <c r="AJ10156" s="21" t="s">
        <v>3023</v>
      </c>
      <c r="AK10156" s="21" t="s">
        <v>52</v>
      </c>
      <c r="AL10156" s="21"/>
      <c r="AM10156" s="21" t="s">
        <v>7976</v>
      </c>
      <c r="AN10156" s="21">
        <v>-122.408721683333</v>
      </c>
      <c r="AO10156" s="21">
        <v>37.797249083333298</v>
      </c>
      <c r="AP10156" s="21" t="s">
        <v>116</v>
      </c>
    </row>
    <row r="10157" spans="1:42">
      <c r="A10157" s="20">
        <v>43892</v>
      </c>
      <c r="B10157" s="21">
        <v>1</v>
      </c>
      <c r="C10157" s="21">
        <v>313</v>
      </c>
      <c r="D10157" s="21">
        <v>14384</v>
      </c>
      <c r="E10157" t="s">
        <v>112</v>
      </c>
      <c r="F10157" s="21" t="s">
        <v>38</v>
      </c>
      <c r="G10157" s="21">
        <v>4</v>
      </c>
      <c r="H10157" s="27">
        <v>10</v>
      </c>
      <c r="I10157" s="21" t="s">
        <v>4944</v>
      </c>
      <c r="J10157" s="21"/>
      <c r="K10157" s="21" t="s">
        <v>7068</v>
      </c>
      <c r="L10157" s="21"/>
      <c r="M10157" s="21" t="s">
        <v>7038</v>
      </c>
      <c r="N10157" s="21" t="s">
        <v>40</v>
      </c>
      <c r="O10157" s="21">
        <v>15</v>
      </c>
      <c r="P10157" s="21"/>
      <c r="Q10157" s="21">
        <f t="shared" si="219"/>
        <v>1</v>
      </c>
      <c r="R10157" s="21">
        <v>1</v>
      </c>
      <c r="S10157" s="21">
        <v>0</v>
      </c>
      <c r="T10157" s="21">
        <v>0</v>
      </c>
      <c r="U10157" s="21">
        <v>1</v>
      </c>
      <c r="V10157" s="21">
        <v>0</v>
      </c>
      <c r="W10157" s="21">
        <v>0</v>
      </c>
      <c r="Y10157" s="21">
        <v>0</v>
      </c>
      <c r="Z10157" s="21">
        <v>0</v>
      </c>
      <c r="AA10157" s="21">
        <v>0</v>
      </c>
      <c r="AB10157" s="21">
        <v>0</v>
      </c>
      <c r="AC10157" s="21">
        <v>0</v>
      </c>
      <c r="AD10157" s="21">
        <v>0</v>
      </c>
      <c r="AE10157" s="21">
        <v>0</v>
      </c>
      <c r="AF10157" s="21">
        <v>0</v>
      </c>
      <c r="AG10157" s="21">
        <v>0</v>
      </c>
      <c r="AH10157" s="21">
        <f t="shared" si="217"/>
        <v>32</v>
      </c>
      <c r="AI10157" s="21"/>
      <c r="AJ10157" s="21" t="s">
        <v>51</v>
      </c>
      <c r="AK10157" s="21" t="s">
        <v>52</v>
      </c>
      <c r="AL10157" s="21"/>
      <c r="AM10157" s="21" t="s">
        <v>7977</v>
      </c>
      <c r="AN10157" s="21">
        <v>-122.40881141666701</v>
      </c>
      <c r="AO10157" s="21">
        <v>37.798499483333302</v>
      </c>
      <c r="AP10157" s="21" t="s">
        <v>116</v>
      </c>
    </row>
    <row r="10158" spans="1:42">
      <c r="A10158" s="20">
        <v>43892</v>
      </c>
      <c r="B10158" s="21">
        <v>1</v>
      </c>
      <c r="C10158" s="21">
        <v>313</v>
      </c>
      <c r="D10158" s="21">
        <v>14384</v>
      </c>
      <c r="E10158" t="s">
        <v>112</v>
      </c>
      <c r="F10158" s="21" t="s">
        <v>38</v>
      </c>
      <c r="G10158" s="21">
        <v>4</v>
      </c>
      <c r="H10158" s="27">
        <v>11</v>
      </c>
      <c r="I10158" s="21" t="s">
        <v>7978</v>
      </c>
      <c r="J10158" s="21"/>
      <c r="K10158" s="21" t="s">
        <v>7059</v>
      </c>
      <c r="L10158" s="21"/>
      <c r="M10158" s="21" t="s">
        <v>7038</v>
      </c>
      <c r="N10158" s="21" t="s">
        <v>40</v>
      </c>
      <c r="O10158" s="21">
        <v>25</v>
      </c>
      <c r="P10158" s="21"/>
      <c r="Q10158" s="21">
        <f t="shared" si="219"/>
        <v>1</v>
      </c>
      <c r="R10158" s="21">
        <v>1</v>
      </c>
      <c r="S10158" s="21">
        <v>0</v>
      </c>
      <c r="T10158" s="21">
        <v>0</v>
      </c>
      <c r="U10158" s="21">
        <v>0</v>
      </c>
      <c r="V10158" s="21">
        <v>1</v>
      </c>
      <c r="W10158" s="21">
        <v>0</v>
      </c>
      <c r="Y10158" s="21">
        <v>0</v>
      </c>
      <c r="Z10158" s="21">
        <v>0</v>
      </c>
      <c r="AA10158" s="21">
        <v>0</v>
      </c>
      <c r="AB10158" s="21">
        <v>0</v>
      </c>
      <c r="AC10158" s="21">
        <v>0</v>
      </c>
      <c r="AD10158" s="21">
        <v>0</v>
      </c>
      <c r="AE10158" s="21">
        <v>0</v>
      </c>
      <c r="AF10158" s="21">
        <v>0</v>
      </c>
      <c r="AG10158" s="21">
        <v>0</v>
      </c>
      <c r="AH10158" s="21">
        <f t="shared" si="217"/>
        <v>64</v>
      </c>
      <c r="AI10158" s="21"/>
      <c r="AJ10158" s="21" t="s">
        <v>51</v>
      </c>
      <c r="AK10158" s="21" t="s">
        <v>52</v>
      </c>
      <c r="AL10158" s="21"/>
      <c r="AM10158" s="21" t="s">
        <v>7979</v>
      </c>
      <c r="AN10158" s="21">
        <v>-122.40828923333299</v>
      </c>
      <c r="AO10158" s="21">
        <v>37.7990057833333</v>
      </c>
      <c r="AP10158" s="21" t="s">
        <v>116</v>
      </c>
    </row>
    <row r="10159" spans="1:42">
      <c r="A10159" s="20">
        <v>43892</v>
      </c>
      <c r="B10159" s="21">
        <v>1</v>
      </c>
      <c r="C10159" s="21">
        <v>313</v>
      </c>
      <c r="D10159" s="21">
        <v>14384</v>
      </c>
      <c r="E10159" t="s">
        <v>112</v>
      </c>
      <c r="F10159" s="21" t="s">
        <v>38</v>
      </c>
      <c r="G10159" s="21">
        <v>4</v>
      </c>
      <c r="H10159" s="27">
        <v>12</v>
      </c>
      <c r="I10159" s="21" t="s">
        <v>7053</v>
      </c>
      <c r="J10159" s="21"/>
      <c r="K10159" s="21" t="s">
        <v>585</v>
      </c>
      <c r="L10159" s="21"/>
      <c r="M10159" s="21" t="s">
        <v>7038</v>
      </c>
      <c r="N10159" s="21" t="s">
        <v>40</v>
      </c>
      <c r="O10159" s="21">
        <v>40</v>
      </c>
      <c r="P10159" s="21"/>
      <c r="Q10159" s="21">
        <f t="shared" si="219"/>
        <v>2</v>
      </c>
      <c r="R10159" s="21">
        <v>1</v>
      </c>
      <c r="S10159" s="21">
        <v>0</v>
      </c>
      <c r="T10159" s="21">
        <v>0</v>
      </c>
      <c r="U10159" s="21">
        <v>1</v>
      </c>
      <c r="V10159" s="21">
        <v>1</v>
      </c>
      <c r="W10159" s="21">
        <v>0</v>
      </c>
      <c r="Y10159" s="21">
        <v>0</v>
      </c>
      <c r="Z10159" s="21">
        <v>0</v>
      </c>
      <c r="AA10159" s="21">
        <v>0</v>
      </c>
      <c r="AB10159" s="21">
        <v>0</v>
      </c>
      <c r="AC10159" s="21">
        <v>0</v>
      </c>
      <c r="AD10159" s="21">
        <v>0</v>
      </c>
      <c r="AE10159" s="21">
        <v>0</v>
      </c>
      <c r="AF10159" s="21">
        <v>0</v>
      </c>
      <c r="AG10159" s="21">
        <v>0</v>
      </c>
      <c r="AH10159" s="21">
        <f t="shared" si="217"/>
        <v>96</v>
      </c>
      <c r="AI10159" s="21"/>
      <c r="AJ10159" s="21" t="s">
        <v>51</v>
      </c>
      <c r="AK10159" s="21" t="s">
        <v>52</v>
      </c>
      <c r="AL10159" s="21"/>
      <c r="AM10159" s="21" t="s">
        <v>7980</v>
      </c>
      <c r="AN10159" s="21">
        <v>-122.408517166667</v>
      </c>
      <c r="AO10159" s="21">
        <v>37.798614733333302</v>
      </c>
      <c r="AP10159" s="21" t="s">
        <v>116</v>
      </c>
    </row>
    <row r="10160" spans="1:42">
      <c r="A10160" s="20">
        <v>43892</v>
      </c>
      <c r="B10160" s="21">
        <v>1</v>
      </c>
      <c r="C10160" s="21">
        <v>313</v>
      </c>
      <c r="D10160" s="21">
        <v>14384</v>
      </c>
      <c r="E10160" t="s">
        <v>112</v>
      </c>
      <c r="F10160" s="21" t="s">
        <v>38</v>
      </c>
      <c r="G10160" s="21">
        <v>4</v>
      </c>
      <c r="H10160" s="27">
        <v>13</v>
      </c>
      <c r="I10160" s="21" t="s">
        <v>3277</v>
      </c>
      <c r="J10160" s="21"/>
      <c r="K10160" s="21" t="s">
        <v>50</v>
      </c>
      <c r="L10160" s="21"/>
      <c r="M10160" s="21" t="s">
        <v>7038</v>
      </c>
      <c r="N10160" s="21" t="s">
        <v>40</v>
      </c>
      <c r="O10160" s="21">
        <v>55</v>
      </c>
      <c r="P10160" s="21"/>
      <c r="Q10160" s="21">
        <f t="shared" si="219"/>
        <v>2</v>
      </c>
      <c r="R10160" s="21">
        <v>1</v>
      </c>
      <c r="S10160" s="21">
        <v>0</v>
      </c>
      <c r="T10160" s="21">
        <v>0</v>
      </c>
      <c r="U10160" s="21">
        <v>1</v>
      </c>
      <c r="V10160" s="21">
        <v>1</v>
      </c>
      <c r="W10160" s="21">
        <v>0</v>
      </c>
      <c r="Y10160" s="21">
        <v>0</v>
      </c>
      <c r="Z10160" s="21">
        <v>0</v>
      </c>
      <c r="AA10160" s="21">
        <v>0</v>
      </c>
      <c r="AB10160" s="21">
        <v>0</v>
      </c>
      <c r="AC10160" s="21">
        <v>0</v>
      </c>
      <c r="AD10160" s="21">
        <v>0</v>
      </c>
      <c r="AE10160" s="21">
        <v>0</v>
      </c>
      <c r="AF10160" s="21">
        <v>0</v>
      </c>
      <c r="AG10160" s="21">
        <v>0</v>
      </c>
      <c r="AH10160" s="21">
        <f t="shared" si="217"/>
        <v>96</v>
      </c>
      <c r="AI10160" s="21"/>
      <c r="AJ10160" s="21" t="s">
        <v>51</v>
      </c>
      <c r="AK10160" s="21" t="s">
        <v>52</v>
      </c>
      <c r="AL10160" s="21" t="s">
        <v>7981</v>
      </c>
      <c r="AM10160" s="21" t="s">
        <v>7982</v>
      </c>
      <c r="AN10160" s="21">
        <v>-122.408973866667</v>
      </c>
      <c r="AO10160" s="21">
        <v>37.798621416666599</v>
      </c>
      <c r="AP10160" s="21" t="s">
        <v>116</v>
      </c>
    </row>
    <row r="10161" spans="1:42">
      <c r="A10161" s="20">
        <v>43892</v>
      </c>
      <c r="B10161" s="21">
        <v>1</v>
      </c>
      <c r="C10161" s="21">
        <v>313</v>
      </c>
      <c r="D10161" s="21">
        <v>14384</v>
      </c>
      <c r="E10161" t="s">
        <v>112</v>
      </c>
      <c r="F10161" s="21" t="s">
        <v>38</v>
      </c>
      <c r="G10161" s="21">
        <v>4</v>
      </c>
      <c r="H10161" s="27">
        <v>14</v>
      </c>
      <c r="I10161" s="21" t="s">
        <v>6023</v>
      </c>
      <c r="J10161" s="21"/>
      <c r="K10161" s="21" t="s">
        <v>407</v>
      </c>
      <c r="L10161" s="21"/>
      <c r="M10161" s="21" t="s">
        <v>7038</v>
      </c>
      <c r="N10161" s="21" t="s">
        <v>40</v>
      </c>
      <c r="O10161" s="21">
        <v>29</v>
      </c>
      <c r="P10161" s="21"/>
      <c r="Q10161" s="21">
        <f t="shared" si="219"/>
        <v>1</v>
      </c>
      <c r="R10161" s="21">
        <v>1</v>
      </c>
      <c r="S10161" s="21">
        <v>0</v>
      </c>
      <c r="T10161" s="21">
        <v>0</v>
      </c>
      <c r="U10161" s="21">
        <v>0</v>
      </c>
      <c r="V10161" s="21">
        <v>1</v>
      </c>
      <c r="W10161" s="21">
        <v>0</v>
      </c>
      <c r="Y10161" s="21">
        <v>0</v>
      </c>
      <c r="Z10161" s="21">
        <v>0</v>
      </c>
      <c r="AA10161" s="21">
        <v>0</v>
      </c>
      <c r="AB10161" s="21">
        <v>0</v>
      </c>
      <c r="AC10161" s="21">
        <v>0</v>
      </c>
      <c r="AD10161" s="21">
        <v>0</v>
      </c>
      <c r="AE10161" s="21">
        <v>0</v>
      </c>
      <c r="AF10161" s="21">
        <v>0</v>
      </c>
      <c r="AG10161" s="21">
        <v>0</v>
      </c>
      <c r="AH10161" s="21">
        <f t="shared" si="217"/>
        <v>64</v>
      </c>
      <c r="AI10161" s="21"/>
      <c r="AJ10161" s="21" t="s">
        <v>51</v>
      </c>
      <c r="AK10161" s="21" t="s">
        <v>52</v>
      </c>
      <c r="AL10161" s="21"/>
      <c r="AM10161" s="21" t="s">
        <v>7983</v>
      </c>
      <c r="AN10161" s="21">
        <v>-122.410803483333</v>
      </c>
      <c r="AO10161" s="21">
        <v>37.799695616666703</v>
      </c>
      <c r="AP10161" s="21" t="s">
        <v>116</v>
      </c>
    </row>
    <row r="10162" spans="1:42">
      <c r="A10162" s="20">
        <v>43892</v>
      </c>
      <c r="B10162" s="21">
        <v>1</v>
      </c>
      <c r="C10162" s="21">
        <v>313</v>
      </c>
      <c r="D10162" s="21">
        <v>14384</v>
      </c>
      <c r="E10162" t="s">
        <v>112</v>
      </c>
      <c r="F10162" s="21" t="s">
        <v>38</v>
      </c>
      <c r="G10162" s="21">
        <v>4</v>
      </c>
      <c r="H10162" s="27">
        <v>15</v>
      </c>
      <c r="I10162" s="21" t="s">
        <v>4247</v>
      </c>
      <c r="J10162" s="21"/>
      <c r="K10162" s="21" t="s">
        <v>1115</v>
      </c>
      <c r="L10162" s="21"/>
      <c r="M10162" s="21" t="s">
        <v>7038</v>
      </c>
      <c r="N10162" s="21" t="s">
        <v>40</v>
      </c>
      <c r="O10162" s="21">
        <v>43</v>
      </c>
      <c r="P10162" s="21"/>
      <c r="Q10162" s="21">
        <f t="shared" si="219"/>
        <v>2</v>
      </c>
      <c r="R10162" s="21">
        <v>1</v>
      </c>
      <c r="S10162" s="21">
        <v>0</v>
      </c>
      <c r="T10162" s="21">
        <v>0</v>
      </c>
      <c r="U10162" s="21">
        <v>0</v>
      </c>
      <c r="V10162" s="21">
        <v>2</v>
      </c>
      <c r="W10162" s="21">
        <v>0</v>
      </c>
      <c r="Y10162" s="21">
        <v>0</v>
      </c>
      <c r="Z10162" s="21">
        <v>0</v>
      </c>
      <c r="AA10162" s="21">
        <v>0</v>
      </c>
      <c r="AB10162" s="21">
        <v>0</v>
      </c>
      <c r="AC10162" s="21">
        <v>0</v>
      </c>
      <c r="AD10162" s="21">
        <v>0</v>
      </c>
      <c r="AE10162" s="21">
        <v>0</v>
      </c>
      <c r="AF10162" s="21">
        <v>0</v>
      </c>
      <c r="AG10162" s="21">
        <v>0</v>
      </c>
      <c r="AH10162" s="21">
        <f t="shared" si="217"/>
        <v>128</v>
      </c>
      <c r="AI10162" s="21"/>
      <c r="AJ10162" s="21" t="s">
        <v>3023</v>
      </c>
      <c r="AK10162" s="21" t="s">
        <v>52</v>
      </c>
      <c r="AL10162" s="21"/>
      <c r="AM10162" s="21" t="s">
        <v>7984</v>
      </c>
      <c r="AN10162" s="21">
        <v>-122.409965433333</v>
      </c>
      <c r="AO10162" s="21">
        <v>37.8001267</v>
      </c>
      <c r="AP10162" s="21" t="s">
        <v>116</v>
      </c>
    </row>
    <row r="10163" spans="1:42">
      <c r="A10163" s="20">
        <v>43892</v>
      </c>
      <c r="B10163" s="21">
        <v>1</v>
      </c>
      <c r="C10163" s="21">
        <v>313</v>
      </c>
      <c r="D10163" s="21">
        <v>14384</v>
      </c>
      <c r="E10163" t="s">
        <v>112</v>
      </c>
      <c r="F10163" s="21" t="s">
        <v>38</v>
      </c>
      <c r="G10163" s="21">
        <v>4</v>
      </c>
      <c r="H10163" s="27">
        <v>16</v>
      </c>
      <c r="I10163" s="21" t="s">
        <v>4249</v>
      </c>
      <c r="J10163" s="21"/>
      <c r="K10163" s="21" t="s">
        <v>1115</v>
      </c>
      <c r="L10163" s="21"/>
      <c r="M10163" s="21" t="s">
        <v>7038</v>
      </c>
      <c r="N10163" s="21"/>
      <c r="O10163" s="21">
        <v>21</v>
      </c>
      <c r="P10163" s="21"/>
      <c r="Q10163" s="21">
        <f t="shared" si="219"/>
        <v>1</v>
      </c>
      <c r="R10163" s="21">
        <v>1</v>
      </c>
      <c r="S10163" s="21">
        <v>0</v>
      </c>
      <c r="T10163" s="21">
        <v>0</v>
      </c>
      <c r="U10163" s="21">
        <v>1</v>
      </c>
      <c r="V10163" s="21">
        <v>0</v>
      </c>
      <c r="W10163" s="21">
        <v>0</v>
      </c>
      <c r="Y10163" s="21">
        <v>0</v>
      </c>
      <c r="Z10163" s="21">
        <v>0</v>
      </c>
      <c r="AA10163" s="21">
        <v>0</v>
      </c>
      <c r="AB10163" s="21">
        <v>0</v>
      </c>
      <c r="AC10163" s="21">
        <v>0</v>
      </c>
      <c r="AD10163" s="21">
        <v>0</v>
      </c>
      <c r="AE10163" s="21">
        <v>0</v>
      </c>
      <c r="AF10163" s="21">
        <v>0</v>
      </c>
      <c r="AG10163" s="21">
        <v>0</v>
      </c>
      <c r="AH10163" s="21">
        <f t="shared" si="217"/>
        <v>32</v>
      </c>
      <c r="AI10163" s="21"/>
      <c r="AJ10163" s="21" t="s">
        <v>51</v>
      </c>
      <c r="AK10163" s="21" t="s">
        <v>52</v>
      </c>
      <c r="AL10163" s="21"/>
      <c r="AM10163" s="21" t="s">
        <v>7985</v>
      </c>
      <c r="AN10163" s="21">
        <v>-122.407703433333</v>
      </c>
      <c r="AO10163" s="21">
        <v>37.79860025</v>
      </c>
      <c r="AP10163" s="21" t="s">
        <v>116</v>
      </c>
    </row>
    <row r="10164" spans="1:42">
      <c r="A10164" s="20">
        <v>43892</v>
      </c>
      <c r="B10164" s="21">
        <v>1</v>
      </c>
      <c r="C10164" s="21">
        <v>313</v>
      </c>
      <c r="D10164" s="21">
        <v>14384</v>
      </c>
      <c r="E10164" t="s">
        <v>112</v>
      </c>
      <c r="F10164" s="21" t="s">
        <v>38</v>
      </c>
      <c r="G10164" s="21">
        <v>4</v>
      </c>
      <c r="H10164" s="27">
        <v>17</v>
      </c>
      <c r="I10164" s="21" t="s">
        <v>7986</v>
      </c>
      <c r="J10164" s="21"/>
      <c r="K10164" s="21" t="s">
        <v>1115</v>
      </c>
      <c r="L10164" s="21"/>
      <c r="M10164" s="21" t="s">
        <v>7038</v>
      </c>
      <c r="N10164" s="21" t="s">
        <v>40</v>
      </c>
      <c r="O10164" s="21">
        <v>72</v>
      </c>
      <c r="P10164" s="21"/>
      <c r="Q10164" s="21">
        <f t="shared" si="219"/>
        <v>3</v>
      </c>
      <c r="R10164" s="21">
        <v>1</v>
      </c>
      <c r="S10164" s="21">
        <v>0</v>
      </c>
      <c r="T10164" s="21">
        <v>0</v>
      </c>
      <c r="U10164" s="21">
        <v>0</v>
      </c>
      <c r="V10164" s="21">
        <v>3</v>
      </c>
      <c r="W10164" s="21">
        <v>0</v>
      </c>
      <c r="Y10164" s="21">
        <v>0</v>
      </c>
      <c r="Z10164" s="21">
        <v>0</v>
      </c>
      <c r="AA10164" s="21">
        <v>0</v>
      </c>
      <c r="AB10164" s="21">
        <v>0</v>
      </c>
      <c r="AC10164" s="21">
        <v>0</v>
      </c>
      <c r="AD10164" s="21">
        <v>0</v>
      </c>
      <c r="AE10164" s="21">
        <v>0</v>
      </c>
      <c r="AF10164" s="21">
        <v>0</v>
      </c>
      <c r="AG10164" s="21">
        <v>0</v>
      </c>
      <c r="AH10164" s="21">
        <f t="shared" si="217"/>
        <v>192</v>
      </c>
      <c r="AI10164" s="21"/>
      <c r="AJ10164" s="21" t="s">
        <v>51</v>
      </c>
      <c r="AK10164" s="21" t="s">
        <v>52</v>
      </c>
      <c r="AL10164" s="21"/>
      <c r="AM10164" s="21" t="s">
        <v>7987</v>
      </c>
      <c r="AN10164" s="21">
        <v>-122.4072958</v>
      </c>
      <c r="AO10164" s="21">
        <v>37.798196933333301</v>
      </c>
      <c r="AP10164" s="21" t="s">
        <v>116</v>
      </c>
    </row>
    <row r="10165" spans="1:42">
      <c r="A10165" s="20">
        <v>43892</v>
      </c>
      <c r="B10165" s="21">
        <v>1</v>
      </c>
      <c r="C10165" s="21">
        <v>313</v>
      </c>
      <c r="D10165" s="21">
        <v>14384</v>
      </c>
      <c r="E10165" t="s">
        <v>112</v>
      </c>
      <c r="F10165" s="21" t="s">
        <v>38</v>
      </c>
      <c r="G10165" s="21">
        <v>4</v>
      </c>
      <c r="H10165" s="27">
        <v>18</v>
      </c>
      <c r="I10165" s="21" t="s">
        <v>3467</v>
      </c>
      <c r="J10165" s="21"/>
      <c r="K10165" s="21" t="s">
        <v>185</v>
      </c>
      <c r="L10165" s="21"/>
      <c r="M10165" s="21" t="s">
        <v>7038</v>
      </c>
      <c r="N10165" s="21" t="s">
        <v>40</v>
      </c>
      <c r="O10165" s="21">
        <v>20</v>
      </c>
      <c r="P10165" s="21"/>
      <c r="Q10165" s="21">
        <f t="shared" si="219"/>
        <v>1</v>
      </c>
      <c r="R10165" s="21">
        <v>1</v>
      </c>
      <c r="S10165" s="21">
        <v>0</v>
      </c>
      <c r="T10165" s="21">
        <v>0</v>
      </c>
      <c r="U10165" s="21">
        <v>1</v>
      </c>
      <c r="V10165" s="21">
        <v>0</v>
      </c>
      <c r="W10165" s="21">
        <v>0</v>
      </c>
      <c r="Y10165" s="21">
        <v>0</v>
      </c>
      <c r="Z10165" s="21">
        <v>0</v>
      </c>
      <c r="AA10165" s="21">
        <v>0</v>
      </c>
      <c r="AB10165" s="21">
        <v>0</v>
      </c>
      <c r="AC10165" s="21">
        <v>0</v>
      </c>
      <c r="AD10165" s="21">
        <v>0</v>
      </c>
      <c r="AE10165" s="21">
        <v>0</v>
      </c>
      <c r="AF10165" s="21">
        <v>0</v>
      </c>
      <c r="AG10165" s="21">
        <v>0</v>
      </c>
      <c r="AH10165" s="21">
        <f t="shared" ref="AH10165:AH10228" si="220">(S10165*16)+(T10165*20)+(U10165*32)+(V10165*64)+(W10165*96)</f>
        <v>32</v>
      </c>
      <c r="AI10165" s="21"/>
      <c r="AJ10165" s="21" t="s">
        <v>51</v>
      </c>
      <c r="AK10165" s="21" t="s">
        <v>52</v>
      </c>
      <c r="AL10165" s="21"/>
      <c r="AM10165" s="21" t="s">
        <v>7988</v>
      </c>
      <c r="AN10165" s="21">
        <v>-122.407584516667</v>
      </c>
      <c r="AO10165" s="21">
        <v>37.797781450000002</v>
      </c>
      <c r="AP10165" s="21" t="s">
        <v>116</v>
      </c>
    </row>
    <row r="10166" spans="1:42">
      <c r="A10166" s="20">
        <v>43892</v>
      </c>
      <c r="B10166" s="21">
        <v>1</v>
      </c>
      <c r="C10166" s="21">
        <v>313</v>
      </c>
      <c r="D10166" s="21">
        <v>14384</v>
      </c>
      <c r="E10166" t="s">
        <v>112</v>
      </c>
      <c r="F10166" s="21" t="s">
        <v>38</v>
      </c>
      <c r="G10166" s="21">
        <v>4</v>
      </c>
      <c r="H10166" s="27">
        <v>19</v>
      </c>
      <c r="I10166" s="21" t="s">
        <v>3584</v>
      </c>
      <c r="J10166" s="21"/>
      <c r="K10166" s="21" t="s">
        <v>185</v>
      </c>
      <c r="L10166" s="21"/>
      <c r="M10166" s="21" t="s">
        <v>7038</v>
      </c>
      <c r="N10166" s="21" t="s">
        <v>40</v>
      </c>
      <c r="O10166" s="21">
        <v>38</v>
      </c>
      <c r="P10166" s="21"/>
      <c r="Q10166" s="21">
        <f t="shared" si="219"/>
        <v>2</v>
      </c>
      <c r="R10166" s="21">
        <v>1</v>
      </c>
      <c r="S10166" s="21">
        <v>0</v>
      </c>
      <c r="T10166" s="21">
        <v>0</v>
      </c>
      <c r="U10166" s="21">
        <v>0</v>
      </c>
      <c r="V10166" s="21">
        <v>2</v>
      </c>
      <c r="W10166" s="21">
        <v>0</v>
      </c>
      <c r="Y10166" s="21">
        <v>0</v>
      </c>
      <c r="Z10166" s="21">
        <v>0</v>
      </c>
      <c r="AA10166" s="21">
        <v>0</v>
      </c>
      <c r="AB10166" s="21">
        <v>0</v>
      </c>
      <c r="AC10166" s="21">
        <v>0</v>
      </c>
      <c r="AD10166" s="21">
        <v>0</v>
      </c>
      <c r="AE10166" s="21">
        <v>0</v>
      </c>
      <c r="AF10166" s="21">
        <v>0</v>
      </c>
      <c r="AG10166" s="21">
        <v>0</v>
      </c>
      <c r="AH10166" s="21">
        <f t="shared" si="220"/>
        <v>128</v>
      </c>
      <c r="AI10166" s="21"/>
      <c r="AJ10166" s="21" t="s">
        <v>51</v>
      </c>
      <c r="AK10166" s="21" t="s">
        <v>52</v>
      </c>
      <c r="AL10166" s="21"/>
      <c r="AM10166" s="21" t="s">
        <v>7989</v>
      </c>
      <c r="AN10166" s="21">
        <v>-122.407784116667</v>
      </c>
      <c r="AO10166" s="21">
        <v>37.797795149999999</v>
      </c>
      <c r="AP10166" s="21" t="s">
        <v>116</v>
      </c>
    </row>
    <row r="10167" spans="1:42">
      <c r="A10167" s="20">
        <v>43892</v>
      </c>
      <c r="B10167" s="21">
        <v>1</v>
      </c>
      <c r="C10167" s="21">
        <v>313</v>
      </c>
      <c r="D10167" s="21">
        <v>14384</v>
      </c>
      <c r="E10167" t="s">
        <v>112</v>
      </c>
      <c r="F10167" s="21" t="s">
        <v>38</v>
      </c>
      <c r="G10167" s="21">
        <v>4</v>
      </c>
      <c r="H10167" s="27">
        <v>20</v>
      </c>
      <c r="I10167" s="21" t="s">
        <v>7990</v>
      </c>
      <c r="J10167" s="21"/>
      <c r="K10167" s="21" t="s">
        <v>185</v>
      </c>
      <c r="L10167" s="21"/>
      <c r="M10167" s="21" t="s">
        <v>7038</v>
      </c>
      <c r="N10167" s="21" t="s">
        <v>40</v>
      </c>
      <c r="O10167" s="21">
        <v>50</v>
      </c>
      <c r="P10167" s="21"/>
      <c r="Q10167" s="21">
        <f t="shared" si="219"/>
        <v>3</v>
      </c>
      <c r="R10167" s="21">
        <v>1</v>
      </c>
      <c r="S10167" s="21">
        <v>0</v>
      </c>
      <c r="T10167" s="21">
        <v>0</v>
      </c>
      <c r="U10167" s="21">
        <v>3</v>
      </c>
      <c r="V10167" s="21">
        <v>0</v>
      </c>
      <c r="W10167" s="21">
        <v>0</v>
      </c>
      <c r="Y10167" s="21">
        <v>0</v>
      </c>
      <c r="Z10167" s="21">
        <v>0</v>
      </c>
      <c r="AA10167" s="21">
        <v>0</v>
      </c>
      <c r="AB10167" s="21">
        <v>0</v>
      </c>
      <c r="AC10167" s="21">
        <v>0</v>
      </c>
      <c r="AD10167" s="21">
        <v>0</v>
      </c>
      <c r="AE10167" s="21">
        <v>0</v>
      </c>
      <c r="AF10167" s="21">
        <v>0</v>
      </c>
      <c r="AG10167" s="21">
        <v>0</v>
      </c>
      <c r="AH10167" s="21">
        <f t="shared" si="220"/>
        <v>96</v>
      </c>
      <c r="AI10167" s="21"/>
      <c r="AJ10167" s="21" t="s">
        <v>51</v>
      </c>
      <c r="AK10167" s="21" t="s">
        <v>52</v>
      </c>
      <c r="AL10167" s="21"/>
      <c r="AM10167" s="21" t="s">
        <v>7991</v>
      </c>
      <c r="AN10167" s="21">
        <v>-122.408080966667</v>
      </c>
      <c r="AO10167" s="21">
        <v>37.797735766666698</v>
      </c>
      <c r="AP10167" s="21" t="s">
        <v>116</v>
      </c>
    </row>
    <row r="10168" spans="1:42">
      <c r="A10168" s="20">
        <v>43892</v>
      </c>
      <c r="B10168" s="21">
        <v>1</v>
      </c>
      <c r="C10168" s="21">
        <v>313</v>
      </c>
      <c r="D10168" s="21">
        <v>14384</v>
      </c>
      <c r="E10168" t="s">
        <v>112</v>
      </c>
      <c r="F10168" s="21" t="s">
        <v>38</v>
      </c>
      <c r="G10168" s="21">
        <v>4</v>
      </c>
      <c r="H10168" s="27">
        <v>21</v>
      </c>
      <c r="I10168" s="21" t="s">
        <v>7992</v>
      </c>
      <c r="J10168" s="21"/>
      <c r="K10168" s="21" t="s">
        <v>185</v>
      </c>
      <c r="L10168" s="21"/>
      <c r="M10168" s="21" t="s">
        <v>7038</v>
      </c>
      <c r="N10168" s="21" t="s">
        <v>40</v>
      </c>
      <c r="O10168" s="21">
        <v>33</v>
      </c>
      <c r="P10168" s="21"/>
      <c r="Q10168" s="21">
        <f t="shared" si="219"/>
        <v>1</v>
      </c>
      <c r="R10168" s="21">
        <v>1</v>
      </c>
      <c r="S10168" s="21">
        <v>0</v>
      </c>
      <c r="T10168" s="21">
        <v>0</v>
      </c>
      <c r="U10168" s="21">
        <v>1</v>
      </c>
      <c r="V10168" s="21">
        <v>0</v>
      </c>
      <c r="W10168" s="21">
        <v>0</v>
      </c>
      <c r="Y10168" s="21">
        <v>0</v>
      </c>
      <c r="Z10168" s="21">
        <v>0</v>
      </c>
      <c r="AA10168" s="21">
        <v>0</v>
      </c>
      <c r="AB10168" s="21">
        <v>0</v>
      </c>
      <c r="AC10168" s="21">
        <v>0</v>
      </c>
      <c r="AD10168" s="21">
        <v>0</v>
      </c>
      <c r="AE10168" s="21">
        <v>0</v>
      </c>
      <c r="AF10168" s="21">
        <v>0</v>
      </c>
      <c r="AG10168" s="21">
        <v>0</v>
      </c>
      <c r="AH10168" s="21">
        <f t="shared" si="220"/>
        <v>32</v>
      </c>
      <c r="AI10168" s="21"/>
      <c r="AJ10168" s="21" t="s">
        <v>3023</v>
      </c>
      <c r="AK10168" s="21" t="s">
        <v>52</v>
      </c>
      <c r="AL10168" s="21"/>
      <c r="AM10168" s="21" t="s">
        <v>7993</v>
      </c>
      <c r="AN10168" s="21">
        <v>-122.40834023333301</v>
      </c>
      <c r="AO10168" s="21">
        <v>37.797742266666702</v>
      </c>
      <c r="AP10168" s="21" t="s">
        <v>116</v>
      </c>
    </row>
    <row r="10169" spans="1:42">
      <c r="A10169" s="20">
        <v>43892</v>
      </c>
      <c r="B10169" s="21">
        <v>1</v>
      </c>
      <c r="C10169" s="21">
        <v>313</v>
      </c>
      <c r="D10169" s="21">
        <v>14384</v>
      </c>
      <c r="E10169" t="s">
        <v>112</v>
      </c>
      <c r="F10169" s="21" t="s">
        <v>38</v>
      </c>
      <c r="G10169" s="21">
        <v>4</v>
      </c>
      <c r="H10169" s="27">
        <v>22</v>
      </c>
      <c r="I10169" s="21" t="s">
        <v>7915</v>
      </c>
      <c r="J10169" s="21"/>
      <c r="K10169" s="21" t="s">
        <v>4704</v>
      </c>
      <c r="L10169" s="21"/>
      <c r="M10169" s="21" t="s">
        <v>7038</v>
      </c>
      <c r="N10169" s="21" t="s">
        <v>40</v>
      </c>
      <c r="O10169" s="21">
        <v>32</v>
      </c>
      <c r="P10169" s="21"/>
      <c r="Q10169" s="21">
        <f t="shared" si="219"/>
        <v>1</v>
      </c>
      <c r="R10169" s="21">
        <v>1</v>
      </c>
      <c r="S10169" s="21">
        <v>0</v>
      </c>
      <c r="T10169" s="21">
        <v>0</v>
      </c>
      <c r="U10169" s="21">
        <v>0</v>
      </c>
      <c r="V10169" s="21">
        <v>1</v>
      </c>
      <c r="W10169" s="21">
        <v>0</v>
      </c>
      <c r="Y10169" s="21">
        <v>0</v>
      </c>
      <c r="Z10169" s="21">
        <v>0</v>
      </c>
      <c r="AA10169" s="21">
        <v>0</v>
      </c>
      <c r="AB10169" s="21">
        <v>0</v>
      </c>
      <c r="AC10169" s="21">
        <v>0</v>
      </c>
      <c r="AD10169" s="21">
        <v>0</v>
      </c>
      <c r="AE10169" s="21">
        <v>0</v>
      </c>
      <c r="AF10169" s="21">
        <v>0</v>
      </c>
      <c r="AG10169" s="21">
        <v>0</v>
      </c>
      <c r="AH10169" s="21">
        <f t="shared" si="220"/>
        <v>64</v>
      </c>
      <c r="AI10169" s="21"/>
      <c r="AJ10169" s="21" t="s">
        <v>51</v>
      </c>
      <c r="AK10169" s="21" t="s">
        <v>52</v>
      </c>
      <c r="AL10169" s="21"/>
      <c r="AM10169" s="21" t="s">
        <v>7994</v>
      </c>
      <c r="AN10169" s="21">
        <v>-122.409628666667</v>
      </c>
      <c r="AO10169" s="21">
        <v>37.797457266666697</v>
      </c>
      <c r="AP10169" s="21" t="s">
        <v>116</v>
      </c>
    </row>
    <row r="10170" spans="1:42">
      <c r="A10170" s="20">
        <v>43892</v>
      </c>
      <c r="B10170" s="21">
        <v>1</v>
      </c>
      <c r="C10170" s="21">
        <v>313</v>
      </c>
      <c r="D10170" s="21">
        <v>14384</v>
      </c>
      <c r="E10170" t="s">
        <v>112</v>
      </c>
      <c r="F10170" s="21" t="s">
        <v>38</v>
      </c>
      <c r="G10170" s="21">
        <v>4</v>
      </c>
      <c r="H10170" s="27">
        <v>23</v>
      </c>
      <c r="I10170" s="21" t="s">
        <v>7995</v>
      </c>
      <c r="J10170" s="21"/>
      <c r="K10170" s="21" t="s">
        <v>185</v>
      </c>
      <c r="L10170" s="21"/>
      <c r="M10170" s="21" t="s">
        <v>7038</v>
      </c>
      <c r="N10170" s="21" t="s">
        <v>40</v>
      </c>
      <c r="O10170" s="21">
        <v>37</v>
      </c>
      <c r="P10170" s="21"/>
      <c r="Q10170" s="21">
        <f t="shared" si="219"/>
        <v>2</v>
      </c>
      <c r="R10170" s="21">
        <v>1</v>
      </c>
      <c r="S10170" s="21">
        <v>0</v>
      </c>
      <c r="T10170" s="21">
        <v>0</v>
      </c>
      <c r="U10170" s="21">
        <v>2</v>
      </c>
      <c r="V10170" s="21">
        <v>0</v>
      </c>
      <c r="W10170" s="21">
        <v>0</v>
      </c>
      <c r="Y10170" s="21">
        <v>0</v>
      </c>
      <c r="Z10170" s="21">
        <v>0</v>
      </c>
      <c r="AA10170" s="21">
        <v>0</v>
      </c>
      <c r="AB10170" s="21">
        <v>0</v>
      </c>
      <c r="AC10170" s="21">
        <v>0</v>
      </c>
      <c r="AD10170" s="21">
        <v>0</v>
      </c>
      <c r="AE10170" s="21">
        <v>0</v>
      </c>
      <c r="AF10170" s="21">
        <v>0</v>
      </c>
      <c r="AG10170" s="21">
        <v>0</v>
      </c>
      <c r="AH10170" s="21">
        <f t="shared" si="220"/>
        <v>64</v>
      </c>
      <c r="AI10170" s="21"/>
      <c r="AJ10170" s="21" t="s">
        <v>51</v>
      </c>
      <c r="AK10170" s="21" t="s">
        <v>52</v>
      </c>
      <c r="AL10170" s="21"/>
      <c r="AM10170" s="21" t="s">
        <v>7996</v>
      </c>
      <c r="AN10170" s="21">
        <v>-122.40993141666701</v>
      </c>
      <c r="AO10170" s="21">
        <v>37.797539733333302</v>
      </c>
      <c r="AP10170" s="21" t="s">
        <v>116</v>
      </c>
    </row>
    <row r="10171" spans="1:42">
      <c r="A10171" s="20">
        <v>43892</v>
      </c>
      <c r="B10171" s="21">
        <v>1</v>
      </c>
      <c r="C10171" s="21">
        <v>313</v>
      </c>
      <c r="D10171" s="21">
        <v>14384</v>
      </c>
      <c r="E10171" t="s">
        <v>112</v>
      </c>
      <c r="F10171" s="21" t="s">
        <v>38</v>
      </c>
      <c r="G10171" s="21">
        <v>4</v>
      </c>
      <c r="H10171" s="27">
        <v>24</v>
      </c>
      <c r="I10171" s="21" t="s">
        <v>7997</v>
      </c>
      <c r="J10171" s="21"/>
      <c r="K10171" s="21" t="s">
        <v>407</v>
      </c>
      <c r="L10171" s="21"/>
      <c r="M10171" s="21" t="s">
        <v>7038</v>
      </c>
      <c r="N10171" s="21" t="s">
        <v>40</v>
      </c>
      <c r="O10171" s="21">
        <v>35</v>
      </c>
      <c r="P10171" s="21"/>
      <c r="Q10171" s="21">
        <f t="shared" si="219"/>
        <v>1</v>
      </c>
      <c r="R10171" s="21">
        <v>1</v>
      </c>
      <c r="S10171" s="21">
        <v>0</v>
      </c>
      <c r="T10171" s="21">
        <v>0</v>
      </c>
      <c r="U10171" s="21">
        <v>0</v>
      </c>
      <c r="V10171" s="21">
        <v>1</v>
      </c>
      <c r="W10171" s="21">
        <v>0</v>
      </c>
      <c r="Y10171" s="21">
        <v>0</v>
      </c>
      <c r="Z10171" s="21">
        <v>0</v>
      </c>
      <c r="AA10171" s="21">
        <v>0</v>
      </c>
      <c r="AB10171" s="21">
        <v>0</v>
      </c>
      <c r="AC10171" s="21">
        <v>0</v>
      </c>
      <c r="AD10171" s="21">
        <v>0</v>
      </c>
      <c r="AE10171" s="21">
        <v>0</v>
      </c>
      <c r="AF10171" s="21">
        <v>0</v>
      </c>
      <c r="AG10171" s="21">
        <v>0</v>
      </c>
      <c r="AH10171" s="21">
        <f t="shared" si="220"/>
        <v>64</v>
      </c>
      <c r="AI10171" s="21"/>
      <c r="AJ10171" s="21" t="s">
        <v>51</v>
      </c>
      <c r="AK10171" s="21" t="s">
        <v>52</v>
      </c>
      <c r="AL10171" s="21"/>
      <c r="AM10171" s="21" t="s">
        <v>7998</v>
      </c>
      <c r="AN10171" s="21">
        <v>-122.409814316667</v>
      </c>
      <c r="AO10171" s="21">
        <v>37.7994849166666</v>
      </c>
      <c r="AP10171" s="21" t="s">
        <v>116</v>
      </c>
    </row>
    <row r="10172" spans="1:42">
      <c r="A10172" s="20">
        <v>43892</v>
      </c>
      <c r="B10172" s="21">
        <v>1</v>
      </c>
      <c r="C10172" s="21">
        <v>313</v>
      </c>
      <c r="D10172" s="21">
        <v>14384</v>
      </c>
      <c r="E10172" t="s">
        <v>112</v>
      </c>
      <c r="F10172" s="21" t="s">
        <v>38</v>
      </c>
      <c r="G10172" s="21">
        <v>4</v>
      </c>
      <c r="H10172" s="27">
        <v>25</v>
      </c>
      <c r="I10172" s="21" t="s">
        <v>7091</v>
      </c>
      <c r="J10172" s="21"/>
      <c r="K10172" s="21" t="s">
        <v>1115</v>
      </c>
      <c r="L10172" s="21"/>
      <c r="M10172" s="21" t="s">
        <v>7038</v>
      </c>
      <c r="N10172" s="21" t="s">
        <v>40</v>
      </c>
      <c r="O10172" s="21">
        <v>49</v>
      </c>
      <c r="P10172" s="21"/>
      <c r="Q10172" s="21">
        <f t="shared" si="219"/>
        <v>2</v>
      </c>
      <c r="R10172" s="21">
        <v>1</v>
      </c>
      <c r="S10172" s="21">
        <v>0</v>
      </c>
      <c r="T10172" s="21">
        <v>0</v>
      </c>
      <c r="U10172" s="21">
        <v>1</v>
      </c>
      <c r="V10172" s="21">
        <v>1</v>
      </c>
      <c r="W10172" s="21">
        <v>0</v>
      </c>
      <c r="Y10172" s="21">
        <v>0</v>
      </c>
      <c r="Z10172" s="21">
        <v>0</v>
      </c>
      <c r="AA10172" s="21">
        <v>0</v>
      </c>
      <c r="AB10172" s="21">
        <v>0</v>
      </c>
      <c r="AC10172" s="21">
        <v>0</v>
      </c>
      <c r="AD10172" s="21">
        <v>0</v>
      </c>
      <c r="AE10172" s="21">
        <v>0</v>
      </c>
      <c r="AF10172" s="21">
        <v>0</v>
      </c>
      <c r="AG10172" s="21">
        <v>0</v>
      </c>
      <c r="AH10172" s="21">
        <f t="shared" si="220"/>
        <v>96</v>
      </c>
      <c r="AI10172" s="21"/>
      <c r="AJ10172" s="21" t="s">
        <v>3023</v>
      </c>
      <c r="AK10172" s="21" t="s">
        <v>52</v>
      </c>
      <c r="AL10172" s="21"/>
      <c r="AM10172" s="21" t="s">
        <v>7999</v>
      </c>
      <c r="AN10172" s="21">
        <v>-122.40961591666699</v>
      </c>
      <c r="AO10172" s="21">
        <v>37.799516349999998</v>
      </c>
      <c r="AP10172" s="21" t="s">
        <v>116</v>
      </c>
    </row>
    <row r="10173" spans="1:42">
      <c r="A10173" s="20">
        <v>43892</v>
      </c>
      <c r="B10173" s="21">
        <v>1</v>
      </c>
      <c r="C10173" s="21">
        <v>313</v>
      </c>
      <c r="D10173" s="21">
        <v>14384</v>
      </c>
      <c r="E10173" t="s">
        <v>112</v>
      </c>
      <c r="F10173" s="21" t="s">
        <v>38</v>
      </c>
      <c r="G10173" s="21">
        <v>4</v>
      </c>
      <c r="H10173" s="27">
        <v>26</v>
      </c>
      <c r="I10173" s="21" t="s">
        <v>5956</v>
      </c>
      <c r="J10173" s="21"/>
      <c r="K10173" s="21" t="s">
        <v>7068</v>
      </c>
      <c r="L10173" s="21"/>
      <c r="M10173" s="21" t="s">
        <v>7038</v>
      </c>
      <c r="N10173" s="21" t="s">
        <v>40</v>
      </c>
      <c r="O10173" s="21">
        <v>62</v>
      </c>
      <c r="P10173" s="21"/>
      <c r="Q10173" s="21">
        <f t="shared" si="219"/>
        <v>3</v>
      </c>
      <c r="R10173" s="21">
        <v>1</v>
      </c>
      <c r="S10173" s="21">
        <v>0</v>
      </c>
      <c r="T10173" s="21">
        <v>0</v>
      </c>
      <c r="U10173" s="21">
        <v>3</v>
      </c>
      <c r="V10173" s="21">
        <v>0</v>
      </c>
      <c r="W10173" s="21">
        <v>0</v>
      </c>
      <c r="Y10173" s="21">
        <v>0</v>
      </c>
      <c r="Z10173" s="21">
        <v>0</v>
      </c>
      <c r="AA10173" s="21">
        <v>0</v>
      </c>
      <c r="AB10173" s="21">
        <v>0</v>
      </c>
      <c r="AC10173" s="21">
        <v>0</v>
      </c>
      <c r="AD10173" s="21">
        <v>0</v>
      </c>
      <c r="AE10173" s="21">
        <v>0</v>
      </c>
      <c r="AF10173" s="21">
        <v>0</v>
      </c>
      <c r="AG10173" s="21">
        <v>0</v>
      </c>
      <c r="AH10173" s="21">
        <f t="shared" si="220"/>
        <v>96</v>
      </c>
      <c r="AI10173" s="21"/>
      <c r="AJ10173" s="21" t="s">
        <v>51</v>
      </c>
      <c r="AK10173" s="21" t="s">
        <v>95</v>
      </c>
      <c r="AL10173" s="21"/>
      <c r="AM10173" s="21" t="s">
        <v>8000</v>
      </c>
      <c r="AN10173" s="21">
        <v>-122.408874466667</v>
      </c>
      <c r="AO10173" s="21">
        <v>37.798941833333302</v>
      </c>
      <c r="AP10173" s="21" t="s">
        <v>116</v>
      </c>
    </row>
    <row r="10174" spans="1:42">
      <c r="A10174" s="20">
        <v>43892</v>
      </c>
      <c r="B10174" s="21">
        <v>1</v>
      </c>
      <c r="C10174" s="21">
        <v>313</v>
      </c>
      <c r="D10174" s="21">
        <v>14384</v>
      </c>
      <c r="E10174" t="s">
        <v>112</v>
      </c>
      <c r="F10174" s="21" t="s">
        <v>38</v>
      </c>
      <c r="G10174" s="21">
        <v>4</v>
      </c>
      <c r="H10174" s="27">
        <v>27</v>
      </c>
      <c r="I10174" s="21" t="s">
        <v>8001</v>
      </c>
      <c r="J10174" s="21"/>
      <c r="K10174" s="21" t="s">
        <v>7068</v>
      </c>
      <c r="L10174" s="21"/>
      <c r="M10174" s="21" t="s">
        <v>7038</v>
      </c>
      <c r="N10174" s="21" t="s">
        <v>40</v>
      </c>
      <c r="O10174" s="21">
        <v>46</v>
      </c>
      <c r="P10174" s="21"/>
      <c r="Q10174" s="21">
        <f t="shared" si="219"/>
        <v>3</v>
      </c>
      <c r="R10174" s="21">
        <v>1</v>
      </c>
      <c r="S10174" s="21">
        <v>0</v>
      </c>
      <c r="T10174" s="21">
        <v>0</v>
      </c>
      <c r="U10174" s="21">
        <v>3</v>
      </c>
      <c r="V10174" s="21">
        <v>0</v>
      </c>
      <c r="W10174" s="21">
        <v>0</v>
      </c>
      <c r="Y10174" s="21">
        <v>0</v>
      </c>
      <c r="Z10174" s="21">
        <v>0</v>
      </c>
      <c r="AA10174" s="21">
        <v>0</v>
      </c>
      <c r="AB10174" s="21">
        <v>0</v>
      </c>
      <c r="AC10174" s="21">
        <v>0</v>
      </c>
      <c r="AD10174" s="21">
        <v>0</v>
      </c>
      <c r="AE10174" s="21">
        <v>0</v>
      </c>
      <c r="AF10174" s="21">
        <v>0</v>
      </c>
      <c r="AG10174" s="21">
        <v>0</v>
      </c>
      <c r="AH10174" s="21">
        <f t="shared" si="220"/>
        <v>96</v>
      </c>
      <c r="AI10174" s="21"/>
      <c r="AJ10174" s="21" t="s">
        <v>51</v>
      </c>
      <c r="AK10174" s="21" t="s">
        <v>95</v>
      </c>
      <c r="AL10174" s="21"/>
      <c r="AM10174" s="21" t="s">
        <v>8002</v>
      </c>
      <c r="AN10174" s="21">
        <v>-122.408710233333</v>
      </c>
      <c r="AO10174" s="21">
        <v>37.797971949999997</v>
      </c>
      <c r="AP10174" s="21" t="s">
        <v>116</v>
      </c>
    </row>
    <row r="10175" spans="1:42">
      <c r="A10175" s="20">
        <v>43892</v>
      </c>
      <c r="B10175" s="21">
        <v>1</v>
      </c>
      <c r="C10175" s="21">
        <v>313</v>
      </c>
      <c r="D10175" s="21">
        <v>14384</v>
      </c>
      <c r="E10175" t="s">
        <v>112</v>
      </c>
      <c r="F10175" s="21" t="s">
        <v>38</v>
      </c>
      <c r="G10175" s="21">
        <v>4</v>
      </c>
      <c r="H10175" s="27">
        <v>28</v>
      </c>
      <c r="I10175" s="21" t="s">
        <v>7384</v>
      </c>
      <c r="J10175" s="21"/>
      <c r="K10175" s="21" t="s">
        <v>585</v>
      </c>
      <c r="L10175" s="21"/>
      <c r="M10175" s="21" t="s">
        <v>7038</v>
      </c>
      <c r="N10175" s="21" t="s">
        <v>40</v>
      </c>
      <c r="O10175" s="21">
        <v>45</v>
      </c>
      <c r="P10175" s="21"/>
      <c r="Q10175" s="21">
        <f t="shared" si="219"/>
        <v>2</v>
      </c>
      <c r="R10175" s="21">
        <v>1</v>
      </c>
      <c r="S10175" s="21">
        <v>0</v>
      </c>
      <c r="T10175" s="21">
        <v>0</v>
      </c>
      <c r="U10175" s="21">
        <v>0</v>
      </c>
      <c r="V10175" s="21">
        <v>2</v>
      </c>
      <c r="W10175" s="21">
        <v>0</v>
      </c>
      <c r="Y10175" s="21">
        <v>0</v>
      </c>
      <c r="Z10175" s="21">
        <v>0</v>
      </c>
      <c r="AA10175" s="21">
        <v>0</v>
      </c>
      <c r="AB10175" s="21">
        <v>0</v>
      </c>
      <c r="AC10175" s="21">
        <v>0</v>
      </c>
      <c r="AD10175" s="21">
        <v>0</v>
      </c>
      <c r="AE10175" s="21">
        <v>0</v>
      </c>
      <c r="AF10175" s="21">
        <v>0</v>
      </c>
      <c r="AG10175" s="21">
        <v>0</v>
      </c>
      <c r="AH10175" s="21">
        <f t="shared" si="220"/>
        <v>128</v>
      </c>
      <c r="AI10175" s="21"/>
      <c r="AJ10175" s="21" t="s">
        <v>51</v>
      </c>
      <c r="AK10175" s="21" t="s">
        <v>52</v>
      </c>
      <c r="AL10175" s="21"/>
      <c r="AM10175" s="21" t="s">
        <v>8003</v>
      </c>
      <c r="AN10175" s="21">
        <v>-122.408504616667</v>
      </c>
      <c r="AO10175" s="21">
        <v>37.798684166666597</v>
      </c>
      <c r="AP10175" s="21" t="s">
        <v>116</v>
      </c>
    </row>
    <row r="10176" spans="1:42">
      <c r="A10176" s="20">
        <v>43892</v>
      </c>
      <c r="B10176" s="21">
        <v>1</v>
      </c>
      <c r="C10176" s="21">
        <v>313</v>
      </c>
      <c r="D10176" s="21">
        <v>14384</v>
      </c>
      <c r="E10176" t="s">
        <v>112</v>
      </c>
      <c r="F10176" s="21" t="s">
        <v>38</v>
      </c>
      <c r="G10176" s="21">
        <v>4</v>
      </c>
      <c r="H10176" s="27">
        <v>29</v>
      </c>
      <c r="I10176" s="21" t="s">
        <v>8004</v>
      </c>
      <c r="J10176" s="21"/>
      <c r="K10176" s="21" t="s">
        <v>1115</v>
      </c>
      <c r="L10176" s="21"/>
      <c r="M10176" s="21" t="s">
        <v>7038</v>
      </c>
      <c r="N10176" s="21" t="s">
        <v>40</v>
      </c>
      <c r="O10176" s="21">
        <v>20</v>
      </c>
      <c r="P10176" s="21"/>
      <c r="Q10176" s="21">
        <f t="shared" si="219"/>
        <v>1</v>
      </c>
      <c r="R10176" s="21">
        <v>1</v>
      </c>
      <c r="S10176" s="21">
        <v>0</v>
      </c>
      <c r="T10176" s="21">
        <v>0</v>
      </c>
      <c r="U10176" s="21">
        <v>1</v>
      </c>
      <c r="V10176" s="21">
        <v>0</v>
      </c>
      <c r="W10176" s="21">
        <v>0</v>
      </c>
      <c r="Y10176" s="21">
        <v>0</v>
      </c>
      <c r="Z10176" s="21">
        <v>0</v>
      </c>
      <c r="AA10176" s="21">
        <v>0</v>
      </c>
      <c r="AB10176" s="21">
        <v>0</v>
      </c>
      <c r="AC10176" s="21">
        <v>0</v>
      </c>
      <c r="AD10176" s="21">
        <v>0</v>
      </c>
      <c r="AE10176" s="21">
        <v>0</v>
      </c>
      <c r="AF10176" s="21">
        <v>0</v>
      </c>
      <c r="AG10176" s="21">
        <v>0</v>
      </c>
      <c r="AH10176" s="21">
        <f t="shared" si="220"/>
        <v>32</v>
      </c>
      <c r="AI10176" s="21"/>
      <c r="AJ10176" s="21" t="s">
        <v>51</v>
      </c>
      <c r="AK10176" s="21" t="s">
        <v>95</v>
      </c>
      <c r="AL10176" s="21"/>
      <c r="AM10176" s="21" t="s">
        <v>8005</v>
      </c>
      <c r="AN10176" s="21">
        <v>-122.409539366667</v>
      </c>
      <c r="AO10176" s="21">
        <v>37.799937166666702</v>
      </c>
      <c r="AP10176" s="21" t="s">
        <v>116</v>
      </c>
    </row>
    <row r="10177" spans="1:42">
      <c r="A10177" s="20">
        <v>43892</v>
      </c>
      <c r="B10177" s="21">
        <v>1</v>
      </c>
      <c r="C10177" s="21">
        <v>313</v>
      </c>
      <c r="D10177" s="21">
        <v>14384</v>
      </c>
      <c r="E10177" t="s">
        <v>112</v>
      </c>
      <c r="F10177" s="21" t="s">
        <v>38</v>
      </c>
      <c r="G10177" s="21">
        <v>4</v>
      </c>
      <c r="H10177" s="27">
        <v>30</v>
      </c>
      <c r="I10177" s="21" t="s">
        <v>8006</v>
      </c>
      <c r="J10177" s="21"/>
      <c r="K10177" s="21" t="s">
        <v>50</v>
      </c>
      <c r="L10177" s="21"/>
      <c r="M10177" s="21" t="s">
        <v>7038</v>
      </c>
      <c r="N10177" s="21" t="s">
        <v>40</v>
      </c>
      <c r="O10177" s="21">
        <v>91</v>
      </c>
      <c r="P10177" s="21"/>
      <c r="Q10177" s="21">
        <f t="shared" si="219"/>
        <v>3</v>
      </c>
      <c r="R10177" s="21">
        <v>1</v>
      </c>
      <c r="S10177" s="21">
        <v>0</v>
      </c>
      <c r="T10177" s="21">
        <v>0</v>
      </c>
      <c r="U10177" s="21">
        <v>0</v>
      </c>
      <c r="V10177" s="21">
        <v>3</v>
      </c>
      <c r="W10177" s="21">
        <v>0</v>
      </c>
      <c r="Y10177" s="21">
        <v>0</v>
      </c>
      <c r="Z10177" s="21">
        <v>0</v>
      </c>
      <c r="AA10177" s="21">
        <v>0</v>
      </c>
      <c r="AB10177" s="21">
        <v>0</v>
      </c>
      <c r="AC10177" s="21">
        <v>0</v>
      </c>
      <c r="AD10177" s="21">
        <v>0</v>
      </c>
      <c r="AE10177" s="21">
        <v>0</v>
      </c>
      <c r="AF10177" s="21">
        <v>0</v>
      </c>
      <c r="AG10177" s="21">
        <v>0</v>
      </c>
      <c r="AH10177" s="21">
        <f t="shared" si="220"/>
        <v>192</v>
      </c>
      <c r="AI10177" s="21"/>
      <c r="AJ10177" s="21" t="s">
        <v>51</v>
      </c>
      <c r="AK10177" s="21" t="s">
        <v>52</v>
      </c>
      <c r="AL10177" s="21"/>
      <c r="AM10177" s="21" t="s">
        <v>8007</v>
      </c>
      <c r="AN10177" s="21">
        <v>-122.408373275239</v>
      </c>
      <c r="AO10177" s="21">
        <v>37.796523462878</v>
      </c>
      <c r="AP10177" s="21" t="s">
        <v>116</v>
      </c>
    </row>
    <row r="10178" spans="1:42">
      <c r="A10178" s="20">
        <v>43892</v>
      </c>
      <c r="B10178" s="21">
        <v>1</v>
      </c>
      <c r="C10178" s="21">
        <v>313</v>
      </c>
      <c r="D10178" s="21">
        <v>14384</v>
      </c>
      <c r="E10178" t="s">
        <v>112</v>
      </c>
      <c r="F10178" s="21" t="s">
        <v>38</v>
      </c>
      <c r="G10178" s="21">
        <v>4</v>
      </c>
      <c r="H10178" s="27">
        <v>31</v>
      </c>
      <c r="I10178" s="21" t="s">
        <v>6812</v>
      </c>
      <c r="J10178" s="21"/>
      <c r="K10178" s="21" t="s">
        <v>1115</v>
      </c>
      <c r="L10178" s="21"/>
      <c r="M10178" s="21" t="s">
        <v>7038</v>
      </c>
      <c r="N10178" s="21" t="s">
        <v>40</v>
      </c>
      <c r="O10178" s="21">
        <v>33</v>
      </c>
      <c r="P10178" s="21"/>
      <c r="Q10178" s="21">
        <f t="shared" si="219"/>
        <v>2</v>
      </c>
      <c r="R10178" s="21">
        <v>1</v>
      </c>
      <c r="S10178" s="21">
        <v>0</v>
      </c>
      <c r="T10178" s="21">
        <v>0</v>
      </c>
      <c r="U10178" s="21">
        <v>0</v>
      </c>
      <c r="V10178" s="21">
        <v>2</v>
      </c>
      <c r="W10178" s="21">
        <v>0</v>
      </c>
      <c r="Y10178" s="21">
        <v>0</v>
      </c>
      <c r="Z10178" s="21">
        <v>0</v>
      </c>
      <c r="AA10178" s="21">
        <v>0</v>
      </c>
      <c r="AB10178" s="21">
        <v>0</v>
      </c>
      <c r="AC10178" s="21">
        <v>0</v>
      </c>
      <c r="AD10178" s="21">
        <v>0</v>
      </c>
      <c r="AE10178" s="21">
        <v>0</v>
      </c>
      <c r="AF10178" s="21">
        <v>0</v>
      </c>
      <c r="AG10178" s="21">
        <v>0</v>
      </c>
      <c r="AH10178" s="21">
        <f t="shared" si="220"/>
        <v>128</v>
      </c>
      <c r="AI10178" s="21"/>
      <c r="AJ10178" s="21" t="s">
        <v>51</v>
      </c>
      <c r="AK10178" s="21" t="s">
        <v>52</v>
      </c>
      <c r="AL10178" s="21"/>
      <c r="AM10178" s="21" t="s">
        <v>8008</v>
      </c>
      <c r="AN10178" s="21">
        <v>-122.411899333333</v>
      </c>
      <c r="AO10178" s="21">
        <v>37.801561900000003</v>
      </c>
      <c r="AP10178" s="21" t="s">
        <v>116</v>
      </c>
    </row>
    <row r="10179" spans="1:42">
      <c r="A10179" s="20">
        <v>43892</v>
      </c>
      <c r="B10179" s="21">
        <v>1</v>
      </c>
      <c r="C10179" s="21">
        <v>313</v>
      </c>
      <c r="D10179" s="21">
        <v>14384</v>
      </c>
      <c r="E10179" t="s">
        <v>112</v>
      </c>
      <c r="F10179" s="21" t="s">
        <v>38</v>
      </c>
      <c r="G10179" s="21">
        <v>4</v>
      </c>
      <c r="H10179" s="27">
        <v>32</v>
      </c>
      <c r="I10179" s="21"/>
      <c r="J10179" s="21"/>
      <c r="K10179" s="21" t="s">
        <v>8009</v>
      </c>
      <c r="L10179" s="21"/>
      <c r="M10179" s="21" t="s">
        <v>7038</v>
      </c>
      <c r="N10179" s="21" t="s">
        <v>40</v>
      </c>
      <c r="O10179" s="21">
        <v>98</v>
      </c>
      <c r="P10179" s="21"/>
      <c r="Q10179" s="21">
        <f t="shared" si="219"/>
        <v>5</v>
      </c>
      <c r="R10179" s="21">
        <v>1</v>
      </c>
      <c r="S10179" s="21">
        <v>0</v>
      </c>
      <c r="T10179" s="21">
        <v>0</v>
      </c>
      <c r="U10179" s="21">
        <v>0</v>
      </c>
      <c r="V10179" s="21">
        <v>5</v>
      </c>
      <c r="W10179" s="21">
        <v>0</v>
      </c>
      <c r="Y10179" s="21">
        <v>0</v>
      </c>
      <c r="Z10179" s="21">
        <v>0</v>
      </c>
      <c r="AA10179" s="21">
        <v>0</v>
      </c>
      <c r="AB10179" s="21">
        <v>0</v>
      </c>
      <c r="AC10179" s="21">
        <v>0</v>
      </c>
      <c r="AD10179" s="21">
        <v>0</v>
      </c>
      <c r="AE10179" s="21">
        <v>0</v>
      </c>
      <c r="AF10179" s="21">
        <v>0</v>
      </c>
      <c r="AG10179" s="21">
        <v>0</v>
      </c>
      <c r="AH10179" s="21">
        <f t="shared" si="220"/>
        <v>320</v>
      </c>
      <c r="AI10179" s="21"/>
      <c r="AJ10179" s="21" t="s">
        <v>51</v>
      </c>
      <c r="AK10179" s="21" t="s">
        <v>95</v>
      </c>
      <c r="AL10179" s="21" t="s">
        <v>8010</v>
      </c>
      <c r="AM10179" s="21" t="s">
        <v>8011</v>
      </c>
      <c r="AN10179" s="21">
        <v>-122.414843666667</v>
      </c>
      <c r="AO10179" s="21">
        <v>37.809014449999999</v>
      </c>
      <c r="AP10179" s="21" t="s">
        <v>116</v>
      </c>
    </row>
    <row r="10180" spans="1:42">
      <c r="A10180" s="20">
        <v>43892</v>
      </c>
      <c r="B10180" s="21">
        <v>1</v>
      </c>
      <c r="C10180" s="21">
        <v>313</v>
      </c>
      <c r="D10180" s="21">
        <v>14384</v>
      </c>
      <c r="E10180" t="s">
        <v>112</v>
      </c>
      <c r="F10180" s="21" t="s">
        <v>38</v>
      </c>
      <c r="G10180" s="21">
        <v>4</v>
      </c>
      <c r="H10180" s="27">
        <v>33</v>
      </c>
      <c r="I10180" s="21"/>
      <c r="J10180" s="21"/>
      <c r="K10180" s="21" t="s">
        <v>2095</v>
      </c>
      <c r="L10180" s="21"/>
      <c r="M10180" s="21" t="s">
        <v>7038</v>
      </c>
      <c r="N10180" s="21" t="s">
        <v>40</v>
      </c>
      <c r="O10180" s="21">
        <v>35</v>
      </c>
      <c r="P10180" s="21"/>
      <c r="Q10180" s="21">
        <f t="shared" si="219"/>
        <v>1</v>
      </c>
      <c r="R10180" s="21">
        <v>1</v>
      </c>
      <c r="S10180" s="21">
        <v>0</v>
      </c>
      <c r="T10180" s="21">
        <v>0</v>
      </c>
      <c r="U10180" s="21">
        <v>0</v>
      </c>
      <c r="V10180" s="21">
        <v>1</v>
      </c>
      <c r="W10180" s="21">
        <v>0</v>
      </c>
      <c r="Y10180" s="21">
        <v>0</v>
      </c>
      <c r="Z10180" s="21">
        <v>0</v>
      </c>
      <c r="AA10180" s="21">
        <v>0</v>
      </c>
      <c r="AB10180" s="21">
        <v>0</v>
      </c>
      <c r="AC10180" s="21">
        <v>0</v>
      </c>
      <c r="AD10180" s="21">
        <v>0</v>
      </c>
      <c r="AE10180" s="21">
        <v>0</v>
      </c>
      <c r="AF10180" s="21">
        <v>0</v>
      </c>
      <c r="AG10180" s="21">
        <v>0</v>
      </c>
      <c r="AH10180" s="21">
        <f t="shared" si="220"/>
        <v>64</v>
      </c>
      <c r="AI10180" s="21"/>
      <c r="AJ10180" s="21" t="s">
        <v>51</v>
      </c>
      <c r="AK10180" s="21" t="s">
        <v>95</v>
      </c>
      <c r="AL10180" s="21"/>
      <c r="AM10180" s="21" t="s">
        <v>8012</v>
      </c>
      <c r="AN10180" s="21">
        <v>-122.41664041666699</v>
      </c>
      <c r="AO10180" s="21">
        <v>37.809157749999997</v>
      </c>
      <c r="AP10180" s="21" t="s">
        <v>116</v>
      </c>
    </row>
    <row r="10181" spans="1:42">
      <c r="A10181" s="20">
        <v>43892</v>
      </c>
      <c r="B10181" s="21">
        <v>1</v>
      </c>
      <c r="C10181" s="21">
        <v>313</v>
      </c>
      <c r="D10181" s="21">
        <v>14384</v>
      </c>
      <c r="E10181" t="s">
        <v>112</v>
      </c>
      <c r="F10181" s="21" t="s">
        <v>38</v>
      </c>
      <c r="G10181" s="21">
        <v>4</v>
      </c>
      <c r="H10181" s="27">
        <v>34</v>
      </c>
      <c r="I10181" s="21"/>
      <c r="J10181" s="21" t="s">
        <v>4270</v>
      </c>
      <c r="K10181" s="21" t="s">
        <v>2095</v>
      </c>
      <c r="L10181" s="21"/>
      <c r="M10181" s="21" t="s">
        <v>7038</v>
      </c>
      <c r="N10181" s="21" t="s">
        <v>40</v>
      </c>
      <c r="O10181" s="21">
        <v>45</v>
      </c>
      <c r="P10181" s="21"/>
      <c r="Q10181" s="21">
        <f t="shared" si="219"/>
        <v>4</v>
      </c>
      <c r="R10181" s="21">
        <v>1</v>
      </c>
      <c r="S10181" s="21">
        <v>0</v>
      </c>
      <c r="T10181" s="21">
        <v>0</v>
      </c>
      <c r="U10181" s="21">
        <v>0</v>
      </c>
      <c r="V10181" s="21">
        <v>4</v>
      </c>
      <c r="W10181" s="21">
        <v>0</v>
      </c>
      <c r="Y10181" s="21">
        <v>0</v>
      </c>
      <c r="Z10181" s="21">
        <v>0</v>
      </c>
      <c r="AA10181" s="21">
        <v>0</v>
      </c>
      <c r="AB10181" s="21">
        <v>0</v>
      </c>
      <c r="AC10181" s="21">
        <v>0</v>
      </c>
      <c r="AD10181" s="21">
        <v>0</v>
      </c>
      <c r="AE10181" s="21">
        <v>0</v>
      </c>
      <c r="AF10181" s="21">
        <v>0</v>
      </c>
      <c r="AG10181" s="21">
        <v>0</v>
      </c>
      <c r="AH10181" s="21">
        <f t="shared" si="220"/>
        <v>256</v>
      </c>
      <c r="AI10181" s="21"/>
      <c r="AJ10181" s="21" t="s">
        <v>51</v>
      </c>
      <c r="AK10181" s="21" t="s">
        <v>95</v>
      </c>
      <c r="AL10181" s="21" t="s">
        <v>8013</v>
      </c>
      <c r="AM10181" s="21" t="s">
        <v>8014</v>
      </c>
      <c r="AN10181" s="21">
        <v>-122.41704540000001</v>
      </c>
      <c r="AO10181" s="21">
        <v>37.809286133333302</v>
      </c>
      <c r="AP10181" s="21" t="s">
        <v>116</v>
      </c>
    </row>
    <row r="10182" spans="1:42">
      <c r="A10182" s="20">
        <v>43892</v>
      </c>
      <c r="B10182" s="21">
        <v>1</v>
      </c>
      <c r="C10182" s="21">
        <v>313</v>
      </c>
      <c r="D10182" s="21">
        <v>14384</v>
      </c>
      <c r="E10182" t="s">
        <v>112</v>
      </c>
      <c r="F10182" s="21" t="s">
        <v>38</v>
      </c>
      <c r="G10182" s="21">
        <v>4</v>
      </c>
      <c r="H10182" s="27">
        <v>35</v>
      </c>
      <c r="I10182" s="21"/>
      <c r="J10182" s="21" t="s">
        <v>8015</v>
      </c>
      <c r="K10182" s="21" t="s">
        <v>2095</v>
      </c>
      <c r="L10182" s="21"/>
      <c r="M10182" s="21" t="s">
        <v>7038</v>
      </c>
      <c r="N10182" s="21" t="s">
        <v>40</v>
      </c>
      <c r="O10182" s="21">
        <v>61</v>
      </c>
      <c r="P10182" s="21"/>
      <c r="Q10182" s="21">
        <f t="shared" si="219"/>
        <v>5</v>
      </c>
      <c r="R10182" s="21">
        <v>1</v>
      </c>
      <c r="S10182" s="21">
        <v>0</v>
      </c>
      <c r="T10182" s="21">
        <v>0</v>
      </c>
      <c r="U10182" s="21">
        <v>0</v>
      </c>
      <c r="V10182" s="21">
        <v>5</v>
      </c>
      <c r="W10182" s="21">
        <v>0</v>
      </c>
      <c r="Y10182" s="21">
        <v>0</v>
      </c>
      <c r="Z10182" s="21">
        <v>0</v>
      </c>
      <c r="AA10182" s="21">
        <v>0</v>
      </c>
      <c r="AB10182" s="21">
        <v>0</v>
      </c>
      <c r="AC10182" s="21">
        <v>0</v>
      </c>
      <c r="AD10182" s="21">
        <v>0</v>
      </c>
      <c r="AE10182" s="21">
        <v>0</v>
      </c>
      <c r="AF10182" s="21">
        <v>0</v>
      </c>
      <c r="AG10182" s="21">
        <v>0</v>
      </c>
      <c r="AH10182" s="21">
        <f t="shared" si="220"/>
        <v>320</v>
      </c>
      <c r="AI10182" s="21"/>
      <c r="AJ10182" s="21" t="s">
        <v>51</v>
      </c>
      <c r="AK10182" s="21" t="s">
        <v>95</v>
      </c>
      <c r="AL10182" s="21" t="s">
        <v>8016</v>
      </c>
      <c r="AM10182" s="21" t="s">
        <v>8017</v>
      </c>
      <c r="AN10182" s="21">
        <v>-122.417155133333</v>
      </c>
      <c r="AO10182" s="21">
        <v>37.809267233333301</v>
      </c>
      <c r="AP10182" s="21" t="s">
        <v>116</v>
      </c>
    </row>
    <row r="10183" spans="1:42">
      <c r="A10183" s="20">
        <v>43892</v>
      </c>
      <c r="B10183" s="21">
        <v>1</v>
      </c>
      <c r="C10183" s="21">
        <v>313</v>
      </c>
      <c r="D10183" s="21">
        <v>14384</v>
      </c>
      <c r="E10183" t="s">
        <v>112</v>
      </c>
      <c r="F10183" s="21" t="s">
        <v>38</v>
      </c>
      <c r="G10183" s="21">
        <v>4</v>
      </c>
      <c r="H10183" s="27">
        <v>36</v>
      </c>
      <c r="I10183" s="21"/>
      <c r="J10183" s="21" t="s">
        <v>4628</v>
      </c>
      <c r="K10183" s="21" t="s">
        <v>2095</v>
      </c>
      <c r="L10183" s="21"/>
      <c r="M10183" s="21" t="s">
        <v>7038</v>
      </c>
      <c r="N10183" s="21" t="s">
        <v>40</v>
      </c>
      <c r="O10183" s="21">
        <v>60</v>
      </c>
      <c r="P10183" s="21"/>
      <c r="Q10183" s="21">
        <f t="shared" si="219"/>
        <v>4</v>
      </c>
      <c r="R10183" s="21">
        <v>1</v>
      </c>
      <c r="S10183" s="21">
        <v>0</v>
      </c>
      <c r="T10183" s="21">
        <v>0</v>
      </c>
      <c r="U10183" s="21">
        <v>0</v>
      </c>
      <c r="V10183" s="21">
        <v>4</v>
      </c>
      <c r="W10183" s="21">
        <v>0</v>
      </c>
      <c r="Y10183" s="21">
        <v>0</v>
      </c>
      <c r="Z10183" s="21">
        <v>0</v>
      </c>
      <c r="AA10183" s="21">
        <v>0</v>
      </c>
      <c r="AB10183" s="21">
        <v>0</v>
      </c>
      <c r="AC10183" s="21">
        <v>0</v>
      </c>
      <c r="AD10183" s="21">
        <v>0</v>
      </c>
      <c r="AE10183" s="21">
        <v>0</v>
      </c>
      <c r="AF10183" s="21">
        <v>0</v>
      </c>
      <c r="AG10183" s="21">
        <v>0</v>
      </c>
      <c r="AH10183" s="21">
        <f t="shared" si="220"/>
        <v>256</v>
      </c>
      <c r="AI10183" s="21"/>
      <c r="AJ10183" s="21" t="s">
        <v>51</v>
      </c>
      <c r="AK10183" s="21" t="s">
        <v>95</v>
      </c>
      <c r="AL10183" s="21" t="s">
        <v>8018</v>
      </c>
      <c r="AM10183" s="21" t="s">
        <v>8019</v>
      </c>
      <c r="AN10183" s="21">
        <v>-122.417339548589</v>
      </c>
      <c r="AO10183" s="21">
        <v>37.809289183664397</v>
      </c>
      <c r="AP10183" s="21" t="s">
        <v>116</v>
      </c>
    </row>
    <row r="10184" spans="1:42">
      <c r="A10184" s="20">
        <v>43892</v>
      </c>
      <c r="B10184" s="21">
        <v>1</v>
      </c>
      <c r="C10184" s="21">
        <v>313</v>
      </c>
      <c r="D10184" s="21">
        <v>14384</v>
      </c>
      <c r="E10184" t="s">
        <v>112</v>
      </c>
      <c r="F10184" s="21" t="s">
        <v>38</v>
      </c>
      <c r="G10184" s="21">
        <v>4</v>
      </c>
      <c r="H10184" s="27">
        <v>37</v>
      </c>
      <c r="I10184" s="21" t="s">
        <v>3752</v>
      </c>
      <c r="J10184" s="21"/>
      <c r="K10184" s="21" t="s">
        <v>8020</v>
      </c>
      <c r="L10184" s="21"/>
      <c r="M10184" s="21" t="s">
        <v>7038</v>
      </c>
      <c r="N10184" s="21" t="s">
        <v>40</v>
      </c>
      <c r="O10184" s="21">
        <v>35</v>
      </c>
      <c r="P10184" s="21"/>
      <c r="Q10184" s="21">
        <f t="shared" si="219"/>
        <v>2</v>
      </c>
      <c r="R10184" s="21">
        <v>1</v>
      </c>
      <c r="S10184" s="21">
        <v>0</v>
      </c>
      <c r="T10184" s="21">
        <v>0</v>
      </c>
      <c r="U10184" s="21">
        <v>0</v>
      </c>
      <c r="V10184" s="21">
        <v>2</v>
      </c>
      <c r="W10184" s="21">
        <v>0</v>
      </c>
      <c r="Y10184" s="21">
        <v>0</v>
      </c>
      <c r="Z10184" s="21">
        <v>0</v>
      </c>
      <c r="AA10184" s="21">
        <v>0</v>
      </c>
      <c r="AB10184" s="21">
        <v>0</v>
      </c>
      <c r="AC10184" s="21">
        <v>0</v>
      </c>
      <c r="AD10184" s="21">
        <v>0</v>
      </c>
      <c r="AE10184" s="21">
        <v>0</v>
      </c>
      <c r="AF10184" s="21">
        <v>0</v>
      </c>
      <c r="AG10184" s="21">
        <v>0</v>
      </c>
      <c r="AH10184" s="21">
        <f t="shared" si="220"/>
        <v>128</v>
      </c>
      <c r="AI10184" s="21"/>
      <c r="AJ10184" s="21" t="s">
        <v>51</v>
      </c>
      <c r="AK10184" s="21" t="s">
        <v>95</v>
      </c>
      <c r="AL10184" s="21"/>
      <c r="AM10184" s="21" t="s">
        <v>8021</v>
      </c>
      <c r="AN10184" s="21">
        <v>-122.41778713333299</v>
      </c>
      <c r="AO10184" s="21">
        <v>37.808126366666698</v>
      </c>
      <c r="AP10184" s="21" t="s">
        <v>116</v>
      </c>
    </row>
    <row r="10185" spans="1:42">
      <c r="A10185" s="20">
        <v>43892</v>
      </c>
      <c r="B10185" s="21">
        <v>1</v>
      </c>
      <c r="C10185" s="21">
        <v>313</v>
      </c>
      <c r="D10185" s="21">
        <v>14384</v>
      </c>
      <c r="E10185" t="s">
        <v>112</v>
      </c>
      <c r="F10185" s="21" t="s">
        <v>38</v>
      </c>
      <c r="G10185" s="21">
        <v>4</v>
      </c>
      <c r="H10185" s="27">
        <v>38</v>
      </c>
      <c r="I10185" s="21" t="s">
        <v>8022</v>
      </c>
      <c r="J10185" s="21"/>
      <c r="K10185" s="21" t="s">
        <v>913</v>
      </c>
      <c r="L10185" s="21"/>
      <c r="M10185" s="21" t="s">
        <v>7038</v>
      </c>
      <c r="N10185" s="21" t="s">
        <v>40</v>
      </c>
      <c r="O10185" s="21">
        <v>28</v>
      </c>
      <c r="P10185" s="21"/>
      <c r="Q10185" s="21">
        <f t="shared" si="219"/>
        <v>1</v>
      </c>
      <c r="R10185" s="21">
        <v>1</v>
      </c>
      <c r="S10185" s="21">
        <v>0</v>
      </c>
      <c r="T10185" s="21">
        <v>0</v>
      </c>
      <c r="U10185" s="21">
        <v>0</v>
      </c>
      <c r="V10185" s="21">
        <v>1</v>
      </c>
      <c r="W10185" s="21">
        <v>0</v>
      </c>
      <c r="Y10185" s="21">
        <v>0</v>
      </c>
      <c r="Z10185" s="21">
        <v>0</v>
      </c>
      <c r="AA10185" s="21">
        <v>0</v>
      </c>
      <c r="AB10185" s="21">
        <v>0</v>
      </c>
      <c r="AC10185" s="21">
        <v>0</v>
      </c>
      <c r="AD10185" s="21">
        <v>0</v>
      </c>
      <c r="AE10185" s="21">
        <v>0</v>
      </c>
      <c r="AF10185" s="21">
        <v>0</v>
      </c>
      <c r="AG10185" s="21">
        <v>0</v>
      </c>
      <c r="AH10185" s="21">
        <f t="shared" si="220"/>
        <v>64</v>
      </c>
      <c r="AI10185" s="21"/>
      <c r="AJ10185" s="21" t="s">
        <v>51</v>
      </c>
      <c r="AK10185" s="21" t="s">
        <v>95</v>
      </c>
      <c r="AL10185" s="21"/>
      <c r="AM10185" s="21" t="s">
        <v>8023</v>
      </c>
      <c r="AN10185" s="21">
        <v>-122.41778498333299</v>
      </c>
      <c r="AO10185" s="21">
        <v>37.808094166666699</v>
      </c>
      <c r="AP10185" s="21" t="s">
        <v>116</v>
      </c>
    </row>
    <row r="10186" spans="1:42">
      <c r="A10186" s="20">
        <v>43892</v>
      </c>
      <c r="B10186" s="21">
        <v>1</v>
      </c>
      <c r="C10186" s="21">
        <v>313</v>
      </c>
      <c r="D10186" s="21">
        <v>14384</v>
      </c>
      <c r="E10186" t="s">
        <v>112</v>
      </c>
      <c r="F10186" s="21" t="s">
        <v>38</v>
      </c>
      <c r="G10186" s="21">
        <v>4</v>
      </c>
      <c r="H10186" s="27">
        <v>39</v>
      </c>
      <c r="I10186" s="21" t="s">
        <v>4134</v>
      </c>
      <c r="J10186" s="21"/>
      <c r="K10186" s="21" t="s">
        <v>913</v>
      </c>
      <c r="L10186" s="21"/>
      <c r="M10186" s="21" t="s">
        <v>7038</v>
      </c>
      <c r="N10186" s="21" t="s">
        <v>40</v>
      </c>
      <c r="O10186" s="21">
        <v>28</v>
      </c>
      <c r="P10186" s="21"/>
      <c r="Q10186" s="21">
        <f t="shared" si="219"/>
        <v>1</v>
      </c>
      <c r="R10186" s="21">
        <v>1</v>
      </c>
      <c r="S10186" s="21">
        <v>0</v>
      </c>
      <c r="T10186" s="21">
        <v>0</v>
      </c>
      <c r="U10186" s="21">
        <v>0</v>
      </c>
      <c r="V10186" s="21">
        <v>1</v>
      </c>
      <c r="W10186" s="21">
        <v>0</v>
      </c>
      <c r="Y10186" s="21">
        <v>0</v>
      </c>
      <c r="Z10186" s="21">
        <v>0</v>
      </c>
      <c r="AA10186" s="21">
        <v>0</v>
      </c>
      <c r="AB10186" s="21">
        <v>0</v>
      </c>
      <c r="AC10186" s="21">
        <v>0</v>
      </c>
      <c r="AD10186" s="21">
        <v>0</v>
      </c>
      <c r="AE10186" s="21">
        <v>0</v>
      </c>
      <c r="AF10186" s="21">
        <v>0</v>
      </c>
      <c r="AG10186" s="21">
        <v>0</v>
      </c>
      <c r="AH10186" s="21">
        <f t="shared" si="220"/>
        <v>64</v>
      </c>
      <c r="AI10186" s="21"/>
      <c r="AJ10186" s="21" t="s">
        <v>51</v>
      </c>
      <c r="AK10186" s="21" t="s">
        <v>95</v>
      </c>
      <c r="AL10186" s="21"/>
      <c r="AM10186" s="21" t="s">
        <v>8024</v>
      </c>
      <c r="AN10186" s="21">
        <v>-122.418149833333</v>
      </c>
      <c r="AO10186" s="21">
        <v>37.807953183333296</v>
      </c>
      <c r="AP10186" s="21" t="s">
        <v>116</v>
      </c>
    </row>
    <row r="10187" spans="1:42">
      <c r="A10187" s="20">
        <v>43892</v>
      </c>
      <c r="B10187" s="21">
        <v>1</v>
      </c>
      <c r="C10187" s="21">
        <v>313</v>
      </c>
      <c r="D10187" s="21">
        <v>14384</v>
      </c>
      <c r="E10187" t="s">
        <v>112</v>
      </c>
      <c r="F10187" s="21" t="s">
        <v>38</v>
      </c>
      <c r="G10187" s="21">
        <v>4</v>
      </c>
      <c r="H10187" s="27">
        <v>40</v>
      </c>
      <c r="I10187" s="21" t="s">
        <v>4296</v>
      </c>
      <c r="J10187" s="21"/>
      <c r="K10187" s="21" t="s">
        <v>913</v>
      </c>
      <c r="L10187" s="21"/>
      <c r="M10187" s="21" t="s">
        <v>7038</v>
      </c>
      <c r="N10187" s="21" t="s">
        <v>40</v>
      </c>
      <c r="O10187" s="21">
        <v>62</v>
      </c>
      <c r="P10187" s="21"/>
      <c r="Q10187" s="21">
        <f t="shared" si="219"/>
        <v>4</v>
      </c>
      <c r="R10187" s="21">
        <v>1</v>
      </c>
      <c r="S10187" s="21">
        <v>0</v>
      </c>
      <c r="T10187" s="21">
        <v>0</v>
      </c>
      <c r="U10187" s="21">
        <v>0</v>
      </c>
      <c r="V10187" s="21">
        <v>4</v>
      </c>
      <c r="W10187" s="21">
        <v>0</v>
      </c>
      <c r="Y10187" s="21">
        <v>0</v>
      </c>
      <c r="Z10187" s="21">
        <v>0</v>
      </c>
      <c r="AA10187" s="21">
        <v>0</v>
      </c>
      <c r="AB10187" s="21">
        <v>0</v>
      </c>
      <c r="AC10187" s="21">
        <v>0</v>
      </c>
      <c r="AD10187" s="21">
        <v>0</v>
      </c>
      <c r="AE10187" s="21">
        <v>0</v>
      </c>
      <c r="AF10187" s="21">
        <v>0</v>
      </c>
      <c r="AG10187" s="21">
        <v>0</v>
      </c>
      <c r="AH10187" s="21">
        <f t="shared" si="220"/>
        <v>256</v>
      </c>
      <c r="AI10187" s="21"/>
      <c r="AJ10187" s="21" t="s">
        <v>51</v>
      </c>
      <c r="AK10187" s="21" t="s">
        <v>95</v>
      </c>
      <c r="AL10187" s="21" t="s">
        <v>8025</v>
      </c>
      <c r="AM10187" s="21" t="s">
        <v>8026</v>
      </c>
      <c r="AN10187" s="21">
        <v>-122.419184933333</v>
      </c>
      <c r="AO10187" s="21">
        <v>37.807986466666698</v>
      </c>
      <c r="AP10187" s="21" t="s">
        <v>116</v>
      </c>
    </row>
    <row r="10188" spans="1:42">
      <c r="A10188" s="20">
        <v>43892</v>
      </c>
      <c r="B10188" s="21">
        <v>1</v>
      </c>
      <c r="C10188" s="21">
        <v>313</v>
      </c>
      <c r="D10188" s="21">
        <v>14384</v>
      </c>
      <c r="E10188" t="s">
        <v>112</v>
      </c>
      <c r="F10188" s="21" t="s">
        <v>38</v>
      </c>
      <c r="G10188" s="21">
        <v>4</v>
      </c>
      <c r="H10188" s="27">
        <v>41</v>
      </c>
      <c r="I10188" s="21" t="s">
        <v>8027</v>
      </c>
      <c r="J10188" s="21"/>
      <c r="K10188" s="21" t="s">
        <v>913</v>
      </c>
      <c r="L10188" s="21"/>
      <c r="M10188" s="21" t="s">
        <v>7038</v>
      </c>
      <c r="N10188" s="21" t="s">
        <v>40</v>
      </c>
      <c r="O10188" s="21">
        <v>74</v>
      </c>
      <c r="P10188" s="21"/>
      <c r="Q10188" s="21">
        <f t="shared" si="219"/>
        <v>3</v>
      </c>
      <c r="R10188" s="21">
        <v>1</v>
      </c>
      <c r="S10188" s="21">
        <v>0</v>
      </c>
      <c r="T10188" s="21">
        <v>0</v>
      </c>
      <c r="U10188" s="21">
        <v>0</v>
      </c>
      <c r="V10188" s="21">
        <v>3</v>
      </c>
      <c r="W10188" s="21">
        <v>0</v>
      </c>
      <c r="Y10188" s="21">
        <v>0</v>
      </c>
      <c r="Z10188" s="21">
        <v>0</v>
      </c>
      <c r="AA10188" s="21">
        <v>0</v>
      </c>
      <c r="AB10188" s="21">
        <v>0</v>
      </c>
      <c r="AC10188" s="21">
        <v>0</v>
      </c>
      <c r="AD10188" s="21">
        <v>0</v>
      </c>
      <c r="AE10188" s="21">
        <v>0</v>
      </c>
      <c r="AF10188" s="21">
        <v>0</v>
      </c>
      <c r="AG10188" s="21">
        <v>0</v>
      </c>
      <c r="AH10188" s="21">
        <f t="shared" si="220"/>
        <v>192</v>
      </c>
      <c r="AI10188" s="21"/>
      <c r="AJ10188" s="21" t="s">
        <v>51</v>
      </c>
      <c r="AK10188" s="21" t="s">
        <v>95</v>
      </c>
      <c r="AL10188" s="21" t="s">
        <v>8025</v>
      </c>
      <c r="AM10188" s="21" t="s">
        <v>8028</v>
      </c>
      <c r="AN10188" s="21">
        <v>-122.420476983333</v>
      </c>
      <c r="AO10188" s="21">
        <v>37.807929483333297</v>
      </c>
      <c r="AP10188" s="21" t="s">
        <v>116</v>
      </c>
    </row>
    <row r="10189" spans="1:42">
      <c r="A10189" s="20">
        <v>43892</v>
      </c>
      <c r="B10189" s="21">
        <v>1</v>
      </c>
      <c r="C10189" s="21">
        <v>313</v>
      </c>
      <c r="D10189" s="21">
        <v>14384</v>
      </c>
      <c r="E10189" t="s">
        <v>112</v>
      </c>
      <c r="F10189" s="21" t="s">
        <v>38</v>
      </c>
      <c r="G10189" s="21">
        <v>4</v>
      </c>
      <c r="H10189" s="27">
        <v>42</v>
      </c>
      <c r="I10189" s="21" t="s">
        <v>7863</v>
      </c>
      <c r="J10189" s="21"/>
      <c r="K10189" s="21" t="s">
        <v>1115</v>
      </c>
      <c r="L10189" s="21"/>
      <c r="M10189" s="21" t="s">
        <v>7038</v>
      </c>
      <c r="N10189" s="21" t="s">
        <v>40</v>
      </c>
      <c r="O10189" s="21">
        <v>28</v>
      </c>
      <c r="P10189" s="21"/>
      <c r="Q10189" s="21">
        <f t="shared" si="219"/>
        <v>1</v>
      </c>
      <c r="R10189" s="21">
        <v>1</v>
      </c>
      <c r="S10189" s="21">
        <v>0</v>
      </c>
      <c r="T10189" s="21">
        <v>0</v>
      </c>
      <c r="U10189" s="21">
        <v>0</v>
      </c>
      <c r="V10189" s="21">
        <v>1</v>
      </c>
      <c r="W10189" s="21">
        <v>0</v>
      </c>
      <c r="Y10189" s="21">
        <v>0</v>
      </c>
      <c r="Z10189" s="21">
        <v>0</v>
      </c>
      <c r="AA10189" s="21">
        <v>0</v>
      </c>
      <c r="AB10189" s="21">
        <v>0</v>
      </c>
      <c r="AC10189" s="21">
        <v>0</v>
      </c>
      <c r="AD10189" s="21">
        <v>0</v>
      </c>
      <c r="AE10189" s="21">
        <v>0</v>
      </c>
      <c r="AF10189" s="21">
        <v>0</v>
      </c>
      <c r="AG10189" s="21">
        <v>0</v>
      </c>
      <c r="AH10189" s="21">
        <f t="shared" si="220"/>
        <v>64</v>
      </c>
      <c r="AI10189" s="21"/>
      <c r="AJ10189" s="21" t="s">
        <v>51</v>
      </c>
      <c r="AK10189" s="21" t="s">
        <v>52</v>
      </c>
      <c r="AL10189" s="21"/>
      <c r="AM10189" s="21" t="s">
        <v>8029</v>
      </c>
      <c r="AN10189" s="21">
        <v>-122.415819505659</v>
      </c>
      <c r="AO10189" s="21">
        <v>37.8035679628385</v>
      </c>
      <c r="AP10189" s="21" t="s">
        <v>116</v>
      </c>
    </row>
    <row r="10190" spans="1:42">
      <c r="A10190" s="20">
        <v>43892</v>
      </c>
      <c r="B10190" s="21">
        <v>1</v>
      </c>
      <c r="C10190" s="21">
        <v>313</v>
      </c>
      <c r="D10190" s="21">
        <v>14384</v>
      </c>
      <c r="E10190" t="s">
        <v>112</v>
      </c>
      <c r="F10190" s="21" t="s">
        <v>38</v>
      </c>
      <c r="G10190" s="21">
        <v>4</v>
      </c>
      <c r="H10190" s="27">
        <v>43</v>
      </c>
      <c r="I10190" s="21" t="s">
        <v>8030</v>
      </c>
      <c r="J10190" s="21"/>
      <c r="K10190" s="21" t="s">
        <v>7059</v>
      </c>
      <c r="L10190" s="21"/>
      <c r="M10190" s="21" t="s">
        <v>7038</v>
      </c>
      <c r="N10190" s="21" t="s">
        <v>40</v>
      </c>
      <c r="O10190" s="21">
        <v>22</v>
      </c>
      <c r="P10190" s="21"/>
      <c r="Q10190" s="21">
        <f t="shared" si="219"/>
        <v>1</v>
      </c>
      <c r="R10190" s="21">
        <v>1</v>
      </c>
      <c r="S10190" s="21">
        <v>0</v>
      </c>
      <c r="T10190" s="21">
        <v>0</v>
      </c>
      <c r="U10190" s="21">
        <v>1</v>
      </c>
      <c r="V10190" s="21">
        <v>0</v>
      </c>
      <c r="W10190" s="21">
        <v>0</v>
      </c>
      <c r="Y10190" s="21">
        <v>0</v>
      </c>
      <c r="Z10190" s="21">
        <v>0</v>
      </c>
      <c r="AA10190" s="21">
        <v>0</v>
      </c>
      <c r="AB10190" s="21">
        <v>0</v>
      </c>
      <c r="AC10190" s="21">
        <v>0</v>
      </c>
      <c r="AD10190" s="21">
        <v>0</v>
      </c>
      <c r="AE10190" s="21">
        <v>0</v>
      </c>
      <c r="AF10190" s="21">
        <v>0</v>
      </c>
      <c r="AG10190" s="21">
        <v>0</v>
      </c>
      <c r="AH10190" s="21">
        <f t="shared" si="220"/>
        <v>32</v>
      </c>
      <c r="AI10190" s="21"/>
      <c r="AJ10190" s="21" t="s">
        <v>51</v>
      </c>
      <c r="AK10190" s="21" t="s">
        <v>95</v>
      </c>
      <c r="AL10190" s="21"/>
      <c r="AM10190" s="21" t="s">
        <v>8031</v>
      </c>
      <c r="AN10190" s="21">
        <v>-122.41307931666699</v>
      </c>
      <c r="AO10190" s="21">
        <v>37.802239383333301</v>
      </c>
      <c r="AP10190" s="21" t="s">
        <v>116</v>
      </c>
    </row>
    <row r="10191" spans="1:42">
      <c r="A10191" s="20">
        <v>43892</v>
      </c>
      <c r="B10191" s="21">
        <v>1</v>
      </c>
      <c r="C10191" s="21">
        <v>313</v>
      </c>
      <c r="D10191" s="21">
        <v>14384</v>
      </c>
      <c r="E10191" t="s">
        <v>112</v>
      </c>
      <c r="F10191" s="21" t="s">
        <v>38</v>
      </c>
      <c r="G10191" s="21">
        <v>4</v>
      </c>
      <c r="H10191" s="27">
        <v>44</v>
      </c>
      <c r="I10191" s="21" t="s">
        <v>8032</v>
      </c>
      <c r="J10191" s="21"/>
      <c r="K10191" s="21" t="s">
        <v>1115</v>
      </c>
      <c r="L10191" s="21"/>
      <c r="M10191" s="21" t="s">
        <v>7038</v>
      </c>
      <c r="N10191" s="21" t="s">
        <v>40</v>
      </c>
      <c r="O10191" s="21">
        <v>33</v>
      </c>
      <c r="P10191" s="21"/>
      <c r="Q10191" s="21">
        <f t="shared" si="219"/>
        <v>1</v>
      </c>
      <c r="R10191" s="21">
        <v>1</v>
      </c>
      <c r="S10191" s="21">
        <v>0</v>
      </c>
      <c r="T10191" s="21">
        <v>0</v>
      </c>
      <c r="U10191" s="21">
        <v>1</v>
      </c>
      <c r="V10191" s="21">
        <v>0</v>
      </c>
      <c r="W10191" s="21">
        <v>0</v>
      </c>
      <c r="Y10191" s="21">
        <v>0</v>
      </c>
      <c r="Z10191" s="21">
        <v>0</v>
      </c>
      <c r="AA10191" s="21">
        <v>0</v>
      </c>
      <c r="AB10191" s="21">
        <v>0</v>
      </c>
      <c r="AC10191" s="21">
        <v>0</v>
      </c>
      <c r="AD10191" s="21">
        <v>0</v>
      </c>
      <c r="AE10191" s="21">
        <v>0</v>
      </c>
      <c r="AF10191" s="21">
        <v>0</v>
      </c>
      <c r="AG10191" s="21">
        <v>0</v>
      </c>
      <c r="AH10191" s="21">
        <f t="shared" si="220"/>
        <v>32</v>
      </c>
      <c r="AI10191" s="21"/>
      <c r="AJ10191" s="21" t="s">
        <v>51</v>
      </c>
      <c r="AK10191" s="21" t="s">
        <v>95</v>
      </c>
      <c r="AL10191" s="21"/>
      <c r="AM10191" s="21" t="s">
        <v>8033</v>
      </c>
      <c r="AN10191" s="21">
        <v>-122.412249683333</v>
      </c>
      <c r="AO10191" s="21">
        <v>37.801591783333301</v>
      </c>
      <c r="AP10191" s="21" t="s">
        <v>116</v>
      </c>
    </row>
    <row r="10192" spans="1:42">
      <c r="A10192" s="20">
        <v>43892</v>
      </c>
      <c r="B10192" s="21">
        <v>1</v>
      </c>
      <c r="C10192" s="21">
        <v>313</v>
      </c>
      <c r="D10192" s="21">
        <v>14384</v>
      </c>
      <c r="E10192" t="s">
        <v>112</v>
      </c>
      <c r="F10192" s="21" t="s">
        <v>38</v>
      </c>
      <c r="G10192" s="21">
        <v>4</v>
      </c>
      <c r="H10192" s="27">
        <v>45</v>
      </c>
      <c r="I10192" s="21" t="s">
        <v>8034</v>
      </c>
      <c r="J10192" s="21"/>
      <c r="K10192" s="21" t="s">
        <v>7092</v>
      </c>
      <c r="L10192" s="21"/>
      <c r="M10192" s="21" t="s">
        <v>7038</v>
      </c>
      <c r="N10192" s="21" t="s">
        <v>40</v>
      </c>
      <c r="O10192" s="21">
        <v>28</v>
      </c>
      <c r="P10192" s="21"/>
      <c r="Q10192" s="21">
        <f t="shared" si="219"/>
        <v>1</v>
      </c>
      <c r="R10192" s="21">
        <v>1</v>
      </c>
      <c r="S10192" s="21">
        <v>0</v>
      </c>
      <c r="T10192" s="21">
        <v>0</v>
      </c>
      <c r="U10192" s="21">
        <v>1</v>
      </c>
      <c r="V10192" s="21">
        <v>0</v>
      </c>
      <c r="W10192" s="21">
        <v>0</v>
      </c>
      <c r="Y10192" s="21">
        <v>0</v>
      </c>
      <c r="Z10192" s="21">
        <v>0</v>
      </c>
      <c r="AA10192" s="21">
        <v>0</v>
      </c>
      <c r="AB10192" s="21">
        <v>0</v>
      </c>
      <c r="AC10192" s="21">
        <v>0</v>
      </c>
      <c r="AD10192" s="21">
        <v>0</v>
      </c>
      <c r="AE10192" s="21">
        <v>0</v>
      </c>
      <c r="AF10192" s="21">
        <v>0</v>
      </c>
      <c r="AG10192" s="21">
        <v>0</v>
      </c>
      <c r="AH10192" s="21">
        <f t="shared" si="220"/>
        <v>32</v>
      </c>
      <c r="AI10192" s="21"/>
      <c r="AJ10192" s="21" t="s">
        <v>51</v>
      </c>
      <c r="AK10192" s="21" t="s">
        <v>95</v>
      </c>
      <c r="AL10192" s="21"/>
      <c r="AM10192" s="21" t="s">
        <v>8035</v>
      </c>
      <c r="AN10192" s="21">
        <v>-122.411803983333</v>
      </c>
      <c r="AO10192" s="21">
        <v>37.801325933333302</v>
      </c>
      <c r="AP10192" s="21" t="s">
        <v>116</v>
      </c>
    </row>
    <row r="10193" spans="1:42">
      <c r="A10193" s="20">
        <v>43892</v>
      </c>
      <c r="B10193" s="21">
        <v>1</v>
      </c>
      <c r="C10193" s="21">
        <v>313</v>
      </c>
      <c r="D10193" s="21">
        <v>14384</v>
      </c>
      <c r="E10193" t="s">
        <v>112</v>
      </c>
      <c r="F10193" s="21" t="s">
        <v>38</v>
      </c>
      <c r="G10193" s="21">
        <v>4</v>
      </c>
      <c r="H10193" s="27">
        <v>46</v>
      </c>
      <c r="I10193" s="21" t="s">
        <v>6493</v>
      </c>
      <c r="J10193" s="21"/>
      <c r="K10193" s="21" t="s">
        <v>7059</v>
      </c>
      <c r="L10193" s="21"/>
      <c r="M10193" s="21" t="s">
        <v>7038</v>
      </c>
      <c r="N10193" s="21" t="s">
        <v>40</v>
      </c>
      <c r="O10193" s="21">
        <v>58</v>
      </c>
      <c r="P10193" s="21"/>
      <c r="Q10193" s="21">
        <f t="shared" si="219"/>
        <v>1</v>
      </c>
      <c r="R10193" s="21">
        <v>1</v>
      </c>
      <c r="S10193" s="21">
        <v>0</v>
      </c>
      <c r="T10193" s="21">
        <v>0</v>
      </c>
      <c r="U10193" s="21">
        <v>0</v>
      </c>
      <c r="V10193" s="21">
        <v>1</v>
      </c>
      <c r="W10193" s="21">
        <v>0</v>
      </c>
      <c r="Y10193" s="21">
        <v>0</v>
      </c>
      <c r="Z10193" s="21">
        <v>0</v>
      </c>
      <c r="AA10193" s="21">
        <v>0</v>
      </c>
      <c r="AB10193" s="21">
        <v>0</v>
      </c>
      <c r="AC10193" s="21">
        <v>0</v>
      </c>
      <c r="AD10193" s="21">
        <v>0</v>
      </c>
      <c r="AE10193" s="21">
        <v>0</v>
      </c>
      <c r="AF10193" s="21">
        <v>0</v>
      </c>
      <c r="AG10193" s="21">
        <v>0</v>
      </c>
      <c r="AH10193" s="21">
        <f t="shared" si="220"/>
        <v>64</v>
      </c>
      <c r="AI10193" s="21"/>
      <c r="AJ10193" s="21" t="s">
        <v>51</v>
      </c>
      <c r="AK10193" s="21" t="s">
        <v>95</v>
      </c>
      <c r="AL10193" s="21"/>
      <c r="AM10193" s="21" t="s">
        <v>8036</v>
      </c>
      <c r="AN10193" s="21">
        <v>-122.408266166667</v>
      </c>
      <c r="AO10193" s="21">
        <v>37.79904535</v>
      </c>
      <c r="AP10193" s="21" t="s">
        <v>116</v>
      </c>
    </row>
    <row r="10194" spans="1:42">
      <c r="A10194" s="20">
        <v>43892</v>
      </c>
      <c r="B10194" s="21">
        <v>1</v>
      </c>
      <c r="C10194" s="21">
        <v>313</v>
      </c>
      <c r="D10194" s="21">
        <v>14384</v>
      </c>
      <c r="E10194" t="s">
        <v>112</v>
      </c>
      <c r="F10194" s="21" t="s">
        <v>38</v>
      </c>
      <c r="G10194" s="21">
        <v>4</v>
      </c>
      <c r="H10194" s="27">
        <v>47</v>
      </c>
      <c r="I10194" s="21" t="s">
        <v>3091</v>
      </c>
      <c r="J10194" s="21"/>
      <c r="K10194" s="21" t="s">
        <v>50</v>
      </c>
      <c r="L10194" s="21"/>
      <c r="M10194" s="21" t="s">
        <v>7038</v>
      </c>
      <c r="N10194" s="21" t="s">
        <v>40</v>
      </c>
      <c r="O10194" s="21">
        <v>31</v>
      </c>
      <c r="P10194" s="21"/>
      <c r="Q10194" s="21">
        <f t="shared" si="219"/>
        <v>1</v>
      </c>
      <c r="R10194" s="21">
        <v>1</v>
      </c>
      <c r="S10194" s="21">
        <v>0</v>
      </c>
      <c r="T10194" s="21">
        <v>0</v>
      </c>
      <c r="U10194" s="21">
        <v>0</v>
      </c>
      <c r="V10194" s="21">
        <v>1</v>
      </c>
      <c r="W10194" s="21">
        <v>0</v>
      </c>
      <c r="Y10194" s="21">
        <v>0</v>
      </c>
      <c r="Z10194" s="21">
        <v>0</v>
      </c>
      <c r="AA10194" s="21">
        <v>0</v>
      </c>
      <c r="AB10194" s="21">
        <v>0</v>
      </c>
      <c r="AC10194" s="21">
        <v>0</v>
      </c>
      <c r="AD10194" s="21">
        <v>0</v>
      </c>
      <c r="AE10194" s="21">
        <v>0</v>
      </c>
      <c r="AF10194" s="21">
        <v>0</v>
      </c>
      <c r="AG10194" s="21">
        <v>0</v>
      </c>
      <c r="AH10194" s="21">
        <f t="shared" si="220"/>
        <v>64</v>
      </c>
      <c r="AI10194" s="21"/>
      <c r="AJ10194" s="21" t="s">
        <v>51</v>
      </c>
      <c r="AK10194" s="21" t="s">
        <v>95</v>
      </c>
      <c r="AL10194" s="21"/>
      <c r="AM10194" s="21" t="s">
        <v>8037</v>
      </c>
      <c r="AN10194" s="21">
        <v>-122.40911921666699</v>
      </c>
      <c r="AO10194" s="21">
        <v>37.799834383333298</v>
      </c>
      <c r="AP10194" s="21" t="s">
        <v>116</v>
      </c>
    </row>
    <row r="10195" spans="1:42">
      <c r="A10195" s="20">
        <v>43892</v>
      </c>
      <c r="B10195" s="21">
        <v>1</v>
      </c>
      <c r="C10195" s="21">
        <v>313</v>
      </c>
      <c r="D10195" s="21">
        <v>14384</v>
      </c>
      <c r="E10195" t="s">
        <v>112</v>
      </c>
      <c r="F10195" s="21" t="s">
        <v>38</v>
      </c>
      <c r="G10195" s="21">
        <v>4</v>
      </c>
      <c r="H10195" s="27">
        <v>48</v>
      </c>
      <c r="I10195" s="21" t="s">
        <v>6795</v>
      </c>
      <c r="J10195" s="21"/>
      <c r="K10195" s="21" t="s">
        <v>50</v>
      </c>
      <c r="L10195" s="21"/>
      <c r="M10195" s="21" t="s">
        <v>7038</v>
      </c>
      <c r="N10195" s="21" t="s">
        <v>40</v>
      </c>
      <c r="O10195" s="21">
        <v>37</v>
      </c>
      <c r="P10195" s="21"/>
      <c r="Q10195" s="21">
        <f t="shared" si="219"/>
        <v>1</v>
      </c>
      <c r="R10195" s="21">
        <v>1</v>
      </c>
      <c r="S10195" s="21">
        <v>0</v>
      </c>
      <c r="T10195" s="21">
        <v>0</v>
      </c>
      <c r="U10195" s="21">
        <v>0</v>
      </c>
      <c r="V10195" s="21">
        <v>1</v>
      </c>
      <c r="W10195" s="21">
        <v>0</v>
      </c>
      <c r="Y10195" s="21">
        <v>0</v>
      </c>
      <c r="Z10195" s="21">
        <v>0</v>
      </c>
      <c r="AA10195" s="21">
        <v>0</v>
      </c>
      <c r="AB10195" s="21">
        <v>0</v>
      </c>
      <c r="AC10195" s="21">
        <v>0</v>
      </c>
      <c r="AD10195" s="21">
        <v>0</v>
      </c>
      <c r="AE10195" s="21">
        <v>0</v>
      </c>
      <c r="AF10195" s="21">
        <v>0</v>
      </c>
      <c r="AG10195" s="21">
        <v>0</v>
      </c>
      <c r="AH10195" s="21">
        <f t="shared" si="220"/>
        <v>64</v>
      </c>
      <c r="AI10195" s="21"/>
      <c r="AJ10195" s="21" t="s">
        <v>51</v>
      </c>
      <c r="AK10195" s="21" t="s">
        <v>52</v>
      </c>
      <c r="AL10195" s="21"/>
      <c r="AM10195" s="21" t="s">
        <v>8038</v>
      </c>
      <c r="AN10195" s="21">
        <v>-122.409086033333</v>
      </c>
      <c r="AO10195" s="21">
        <v>37.800046166666696</v>
      </c>
      <c r="AP10195" s="21" t="s">
        <v>116</v>
      </c>
    </row>
    <row r="10196" spans="1:42">
      <c r="A10196" s="20">
        <v>43892</v>
      </c>
      <c r="B10196" s="21">
        <v>1</v>
      </c>
      <c r="C10196" s="21">
        <v>313</v>
      </c>
      <c r="D10196" s="21">
        <v>14384</v>
      </c>
      <c r="E10196" t="s">
        <v>112</v>
      </c>
      <c r="F10196" s="21" t="s">
        <v>38</v>
      </c>
      <c r="G10196" s="21">
        <v>4</v>
      </c>
      <c r="H10196" s="27">
        <v>49</v>
      </c>
      <c r="I10196" s="21" t="s">
        <v>3293</v>
      </c>
      <c r="J10196" s="21"/>
      <c r="K10196" s="21" t="s">
        <v>7068</v>
      </c>
      <c r="L10196" s="21"/>
      <c r="M10196" s="21" t="s">
        <v>7038</v>
      </c>
      <c r="N10196" s="21" t="s">
        <v>40</v>
      </c>
      <c r="O10196" s="21">
        <v>72</v>
      </c>
      <c r="P10196" s="21"/>
      <c r="Q10196" s="21">
        <f t="shared" si="219"/>
        <v>3</v>
      </c>
      <c r="R10196" s="21">
        <v>1</v>
      </c>
      <c r="S10196" s="21">
        <v>0</v>
      </c>
      <c r="T10196" s="21">
        <v>0</v>
      </c>
      <c r="U10196" s="21">
        <v>0</v>
      </c>
      <c r="V10196" s="21">
        <v>3</v>
      </c>
      <c r="W10196" s="21">
        <v>0</v>
      </c>
      <c r="Y10196" s="21">
        <v>0</v>
      </c>
      <c r="Z10196" s="21">
        <v>0</v>
      </c>
      <c r="AA10196" s="21">
        <v>0</v>
      </c>
      <c r="AB10196" s="21">
        <v>0</v>
      </c>
      <c r="AC10196" s="21">
        <v>0</v>
      </c>
      <c r="AD10196" s="21">
        <v>0</v>
      </c>
      <c r="AE10196" s="21">
        <v>0</v>
      </c>
      <c r="AF10196" s="21">
        <v>0</v>
      </c>
      <c r="AG10196" s="21">
        <v>0</v>
      </c>
      <c r="AH10196" s="21">
        <f t="shared" si="220"/>
        <v>192</v>
      </c>
      <c r="AI10196" s="21"/>
      <c r="AJ10196" s="21" t="s">
        <v>51</v>
      </c>
      <c r="AK10196" s="21" t="s">
        <v>95</v>
      </c>
      <c r="AL10196" s="21"/>
      <c r="AM10196" s="21" t="s">
        <v>8039</v>
      </c>
      <c r="AN10196" s="21">
        <v>-122.409104883333</v>
      </c>
      <c r="AO10196" s="21">
        <v>37.80031915</v>
      </c>
      <c r="AP10196" s="21" t="s">
        <v>116</v>
      </c>
    </row>
    <row r="10197" spans="1:42">
      <c r="A10197" s="20">
        <v>43892</v>
      </c>
      <c r="B10197" s="21">
        <v>1</v>
      </c>
      <c r="C10197" s="21">
        <v>313</v>
      </c>
      <c r="D10197" s="21">
        <v>14384</v>
      </c>
      <c r="E10197" t="s">
        <v>112</v>
      </c>
      <c r="F10197" s="21" t="s">
        <v>38</v>
      </c>
      <c r="G10197" s="21">
        <v>4</v>
      </c>
      <c r="H10197" s="27">
        <v>50</v>
      </c>
      <c r="I10197" s="21" t="s">
        <v>3100</v>
      </c>
      <c r="J10197" s="21"/>
      <c r="K10197" s="21" t="s">
        <v>50</v>
      </c>
      <c r="L10197" s="21"/>
      <c r="M10197" s="21" t="s">
        <v>7038</v>
      </c>
      <c r="N10197" s="21" t="s">
        <v>40</v>
      </c>
      <c r="O10197" s="21">
        <v>28</v>
      </c>
      <c r="P10197" s="21"/>
      <c r="Q10197" s="21">
        <f t="shared" si="219"/>
        <v>1</v>
      </c>
      <c r="R10197" s="21">
        <v>1</v>
      </c>
      <c r="S10197" s="21">
        <v>0</v>
      </c>
      <c r="T10197" s="21">
        <v>0</v>
      </c>
      <c r="U10197" s="21">
        <v>0</v>
      </c>
      <c r="V10197" s="21">
        <v>1</v>
      </c>
      <c r="W10197" s="21">
        <v>0</v>
      </c>
      <c r="Y10197" s="21">
        <v>0</v>
      </c>
      <c r="Z10197" s="21">
        <v>0</v>
      </c>
      <c r="AA10197" s="21">
        <v>0</v>
      </c>
      <c r="AB10197" s="21">
        <v>0</v>
      </c>
      <c r="AC10197" s="21">
        <v>0</v>
      </c>
      <c r="AD10197" s="21">
        <v>0</v>
      </c>
      <c r="AE10197" s="21">
        <v>0</v>
      </c>
      <c r="AF10197" s="21">
        <v>0</v>
      </c>
      <c r="AG10197" s="21">
        <v>0</v>
      </c>
      <c r="AH10197" s="21">
        <f t="shared" si="220"/>
        <v>64</v>
      </c>
      <c r="AI10197" s="21"/>
      <c r="AJ10197" s="21" t="s">
        <v>51</v>
      </c>
      <c r="AK10197" s="21" t="s">
        <v>95</v>
      </c>
      <c r="AL10197" s="21"/>
      <c r="AM10197" s="21" t="s">
        <v>8040</v>
      </c>
      <c r="AN10197" s="21">
        <v>-122.409127666667</v>
      </c>
      <c r="AO10197" s="21">
        <v>37.800528716666697</v>
      </c>
      <c r="AP10197" s="21" t="s">
        <v>116</v>
      </c>
    </row>
    <row r="10198" spans="1:42">
      <c r="A10198" s="20">
        <v>43892</v>
      </c>
      <c r="B10198" s="21">
        <v>1</v>
      </c>
      <c r="C10198" s="21">
        <v>313</v>
      </c>
      <c r="D10198" s="21">
        <v>14384</v>
      </c>
      <c r="E10198" t="s">
        <v>112</v>
      </c>
      <c r="F10198" s="21" t="s">
        <v>38</v>
      </c>
      <c r="G10198" s="21">
        <v>4</v>
      </c>
      <c r="H10198" s="27">
        <v>51</v>
      </c>
      <c r="I10198" s="21" t="s">
        <v>4125</v>
      </c>
      <c r="J10198" s="21"/>
      <c r="K10198" s="21" t="s">
        <v>50</v>
      </c>
      <c r="L10198" s="21"/>
      <c r="M10198" s="21" t="s">
        <v>7038</v>
      </c>
      <c r="N10198" s="21" t="s">
        <v>40</v>
      </c>
      <c r="O10198" s="21">
        <v>47</v>
      </c>
      <c r="P10198" s="21"/>
      <c r="Q10198" s="21">
        <f t="shared" si="219"/>
        <v>2</v>
      </c>
      <c r="R10198" s="21">
        <v>1</v>
      </c>
      <c r="S10198" s="21">
        <v>0</v>
      </c>
      <c r="T10198" s="21">
        <v>0</v>
      </c>
      <c r="U10198" s="21">
        <v>0</v>
      </c>
      <c r="V10198" s="21">
        <v>2</v>
      </c>
      <c r="W10198" s="21">
        <v>0</v>
      </c>
      <c r="Y10198" s="21">
        <v>0</v>
      </c>
      <c r="Z10198" s="21">
        <v>0</v>
      </c>
      <c r="AA10198" s="21">
        <v>0</v>
      </c>
      <c r="AB10198" s="21">
        <v>0</v>
      </c>
      <c r="AC10198" s="21">
        <v>0</v>
      </c>
      <c r="AD10198" s="21">
        <v>0</v>
      </c>
      <c r="AE10198" s="21">
        <v>0</v>
      </c>
      <c r="AF10198" s="21">
        <v>0</v>
      </c>
      <c r="AG10198" s="21">
        <v>0</v>
      </c>
      <c r="AH10198" s="21">
        <f t="shared" si="220"/>
        <v>128</v>
      </c>
      <c r="AI10198" s="21"/>
      <c r="AJ10198" s="21" t="s">
        <v>51</v>
      </c>
      <c r="AK10198" s="21" t="s">
        <v>52</v>
      </c>
      <c r="AL10198" s="21"/>
      <c r="AM10198" s="21" t="s">
        <v>8041</v>
      </c>
      <c r="AN10198" s="21">
        <v>-122.40932309999999</v>
      </c>
      <c r="AO10198" s="21">
        <v>37.801119583333303</v>
      </c>
      <c r="AP10198" s="21" t="s">
        <v>116</v>
      </c>
    </row>
    <row r="10199" spans="1:42">
      <c r="A10199" s="20">
        <v>43892</v>
      </c>
      <c r="B10199" s="21">
        <v>1</v>
      </c>
      <c r="C10199" s="21">
        <v>313</v>
      </c>
      <c r="D10199" s="21">
        <v>14384</v>
      </c>
      <c r="E10199" t="s">
        <v>112</v>
      </c>
      <c r="F10199" s="21" t="s">
        <v>38</v>
      </c>
      <c r="G10199" s="21">
        <v>4</v>
      </c>
      <c r="H10199" s="27">
        <v>52</v>
      </c>
      <c r="I10199" s="21" t="s">
        <v>3209</v>
      </c>
      <c r="J10199" s="21"/>
      <c r="K10199" s="21" t="s">
        <v>148</v>
      </c>
      <c r="L10199" s="21"/>
      <c r="M10199" s="21" t="s">
        <v>7038</v>
      </c>
      <c r="N10199" s="21" t="s">
        <v>40</v>
      </c>
      <c r="O10199" s="21">
        <v>40</v>
      </c>
      <c r="P10199" s="21"/>
      <c r="Q10199" s="21">
        <f t="shared" si="219"/>
        <v>1</v>
      </c>
      <c r="R10199" s="21">
        <v>1</v>
      </c>
      <c r="S10199" s="21">
        <v>0</v>
      </c>
      <c r="T10199" s="21">
        <v>0</v>
      </c>
      <c r="U10199" s="21">
        <v>0</v>
      </c>
      <c r="V10199" s="21">
        <v>1</v>
      </c>
      <c r="W10199" s="21">
        <v>0</v>
      </c>
      <c r="Y10199" s="21">
        <v>0</v>
      </c>
      <c r="Z10199" s="21">
        <v>0</v>
      </c>
      <c r="AA10199" s="21">
        <v>0</v>
      </c>
      <c r="AB10199" s="21">
        <v>0</v>
      </c>
      <c r="AC10199" s="21">
        <v>0</v>
      </c>
      <c r="AD10199" s="21">
        <v>0</v>
      </c>
      <c r="AE10199" s="21">
        <v>0</v>
      </c>
      <c r="AF10199" s="21">
        <v>0</v>
      </c>
      <c r="AG10199" s="21">
        <v>0</v>
      </c>
      <c r="AH10199" s="21">
        <f t="shared" si="220"/>
        <v>64</v>
      </c>
      <c r="AI10199" s="21"/>
      <c r="AJ10199" s="21" t="s">
        <v>51</v>
      </c>
      <c r="AK10199" s="21" t="s">
        <v>95</v>
      </c>
      <c r="AL10199" s="21"/>
      <c r="AM10199" s="21" t="s">
        <v>8042</v>
      </c>
      <c r="AN10199" s="21">
        <v>-122.411280316667</v>
      </c>
      <c r="AO10199" s="21">
        <v>37.801162083333303</v>
      </c>
      <c r="AP10199" s="21" t="s">
        <v>116</v>
      </c>
    </row>
    <row r="10200" spans="1:42">
      <c r="A10200" s="20">
        <v>43892</v>
      </c>
      <c r="B10200" s="21">
        <v>1</v>
      </c>
      <c r="C10200" s="21">
        <v>313</v>
      </c>
      <c r="D10200" s="21">
        <v>14384</v>
      </c>
      <c r="E10200" t="s">
        <v>112</v>
      </c>
      <c r="F10200" s="21" t="s">
        <v>38</v>
      </c>
      <c r="G10200" s="21">
        <v>4</v>
      </c>
      <c r="H10200" s="27">
        <v>53</v>
      </c>
      <c r="I10200" s="21" t="s">
        <v>8043</v>
      </c>
      <c r="J10200" s="21"/>
      <c r="K10200" s="21" t="s">
        <v>156</v>
      </c>
      <c r="L10200" s="21"/>
      <c r="M10200" s="21" t="s">
        <v>7038</v>
      </c>
      <c r="N10200" s="21" t="s">
        <v>42</v>
      </c>
      <c r="O10200" s="21">
        <v>113</v>
      </c>
      <c r="P10200" s="21"/>
      <c r="Q10200" s="21">
        <f t="shared" si="219"/>
        <v>4</v>
      </c>
      <c r="R10200" s="21">
        <v>1</v>
      </c>
      <c r="S10200" s="21">
        <v>0</v>
      </c>
      <c r="T10200" s="21">
        <v>0</v>
      </c>
      <c r="U10200" s="21">
        <v>1</v>
      </c>
      <c r="V10200" s="21">
        <v>3</v>
      </c>
      <c r="W10200" s="21">
        <v>0</v>
      </c>
      <c r="Y10200" s="21">
        <v>0</v>
      </c>
      <c r="Z10200" s="21">
        <v>0</v>
      </c>
      <c r="AA10200" s="21">
        <v>0</v>
      </c>
      <c r="AB10200" s="21">
        <v>0</v>
      </c>
      <c r="AC10200" s="21">
        <v>0</v>
      </c>
      <c r="AD10200" s="21">
        <v>0</v>
      </c>
      <c r="AE10200" s="21">
        <v>0</v>
      </c>
      <c r="AF10200" s="21">
        <v>0</v>
      </c>
      <c r="AG10200" s="21">
        <v>0</v>
      </c>
      <c r="AH10200" s="21">
        <f t="shared" si="220"/>
        <v>224</v>
      </c>
      <c r="AI10200" s="21"/>
      <c r="AJ10200" s="21" t="s">
        <v>51</v>
      </c>
      <c r="AK10200" s="21" t="s">
        <v>95</v>
      </c>
      <c r="AL10200" s="21" t="s">
        <v>8044</v>
      </c>
      <c r="AM10200" s="21" t="s">
        <v>8045</v>
      </c>
      <c r="AN10200" s="21">
        <v>-122.409623766667</v>
      </c>
      <c r="AO10200" s="21">
        <v>37.800388216666597</v>
      </c>
      <c r="AP10200" s="21" t="s">
        <v>116</v>
      </c>
    </row>
    <row r="10201" spans="1:42">
      <c r="A10201" s="20">
        <v>43892</v>
      </c>
      <c r="B10201" s="21">
        <v>1</v>
      </c>
      <c r="C10201" s="21">
        <v>313</v>
      </c>
      <c r="D10201" s="21">
        <v>14384</v>
      </c>
      <c r="E10201" t="s">
        <v>112</v>
      </c>
      <c r="F10201" s="21" t="s">
        <v>38</v>
      </c>
      <c r="G10201" s="21">
        <v>4</v>
      </c>
      <c r="H10201" s="27">
        <v>54</v>
      </c>
      <c r="I10201" s="21" t="s">
        <v>5901</v>
      </c>
      <c r="J10201" s="21"/>
      <c r="K10201" s="21" t="s">
        <v>7068</v>
      </c>
      <c r="L10201" s="21"/>
      <c r="M10201" s="21" t="s">
        <v>7038</v>
      </c>
      <c r="N10201" s="21" t="s">
        <v>40</v>
      </c>
      <c r="O10201" s="21">
        <v>23</v>
      </c>
      <c r="P10201" s="21"/>
      <c r="Q10201" s="21">
        <f t="shared" si="219"/>
        <v>1</v>
      </c>
      <c r="R10201" s="21">
        <v>1</v>
      </c>
      <c r="S10201" s="21">
        <v>0</v>
      </c>
      <c r="T10201" s="21">
        <v>0</v>
      </c>
      <c r="U10201" s="21">
        <v>1</v>
      </c>
      <c r="V10201" s="21">
        <v>0</v>
      </c>
      <c r="W10201" s="21">
        <v>0</v>
      </c>
      <c r="Y10201" s="21">
        <v>0</v>
      </c>
      <c r="Z10201" s="21">
        <v>0</v>
      </c>
      <c r="AA10201" s="21">
        <v>0</v>
      </c>
      <c r="AB10201" s="21">
        <v>0</v>
      </c>
      <c r="AC10201" s="21">
        <v>0</v>
      </c>
      <c r="AD10201" s="21">
        <v>0</v>
      </c>
      <c r="AE10201" s="21">
        <v>0</v>
      </c>
      <c r="AF10201" s="21">
        <v>0</v>
      </c>
      <c r="AG10201" s="21">
        <v>0</v>
      </c>
      <c r="AH10201" s="21">
        <f t="shared" si="220"/>
        <v>32</v>
      </c>
      <c r="AI10201" s="21"/>
      <c r="AJ10201" s="21" t="s">
        <v>51</v>
      </c>
      <c r="AK10201" s="21" t="s">
        <v>95</v>
      </c>
      <c r="AL10201" s="21"/>
      <c r="AM10201" s="21" t="s">
        <v>8046</v>
      </c>
      <c r="AN10201" s="21">
        <v>-122.40915606666699</v>
      </c>
      <c r="AO10201" s="21">
        <v>37.7998950666667</v>
      </c>
      <c r="AP10201" s="21" t="s">
        <v>116</v>
      </c>
    </row>
    <row r="10202" spans="1:42">
      <c r="A10202" s="20">
        <v>43892</v>
      </c>
      <c r="B10202" s="21">
        <v>1</v>
      </c>
      <c r="C10202" s="21">
        <v>313</v>
      </c>
      <c r="D10202" s="21">
        <v>14384</v>
      </c>
      <c r="E10202" t="s">
        <v>112</v>
      </c>
      <c r="F10202" s="21" t="s">
        <v>38</v>
      </c>
      <c r="G10202" s="21">
        <v>4</v>
      </c>
      <c r="H10202" s="27">
        <v>55</v>
      </c>
      <c r="I10202" s="21" t="s">
        <v>3504</v>
      </c>
      <c r="J10202" s="21"/>
      <c r="K10202" s="21" t="s">
        <v>1115</v>
      </c>
      <c r="L10202" s="21"/>
      <c r="M10202" s="21" t="s">
        <v>7038</v>
      </c>
      <c r="N10202" s="21" t="s">
        <v>40</v>
      </c>
      <c r="O10202" s="21">
        <v>71</v>
      </c>
      <c r="P10202" s="21"/>
      <c r="Q10202" s="21">
        <f t="shared" si="219"/>
        <v>1</v>
      </c>
      <c r="R10202" s="21">
        <v>1</v>
      </c>
      <c r="S10202" s="21">
        <v>0</v>
      </c>
      <c r="T10202" s="21">
        <v>0</v>
      </c>
      <c r="U10202" s="21">
        <v>0</v>
      </c>
      <c r="V10202" s="21">
        <v>1</v>
      </c>
      <c r="W10202" s="21">
        <v>0</v>
      </c>
      <c r="Y10202" s="21">
        <v>0</v>
      </c>
      <c r="Z10202" s="21">
        <v>0</v>
      </c>
      <c r="AA10202" s="21">
        <v>0</v>
      </c>
      <c r="AB10202" s="21">
        <v>0</v>
      </c>
      <c r="AC10202" s="21">
        <v>0</v>
      </c>
      <c r="AD10202" s="21">
        <v>0</v>
      </c>
      <c r="AE10202" s="21">
        <v>0</v>
      </c>
      <c r="AF10202" s="21">
        <v>0</v>
      </c>
      <c r="AG10202" s="21">
        <v>0</v>
      </c>
      <c r="AH10202" s="21">
        <f t="shared" si="220"/>
        <v>64</v>
      </c>
      <c r="AI10202" s="21"/>
      <c r="AJ10202" s="21" t="s">
        <v>51</v>
      </c>
      <c r="AK10202" s="21" t="s">
        <v>95</v>
      </c>
      <c r="AL10202" s="21" t="s">
        <v>8047</v>
      </c>
      <c r="AM10202" s="21" t="s">
        <v>8048</v>
      </c>
      <c r="AN10202" s="21">
        <v>-122.407226216667</v>
      </c>
      <c r="AO10202" s="21">
        <v>37.798158166666703</v>
      </c>
      <c r="AP10202" s="21" t="s">
        <v>116</v>
      </c>
    </row>
    <row r="10203" spans="1:42">
      <c r="A10203" s="20">
        <v>43892</v>
      </c>
      <c r="B10203" s="21">
        <v>1</v>
      </c>
      <c r="C10203" s="21">
        <v>313</v>
      </c>
      <c r="D10203" s="21">
        <v>14384</v>
      </c>
      <c r="E10203" t="s">
        <v>112</v>
      </c>
      <c r="F10203" s="21" t="s">
        <v>38</v>
      </c>
      <c r="G10203" s="21">
        <v>4</v>
      </c>
      <c r="H10203" s="27">
        <v>56</v>
      </c>
      <c r="I10203" s="21" t="s">
        <v>3225</v>
      </c>
      <c r="J10203" s="21"/>
      <c r="K10203" s="21" t="s">
        <v>49</v>
      </c>
      <c r="L10203" s="21"/>
      <c r="M10203" s="21" t="s">
        <v>7038</v>
      </c>
      <c r="N10203" s="21" t="s">
        <v>40</v>
      </c>
      <c r="O10203" s="21">
        <v>99</v>
      </c>
      <c r="P10203" s="21"/>
      <c r="Q10203" s="21">
        <f t="shared" si="219"/>
        <v>3</v>
      </c>
      <c r="R10203" s="21">
        <v>1</v>
      </c>
      <c r="S10203" s="21">
        <v>0</v>
      </c>
      <c r="T10203" s="21">
        <v>0</v>
      </c>
      <c r="U10203" s="21">
        <v>3</v>
      </c>
      <c r="V10203" s="21">
        <v>0</v>
      </c>
      <c r="W10203" s="21">
        <v>0</v>
      </c>
      <c r="Y10203" s="21">
        <v>0</v>
      </c>
      <c r="Z10203" s="21">
        <v>0</v>
      </c>
      <c r="AA10203" s="21">
        <v>0</v>
      </c>
      <c r="AB10203" s="21">
        <v>0</v>
      </c>
      <c r="AC10203" s="21">
        <v>0</v>
      </c>
      <c r="AD10203" s="21">
        <v>0</v>
      </c>
      <c r="AE10203" s="21">
        <v>0</v>
      </c>
      <c r="AF10203" s="21">
        <v>0</v>
      </c>
      <c r="AG10203" s="21">
        <v>0</v>
      </c>
      <c r="AH10203" s="21">
        <f t="shared" si="220"/>
        <v>96</v>
      </c>
      <c r="AI10203" s="21"/>
      <c r="AJ10203" s="21" t="s">
        <v>51</v>
      </c>
      <c r="AK10203" s="21" t="s">
        <v>95</v>
      </c>
      <c r="AL10203" s="21"/>
      <c r="AM10203" s="21" t="s">
        <v>8049</v>
      </c>
      <c r="AN10203" s="21">
        <v>-122.416896633333</v>
      </c>
      <c r="AO10203" s="21">
        <v>37.788179383333301</v>
      </c>
      <c r="AP10203" s="21" t="s">
        <v>116</v>
      </c>
    </row>
    <row r="10204" spans="1:42">
      <c r="A10204" s="20">
        <v>43892</v>
      </c>
      <c r="B10204" s="21">
        <v>1</v>
      </c>
      <c r="C10204" s="21">
        <v>313</v>
      </c>
      <c r="D10204" s="21">
        <v>14384</v>
      </c>
      <c r="E10204" t="s">
        <v>112</v>
      </c>
      <c r="F10204" s="21" t="s">
        <v>38</v>
      </c>
      <c r="G10204" s="21">
        <v>4</v>
      </c>
      <c r="H10204" s="27">
        <v>57</v>
      </c>
      <c r="I10204" s="21" t="s">
        <v>8050</v>
      </c>
      <c r="J10204" s="21"/>
      <c r="K10204" s="21" t="s">
        <v>49</v>
      </c>
      <c r="L10204" s="21"/>
      <c r="M10204" s="21" t="s">
        <v>6618</v>
      </c>
      <c r="N10204" s="21" t="s">
        <v>40</v>
      </c>
      <c r="O10204" s="21">
        <v>139</v>
      </c>
      <c r="P10204" s="21"/>
      <c r="Q10204" s="21">
        <f t="shared" si="219"/>
        <v>3</v>
      </c>
      <c r="R10204" s="21">
        <v>1</v>
      </c>
      <c r="S10204" s="21">
        <v>0</v>
      </c>
      <c r="T10204" s="21">
        <v>0</v>
      </c>
      <c r="U10204" s="21">
        <v>0</v>
      </c>
      <c r="V10204" s="21">
        <v>3</v>
      </c>
      <c r="W10204" s="21">
        <v>0</v>
      </c>
      <c r="Y10204" s="21">
        <v>0</v>
      </c>
      <c r="Z10204" s="21">
        <v>0</v>
      </c>
      <c r="AA10204" s="21">
        <v>0</v>
      </c>
      <c r="AB10204" s="21">
        <v>0</v>
      </c>
      <c r="AC10204" s="21">
        <v>0</v>
      </c>
      <c r="AD10204" s="21">
        <v>0</v>
      </c>
      <c r="AE10204" s="21">
        <v>0</v>
      </c>
      <c r="AF10204" s="21">
        <v>0</v>
      </c>
      <c r="AG10204" s="21">
        <v>0</v>
      </c>
      <c r="AH10204" s="21">
        <f t="shared" si="220"/>
        <v>192</v>
      </c>
      <c r="AI10204" s="21"/>
      <c r="AJ10204" s="21" t="s">
        <v>51</v>
      </c>
      <c r="AK10204" s="21" t="s">
        <v>95</v>
      </c>
      <c r="AL10204" s="21" t="s">
        <v>8051</v>
      </c>
      <c r="AM10204" s="21" t="s">
        <v>8052</v>
      </c>
      <c r="AN10204" s="21">
        <v>-122.41837975</v>
      </c>
      <c r="AO10204" s="21">
        <v>37.788040649999999</v>
      </c>
      <c r="AP10204" s="21" t="s">
        <v>116</v>
      </c>
    </row>
    <row r="10205" spans="1:42">
      <c r="A10205" s="20">
        <v>43892</v>
      </c>
      <c r="B10205" s="21">
        <v>1</v>
      </c>
      <c r="C10205" s="21">
        <v>313</v>
      </c>
      <c r="D10205" s="21">
        <v>14384</v>
      </c>
      <c r="E10205" t="s">
        <v>112</v>
      </c>
      <c r="F10205" s="21" t="s">
        <v>38</v>
      </c>
      <c r="G10205" s="21">
        <v>4</v>
      </c>
      <c r="H10205" s="27">
        <v>58</v>
      </c>
      <c r="I10205" s="21" t="s">
        <v>8053</v>
      </c>
      <c r="J10205" s="21"/>
      <c r="K10205" s="21" t="s">
        <v>49</v>
      </c>
      <c r="L10205" s="21"/>
      <c r="M10205" s="21" t="s">
        <v>7038</v>
      </c>
      <c r="N10205" s="21" t="s">
        <v>40</v>
      </c>
      <c r="O10205" s="21">
        <v>125</v>
      </c>
      <c r="P10205" s="21"/>
      <c r="Q10205" s="21">
        <f t="shared" si="219"/>
        <v>2</v>
      </c>
      <c r="R10205" s="21">
        <v>1</v>
      </c>
      <c r="S10205" s="21">
        <v>0</v>
      </c>
      <c r="T10205" s="21">
        <v>0</v>
      </c>
      <c r="U10205" s="21">
        <v>0</v>
      </c>
      <c r="V10205" s="21">
        <v>2</v>
      </c>
      <c r="W10205" s="21">
        <v>0</v>
      </c>
      <c r="Y10205" s="21">
        <v>0</v>
      </c>
      <c r="Z10205" s="21">
        <v>0</v>
      </c>
      <c r="AA10205" s="21">
        <v>0</v>
      </c>
      <c r="AB10205" s="21">
        <v>0</v>
      </c>
      <c r="AC10205" s="21">
        <v>0</v>
      </c>
      <c r="AD10205" s="21">
        <v>0</v>
      </c>
      <c r="AE10205" s="21">
        <v>0</v>
      </c>
      <c r="AF10205" s="21">
        <v>0</v>
      </c>
      <c r="AG10205" s="21">
        <v>0</v>
      </c>
      <c r="AH10205" s="21">
        <f t="shared" si="220"/>
        <v>128</v>
      </c>
      <c r="AI10205" s="21"/>
      <c r="AJ10205" s="21" t="s">
        <v>51</v>
      </c>
      <c r="AK10205" s="21" t="s">
        <v>52</v>
      </c>
      <c r="AL10205" s="21" t="s">
        <v>8054</v>
      </c>
      <c r="AM10205" s="21" t="s">
        <v>8055</v>
      </c>
      <c r="AN10205" s="21">
        <v>-122.419244733333</v>
      </c>
      <c r="AO10205" s="21">
        <v>37.787974683333303</v>
      </c>
      <c r="AP10205" s="21" t="s">
        <v>116</v>
      </c>
    </row>
    <row r="10206" spans="1:42">
      <c r="A10206" s="20">
        <v>43892</v>
      </c>
      <c r="B10206" s="21">
        <v>1</v>
      </c>
      <c r="C10206" s="21">
        <v>313</v>
      </c>
      <c r="D10206" s="21">
        <v>14384</v>
      </c>
      <c r="E10206" t="s">
        <v>112</v>
      </c>
      <c r="F10206" s="21" t="s">
        <v>38</v>
      </c>
      <c r="G10206" s="21">
        <v>4</v>
      </c>
      <c r="H10206" s="27">
        <v>59</v>
      </c>
      <c r="I10206" s="21" t="s">
        <v>8056</v>
      </c>
      <c r="J10206" s="21"/>
      <c r="K10206" s="21" t="s">
        <v>3260</v>
      </c>
      <c r="L10206" s="21"/>
      <c r="M10206" s="21" t="s">
        <v>7038</v>
      </c>
      <c r="N10206" s="21" t="s">
        <v>40</v>
      </c>
      <c r="O10206" s="21">
        <v>103</v>
      </c>
      <c r="P10206" s="21"/>
      <c r="Q10206" s="21">
        <f t="shared" si="219"/>
        <v>2</v>
      </c>
      <c r="R10206" s="21">
        <v>1</v>
      </c>
      <c r="S10206" s="21">
        <v>0</v>
      </c>
      <c r="T10206" s="21">
        <v>0</v>
      </c>
      <c r="U10206" s="21">
        <v>1</v>
      </c>
      <c r="V10206" s="21">
        <v>1</v>
      </c>
      <c r="W10206" s="21">
        <v>0</v>
      </c>
      <c r="Y10206" s="21">
        <v>0</v>
      </c>
      <c r="Z10206" s="21">
        <v>0</v>
      </c>
      <c r="AA10206" s="21">
        <v>0</v>
      </c>
      <c r="AB10206" s="21">
        <v>0</v>
      </c>
      <c r="AC10206" s="21">
        <v>0</v>
      </c>
      <c r="AD10206" s="21">
        <v>0</v>
      </c>
      <c r="AE10206" s="21">
        <v>0</v>
      </c>
      <c r="AF10206" s="21">
        <v>0</v>
      </c>
      <c r="AG10206" s="21">
        <v>0</v>
      </c>
      <c r="AH10206" s="21">
        <f t="shared" si="220"/>
        <v>96</v>
      </c>
      <c r="AI10206" s="21"/>
      <c r="AJ10206" s="21" t="s">
        <v>51</v>
      </c>
      <c r="AK10206" s="21" t="s">
        <v>95</v>
      </c>
      <c r="AL10206" s="21" t="s">
        <v>8057</v>
      </c>
      <c r="AM10206" s="21" t="s">
        <v>8058</v>
      </c>
      <c r="AN10206" s="21">
        <v>-122.419923633333</v>
      </c>
      <c r="AO10206" s="21">
        <v>37.7878452</v>
      </c>
      <c r="AP10206" s="21" t="s">
        <v>116</v>
      </c>
    </row>
    <row r="10207" spans="1:42">
      <c r="A10207" s="20">
        <v>43892</v>
      </c>
      <c r="B10207" s="21">
        <v>1</v>
      </c>
      <c r="C10207" s="21">
        <v>313</v>
      </c>
      <c r="D10207" s="21">
        <v>14384</v>
      </c>
      <c r="E10207" t="s">
        <v>112</v>
      </c>
      <c r="F10207" s="21" t="s">
        <v>38</v>
      </c>
      <c r="G10207" s="21">
        <v>4</v>
      </c>
      <c r="H10207" s="27">
        <v>60</v>
      </c>
      <c r="I10207" s="21" t="s">
        <v>5862</v>
      </c>
      <c r="J10207" s="21"/>
      <c r="K10207" s="21" t="s">
        <v>49</v>
      </c>
      <c r="L10207" s="21"/>
      <c r="M10207" s="21" t="s">
        <v>6618</v>
      </c>
      <c r="N10207" s="21" t="s">
        <v>40</v>
      </c>
      <c r="O10207" s="21">
        <v>42</v>
      </c>
      <c r="P10207" s="21"/>
      <c r="Q10207" s="21">
        <f t="shared" si="219"/>
        <v>1</v>
      </c>
      <c r="R10207" s="21">
        <v>1</v>
      </c>
      <c r="S10207" s="21">
        <v>0</v>
      </c>
      <c r="T10207" s="21">
        <v>0</v>
      </c>
      <c r="U10207" s="21">
        <v>0</v>
      </c>
      <c r="V10207" s="21">
        <v>1</v>
      </c>
      <c r="W10207" s="21">
        <v>0</v>
      </c>
      <c r="Y10207" s="21">
        <v>0</v>
      </c>
      <c r="Z10207" s="21">
        <v>0</v>
      </c>
      <c r="AA10207" s="21">
        <v>0</v>
      </c>
      <c r="AB10207" s="21">
        <v>0</v>
      </c>
      <c r="AC10207" s="21">
        <v>0</v>
      </c>
      <c r="AD10207" s="21">
        <v>0</v>
      </c>
      <c r="AE10207" s="21">
        <v>0</v>
      </c>
      <c r="AF10207" s="21">
        <v>0</v>
      </c>
      <c r="AG10207" s="21">
        <v>0</v>
      </c>
      <c r="AH10207" s="21">
        <f t="shared" si="220"/>
        <v>64</v>
      </c>
      <c r="AI10207" s="21"/>
      <c r="AJ10207" s="21" t="s">
        <v>51</v>
      </c>
      <c r="AK10207" s="21" t="s">
        <v>52</v>
      </c>
      <c r="AL10207" s="21"/>
      <c r="AM10207" s="21" t="s">
        <v>8059</v>
      </c>
      <c r="AN10207" s="21">
        <v>-122.42004274999999</v>
      </c>
      <c r="AO10207" s="21">
        <v>37.787760683333303</v>
      </c>
      <c r="AP10207" s="21" t="s">
        <v>116</v>
      </c>
    </row>
    <row r="10208" spans="1:42">
      <c r="A10208" s="20">
        <v>43892</v>
      </c>
      <c r="B10208" s="21">
        <v>1</v>
      </c>
      <c r="C10208" s="21">
        <v>313</v>
      </c>
      <c r="D10208" s="21">
        <v>14384</v>
      </c>
      <c r="E10208" t="s">
        <v>112</v>
      </c>
      <c r="F10208" s="21" t="s">
        <v>38</v>
      </c>
      <c r="G10208" s="21">
        <v>4</v>
      </c>
      <c r="H10208" s="27">
        <v>61</v>
      </c>
      <c r="I10208" s="21" t="s">
        <v>5873</v>
      </c>
      <c r="J10208" s="21"/>
      <c r="K10208" s="21" t="s">
        <v>3260</v>
      </c>
      <c r="L10208" s="21"/>
      <c r="M10208" s="21" t="s">
        <v>7038</v>
      </c>
      <c r="N10208" s="21" t="s">
        <v>40</v>
      </c>
      <c r="O10208" s="21">
        <v>30</v>
      </c>
      <c r="P10208" s="21"/>
      <c r="Q10208" s="21">
        <f t="shared" si="219"/>
        <v>1</v>
      </c>
      <c r="R10208" s="21">
        <v>1</v>
      </c>
      <c r="S10208" s="21">
        <v>0</v>
      </c>
      <c r="T10208" s="21">
        <v>0</v>
      </c>
      <c r="U10208" s="21">
        <v>1</v>
      </c>
      <c r="V10208" s="21">
        <v>0</v>
      </c>
      <c r="W10208" s="21">
        <v>0</v>
      </c>
      <c r="Y10208" s="21">
        <v>0</v>
      </c>
      <c r="Z10208" s="21">
        <v>0</v>
      </c>
      <c r="AA10208" s="21">
        <v>0</v>
      </c>
      <c r="AB10208" s="21">
        <v>0</v>
      </c>
      <c r="AC10208" s="21">
        <v>0</v>
      </c>
      <c r="AD10208" s="21">
        <v>0</v>
      </c>
      <c r="AE10208" s="21">
        <v>0</v>
      </c>
      <c r="AF10208" s="21">
        <v>0</v>
      </c>
      <c r="AG10208" s="21">
        <v>0</v>
      </c>
      <c r="AH10208" s="21">
        <f t="shared" si="220"/>
        <v>32</v>
      </c>
      <c r="AI10208" s="21"/>
      <c r="AJ10208" s="21" t="s">
        <v>51</v>
      </c>
      <c r="AK10208" s="21" t="s">
        <v>52</v>
      </c>
      <c r="AL10208" s="21"/>
      <c r="AM10208" s="21" t="s">
        <v>8060</v>
      </c>
      <c r="AN10208" s="21">
        <v>-122.420436466667</v>
      </c>
      <c r="AO10208" s="21">
        <v>37.787765899999997</v>
      </c>
      <c r="AP10208" s="21" t="s">
        <v>116</v>
      </c>
    </row>
    <row r="10209" spans="1:42">
      <c r="A10209" s="20">
        <v>43892</v>
      </c>
      <c r="B10209" s="21">
        <v>1</v>
      </c>
      <c r="C10209" s="21">
        <v>313</v>
      </c>
      <c r="D10209" s="21">
        <v>14384</v>
      </c>
      <c r="E10209" t="s">
        <v>112</v>
      </c>
      <c r="F10209" s="21" t="s">
        <v>38</v>
      </c>
      <c r="G10209" s="21">
        <v>4</v>
      </c>
      <c r="H10209" s="27">
        <v>62</v>
      </c>
      <c r="I10209" s="21" t="s">
        <v>3058</v>
      </c>
      <c r="J10209" s="21"/>
      <c r="K10209" s="21" t="s">
        <v>414</v>
      </c>
      <c r="L10209" s="21"/>
      <c r="M10209" s="21" t="s">
        <v>7038</v>
      </c>
      <c r="N10209" s="21" t="s">
        <v>40</v>
      </c>
      <c r="O10209" s="21">
        <v>38</v>
      </c>
      <c r="P10209" s="21"/>
      <c r="Q10209" s="21">
        <f t="shared" si="219"/>
        <v>1</v>
      </c>
      <c r="R10209" s="21">
        <v>1</v>
      </c>
      <c r="S10209" s="21">
        <v>0</v>
      </c>
      <c r="T10209" s="21">
        <v>0</v>
      </c>
      <c r="U10209" s="21">
        <v>0</v>
      </c>
      <c r="V10209" s="21">
        <v>1</v>
      </c>
      <c r="W10209" s="21">
        <v>0</v>
      </c>
      <c r="Y10209" s="21">
        <v>0</v>
      </c>
      <c r="Z10209" s="21">
        <v>0</v>
      </c>
      <c r="AA10209" s="21">
        <v>0</v>
      </c>
      <c r="AB10209" s="21">
        <v>0</v>
      </c>
      <c r="AC10209" s="21">
        <v>0</v>
      </c>
      <c r="AD10209" s="21">
        <v>0</v>
      </c>
      <c r="AE10209" s="21">
        <v>0</v>
      </c>
      <c r="AF10209" s="21">
        <v>0</v>
      </c>
      <c r="AG10209" s="21">
        <v>0</v>
      </c>
      <c r="AH10209" s="21">
        <f t="shared" si="220"/>
        <v>64</v>
      </c>
      <c r="AI10209" s="21"/>
      <c r="AJ10209" s="21" t="s">
        <v>51</v>
      </c>
      <c r="AK10209" s="21" t="s">
        <v>95</v>
      </c>
      <c r="AL10209" s="21" t="s">
        <v>8061</v>
      </c>
      <c r="AM10209" s="21" t="s">
        <v>8062</v>
      </c>
      <c r="AN10209" s="21">
        <v>-122.41973381666701</v>
      </c>
      <c r="AO10209" s="21">
        <v>37.787387483333298</v>
      </c>
      <c r="AP10209" s="21" t="s">
        <v>116</v>
      </c>
    </row>
    <row r="10210" spans="1:42">
      <c r="A10210" s="20">
        <v>43892</v>
      </c>
      <c r="B10210" s="21">
        <v>1</v>
      </c>
      <c r="C10210" s="21">
        <v>313</v>
      </c>
      <c r="D10210" s="21">
        <v>14384</v>
      </c>
      <c r="E10210" t="s">
        <v>112</v>
      </c>
      <c r="F10210" s="21" t="s">
        <v>38</v>
      </c>
      <c r="G10210" s="21">
        <v>4</v>
      </c>
      <c r="H10210" s="27">
        <v>63</v>
      </c>
      <c r="I10210" s="21" t="s">
        <v>7361</v>
      </c>
      <c r="J10210" s="21"/>
      <c r="K10210" s="21" t="s">
        <v>414</v>
      </c>
      <c r="L10210" s="21"/>
      <c r="M10210" s="21" t="s">
        <v>7038</v>
      </c>
      <c r="N10210" s="21" t="s">
        <v>40</v>
      </c>
      <c r="O10210" s="21">
        <v>74</v>
      </c>
      <c r="P10210" s="21"/>
      <c r="Q10210" s="21">
        <f t="shared" si="219"/>
        <v>1</v>
      </c>
      <c r="R10210" s="21">
        <v>1</v>
      </c>
      <c r="S10210" s="21">
        <v>0</v>
      </c>
      <c r="T10210" s="21">
        <v>0</v>
      </c>
      <c r="U10210" s="21">
        <v>1</v>
      </c>
      <c r="V10210" s="21">
        <v>0</v>
      </c>
      <c r="W10210" s="21">
        <v>0</v>
      </c>
      <c r="Y10210" s="21">
        <v>0</v>
      </c>
      <c r="Z10210" s="21">
        <v>0</v>
      </c>
      <c r="AA10210" s="21">
        <v>0</v>
      </c>
      <c r="AB10210" s="21">
        <v>0</v>
      </c>
      <c r="AC10210" s="21">
        <v>0</v>
      </c>
      <c r="AD10210" s="21">
        <v>0</v>
      </c>
      <c r="AE10210" s="21">
        <v>0</v>
      </c>
      <c r="AF10210" s="21">
        <v>0</v>
      </c>
      <c r="AG10210" s="21">
        <v>0</v>
      </c>
      <c r="AH10210" s="21">
        <f t="shared" si="220"/>
        <v>32</v>
      </c>
      <c r="AI10210" s="21"/>
      <c r="AJ10210" s="21" t="s">
        <v>51</v>
      </c>
      <c r="AK10210" s="21" t="s">
        <v>52</v>
      </c>
      <c r="AL10210" s="21" t="s">
        <v>8063</v>
      </c>
      <c r="AM10210" s="21" t="s">
        <v>8064</v>
      </c>
      <c r="AN10210" s="21">
        <v>-122.420055816667</v>
      </c>
      <c r="AO10210" s="21">
        <v>37.786937500000001</v>
      </c>
      <c r="AP10210" s="21" t="s">
        <v>116</v>
      </c>
    </row>
    <row r="10211" spans="1:42">
      <c r="A10211" s="20">
        <v>43892</v>
      </c>
      <c r="B10211" s="21">
        <v>1</v>
      </c>
      <c r="C10211" s="21">
        <v>313</v>
      </c>
      <c r="D10211" s="21">
        <v>14384</v>
      </c>
      <c r="E10211" t="s">
        <v>112</v>
      </c>
      <c r="F10211" s="21" t="s">
        <v>38</v>
      </c>
      <c r="G10211" s="21">
        <v>4</v>
      </c>
      <c r="H10211" s="27">
        <v>64</v>
      </c>
      <c r="I10211" s="21" t="s">
        <v>8065</v>
      </c>
      <c r="J10211" s="21"/>
      <c r="K10211" s="21" t="s">
        <v>53</v>
      </c>
      <c r="L10211" s="21"/>
      <c r="M10211" s="21" t="s">
        <v>7038</v>
      </c>
      <c r="N10211" s="21" t="s">
        <v>40</v>
      </c>
      <c r="O10211" s="21">
        <v>59</v>
      </c>
      <c r="P10211" s="21"/>
      <c r="Q10211" s="21">
        <f t="shared" si="219"/>
        <v>1</v>
      </c>
      <c r="R10211" s="21">
        <v>1</v>
      </c>
      <c r="S10211" s="21">
        <v>0</v>
      </c>
      <c r="T10211" s="21">
        <v>0</v>
      </c>
      <c r="U10211" s="21">
        <v>0</v>
      </c>
      <c r="V10211" s="21">
        <v>1</v>
      </c>
      <c r="W10211" s="21">
        <v>0</v>
      </c>
      <c r="Y10211" s="21">
        <v>0</v>
      </c>
      <c r="Z10211" s="21">
        <v>0</v>
      </c>
      <c r="AA10211" s="21">
        <v>0</v>
      </c>
      <c r="AB10211" s="21">
        <v>0</v>
      </c>
      <c r="AC10211" s="21">
        <v>0</v>
      </c>
      <c r="AD10211" s="21">
        <v>0</v>
      </c>
      <c r="AE10211" s="21">
        <v>0</v>
      </c>
      <c r="AF10211" s="21">
        <v>0</v>
      </c>
      <c r="AG10211" s="21">
        <v>0</v>
      </c>
      <c r="AH10211" s="21">
        <f t="shared" si="220"/>
        <v>64</v>
      </c>
      <c r="AI10211" s="21"/>
      <c r="AJ10211" s="21" t="s">
        <v>51</v>
      </c>
      <c r="AK10211" s="21" t="s">
        <v>95</v>
      </c>
      <c r="AL10211" s="21" t="s">
        <v>8066</v>
      </c>
      <c r="AM10211" s="21" t="s">
        <v>8067</v>
      </c>
      <c r="AN10211" s="21">
        <v>-122.420794566667</v>
      </c>
      <c r="AO10211" s="21">
        <v>37.786089366666701</v>
      </c>
      <c r="AP10211" s="21" t="s">
        <v>116</v>
      </c>
    </row>
    <row r="10212" spans="1:42">
      <c r="A10212" s="20">
        <v>43892</v>
      </c>
      <c r="B10212" s="21">
        <v>1</v>
      </c>
      <c r="C10212" s="21">
        <v>313</v>
      </c>
      <c r="D10212" s="21">
        <v>14384</v>
      </c>
      <c r="E10212" t="s">
        <v>112</v>
      </c>
      <c r="F10212" s="21" t="s">
        <v>38</v>
      </c>
      <c r="G10212" s="21">
        <v>4</v>
      </c>
      <c r="H10212" s="27">
        <v>65</v>
      </c>
      <c r="I10212" s="21" t="s">
        <v>3000</v>
      </c>
      <c r="J10212" s="21"/>
      <c r="K10212" s="21" t="s">
        <v>415</v>
      </c>
      <c r="L10212" s="21"/>
      <c r="M10212" s="21" t="s">
        <v>7038</v>
      </c>
      <c r="N10212" s="21" t="s">
        <v>44</v>
      </c>
      <c r="O10212" s="21">
        <v>220</v>
      </c>
      <c r="P10212" s="21"/>
      <c r="Q10212" s="21">
        <f t="shared" ref="Q10212:Q10274" si="221">SUM(S10212+T10212+U10212+V10212+W10212+Y10212+Z10212+AA10212+AB10212+AC10212+AF10212+AG10212+AD10211+AE10211)</f>
        <v>5</v>
      </c>
      <c r="R10212" s="21">
        <v>1</v>
      </c>
      <c r="S10212" s="21">
        <v>0</v>
      </c>
      <c r="T10212" s="21">
        <v>0</v>
      </c>
      <c r="U10212" s="21">
        <v>0</v>
      </c>
      <c r="V10212" s="21">
        <v>5</v>
      </c>
      <c r="W10212" s="21">
        <v>0</v>
      </c>
      <c r="Y10212" s="21">
        <v>0</v>
      </c>
      <c r="Z10212" s="21">
        <v>0</v>
      </c>
      <c r="AA10212" s="21">
        <v>0</v>
      </c>
      <c r="AB10212" s="21">
        <v>0</v>
      </c>
      <c r="AC10212" s="21">
        <v>0</v>
      </c>
      <c r="AD10212" s="21">
        <v>0</v>
      </c>
      <c r="AE10212" s="21">
        <v>0</v>
      </c>
      <c r="AF10212" s="21">
        <v>0</v>
      </c>
      <c r="AG10212" s="21">
        <v>0</v>
      </c>
      <c r="AH10212" s="21">
        <f t="shared" si="220"/>
        <v>320</v>
      </c>
      <c r="AI10212" s="21"/>
      <c r="AJ10212" s="21" t="s">
        <v>51</v>
      </c>
      <c r="AK10212" s="21" t="s">
        <v>95</v>
      </c>
      <c r="AL10212" s="21" t="s">
        <v>8068</v>
      </c>
      <c r="AM10212" s="21" t="s">
        <v>8069</v>
      </c>
      <c r="AN10212" s="21">
        <v>-122.420402583333</v>
      </c>
      <c r="AO10212" s="21">
        <v>37.786269466666702</v>
      </c>
      <c r="AP10212" s="21" t="s">
        <v>116</v>
      </c>
    </row>
    <row r="10213" spans="1:42">
      <c r="A10213" s="20">
        <v>43892</v>
      </c>
      <c r="B10213" s="21">
        <v>1</v>
      </c>
      <c r="C10213" s="21">
        <v>313</v>
      </c>
      <c r="D10213" s="21">
        <v>14384</v>
      </c>
      <c r="E10213" t="s">
        <v>112</v>
      </c>
      <c r="F10213" s="21" t="s">
        <v>38</v>
      </c>
      <c r="G10213" s="21">
        <v>4</v>
      </c>
      <c r="H10213" s="27">
        <v>66</v>
      </c>
      <c r="I10213" s="21" t="s">
        <v>3121</v>
      </c>
      <c r="J10213" s="21"/>
      <c r="K10213" s="21" t="s">
        <v>420</v>
      </c>
      <c r="L10213" s="21"/>
      <c r="M10213" s="21" t="s">
        <v>6618</v>
      </c>
      <c r="N10213" s="21" t="s">
        <v>40</v>
      </c>
      <c r="O10213" s="21">
        <v>83</v>
      </c>
      <c r="P10213" s="21"/>
      <c r="Q10213" s="21">
        <f t="shared" si="221"/>
        <v>1</v>
      </c>
      <c r="R10213" s="21">
        <v>1</v>
      </c>
      <c r="S10213" s="21">
        <v>0</v>
      </c>
      <c r="T10213" s="21">
        <v>0</v>
      </c>
      <c r="U10213" s="21">
        <v>0</v>
      </c>
      <c r="V10213" s="21">
        <v>1</v>
      </c>
      <c r="W10213" s="21">
        <v>0</v>
      </c>
      <c r="Y10213" s="21">
        <v>0</v>
      </c>
      <c r="Z10213" s="21">
        <v>0</v>
      </c>
      <c r="AA10213" s="21">
        <v>0</v>
      </c>
      <c r="AB10213" s="21">
        <v>0</v>
      </c>
      <c r="AC10213" s="21">
        <v>0</v>
      </c>
      <c r="AD10213" s="21">
        <v>0</v>
      </c>
      <c r="AE10213" s="21">
        <v>0</v>
      </c>
      <c r="AF10213" s="21">
        <v>0</v>
      </c>
      <c r="AG10213" s="21">
        <v>0</v>
      </c>
      <c r="AH10213" s="21">
        <f t="shared" si="220"/>
        <v>64</v>
      </c>
      <c r="AI10213" s="21"/>
      <c r="AJ10213" s="21" t="s">
        <v>51</v>
      </c>
      <c r="AK10213" s="21" t="s">
        <v>52</v>
      </c>
      <c r="AL10213" s="21" t="s">
        <v>8070</v>
      </c>
      <c r="AM10213" s="21" t="s">
        <v>8071</v>
      </c>
      <c r="AN10213" s="21">
        <v>-122.418376333333</v>
      </c>
      <c r="AO10213" s="21">
        <v>37.786988083333299</v>
      </c>
      <c r="AP10213" s="21" t="s">
        <v>116</v>
      </c>
    </row>
    <row r="10214" spans="1:42">
      <c r="A10214" s="20">
        <v>43892</v>
      </c>
      <c r="B10214" s="21">
        <v>1</v>
      </c>
      <c r="C10214" s="21">
        <v>313</v>
      </c>
      <c r="D10214" s="21">
        <v>14384</v>
      </c>
      <c r="E10214" t="s">
        <v>112</v>
      </c>
      <c r="F10214" s="21" t="s">
        <v>38</v>
      </c>
      <c r="G10214" s="21">
        <v>4</v>
      </c>
      <c r="H10214" s="27">
        <v>67</v>
      </c>
      <c r="I10214" s="21" t="s">
        <v>3225</v>
      </c>
      <c r="J10214" s="21"/>
      <c r="K10214" s="21" t="s">
        <v>420</v>
      </c>
      <c r="L10214" s="21"/>
      <c r="M10214" s="21" t="s">
        <v>7038</v>
      </c>
      <c r="N10214" s="21" t="s">
        <v>44</v>
      </c>
      <c r="O10214" s="21">
        <v>117</v>
      </c>
      <c r="P10214" s="21"/>
      <c r="Q10214" s="21">
        <f t="shared" si="221"/>
        <v>1</v>
      </c>
      <c r="R10214" s="21">
        <v>1</v>
      </c>
      <c r="S10214" s="21">
        <v>0</v>
      </c>
      <c r="T10214" s="21">
        <v>0</v>
      </c>
      <c r="U10214" s="21">
        <v>0</v>
      </c>
      <c r="V10214" s="21">
        <v>1</v>
      </c>
      <c r="W10214" s="21">
        <v>0</v>
      </c>
      <c r="Y10214" s="21">
        <v>0</v>
      </c>
      <c r="Z10214" s="21">
        <v>0</v>
      </c>
      <c r="AA10214" s="21">
        <v>0</v>
      </c>
      <c r="AB10214" s="21">
        <v>0</v>
      </c>
      <c r="AC10214" s="21">
        <v>0</v>
      </c>
      <c r="AD10214" s="21">
        <v>0</v>
      </c>
      <c r="AE10214" s="21">
        <v>0</v>
      </c>
      <c r="AF10214" s="21">
        <v>0</v>
      </c>
      <c r="AG10214" s="21">
        <v>0</v>
      </c>
      <c r="AH10214" s="21">
        <f t="shared" si="220"/>
        <v>64</v>
      </c>
      <c r="AI10214" s="21"/>
      <c r="AJ10214" s="21" t="s">
        <v>51</v>
      </c>
      <c r="AK10214" s="21" t="s">
        <v>52</v>
      </c>
      <c r="AL10214" s="21" t="s">
        <v>8072</v>
      </c>
      <c r="AM10214" s="21" t="s">
        <v>8073</v>
      </c>
      <c r="AN10214" s="21">
        <v>-122.41813745</v>
      </c>
      <c r="AO10214" s="21">
        <v>37.787136466666702</v>
      </c>
      <c r="AP10214" s="21" t="s">
        <v>116</v>
      </c>
    </row>
    <row r="10215" spans="1:42">
      <c r="A10215" s="20">
        <v>43892</v>
      </c>
      <c r="B10215" s="21">
        <v>1</v>
      </c>
      <c r="C10215" s="21">
        <v>313</v>
      </c>
      <c r="D10215" s="21">
        <v>14384</v>
      </c>
      <c r="E10215" t="s">
        <v>112</v>
      </c>
      <c r="F10215" s="21" t="s">
        <v>38</v>
      </c>
      <c r="G10215" s="21">
        <v>4</v>
      </c>
      <c r="H10215" s="27">
        <v>68</v>
      </c>
      <c r="I10215" s="21" t="s">
        <v>7919</v>
      </c>
      <c r="J10215" s="21"/>
      <c r="K10215" s="21" t="s">
        <v>53</v>
      </c>
      <c r="L10215" s="21"/>
      <c r="M10215" s="21" t="s">
        <v>7038</v>
      </c>
      <c r="N10215" s="21" t="s">
        <v>40</v>
      </c>
      <c r="O10215" s="21">
        <v>24</v>
      </c>
      <c r="P10215" s="21"/>
      <c r="Q10215" s="21">
        <f t="shared" si="221"/>
        <v>1</v>
      </c>
      <c r="R10215" s="21">
        <v>1</v>
      </c>
      <c r="S10215" s="21">
        <v>0</v>
      </c>
      <c r="T10215" s="21">
        <v>0</v>
      </c>
      <c r="U10215" s="21">
        <v>1</v>
      </c>
      <c r="V10215" s="21">
        <v>0</v>
      </c>
      <c r="W10215" s="21">
        <v>0</v>
      </c>
      <c r="Y10215" s="21">
        <v>0</v>
      </c>
      <c r="Z10215" s="21">
        <v>0</v>
      </c>
      <c r="AA10215" s="21">
        <v>0</v>
      </c>
      <c r="AB10215" s="21">
        <v>0</v>
      </c>
      <c r="AC10215" s="21">
        <v>0</v>
      </c>
      <c r="AD10215" s="21">
        <v>0</v>
      </c>
      <c r="AE10215" s="21">
        <v>0</v>
      </c>
      <c r="AF10215" s="21">
        <v>0</v>
      </c>
      <c r="AG10215" s="21">
        <v>0</v>
      </c>
      <c r="AH10215" s="21">
        <f t="shared" si="220"/>
        <v>32</v>
      </c>
      <c r="AI10215" s="21"/>
      <c r="AJ10215" s="21" t="s">
        <v>51</v>
      </c>
      <c r="AK10215" s="21" t="s">
        <v>52</v>
      </c>
      <c r="AL10215" s="21"/>
      <c r="AM10215" s="21" t="s">
        <v>8074</v>
      </c>
      <c r="AN10215" s="21">
        <v>-122.416604116667</v>
      </c>
      <c r="AO10215" s="21">
        <v>37.787350083333301</v>
      </c>
      <c r="AP10215" s="21" t="s">
        <v>116</v>
      </c>
    </row>
    <row r="10216" spans="1:42">
      <c r="A10216" s="20">
        <v>43892</v>
      </c>
      <c r="B10216" s="21">
        <v>1</v>
      </c>
      <c r="C10216" s="21">
        <v>313</v>
      </c>
      <c r="D10216" s="21">
        <v>14384</v>
      </c>
      <c r="E10216" t="s">
        <v>112</v>
      </c>
      <c r="F10216" s="21" t="s">
        <v>38</v>
      </c>
      <c r="G10216" s="21">
        <v>4</v>
      </c>
      <c r="H10216" s="27">
        <v>69</v>
      </c>
      <c r="I10216" s="21" t="s">
        <v>3137</v>
      </c>
      <c r="J10216" s="21"/>
      <c r="K10216" s="21" t="s">
        <v>53</v>
      </c>
      <c r="L10216" s="21"/>
      <c r="M10216" s="21" t="s">
        <v>6618</v>
      </c>
      <c r="N10216" s="21" t="s">
        <v>40</v>
      </c>
      <c r="O10216" s="21">
        <v>36</v>
      </c>
      <c r="P10216" s="21"/>
      <c r="Q10216" s="21">
        <f t="shared" si="221"/>
        <v>1</v>
      </c>
      <c r="R10216" s="21">
        <v>1</v>
      </c>
      <c r="S10216" s="21">
        <v>0</v>
      </c>
      <c r="T10216" s="21">
        <v>0</v>
      </c>
      <c r="U10216" s="21">
        <v>1</v>
      </c>
      <c r="V10216" s="21">
        <v>0</v>
      </c>
      <c r="W10216" s="21">
        <v>0</v>
      </c>
      <c r="Y10216" s="21">
        <v>0</v>
      </c>
      <c r="Z10216" s="21">
        <v>0</v>
      </c>
      <c r="AA10216" s="21">
        <v>0</v>
      </c>
      <c r="AB10216" s="21">
        <v>0</v>
      </c>
      <c r="AC10216" s="21">
        <v>0</v>
      </c>
      <c r="AD10216" s="21">
        <v>0</v>
      </c>
      <c r="AE10216" s="21">
        <v>0</v>
      </c>
      <c r="AF10216" s="21">
        <v>0</v>
      </c>
      <c r="AG10216" s="21">
        <v>0</v>
      </c>
      <c r="AH10216" s="21">
        <f t="shared" si="220"/>
        <v>32</v>
      </c>
      <c r="AI10216" s="21"/>
      <c r="AJ10216" s="21" t="s">
        <v>51</v>
      </c>
      <c r="AK10216" s="21" t="s">
        <v>52</v>
      </c>
      <c r="AL10216" s="21"/>
      <c r="AM10216" s="21" t="s">
        <v>8075</v>
      </c>
      <c r="AN10216" s="21">
        <v>-122.415203866667</v>
      </c>
      <c r="AO10216" s="21">
        <v>37.787610450000003</v>
      </c>
      <c r="AP10216" s="21" t="s">
        <v>116</v>
      </c>
    </row>
    <row r="10217" spans="1:42">
      <c r="A10217" s="20">
        <v>43892</v>
      </c>
      <c r="B10217" s="21">
        <v>1</v>
      </c>
      <c r="C10217" s="21">
        <v>313</v>
      </c>
      <c r="D10217" s="21">
        <v>14384</v>
      </c>
      <c r="E10217" t="s">
        <v>112</v>
      </c>
      <c r="F10217" s="21" t="s">
        <v>38</v>
      </c>
      <c r="G10217" s="21">
        <v>4</v>
      </c>
      <c r="H10217" s="27">
        <v>70</v>
      </c>
      <c r="I10217" s="21" t="s">
        <v>7178</v>
      </c>
      <c r="J10217" s="21"/>
      <c r="K10217" s="21" t="s">
        <v>74</v>
      </c>
      <c r="L10217" s="21"/>
      <c r="M10217" s="21" t="s">
        <v>7038</v>
      </c>
      <c r="N10217" s="21" t="s">
        <v>40</v>
      </c>
      <c r="O10217" s="21">
        <v>47</v>
      </c>
      <c r="P10217" s="21"/>
      <c r="Q10217" s="21">
        <f t="shared" si="221"/>
        <v>1</v>
      </c>
      <c r="R10217" s="21">
        <v>1</v>
      </c>
      <c r="S10217" s="21">
        <v>0</v>
      </c>
      <c r="T10217" s="21">
        <v>0</v>
      </c>
      <c r="U10217" s="21">
        <v>0</v>
      </c>
      <c r="V10217" s="21">
        <v>1</v>
      </c>
      <c r="W10217" s="21">
        <v>0</v>
      </c>
      <c r="Y10217" s="21">
        <v>0</v>
      </c>
      <c r="Z10217" s="21">
        <v>0</v>
      </c>
      <c r="AA10217" s="21">
        <v>0</v>
      </c>
      <c r="AB10217" s="21">
        <v>0</v>
      </c>
      <c r="AC10217" s="21">
        <v>0</v>
      </c>
      <c r="AD10217" s="21">
        <v>0</v>
      </c>
      <c r="AE10217" s="21">
        <v>0</v>
      </c>
      <c r="AF10217" s="21">
        <v>0</v>
      </c>
      <c r="AG10217" s="21">
        <v>0</v>
      </c>
      <c r="AH10217" s="21">
        <f t="shared" si="220"/>
        <v>64</v>
      </c>
      <c r="AI10217" s="21"/>
      <c r="AJ10217" s="21" t="s">
        <v>51</v>
      </c>
      <c r="AK10217" s="21" t="s">
        <v>52</v>
      </c>
      <c r="AL10217" s="21"/>
      <c r="AM10217" s="21" t="s">
        <v>8076</v>
      </c>
      <c r="AN10217" s="21">
        <v>-122.41679125</v>
      </c>
      <c r="AO10217" s="21">
        <v>37.786287083333299</v>
      </c>
      <c r="AP10217" s="21" t="s">
        <v>116</v>
      </c>
    </row>
    <row r="10218" spans="1:42">
      <c r="A10218" s="20">
        <v>43892</v>
      </c>
      <c r="B10218" s="21">
        <v>1</v>
      </c>
      <c r="C10218" s="21">
        <v>313</v>
      </c>
      <c r="D10218" s="21">
        <v>14384</v>
      </c>
      <c r="E10218" t="s">
        <v>112</v>
      </c>
      <c r="F10218" s="21" t="s">
        <v>38</v>
      </c>
      <c r="G10218" s="21">
        <v>4</v>
      </c>
      <c r="H10218" s="27">
        <v>71</v>
      </c>
      <c r="I10218" s="21" t="s">
        <v>8077</v>
      </c>
      <c r="J10218" s="21"/>
      <c r="K10218" s="21" t="s">
        <v>74</v>
      </c>
      <c r="L10218" s="21"/>
      <c r="M10218" s="21" t="s">
        <v>6618</v>
      </c>
      <c r="N10218" s="21" t="s">
        <v>40</v>
      </c>
      <c r="O10218" s="21">
        <v>43</v>
      </c>
      <c r="P10218" s="21"/>
      <c r="Q10218" s="21">
        <f t="shared" si="221"/>
        <v>1</v>
      </c>
      <c r="R10218" s="21">
        <v>1</v>
      </c>
      <c r="S10218" s="21">
        <v>0</v>
      </c>
      <c r="T10218" s="21">
        <v>0</v>
      </c>
      <c r="U10218" s="21">
        <v>1</v>
      </c>
      <c r="V10218" s="21">
        <v>0</v>
      </c>
      <c r="W10218" s="21">
        <v>0</v>
      </c>
      <c r="Y10218" s="21">
        <v>0</v>
      </c>
      <c r="Z10218" s="21">
        <v>0</v>
      </c>
      <c r="AA10218" s="21">
        <v>0</v>
      </c>
      <c r="AB10218" s="21">
        <v>0</v>
      </c>
      <c r="AC10218" s="21">
        <v>0</v>
      </c>
      <c r="AD10218" s="21">
        <v>0</v>
      </c>
      <c r="AE10218" s="21">
        <v>0</v>
      </c>
      <c r="AF10218" s="21">
        <v>0</v>
      </c>
      <c r="AG10218" s="21">
        <v>0</v>
      </c>
      <c r="AH10218" s="21">
        <f t="shared" si="220"/>
        <v>32</v>
      </c>
      <c r="AI10218" s="21"/>
      <c r="AJ10218" s="21" t="s">
        <v>51</v>
      </c>
      <c r="AK10218" s="21" t="s">
        <v>52</v>
      </c>
      <c r="AL10218" s="21"/>
      <c r="AM10218" s="21" t="s">
        <v>8078</v>
      </c>
      <c r="AN10218" s="21">
        <v>-122.416749583333</v>
      </c>
      <c r="AO10218" s="21">
        <v>37.786212216666698</v>
      </c>
      <c r="AP10218" s="21" t="s">
        <v>116</v>
      </c>
    </row>
    <row r="10219" spans="1:42">
      <c r="A10219" s="20">
        <v>43892</v>
      </c>
      <c r="B10219" s="21">
        <v>1</v>
      </c>
      <c r="C10219" s="21">
        <v>313</v>
      </c>
      <c r="D10219" s="21">
        <v>14384</v>
      </c>
      <c r="E10219" t="s">
        <v>112</v>
      </c>
      <c r="F10219" s="21" t="s">
        <v>38</v>
      </c>
      <c r="G10219" s="21">
        <v>4</v>
      </c>
      <c r="H10219" s="27">
        <v>72</v>
      </c>
      <c r="I10219" s="21" t="s">
        <v>7123</v>
      </c>
      <c r="J10219" s="21"/>
      <c r="K10219" s="21" t="s">
        <v>74</v>
      </c>
      <c r="L10219" s="21"/>
      <c r="M10219" s="21" t="s">
        <v>6618</v>
      </c>
      <c r="N10219" s="21" t="s">
        <v>40</v>
      </c>
      <c r="O10219" s="21">
        <v>51</v>
      </c>
      <c r="P10219" s="21"/>
      <c r="Q10219" s="21">
        <f t="shared" si="221"/>
        <v>1</v>
      </c>
      <c r="R10219" s="21">
        <v>1</v>
      </c>
      <c r="S10219" s="21">
        <v>0</v>
      </c>
      <c r="T10219" s="21">
        <v>0</v>
      </c>
      <c r="U10219" s="21">
        <v>1</v>
      </c>
      <c r="V10219" s="21">
        <v>0</v>
      </c>
      <c r="W10219" s="21">
        <v>0</v>
      </c>
      <c r="Y10219" s="21">
        <v>0</v>
      </c>
      <c r="Z10219" s="21">
        <v>0</v>
      </c>
      <c r="AA10219" s="21">
        <v>0</v>
      </c>
      <c r="AB10219" s="21">
        <v>0</v>
      </c>
      <c r="AC10219" s="21">
        <v>0</v>
      </c>
      <c r="AD10219" s="21">
        <v>0</v>
      </c>
      <c r="AE10219" s="21">
        <v>0</v>
      </c>
      <c r="AF10219" s="21">
        <v>0</v>
      </c>
      <c r="AG10219" s="21">
        <v>0</v>
      </c>
      <c r="AH10219" s="21">
        <f t="shared" si="220"/>
        <v>32</v>
      </c>
      <c r="AI10219" s="21"/>
      <c r="AJ10219" s="21" t="s">
        <v>51</v>
      </c>
      <c r="AK10219" s="21" t="s">
        <v>52</v>
      </c>
      <c r="AL10219" s="21"/>
      <c r="AM10219" s="21" t="s">
        <v>8079</v>
      </c>
      <c r="AN10219" s="21">
        <v>-122.41757743333299</v>
      </c>
      <c r="AO10219" s="21">
        <v>37.786176083333302</v>
      </c>
      <c r="AP10219" s="21" t="s">
        <v>116</v>
      </c>
    </row>
    <row r="10220" spans="1:42">
      <c r="A10220" s="20">
        <v>43892</v>
      </c>
      <c r="B10220" s="21">
        <v>1</v>
      </c>
      <c r="C10220" s="21">
        <v>313</v>
      </c>
      <c r="D10220" s="21">
        <v>14384</v>
      </c>
      <c r="E10220" t="s">
        <v>112</v>
      </c>
      <c r="F10220" s="21" t="s">
        <v>38</v>
      </c>
      <c r="G10220" s="21">
        <v>4</v>
      </c>
      <c r="H10220" s="27">
        <v>73</v>
      </c>
      <c r="I10220" s="21" t="s">
        <v>8080</v>
      </c>
      <c r="J10220" s="21"/>
      <c r="K10220" s="21" t="s">
        <v>74</v>
      </c>
      <c r="L10220" s="21"/>
      <c r="M10220" s="21" t="s">
        <v>7038</v>
      </c>
      <c r="N10220" s="21" t="s">
        <v>40</v>
      </c>
      <c r="O10220" s="21">
        <v>63</v>
      </c>
      <c r="P10220" s="21"/>
      <c r="Q10220" s="21">
        <f t="shared" si="221"/>
        <v>1</v>
      </c>
      <c r="R10220" s="21">
        <v>1</v>
      </c>
      <c r="S10220" s="21">
        <v>0</v>
      </c>
      <c r="T10220" s="21">
        <v>0</v>
      </c>
      <c r="U10220" s="21">
        <v>0</v>
      </c>
      <c r="V10220" s="21">
        <v>1</v>
      </c>
      <c r="W10220" s="21">
        <v>0</v>
      </c>
      <c r="Y10220" s="21">
        <v>0</v>
      </c>
      <c r="Z10220" s="21">
        <v>0</v>
      </c>
      <c r="AA10220" s="21">
        <v>0</v>
      </c>
      <c r="AB10220" s="21">
        <v>0</v>
      </c>
      <c r="AC10220" s="21">
        <v>0</v>
      </c>
      <c r="AD10220" s="21">
        <v>0</v>
      </c>
      <c r="AE10220" s="21">
        <v>0</v>
      </c>
      <c r="AF10220" s="21">
        <v>0</v>
      </c>
      <c r="AG10220" s="21">
        <v>0</v>
      </c>
      <c r="AH10220" s="21">
        <f t="shared" si="220"/>
        <v>64</v>
      </c>
      <c r="AI10220" s="21"/>
      <c r="AJ10220" s="21" t="s">
        <v>51</v>
      </c>
      <c r="AK10220" s="21" t="s">
        <v>95</v>
      </c>
      <c r="AL10220" s="21"/>
      <c r="AM10220" s="21" t="s">
        <v>8081</v>
      </c>
      <c r="AN10220" s="21">
        <v>-122.41769960000001</v>
      </c>
      <c r="AO10220" s="21">
        <v>37.786261766666598</v>
      </c>
      <c r="AP10220" s="21" t="s">
        <v>116</v>
      </c>
    </row>
    <row r="10221" spans="1:42">
      <c r="A10221" s="20">
        <v>43892</v>
      </c>
      <c r="B10221" s="21">
        <v>1</v>
      </c>
      <c r="C10221" s="21">
        <v>313</v>
      </c>
      <c r="D10221" s="21">
        <v>14384</v>
      </c>
      <c r="E10221" t="s">
        <v>112</v>
      </c>
      <c r="F10221" s="21" t="s">
        <v>38</v>
      </c>
      <c r="G10221" s="21">
        <v>4</v>
      </c>
      <c r="H10221" s="27">
        <v>74</v>
      </c>
      <c r="I10221" s="21" t="s">
        <v>8082</v>
      </c>
      <c r="J10221" s="21"/>
      <c r="K10221" s="21" t="s">
        <v>74</v>
      </c>
      <c r="L10221" s="21"/>
      <c r="M10221" s="21" t="s">
        <v>6618</v>
      </c>
      <c r="N10221" s="21" t="s">
        <v>40</v>
      </c>
      <c r="O10221" s="21">
        <v>54</v>
      </c>
      <c r="P10221" s="21"/>
      <c r="Q10221" s="21">
        <f t="shared" si="221"/>
        <v>1</v>
      </c>
      <c r="R10221" s="21">
        <v>1</v>
      </c>
      <c r="S10221" s="21">
        <v>0</v>
      </c>
      <c r="T10221" s="21">
        <v>0</v>
      </c>
      <c r="U10221" s="21">
        <v>0</v>
      </c>
      <c r="V10221" s="21">
        <v>1</v>
      </c>
      <c r="W10221" s="21">
        <v>0</v>
      </c>
      <c r="Y10221" s="21">
        <v>0</v>
      </c>
      <c r="Z10221" s="21">
        <v>0</v>
      </c>
      <c r="AA10221" s="21">
        <v>0</v>
      </c>
      <c r="AB10221" s="21">
        <v>0</v>
      </c>
      <c r="AC10221" s="21">
        <v>0</v>
      </c>
      <c r="AD10221" s="21">
        <v>0</v>
      </c>
      <c r="AE10221" s="21">
        <v>0</v>
      </c>
      <c r="AF10221" s="21">
        <v>0</v>
      </c>
      <c r="AG10221" s="21">
        <v>0</v>
      </c>
      <c r="AH10221" s="21">
        <f t="shared" si="220"/>
        <v>64</v>
      </c>
      <c r="AI10221" s="21"/>
      <c r="AJ10221" s="21" t="s">
        <v>51</v>
      </c>
      <c r="AK10221" s="21" t="s">
        <v>52</v>
      </c>
      <c r="AL10221" s="21"/>
      <c r="AM10221" s="21" t="s">
        <v>8083</v>
      </c>
      <c r="AN10221" s="21">
        <v>-122.41780008333301</v>
      </c>
      <c r="AO10221" s="21">
        <v>37.786184566666698</v>
      </c>
      <c r="AP10221" s="21" t="s">
        <v>116</v>
      </c>
    </row>
    <row r="10222" spans="1:42">
      <c r="A10222" s="20">
        <v>43892</v>
      </c>
      <c r="B10222" s="21">
        <v>1</v>
      </c>
      <c r="C10222" s="21">
        <v>313</v>
      </c>
      <c r="D10222" s="21">
        <v>14384</v>
      </c>
      <c r="E10222" t="s">
        <v>112</v>
      </c>
      <c r="F10222" s="21" t="s">
        <v>38</v>
      </c>
      <c r="G10222" s="21">
        <v>4</v>
      </c>
      <c r="H10222" s="27">
        <v>75</v>
      </c>
      <c r="I10222" s="21" t="s">
        <v>4163</v>
      </c>
      <c r="J10222" s="21"/>
      <c r="K10222" s="21" t="s">
        <v>74</v>
      </c>
      <c r="L10222" s="21"/>
      <c r="M10222" s="21" t="s">
        <v>7038</v>
      </c>
      <c r="N10222" s="21" t="s">
        <v>40</v>
      </c>
      <c r="O10222" s="21">
        <v>47</v>
      </c>
      <c r="P10222" s="21"/>
      <c r="Q10222" s="21">
        <f t="shared" si="221"/>
        <v>1</v>
      </c>
      <c r="R10222" s="21">
        <v>1</v>
      </c>
      <c r="S10222" s="21">
        <v>0</v>
      </c>
      <c r="T10222" s="21">
        <v>0</v>
      </c>
      <c r="U10222" s="21">
        <v>1</v>
      </c>
      <c r="V10222" s="21">
        <v>0</v>
      </c>
      <c r="W10222" s="21">
        <v>0</v>
      </c>
      <c r="Y10222" s="21">
        <v>0</v>
      </c>
      <c r="Z10222" s="21">
        <v>0</v>
      </c>
      <c r="AA10222" s="21">
        <v>0</v>
      </c>
      <c r="AB10222" s="21">
        <v>0</v>
      </c>
      <c r="AC10222" s="21">
        <v>0</v>
      </c>
      <c r="AD10222" s="21">
        <v>0</v>
      </c>
      <c r="AE10222" s="21">
        <v>0</v>
      </c>
      <c r="AF10222" s="21">
        <v>0</v>
      </c>
      <c r="AG10222" s="21">
        <v>0</v>
      </c>
      <c r="AH10222" s="21">
        <f t="shared" si="220"/>
        <v>32</v>
      </c>
      <c r="AI10222" s="21"/>
      <c r="AJ10222" s="21" t="s">
        <v>51</v>
      </c>
      <c r="AK10222" s="21" t="s">
        <v>95</v>
      </c>
      <c r="AL10222" s="21"/>
      <c r="AM10222" s="21" t="s">
        <v>8084</v>
      </c>
      <c r="AN10222" s="21">
        <v>-122.41834943333301</v>
      </c>
      <c r="AO10222" s="21">
        <v>37.786101816666701</v>
      </c>
      <c r="AP10222" s="21" t="s">
        <v>116</v>
      </c>
    </row>
    <row r="10223" spans="1:42">
      <c r="A10223" s="20">
        <v>43892</v>
      </c>
      <c r="B10223" s="21">
        <v>1</v>
      </c>
      <c r="C10223" s="21">
        <v>313</v>
      </c>
      <c r="D10223" s="21">
        <v>14384</v>
      </c>
      <c r="E10223" t="s">
        <v>112</v>
      </c>
      <c r="F10223" s="21" t="s">
        <v>38</v>
      </c>
      <c r="G10223" s="21">
        <v>4</v>
      </c>
      <c r="H10223" s="27">
        <v>76</v>
      </c>
      <c r="I10223" s="21" t="s">
        <v>8085</v>
      </c>
      <c r="J10223" s="21"/>
      <c r="K10223" s="21" t="s">
        <v>8086</v>
      </c>
      <c r="L10223" s="21"/>
      <c r="M10223" s="21" t="s">
        <v>7038</v>
      </c>
      <c r="N10223" s="21" t="s">
        <v>40</v>
      </c>
      <c r="O10223" s="21">
        <v>45</v>
      </c>
      <c r="P10223" s="21"/>
      <c r="Q10223" s="21">
        <f t="shared" si="221"/>
        <v>1</v>
      </c>
      <c r="R10223" s="21">
        <v>1</v>
      </c>
      <c r="S10223" s="21">
        <v>0</v>
      </c>
      <c r="T10223" s="21">
        <v>0</v>
      </c>
      <c r="U10223" s="21">
        <v>0</v>
      </c>
      <c r="V10223" s="21">
        <v>1</v>
      </c>
      <c r="W10223" s="21">
        <v>0</v>
      </c>
      <c r="Y10223" s="21">
        <v>0</v>
      </c>
      <c r="Z10223" s="21">
        <v>0</v>
      </c>
      <c r="AA10223" s="21">
        <v>0</v>
      </c>
      <c r="AB10223" s="21">
        <v>0</v>
      </c>
      <c r="AC10223" s="21">
        <v>0</v>
      </c>
      <c r="AD10223" s="21">
        <v>0</v>
      </c>
      <c r="AE10223" s="21">
        <v>0</v>
      </c>
      <c r="AF10223" s="21">
        <v>0</v>
      </c>
      <c r="AG10223" s="21">
        <v>0</v>
      </c>
      <c r="AH10223" s="21">
        <f t="shared" si="220"/>
        <v>64</v>
      </c>
      <c r="AI10223" s="21"/>
      <c r="AJ10223" s="21" t="s">
        <v>51</v>
      </c>
      <c r="AK10223" s="21" t="s">
        <v>95</v>
      </c>
      <c r="AL10223" s="21"/>
      <c r="AM10223" s="21" t="s">
        <v>8087</v>
      </c>
      <c r="AN10223" s="21">
        <v>-122.417438166667</v>
      </c>
      <c r="AO10223" s="21">
        <v>37.785231666666597</v>
      </c>
      <c r="AP10223" s="21" t="s">
        <v>116</v>
      </c>
    </row>
    <row r="10224" spans="1:42">
      <c r="A10224" s="20">
        <v>43892</v>
      </c>
      <c r="B10224" s="21">
        <v>1</v>
      </c>
      <c r="C10224" s="21">
        <v>313</v>
      </c>
      <c r="D10224" s="21">
        <v>14384</v>
      </c>
      <c r="E10224" t="s">
        <v>112</v>
      </c>
      <c r="F10224" s="21" t="s">
        <v>38</v>
      </c>
      <c r="G10224" s="21">
        <v>4</v>
      </c>
      <c r="H10224" s="27">
        <v>77</v>
      </c>
      <c r="I10224" s="21" t="s">
        <v>3559</v>
      </c>
      <c r="J10224" s="21"/>
      <c r="K10224" s="21" t="s">
        <v>8086</v>
      </c>
      <c r="L10224" s="21"/>
      <c r="M10224" s="21" t="s">
        <v>7038</v>
      </c>
      <c r="N10224" s="21" t="s">
        <v>40</v>
      </c>
      <c r="O10224" s="21">
        <v>98</v>
      </c>
      <c r="P10224" s="21"/>
      <c r="Q10224" s="21">
        <f t="shared" si="221"/>
        <v>3</v>
      </c>
      <c r="R10224" s="21">
        <v>1</v>
      </c>
      <c r="S10224" s="21">
        <v>0</v>
      </c>
      <c r="T10224" s="21">
        <v>0</v>
      </c>
      <c r="U10224" s="21">
        <v>1</v>
      </c>
      <c r="V10224" s="21">
        <v>2</v>
      </c>
      <c r="W10224" s="21">
        <v>0</v>
      </c>
      <c r="Y10224" s="21">
        <v>0</v>
      </c>
      <c r="Z10224" s="21">
        <v>0</v>
      </c>
      <c r="AA10224" s="21">
        <v>0</v>
      </c>
      <c r="AB10224" s="21">
        <v>0</v>
      </c>
      <c r="AC10224" s="21">
        <v>0</v>
      </c>
      <c r="AD10224" s="21">
        <v>0</v>
      </c>
      <c r="AE10224" s="21">
        <v>0</v>
      </c>
      <c r="AF10224" s="21">
        <v>0</v>
      </c>
      <c r="AG10224" s="21">
        <v>0</v>
      </c>
      <c r="AH10224" s="21">
        <f t="shared" si="220"/>
        <v>160</v>
      </c>
      <c r="AI10224" s="21"/>
      <c r="AJ10224" s="21" t="s">
        <v>51</v>
      </c>
      <c r="AK10224" s="21" t="s">
        <v>52</v>
      </c>
      <c r="AL10224" s="21" t="s">
        <v>8088</v>
      </c>
      <c r="AM10224" s="21" t="s">
        <v>8089</v>
      </c>
      <c r="AN10224" s="21">
        <v>-122.41539186666699</v>
      </c>
      <c r="AO10224" s="21">
        <v>37.785455016666702</v>
      </c>
      <c r="AP10224" s="21" t="s">
        <v>116</v>
      </c>
    </row>
    <row r="10225" spans="1:42">
      <c r="A10225" s="20">
        <v>43892</v>
      </c>
      <c r="B10225" s="21">
        <v>1</v>
      </c>
      <c r="C10225" s="21">
        <v>313</v>
      </c>
      <c r="D10225" s="21">
        <v>14384</v>
      </c>
      <c r="E10225" t="s">
        <v>112</v>
      </c>
      <c r="F10225" s="21" t="s">
        <v>38</v>
      </c>
      <c r="G10225" s="21">
        <v>4</v>
      </c>
      <c r="H10225" s="27">
        <v>78</v>
      </c>
      <c r="I10225" s="21" t="s">
        <v>8090</v>
      </c>
      <c r="J10225" s="21"/>
      <c r="K10225" s="21" t="s">
        <v>8086</v>
      </c>
      <c r="L10225" s="21"/>
      <c r="M10225" s="21" t="s">
        <v>7038</v>
      </c>
      <c r="N10225" s="21" t="s">
        <v>40</v>
      </c>
      <c r="O10225" s="21">
        <v>73</v>
      </c>
      <c r="P10225" s="21"/>
      <c r="Q10225" s="21">
        <f t="shared" si="221"/>
        <v>2</v>
      </c>
      <c r="R10225" s="21">
        <v>1</v>
      </c>
      <c r="S10225" s="21">
        <v>0</v>
      </c>
      <c r="T10225" s="21">
        <v>0</v>
      </c>
      <c r="U10225" s="21">
        <v>2</v>
      </c>
      <c r="V10225" s="21">
        <v>0</v>
      </c>
      <c r="W10225" s="21">
        <v>0</v>
      </c>
      <c r="Y10225" s="21">
        <v>0</v>
      </c>
      <c r="Z10225" s="21">
        <v>0</v>
      </c>
      <c r="AA10225" s="21">
        <v>0</v>
      </c>
      <c r="AB10225" s="21">
        <v>0</v>
      </c>
      <c r="AC10225" s="21">
        <v>0</v>
      </c>
      <c r="AD10225" s="21">
        <v>0</v>
      </c>
      <c r="AE10225" s="21">
        <v>0</v>
      </c>
      <c r="AF10225" s="21">
        <v>0</v>
      </c>
      <c r="AG10225" s="21">
        <v>0</v>
      </c>
      <c r="AH10225" s="21">
        <f t="shared" si="220"/>
        <v>64</v>
      </c>
      <c r="AI10225" s="21"/>
      <c r="AJ10225" s="21" t="s">
        <v>51</v>
      </c>
      <c r="AK10225" s="21" t="s">
        <v>52</v>
      </c>
      <c r="AL10225" s="21" t="s">
        <v>8091</v>
      </c>
      <c r="AM10225" s="21" t="s">
        <v>8092</v>
      </c>
      <c r="AN10225" s="21">
        <v>-122.415111716667</v>
      </c>
      <c r="AO10225" s="21">
        <v>37.785510333333299</v>
      </c>
      <c r="AP10225" s="21" t="s">
        <v>116</v>
      </c>
    </row>
    <row r="10226" spans="1:42">
      <c r="A10226" s="20">
        <v>43892</v>
      </c>
      <c r="B10226" s="21">
        <v>1</v>
      </c>
      <c r="C10226" s="21">
        <v>313</v>
      </c>
      <c r="D10226" s="21">
        <v>14384</v>
      </c>
      <c r="E10226" t="s">
        <v>112</v>
      </c>
      <c r="F10226" s="21" t="s">
        <v>38</v>
      </c>
      <c r="G10226" s="21">
        <v>4</v>
      </c>
      <c r="H10226" s="27">
        <v>79</v>
      </c>
      <c r="I10226" s="21" t="s">
        <v>7094</v>
      </c>
      <c r="J10226" s="21"/>
      <c r="K10226" s="21" t="s">
        <v>69</v>
      </c>
      <c r="L10226" s="21"/>
      <c r="M10226" s="21" t="s">
        <v>7038</v>
      </c>
      <c r="N10226" s="21" t="s">
        <v>44</v>
      </c>
      <c r="O10226" s="21">
        <v>100</v>
      </c>
      <c r="P10226" s="21"/>
      <c r="Q10226" s="21">
        <f t="shared" si="221"/>
        <v>2</v>
      </c>
      <c r="R10226" s="21">
        <v>1</v>
      </c>
      <c r="S10226" s="21">
        <v>0</v>
      </c>
      <c r="T10226" s="21">
        <v>0</v>
      </c>
      <c r="U10226" s="21">
        <v>0</v>
      </c>
      <c r="V10226" s="21">
        <v>2</v>
      </c>
      <c r="W10226" s="21">
        <v>0</v>
      </c>
      <c r="Y10226" s="21">
        <v>0</v>
      </c>
      <c r="Z10226" s="21">
        <v>0</v>
      </c>
      <c r="AA10226" s="21">
        <v>0</v>
      </c>
      <c r="AB10226" s="21">
        <v>0</v>
      </c>
      <c r="AC10226" s="21">
        <v>0</v>
      </c>
      <c r="AD10226" s="21">
        <v>0</v>
      </c>
      <c r="AE10226" s="21">
        <v>0</v>
      </c>
      <c r="AF10226" s="21">
        <v>0</v>
      </c>
      <c r="AG10226" s="21">
        <v>0</v>
      </c>
      <c r="AH10226" s="21">
        <f t="shared" si="220"/>
        <v>128</v>
      </c>
      <c r="AI10226" s="21"/>
      <c r="AJ10226" s="21" t="s">
        <v>54</v>
      </c>
      <c r="AK10226" s="21" t="s">
        <v>95</v>
      </c>
      <c r="AL10226" s="21" t="s">
        <v>8093</v>
      </c>
      <c r="AM10226" s="21" t="s">
        <v>8094</v>
      </c>
      <c r="AN10226" s="21">
        <v>-122.40660491666701</v>
      </c>
      <c r="AO10226" s="21">
        <v>37.791546633333297</v>
      </c>
      <c r="AP10226" s="21" t="s">
        <v>116</v>
      </c>
    </row>
    <row r="10227" spans="1:42">
      <c r="A10227" s="20">
        <v>43892</v>
      </c>
      <c r="B10227" s="21">
        <v>1</v>
      </c>
      <c r="C10227" s="21">
        <v>313</v>
      </c>
      <c r="D10227" s="21">
        <v>14384</v>
      </c>
      <c r="E10227" t="s">
        <v>112</v>
      </c>
      <c r="F10227" s="21" t="s">
        <v>38</v>
      </c>
      <c r="G10227" s="21">
        <v>4</v>
      </c>
      <c r="H10227" s="27">
        <v>80</v>
      </c>
      <c r="I10227" s="21" t="s">
        <v>7104</v>
      </c>
      <c r="J10227" s="21"/>
      <c r="K10227" s="21" t="s">
        <v>69</v>
      </c>
      <c r="L10227" s="21"/>
      <c r="M10227" s="21" t="s">
        <v>7038</v>
      </c>
      <c r="N10227" s="21" t="s">
        <v>44</v>
      </c>
      <c r="O10227" s="21">
        <v>40</v>
      </c>
      <c r="P10227" s="21"/>
      <c r="Q10227" s="21">
        <f t="shared" si="221"/>
        <v>0</v>
      </c>
      <c r="R10227" s="21">
        <v>1</v>
      </c>
      <c r="S10227" s="21">
        <v>0</v>
      </c>
      <c r="T10227" s="21">
        <v>0</v>
      </c>
      <c r="U10227" s="21">
        <v>0</v>
      </c>
      <c r="V10227" s="21">
        <v>0</v>
      </c>
      <c r="W10227" s="21">
        <v>0</v>
      </c>
      <c r="Y10227" s="21">
        <v>0</v>
      </c>
      <c r="Z10227" s="21">
        <v>0</v>
      </c>
      <c r="AA10227" s="21">
        <v>0</v>
      </c>
      <c r="AB10227" s="21">
        <v>0</v>
      </c>
      <c r="AC10227" s="21">
        <v>0</v>
      </c>
      <c r="AD10227" s="21">
        <v>0</v>
      </c>
      <c r="AE10227" s="21">
        <v>0</v>
      </c>
      <c r="AF10227" s="21">
        <v>0</v>
      </c>
      <c r="AG10227" s="21">
        <v>0</v>
      </c>
      <c r="AH10227" s="21">
        <f t="shared" si="220"/>
        <v>0</v>
      </c>
      <c r="AI10227" s="21"/>
      <c r="AJ10227" s="21" t="s">
        <v>54</v>
      </c>
      <c r="AK10227" s="21" t="s">
        <v>52</v>
      </c>
      <c r="AL10227" s="21" t="s">
        <v>7222</v>
      </c>
      <c r="AM10227" s="21" t="s">
        <v>8095</v>
      </c>
      <c r="AN10227" s="21">
        <v>-122.40695465</v>
      </c>
      <c r="AO10227" s="21">
        <v>37.791417866666698</v>
      </c>
      <c r="AP10227" s="21" t="s">
        <v>116</v>
      </c>
    </row>
    <row r="10228" spans="1:42">
      <c r="A10228" s="20">
        <v>43892</v>
      </c>
      <c r="B10228" s="21">
        <v>1</v>
      </c>
      <c r="C10228" s="21">
        <v>313</v>
      </c>
      <c r="D10228" s="21">
        <v>14384</v>
      </c>
      <c r="E10228" t="s">
        <v>112</v>
      </c>
      <c r="F10228" s="21" t="s">
        <v>38</v>
      </c>
      <c r="G10228" s="21">
        <v>4</v>
      </c>
      <c r="H10228" s="27">
        <v>81</v>
      </c>
      <c r="I10228" s="21" t="s">
        <v>8096</v>
      </c>
      <c r="J10228" s="21"/>
      <c r="K10228" s="21" t="s">
        <v>69</v>
      </c>
      <c r="L10228" s="21"/>
      <c r="M10228" s="21" t="s">
        <v>7038</v>
      </c>
      <c r="N10228" s="21" t="s">
        <v>44</v>
      </c>
      <c r="O10228" s="21">
        <v>132</v>
      </c>
      <c r="P10228" s="21"/>
      <c r="Q10228" s="21">
        <f t="shared" si="221"/>
        <v>1</v>
      </c>
      <c r="R10228" s="21">
        <v>1</v>
      </c>
      <c r="S10228" s="21">
        <v>0</v>
      </c>
      <c r="T10228" s="21">
        <v>0</v>
      </c>
      <c r="U10228" s="21">
        <v>1</v>
      </c>
      <c r="V10228" s="21">
        <v>0</v>
      </c>
      <c r="W10228" s="21">
        <v>0</v>
      </c>
      <c r="Y10228" s="21">
        <v>0</v>
      </c>
      <c r="Z10228" s="21">
        <v>0</v>
      </c>
      <c r="AA10228" s="21">
        <v>0</v>
      </c>
      <c r="AB10228" s="21">
        <v>0</v>
      </c>
      <c r="AC10228" s="21">
        <v>0</v>
      </c>
      <c r="AD10228" s="21">
        <v>0</v>
      </c>
      <c r="AE10228" s="21">
        <v>0</v>
      </c>
      <c r="AF10228" s="21">
        <v>0</v>
      </c>
      <c r="AG10228" s="21">
        <v>0</v>
      </c>
      <c r="AH10228" s="21">
        <f t="shared" si="220"/>
        <v>32</v>
      </c>
      <c r="AI10228" s="21"/>
      <c r="AJ10228" s="21" t="s">
        <v>51</v>
      </c>
      <c r="AK10228" s="21" t="s">
        <v>52</v>
      </c>
      <c r="AL10228" s="21" t="s">
        <v>8097</v>
      </c>
      <c r="AM10228" s="21" t="s">
        <v>8098</v>
      </c>
      <c r="AN10228" s="21">
        <v>-122.407724683333</v>
      </c>
      <c r="AO10228" s="21">
        <v>37.7912553166667</v>
      </c>
      <c r="AP10228" s="21" t="s">
        <v>116</v>
      </c>
    </row>
    <row r="10229" spans="1:42">
      <c r="A10229" s="20">
        <v>43892</v>
      </c>
      <c r="B10229" s="21">
        <v>1</v>
      </c>
      <c r="C10229" s="21">
        <v>313</v>
      </c>
      <c r="D10229" s="21">
        <v>14384</v>
      </c>
      <c r="E10229" t="s">
        <v>112</v>
      </c>
      <c r="F10229" s="21" t="s">
        <v>38</v>
      </c>
      <c r="G10229" s="21">
        <v>4</v>
      </c>
      <c r="H10229" s="27">
        <v>82</v>
      </c>
      <c r="I10229" s="21" t="s">
        <v>4324</v>
      </c>
      <c r="J10229" s="21"/>
      <c r="K10229" s="21" t="s">
        <v>69</v>
      </c>
      <c r="L10229" s="21"/>
      <c r="M10229" s="21" t="s">
        <v>7038</v>
      </c>
      <c r="N10229" s="21" t="s">
        <v>44</v>
      </c>
      <c r="O10229" s="21">
        <v>162</v>
      </c>
      <c r="P10229" s="21"/>
      <c r="Q10229" s="21">
        <f t="shared" si="221"/>
        <v>1</v>
      </c>
      <c r="R10229" s="21">
        <v>1</v>
      </c>
      <c r="S10229" s="21">
        <v>0</v>
      </c>
      <c r="T10229" s="21">
        <v>0</v>
      </c>
      <c r="U10229" s="21">
        <v>1</v>
      </c>
      <c r="V10229" s="21">
        <v>0</v>
      </c>
      <c r="W10229" s="21">
        <v>0</v>
      </c>
      <c r="Y10229" s="21">
        <v>0</v>
      </c>
      <c r="Z10229" s="21">
        <v>0</v>
      </c>
      <c r="AA10229" s="21">
        <v>0</v>
      </c>
      <c r="AB10229" s="21">
        <v>0</v>
      </c>
      <c r="AC10229" s="21">
        <v>0</v>
      </c>
      <c r="AD10229" s="21">
        <v>0</v>
      </c>
      <c r="AE10229" s="21">
        <v>0</v>
      </c>
      <c r="AF10229" s="21">
        <v>0</v>
      </c>
      <c r="AG10229" s="21">
        <v>0</v>
      </c>
      <c r="AH10229" s="21">
        <f t="shared" ref="AH10229:AH10292" si="222">(S10229*16)+(T10229*20)+(U10229*32)+(V10229*64)+(W10229*96)</f>
        <v>32</v>
      </c>
      <c r="AI10229" s="21"/>
      <c r="AJ10229" s="21" t="s">
        <v>51</v>
      </c>
      <c r="AK10229" s="21" t="s">
        <v>52</v>
      </c>
      <c r="AL10229" s="21" t="s">
        <v>8099</v>
      </c>
      <c r="AM10229" s="21" t="s">
        <v>8100</v>
      </c>
      <c r="AN10229" s="21">
        <v>-122.40844755000001</v>
      </c>
      <c r="AO10229" s="21">
        <v>37.791224833333303</v>
      </c>
      <c r="AP10229" s="21" t="s">
        <v>116</v>
      </c>
    </row>
    <row r="10230" spans="1:42">
      <c r="A10230" s="20">
        <v>43892</v>
      </c>
      <c r="B10230" s="21">
        <v>1</v>
      </c>
      <c r="C10230" s="21">
        <v>313</v>
      </c>
      <c r="D10230" s="21">
        <v>14384</v>
      </c>
      <c r="E10230" t="s">
        <v>112</v>
      </c>
      <c r="F10230" s="21" t="s">
        <v>38</v>
      </c>
      <c r="G10230" s="21">
        <v>4</v>
      </c>
      <c r="H10230" s="27">
        <v>83</v>
      </c>
      <c r="I10230" s="21" t="s">
        <v>7841</v>
      </c>
      <c r="J10230" s="21"/>
      <c r="K10230" s="21" t="s">
        <v>69</v>
      </c>
      <c r="L10230" s="21"/>
      <c r="M10230" s="21" t="s">
        <v>7038</v>
      </c>
      <c r="N10230" s="21" t="s">
        <v>44</v>
      </c>
      <c r="O10230" s="21">
        <v>90</v>
      </c>
      <c r="P10230" s="21"/>
      <c r="Q10230" s="21">
        <f t="shared" si="221"/>
        <v>1</v>
      </c>
      <c r="R10230" s="21">
        <v>1</v>
      </c>
      <c r="S10230" s="21">
        <v>0</v>
      </c>
      <c r="T10230" s="21">
        <v>0</v>
      </c>
      <c r="U10230" s="21">
        <v>0</v>
      </c>
      <c r="V10230" s="21">
        <v>1</v>
      </c>
      <c r="W10230" s="21">
        <v>0</v>
      </c>
      <c r="Y10230" s="21">
        <v>0</v>
      </c>
      <c r="Z10230" s="21">
        <v>0</v>
      </c>
      <c r="AA10230" s="21">
        <v>0</v>
      </c>
      <c r="AB10230" s="21">
        <v>0</v>
      </c>
      <c r="AC10230" s="21">
        <v>0</v>
      </c>
      <c r="AD10230" s="21">
        <v>0</v>
      </c>
      <c r="AE10230" s="21">
        <v>0</v>
      </c>
      <c r="AF10230" s="21">
        <v>0</v>
      </c>
      <c r="AG10230" s="21">
        <v>0</v>
      </c>
      <c r="AH10230" s="21">
        <f t="shared" si="222"/>
        <v>64</v>
      </c>
      <c r="AI10230" s="21"/>
      <c r="AJ10230" s="21" t="s">
        <v>51</v>
      </c>
      <c r="AK10230" s="21" t="s">
        <v>52</v>
      </c>
      <c r="AL10230" s="21" t="s">
        <v>8101</v>
      </c>
      <c r="AM10230" s="21" t="s">
        <v>8102</v>
      </c>
      <c r="AN10230" s="21">
        <v>-122.409598533333</v>
      </c>
      <c r="AO10230" s="21">
        <v>37.791094266666697</v>
      </c>
      <c r="AP10230" s="21" t="s">
        <v>116</v>
      </c>
    </row>
    <row r="10231" spans="1:42">
      <c r="A10231" s="20">
        <v>43892</v>
      </c>
      <c r="B10231" s="21">
        <v>1</v>
      </c>
      <c r="C10231" s="21">
        <v>313</v>
      </c>
      <c r="D10231" s="21">
        <v>14384</v>
      </c>
      <c r="E10231" t="s">
        <v>112</v>
      </c>
      <c r="F10231" s="21" t="s">
        <v>38</v>
      </c>
      <c r="G10231" s="21">
        <v>4</v>
      </c>
      <c r="H10231" s="27">
        <v>84</v>
      </c>
      <c r="I10231" s="21" t="s">
        <v>6048</v>
      </c>
      <c r="J10231" s="21"/>
      <c r="K10231" s="21" t="s">
        <v>69</v>
      </c>
      <c r="L10231" s="21"/>
      <c r="M10231" s="21" t="s">
        <v>7038</v>
      </c>
      <c r="N10231" s="21" t="s">
        <v>44</v>
      </c>
      <c r="O10231" s="21">
        <v>65</v>
      </c>
      <c r="P10231" s="21"/>
      <c r="Q10231" s="21">
        <f t="shared" si="221"/>
        <v>1</v>
      </c>
      <c r="R10231" s="21">
        <v>1</v>
      </c>
      <c r="S10231" s="21">
        <v>0</v>
      </c>
      <c r="T10231" s="21">
        <v>0</v>
      </c>
      <c r="U10231" s="21">
        <v>0</v>
      </c>
      <c r="V10231" s="21">
        <v>1</v>
      </c>
      <c r="W10231" s="21">
        <v>0</v>
      </c>
      <c r="Y10231" s="21">
        <v>0</v>
      </c>
      <c r="Z10231" s="21">
        <v>0</v>
      </c>
      <c r="AA10231" s="21">
        <v>0</v>
      </c>
      <c r="AB10231" s="21">
        <v>0</v>
      </c>
      <c r="AC10231" s="21">
        <v>0</v>
      </c>
      <c r="AD10231" s="21">
        <v>0</v>
      </c>
      <c r="AE10231" s="21">
        <v>0</v>
      </c>
      <c r="AF10231" s="21">
        <v>0</v>
      </c>
      <c r="AG10231" s="21">
        <v>0</v>
      </c>
      <c r="AH10231" s="21">
        <f t="shared" si="222"/>
        <v>64</v>
      </c>
      <c r="AI10231" s="21"/>
      <c r="AJ10231" s="21" t="s">
        <v>51</v>
      </c>
      <c r="AK10231" s="21" t="s">
        <v>52</v>
      </c>
      <c r="AL10231" s="21" t="s">
        <v>8101</v>
      </c>
      <c r="AM10231" s="21" t="s">
        <v>8103</v>
      </c>
      <c r="AN10231" s="21">
        <v>-122.409609683333</v>
      </c>
      <c r="AO10231" s="21">
        <v>37.791150733333303</v>
      </c>
      <c r="AP10231" s="21" t="s">
        <v>116</v>
      </c>
    </row>
    <row r="10232" spans="1:42">
      <c r="A10232" s="20">
        <v>43892</v>
      </c>
      <c r="B10232" s="21">
        <v>1</v>
      </c>
      <c r="C10232" s="21">
        <v>313</v>
      </c>
      <c r="D10232" s="21">
        <v>14384</v>
      </c>
      <c r="E10232" t="s">
        <v>112</v>
      </c>
      <c r="F10232" s="21" t="s">
        <v>38</v>
      </c>
      <c r="G10232" s="21">
        <v>4</v>
      </c>
      <c r="H10232" s="27">
        <v>85</v>
      </c>
      <c r="I10232" s="21" t="s">
        <v>8104</v>
      </c>
      <c r="J10232" s="21"/>
      <c r="K10232" s="21" t="s">
        <v>69</v>
      </c>
      <c r="L10232" s="21"/>
      <c r="M10232" s="21" t="s">
        <v>7038</v>
      </c>
      <c r="N10232" s="21" t="s">
        <v>44</v>
      </c>
      <c r="O10232" s="21">
        <v>105</v>
      </c>
      <c r="P10232" s="21"/>
      <c r="Q10232" s="21">
        <f t="shared" si="221"/>
        <v>1</v>
      </c>
      <c r="R10232" s="21">
        <v>1</v>
      </c>
      <c r="S10232" s="21">
        <v>0</v>
      </c>
      <c r="T10232" s="21">
        <v>0</v>
      </c>
      <c r="U10232" s="21">
        <v>0</v>
      </c>
      <c r="V10232" s="21">
        <v>1</v>
      </c>
      <c r="W10232" s="21">
        <v>0</v>
      </c>
      <c r="Y10232" s="21">
        <v>0</v>
      </c>
      <c r="Z10232" s="21">
        <v>0</v>
      </c>
      <c r="AA10232" s="21">
        <v>0</v>
      </c>
      <c r="AB10232" s="21">
        <v>0</v>
      </c>
      <c r="AC10232" s="21">
        <v>0</v>
      </c>
      <c r="AD10232" s="21">
        <v>0</v>
      </c>
      <c r="AE10232" s="21">
        <v>0</v>
      </c>
      <c r="AF10232" s="21">
        <v>0</v>
      </c>
      <c r="AG10232" s="21">
        <v>0</v>
      </c>
      <c r="AH10232" s="21">
        <f t="shared" si="222"/>
        <v>64</v>
      </c>
      <c r="AI10232" s="21"/>
      <c r="AJ10232" s="21" t="s">
        <v>51</v>
      </c>
      <c r="AK10232" s="21" t="s">
        <v>52</v>
      </c>
      <c r="AL10232" s="21" t="s">
        <v>8105</v>
      </c>
      <c r="AM10232" s="21" t="s">
        <v>8106</v>
      </c>
      <c r="AN10232" s="21">
        <v>-122.409673416667</v>
      </c>
      <c r="AO10232" s="21">
        <v>37.791044816666599</v>
      </c>
      <c r="AP10232" s="21" t="s">
        <v>116</v>
      </c>
    </row>
    <row r="10233" spans="1:42">
      <c r="A10233" s="20">
        <v>43892</v>
      </c>
      <c r="B10233" s="21">
        <v>1</v>
      </c>
      <c r="C10233" s="21">
        <v>313</v>
      </c>
      <c r="D10233" s="21">
        <v>14384</v>
      </c>
      <c r="E10233" t="s">
        <v>112</v>
      </c>
      <c r="F10233" s="21" t="s">
        <v>38</v>
      </c>
      <c r="G10233" s="21">
        <v>4</v>
      </c>
      <c r="H10233" s="27">
        <v>86</v>
      </c>
      <c r="I10233" s="21" t="s">
        <v>3123</v>
      </c>
      <c r="J10233" s="21"/>
      <c r="K10233" s="21" t="s">
        <v>69</v>
      </c>
      <c r="L10233" s="21"/>
      <c r="M10233" s="21" t="s">
        <v>7038</v>
      </c>
      <c r="N10233" s="21" t="s">
        <v>40</v>
      </c>
      <c r="O10233" s="21">
        <v>34</v>
      </c>
      <c r="P10233" s="21"/>
      <c r="Q10233" s="21">
        <f t="shared" si="221"/>
        <v>1</v>
      </c>
      <c r="R10233" s="21">
        <v>1</v>
      </c>
      <c r="S10233" s="21">
        <v>0</v>
      </c>
      <c r="T10233" s="21">
        <v>0</v>
      </c>
      <c r="U10233" s="21">
        <v>1</v>
      </c>
      <c r="V10233" s="21">
        <v>0</v>
      </c>
      <c r="W10233" s="21">
        <v>0</v>
      </c>
      <c r="Y10233" s="21">
        <v>0</v>
      </c>
      <c r="Z10233" s="21">
        <v>0</v>
      </c>
      <c r="AA10233" s="21">
        <v>0</v>
      </c>
      <c r="AB10233" s="21">
        <v>0</v>
      </c>
      <c r="AC10233" s="21">
        <v>0</v>
      </c>
      <c r="AD10233" s="21">
        <v>0</v>
      </c>
      <c r="AE10233" s="21">
        <v>0</v>
      </c>
      <c r="AF10233" s="21">
        <v>0</v>
      </c>
      <c r="AG10233" s="21">
        <v>0</v>
      </c>
      <c r="AH10233" s="21">
        <f t="shared" si="222"/>
        <v>32</v>
      </c>
      <c r="AI10233" s="21"/>
      <c r="AJ10233" s="21" t="s">
        <v>51</v>
      </c>
      <c r="AK10233" s="21" t="s">
        <v>95</v>
      </c>
      <c r="AL10233" s="21"/>
      <c r="AM10233" s="21" t="s">
        <v>8107</v>
      </c>
      <c r="AN10233" s="21">
        <v>-122.411070283333</v>
      </c>
      <c r="AO10233" s="21">
        <v>37.7909172833333</v>
      </c>
      <c r="AP10233" s="21" t="s">
        <v>116</v>
      </c>
    </row>
    <row r="10234" spans="1:42">
      <c r="A10234" s="20">
        <v>43892</v>
      </c>
      <c r="B10234" s="21">
        <v>1</v>
      </c>
      <c r="C10234" s="21">
        <v>313</v>
      </c>
      <c r="D10234" s="21">
        <v>14384</v>
      </c>
      <c r="E10234" t="s">
        <v>112</v>
      </c>
      <c r="F10234" s="21" t="s">
        <v>38</v>
      </c>
      <c r="G10234" s="21">
        <v>4</v>
      </c>
      <c r="H10234" s="27">
        <v>87</v>
      </c>
      <c r="I10234" s="21" t="s">
        <v>7443</v>
      </c>
      <c r="J10234" s="21"/>
      <c r="K10234" s="21" t="s">
        <v>69</v>
      </c>
      <c r="L10234" s="21"/>
      <c r="M10234" s="21" t="s">
        <v>7038</v>
      </c>
      <c r="N10234" s="21" t="s">
        <v>44</v>
      </c>
      <c r="O10234" s="21">
        <v>231</v>
      </c>
      <c r="P10234" s="21"/>
      <c r="Q10234" s="21">
        <f t="shared" si="221"/>
        <v>1</v>
      </c>
      <c r="R10234" s="21">
        <v>1</v>
      </c>
      <c r="S10234" s="21">
        <v>0</v>
      </c>
      <c r="T10234" s="21">
        <v>0</v>
      </c>
      <c r="U10234" s="21">
        <v>0</v>
      </c>
      <c r="V10234" s="21">
        <v>1</v>
      </c>
      <c r="W10234" s="21">
        <v>0</v>
      </c>
      <c r="Y10234" s="21">
        <v>0</v>
      </c>
      <c r="Z10234" s="21">
        <v>0</v>
      </c>
      <c r="AA10234" s="21">
        <v>0</v>
      </c>
      <c r="AB10234" s="21">
        <v>0</v>
      </c>
      <c r="AC10234" s="21">
        <v>0</v>
      </c>
      <c r="AD10234" s="21">
        <v>0</v>
      </c>
      <c r="AE10234" s="21">
        <v>0</v>
      </c>
      <c r="AF10234" s="21">
        <v>0</v>
      </c>
      <c r="AG10234" s="21">
        <v>0</v>
      </c>
      <c r="AH10234" s="21">
        <f t="shared" si="222"/>
        <v>64</v>
      </c>
      <c r="AI10234" s="21"/>
      <c r="AJ10234" s="21" t="s">
        <v>51</v>
      </c>
      <c r="AK10234" s="21" t="s">
        <v>52</v>
      </c>
      <c r="AL10234" s="21" t="s">
        <v>8108</v>
      </c>
      <c r="AM10234" s="21" t="s">
        <v>8109</v>
      </c>
      <c r="AN10234" s="21">
        <v>-122.410990683333</v>
      </c>
      <c r="AO10234" s="21">
        <v>37.790880450000003</v>
      </c>
      <c r="AP10234" s="21" t="s">
        <v>116</v>
      </c>
    </row>
    <row r="10235" spans="1:42">
      <c r="A10235" s="20">
        <v>43892</v>
      </c>
      <c r="B10235" s="21">
        <v>1</v>
      </c>
      <c r="C10235" s="21">
        <v>313</v>
      </c>
      <c r="D10235" s="21">
        <v>14384</v>
      </c>
      <c r="E10235" t="s">
        <v>112</v>
      </c>
      <c r="F10235" s="21" t="s">
        <v>38</v>
      </c>
      <c r="G10235" s="21">
        <v>4</v>
      </c>
      <c r="H10235" s="27">
        <v>88</v>
      </c>
      <c r="I10235" s="21" t="s">
        <v>3807</v>
      </c>
      <c r="J10235" s="21"/>
      <c r="K10235" s="21" t="s">
        <v>69</v>
      </c>
      <c r="L10235" s="21"/>
      <c r="M10235" s="21" t="s">
        <v>6618</v>
      </c>
      <c r="N10235" s="21" t="s">
        <v>40</v>
      </c>
      <c r="O10235" s="21">
        <v>71</v>
      </c>
      <c r="P10235" s="21"/>
      <c r="Q10235" s="21">
        <f t="shared" si="221"/>
        <v>1</v>
      </c>
      <c r="R10235" s="21">
        <v>1</v>
      </c>
      <c r="S10235" s="21">
        <v>0</v>
      </c>
      <c r="T10235" s="21">
        <v>0</v>
      </c>
      <c r="U10235" s="21">
        <v>0</v>
      </c>
      <c r="V10235" s="21">
        <v>1</v>
      </c>
      <c r="W10235" s="21">
        <v>0</v>
      </c>
      <c r="Y10235" s="21">
        <v>0</v>
      </c>
      <c r="Z10235" s="21">
        <v>0</v>
      </c>
      <c r="AA10235" s="21">
        <v>0</v>
      </c>
      <c r="AB10235" s="21">
        <v>0</v>
      </c>
      <c r="AC10235" s="21">
        <v>0</v>
      </c>
      <c r="AD10235" s="21">
        <v>0</v>
      </c>
      <c r="AE10235" s="21">
        <v>0</v>
      </c>
      <c r="AF10235" s="21">
        <v>0</v>
      </c>
      <c r="AG10235" s="21">
        <v>0</v>
      </c>
      <c r="AH10235" s="21">
        <f t="shared" si="222"/>
        <v>64</v>
      </c>
      <c r="AI10235" s="21"/>
      <c r="AJ10235" s="21" t="s">
        <v>51</v>
      </c>
      <c r="AK10235" s="21" t="s">
        <v>52</v>
      </c>
      <c r="AL10235" s="21"/>
      <c r="AM10235" s="21" t="s">
        <v>8110</v>
      </c>
      <c r="AN10235" s="21">
        <v>-122.41151865</v>
      </c>
      <c r="AO10235" s="21">
        <v>37.790775449999998</v>
      </c>
      <c r="AP10235" s="21" t="s">
        <v>116</v>
      </c>
    </row>
    <row r="10236" spans="1:42">
      <c r="A10236" s="20">
        <v>43892</v>
      </c>
      <c r="B10236" s="21">
        <v>1</v>
      </c>
      <c r="C10236" s="21">
        <v>313</v>
      </c>
      <c r="D10236" s="21">
        <v>14384</v>
      </c>
      <c r="E10236" t="s">
        <v>112</v>
      </c>
      <c r="F10236" s="21" t="s">
        <v>38</v>
      </c>
      <c r="G10236" s="21">
        <v>4</v>
      </c>
      <c r="H10236" s="27">
        <v>89</v>
      </c>
      <c r="I10236" s="21" t="s">
        <v>8111</v>
      </c>
      <c r="J10236" s="21"/>
      <c r="K10236" s="21" t="s">
        <v>69</v>
      </c>
      <c r="L10236" s="21"/>
      <c r="M10236" s="21" t="s">
        <v>7038</v>
      </c>
      <c r="N10236" s="21" t="s">
        <v>44</v>
      </c>
      <c r="O10236" s="21">
        <v>165</v>
      </c>
      <c r="P10236" s="21"/>
      <c r="Q10236" s="21">
        <f t="shared" si="221"/>
        <v>1</v>
      </c>
      <c r="R10236" s="21">
        <v>1</v>
      </c>
      <c r="S10236" s="21">
        <v>0</v>
      </c>
      <c r="T10236" s="21">
        <v>0</v>
      </c>
      <c r="U10236" s="21">
        <v>0</v>
      </c>
      <c r="V10236" s="21">
        <v>1</v>
      </c>
      <c r="W10236" s="21">
        <v>0</v>
      </c>
      <c r="Y10236" s="21">
        <v>0</v>
      </c>
      <c r="Z10236" s="21">
        <v>0</v>
      </c>
      <c r="AA10236" s="21">
        <v>0</v>
      </c>
      <c r="AB10236" s="21">
        <v>0</v>
      </c>
      <c r="AC10236" s="21">
        <v>0</v>
      </c>
      <c r="AD10236" s="21">
        <v>0</v>
      </c>
      <c r="AE10236" s="21">
        <v>0</v>
      </c>
      <c r="AF10236" s="21">
        <v>0</v>
      </c>
      <c r="AG10236" s="21">
        <v>0</v>
      </c>
      <c r="AH10236" s="21">
        <f t="shared" si="222"/>
        <v>64</v>
      </c>
      <c r="AI10236" s="21"/>
      <c r="AJ10236" s="21" t="s">
        <v>51</v>
      </c>
      <c r="AK10236" s="21" t="s">
        <v>52</v>
      </c>
      <c r="AL10236" s="21" t="s">
        <v>8112</v>
      </c>
      <c r="AM10236" s="21" t="s">
        <v>8113</v>
      </c>
      <c r="AN10236" s="21">
        <v>-122.411563266667</v>
      </c>
      <c r="AO10236" s="21">
        <v>37.790772166666699</v>
      </c>
      <c r="AP10236" s="21" t="s">
        <v>116</v>
      </c>
    </row>
    <row r="10237" spans="1:42">
      <c r="A10237" s="20">
        <v>43892</v>
      </c>
      <c r="B10237" s="21">
        <v>1</v>
      </c>
      <c r="C10237" s="21">
        <v>313</v>
      </c>
      <c r="D10237" s="21">
        <v>14384</v>
      </c>
      <c r="E10237" t="s">
        <v>112</v>
      </c>
      <c r="F10237" s="21" t="s">
        <v>38</v>
      </c>
      <c r="G10237" s="21">
        <v>4</v>
      </c>
      <c r="H10237" s="27">
        <v>90</v>
      </c>
      <c r="I10237" s="21" t="s">
        <v>3121</v>
      </c>
      <c r="J10237" s="21"/>
      <c r="K10237" s="21" t="s">
        <v>69</v>
      </c>
      <c r="L10237" s="21"/>
      <c r="M10237" s="21" t="s">
        <v>7038</v>
      </c>
      <c r="N10237" s="21" t="s">
        <v>44</v>
      </c>
      <c r="O10237" s="21">
        <v>101</v>
      </c>
      <c r="P10237" s="21"/>
      <c r="Q10237" s="21">
        <f t="shared" si="221"/>
        <v>1</v>
      </c>
      <c r="R10237" s="21">
        <v>1</v>
      </c>
      <c r="S10237" s="21">
        <v>0</v>
      </c>
      <c r="T10237" s="21">
        <v>0</v>
      </c>
      <c r="U10237" s="21">
        <v>1</v>
      </c>
      <c r="V10237" s="21">
        <v>0</v>
      </c>
      <c r="W10237" s="21">
        <v>0</v>
      </c>
      <c r="Y10237" s="21">
        <v>0</v>
      </c>
      <c r="Z10237" s="21">
        <v>0</v>
      </c>
      <c r="AA10237" s="21">
        <v>0</v>
      </c>
      <c r="AB10237" s="21">
        <v>0</v>
      </c>
      <c r="AC10237" s="21">
        <v>0</v>
      </c>
      <c r="AD10237" s="21">
        <v>0</v>
      </c>
      <c r="AE10237" s="21">
        <v>0</v>
      </c>
      <c r="AF10237" s="21">
        <v>0</v>
      </c>
      <c r="AG10237" s="21">
        <v>0</v>
      </c>
      <c r="AH10237" s="21">
        <f t="shared" si="222"/>
        <v>32</v>
      </c>
      <c r="AI10237" s="21"/>
      <c r="AJ10237" s="21" t="s">
        <v>51</v>
      </c>
      <c r="AK10237" s="21" t="s">
        <v>52</v>
      </c>
      <c r="AL10237" s="21" t="s">
        <v>8114</v>
      </c>
      <c r="AM10237" s="21" t="s">
        <v>8115</v>
      </c>
      <c r="AN10237" s="21">
        <v>-122.4114673</v>
      </c>
      <c r="AO10237" s="21">
        <v>37.7907491666667</v>
      </c>
      <c r="AP10237" s="21" t="s">
        <v>116</v>
      </c>
    </row>
    <row r="10238" spans="1:42">
      <c r="A10238" s="20">
        <v>43892</v>
      </c>
      <c r="B10238" s="21">
        <v>1</v>
      </c>
      <c r="C10238" s="21">
        <v>313</v>
      </c>
      <c r="D10238" s="21">
        <v>14384</v>
      </c>
      <c r="E10238" t="s">
        <v>112</v>
      </c>
      <c r="F10238" s="21" t="s">
        <v>38</v>
      </c>
      <c r="G10238" s="21">
        <v>4</v>
      </c>
      <c r="H10238" s="27">
        <v>91</v>
      </c>
      <c r="I10238" s="21" t="s">
        <v>7437</v>
      </c>
      <c r="J10238" s="21"/>
      <c r="K10238" s="21" t="s">
        <v>69</v>
      </c>
      <c r="L10238" s="21"/>
      <c r="M10238" s="21" t="s">
        <v>7038</v>
      </c>
      <c r="N10238" s="21" t="s">
        <v>44</v>
      </c>
      <c r="O10238" s="21">
        <v>97</v>
      </c>
      <c r="P10238" s="21"/>
      <c r="Q10238" s="21">
        <f t="shared" si="221"/>
        <v>0</v>
      </c>
      <c r="R10238" s="21">
        <v>1</v>
      </c>
      <c r="S10238" s="21">
        <v>0</v>
      </c>
      <c r="T10238" s="21">
        <v>0</v>
      </c>
      <c r="U10238" s="21">
        <v>0</v>
      </c>
      <c r="V10238" s="21">
        <v>0</v>
      </c>
      <c r="W10238" s="21">
        <v>0</v>
      </c>
      <c r="Y10238" s="21">
        <v>0</v>
      </c>
      <c r="Z10238" s="21">
        <v>0</v>
      </c>
      <c r="AA10238" s="21">
        <v>0</v>
      </c>
      <c r="AB10238" s="21">
        <v>0</v>
      </c>
      <c r="AC10238" s="21">
        <v>0</v>
      </c>
      <c r="AD10238" s="21">
        <v>0</v>
      </c>
      <c r="AE10238" s="21">
        <v>0</v>
      </c>
      <c r="AF10238" s="21">
        <v>0</v>
      </c>
      <c r="AG10238" s="21">
        <v>0</v>
      </c>
      <c r="AH10238" s="21">
        <f t="shared" si="222"/>
        <v>0</v>
      </c>
      <c r="AI10238" s="21"/>
      <c r="AJ10238" s="21" t="s">
        <v>51</v>
      </c>
      <c r="AK10238" s="21" t="s">
        <v>52</v>
      </c>
      <c r="AL10238" s="21" t="s">
        <v>8116</v>
      </c>
      <c r="AM10238" s="21" t="s">
        <v>8117</v>
      </c>
      <c r="AN10238" s="21">
        <v>-122.411303333333</v>
      </c>
      <c r="AO10238" s="21">
        <v>37.790852933333298</v>
      </c>
      <c r="AP10238" s="21" t="s">
        <v>116</v>
      </c>
    </row>
    <row r="10239" spans="1:42">
      <c r="A10239" s="20">
        <v>43892</v>
      </c>
      <c r="B10239" s="21">
        <v>1</v>
      </c>
      <c r="C10239" s="21">
        <v>313</v>
      </c>
      <c r="D10239" s="21">
        <v>14384</v>
      </c>
      <c r="E10239" t="s">
        <v>112</v>
      </c>
      <c r="F10239" s="21" t="s">
        <v>38</v>
      </c>
      <c r="G10239" s="21">
        <v>4</v>
      </c>
      <c r="H10239" s="27">
        <v>92</v>
      </c>
      <c r="I10239" s="21" t="s">
        <v>7456</v>
      </c>
      <c r="J10239" s="21"/>
      <c r="K10239" s="21" t="s">
        <v>69</v>
      </c>
      <c r="L10239" s="21"/>
      <c r="M10239" s="21" t="s">
        <v>7038</v>
      </c>
      <c r="N10239" s="21" t="s">
        <v>44</v>
      </c>
      <c r="O10239" s="21">
        <v>124</v>
      </c>
      <c r="P10239" s="21"/>
      <c r="Q10239" s="21">
        <f t="shared" si="221"/>
        <v>1</v>
      </c>
      <c r="R10239" s="21">
        <v>1</v>
      </c>
      <c r="S10239" s="21">
        <v>0</v>
      </c>
      <c r="T10239" s="21">
        <v>0</v>
      </c>
      <c r="U10239" s="21">
        <v>1</v>
      </c>
      <c r="V10239" s="21">
        <v>0</v>
      </c>
      <c r="W10239" s="21">
        <v>0</v>
      </c>
      <c r="Y10239" s="21">
        <v>0</v>
      </c>
      <c r="Z10239" s="21">
        <v>0</v>
      </c>
      <c r="AA10239" s="21">
        <v>0</v>
      </c>
      <c r="AB10239" s="21">
        <v>0</v>
      </c>
      <c r="AC10239" s="21">
        <v>0</v>
      </c>
      <c r="AD10239" s="21">
        <v>0</v>
      </c>
      <c r="AE10239" s="21">
        <v>0</v>
      </c>
      <c r="AF10239" s="21">
        <v>0</v>
      </c>
      <c r="AG10239" s="21">
        <v>0</v>
      </c>
      <c r="AH10239" s="21">
        <f t="shared" si="222"/>
        <v>32</v>
      </c>
      <c r="AI10239" s="21"/>
      <c r="AJ10239" s="21" t="s">
        <v>51</v>
      </c>
      <c r="AK10239" s="21" t="s">
        <v>52</v>
      </c>
      <c r="AL10239" s="21" t="s">
        <v>8118</v>
      </c>
      <c r="AM10239" s="21" t="s">
        <v>8119</v>
      </c>
      <c r="AN10239" s="21">
        <v>-122.411614216667</v>
      </c>
      <c r="AO10239" s="21">
        <v>37.790748733333302</v>
      </c>
      <c r="AP10239" s="21" t="s">
        <v>116</v>
      </c>
    </row>
    <row r="10240" spans="1:42">
      <c r="A10240" s="20">
        <v>43892</v>
      </c>
      <c r="B10240" s="21">
        <v>1</v>
      </c>
      <c r="C10240" s="21">
        <v>313</v>
      </c>
      <c r="D10240" s="21">
        <v>14384</v>
      </c>
      <c r="E10240" t="s">
        <v>112</v>
      </c>
      <c r="F10240" s="21" t="s">
        <v>38</v>
      </c>
      <c r="G10240" s="21">
        <v>4</v>
      </c>
      <c r="H10240" s="27">
        <v>93</v>
      </c>
      <c r="I10240" s="21" t="s">
        <v>8120</v>
      </c>
      <c r="J10240" s="21"/>
      <c r="K10240" s="21" t="s">
        <v>69</v>
      </c>
      <c r="L10240" s="21"/>
      <c r="M10240" s="21" t="s">
        <v>6618</v>
      </c>
      <c r="N10240" s="21" t="s">
        <v>42</v>
      </c>
      <c r="O10240" s="21">
        <v>163</v>
      </c>
      <c r="P10240" s="21"/>
      <c r="Q10240" s="21">
        <f t="shared" si="221"/>
        <v>2</v>
      </c>
      <c r="R10240" s="21">
        <v>1</v>
      </c>
      <c r="S10240" s="21">
        <v>0</v>
      </c>
      <c r="T10240" s="21">
        <v>0</v>
      </c>
      <c r="U10240" s="21">
        <v>2</v>
      </c>
      <c r="V10240" s="21">
        <v>0</v>
      </c>
      <c r="W10240" s="21">
        <v>0</v>
      </c>
      <c r="Y10240" s="21">
        <v>0</v>
      </c>
      <c r="Z10240" s="21">
        <v>0</v>
      </c>
      <c r="AA10240" s="21">
        <v>0</v>
      </c>
      <c r="AB10240" s="21">
        <v>0</v>
      </c>
      <c r="AC10240" s="21">
        <v>0</v>
      </c>
      <c r="AD10240" s="21">
        <v>0</v>
      </c>
      <c r="AE10240" s="21">
        <v>0</v>
      </c>
      <c r="AF10240" s="21">
        <v>0</v>
      </c>
      <c r="AG10240" s="21">
        <v>0</v>
      </c>
      <c r="AH10240" s="21">
        <f t="shared" si="222"/>
        <v>64</v>
      </c>
      <c r="AI10240" s="21"/>
      <c r="AJ10240" s="21" t="s">
        <v>51</v>
      </c>
      <c r="AK10240" s="21" t="s">
        <v>52</v>
      </c>
      <c r="AL10240" s="21" t="s">
        <v>8121</v>
      </c>
      <c r="AM10240" s="21" t="s">
        <v>8122</v>
      </c>
      <c r="AN10240" s="21">
        <v>-122.411888483333</v>
      </c>
      <c r="AO10240" s="21">
        <v>37.7907403166667</v>
      </c>
      <c r="AP10240" s="21" t="s">
        <v>116</v>
      </c>
    </row>
    <row r="10241" spans="1:42">
      <c r="A10241" s="20">
        <v>43892</v>
      </c>
      <c r="B10241" s="21">
        <v>1</v>
      </c>
      <c r="C10241" s="21">
        <v>313</v>
      </c>
      <c r="D10241" s="21">
        <v>14384</v>
      </c>
      <c r="E10241" t="s">
        <v>112</v>
      </c>
      <c r="F10241" s="21" t="s">
        <v>38</v>
      </c>
      <c r="G10241" s="21">
        <v>4</v>
      </c>
      <c r="H10241" s="27">
        <v>94</v>
      </c>
      <c r="I10241" s="21" t="s">
        <v>8123</v>
      </c>
      <c r="J10241" s="21"/>
      <c r="K10241" s="21" t="s">
        <v>69</v>
      </c>
      <c r="L10241" s="21"/>
      <c r="M10241" s="21" t="s">
        <v>6618</v>
      </c>
      <c r="N10241" s="21" t="s">
        <v>44</v>
      </c>
      <c r="O10241" s="21">
        <v>198</v>
      </c>
      <c r="P10241" s="21"/>
      <c r="Q10241" s="21">
        <f t="shared" si="221"/>
        <v>1</v>
      </c>
      <c r="R10241" s="21">
        <v>1</v>
      </c>
      <c r="S10241" s="21">
        <v>0</v>
      </c>
      <c r="T10241" s="21">
        <v>0</v>
      </c>
      <c r="U10241" s="21">
        <v>1</v>
      </c>
      <c r="V10241" s="21">
        <v>0</v>
      </c>
      <c r="W10241" s="21">
        <v>0</v>
      </c>
      <c r="Y10241" s="21">
        <v>0</v>
      </c>
      <c r="Z10241" s="21">
        <v>0</v>
      </c>
      <c r="AA10241" s="21">
        <v>0</v>
      </c>
      <c r="AB10241" s="21">
        <v>0</v>
      </c>
      <c r="AC10241" s="21">
        <v>0</v>
      </c>
      <c r="AD10241" s="21">
        <v>0</v>
      </c>
      <c r="AE10241" s="21">
        <v>0</v>
      </c>
      <c r="AF10241" s="21">
        <v>0</v>
      </c>
      <c r="AG10241" s="21">
        <v>0</v>
      </c>
      <c r="AH10241" s="21">
        <f t="shared" si="222"/>
        <v>32</v>
      </c>
      <c r="AI10241" s="21"/>
      <c r="AJ10241" s="21" t="s">
        <v>51</v>
      </c>
      <c r="AK10241" s="21" t="s">
        <v>52</v>
      </c>
      <c r="AL10241" s="21" t="s">
        <v>8124</v>
      </c>
      <c r="AM10241" s="21" t="s">
        <v>8125</v>
      </c>
      <c r="AN10241" s="21">
        <v>-122.41191771666701</v>
      </c>
      <c r="AO10241" s="21">
        <v>37.790740583333303</v>
      </c>
      <c r="AP10241" s="21" t="s">
        <v>116</v>
      </c>
    </row>
    <row r="10242" spans="1:42">
      <c r="A10242" s="20">
        <v>43892</v>
      </c>
      <c r="B10242" s="21">
        <v>1</v>
      </c>
      <c r="C10242" s="21">
        <v>313</v>
      </c>
      <c r="D10242" s="21">
        <v>14384</v>
      </c>
      <c r="E10242" t="s">
        <v>112</v>
      </c>
      <c r="F10242" s="21" t="s">
        <v>38</v>
      </c>
      <c r="G10242" s="21">
        <v>4</v>
      </c>
      <c r="H10242" s="27">
        <v>95</v>
      </c>
      <c r="I10242" s="21" t="s">
        <v>7427</v>
      </c>
      <c r="J10242" s="21"/>
      <c r="K10242" s="21" t="s">
        <v>69</v>
      </c>
      <c r="L10242" s="21"/>
      <c r="M10242" s="21" t="s">
        <v>7038</v>
      </c>
      <c r="N10242" s="21" t="s">
        <v>44</v>
      </c>
      <c r="O10242" s="21">
        <v>162</v>
      </c>
      <c r="P10242" s="21"/>
      <c r="Q10242" s="21">
        <f t="shared" si="221"/>
        <v>1</v>
      </c>
      <c r="R10242" s="21">
        <v>1</v>
      </c>
      <c r="S10242" s="21">
        <v>0</v>
      </c>
      <c r="T10242" s="21">
        <v>0</v>
      </c>
      <c r="U10242" s="21">
        <v>1</v>
      </c>
      <c r="V10242" s="21">
        <v>0</v>
      </c>
      <c r="W10242" s="21">
        <v>0</v>
      </c>
      <c r="Y10242" s="21">
        <v>0</v>
      </c>
      <c r="Z10242" s="21">
        <v>0</v>
      </c>
      <c r="AA10242" s="21">
        <v>0</v>
      </c>
      <c r="AB10242" s="21">
        <v>0</v>
      </c>
      <c r="AC10242" s="21">
        <v>0</v>
      </c>
      <c r="AD10242" s="21">
        <v>0</v>
      </c>
      <c r="AE10242" s="21">
        <v>0</v>
      </c>
      <c r="AF10242" s="21">
        <v>0</v>
      </c>
      <c r="AG10242" s="21">
        <v>0</v>
      </c>
      <c r="AH10242" s="21">
        <f t="shared" si="222"/>
        <v>32</v>
      </c>
      <c r="AI10242" s="21"/>
      <c r="AJ10242" s="21" t="s">
        <v>51</v>
      </c>
      <c r="AK10242" s="21" t="s">
        <v>52</v>
      </c>
      <c r="AL10242" s="21" t="s">
        <v>8126</v>
      </c>
      <c r="AM10242" s="21" t="s">
        <v>8127</v>
      </c>
      <c r="AN10242" s="21">
        <v>-122.411931333333</v>
      </c>
      <c r="AO10242" s="21">
        <v>37.790679500000003</v>
      </c>
      <c r="AP10242" s="21" t="s">
        <v>116</v>
      </c>
    </row>
    <row r="10243" spans="1:42">
      <c r="A10243" s="20">
        <v>43893</v>
      </c>
      <c r="B10243" s="21">
        <v>2</v>
      </c>
      <c r="C10243" s="21">
        <v>313</v>
      </c>
      <c r="D10243" s="21">
        <v>14384</v>
      </c>
      <c r="E10243" s="21" t="s">
        <v>112</v>
      </c>
      <c r="F10243" s="21" t="s">
        <v>38</v>
      </c>
      <c r="G10243" s="21">
        <v>4</v>
      </c>
      <c r="H10243" s="27">
        <v>96</v>
      </c>
      <c r="I10243" s="21" t="s">
        <v>7836</v>
      </c>
      <c r="J10243" s="21"/>
      <c r="K10243" s="21" t="s">
        <v>73</v>
      </c>
      <c r="L10243" s="21"/>
      <c r="M10243" s="21" t="s">
        <v>7038</v>
      </c>
      <c r="N10243" s="21" t="s">
        <v>40</v>
      </c>
      <c r="O10243" s="21">
        <v>52</v>
      </c>
      <c r="P10243" s="21"/>
      <c r="Q10243" s="21" t="e">
        <f>SUM(S10243+T10243+U10243+V10243+W10243+Y10243+Z10243+AA10243+AB10243+AC10243+AF10243+AG10243+#REF!+#REF!)</f>
        <v>#REF!</v>
      </c>
      <c r="R10243" s="21">
        <v>1</v>
      </c>
      <c r="S10243" s="21">
        <v>0</v>
      </c>
      <c r="T10243" s="21">
        <v>0</v>
      </c>
      <c r="U10243" s="21">
        <v>0</v>
      </c>
      <c r="V10243" s="21">
        <v>1</v>
      </c>
      <c r="W10243" s="21">
        <v>0</v>
      </c>
      <c r="Y10243" s="21">
        <v>0</v>
      </c>
      <c r="Z10243" s="21">
        <v>0</v>
      </c>
      <c r="AA10243" s="21">
        <v>0</v>
      </c>
      <c r="AB10243" s="21">
        <v>0</v>
      </c>
      <c r="AC10243" s="21">
        <v>0</v>
      </c>
      <c r="AD10243" s="21">
        <v>0</v>
      </c>
      <c r="AE10243" s="21">
        <v>0</v>
      </c>
      <c r="AF10243" s="21">
        <v>0</v>
      </c>
      <c r="AG10243" s="21">
        <v>0</v>
      </c>
      <c r="AH10243" s="21">
        <f t="shared" si="222"/>
        <v>64</v>
      </c>
      <c r="AI10243" s="21"/>
      <c r="AJ10243" s="21" t="s">
        <v>51</v>
      </c>
      <c r="AK10243" s="21" t="s">
        <v>95</v>
      </c>
      <c r="AL10243" s="21"/>
      <c r="AM10243" s="21" t="s">
        <v>8128</v>
      </c>
      <c r="AN10243" s="21">
        <v>-122.40366898333301</v>
      </c>
      <c r="AO10243" s="21">
        <v>37.787219866666597</v>
      </c>
      <c r="AP10243" s="21" t="s">
        <v>116</v>
      </c>
    </row>
    <row r="10244" spans="1:42">
      <c r="A10244" s="20">
        <v>43893</v>
      </c>
      <c r="B10244" s="21">
        <v>2</v>
      </c>
      <c r="C10244" s="21">
        <v>313</v>
      </c>
      <c r="D10244" s="21">
        <v>14384</v>
      </c>
      <c r="E10244" s="21" t="s">
        <v>112</v>
      </c>
      <c r="F10244" s="21" t="s">
        <v>38</v>
      </c>
      <c r="G10244" s="21">
        <v>4</v>
      </c>
      <c r="H10244" s="27">
        <v>97</v>
      </c>
      <c r="I10244" s="21" t="s">
        <v>3186</v>
      </c>
      <c r="J10244" s="21"/>
      <c r="K10244" s="21" t="s">
        <v>7068</v>
      </c>
      <c r="L10244" s="21"/>
      <c r="M10244" s="21" t="s">
        <v>7038</v>
      </c>
      <c r="N10244" s="21" t="s">
        <v>44</v>
      </c>
      <c r="O10244" s="21">
        <v>232</v>
      </c>
      <c r="P10244" s="21"/>
      <c r="Q10244" s="21">
        <f t="shared" si="221"/>
        <v>8</v>
      </c>
      <c r="R10244" s="21">
        <v>1</v>
      </c>
      <c r="S10244" s="21">
        <v>0</v>
      </c>
      <c r="T10244" s="21">
        <v>0</v>
      </c>
      <c r="U10244" s="21">
        <v>0</v>
      </c>
      <c r="V10244" s="21">
        <v>8</v>
      </c>
      <c r="W10244" s="21">
        <v>0</v>
      </c>
      <c r="Y10244" s="21">
        <v>0</v>
      </c>
      <c r="Z10244" s="21">
        <v>0</v>
      </c>
      <c r="AA10244" s="21">
        <v>0</v>
      </c>
      <c r="AB10244" s="21">
        <v>0</v>
      </c>
      <c r="AC10244" s="21">
        <v>0</v>
      </c>
      <c r="AD10244" s="21">
        <v>0</v>
      </c>
      <c r="AE10244" s="21">
        <v>0</v>
      </c>
      <c r="AF10244" s="21">
        <v>0</v>
      </c>
      <c r="AG10244" s="21">
        <v>0</v>
      </c>
      <c r="AH10244" s="21">
        <f t="shared" si="222"/>
        <v>512</v>
      </c>
      <c r="AI10244" s="21"/>
      <c r="AJ10244" s="21" t="s">
        <v>51</v>
      </c>
      <c r="AK10244" s="21" t="s">
        <v>95</v>
      </c>
      <c r="AL10244" s="21" t="s">
        <v>8129</v>
      </c>
      <c r="AM10244" s="21" t="s">
        <v>8130</v>
      </c>
      <c r="AN10244" s="21">
        <v>-122.405603066667</v>
      </c>
      <c r="AO10244" s="21">
        <v>37.786463300000001</v>
      </c>
      <c r="AP10244" s="21" t="s">
        <v>116</v>
      </c>
    </row>
    <row r="10245" spans="1:42">
      <c r="A10245" s="20">
        <v>43893</v>
      </c>
      <c r="B10245" s="21">
        <v>2</v>
      </c>
      <c r="C10245" s="21">
        <v>313</v>
      </c>
      <c r="D10245" s="21">
        <v>14384</v>
      </c>
      <c r="E10245" s="21" t="s">
        <v>112</v>
      </c>
      <c r="F10245" s="21" t="s">
        <v>38</v>
      </c>
      <c r="G10245" s="21">
        <v>4</v>
      </c>
      <c r="H10245" s="27">
        <v>98</v>
      </c>
      <c r="I10245" s="21" t="s">
        <v>3448</v>
      </c>
      <c r="J10245" s="21"/>
      <c r="K10245" s="21" t="s">
        <v>48</v>
      </c>
      <c r="L10245" s="21"/>
      <c r="M10245" s="21" t="s">
        <v>7038</v>
      </c>
      <c r="N10245" s="21" t="s">
        <v>40</v>
      </c>
      <c r="O10245" s="21">
        <v>40</v>
      </c>
      <c r="P10245" s="21"/>
      <c r="Q10245" s="21">
        <f t="shared" si="221"/>
        <v>1</v>
      </c>
      <c r="R10245" s="21">
        <v>1</v>
      </c>
      <c r="S10245" s="21">
        <v>0</v>
      </c>
      <c r="T10245" s="21">
        <v>0</v>
      </c>
      <c r="U10245" s="21">
        <v>0</v>
      </c>
      <c r="V10245" s="21">
        <v>1</v>
      </c>
      <c r="W10245" s="21">
        <v>0</v>
      </c>
      <c r="Y10245" s="21">
        <v>0</v>
      </c>
      <c r="Z10245" s="21">
        <v>0</v>
      </c>
      <c r="AA10245" s="21">
        <v>0</v>
      </c>
      <c r="AB10245" s="21">
        <v>0</v>
      </c>
      <c r="AC10245" s="21">
        <v>0</v>
      </c>
      <c r="AD10245" s="21">
        <v>0</v>
      </c>
      <c r="AE10245" s="21">
        <v>0</v>
      </c>
      <c r="AF10245" s="21">
        <v>0</v>
      </c>
      <c r="AG10245" s="21">
        <v>0</v>
      </c>
      <c r="AH10245" s="21">
        <f t="shared" si="222"/>
        <v>64</v>
      </c>
      <c r="AI10245" s="21"/>
      <c r="AJ10245" s="21" t="s">
        <v>51</v>
      </c>
      <c r="AK10245" s="21" t="s">
        <v>95</v>
      </c>
      <c r="AL10245" s="21"/>
      <c r="AM10245" s="21" t="s">
        <v>8131</v>
      </c>
      <c r="AN10245" s="21">
        <v>-122.404445666667</v>
      </c>
      <c r="AO10245" s="21">
        <v>37.787083899999999</v>
      </c>
      <c r="AP10245" s="21" t="s">
        <v>116</v>
      </c>
    </row>
    <row r="10246" spans="1:42">
      <c r="A10246" s="20">
        <v>43893</v>
      </c>
      <c r="B10246" s="21">
        <v>2</v>
      </c>
      <c r="C10246" s="21">
        <v>313</v>
      </c>
      <c r="D10246" s="21">
        <v>14384</v>
      </c>
      <c r="E10246" s="21" t="s">
        <v>112</v>
      </c>
      <c r="F10246" s="21" t="s">
        <v>38</v>
      </c>
      <c r="G10246" s="21">
        <v>4</v>
      </c>
      <c r="H10246" s="27">
        <v>99</v>
      </c>
      <c r="I10246" s="21" t="s">
        <v>4623</v>
      </c>
      <c r="J10246" s="21"/>
      <c r="K10246" s="21" t="s">
        <v>48</v>
      </c>
      <c r="L10246" s="21"/>
      <c r="M10246" s="21" t="s">
        <v>7038</v>
      </c>
      <c r="N10246" s="21" t="s">
        <v>40</v>
      </c>
      <c r="O10246" s="21">
        <v>114</v>
      </c>
      <c r="P10246" s="21"/>
      <c r="Q10246" s="21">
        <f t="shared" si="221"/>
        <v>8</v>
      </c>
      <c r="R10246" s="21">
        <v>1</v>
      </c>
      <c r="S10246" s="21">
        <v>0</v>
      </c>
      <c r="T10246" s="21">
        <v>0</v>
      </c>
      <c r="U10246" s="21">
        <v>0</v>
      </c>
      <c r="V10246" s="21">
        <v>8</v>
      </c>
      <c r="W10246" s="21">
        <v>0</v>
      </c>
      <c r="Y10246" s="21">
        <v>0</v>
      </c>
      <c r="Z10246" s="21">
        <v>0</v>
      </c>
      <c r="AA10246" s="21">
        <v>0</v>
      </c>
      <c r="AB10246" s="21">
        <v>0</v>
      </c>
      <c r="AC10246" s="21">
        <v>0</v>
      </c>
      <c r="AD10246" s="21">
        <v>0</v>
      </c>
      <c r="AE10246" s="21">
        <v>0</v>
      </c>
      <c r="AF10246" s="21">
        <v>0</v>
      </c>
      <c r="AG10246" s="21">
        <v>0</v>
      </c>
      <c r="AH10246" s="21">
        <f t="shared" si="222"/>
        <v>512</v>
      </c>
      <c r="AI10246" s="21"/>
      <c r="AJ10246" s="21" t="s">
        <v>51</v>
      </c>
      <c r="AK10246" s="21" t="s">
        <v>95</v>
      </c>
      <c r="AL10246" s="21"/>
      <c r="AM10246" s="21" t="s">
        <v>8132</v>
      </c>
      <c r="AN10246" s="21">
        <v>-122.404690866667</v>
      </c>
      <c r="AO10246" s="21">
        <v>37.787557366666697</v>
      </c>
      <c r="AP10246" s="21" t="s">
        <v>116</v>
      </c>
    </row>
    <row r="10247" spans="1:42">
      <c r="A10247" s="20">
        <v>43893</v>
      </c>
      <c r="B10247" s="21">
        <v>2</v>
      </c>
      <c r="C10247" s="21">
        <v>313</v>
      </c>
      <c r="D10247" s="21">
        <v>14384</v>
      </c>
      <c r="E10247" s="21" t="s">
        <v>112</v>
      </c>
      <c r="F10247" s="21" t="s">
        <v>38</v>
      </c>
      <c r="G10247" s="21">
        <v>4</v>
      </c>
      <c r="H10247" s="27">
        <v>100</v>
      </c>
      <c r="I10247" s="21" t="s">
        <v>6231</v>
      </c>
      <c r="J10247" s="21"/>
      <c r="K10247" s="21" t="s">
        <v>50</v>
      </c>
      <c r="L10247" s="21"/>
      <c r="M10247" s="21" t="s">
        <v>7038</v>
      </c>
      <c r="N10247" s="21" t="s">
        <v>40</v>
      </c>
      <c r="O10247" s="21">
        <v>40</v>
      </c>
      <c r="P10247" s="21"/>
      <c r="Q10247" s="21">
        <f t="shared" si="221"/>
        <v>2</v>
      </c>
      <c r="R10247" s="21">
        <v>1</v>
      </c>
      <c r="S10247" s="21">
        <v>0</v>
      </c>
      <c r="T10247" s="21">
        <v>0</v>
      </c>
      <c r="U10247" s="21">
        <v>1</v>
      </c>
      <c r="V10247" s="21">
        <v>1</v>
      </c>
      <c r="W10247" s="21">
        <v>0</v>
      </c>
      <c r="Y10247" s="21">
        <v>0</v>
      </c>
      <c r="Z10247" s="21">
        <v>0</v>
      </c>
      <c r="AA10247" s="21">
        <v>0</v>
      </c>
      <c r="AB10247" s="21">
        <v>0</v>
      </c>
      <c r="AC10247" s="21">
        <v>0</v>
      </c>
      <c r="AD10247" s="21">
        <v>0</v>
      </c>
      <c r="AE10247" s="21">
        <v>0</v>
      </c>
      <c r="AF10247" s="21">
        <v>0</v>
      </c>
      <c r="AG10247" s="21">
        <v>0</v>
      </c>
      <c r="AH10247" s="21">
        <f t="shared" si="222"/>
        <v>96</v>
      </c>
      <c r="AI10247" s="21"/>
      <c r="AJ10247" s="21" t="s">
        <v>51</v>
      </c>
      <c r="AK10247" s="21" t="s">
        <v>95</v>
      </c>
      <c r="AL10247" s="21"/>
      <c r="AM10247" s="21" t="s">
        <v>8133</v>
      </c>
      <c r="AN10247" s="21">
        <v>-122.40659023333301</v>
      </c>
      <c r="AO10247" s="21">
        <v>37.786982166666597</v>
      </c>
      <c r="AP10247" s="21" t="s">
        <v>116</v>
      </c>
    </row>
    <row r="10248" spans="1:42">
      <c r="A10248" s="20">
        <v>43893</v>
      </c>
      <c r="B10248" s="21">
        <v>2</v>
      </c>
      <c r="C10248" s="21">
        <v>313</v>
      </c>
      <c r="D10248" s="21">
        <v>14384</v>
      </c>
      <c r="E10248" s="21" t="s">
        <v>112</v>
      </c>
      <c r="F10248" s="21" t="s">
        <v>38</v>
      </c>
      <c r="G10248" s="21">
        <v>4</v>
      </c>
      <c r="H10248" s="27">
        <v>101</v>
      </c>
      <c r="I10248" s="21" t="s">
        <v>8134</v>
      </c>
      <c r="J10248" s="21"/>
      <c r="K10248" s="21" t="s">
        <v>73</v>
      </c>
      <c r="L10248" s="21"/>
      <c r="M10248" s="21" t="s">
        <v>7038</v>
      </c>
      <c r="N10248" s="21" t="s">
        <v>44</v>
      </c>
      <c r="O10248" s="21">
        <v>396</v>
      </c>
      <c r="P10248" s="21"/>
      <c r="Q10248" s="21">
        <f t="shared" si="221"/>
        <v>13</v>
      </c>
      <c r="R10248" s="21">
        <v>1</v>
      </c>
      <c r="S10248" s="21">
        <v>0</v>
      </c>
      <c r="T10248" s="21">
        <v>0</v>
      </c>
      <c r="U10248" s="21">
        <v>0</v>
      </c>
      <c r="V10248" s="21">
        <v>13</v>
      </c>
      <c r="W10248" s="21">
        <v>0</v>
      </c>
      <c r="Y10248" s="21">
        <v>0</v>
      </c>
      <c r="Z10248" s="21">
        <v>0</v>
      </c>
      <c r="AA10248" s="21">
        <v>0</v>
      </c>
      <c r="AB10248" s="21">
        <v>0</v>
      </c>
      <c r="AC10248" s="21">
        <v>0</v>
      </c>
      <c r="AD10248" s="21">
        <v>0</v>
      </c>
      <c r="AE10248" s="21">
        <v>0</v>
      </c>
      <c r="AF10248" s="21">
        <v>0</v>
      </c>
      <c r="AG10248" s="21">
        <v>0</v>
      </c>
      <c r="AH10248" s="21">
        <f t="shared" si="222"/>
        <v>832</v>
      </c>
      <c r="AI10248" s="21"/>
      <c r="AJ10248" s="21" t="s">
        <v>51</v>
      </c>
      <c r="AK10248" s="21" t="s">
        <v>95</v>
      </c>
      <c r="AL10248" s="21" t="s">
        <v>8135</v>
      </c>
      <c r="AM10248" s="21" t="s">
        <v>8136</v>
      </c>
      <c r="AN10248" s="21">
        <v>-122.405946466667</v>
      </c>
      <c r="AO10248" s="21">
        <v>37.7865489666667</v>
      </c>
      <c r="AP10248" s="21" t="s">
        <v>116</v>
      </c>
    </row>
    <row r="10249" spans="1:42">
      <c r="A10249" s="20">
        <v>43893</v>
      </c>
      <c r="B10249" s="21">
        <v>2</v>
      </c>
      <c r="C10249" s="21">
        <v>313</v>
      </c>
      <c r="D10249" s="21">
        <v>14384</v>
      </c>
      <c r="E10249" s="21" t="s">
        <v>112</v>
      </c>
      <c r="F10249" s="21" t="s">
        <v>38</v>
      </c>
      <c r="G10249" s="21">
        <v>4</v>
      </c>
      <c r="H10249" s="27">
        <v>102</v>
      </c>
      <c r="I10249" s="21" t="s">
        <v>8137</v>
      </c>
      <c r="J10249" s="21"/>
      <c r="K10249" s="21" t="s">
        <v>73</v>
      </c>
      <c r="L10249" s="21"/>
      <c r="M10249" s="21" t="s">
        <v>7038</v>
      </c>
      <c r="N10249" s="21" t="s">
        <v>40</v>
      </c>
      <c r="O10249" s="21">
        <v>28</v>
      </c>
      <c r="P10249" s="21"/>
      <c r="Q10249" s="21">
        <f t="shared" si="221"/>
        <v>1</v>
      </c>
      <c r="R10249" s="21">
        <v>1</v>
      </c>
      <c r="S10249" s="21">
        <v>0</v>
      </c>
      <c r="T10249" s="21">
        <v>0</v>
      </c>
      <c r="U10249" s="21">
        <v>0</v>
      </c>
      <c r="V10249" s="21">
        <v>1</v>
      </c>
      <c r="W10249" s="21">
        <v>0</v>
      </c>
      <c r="Y10249" s="21">
        <v>0</v>
      </c>
      <c r="Z10249" s="21">
        <v>0</v>
      </c>
      <c r="AA10249" s="21">
        <v>0</v>
      </c>
      <c r="AB10249" s="21">
        <v>0</v>
      </c>
      <c r="AC10249" s="21">
        <v>0</v>
      </c>
      <c r="AD10249" s="21">
        <v>0</v>
      </c>
      <c r="AE10249" s="21">
        <v>0</v>
      </c>
      <c r="AF10249" s="21">
        <v>0</v>
      </c>
      <c r="AG10249" s="21">
        <v>0</v>
      </c>
      <c r="AH10249" s="21">
        <f t="shared" si="222"/>
        <v>64</v>
      </c>
      <c r="AI10249" s="21"/>
      <c r="AJ10249" s="21" t="s">
        <v>51</v>
      </c>
      <c r="AK10249" s="21" t="s">
        <v>95</v>
      </c>
      <c r="AL10249" s="21"/>
      <c r="AM10249" s="21" t="s">
        <v>8138</v>
      </c>
      <c r="AN10249" s="21">
        <v>-122.40752324866099</v>
      </c>
      <c r="AO10249" s="21">
        <v>37.787633938229497</v>
      </c>
      <c r="AP10249" s="21" t="s">
        <v>116</v>
      </c>
    </row>
    <row r="10250" spans="1:42">
      <c r="A10250" s="20">
        <v>43893</v>
      </c>
      <c r="B10250" s="21">
        <v>2</v>
      </c>
      <c r="C10250" s="21">
        <v>313</v>
      </c>
      <c r="D10250" s="21">
        <v>14384</v>
      </c>
      <c r="E10250" s="21" t="s">
        <v>112</v>
      </c>
      <c r="F10250" s="21" t="s">
        <v>38</v>
      </c>
      <c r="G10250" s="21">
        <v>4</v>
      </c>
      <c r="H10250" s="27">
        <v>103</v>
      </c>
      <c r="I10250" s="21" t="s">
        <v>6147</v>
      </c>
      <c r="J10250" s="21"/>
      <c r="K10250" s="21" t="s">
        <v>100</v>
      </c>
      <c r="L10250" s="21"/>
      <c r="M10250" s="21" t="s">
        <v>7038</v>
      </c>
      <c r="N10250" s="21" t="s">
        <v>40</v>
      </c>
      <c r="O10250" s="21">
        <v>32</v>
      </c>
      <c r="P10250" s="21"/>
      <c r="Q10250" s="21">
        <f t="shared" si="221"/>
        <v>0</v>
      </c>
      <c r="R10250" s="21">
        <v>1</v>
      </c>
      <c r="S10250" s="21">
        <v>0</v>
      </c>
      <c r="T10250" s="21">
        <v>0</v>
      </c>
      <c r="U10250" s="21">
        <v>0</v>
      </c>
      <c r="V10250" s="21">
        <v>0</v>
      </c>
      <c r="W10250" s="21">
        <v>0</v>
      </c>
      <c r="Y10250" s="21">
        <v>0</v>
      </c>
      <c r="Z10250" s="21">
        <v>0</v>
      </c>
      <c r="AA10250" s="21">
        <v>0</v>
      </c>
      <c r="AB10250" s="21">
        <v>0</v>
      </c>
      <c r="AC10250" s="21">
        <v>0</v>
      </c>
      <c r="AD10250" s="21">
        <v>0</v>
      </c>
      <c r="AE10250" s="21">
        <v>0</v>
      </c>
      <c r="AF10250" s="21">
        <v>0</v>
      </c>
      <c r="AG10250" s="21">
        <v>0</v>
      </c>
      <c r="AH10250" s="21">
        <f t="shared" si="222"/>
        <v>0</v>
      </c>
      <c r="AI10250" s="21"/>
      <c r="AJ10250" s="21" t="s">
        <v>51</v>
      </c>
      <c r="AK10250" s="21" t="s">
        <v>95</v>
      </c>
      <c r="AL10250" s="21" t="s">
        <v>8139</v>
      </c>
      <c r="AM10250" s="21" t="s">
        <v>8140</v>
      </c>
      <c r="AN10250" s="21">
        <v>-122.408274583333</v>
      </c>
      <c r="AO10250" s="21">
        <v>37.785611733333297</v>
      </c>
      <c r="AP10250" s="21" t="s">
        <v>116</v>
      </c>
    </row>
    <row r="10251" spans="1:42">
      <c r="A10251" s="20">
        <v>43893</v>
      </c>
      <c r="B10251" s="21">
        <v>2</v>
      </c>
      <c r="C10251" s="21">
        <v>313</v>
      </c>
      <c r="D10251" s="21">
        <v>14384</v>
      </c>
      <c r="E10251" s="21" t="s">
        <v>112</v>
      </c>
      <c r="F10251" s="21" t="s">
        <v>38</v>
      </c>
      <c r="G10251" s="21">
        <v>4</v>
      </c>
      <c r="H10251" s="27">
        <v>104</v>
      </c>
      <c r="I10251" s="21" t="s">
        <v>3728</v>
      </c>
      <c r="J10251" s="21"/>
      <c r="K10251" s="21" t="s">
        <v>100</v>
      </c>
      <c r="L10251" s="21"/>
      <c r="M10251" s="21" t="s">
        <v>7038</v>
      </c>
      <c r="N10251" s="21" t="s">
        <v>40</v>
      </c>
      <c r="O10251" s="21">
        <v>49</v>
      </c>
      <c r="P10251" s="21"/>
      <c r="Q10251" s="21">
        <f t="shared" si="221"/>
        <v>3</v>
      </c>
      <c r="R10251" s="21">
        <v>1</v>
      </c>
      <c r="S10251" s="21">
        <v>0</v>
      </c>
      <c r="T10251" s="21">
        <v>0</v>
      </c>
      <c r="U10251" s="21">
        <v>0</v>
      </c>
      <c r="V10251" s="21">
        <v>3</v>
      </c>
      <c r="W10251" s="21">
        <v>0</v>
      </c>
      <c r="Y10251" s="21">
        <v>0</v>
      </c>
      <c r="Z10251" s="21">
        <v>0</v>
      </c>
      <c r="AA10251" s="21">
        <v>0</v>
      </c>
      <c r="AB10251" s="21">
        <v>0</v>
      </c>
      <c r="AC10251" s="21">
        <v>0</v>
      </c>
      <c r="AD10251" s="21">
        <v>0</v>
      </c>
      <c r="AE10251" s="21">
        <v>0</v>
      </c>
      <c r="AF10251" s="21">
        <v>0</v>
      </c>
      <c r="AG10251" s="21">
        <v>0</v>
      </c>
      <c r="AH10251" s="21">
        <f t="shared" si="222"/>
        <v>192</v>
      </c>
      <c r="AI10251" s="21"/>
      <c r="AJ10251" s="21" t="s">
        <v>51</v>
      </c>
      <c r="AK10251" s="21" t="s">
        <v>52</v>
      </c>
      <c r="AL10251" s="21"/>
      <c r="AM10251" s="21" t="s">
        <v>8141</v>
      </c>
      <c r="AN10251" s="21">
        <v>-122.4072578</v>
      </c>
      <c r="AO10251" s="21">
        <v>37.785555549999998</v>
      </c>
      <c r="AP10251" s="21" t="s">
        <v>116</v>
      </c>
    </row>
    <row r="10252" spans="1:42">
      <c r="A10252" s="20">
        <v>43893</v>
      </c>
      <c r="B10252" s="21">
        <v>2</v>
      </c>
      <c r="C10252" s="21">
        <v>313</v>
      </c>
      <c r="D10252" s="21">
        <v>14384</v>
      </c>
      <c r="E10252" s="21" t="s">
        <v>112</v>
      </c>
      <c r="F10252" s="21" t="s">
        <v>38</v>
      </c>
      <c r="G10252" s="21">
        <v>4</v>
      </c>
      <c r="H10252" s="27">
        <v>105</v>
      </c>
      <c r="I10252" s="21" t="s">
        <v>3137</v>
      </c>
      <c r="J10252" s="21"/>
      <c r="K10252" s="21" t="s">
        <v>73</v>
      </c>
      <c r="L10252" s="21"/>
      <c r="M10252" s="21" t="s">
        <v>7038</v>
      </c>
      <c r="N10252" s="21" t="s">
        <v>40</v>
      </c>
      <c r="O10252" s="21">
        <v>34</v>
      </c>
      <c r="P10252" s="21"/>
      <c r="Q10252" s="21">
        <f t="shared" si="221"/>
        <v>1</v>
      </c>
      <c r="R10252" s="21">
        <v>1</v>
      </c>
      <c r="S10252" s="21">
        <v>0</v>
      </c>
      <c r="T10252" s="21">
        <v>0</v>
      </c>
      <c r="U10252" s="21">
        <v>1</v>
      </c>
      <c r="V10252" s="21">
        <v>0</v>
      </c>
      <c r="W10252" s="21">
        <v>0</v>
      </c>
      <c r="Y10252" s="21">
        <v>0</v>
      </c>
      <c r="Z10252" s="21">
        <v>0</v>
      </c>
      <c r="AA10252" s="21">
        <v>0</v>
      </c>
      <c r="AB10252" s="21">
        <v>0</v>
      </c>
      <c r="AC10252" s="21">
        <v>0</v>
      </c>
      <c r="AD10252" s="21">
        <v>0</v>
      </c>
      <c r="AE10252" s="21">
        <v>0</v>
      </c>
      <c r="AF10252" s="21">
        <v>0</v>
      </c>
      <c r="AG10252" s="21">
        <v>0</v>
      </c>
      <c r="AH10252" s="21">
        <f t="shared" si="222"/>
        <v>32</v>
      </c>
      <c r="AI10252" s="21"/>
      <c r="AJ10252" s="21" t="s">
        <v>51</v>
      </c>
      <c r="AK10252" s="21" t="s">
        <v>95</v>
      </c>
      <c r="AL10252" s="21" t="s">
        <v>8142</v>
      </c>
      <c r="AM10252" s="21" t="s">
        <v>8143</v>
      </c>
      <c r="AN10252" s="21">
        <v>-122.406781533333</v>
      </c>
      <c r="AO10252" s="21">
        <v>37.785671116666698</v>
      </c>
      <c r="AP10252" s="21" t="s">
        <v>116</v>
      </c>
    </row>
    <row r="10253" spans="1:42">
      <c r="A10253" s="20">
        <v>43893</v>
      </c>
      <c r="B10253" s="21">
        <v>2</v>
      </c>
      <c r="C10253" s="21">
        <v>313</v>
      </c>
      <c r="D10253" s="21">
        <v>14384</v>
      </c>
      <c r="E10253" s="21" t="s">
        <v>112</v>
      </c>
      <c r="F10253" s="21" t="s">
        <v>38</v>
      </c>
      <c r="G10253" s="21">
        <v>4</v>
      </c>
      <c r="H10253" s="27">
        <v>106</v>
      </c>
      <c r="I10253" s="21" t="s">
        <v>8144</v>
      </c>
      <c r="J10253" s="21"/>
      <c r="K10253" s="21" t="s">
        <v>8086</v>
      </c>
      <c r="L10253" s="21"/>
      <c r="M10253" s="21" t="s">
        <v>7038</v>
      </c>
      <c r="N10253" s="21" t="s">
        <v>40</v>
      </c>
      <c r="O10253" s="21">
        <v>68</v>
      </c>
      <c r="P10253" s="21"/>
      <c r="Q10253" s="21">
        <f t="shared" si="221"/>
        <v>3</v>
      </c>
      <c r="R10253" s="21">
        <v>1</v>
      </c>
      <c r="S10253" s="21">
        <v>0</v>
      </c>
      <c r="T10253" s="21">
        <v>0</v>
      </c>
      <c r="U10253" s="21">
        <v>1</v>
      </c>
      <c r="V10253" s="21">
        <v>2</v>
      </c>
      <c r="W10253" s="21">
        <v>0</v>
      </c>
      <c r="Y10253" s="21">
        <v>0</v>
      </c>
      <c r="Z10253" s="21">
        <v>0</v>
      </c>
      <c r="AA10253" s="21">
        <v>0</v>
      </c>
      <c r="AB10253" s="21">
        <v>0</v>
      </c>
      <c r="AC10253" s="21">
        <v>0</v>
      </c>
      <c r="AD10253" s="21">
        <v>0</v>
      </c>
      <c r="AE10253" s="21">
        <v>0</v>
      </c>
      <c r="AF10253" s="21">
        <v>0</v>
      </c>
      <c r="AG10253" s="21">
        <v>0</v>
      </c>
      <c r="AH10253" s="21">
        <f t="shared" si="222"/>
        <v>160</v>
      </c>
      <c r="AI10253" s="21"/>
      <c r="AJ10253" s="21" t="s">
        <v>51</v>
      </c>
      <c r="AK10253" s="21" t="s">
        <v>95</v>
      </c>
      <c r="AL10253" s="21" t="s">
        <v>8145</v>
      </c>
      <c r="AM10253" s="21" t="s">
        <v>8146</v>
      </c>
      <c r="AN10253" s="21">
        <v>-122.40898679999999</v>
      </c>
      <c r="AO10253" s="21">
        <v>37.785845533333301</v>
      </c>
      <c r="AP10253" s="21" t="s">
        <v>116</v>
      </c>
    </row>
    <row r="10254" spans="1:42">
      <c r="A10254" s="20">
        <v>43893</v>
      </c>
      <c r="B10254" s="21">
        <v>2</v>
      </c>
      <c r="C10254" s="21">
        <v>313</v>
      </c>
      <c r="D10254" s="21">
        <v>14384</v>
      </c>
      <c r="E10254" s="21" t="s">
        <v>112</v>
      </c>
      <c r="F10254" s="21" t="s">
        <v>38</v>
      </c>
      <c r="G10254" s="21">
        <v>4</v>
      </c>
      <c r="H10254" s="27">
        <v>107</v>
      </c>
      <c r="I10254" s="21" t="s">
        <v>8147</v>
      </c>
      <c r="J10254" s="21"/>
      <c r="K10254" s="21" t="s">
        <v>8086</v>
      </c>
      <c r="L10254" s="21"/>
      <c r="M10254" s="21" t="s">
        <v>6618</v>
      </c>
      <c r="N10254" s="21" t="s">
        <v>40</v>
      </c>
      <c r="O10254" s="21">
        <v>22</v>
      </c>
      <c r="P10254" s="21"/>
      <c r="Q10254" s="21">
        <f t="shared" si="221"/>
        <v>1</v>
      </c>
      <c r="R10254" s="21">
        <v>1</v>
      </c>
      <c r="S10254" s="21">
        <v>0</v>
      </c>
      <c r="T10254" s="21">
        <v>0</v>
      </c>
      <c r="U10254" s="21">
        <v>0</v>
      </c>
      <c r="V10254" s="21">
        <v>1</v>
      </c>
      <c r="W10254" s="21">
        <v>0</v>
      </c>
      <c r="Y10254" s="21">
        <v>0</v>
      </c>
      <c r="Z10254" s="21">
        <v>0</v>
      </c>
      <c r="AA10254" s="21">
        <v>0</v>
      </c>
      <c r="AB10254" s="21">
        <v>0</v>
      </c>
      <c r="AC10254" s="21">
        <v>0</v>
      </c>
      <c r="AD10254" s="21">
        <v>0</v>
      </c>
      <c r="AE10254" s="21">
        <v>0</v>
      </c>
      <c r="AF10254" s="21">
        <v>0</v>
      </c>
      <c r="AG10254" s="21">
        <v>0</v>
      </c>
      <c r="AH10254" s="21">
        <f t="shared" si="222"/>
        <v>64</v>
      </c>
      <c r="AI10254" s="21"/>
      <c r="AJ10254" s="21" t="s">
        <v>51</v>
      </c>
      <c r="AK10254" s="21" t="s">
        <v>95</v>
      </c>
      <c r="AL10254" s="21"/>
      <c r="AM10254" s="21" t="s">
        <v>8148</v>
      </c>
      <c r="AN10254" s="21">
        <v>-122.408669616667</v>
      </c>
      <c r="AO10254" s="21">
        <v>37.7864532166667</v>
      </c>
      <c r="AP10254" s="21" t="s">
        <v>116</v>
      </c>
    </row>
    <row r="10255" spans="1:42">
      <c r="A10255" s="20">
        <v>43893</v>
      </c>
      <c r="B10255" s="21">
        <v>2</v>
      </c>
      <c r="C10255" s="21">
        <v>313</v>
      </c>
      <c r="D10255" s="21">
        <v>14384</v>
      </c>
      <c r="E10255" s="21" t="s">
        <v>112</v>
      </c>
      <c r="F10255" s="21" t="s">
        <v>38</v>
      </c>
      <c r="G10255" s="21">
        <v>4</v>
      </c>
      <c r="H10255" s="27">
        <v>108</v>
      </c>
      <c r="I10255" s="21" t="s">
        <v>8149</v>
      </c>
      <c r="J10255" s="21"/>
      <c r="K10255" s="21" t="s">
        <v>8086</v>
      </c>
      <c r="L10255" s="21"/>
      <c r="M10255" s="21" t="s">
        <v>7038</v>
      </c>
      <c r="N10255" s="21" t="s">
        <v>40</v>
      </c>
      <c r="O10255" s="21">
        <v>40</v>
      </c>
      <c r="P10255" s="21"/>
      <c r="Q10255" s="21">
        <f t="shared" si="221"/>
        <v>2</v>
      </c>
      <c r="R10255" s="21">
        <v>1</v>
      </c>
      <c r="S10255" s="21">
        <v>0</v>
      </c>
      <c r="T10255" s="21">
        <v>0</v>
      </c>
      <c r="U10255" s="21">
        <v>0</v>
      </c>
      <c r="V10255" s="21">
        <v>2</v>
      </c>
      <c r="W10255" s="21">
        <v>0</v>
      </c>
      <c r="Y10255" s="21">
        <v>0</v>
      </c>
      <c r="Z10255" s="21">
        <v>0</v>
      </c>
      <c r="AA10255" s="21">
        <v>0</v>
      </c>
      <c r="AB10255" s="21">
        <v>0</v>
      </c>
      <c r="AC10255" s="21">
        <v>0</v>
      </c>
      <c r="AD10255" s="21">
        <v>0</v>
      </c>
      <c r="AE10255" s="21">
        <v>0</v>
      </c>
      <c r="AF10255" s="21">
        <v>0</v>
      </c>
      <c r="AG10255" s="21">
        <v>0</v>
      </c>
      <c r="AH10255" s="21">
        <f t="shared" si="222"/>
        <v>128</v>
      </c>
      <c r="AI10255" s="21"/>
      <c r="AJ10255" s="21" t="s">
        <v>51</v>
      </c>
      <c r="AK10255" s="21" t="s">
        <v>95</v>
      </c>
      <c r="AL10255" s="21"/>
      <c r="AM10255" s="21" t="s">
        <v>8150</v>
      </c>
      <c r="AN10255" s="21">
        <v>-122.40859423333301</v>
      </c>
      <c r="AO10255" s="21">
        <v>37.786385216666602</v>
      </c>
      <c r="AP10255" s="21" t="s">
        <v>116</v>
      </c>
    </row>
    <row r="10256" spans="1:42">
      <c r="A10256" s="20">
        <v>43893</v>
      </c>
      <c r="B10256" s="21">
        <v>2</v>
      </c>
      <c r="C10256" s="21">
        <v>313</v>
      </c>
      <c r="D10256" s="21">
        <v>14384</v>
      </c>
      <c r="E10256" s="21" t="s">
        <v>112</v>
      </c>
      <c r="F10256" s="21" t="s">
        <v>38</v>
      </c>
      <c r="G10256" s="21">
        <v>4</v>
      </c>
      <c r="H10256" s="27">
        <v>109</v>
      </c>
      <c r="I10256" s="21" t="s">
        <v>8151</v>
      </c>
      <c r="J10256" s="21"/>
      <c r="K10256" s="21" t="s">
        <v>8086</v>
      </c>
      <c r="L10256" s="21"/>
      <c r="M10256" s="21" t="s">
        <v>7038</v>
      </c>
      <c r="N10256" s="21" t="s">
        <v>40</v>
      </c>
      <c r="O10256" s="21">
        <v>35</v>
      </c>
      <c r="P10256" s="21"/>
      <c r="Q10256" s="21">
        <f t="shared" si="221"/>
        <v>1</v>
      </c>
      <c r="R10256" s="21">
        <v>1</v>
      </c>
      <c r="S10256" s="21">
        <v>0</v>
      </c>
      <c r="T10256" s="21">
        <v>0</v>
      </c>
      <c r="U10256" s="21">
        <v>0</v>
      </c>
      <c r="V10256" s="21">
        <v>1</v>
      </c>
      <c r="W10256" s="21">
        <v>0</v>
      </c>
      <c r="Y10256" s="21">
        <v>0</v>
      </c>
      <c r="Z10256" s="21">
        <v>0</v>
      </c>
      <c r="AA10256" s="21">
        <v>0</v>
      </c>
      <c r="AB10256" s="21">
        <v>0</v>
      </c>
      <c r="AC10256" s="21">
        <v>0</v>
      </c>
      <c r="AD10256" s="21">
        <v>0</v>
      </c>
      <c r="AE10256" s="21">
        <v>0</v>
      </c>
      <c r="AF10256" s="21">
        <v>0</v>
      </c>
      <c r="AG10256" s="21">
        <v>0</v>
      </c>
      <c r="AH10256" s="21">
        <f t="shared" si="222"/>
        <v>64</v>
      </c>
      <c r="AI10256" s="21"/>
      <c r="AJ10256" s="21" t="s">
        <v>51</v>
      </c>
      <c r="AK10256" s="21" t="s">
        <v>52</v>
      </c>
      <c r="AL10256" s="21"/>
      <c r="AM10256" s="21" t="s">
        <v>8152</v>
      </c>
      <c r="AN10256" s="21">
        <v>-122.407870416667</v>
      </c>
      <c r="AO10256" s="21">
        <v>37.786307583333297</v>
      </c>
      <c r="AP10256" s="21" t="s">
        <v>116</v>
      </c>
    </row>
    <row r="10257" spans="1:42">
      <c r="A10257" s="20">
        <v>43893</v>
      </c>
      <c r="B10257" s="21">
        <v>2</v>
      </c>
      <c r="C10257" s="21">
        <v>313</v>
      </c>
      <c r="D10257" s="21">
        <v>14384</v>
      </c>
      <c r="E10257" s="21" t="s">
        <v>112</v>
      </c>
      <c r="F10257" s="21" t="s">
        <v>38</v>
      </c>
      <c r="G10257" s="21">
        <v>4</v>
      </c>
      <c r="H10257" s="27">
        <v>110</v>
      </c>
      <c r="I10257" s="21" t="s">
        <v>8153</v>
      </c>
      <c r="J10257" s="21"/>
      <c r="K10257" s="21" t="s">
        <v>8086</v>
      </c>
      <c r="L10257" s="21"/>
      <c r="M10257" s="21" t="s">
        <v>7038</v>
      </c>
      <c r="N10257" s="21" t="s">
        <v>40</v>
      </c>
      <c r="O10257" s="21">
        <v>43</v>
      </c>
      <c r="P10257" s="21"/>
      <c r="Q10257" s="21">
        <f t="shared" si="221"/>
        <v>3</v>
      </c>
      <c r="R10257" s="21">
        <v>1</v>
      </c>
      <c r="S10257" s="21">
        <v>0</v>
      </c>
      <c r="T10257" s="21">
        <v>0</v>
      </c>
      <c r="U10257" s="21">
        <v>0</v>
      </c>
      <c r="V10257" s="21">
        <v>3</v>
      </c>
      <c r="W10257" s="21">
        <v>0</v>
      </c>
      <c r="Y10257" s="21">
        <v>0</v>
      </c>
      <c r="Z10257" s="21">
        <v>0</v>
      </c>
      <c r="AA10257" s="21">
        <v>0</v>
      </c>
      <c r="AB10257" s="21">
        <v>0</v>
      </c>
      <c r="AC10257" s="21">
        <v>0</v>
      </c>
      <c r="AD10257" s="21">
        <v>0</v>
      </c>
      <c r="AE10257" s="21">
        <v>0</v>
      </c>
      <c r="AF10257" s="21">
        <v>0</v>
      </c>
      <c r="AG10257" s="21">
        <v>0</v>
      </c>
      <c r="AH10257" s="21">
        <f t="shared" si="222"/>
        <v>192</v>
      </c>
      <c r="AI10257" s="21"/>
      <c r="AJ10257" s="21" t="s">
        <v>51</v>
      </c>
      <c r="AK10257" s="21" t="s">
        <v>95</v>
      </c>
      <c r="AL10257" s="21"/>
      <c r="AM10257" s="21" t="s">
        <v>8154</v>
      </c>
      <c r="AN10257" s="21">
        <v>-122.407792883333</v>
      </c>
      <c r="AO10257" s="21">
        <v>37.786429216666697</v>
      </c>
      <c r="AP10257" s="21" t="s">
        <v>116</v>
      </c>
    </row>
    <row r="10258" spans="1:42">
      <c r="A10258" s="20">
        <v>43893</v>
      </c>
      <c r="B10258" s="21">
        <v>2</v>
      </c>
      <c r="C10258" s="21">
        <v>313</v>
      </c>
      <c r="D10258" s="21">
        <v>14384</v>
      </c>
      <c r="E10258" s="21" t="s">
        <v>112</v>
      </c>
      <c r="F10258" s="21" t="s">
        <v>38</v>
      </c>
      <c r="G10258" s="21">
        <v>4</v>
      </c>
      <c r="H10258" s="27">
        <v>111</v>
      </c>
      <c r="I10258" s="21" t="s">
        <v>4303</v>
      </c>
      <c r="J10258" s="21"/>
      <c r="K10258" s="21" t="s">
        <v>53</v>
      </c>
      <c r="L10258" s="21"/>
      <c r="M10258" s="21" t="s">
        <v>7038</v>
      </c>
      <c r="N10258" s="21" t="s">
        <v>40</v>
      </c>
      <c r="O10258" s="21">
        <v>42</v>
      </c>
      <c r="P10258" s="21"/>
      <c r="Q10258" s="21">
        <f t="shared" si="221"/>
        <v>1</v>
      </c>
      <c r="R10258" s="21">
        <v>1</v>
      </c>
      <c r="S10258" s="21">
        <v>0</v>
      </c>
      <c r="T10258" s="21">
        <v>0</v>
      </c>
      <c r="U10258" s="21">
        <v>0</v>
      </c>
      <c r="V10258" s="21">
        <v>1</v>
      </c>
      <c r="W10258" s="21">
        <v>0</v>
      </c>
      <c r="Y10258" s="21">
        <v>0</v>
      </c>
      <c r="Z10258" s="21">
        <v>0</v>
      </c>
      <c r="AA10258" s="21">
        <v>0</v>
      </c>
      <c r="AB10258" s="21">
        <v>0</v>
      </c>
      <c r="AC10258" s="21">
        <v>0</v>
      </c>
      <c r="AD10258" s="21">
        <v>0</v>
      </c>
      <c r="AE10258" s="21">
        <v>0</v>
      </c>
      <c r="AF10258" s="21">
        <v>0</v>
      </c>
      <c r="AG10258" s="21">
        <v>0</v>
      </c>
      <c r="AH10258" s="21">
        <f t="shared" si="222"/>
        <v>64</v>
      </c>
      <c r="AI10258" s="21"/>
      <c r="AJ10258" s="21" t="s">
        <v>51</v>
      </c>
      <c r="AK10258" s="21" t="s">
        <v>95</v>
      </c>
      <c r="AL10258" s="21"/>
      <c r="AM10258" s="21" t="s">
        <v>8155</v>
      </c>
      <c r="AN10258" s="21">
        <v>-122.40738886666701</v>
      </c>
      <c r="AO10258" s="21">
        <v>37.7883863666667</v>
      </c>
      <c r="AP10258" s="21" t="s">
        <v>116</v>
      </c>
    </row>
    <row r="10259" spans="1:42">
      <c r="A10259" s="20">
        <v>43893</v>
      </c>
      <c r="B10259" s="21">
        <v>2</v>
      </c>
      <c r="C10259" s="21">
        <v>313</v>
      </c>
      <c r="D10259" s="21">
        <v>14384</v>
      </c>
      <c r="E10259" s="21" t="s">
        <v>112</v>
      </c>
      <c r="F10259" s="21" t="s">
        <v>38</v>
      </c>
      <c r="G10259" s="21">
        <v>4</v>
      </c>
      <c r="H10259" s="27">
        <v>112</v>
      </c>
      <c r="I10259" s="21" t="s">
        <v>6569</v>
      </c>
      <c r="J10259" s="21"/>
      <c r="K10259" s="21" t="s">
        <v>74</v>
      </c>
      <c r="L10259" s="21"/>
      <c r="M10259" s="21" t="s">
        <v>7038</v>
      </c>
      <c r="N10259" s="21" t="s">
        <v>40</v>
      </c>
      <c r="O10259" s="21">
        <v>27</v>
      </c>
      <c r="P10259" s="21"/>
      <c r="Q10259" s="21">
        <f t="shared" si="221"/>
        <v>1</v>
      </c>
      <c r="R10259" s="21">
        <v>1</v>
      </c>
      <c r="S10259" s="21">
        <v>0</v>
      </c>
      <c r="T10259" s="21">
        <v>0</v>
      </c>
      <c r="U10259" s="21">
        <v>1</v>
      </c>
      <c r="V10259" s="21">
        <v>0</v>
      </c>
      <c r="W10259" s="21">
        <v>0</v>
      </c>
      <c r="Y10259" s="21">
        <v>0</v>
      </c>
      <c r="Z10259" s="21">
        <v>0</v>
      </c>
      <c r="AA10259" s="21">
        <v>0</v>
      </c>
      <c r="AB10259" s="21">
        <v>0</v>
      </c>
      <c r="AC10259" s="21">
        <v>0</v>
      </c>
      <c r="AD10259" s="21">
        <v>0</v>
      </c>
      <c r="AE10259" s="21">
        <v>0</v>
      </c>
      <c r="AF10259" s="21">
        <v>0</v>
      </c>
      <c r="AG10259" s="21">
        <v>0</v>
      </c>
      <c r="AH10259" s="21">
        <f t="shared" si="222"/>
        <v>32</v>
      </c>
      <c r="AI10259" s="21"/>
      <c r="AJ10259" s="21" t="s">
        <v>51</v>
      </c>
      <c r="AK10259" s="21" t="s">
        <v>95</v>
      </c>
      <c r="AL10259" s="21"/>
      <c r="AM10259" s="21" t="s">
        <v>8156</v>
      </c>
      <c r="AN10259" s="21">
        <v>-122.40801544999999</v>
      </c>
      <c r="AO10259" s="21">
        <v>37.787351433333299</v>
      </c>
      <c r="AP10259" s="21" t="s">
        <v>116</v>
      </c>
    </row>
    <row r="10260" spans="1:42">
      <c r="A10260" s="20">
        <v>43893</v>
      </c>
      <c r="B10260" s="21">
        <v>2</v>
      </c>
      <c r="C10260" s="21">
        <v>313</v>
      </c>
      <c r="D10260" s="21">
        <v>14384</v>
      </c>
      <c r="E10260" s="21" t="s">
        <v>112</v>
      </c>
      <c r="F10260" s="21" t="s">
        <v>38</v>
      </c>
      <c r="G10260" s="21">
        <v>4</v>
      </c>
      <c r="H10260" s="27">
        <v>113</v>
      </c>
      <c r="I10260" s="21" t="s">
        <v>6279</v>
      </c>
      <c r="J10260" s="21"/>
      <c r="K10260" s="21" t="s">
        <v>74</v>
      </c>
      <c r="L10260" s="21"/>
      <c r="M10260" s="21" t="s">
        <v>7038</v>
      </c>
      <c r="N10260" s="21" t="s">
        <v>40</v>
      </c>
      <c r="O10260" s="21">
        <v>47</v>
      </c>
      <c r="P10260" s="21"/>
      <c r="Q10260" s="21">
        <f t="shared" si="221"/>
        <v>1</v>
      </c>
      <c r="R10260" s="21">
        <v>1</v>
      </c>
      <c r="S10260" s="21">
        <v>0</v>
      </c>
      <c r="T10260" s="21">
        <v>0</v>
      </c>
      <c r="U10260" s="21">
        <v>1</v>
      </c>
      <c r="V10260" s="21">
        <v>0</v>
      </c>
      <c r="W10260" s="21">
        <v>0</v>
      </c>
      <c r="Y10260" s="21">
        <v>0</v>
      </c>
      <c r="Z10260" s="21">
        <v>0</v>
      </c>
      <c r="AA10260" s="21">
        <v>0</v>
      </c>
      <c r="AB10260" s="21">
        <v>0</v>
      </c>
      <c r="AC10260" s="21">
        <v>0</v>
      </c>
      <c r="AD10260" s="21">
        <v>0</v>
      </c>
      <c r="AE10260" s="21">
        <v>0</v>
      </c>
      <c r="AF10260" s="21">
        <v>0</v>
      </c>
      <c r="AG10260" s="21">
        <v>0</v>
      </c>
      <c r="AH10260" s="21">
        <f t="shared" si="222"/>
        <v>32</v>
      </c>
      <c r="AI10260" s="21"/>
      <c r="AJ10260" s="21" t="s">
        <v>51</v>
      </c>
      <c r="AK10260" s="21" t="s">
        <v>95</v>
      </c>
      <c r="AL10260" s="21" t="s">
        <v>8157</v>
      </c>
      <c r="AM10260" s="21" t="s">
        <v>8158</v>
      </c>
      <c r="AN10260" s="21">
        <v>-122.408776316667</v>
      </c>
      <c r="AO10260" s="21">
        <v>37.787375699999998</v>
      </c>
      <c r="AP10260" s="21" t="s">
        <v>116</v>
      </c>
    </row>
    <row r="10261" spans="1:42">
      <c r="A10261" s="20">
        <v>43893</v>
      </c>
      <c r="B10261" s="21">
        <v>2</v>
      </c>
      <c r="C10261" s="21">
        <v>313</v>
      </c>
      <c r="D10261" s="21">
        <v>14384</v>
      </c>
      <c r="E10261" s="21" t="s">
        <v>112</v>
      </c>
      <c r="F10261" s="21" t="s">
        <v>38</v>
      </c>
      <c r="G10261" s="21">
        <v>4</v>
      </c>
      <c r="H10261" s="27">
        <v>114</v>
      </c>
      <c r="I10261" s="21" t="s">
        <v>8159</v>
      </c>
      <c r="J10261" s="21"/>
      <c r="K10261" s="21" t="s">
        <v>74</v>
      </c>
      <c r="L10261" s="21"/>
      <c r="M10261" s="21" t="s">
        <v>7038</v>
      </c>
      <c r="N10261" s="21" t="s">
        <v>40</v>
      </c>
      <c r="O10261" s="21">
        <v>40</v>
      </c>
      <c r="P10261" s="21"/>
      <c r="Q10261" s="21">
        <f t="shared" si="221"/>
        <v>2</v>
      </c>
      <c r="R10261" s="21">
        <v>1</v>
      </c>
      <c r="S10261" s="21">
        <v>0</v>
      </c>
      <c r="T10261" s="21">
        <v>0</v>
      </c>
      <c r="U10261" s="21">
        <v>0</v>
      </c>
      <c r="V10261" s="21">
        <v>2</v>
      </c>
      <c r="W10261" s="21">
        <v>0</v>
      </c>
      <c r="Y10261" s="21">
        <v>0</v>
      </c>
      <c r="Z10261" s="21">
        <v>0</v>
      </c>
      <c r="AA10261" s="21">
        <v>0</v>
      </c>
      <c r="AB10261" s="21">
        <v>0</v>
      </c>
      <c r="AC10261" s="21">
        <v>0</v>
      </c>
      <c r="AD10261" s="21">
        <v>0</v>
      </c>
      <c r="AE10261" s="21">
        <v>0</v>
      </c>
      <c r="AF10261" s="21">
        <v>0</v>
      </c>
      <c r="AG10261" s="21">
        <v>0</v>
      </c>
      <c r="AH10261" s="21">
        <f t="shared" si="222"/>
        <v>128</v>
      </c>
      <c r="AI10261" s="21"/>
      <c r="AJ10261" s="21" t="s">
        <v>51</v>
      </c>
      <c r="AK10261" s="21" t="s">
        <v>52</v>
      </c>
      <c r="AL10261" s="21"/>
      <c r="AM10261" s="21" t="s">
        <v>8160</v>
      </c>
      <c r="AN10261" s="21">
        <v>-122.408914</v>
      </c>
      <c r="AO10261" s="21">
        <v>37.787448616666602</v>
      </c>
      <c r="AP10261" s="21" t="s">
        <v>116</v>
      </c>
    </row>
    <row r="10262" spans="1:42">
      <c r="A10262" s="20">
        <v>43893</v>
      </c>
      <c r="B10262" s="21">
        <v>2</v>
      </c>
      <c r="C10262" s="21">
        <v>313</v>
      </c>
      <c r="D10262" s="21">
        <v>14384</v>
      </c>
      <c r="E10262" s="21" t="s">
        <v>112</v>
      </c>
      <c r="F10262" s="21" t="s">
        <v>38</v>
      </c>
      <c r="G10262" s="21">
        <v>4</v>
      </c>
      <c r="H10262" s="27">
        <v>115</v>
      </c>
      <c r="I10262" s="21" t="s">
        <v>6235</v>
      </c>
      <c r="J10262" s="21"/>
      <c r="K10262" s="21" t="s">
        <v>53</v>
      </c>
      <c r="L10262" s="21"/>
      <c r="M10262" s="21" t="s">
        <v>7038</v>
      </c>
      <c r="N10262" s="21" t="s">
        <v>40</v>
      </c>
      <c r="O10262" s="21">
        <v>38</v>
      </c>
      <c r="P10262" s="21"/>
      <c r="Q10262" s="21">
        <f t="shared" si="221"/>
        <v>1</v>
      </c>
      <c r="R10262" s="21">
        <v>1</v>
      </c>
      <c r="S10262" s="21">
        <v>0</v>
      </c>
      <c r="T10262" s="21">
        <v>0</v>
      </c>
      <c r="U10262" s="21">
        <v>0</v>
      </c>
      <c r="V10262" s="21">
        <v>1</v>
      </c>
      <c r="W10262" s="21">
        <v>0</v>
      </c>
      <c r="Y10262" s="21">
        <v>0</v>
      </c>
      <c r="Z10262" s="21">
        <v>0</v>
      </c>
      <c r="AA10262" s="21">
        <v>0</v>
      </c>
      <c r="AB10262" s="21">
        <v>0</v>
      </c>
      <c r="AC10262" s="21">
        <v>0</v>
      </c>
      <c r="AD10262" s="21">
        <v>0</v>
      </c>
      <c r="AE10262" s="21">
        <v>0</v>
      </c>
      <c r="AF10262" s="21">
        <v>0</v>
      </c>
      <c r="AG10262" s="21">
        <v>0</v>
      </c>
      <c r="AH10262" s="21">
        <f t="shared" si="222"/>
        <v>64</v>
      </c>
      <c r="AI10262" s="21"/>
      <c r="AJ10262" s="21" t="s">
        <v>51</v>
      </c>
      <c r="AK10262" s="21" t="s">
        <v>52</v>
      </c>
      <c r="AL10262" s="21" t="s">
        <v>8161</v>
      </c>
      <c r="AM10262" s="21" t="s">
        <v>8162</v>
      </c>
      <c r="AN10262" s="21">
        <v>-122.40972565</v>
      </c>
      <c r="AO10262" s="21">
        <v>37.788094633333301</v>
      </c>
      <c r="AP10262" s="21" t="s">
        <v>116</v>
      </c>
    </row>
    <row r="10263" spans="1:42">
      <c r="A10263" s="20">
        <v>43893</v>
      </c>
      <c r="B10263" s="21">
        <v>2</v>
      </c>
      <c r="C10263" s="21">
        <v>313</v>
      </c>
      <c r="D10263" s="21">
        <v>14384</v>
      </c>
      <c r="E10263" s="21" t="s">
        <v>112</v>
      </c>
      <c r="F10263" s="21" t="s">
        <v>38</v>
      </c>
      <c r="G10263" s="21">
        <v>4</v>
      </c>
      <c r="H10263" s="27">
        <v>116</v>
      </c>
      <c r="I10263" s="21" t="s">
        <v>8163</v>
      </c>
      <c r="J10263" s="21"/>
      <c r="K10263" s="21" t="s">
        <v>53</v>
      </c>
      <c r="L10263" s="21"/>
      <c r="M10263" s="21" t="s">
        <v>7038</v>
      </c>
      <c r="N10263" s="21" t="s">
        <v>40</v>
      </c>
      <c r="O10263" s="21">
        <v>29</v>
      </c>
      <c r="P10263" s="21"/>
      <c r="Q10263" s="21">
        <f t="shared" si="221"/>
        <v>1</v>
      </c>
      <c r="R10263" s="21">
        <v>1</v>
      </c>
      <c r="S10263" s="21">
        <v>0</v>
      </c>
      <c r="T10263" s="21">
        <v>0</v>
      </c>
      <c r="U10263" s="21">
        <v>0</v>
      </c>
      <c r="V10263" s="21">
        <v>1</v>
      </c>
      <c r="W10263" s="21">
        <v>0</v>
      </c>
      <c r="Y10263" s="21">
        <v>0</v>
      </c>
      <c r="Z10263" s="21">
        <v>0</v>
      </c>
      <c r="AA10263" s="21">
        <v>0</v>
      </c>
      <c r="AB10263" s="21">
        <v>0</v>
      </c>
      <c r="AC10263" s="21">
        <v>0</v>
      </c>
      <c r="AD10263" s="21">
        <v>0</v>
      </c>
      <c r="AE10263" s="21">
        <v>0</v>
      </c>
      <c r="AF10263" s="21">
        <v>0</v>
      </c>
      <c r="AG10263" s="21">
        <v>0</v>
      </c>
      <c r="AH10263" s="21">
        <f t="shared" si="222"/>
        <v>64</v>
      </c>
      <c r="AI10263" s="21"/>
      <c r="AJ10263" s="21" t="s">
        <v>51</v>
      </c>
      <c r="AK10263" s="21" t="s">
        <v>52</v>
      </c>
      <c r="AL10263" s="21"/>
      <c r="AM10263" s="21" t="s">
        <v>8164</v>
      </c>
      <c r="AN10263" s="21">
        <v>-122.41067226831299</v>
      </c>
      <c r="AO10263" s="21">
        <v>37.786863337631701</v>
      </c>
      <c r="AP10263" s="21" t="s">
        <v>116</v>
      </c>
    </row>
    <row r="10264" spans="1:42">
      <c r="A10264" s="20">
        <v>43893</v>
      </c>
      <c r="B10264" s="21">
        <v>2</v>
      </c>
      <c r="C10264" s="21">
        <v>313</v>
      </c>
      <c r="D10264" s="21">
        <v>14384</v>
      </c>
      <c r="E10264" s="21" t="s">
        <v>112</v>
      </c>
      <c r="F10264" s="21" t="s">
        <v>38</v>
      </c>
      <c r="G10264" s="21">
        <v>4</v>
      </c>
      <c r="H10264" s="27">
        <v>117</v>
      </c>
      <c r="I10264" s="21" t="s">
        <v>6862</v>
      </c>
      <c r="J10264" s="21"/>
      <c r="K10264" s="21" t="s">
        <v>53</v>
      </c>
      <c r="L10264" s="21"/>
      <c r="M10264" s="21" t="s">
        <v>7038</v>
      </c>
      <c r="N10264" s="21" t="s">
        <v>40</v>
      </c>
      <c r="O10264" s="21">
        <v>38</v>
      </c>
      <c r="P10264" s="21"/>
      <c r="Q10264" s="21">
        <f t="shared" si="221"/>
        <v>2</v>
      </c>
      <c r="R10264" s="21">
        <v>1</v>
      </c>
      <c r="S10264" s="21">
        <v>0</v>
      </c>
      <c r="T10264" s="21">
        <v>0</v>
      </c>
      <c r="U10264" s="21">
        <v>0</v>
      </c>
      <c r="V10264" s="21">
        <v>2</v>
      </c>
      <c r="W10264" s="21">
        <v>0</v>
      </c>
      <c r="Y10264" s="21">
        <v>0</v>
      </c>
      <c r="Z10264" s="21">
        <v>0</v>
      </c>
      <c r="AA10264" s="21">
        <v>0</v>
      </c>
      <c r="AB10264" s="21">
        <v>0</v>
      </c>
      <c r="AC10264" s="21">
        <v>0</v>
      </c>
      <c r="AD10264" s="21">
        <v>0</v>
      </c>
      <c r="AE10264" s="21">
        <v>0</v>
      </c>
      <c r="AF10264" s="21">
        <v>0</v>
      </c>
      <c r="AG10264" s="21">
        <v>0</v>
      </c>
      <c r="AH10264" s="21">
        <f t="shared" si="222"/>
        <v>128</v>
      </c>
      <c r="AI10264" s="21"/>
      <c r="AJ10264" s="21" t="s">
        <v>51</v>
      </c>
      <c r="AK10264" s="21" t="s">
        <v>95</v>
      </c>
      <c r="AL10264" s="21"/>
      <c r="AM10264" s="21" t="s">
        <v>8165</v>
      </c>
      <c r="AN10264" s="21">
        <v>-122.409109116667</v>
      </c>
      <c r="AO10264" s="21">
        <v>37.788123616666603</v>
      </c>
      <c r="AP10264" s="21" t="s">
        <v>116</v>
      </c>
    </row>
    <row r="10265" spans="1:42">
      <c r="A10265" s="20">
        <v>43893</v>
      </c>
      <c r="B10265" s="21">
        <v>2</v>
      </c>
      <c r="C10265" s="21">
        <v>313</v>
      </c>
      <c r="D10265" s="21">
        <v>14384</v>
      </c>
      <c r="E10265" s="21" t="s">
        <v>112</v>
      </c>
      <c r="F10265" s="21" t="s">
        <v>38</v>
      </c>
      <c r="G10265" s="21">
        <v>4</v>
      </c>
      <c r="H10265" s="27">
        <v>118</v>
      </c>
      <c r="I10265" s="21" t="s">
        <v>4296</v>
      </c>
      <c r="J10265" s="21"/>
      <c r="K10265" s="21" t="s">
        <v>53</v>
      </c>
      <c r="L10265" s="21"/>
      <c r="M10265" s="21" t="s">
        <v>7038</v>
      </c>
      <c r="N10265" s="21" t="s">
        <v>40</v>
      </c>
      <c r="O10265" s="21">
        <v>31</v>
      </c>
      <c r="P10265" s="21"/>
      <c r="Q10265" s="21">
        <f t="shared" si="221"/>
        <v>2</v>
      </c>
      <c r="R10265" s="21">
        <v>1</v>
      </c>
      <c r="S10265" s="21">
        <v>0</v>
      </c>
      <c r="T10265" s="21">
        <v>0</v>
      </c>
      <c r="U10265" s="21">
        <v>0</v>
      </c>
      <c r="V10265" s="21">
        <v>2</v>
      </c>
      <c r="W10265" s="21">
        <v>0</v>
      </c>
      <c r="Y10265" s="21">
        <v>0</v>
      </c>
      <c r="Z10265" s="21">
        <v>0</v>
      </c>
      <c r="AA10265" s="21">
        <v>0</v>
      </c>
      <c r="AB10265" s="21">
        <v>0</v>
      </c>
      <c r="AC10265" s="21">
        <v>0</v>
      </c>
      <c r="AD10265" s="21">
        <v>0</v>
      </c>
      <c r="AE10265" s="21">
        <v>0</v>
      </c>
      <c r="AF10265" s="21">
        <v>0</v>
      </c>
      <c r="AG10265" s="21">
        <v>0</v>
      </c>
      <c r="AH10265" s="21">
        <f t="shared" si="222"/>
        <v>128</v>
      </c>
      <c r="AI10265" s="21"/>
      <c r="AJ10265" s="21" t="s">
        <v>51</v>
      </c>
      <c r="AK10265" s="21" t="s">
        <v>95</v>
      </c>
      <c r="AL10265" s="21"/>
      <c r="AM10265" s="21" t="s">
        <v>8166</v>
      </c>
      <c r="AN10265" s="21">
        <v>-122.408922233333</v>
      </c>
      <c r="AO10265" s="21">
        <v>37.788019433333297</v>
      </c>
      <c r="AP10265" s="21" t="s">
        <v>116</v>
      </c>
    </row>
    <row r="10266" spans="1:42">
      <c r="A10266" s="20">
        <v>43893</v>
      </c>
      <c r="B10266" s="21">
        <v>2</v>
      </c>
      <c r="C10266" s="21">
        <v>313</v>
      </c>
      <c r="D10266" s="21">
        <v>14384</v>
      </c>
      <c r="E10266" s="21" t="s">
        <v>112</v>
      </c>
      <c r="F10266" s="21" t="s">
        <v>38</v>
      </c>
      <c r="G10266" s="21">
        <v>4</v>
      </c>
      <c r="H10266" s="27">
        <v>119</v>
      </c>
      <c r="I10266" s="21" t="s">
        <v>8167</v>
      </c>
      <c r="J10266" s="21"/>
      <c r="K10266" s="21" t="s">
        <v>407</v>
      </c>
      <c r="L10266" s="21"/>
      <c r="M10266" s="21" t="s">
        <v>7038</v>
      </c>
      <c r="N10266" s="21" t="s">
        <v>40</v>
      </c>
      <c r="O10266" s="21">
        <v>79</v>
      </c>
      <c r="P10266" s="21"/>
      <c r="Q10266" s="21">
        <f t="shared" si="221"/>
        <v>5</v>
      </c>
      <c r="R10266" s="21">
        <v>1</v>
      </c>
      <c r="S10266" s="21">
        <v>0</v>
      </c>
      <c r="T10266" s="21">
        <v>0</v>
      </c>
      <c r="U10266" s="21">
        <v>4</v>
      </c>
      <c r="V10266" s="21">
        <v>1</v>
      </c>
      <c r="W10266" s="21">
        <v>0</v>
      </c>
      <c r="Y10266" s="21">
        <v>0</v>
      </c>
      <c r="Z10266" s="21">
        <v>0</v>
      </c>
      <c r="AA10266" s="21">
        <v>0</v>
      </c>
      <c r="AB10266" s="21">
        <v>0</v>
      </c>
      <c r="AC10266" s="21">
        <v>0</v>
      </c>
      <c r="AD10266" s="21">
        <v>0</v>
      </c>
      <c r="AE10266" s="21">
        <v>0</v>
      </c>
      <c r="AF10266" s="21">
        <v>0</v>
      </c>
      <c r="AG10266" s="21">
        <v>0</v>
      </c>
      <c r="AH10266" s="21">
        <f t="shared" si="222"/>
        <v>192</v>
      </c>
      <c r="AI10266" s="21"/>
      <c r="AJ10266" s="21" t="s">
        <v>51</v>
      </c>
      <c r="AK10266" s="21" t="s">
        <v>52</v>
      </c>
      <c r="AL10266" s="21" t="s">
        <v>8168</v>
      </c>
      <c r="AM10266" s="21" t="s">
        <v>8169</v>
      </c>
      <c r="AN10266" s="21">
        <v>-122.4082126</v>
      </c>
      <c r="AO10266" s="21">
        <v>37.789471550000002</v>
      </c>
      <c r="AP10266" s="21" t="s">
        <v>116</v>
      </c>
    </row>
    <row r="10267" spans="1:42">
      <c r="A10267" s="20">
        <v>43893</v>
      </c>
      <c r="B10267" s="21">
        <v>2</v>
      </c>
      <c r="C10267" s="21">
        <v>313</v>
      </c>
      <c r="D10267" s="21">
        <v>14384</v>
      </c>
      <c r="E10267" s="21" t="s">
        <v>112</v>
      </c>
      <c r="F10267" s="21" t="s">
        <v>38</v>
      </c>
      <c r="G10267" s="21">
        <v>4</v>
      </c>
      <c r="H10267" s="27">
        <v>120</v>
      </c>
      <c r="I10267" s="21" t="s">
        <v>5666</v>
      </c>
      <c r="J10267" s="21"/>
      <c r="K10267" s="21" t="s">
        <v>49</v>
      </c>
      <c r="L10267" s="21"/>
      <c r="M10267" s="21" t="s">
        <v>7038</v>
      </c>
      <c r="N10267" s="21" t="s">
        <v>40</v>
      </c>
      <c r="O10267" s="21">
        <v>45</v>
      </c>
      <c r="P10267" s="21"/>
      <c r="Q10267" s="21">
        <f t="shared" si="221"/>
        <v>2</v>
      </c>
      <c r="R10267" s="21">
        <v>1</v>
      </c>
      <c r="S10267" s="21">
        <v>0</v>
      </c>
      <c r="T10267" s="21">
        <v>0</v>
      </c>
      <c r="U10267" s="21">
        <v>0</v>
      </c>
      <c r="V10267" s="21">
        <v>2</v>
      </c>
      <c r="W10267" s="21">
        <v>0</v>
      </c>
      <c r="Y10267" s="21">
        <v>0</v>
      </c>
      <c r="Z10267" s="21">
        <v>0</v>
      </c>
      <c r="AA10267" s="21">
        <v>0</v>
      </c>
      <c r="AB10267" s="21">
        <v>0</v>
      </c>
      <c r="AC10267" s="21">
        <v>0</v>
      </c>
      <c r="AD10267" s="21">
        <v>0</v>
      </c>
      <c r="AE10267" s="21">
        <v>0</v>
      </c>
      <c r="AF10267" s="21">
        <v>0</v>
      </c>
      <c r="AG10267" s="21">
        <v>0</v>
      </c>
      <c r="AH10267" s="21">
        <f t="shared" si="222"/>
        <v>128</v>
      </c>
      <c r="AI10267" s="21"/>
      <c r="AJ10267" s="21" t="s">
        <v>51</v>
      </c>
      <c r="AK10267" s="21" t="s">
        <v>95</v>
      </c>
      <c r="AL10267" s="21"/>
      <c r="AM10267" s="21" t="s">
        <v>8170</v>
      </c>
      <c r="AN10267" s="21">
        <v>-122.40872033333299</v>
      </c>
      <c r="AO10267" s="21">
        <v>37.789037366666697</v>
      </c>
      <c r="AP10267" s="21" t="s">
        <v>116</v>
      </c>
    </row>
    <row r="10268" spans="1:42">
      <c r="A10268" s="20">
        <v>43893</v>
      </c>
      <c r="B10268" s="21">
        <v>2</v>
      </c>
      <c r="C10268" s="21">
        <v>313</v>
      </c>
      <c r="D10268" s="21">
        <v>14384</v>
      </c>
      <c r="E10268" s="21" t="s">
        <v>112</v>
      </c>
      <c r="F10268" s="21" t="s">
        <v>38</v>
      </c>
      <c r="G10268" s="21">
        <v>4</v>
      </c>
      <c r="H10268" s="27">
        <v>121</v>
      </c>
      <c r="I10268" s="21" t="s">
        <v>8171</v>
      </c>
      <c r="J10268" s="21"/>
      <c r="K10268" s="21" t="s">
        <v>49</v>
      </c>
      <c r="L10268" s="21"/>
      <c r="M10268" s="21" t="s">
        <v>7038</v>
      </c>
      <c r="N10268" s="21" t="s">
        <v>40</v>
      </c>
      <c r="O10268" s="21">
        <v>30</v>
      </c>
      <c r="P10268" s="21"/>
      <c r="Q10268" s="21">
        <f t="shared" si="221"/>
        <v>1</v>
      </c>
      <c r="R10268" s="21">
        <v>1</v>
      </c>
      <c r="S10268" s="21">
        <v>0</v>
      </c>
      <c r="T10268" s="21">
        <v>0</v>
      </c>
      <c r="U10268" s="21">
        <v>0</v>
      </c>
      <c r="V10268" s="21">
        <v>1</v>
      </c>
      <c r="W10268" s="21">
        <v>0</v>
      </c>
      <c r="Y10268" s="21">
        <v>0</v>
      </c>
      <c r="Z10268" s="21">
        <v>0</v>
      </c>
      <c r="AA10268" s="21">
        <v>0</v>
      </c>
      <c r="AB10268" s="21">
        <v>0</v>
      </c>
      <c r="AC10268" s="21">
        <v>0</v>
      </c>
      <c r="AD10268" s="21">
        <v>0</v>
      </c>
      <c r="AE10268" s="21">
        <v>0</v>
      </c>
      <c r="AF10268" s="21">
        <v>0</v>
      </c>
      <c r="AG10268" s="21">
        <v>0</v>
      </c>
      <c r="AH10268" s="21">
        <f t="shared" si="222"/>
        <v>64</v>
      </c>
      <c r="AI10268" s="21"/>
      <c r="AJ10268" s="21" t="s">
        <v>51</v>
      </c>
      <c r="AK10268" s="21" t="s">
        <v>52</v>
      </c>
      <c r="AL10268" s="21"/>
      <c r="AM10268" s="21" t="s">
        <v>8172</v>
      </c>
      <c r="AN10268" s="21">
        <v>-122.407855843557</v>
      </c>
      <c r="AO10268" s="21">
        <v>37.788311255092303</v>
      </c>
      <c r="AP10268" s="21" t="s">
        <v>116</v>
      </c>
    </row>
    <row r="10269" spans="1:42">
      <c r="A10269" s="20">
        <v>43893</v>
      </c>
      <c r="B10269" s="21">
        <v>2</v>
      </c>
      <c r="C10269" s="21">
        <v>313</v>
      </c>
      <c r="D10269" s="21">
        <v>14384</v>
      </c>
      <c r="E10269" s="21" t="s">
        <v>112</v>
      </c>
      <c r="F10269" s="21" t="s">
        <v>38</v>
      </c>
      <c r="G10269" s="21">
        <v>4</v>
      </c>
      <c r="H10269" s="27">
        <v>122</v>
      </c>
      <c r="I10269" s="21" t="s">
        <v>5737</v>
      </c>
      <c r="J10269" s="21"/>
      <c r="K10269" s="21" t="s">
        <v>49</v>
      </c>
      <c r="L10269" s="21"/>
      <c r="M10269" s="21" t="s">
        <v>7038</v>
      </c>
      <c r="N10269" s="21" t="s">
        <v>40</v>
      </c>
      <c r="O10269" s="21">
        <v>37</v>
      </c>
      <c r="P10269" s="21"/>
      <c r="Q10269" s="21">
        <f t="shared" si="221"/>
        <v>1</v>
      </c>
      <c r="R10269" s="21">
        <v>1</v>
      </c>
      <c r="S10269" s="21">
        <v>0</v>
      </c>
      <c r="T10269" s="21">
        <v>0</v>
      </c>
      <c r="U10269" s="21">
        <v>1</v>
      </c>
      <c r="V10269" s="21">
        <v>0</v>
      </c>
      <c r="W10269" s="21">
        <v>0</v>
      </c>
      <c r="Y10269" s="21">
        <v>0</v>
      </c>
      <c r="Z10269" s="21">
        <v>0</v>
      </c>
      <c r="AA10269" s="21">
        <v>0</v>
      </c>
      <c r="AB10269" s="21">
        <v>0</v>
      </c>
      <c r="AC10269" s="21">
        <v>0</v>
      </c>
      <c r="AD10269" s="21">
        <v>0</v>
      </c>
      <c r="AE10269" s="21">
        <v>0</v>
      </c>
      <c r="AF10269" s="21">
        <v>0</v>
      </c>
      <c r="AG10269" s="21">
        <v>0</v>
      </c>
      <c r="AH10269" s="21">
        <f t="shared" si="222"/>
        <v>32</v>
      </c>
      <c r="AI10269" s="21"/>
      <c r="AJ10269" s="21" t="s">
        <v>51</v>
      </c>
      <c r="AK10269" s="21" t="s">
        <v>52</v>
      </c>
      <c r="AL10269" s="21"/>
      <c r="AM10269" s="21" t="s">
        <v>8173</v>
      </c>
      <c r="AN10269" s="21">
        <v>-122.409938833333</v>
      </c>
      <c r="AO10269" s="21">
        <v>37.7889350833333</v>
      </c>
      <c r="AP10269" s="21" t="s">
        <v>116</v>
      </c>
    </row>
    <row r="10270" spans="1:42">
      <c r="A10270" s="20">
        <v>43893</v>
      </c>
      <c r="B10270" s="21">
        <v>2</v>
      </c>
      <c r="C10270" s="21">
        <v>313</v>
      </c>
      <c r="D10270" s="21">
        <v>14384</v>
      </c>
      <c r="E10270" s="21" t="s">
        <v>112</v>
      </c>
      <c r="F10270" s="21" t="s">
        <v>38</v>
      </c>
      <c r="G10270" s="21">
        <v>4</v>
      </c>
      <c r="H10270" s="27">
        <v>123</v>
      </c>
      <c r="I10270" s="21" t="s">
        <v>6714</v>
      </c>
      <c r="J10270" s="21"/>
      <c r="K10270" s="21" t="s">
        <v>49</v>
      </c>
      <c r="L10270" s="21"/>
      <c r="M10270" s="21" t="s">
        <v>6618</v>
      </c>
      <c r="N10270" s="21" t="s">
        <v>44</v>
      </c>
      <c r="O10270" s="21">
        <v>54</v>
      </c>
      <c r="P10270" s="21"/>
      <c r="Q10270" s="21">
        <f t="shared" si="221"/>
        <v>1</v>
      </c>
      <c r="R10270" s="21">
        <v>1</v>
      </c>
      <c r="S10270" s="21">
        <v>0</v>
      </c>
      <c r="T10270" s="21">
        <v>0</v>
      </c>
      <c r="U10270" s="21">
        <v>0</v>
      </c>
      <c r="V10270" s="21">
        <v>1</v>
      </c>
      <c r="W10270" s="21">
        <v>0</v>
      </c>
      <c r="Y10270" s="21">
        <v>0</v>
      </c>
      <c r="Z10270" s="21">
        <v>0</v>
      </c>
      <c r="AA10270" s="21">
        <v>0</v>
      </c>
      <c r="AB10270" s="21">
        <v>0</v>
      </c>
      <c r="AC10270" s="21">
        <v>0</v>
      </c>
      <c r="AD10270" s="21">
        <v>0</v>
      </c>
      <c r="AE10270" s="21">
        <v>0</v>
      </c>
      <c r="AF10270" s="21">
        <v>0</v>
      </c>
      <c r="AG10270" s="21">
        <v>0</v>
      </c>
      <c r="AH10270" s="21">
        <f t="shared" si="222"/>
        <v>64</v>
      </c>
      <c r="AI10270" s="21"/>
      <c r="AJ10270" s="21" t="s">
        <v>51</v>
      </c>
      <c r="AK10270" s="21" t="s">
        <v>52</v>
      </c>
      <c r="AL10270" s="21" t="s">
        <v>7105</v>
      </c>
      <c r="AM10270" s="21" t="s">
        <v>8174</v>
      </c>
      <c r="AN10270" s="21">
        <v>-122.409912933333</v>
      </c>
      <c r="AO10270" s="21">
        <v>37.7891002</v>
      </c>
      <c r="AP10270" s="21" t="s">
        <v>116</v>
      </c>
    </row>
    <row r="10271" spans="1:42">
      <c r="A10271" s="20">
        <v>43893</v>
      </c>
      <c r="B10271" s="21">
        <v>2</v>
      </c>
      <c r="C10271" s="21">
        <v>313</v>
      </c>
      <c r="D10271" s="21">
        <v>14384</v>
      </c>
      <c r="E10271" s="21" t="s">
        <v>112</v>
      </c>
      <c r="F10271" s="21" t="s">
        <v>38</v>
      </c>
      <c r="G10271" s="21">
        <v>4</v>
      </c>
      <c r="H10271" s="27">
        <v>124</v>
      </c>
      <c r="I10271" s="21" t="s">
        <v>8175</v>
      </c>
      <c r="J10271" s="21"/>
      <c r="K10271" s="21" t="s">
        <v>6992</v>
      </c>
      <c r="L10271" s="21"/>
      <c r="M10271" s="21" t="s">
        <v>7038</v>
      </c>
      <c r="N10271" s="21" t="s">
        <v>40</v>
      </c>
      <c r="O10271" s="21">
        <v>113</v>
      </c>
      <c r="P10271" s="21"/>
      <c r="Q10271" s="21">
        <f t="shared" si="221"/>
        <v>6</v>
      </c>
      <c r="R10271" s="21">
        <v>1</v>
      </c>
      <c r="S10271" s="21">
        <v>0</v>
      </c>
      <c r="T10271" s="21">
        <v>0</v>
      </c>
      <c r="U10271" s="21">
        <v>2</v>
      </c>
      <c r="V10271" s="21">
        <v>4</v>
      </c>
      <c r="W10271" s="21">
        <v>0</v>
      </c>
      <c r="Y10271" s="21">
        <v>0</v>
      </c>
      <c r="Z10271" s="21">
        <v>0</v>
      </c>
      <c r="AA10271" s="21">
        <v>0</v>
      </c>
      <c r="AB10271" s="21">
        <v>0</v>
      </c>
      <c r="AC10271" s="21">
        <v>0</v>
      </c>
      <c r="AD10271" s="21">
        <v>0</v>
      </c>
      <c r="AE10271" s="21">
        <v>0</v>
      </c>
      <c r="AF10271" s="21">
        <v>0</v>
      </c>
      <c r="AG10271" s="21">
        <v>0</v>
      </c>
      <c r="AH10271" s="21">
        <f t="shared" si="222"/>
        <v>320</v>
      </c>
      <c r="AI10271" s="21"/>
      <c r="AJ10271" s="21" t="s">
        <v>54</v>
      </c>
      <c r="AK10271" s="21" t="s">
        <v>52</v>
      </c>
      <c r="AL10271" s="21"/>
      <c r="AM10271" s="21" t="s">
        <v>8176</v>
      </c>
      <c r="AN10271" s="21">
        <v>-122.410227533333</v>
      </c>
      <c r="AO10271" s="21">
        <v>37.788478333333302</v>
      </c>
      <c r="AP10271" s="21" t="s">
        <v>116</v>
      </c>
    </row>
    <row r="10272" spans="1:42">
      <c r="A10272" s="20">
        <v>43893</v>
      </c>
      <c r="B10272" s="21">
        <v>2</v>
      </c>
      <c r="C10272" s="21">
        <v>313</v>
      </c>
      <c r="D10272" s="21">
        <v>14384</v>
      </c>
      <c r="E10272" s="21" t="s">
        <v>112</v>
      </c>
      <c r="F10272" s="21" t="s">
        <v>38</v>
      </c>
      <c r="G10272" s="21">
        <v>4</v>
      </c>
      <c r="H10272" s="27">
        <v>125</v>
      </c>
      <c r="I10272" s="21" t="s">
        <v>8177</v>
      </c>
      <c r="J10272" s="21"/>
      <c r="K10272" s="21" t="s">
        <v>407</v>
      </c>
      <c r="L10272" s="21"/>
      <c r="M10272" s="21" t="s">
        <v>7038</v>
      </c>
      <c r="N10272" s="21" t="s">
        <v>40</v>
      </c>
      <c r="O10272" s="21">
        <v>73</v>
      </c>
      <c r="P10272" s="21"/>
      <c r="Q10272" s="21">
        <f t="shared" si="221"/>
        <v>2</v>
      </c>
      <c r="R10272" s="21">
        <v>1</v>
      </c>
      <c r="S10272" s="21">
        <v>0</v>
      </c>
      <c r="T10272" s="21">
        <v>0</v>
      </c>
      <c r="U10272" s="21">
        <v>1</v>
      </c>
      <c r="V10272" s="21">
        <v>1</v>
      </c>
      <c r="W10272" s="21">
        <v>0</v>
      </c>
      <c r="Y10272" s="21">
        <v>0</v>
      </c>
      <c r="Z10272" s="21">
        <v>0</v>
      </c>
      <c r="AA10272" s="21">
        <v>0</v>
      </c>
      <c r="AB10272" s="21">
        <v>0</v>
      </c>
      <c r="AC10272" s="21">
        <v>0</v>
      </c>
      <c r="AD10272" s="21">
        <v>0</v>
      </c>
      <c r="AE10272" s="21">
        <v>0</v>
      </c>
      <c r="AF10272" s="21">
        <v>0</v>
      </c>
      <c r="AG10272" s="21">
        <v>0</v>
      </c>
      <c r="AH10272" s="21">
        <f t="shared" si="222"/>
        <v>96</v>
      </c>
      <c r="AI10272" s="21"/>
      <c r="AJ10272" s="21" t="s">
        <v>51</v>
      </c>
      <c r="AK10272" s="21" t="s">
        <v>95</v>
      </c>
      <c r="AL10272" s="21" t="s">
        <v>8178</v>
      </c>
      <c r="AM10272" s="21" t="s">
        <v>8179</v>
      </c>
      <c r="AN10272" s="21">
        <v>-122.408973366667</v>
      </c>
      <c r="AO10272" s="21">
        <v>37.790193033333303</v>
      </c>
      <c r="AP10272" s="21" t="s">
        <v>116</v>
      </c>
    </row>
    <row r="10273" spans="1:42">
      <c r="A10273" s="20">
        <v>43893</v>
      </c>
      <c r="B10273" s="21">
        <v>2</v>
      </c>
      <c r="C10273" s="21">
        <v>313</v>
      </c>
      <c r="D10273" s="21">
        <v>14384</v>
      </c>
      <c r="E10273" s="21" t="s">
        <v>112</v>
      </c>
      <c r="F10273" s="21" t="s">
        <v>38</v>
      </c>
      <c r="G10273" s="21">
        <v>4</v>
      </c>
      <c r="H10273" s="27">
        <v>126</v>
      </c>
      <c r="I10273" s="21" t="s">
        <v>5755</v>
      </c>
      <c r="J10273" s="21"/>
      <c r="K10273" s="21" t="s">
        <v>49</v>
      </c>
      <c r="L10273" s="21"/>
      <c r="M10273" s="21" t="s">
        <v>7038</v>
      </c>
      <c r="N10273" s="21" t="s">
        <v>44</v>
      </c>
      <c r="O10273" s="21">
        <v>184</v>
      </c>
      <c r="P10273" s="21"/>
      <c r="Q10273" s="21">
        <f t="shared" si="221"/>
        <v>5</v>
      </c>
      <c r="R10273" s="21">
        <v>1</v>
      </c>
      <c r="S10273" s="21">
        <v>0</v>
      </c>
      <c r="T10273" s="21">
        <v>0</v>
      </c>
      <c r="U10273" s="21">
        <v>0</v>
      </c>
      <c r="V10273" s="21">
        <v>5</v>
      </c>
      <c r="W10273" s="21">
        <v>0</v>
      </c>
      <c r="Y10273" s="21">
        <v>0</v>
      </c>
      <c r="Z10273" s="21">
        <v>0</v>
      </c>
      <c r="AA10273" s="21">
        <v>0</v>
      </c>
      <c r="AB10273" s="21">
        <v>0</v>
      </c>
      <c r="AC10273" s="21">
        <v>0</v>
      </c>
      <c r="AD10273" s="21">
        <v>0</v>
      </c>
      <c r="AE10273" s="21">
        <v>0</v>
      </c>
      <c r="AF10273" s="21">
        <v>0</v>
      </c>
      <c r="AG10273" s="21">
        <v>0</v>
      </c>
      <c r="AH10273" s="21">
        <f t="shared" si="222"/>
        <v>320</v>
      </c>
      <c r="AI10273" s="21"/>
      <c r="AJ10273" s="21" t="s">
        <v>54</v>
      </c>
      <c r="AK10273" s="21" t="s">
        <v>95</v>
      </c>
      <c r="AL10273" s="21" t="s">
        <v>8180</v>
      </c>
      <c r="AM10273" s="21" t="s">
        <v>8181</v>
      </c>
      <c r="AN10273" s="21">
        <v>-122.408772383333</v>
      </c>
      <c r="AO10273" s="21">
        <v>37.789597766666702</v>
      </c>
      <c r="AP10273" s="21" t="s">
        <v>116</v>
      </c>
    </row>
    <row r="10274" spans="1:42">
      <c r="A10274" s="20">
        <v>43893</v>
      </c>
      <c r="B10274" s="21">
        <v>2</v>
      </c>
      <c r="C10274" s="21">
        <v>313</v>
      </c>
      <c r="D10274" s="21">
        <v>14384</v>
      </c>
      <c r="E10274" s="21" t="s">
        <v>112</v>
      </c>
      <c r="F10274" s="21" t="s">
        <v>38</v>
      </c>
      <c r="G10274" s="21">
        <v>4</v>
      </c>
      <c r="H10274" s="27">
        <v>127</v>
      </c>
      <c r="I10274" s="21" t="s">
        <v>8182</v>
      </c>
      <c r="J10274" s="21"/>
      <c r="K10274" s="21" t="s">
        <v>98</v>
      </c>
      <c r="L10274" s="21"/>
      <c r="M10274" s="21" t="s">
        <v>7038</v>
      </c>
      <c r="N10274" s="21" t="s">
        <v>40</v>
      </c>
      <c r="O10274" s="21">
        <v>91</v>
      </c>
      <c r="P10274" s="21"/>
      <c r="Q10274" s="21">
        <f t="shared" si="221"/>
        <v>2</v>
      </c>
      <c r="R10274" s="21">
        <v>1</v>
      </c>
      <c r="S10274" s="21">
        <v>0</v>
      </c>
      <c r="T10274" s="21">
        <v>0</v>
      </c>
      <c r="U10274" s="21">
        <v>0</v>
      </c>
      <c r="V10274" s="21">
        <v>2</v>
      </c>
      <c r="W10274" s="21">
        <v>0</v>
      </c>
      <c r="Y10274" s="21">
        <v>0</v>
      </c>
      <c r="Z10274" s="21">
        <v>0</v>
      </c>
      <c r="AA10274" s="21">
        <v>0</v>
      </c>
      <c r="AB10274" s="21">
        <v>0</v>
      </c>
      <c r="AC10274" s="21">
        <v>0</v>
      </c>
      <c r="AD10274" s="21">
        <v>0</v>
      </c>
      <c r="AE10274" s="21">
        <v>0</v>
      </c>
      <c r="AF10274" s="21">
        <v>0</v>
      </c>
      <c r="AG10274" s="21">
        <v>0</v>
      </c>
      <c r="AH10274" s="21">
        <f t="shared" si="222"/>
        <v>128</v>
      </c>
      <c r="AI10274" s="21"/>
      <c r="AJ10274" s="21" t="s">
        <v>51</v>
      </c>
      <c r="AK10274" s="21" t="s">
        <v>52</v>
      </c>
      <c r="AL10274" s="21" t="s">
        <v>8183</v>
      </c>
      <c r="AM10274" s="21" t="s">
        <v>8184</v>
      </c>
      <c r="AN10274" s="21">
        <v>-122.40875426333299</v>
      </c>
      <c r="AO10274" s="21">
        <v>37.786333026667101</v>
      </c>
      <c r="AP10274" s="21" t="s">
        <v>116</v>
      </c>
    </row>
    <row r="10275" spans="1:42">
      <c r="A10275" s="20">
        <v>43893</v>
      </c>
      <c r="B10275" s="21">
        <v>2</v>
      </c>
      <c r="C10275" s="21">
        <v>313</v>
      </c>
      <c r="D10275" s="21">
        <v>14384</v>
      </c>
      <c r="E10275" s="21" t="s">
        <v>112</v>
      </c>
      <c r="F10275" s="21" t="s">
        <v>38</v>
      </c>
      <c r="G10275" s="21">
        <v>4</v>
      </c>
      <c r="H10275" s="27">
        <v>128</v>
      </c>
      <c r="I10275" s="21" t="s">
        <v>4163</v>
      </c>
      <c r="J10275" s="21"/>
      <c r="K10275" s="21" t="s">
        <v>407</v>
      </c>
      <c r="L10275" s="21"/>
      <c r="M10275" s="21" t="s">
        <v>6618</v>
      </c>
      <c r="N10275" s="21" t="s">
        <v>44</v>
      </c>
      <c r="O10275" s="21">
        <v>145</v>
      </c>
      <c r="P10275" s="21"/>
      <c r="Q10275" s="21">
        <f t="shared" ref="Q10275:Q10338" si="223">SUM(S10275+T10275+U10275+V10275+W10275+Y10275+Z10275+AA10275+AB10275+AC10275+AF10275+AG10275+AD10274+AE10274)</f>
        <v>1</v>
      </c>
      <c r="R10275" s="21">
        <v>1</v>
      </c>
      <c r="S10275" s="21">
        <v>0</v>
      </c>
      <c r="T10275" s="21">
        <v>0</v>
      </c>
      <c r="U10275" s="21">
        <v>0</v>
      </c>
      <c r="V10275" s="21">
        <v>1</v>
      </c>
      <c r="W10275" s="21">
        <v>0</v>
      </c>
      <c r="Y10275" s="21">
        <v>0</v>
      </c>
      <c r="Z10275" s="21">
        <v>0</v>
      </c>
      <c r="AA10275" s="21">
        <v>0</v>
      </c>
      <c r="AB10275" s="21">
        <v>0</v>
      </c>
      <c r="AC10275" s="21">
        <v>0</v>
      </c>
      <c r="AD10275" s="21">
        <v>0</v>
      </c>
      <c r="AE10275" s="21">
        <v>0</v>
      </c>
      <c r="AF10275" s="21">
        <v>0</v>
      </c>
      <c r="AG10275" s="21">
        <v>0</v>
      </c>
      <c r="AH10275" s="21">
        <f t="shared" si="222"/>
        <v>64</v>
      </c>
      <c r="AI10275" s="21"/>
      <c r="AJ10275" s="21" t="s">
        <v>54</v>
      </c>
      <c r="AK10275" s="21" t="s">
        <v>52</v>
      </c>
      <c r="AL10275" s="21" t="s">
        <v>8185</v>
      </c>
      <c r="AM10275" s="21" t="s">
        <v>8186</v>
      </c>
      <c r="AN10275" s="21">
        <v>-122.409439006667</v>
      </c>
      <c r="AO10275" s="21">
        <v>37.793110536666703</v>
      </c>
      <c r="AP10275" s="21" t="s">
        <v>116</v>
      </c>
    </row>
    <row r="10276" spans="1:42">
      <c r="A10276" s="20">
        <v>43893</v>
      </c>
      <c r="B10276" s="21">
        <v>2</v>
      </c>
      <c r="C10276" s="21">
        <v>313</v>
      </c>
      <c r="D10276" s="21">
        <v>14384</v>
      </c>
      <c r="E10276" s="21" t="s">
        <v>112</v>
      </c>
      <c r="F10276" s="21" t="s">
        <v>38</v>
      </c>
      <c r="G10276" s="21">
        <v>4</v>
      </c>
      <c r="H10276" s="27">
        <v>129</v>
      </c>
      <c r="I10276" s="21" t="s">
        <v>3807</v>
      </c>
      <c r="J10276" s="21"/>
      <c r="K10276" s="21" t="s">
        <v>407</v>
      </c>
      <c r="L10276" s="21"/>
      <c r="M10276" s="21" t="s">
        <v>7038</v>
      </c>
      <c r="N10276" s="21" t="s">
        <v>40</v>
      </c>
      <c r="O10276" s="21">
        <v>31</v>
      </c>
      <c r="P10276" s="21"/>
      <c r="Q10276" s="21">
        <f t="shared" si="223"/>
        <v>2</v>
      </c>
      <c r="R10276" s="21">
        <v>1</v>
      </c>
      <c r="S10276" s="21">
        <v>0</v>
      </c>
      <c r="T10276" s="21">
        <v>0</v>
      </c>
      <c r="U10276" s="21">
        <v>0</v>
      </c>
      <c r="V10276" s="21">
        <v>2</v>
      </c>
      <c r="W10276" s="21">
        <v>0</v>
      </c>
      <c r="Y10276" s="21">
        <v>0</v>
      </c>
      <c r="Z10276" s="21">
        <v>0</v>
      </c>
      <c r="AA10276" s="21">
        <v>0</v>
      </c>
      <c r="AB10276" s="21">
        <v>0</v>
      </c>
      <c r="AC10276" s="21">
        <v>0</v>
      </c>
      <c r="AD10276" s="21">
        <v>0</v>
      </c>
      <c r="AE10276" s="21">
        <v>0</v>
      </c>
      <c r="AF10276" s="21">
        <v>0</v>
      </c>
      <c r="AG10276" s="21">
        <v>0</v>
      </c>
      <c r="AH10276" s="21">
        <f t="shared" si="222"/>
        <v>128</v>
      </c>
      <c r="AI10276" s="21"/>
      <c r="AJ10276" s="21" t="s">
        <v>54</v>
      </c>
      <c r="AK10276" s="21" t="s">
        <v>52</v>
      </c>
      <c r="AL10276" s="21"/>
      <c r="AM10276" s="21" t="s">
        <v>8187</v>
      </c>
      <c r="AN10276" s="21">
        <v>-122.41014647559101</v>
      </c>
      <c r="AO10276" s="21">
        <v>37.790627587873601</v>
      </c>
      <c r="AP10276" s="21" t="s">
        <v>116</v>
      </c>
    </row>
    <row r="10277" spans="1:42">
      <c r="A10277" s="20">
        <v>43893</v>
      </c>
      <c r="B10277" s="21">
        <v>2</v>
      </c>
      <c r="C10277" s="21">
        <v>313</v>
      </c>
      <c r="D10277" s="21">
        <v>14384</v>
      </c>
      <c r="E10277" s="21" t="s">
        <v>112</v>
      </c>
      <c r="F10277" s="21" t="s">
        <v>38</v>
      </c>
      <c r="G10277" s="21">
        <v>4</v>
      </c>
      <c r="H10277" s="27">
        <v>130</v>
      </c>
      <c r="I10277" s="21" t="s">
        <v>8188</v>
      </c>
      <c r="J10277" s="21"/>
      <c r="K10277" s="21" t="s">
        <v>407</v>
      </c>
      <c r="L10277" s="21"/>
      <c r="M10277" s="21" t="s">
        <v>6618</v>
      </c>
      <c r="N10277" s="21" t="s">
        <v>44</v>
      </c>
      <c r="O10277" s="21">
        <v>61</v>
      </c>
      <c r="P10277" s="21"/>
      <c r="Q10277" s="21">
        <f t="shared" si="223"/>
        <v>1</v>
      </c>
      <c r="R10277" s="21">
        <v>1</v>
      </c>
      <c r="S10277" s="21">
        <v>0</v>
      </c>
      <c r="T10277" s="21">
        <v>0</v>
      </c>
      <c r="U10277" s="21">
        <v>0</v>
      </c>
      <c r="V10277" s="21">
        <v>1</v>
      </c>
      <c r="W10277" s="21">
        <v>0</v>
      </c>
      <c r="Y10277" s="21">
        <v>0</v>
      </c>
      <c r="Z10277" s="21">
        <v>0</v>
      </c>
      <c r="AA10277" s="21">
        <v>0</v>
      </c>
      <c r="AB10277" s="21">
        <v>0</v>
      </c>
      <c r="AC10277" s="21">
        <v>0</v>
      </c>
      <c r="AD10277" s="21">
        <v>0</v>
      </c>
      <c r="AE10277" s="21">
        <v>0</v>
      </c>
      <c r="AF10277" s="21">
        <v>0</v>
      </c>
      <c r="AG10277" s="21">
        <v>0</v>
      </c>
      <c r="AH10277" s="21">
        <f t="shared" si="222"/>
        <v>64</v>
      </c>
      <c r="AI10277" s="21"/>
      <c r="AJ10277" s="21" t="s">
        <v>51</v>
      </c>
      <c r="AK10277" s="21" t="s">
        <v>52</v>
      </c>
      <c r="AL10277" s="21" t="s">
        <v>7188</v>
      </c>
      <c r="AM10277" s="21" t="s">
        <v>8189</v>
      </c>
      <c r="AN10277" s="21">
        <v>-122.409568373333</v>
      </c>
      <c r="AO10277" s="21">
        <v>37.793682203333297</v>
      </c>
      <c r="AP10277" s="21" t="s">
        <v>116</v>
      </c>
    </row>
    <row r="10278" spans="1:42">
      <c r="A10278" s="20">
        <v>43893</v>
      </c>
      <c r="B10278" s="21">
        <v>2</v>
      </c>
      <c r="C10278" s="21">
        <v>313</v>
      </c>
      <c r="D10278" s="21">
        <v>14384</v>
      </c>
      <c r="E10278" s="21" t="s">
        <v>112</v>
      </c>
      <c r="F10278" s="21" t="s">
        <v>38</v>
      </c>
      <c r="G10278" s="21">
        <v>4</v>
      </c>
      <c r="H10278" s="27">
        <v>131</v>
      </c>
      <c r="I10278" s="21" t="s">
        <v>7300</v>
      </c>
      <c r="J10278" s="21"/>
      <c r="K10278" s="21" t="s">
        <v>407</v>
      </c>
      <c r="L10278" s="21"/>
      <c r="M10278" s="21" t="s">
        <v>7038</v>
      </c>
      <c r="N10278" s="21" t="s">
        <v>40</v>
      </c>
      <c r="O10278" s="21">
        <v>33</v>
      </c>
      <c r="P10278" s="21"/>
      <c r="Q10278" s="21">
        <f t="shared" si="223"/>
        <v>1</v>
      </c>
      <c r="R10278" s="21">
        <v>1</v>
      </c>
      <c r="S10278" s="21">
        <v>0</v>
      </c>
      <c r="T10278" s="21">
        <v>0</v>
      </c>
      <c r="U10278" s="21">
        <v>0</v>
      </c>
      <c r="V10278" s="21">
        <v>1</v>
      </c>
      <c r="W10278" s="21">
        <v>0</v>
      </c>
      <c r="Y10278" s="21">
        <v>0</v>
      </c>
      <c r="Z10278" s="21">
        <v>0</v>
      </c>
      <c r="AA10278" s="21">
        <v>0</v>
      </c>
      <c r="AB10278" s="21">
        <v>0</v>
      </c>
      <c r="AC10278" s="21">
        <v>0</v>
      </c>
      <c r="AD10278" s="21">
        <v>0</v>
      </c>
      <c r="AE10278" s="21">
        <v>0</v>
      </c>
      <c r="AF10278" s="21">
        <v>0</v>
      </c>
      <c r="AG10278" s="21">
        <v>0</v>
      </c>
      <c r="AH10278" s="21">
        <f t="shared" si="222"/>
        <v>64</v>
      </c>
      <c r="AI10278" s="21"/>
      <c r="AJ10278" s="21" t="s">
        <v>54</v>
      </c>
      <c r="AK10278" s="21" t="s">
        <v>95</v>
      </c>
      <c r="AL10278" s="21" t="s">
        <v>8190</v>
      </c>
      <c r="AM10278" s="21" t="s">
        <v>8191</v>
      </c>
      <c r="AN10278" s="21">
        <v>-122.409218056667</v>
      </c>
      <c r="AO10278" s="21">
        <v>37.7939277866667</v>
      </c>
      <c r="AP10278" s="21" t="s">
        <v>116</v>
      </c>
    </row>
    <row r="10279" spans="1:42">
      <c r="A10279" s="20">
        <v>43893</v>
      </c>
      <c r="B10279" s="21">
        <v>2</v>
      </c>
      <c r="C10279" s="21">
        <v>313</v>
      </c>
      <c r="D10279" s="21">
        <v>14384</v>
      </c>
      <c r="E10279" s="21" t="s">
        <v>112</v>
      </c>
      <c r="F10279" s="21" t="s">
        <v>38</v>
      </c>
      <c r="G10279" s="21">
        <v>4</v>
      </c>
      <c r="H10279" s="27">
        <v>132</v>
      </c>
      <c r="I10279" s="21" t="s">
        <v>8192</v>
      </c>
      <c r="J10279" s="21"/>
      <c r="K10279" s="21" t="s">
        <v>68</v>
      </c>
      <c r="L10279" s="21"/>
      <c r="M10279" s="21" t="s">
        <v>7038</v>
      </c>
      <c r="N10279" s="21" t="s">
        <v>40</v>
      </c>
      <c r="O10279" s="21">
        <v>31</v>
      </c>
      <c r="P10279" s="21"/>
      <c r="Q10279" s="21">
        <f t="shared" si="223"/>
        <v>1</v>
      </c>
      <c r="R10279" s="21">
        <v>1</v>
      </c>
      <c r="S10279" s="21">
        <v>0</v>
      </c>
      <c r="T10279" s="21">
        <v>0</v>
      </c>
      <c r="U10279" s="21">
        <v>1</v>
      </c>
      <c r="V10279" s="21">
        <v>0</v>
      </c>
      <c r="W10279" s="21">
        <v>0</v>
      </c>
      <c r="Y10279" s="21">
        <v>0</v>
      </c>
      <c r="Z10279" s="21">
        <v>0</v>
      </c>
      <c r="AA10279" s="21">
        <v>0</v>
      </c>
      <c r="AB10279" s="21">
        <v>0</v>
      </c>
      <c r="AC10279" s="21">
        <v>0</v>
      </c>
      <c r="AD10279" s="21">
        <v>0</v>
      </c>
      <c r="AE10279" s="21">
        <v>0</v>
      </c>
      <c r="AF10279" s="21">
        <v>0</v>
      </c>
      <c r="AG10279" s="21">
        <v>0</v>
      </c>
      <c r="AH10279" s="21">
        <f t="shared" si="222"/>
        <v>32</v>
      </c>
      <c r="AI10279" s="21"/>
      <c r="AJ10279" s="21" t="s">
        <v>54</v>
      </c>
      <c r="AK10279" s="21" t="s">
        <v>95</v>
      </c>
      <c r="AL10279" s="21"/>
      <c r="AM10279" s="21" t="s">
        <v>8193</v>
      </c>
      <c r="AN10279" s="21">
        <v>-122.408481783333</v>
      </c>
      <c r="AO10279" s="21">
        <v>37.793952400000798</v>
      </c>
      <c r="AP10279" s="21" t="s">
        <v>116</v>
      </c>
    </row>
    <row r="10280" spans="1:42">
      <c r="A10280" s="20">
        <v>43893</v>
      </c>
      <c r="B10280" s="21">
        <v>2</v>
      </c>
      <c r="C10280" s="21">
        <v>313</v>
      </c>
      <c r="D10280" s="21">
        <v>14384</v>
      </c>
      <c r="E10280" s="21" t="s">
        <v>112</v>
      </c>
      <c r="F10280" s="21" t="s">
        <v>38</v>
      </c>
      <c r="G10280" s="21">
        <v>4</v>
      </c>
      <c r="H10280" s="27">
        <v>133</v>
      </c>
      <c r="I10280" s="21" t="s">
        <v>7691</v>
      </c>
      <c r="J10280" s="21"/>
      <c r="K10280" s="21" t="s">
        <v>62</v>
      </c>
      <c r="L10280" s="21"/>
      <c r="M10280" s="21" t="s">
        <v>7038</v>
      </c>
      <c r="N10280" s="21" t="s">
        <v>40</v>
      </c>
      <c r="O10280" s="21">
        <v>159</v>
      </c>
      <c r="P10280" s="21"/>
      <c r="Q10280" s="21">
        <f t="shared" si="223"/>
        <v>6</v>
      </c>
      <c r="R10280" s="21">
        <v>1</v>
      </c>
      <c r="S10280" s="21">
        <v>0</v>
      </c>
      <c r="T10280" s="21">
        <v>0</v>
      </c>
      <c r="U10280" s="21">
        <v>5</v>
      </c>
      <c r="V10280" s="21">
        <v>1</v>
      </c>
      <c r="W10280" s="21">
        <v>0</v>
      </c>
      <c r="Y10280" s="21">
        <v>0</v>
      </c>
      <c r="Z10280" s="21">
        <v>0</v>
      </c>
      <c r="AA10280" s="21">
        <v>0</v>
      </c>
      <c r="AB10280" s="21">
        <v>0</v>
      </c>
      <c r="AC10280" s="21">
        <v>0</v>
      </c>
      <c r="AD10280" s="21">
        <v>0</v>
      </c>
      <c r="AE10280" s="21">
        <v>0</v>
      </c>
      <c r="AF10280" s="21">
        <v>0</v>
      </c>
      <c r="AG10280" s="21">
        <v>0</v>
      </c>
      <c r="AH10280" s="21">
        <f t="shared" si="222"/>
        <v>224</v>
      </c>
      <c r="AI10280" s="21"/>
      <c r="AJ10280" s="21" t="s">
        <v>51</v>
      </c>
      <c r="AK10280" s="21" t="s">
        <v>95</v>
      </c>
      <c r="AL10280" s="21" t="s">
        <v>8194</v>
      </c>
      <c r="AM10280" s="21" t="s">
        <v>8195</v>
      </c>
      <c r="AN10280" s="21">
        <v>-122.40847794</v>
      </c>
      <c r="AO10280" s="21">
        <v>37.792760646666899</v>
      </c>
      <c r="AP10280" s="21" t="s">
        <v>116</v>
      </c>
    </row>
    <row r="10281" spans="1:42">
      <c r="A10281" s="20">
        <v>43893</v>
      </c>
      <c r="B10281" s="21">
        <v>2</v>
      </c>
      <c r="C10281" s="21">
        <v>313</v>
      </c>
      <c r="D10281" s="21">
        <v>14384</v>
      </c>
      <c r="E10281" s="21" t="s">
        <v>112</v>
      </c>
      <c r="F10281" s="21" t="s">
        <v>38</v>
      </c>
      <c r="G10281" s="21">
        <v>4</v>
      </c>
      <c r="H10281" s="27">
        <v>134</v>
      </c>
      <c r="I10281" s="21" t="s">
        <v>7133</v>
      </c>
      <c r="J10281" s="21"/>
      <c r="K10281" s="21" t="s">
        <v>407</v>
      </c>
      <c r="L10281" s="21"/>
      <c r="M10281" s="21" t="s">
        <v>7038</v>
      </c>
      <c r="N10281" s="21" t="s">
        <v>44</v>
      </c>
      <c r="O10281" s="21">
        <v>83</v>
      </c>
      <c r="P10281" s="21"/>
      <c r="Q10281" s="21">
        <f t="shared" si="223"/>
        <v>1</v>
      </c>
      <c r="R10281" s="21">
        <v>1</v>
      </c>
      <c r="S10281" s="21">
        <v>0</v>
      </c>
      <c r="T10281" s="21">
        <v>0</v>
      </c>
      <c r="U10281" s="21">
        <v>0</v>
      </c>
      <c r="V10281" s="21">
        <v>1</v>
      </c>
      <c r="W10281" s="21">
        <v>0</v>
      </c>
      <c r="Y10281" s="21">
        <v>0</v>
      </c>
      <c r="Z10281" s="21">
        <v>0</v>
      </c>
      <c r="AA10281" s="21">
        <v>0</v>
      </c>
      <c r="AB10281" s="21">
        <v>0</v>
      </c>
      <c r="AC10281" s="21">
        <v>0</v>
      </c>
      <c r="AD10281" s="21">
        <v>0</v>
      </c>
      <c r="AE10281" s="21">
        <v>0</v>
      </c>
      <c r="AF10281" s="21">
        <v>0</v>
      </c>
      <c r="AG10281" s="21">
        <v>0</v>
      </c>
      <c r="AH10281" s="21">
        <f t="shared" si="222"/>
        <v>64</v>
      </c>
      <c r="AI10281" s="21"/>
      <c r="AJ10281" s="21" t="s">
        <v>54</v>
      </c>
      <c r="AK10281" s="21" t="s">
        <v>95</v>
      </c>
      <c r="AL10281" s="21" t="s">
        <v>8196</v>
      </c>
      <c r="AM10281" s="21" t="s">
        <v>8197</v>
      </c>
      <c r="AN10281" s="21">
        <v>-122.41076291012</v>
      </c>
      <c r="AO10281" s="21">
        <v>37.793751844132899</v>
      </c>
      <c r="AP10281" s="21" t="s">
        <v>116</v>
      </c>
    </row>
    <row r="10282" spans="1:42">
      <c r="A10282" s="20">
        <v>43893</v>
      </c>
      <c r="B10282" s="21">
        <v>2</v>
      </c>
      <c r="C10282" s="21">
        <v>313</v>
      </c>
      <c r="D10282" s="21">
        <v>14384</v>
      </c>
      <c r="E10282" s="21" t="s">
        <v>112</v>
      </c>
      <c r="F10282" s="21" t="s">
        <v>38</v>
      </c>
      <c r="G10282" s="21">
        <v>4</v>
      </c>
      <c r="H10282" s="27">
        <v>135</v>
      </c>
      <c r="I10282" s="21" t="s">
        <v>3225</v>
      </c>
      <c r="J10282" s="21"/>
      <c r="K10282" s="21" t="s">
        <v>407</v>
      </c>
      <c r="L10282" s="21"/>
      <c r="M10282" s="21" t="s">
        <v>7038</v>
      </c>
      <c r="N10282" s="21" t="s">
        <v>44</v>
      </c>
      <c r="O10282" s="21">
        <v>142</v>
      </c>
      <c r="P10282" s="21"/>
      <c r="Q10282" s="21">
        <f t="shared" si="223"/>
        <v>1</v>
      </c>
      <c r="R10282" s="21">
        <v>1</v>
      </c>
      <c r="S10282" s="21">
        <v>0</v>
      </c>
      <c r="T10282" s="21">
        <v>0</v>
      </c>
      <c r="U10282" s="21">
        <v>0</v>
      </c>
      <c r="V10282" s="21">
        <v>1</v>
      </c>
      <c r="W10282" s="21">
        <v>0</v>
      </c>
      <c r="Y10282" s="21">
        <v>0</v>
      </c>
      <c r="Z10282" s="21">
        <v>0</v>
      </c>
      <c r="AA10282" s="21">
        <v>0</v>
      </c>
      <c r="AB10282" s="21">
        <v>0</v>
      </c>
      <c r="AC10282" s="21">
        <v>0</v>
      </c>
      <c r="AD10282" s="21">
        <v>0</v>
      </c>
      <c r="AE10282" s="21">
        <v>0</v>
      </c>
      <c r="AF10282" s="21">
        <v>0</v>
      </c>
      <c r="AG10282" s="21">
        <v>0</v>
      </c>
      <c r="AH10282" s="21">
        <f t="shared" si="222"/>
        <v>64</v>
      </c>
      <c r="AI10282" s="21"/>
      <c r="AJ10282" s="21" t="s">
        <v>54</v>
      </c>
      <c r="AK10282" s="21" t="s">
        <v>52</v>
      </c>
      <c r="AL10282" s="21" t="s">
        <v>8198</v>
      </c>
      <c r="AM10282" s="21" t="s">
        <v>8199</v>
      </c>
      <c r="AN10282" s="21">
        <v>-122.409662576667</v>
      </c>
      <c r="AO10282" s="21">
        <v>37.794145390000097</v>
      </c>
      <c r="AP10282" s="21" t="s">
        <v>116</v>
      </c>
    </row>
    <row r="10283" spans="1:42">
      <c r="A10283" s="20">
        <v>43893</v>
      </c>
      <c r="B10283" s="21">
        <v>2</v>
      </c>
      <c r="C10283" s="21">
        <v>313</v>
      </c>
      <c r="D10283" s="21">
        <v>14384</v>
      </c>
      <c r="E10283" s="21" t="s">
        <v>112</v>
      </c>
      <c r="F10283" s="21" t="s">
        <v>38</v>
      </c>
      <c r="G10283" s="21">
        <v>4</v>
      </c>
      <c r="H10283" s="27">
        <v>136</v>
      </c>
      <c r="I10283" s="21" t="s">
        <v>7336</v>
      </c>
      <c r="J10283" s="21"/>
      <c r="K10283" s="21" t="s">
        <v>407</v>
      </c>
      <c r="L10283" s="21"/>
      <c r="M10283" s="21" t="s">
        <v>6618</v>
      </c>
      <c r="N10283" s="21" t="s">
        <v>44</v>
      </c>
      <c r="O10283" s="21">
        <v>100</v>
      </c>
      <c r="P10283" s="21"/>
      <c r="Q10283" s="21">
        <f t="shared" si="223"/>
        <v>1</v>
      </c>
      <c r="R10283" s="21">
        <v>1</v>
      </c>
      <c r="S10283" s="21">
        <v>0</v>
      </c>
      <c r="T10283" s="21">
        <v>0</v>
      </c>
      <c r="U10283" s="21">
        <v>0</v>
      </c>
      <c r="V10283" s="21">
        <v>1</v>
      </c>
      <c r="W10283" s="21">
        <v>0</v>
      </c>
      <c r="Y10283" s="21">
        <v>0</v>
      </c>
      <c r="Z10283" s="21">
        <v>0</v>
      </c>
      <c r="AA10283" s="21">
        <v>0</v>
      </c>
      <c r="AB10283" s="21">
        <v>0</v>
      </c>
      <c r="AC10283" s="21">
        <v>0</v>
      </c>
      <c r="AD10283" s="21">
        <v>0</v>
      </c>
      <c r="AE10283" s="21">
        <v>0</v>
      </c>
      <c r="AF10283" s="21">
        <v>0</v>
      </c>
      <c r="AG10283" s="21">
        <v>0</v>
      </c>
      <c r="AH10283" s="21">
        <f t="shared" si="222"/>
        <v>64</v>
      </c>
      <c r="AI10283" s="21"/>
      <c r="AJ10283" s="21" t="s">
        <v>54</v>
      </c>
      <c r="AK10283" s="21" t="s">
        <v>52</v>
      </c>
      <c r="AL10283" s="21" t="s">
        <v>8200</v>
      </c>
      <c r="AM10283" s="21" t="s">
        <v>8201</v>
      </c>
      <c r="AN10283" s="21">
        <v>-122.40961437</v>
      </c>
      <c r="AO10283" s="21">
        <v>37.794096933333797</v>
      </c>
      <c r="AP10283" s="21" t="s">
        <v>116</v>
      </c>
    </row>
    <row r="10284" spans="1:42">
      <c r="A10284" s="20">
        <v>43893</v>
      </c>
      <c r="B10284" s="21">
        <v>2</v>
      </c>
      <c r="C10284" s="21">
        <v>313</v>
      </c>
      <c r="D10284" s="21">
        <v>14384</v>
      </c>
      <c r="E10284" s="21" t="s">
        <v>112</v>
      </c>
      <c r="F10284" s="21" t="s">
        <v>38</v>
      </c>
      <c r="G10284" s="21">
        <v>4</v>
      </c>
      <c r="H10284" s="27">
        <v>137</v>
      </c>
      <c r="I10284" s="21" t="s">
        <v>8202</v>
      </c>
      <c r="J10284" s="21"/>
      <c r="K10284" s="21" t="s">
        <v>407</v>
      </c>
      <c r="L10284" s="21"/>
      <c r="M10284" s="21" t="s">
        <v>7038</v>
      </c>
      <c r="N10284" s="21" t="s">
        <v>44</v>
      </c>
      <c r="O10284" s="21">
        <v>68</v>
      </c>
      <c r="P10284" s="21"/>
      <c r="Q10284" s="21">
        <f t="shared" si="223"/>
        <v>1</v>
      </c>
      <c r="R10284" s="21">
        <v>1</v>
      </c>
      <c r="S10284" s="21">
        <v>0</v>
      </c>
      <c r="T10284" s="21">
        <v>0</v>
      </c>
      <c r="U10284" s="21">
        <v>1</v>
      </c>
      <c r="V10284" s="21">
        <v>0</v>
      </c>
      <c r="W10284" s="21">
        <v>0</v>
      </c>
      <c r="Y10284" s="21">
        <v>0</v>
      </c>
      <c r="Z10284" s="21">
        <v>0</v>
      </c>
      <c r="AA10284" s="21">
        <v>0</v>
      </c>
      <c r="AB10284" s="21">
        <v>0</v>
      </c>
      <c r="AC10284" s="21">
        <v>0</v>
      </c>
      <c r="AD10284" s="21">
        <v>0</v>
      </c>
      <c r="AE10284" s="21">
        <v>0</v>
      </c>
      <c r="AF10284" s="21">
        <v>0</v>
      </c>
      <c r="AG10284" s="21">
        <v>0</v>
      </c>
      <c r="AH10284" s="21">
        <f t="shared" si="222"/>
        <v>32</v>
      </c>
      <c r="AI10284" s="21"/>
      <c r="AJ10284" s="21" t="s">
        <v>54</v>
      </c>
      <c r="AK10284" s="21" t="s">
        <v>52</v>
      </c>
      <c r="AL10284" s="21" t="s">
        <v>7105</v>
      </c>
      <c r="AM10284" s="21" t="s">
        <v>8203</v>
      </c>
      <c r="AN10284" s="21">
        <v>-122.4096442</v>
      </c>
      <c r="AO10284" s="21">
        <v>37.794389043333403</v>
      </c>
      <c r="AP10284" s="21" t="s">
        <v>116</v>
      </c>
    </row>
    <row r="10285" spans="1:42">
      <c r="A10285" s="20">
        <v>43893</v>
      </c>
      <c r="B10285" s="21">
        <v>2</v>
      </c>
      <c r="C10285" s="21">
        <v>313</v>
      </c>
      <c r="D10285" s="21">
        <v>14384</v>
      </c>
      <c r="E10285" s="21" t="s">
        <v>112</v>
      </c>
      <c r="F10285" s="21" t="s">
        <v>38</v>
      </c>
      <c r="G10285" s="21">
        <v>4</v>
      </c>
      <c r="H10285" s="27">
        <v>138</v>
      </c>
      <c r="I10285" s="21" t="s">
        <v>8204</v>
      </c>
      <c r="J10285" s="21"/>
      <c r="K10285" s="21" t="s">
        <v>407</v>
      </c>
      <c r="L10285" s="21"/>
      <c r="M10285" s="21" t="s">
        <v>6618</v>
      </c>
      <c r="N10285" s="21" t="s">
        <v>40</v>
      </c>
      <c r="O10285" s="21">
        <v>49</v>
      </c>
      <c r="P10285" s="21"/>
      <c r="Q10285" s="21">
        <f t="shared" si="223"/>
        <v>1</v>
      </c>
      <c r="R10285" s="21">
        <v>1</v>
      </c>
      <c r="S10285" s="21">
        <v>0</v>
      </c>
      <c r="T10285" s="21">
        <v>0</v>
      </c>
      <c r="U10285" s="21">
        <v>1</v>
      </c>
      <c r="V10285" s="21">
        <v>0</v>
      </c>
      <c r="W10285" s="21">
        <v>0</v>
      </c>
      <c r="Y10285" s="21">
        <v>0</v>
      </c>
      <c r="Z10285" s="21">
        <v>0</v>
      </c>
      <c r="AA10285" s="21">
        <v>0</v>
      </c>
      <c r="AB10285" s="21">
        <v>0</v>
      </c>
      <c r="AC10285" s="21">
        <v>0</v>
      </c>
      <c r="AD10285" s="21">
        <v>0</v>
      </c>
      <c r="AE10285" s="21">
        <v>0</v>
      </c>
      <c r="AF10285" s="21">
        <v>0</v>
      </c>
      <c r="AG10285" s="21">
        <v>0</v>
      </c>
      <c r="AH10285" s="21">
        <f t="shared" si="222"/>
        <v>32</v>
      </c>
      <c r="AI10285" s="21"/>
      <c r="AJ10285" s="21" t="s">
        <v>54</v>
      </c>
      <c r="AK10285" s="21" t="s">
        <v>52</v>
      </c>
      <c r="AL10285" s="21"/>
      <c r="AM10285" s="21" t="s">
        <v>8205</v>
      </c>
      <c r="AN10285" s="21">
        <v>-122.409766336667</v>
      </c>
      <c r="AO10285" s="21">
        <v>37.794501103334497</v>
      </c>
      <c r="AP10285" s="21" t="s">
        <v>116</v>
      </c>
    </row>
    <row r="10286" spans="1:42">
      <c r="A10286" s="20">
        <v>43893</v>
      </c>
      <c r="B10286" s="21">
        <v>2</v>
      </c>
      <c r="C10286" s="21">
        <v>313</v>
      </c>
      <c r="D10286" s="21">
        <v>14384</v>
      </c>
      <c r="E10286" s="21" t="s">
        <v>112</v>
      </c>
      <c r="F10286" s="21" t="s">
        <v>38</v>
      </c>
      <c r="G10286" s="21">
        <v>4</v>
      </c>
      <c r="H10286" s="27">
        <v>139</v>
      </c>
      <c r="I10286" s="21" t="s">
        <v>6065</v>
      </c>
      <c r="J10286" s="21"/>
      <c r="K10286" s="21" t="s">
        <v>407</v>
      </c>
      <c r="L10286" s="21"/>
      <c r="M10286" s="21" t="s">
        <v>7038</v>
      </c>
      <c r="N10286" s="21" t="s">
        <v>40</v>
      </c>
      <c r="O10286" s="21">
        <v>72</v>
      </c>
      <c r="P10286" s="21"/>
      <c r="Q10286" s="21">
        <f t="shared" si="223"/>
        <v>1</v>
      </c>
      <c r="R10286" s="21">
        <v>1</v>
      </c>
      <c r="S10286" s="21">
        <v>0</v>
      </c>
      <c r="T10286" s="21">
        <v>0</v>
      </c>
      <c r="U10286" s="21">
        <v>1</v>
      </c>
      <c r="V10286" s="21">
        <v>0</v>
      </c>
      <c r="W10286" s="21">
        <v>0</v>
      </c>
      <c r="Y10286" s="21">
        <v>0</v>
      </c>
      <c r="Z10286" s="21">
        <v>0</v>
      </c>
      <c r="AA10286" s="21">
        <v>0</v>
      </c>
      <c r="AB10286" s="21">
        <v>0</v>
      </c>
      <c r="AC10286" s="21">
        <v>0</v>
      </c>
      <c r="AD10286" s="21">
        <v>0</v>
      </c>
      <c r="AE10286" s="21">
        <v>0</v>
      </c>
      <c r="AF10286" s="21">
        <v>0</v>
      </c>
      <c r="AG10286" s="21">
        <v>0</v>
      </c>
      <c r="AH10286" s="21">
        <f t="shared" si="222"/>
        <v>32</v>
      </c>
      <c r="AI10286" s="21"/>
      <c r="AJ10286" s="21" t="s">
        <v>3023</v>
      </c>
      <c r="AK10286" s="21" t="s">
        <v>52</v>
      </c>
      <c r="AL10286" s="21" t="s">
        <v>8206</v>
      </c>
      <c r="AM10286" s="21" t="s">
        <v>8207</v>
      </c>
      <c r="AN10286" s="21">
        <v>-122.409763203333</v>
      </c>
      <c r="AO10286" s="21">
        <v>37.795004593333601</v>
      </c>
      <c r="AP10286" s="21" t="s">
        <v>116</v>
      </c>
    </row>
    <row r="10287" spans="1:42">
      <c r="A10287" s="20">
        <v>43893</v>
      </c>
      <c r="B10287" s="21">
        <v>2</v>
      </c>
      <c r="C10287" s="21">
        <v>313</v>
      </c>
      <c r="D10287" s="21">
        <v>14384</v>
      </c>
      <c r="E10287" s="21" t="s">
        <v>112</v>
      </c>
      <c r="F10287" s="21" t="s">
        <v>38</v>
      </c>
      <c r="G10287" s="21">
        <v>4</v>
      </c>
      <c r="H10287" s="27">
        <v>140</v>
      </c>
      <c r="I10287" s="21" t="s">
        <v>8208</v>
      </c>
      <c r="J10287" s="21"/>
      <c r="K10287" s="21" t="s">
        <v>407</v>
      </c>
      <c r="L10287" s="21"/>
      <c r="M10287" s="21" t="s">
        <v>7038</v>
      </c>
      <c r="N10287" s="21" t="s">
        <v>40</v>
      </c>
      <c r="O10287" s="21">
        <v>52</v>
      </c>
      <c r="P10287" s="21"/>
      <c r="Q10287" s="21">
        <f t="shared" si="223"/>
        <v>2</v>
      </c>
      <c r="R10287" s="21">
        <v>1</v>
      </c>
      <c r="S10287" s="21">
        <v>0</v>
      </c>
      <c r="T10287" s="21">
        <v>0</v>
      </c>
      <c r="U10287" s="21">
        <v>2</v>
      </c>
      <c r="V10287" s="21">
        <v>0</v>
      </c>
      <c r="W10287" s="21">
        <v>0</v>
      </c>
      <c r="Y10287" s="21">
        <v>0</v>
      </c>
      <c r="Z10287" s="21">
        <v>0</v>
      </c>
      <c r="AA10287" s="21">
        <v>0</v>
      </c>
      <c r="AB10287" s="21">
        <v>0</v>
      </c>
      <c r="AC10287" s="21">
        <v>0</v>
      </c>
      <c r="AD10287" s="21">
        <v>0</v>
      </c>
      <c r="AE10287" s="21">
        <v>0</v>
      </c>
      <c r="AF10287" s="21">
        <v>0</v>
      </c>
      <c r="AG10287" s="21">
        <v>0</v>
      </c>
      <c r="AH10287" s="21">
        <f t="shared" si="222"/>
        <v>64</v>
      </c>
      <c r="AI10287" s="21"/>
      <c r="AJ10287" s="21" t="s">
        <v>51</v>
      </c>
      <c r="AK10287" s="21" t="s">
        <v>52</v>
      </c>
      <c r="AL10287" s="21"/>
      <c r="AM10287" s="21" t="s">
        <v>8209</v>
      </c>
      <c r="AN10287" s="21">
        <v>-122.409721256667</v>
      </c>
      <c r="AO10287" s="21">
        <v>37.795026906666699</v>
      </c>
      <c r="AP10287" s="21" t="s">
        <v>116</v>
      </c>
    </row>
    <row r="10288" spans="1:42">
      <c r="A10288" s="20">
        <v>43893</v>
      </c>
      <c r="B10288" s="21">
        <v>2</v>
      </c>
      <c r="C10288" s="21">
        <v>313</v>
      </c>
      <c r="D10288" s="21">
        <v>14384</v>
      </c>
      <c r="E10288" s="21" t="s">
        <v>112</v>
      </c>
      <c r="F10288" s="21" t="s">
        <v>38</v>
      </c>
      <c r="G10288" s="21">
        <v>4</v>
      </c>
      <c r="H10288" s="27">
        <v>141</v>
      </c>
      <c r="I10288" s="21" t="s">
        <v>8210</v>
      </c>
      <c r="J10288" s="21"/>
      <c r="K10288" s="21" t="s">
        <v>407</v>
      </c>
      <c r="L10288" s="21"/>
      <c r="M10288" s="21" t="s">
        <v>6618</v>
      </c>
      <c r="N10288" s="21" t="s">
        <v>40</v>
      </c>
      <c r="O10288" s="21">
        <v>45</v>
      </c>
      <c r="P10288" s="21"/>
      <c r="Q10288" s="21">
        <f t="shared" si="223"/>
        <v>1</v>
      </c>
      <c r="R10288" s="21">
        <v>1</v>
      </c>
      <c r="S10288" s="21">
        <v>0</v>
      </c>
      <c r="T10288" s="21">
        <v>0</v>
      </c>
      <c r="U10288" s="21">
        <v>1</v>
      </c>
      <c r="V10288" s="21">
        <v>0</v>
      </c>
      <c r="W10288" s="21">
        <v>0</v>
      </c>
      <c r="Y10288" s="21">
        <v>0</v>
      </c>
      <c r="Z10288" s="21">
        <v>0</v>
      </c>
      <c r="AA10288" s="21">
        <v>0</v>
      </c>
      <c r="AB10288" s="21">
        <v>0</v>
      </c>
      <c r="AC10288" s="21">
        <v>0</v>
      </c>
      <c r="AD10288" s="21">
        <v>0</v>
      </c>
      <c r="AE10288" s="21">
        <v>0</v>
      </c>
      <c r="AF10288" s="21">
        <v>0</v>
      </c>
      <c r="AG10288" s="21">
        <v>0</v>
      </c>
      <c r="AH10288" s="21">
        <f t="shared" si="222"/>
        <v>32</v>
      </c>
      <c r="AI10288" s="21"/>
      <c r="AJ10288" s="21" t="s">
        <v>51</v>
      </c>
      <c r="AK10288" s="21" t="s">
        <v>52</v>
      </c>
      <c r="AL10288" s="21"/>
      <c r="AM10288" s="21" t="s">
        <v>8211</v>
      </c>
      <c r="AN10288" s="21">
        <v>-122.40987738666701</v>
      </c>
      <c r="AO10288" s="21">
        <v>37.795006839999999</v>
      </c>
      <c r="AP10288" s="21" t="s">
        <v>116</v>
      </c>
    </row>
    <row r="10289" spans="1:42">
      <c r="A10289" s="20">
        <v>43893</v>
      </c>
      <c r="B10289" s="21">
        <v>2</v>
      </c>
      <c r="C10289" s="21">
        <v>313</v>
      </c>
      <c r="D10289" s="21">
        <v>14384</v>
      </c>
      <c r="E10289" s="21" t="s">
        <v>112</v>
      </c>
      <c r="F10289" s="21" t="s">
        <v>38</v>
      </c>
      <c r="G10289" s="21">
        <v>4</v>
      </c>
      <c r="H10289" s="27">
        <v>142</v>
      </c>
      <c r="I10289" s="21" t="s">
        <v>8212</v>
      </c>
      <c r="J10289" s="21"/>
      <c r="K10289" s="21" t="s">
        <v>407</v>
      </c>
      <c r="L10289" s="21"/>
      <c r="M10289" s="21" t="s">
        <v>6618</v>
      </c>
      <c r="N10289" s="21" t="s">
        <v>40</v>
      </c>
      <c r="O10289" s="21">
        <v>49</v>
      </c>
      <c r="P10289" s="21"/>
      <c r="Q10289" s="21">
        <f t="shared" si="223"/>
        <v>1</v>
      </c>
      <c r="R10289" s="21">
        <v>1</v>
      </c>
      <c r="S10289" s="21">
        <v>0</v>
      </c>
      <c r="T10289" s="21">
        <v>0</v>
      </c>
      <c r="U10289" s="21">
        <v>0</v>
      </c>
      <c r="V10289" s="21">
        <v>1</v>
      </c>
      <c r="W10289" s="21">
        <v>0</v>
      </c>
      <c r="Y10289" s="21">
        <v>0</v>
      </c>
      <c r="Z10289" s="21">
        <v>0</v>
      </c>
      <c r="AA10289" s="21">
        <v>0</v>
      </c>
      <c r="AB10289" s="21">
        <v>0</v>
      </c>
      <c r="AC10289" s="21">
        <v>0</v>
      </c>
      <c r="AD10289" s="21">
        <v>0</v>
      </c>
      <c r="AE10289" s="21">
        <v>0</v>
      </c>
      <c r="AF10289" s="21">
        <v>0</v>
      </c>
      <c r="AG10289" s="21">
        <v>0</v>
      </c>
      <c r="AH10289" s="21">
        <f t="shared" si="222"/>
        <v>64</v>
      </c>
      <c r="AI10289" s="21"/>
      <c r="AJ10289" s="21" t="s">
        <v>51</v>
      </c>
      <c r="AK10289" s="21" t="s">
        <v>52</v>
      </c>
      <c r="AL10289" s="21"/>
      <c r="AM10289" s="21" t="s">
        <v>8213</v>
      </c>
      <c r="AN10289" s="21">
        <v>-122.40984774</v>
      </c>
      <c r="AO10289" s="21">
        <v>37.795365816666703</v>
      </c>
      <c r="AP10289" s="21" t="s">
        <v>116</v>
      </c>
    </row>
    <row r="10290" spans="1:42">
      <c r="A10290" s="20">
        <v>43893</v>
      </c>
      <c r="B10290" s="21">
        <v>2</v>
      </c>
      <c r="C10290" s="21">
        <v>313</v>
      </c>
      <c r="D10290" s="21">
        <v>14384</v>
      </c>
      <c r="E10290" s="21" t="s">
        <v>112</v>
      </c>
      <c r="F10290" s="21" t="s">
        <v>38</v>
      </c>
      <c r="G10290" s="21">
        <v>4</v>
      </c>
      <c r="H10290" s="27">
        <v>143</v>
      </c>
      <c r="I10290" s="21" t="s">
        <v>6384</v>
      </c>
      <c r="J10290" s="21"/>
      <c r="K10290" s="21" t="s">
        <v>407</v>
      </c>
      <c r="L10290" s="21"/>
      <c r="M10290" s="21" t="s">
        <v>6618</v>
      </c>
      <c r="N10290" s="21" t="s">
        <v>40</v>
      </c>
      <c r="O10290" s="21">
        <v>50</v>
      </c>
      <c r="P10290" s="21"/>
      <c r="Q10290" s="21">
        <f t="shared" si="223"/>
        <v>1</v>
      </c>
      <c r="R10290" s="21">
        <v>1</v>
      </c>
      <c r="S10290" s="21">
        <v>0</v>
      </c>
      <c r="T10290" s="21">
        <v>0</v>
      </c>
      <c r="U10290" s="21">
        <v>1</v>
      </c>
      <c r="V10290" s="21">
        <v>0</v>
      </c>
      <c r="W10290" s="21">
        <v>0</v>
      </c>
      <c r="Y10290" s="21">
        <v>0</v>
      </c>
      <c r="Z10290" s="21">
        <v>0</v>
      </c>
      <c r="AA10290" s="21">
        <v>0</v>
      </c>
      <c r="AB10290" s="21">
        <v>0</v>
      </c>
      <c r="AC10290" s="21">
        <v>0</v>
      </c>
      <c r="AD10290" s="21">
        <v>0</v>
      </c>
      <c r="AE10290" s="21">
        <v>0</v>
      </c>
      <c r="AF10290" s="21">
        <v>0</v>
      </c>
      <c r="AG10290" s="21">
        <v>0</v>
      </c>
      <c r="AH10290" s="21">
        <f t="shared" si="222"/>
        <v>32</v>
      </c>
      <c r="AI10290" s="21"/>
      <c r="AJ10290" s="21" t="s">
        <v>51</v>
      </c>
      <c r="AK10290" s="21" t="s">
        <v>52</v>
      </c>
      <c r="AL10290" s="21"/>
      <c r="AM10290" s="21" t="s">
        <v>8214</v>
      </c>
      <c r="AN10290" s="21">
        <v>-122.409897696667</v>
      </c>
      <c r="AO10290" s="21">
        <v>37.795510420000902</v>
      </c>
      <c r="AP10290" s="21" t="s">
        <v>116</v>
      </c>
    </row>
    <row r="10291" spans="1:42">
      <c r="A10291" s="20">
        <v>43893</v>
      </c>
      <c r="B10291" s="21">
        <v>2</v>
      </c>
      <c r="C10291" s="21">
        <v>313</v>
      </c>
      <c r="D10291" s="21">
        <v>14384</v>
      </c>
      <c r="E10291" s="21" t="s">
        <v>112</v>
      </c>
      <c r="F10291" s="21" t="s">
        <v>38</v>
      </c>
      <c r="G10291" s="21">
        <v>4</v>
      </c>
      <c r="H10291" s="27">
        <v>144</v>
      </c>
      <c r="I10291" s="21" t="s">
        <v>3011</v>
      </c>
      <c r="J10291" s="21"/>
      <c r="K10291" s="21" t="s">
        <v>407</v>
      </c>
      <c r="L10291" s="21"/>
      <c r="M10291" s="21" t="s">
        <v>7038</v>
      </c>
      <c r="N10291" s="21" t="s">
        <v>40</v>
      </c>
      <c r="O10291" s="21">
        <v>108</v>
      </c>
      <c r="P10291" s="21"/>
      <c r="Q10291" s="21">
        <f t="shared" si="223"/>
        <v>3</v>
      </c>
      <c r="R10291" s="21">
        <v>1</v>
      </c>
      <c r="S10291" s="21">
        <v>0</v>
      </c>
      <c r="T10291" s="21">
        <v>0</v>
      </c>
      <c r="U10291" s="21">
        <v>0</v>
      </c>
      <c r="V10291" s="21">
        <v>3</v>
      </c>
      <c r="W10291" s="21">
        <v>0</v>
      </c>
      <c r="Y10291" s="21">
        <v>0</v>
      </c>
      <c r="Z10291" s="21">
        <v>0</v>
      </c>
      <c r="AA10291" s="21">
        <v>0</v>
      </c>
      <c r="AB10291" s="21">
        <v>0</v>
      </c>
      <c r="AC10291" s="21">
        <v>0</v>
      </c>
      <c r="AD10291" s="21">
        <v>0</v>
      </c>
      <c r="AE10291" s="21">
        <v>0</v>
      </c>
      <c r="AF10291" s="21">
        <v>0</v>
      </c>
      <c r="AG10291" s="21">
        <v>0</v>
      </c>
      <c r="AH10291" s="21">
        <f t="shared" si="222"/>
        <v>192</v>
      </c>
      <c r="AI10291" s="21"/>
      <c r="AJ10291" s="21" t="s">
        <v>51</v>
      </c>
      <c r="AK10291" s="21" t="s">
        <v>52</v>
      </c>
      <c r="AL10291" s="21"/>
      <c r="AM10291" s="21" t="s">
        <v>8215</v>
      </c>
      <c r="AN10291" s="21">
        <v>-122.410122233333</v>
      </c>
      <c r="AO10291" s="21">
        <v>37.796676200000199</v>
      </c>
      <c r="AP10291" s="21" t="s">
        <v>116</v>
      </c>
    </row>
    <row r="10292" spans="1:42">
      <c r="A10292" s="20">
        <v>43893</v>
      </c>
      <c r="B10292" s="21">
        <v>2</v>
      </c>
      <c r="C10292" s="21">
        <v>313</v>
      </c>
      <c r="D10292" s="21">
        <v>14384</v>
      </c>
      <c r="E10292" s="21" t="s">
        <v>112</v>
      </c>
      <c r="F10292" s="21" t="s">
        <v>38</v>
      </c>
      <c r="G10292" s="21">
        <v>4</v>
      </c>
      <c r="H10292" s="27">
        <v>145</v>
      </c>
      <c r="I10292" s="21" t="s">
        <v>8216</v>
      </c>
      <c r="J10292" s="21"/>
      <c r="K10292" s="21" t="s">
        <v>185</v>
      </c>
      <c r="L10292" s="21"/>
      <c r="M10292" s="21" t="s">
        <v>7038</v>
      </c>
      <c r="N10292" s="21" t="s">
        <v>44</v>
      </c>
      <c r="O10292" s="21">
        <v>147</v>
      </c>
      <c r="P10292" s="21"/>
      <c r="Q10292" s="21">
        <f t="shared" si="223"/>
        <v>1</v>
      </c>
      <c r="R10292" s="21">
        <v>1</v>
      </c>
      <c r="S10292" s="21">
        <v>0</v>
      </c>
      <c r="T10292" s="21">
        <v>0</v>
      </c>
      <c r="U10292" s="21">
        <v>0</v>
      </c>
      <c r="V10292" s="21">
        <v>1</v>
      </c>
      <c r="W10292" s="21">
        <v>0</v>
      </c>
      <c r="Y10292" s="21">
        <v>0</v>
      </c>
      <c r="Z10292" s="21">
        <v>0</v>
      </c>
      <c r="AA10292" s="21">
        <v>0</v>
      </c>
      <c r="AB10292" s="21">
        <v>0</v>
      </c>
      <c r="AC10292" s="21">
        <v>0</v>
      </c>
      <c r="AD10292" s="21">
        <v>0</v>
      </c>
      <c r="AE10292" s="21">
        <v>0</v>
      </c>
      <c r="AF10292" s="21">
        <v>0</v>
      </c>
      <c r="AG10292" s="21">
        <v>0</v>
      </c>
      <c r="AH10292" s="21">
        <f t="shared" si="222"/>
        <v>64</v>
      </c>
      <c r="AI10292" s="21"/>
      <c r="AJ10292" s="21" t="s">
        <v>51</v>
      </c>
      <c r="AK10292" s="21" t="s">
        <v>52</v>
      </c>
      <c r="AL10292" s="21" t="s">
        <v>8217</v>
      </c>
      <c r="AM10292" s="21" t="s">
        <v>8218</v>
      </c>
      <c r="AN10292" s="21">
        <v>-122.41015924516699</v>
      </c>
      <c r="AO10292" s="21">
        <v>37.798406730302403</v>
      </c>
      <c r="AP10292" s="21" t="s">
        <v>116</v>
      </c>
    </row>
    <row r="10293" spans="1:42">
      <c r="A10293" s="20">
        <v>43893</v>
      </c>
      <c r="B10293" s="21">
        <v>2</v>
      </c>
      <c r="C10293" s="21">
        <v>313</v>
      </c>
      <c r="D10293" s="21">
        <v>14384</v>
      </c>
      <c r="E10293" s="21" t="s">
        <v>112</v>
      </c>
      <c r="F10293" s="21" t="s">
        <v>38</v>
      </c>
      <c r="G10293" s="21">
        <v>4</v>
      </c>
      <c r="H10293" s="27">
        <v>146</v>
      </c>
      <c r="I10293" s="21" t="s">
        <v>8219</v>
      </c>
      <c r="J10293" s="21"/>
      <c r="K10293" s="21" t="s">
        <v>185</v>
      </c>
      <c r="L10293" s="21"/>
      <c r="M10293" s="21" t="s">
        <v>7038</v>
      </c>
      <c r="N10293" s="21" t="s">
        <v>40</v>
      </c>
      <c r="O10293" s="21">
        <v>67</v>
      </c>
      <c r="P10293" s="21"/>
      <c r="Q10293" s="21">
        <f t="shared" si="223"/>
        <v>3</v>
      </c>
      <c r="R10293" s="21">
        <v>1</v>
      </c>
      <c r="S10293" s="21">
        <v>0</v>
      </c>
      <c r="T10293" s="21">
        <v>0</v>
      </c>
      <c r="U10293" s="21">
        <v>0</v>
      </c>
      <c r="V10293" s="21">
        <v>3</v>
      </c>
      <c r="W10293" s="21">
        <v>0</v>
      </c>
      <c r="Y10293" s="21">
        <v>0</v>
      </c>
      <c r="Z10293" s="21">
        <v>0</v>
      </c>
      <c r="AA10293" s="21">
        <v>0</v>
      </c>
      <c r="AB10293" s="21">
        <v>0</v>
      </c>
      <c r="AC10293" s="21">
        <v>0</v>
      </c>
      <c r="AD10293" s="21">
        <v>0</v>
      </c>
      <c r="AE10293" s="21">
        <v>0</v>
      </c>
      <c r="AF10293" s="21">
        <v>0</v>
      </c>
      <c r="AG10293" s="21">
        <v>0</v>
      </c>
      <c r="AH10293" s="21">
        <f t="shared" ref="AH10293:AH10356" si="224">(S10293*16)+(T10293*20)+(U10293*32)+(V10293*64)+(W10293*96)</f>
        <v>192</v>
      </c>
      <c r="AI10293" s="21"/>
      <c r="AJ10293" s="21" t="s">
        <v>51</v>
      </c>
      <c r="AK10293" s="21" t="s">
        <v>95</v>
      </c>
      <c r="AL10293" s="21"/>
      <c r="AM10293" s="21" t="s">
        <v>8220</v>
      </c>
      <c r="AN10293" s="21">
        <v>-122.40756766</v>
      </c>
      <c r="AO10293" s="21">
        <v>37.797715400000499</v>
      </c>
      <c r="AP10293" s="21" t="s">
        <v>116</v>
      </c>
    </row>
    <row r="10294" spans="1:42">
      <c r="A10294" s="20">
        <v>43893</v>
      </c>
      <c r="B10294" s="21">
        <v>2</v>
      </c>
      <c r="C10294" s="21">
        <v>313</v>
      </c>
      <c r="D10294" s="21">
        <v>14384</v>
      </c>
      <c r="E10294" s="21" t="s">
        <v>112</v>
      </c>
      <c r="F10294" s="21" t="s">
        <v>38</v>
      </c>
      <c r="G10294" s="21">
        <v>4</v>
      </c>
      <c r="H10294" s="27">
        <v>147</v>
      </c>
      <c r="I10294" s="21" t="s">
        <v>8221</v>
      </c>
      <c r="J10294" s="21"/>
      <c r="K10294" s="21" t="s">
        <v>1115</v>
      </c>
      <c r="L10294" s="21"/>
      <c r="M10294" s="21" t="s">
        <v>7038</v>
      </c>
      <c r="N10294" s="21" t="s">
        <v>40</v>
      </c>
      <c r="O10294" s="21">
        <v>21</v>
      </c>
      <c r="P10294" s="21"/>
      <c r="Q10294" s="21">
        <f t="shared" si="223"/>
        <v>1</v>
      </c>
      <c r="R10294" s="21">
        <v>1</v>
      </c>
      <c r="S10294" s="21">
        <v>0</v>
      </c>
      <c r="T10294" s="21">
        <v>0</v>
      </c>
      <c r="U10294" s="21">
        <v>0</v>
      </c>
      <c r="V10294" s="21">
        <v>1</v>
      </c>
      <c r="W10294" s="21">
        <v>0</v>
      </c>
      <c r="Y10294" s="21">
        <v>0</v>
      </c>
      <c r="Z10294" s="21">
        <v>0</v>
      </c>
      <c r="AA10294" s="21">
        <v>0</v>
      </c>
      <c r="AB10294" s="21">
        <v>0</v>
      </c>
      <c r="AC10294" s="21">
        <v>0</v>
      </c>
      <c r="AD10294" s="21">
        <v>0</v>
      </c>
      <c r="AE10294" s="21">
        <v>0</v>
      </c>
      <c r="AF10294" s="21">
        <v>0</v>
      </c>
      <c r="AG10294" s="21">
        <v>0</v>
      </c>
      <c r="AH10294" s="21">
        <f t="shared" si="224"/>
        <v>64</v>
      </c>
      <c r="AI10294" s="21"/>
      <c r="AJ10294" s="21" t="s">
        <v>51</v>
      </c>
      <c r="AK10294" s="21" t="s">
        <v>95</v>
      </c>
      <c r="AL10294" s="21"/>
      <c r="AM10294" s="21" t="s">
        <v>8222</v>
      </c>
      <c r="AN10294" s="21">
        <v>-122.40688409333301</v>
      </c>
      <c r="AO10294" s="21">
        <v>37.798111530000099</v>
      </c>
      <c r="AP10294" s="21" t="s">
        <v>116</v>
      </c>
    </row>
    <row r="10295" spans="1:42">
      <c r="A10295" s="20">
        <v>43893</v>
      </c>
      <c r="B10295" s="21">
        <v>2</v>
      </c>
      <c r="C10295" s="21">
        <v>313</v>
      </c>
      <c r="D10295" s="21">
        <v>14384</v>
      </c>
      <c r="E10295" s="21" t="s">
        <v>112</v>
      </c>
      <c r="F10295" s="21" t="s">
        <v>38</v>
      </c>
      <c r="G10295" s="21">
        <v>4</v>
      </c>
      <c r="H10295" s="27">
        <v>148</v>
      </c>
      <c r="I10295" s="21" t="s">
        <v>8223</v>
      </c>
      <c r="J10295" s="21"/>
      <c r="K10295" s="21" t="s">
        <v>1115</v>
      </c>
      <c r="L10295" s="21"/>
      <c r="M10295" s="21" t="s">
        <v>7038</v>
      </c>
      <c r="N10295" s="21" t="s">
        <v>40</v>
      </c>
      <c r="O10295" s="21">
        <v>26</v>
      </c>
      <c r="P10295" s="21"/>
      <c r="Q10295" s="21">
        <f t="shared" si="223"/>
        <v>1</v>
      </c>
      <c r="R10295" s="21">
        <v>1</v>
      </c>
      <c r="S10295" s="21">
        <v>0</v>
      </c>
      <c r="T10295" s="21">
        <v>0</v>
      </c>
      <c r="U10295" s="21">
        <v>0</v>
      </c>
      <c r="V10295" s="21">
        <v>1</v>
      </c>
      <c r="W10295" s="21">
        <v>0</v>
      </c>
      <c r="Y10295" s="21">
        <v>0</v>
      </c>
      <c r="Z10295" s="21">
        <v>0</v>
      </c>
      <c r="AA10295" s="21">
        <v>0</v>
      </c>
      <c r="AB10295" s="21">
        <v>0</v>
      </c>
      <c r="AC10295" s="21">
        <v>0</v>
      </c>
      <c r="AD10295" s="21">
        <v>0</v>
      </c>
      <c r="AE10295" s="21">
        <v>0</v>
      </c>
      <c r="AF10295" s="21">
        <v>0</v>
      </c>
      <c r="AG10295" s="21">
        <v>0</v>
      </c>
      <c r="AH10295" s="21">
        <f t="shared" si="224"/>
        <v>64</v>
      </c>
      <c r="AI10295" s="21"/>
      <c r="AJ10295" s="21" t="s">
        <v>51</v>
      </c>
      <c r="AK10295" s="21" t="s">
        <v>95</v>
      </c>
      <c r="AL10295" s="21"/>
      <c r="AM10295" s="21" t="s">
        <v>8224</v>
      </c>
      <c r="AN10295" s="21">
        <v>-122.40717128999999</v>
      </c>
      <c r="AO10295" s="21">
        <v>37.798241473334897</v>
      </c>
      <c r="AP10295" s="21" t="s">
        <v>116</v>
      </c>
    </row>
    <row r="10296" spans="1:42">
      <c r="A10296" s="20">
        <v>43893</v>
      </c>
      <c r="B10296" s="21">
        <v>2</v>
      </c>
      <c r="C10296" s="21">
        <v>313</v>
      </c>
      <c r="D10296" s="21">
        <v>14384</v>
      </c>
      <c r="E10296" s="21" t="s">
        <v>112</v>
      </c>
      <c r="F10296" s="21" t="s">
        <v>38</v>
      </c>
      <c r="G10296" s="21">
        <v>4</v>
      </c>
      <c r="H10296" s="27">
        <v>149</v>
      </c>
      <c r="I10296" s="21" t="s">
        <v>6812</v>
      </c>
      <c r="J10296" s="21"/>
      <c r="K10296" s="21" t="s">
        <v>1115</v>
      </c>
      <c r="L10296" s="21"/>
      <c r="M10296" s="21" t="s">
        <v>7038</v>
      </c>
      <c r="N10296" s="21" t="s">
        <v>40</v>
      </c>
      <c r="O10296" s="21">
        <v>31</v>
      </c>
      <c r="P10296" s="21"/>
      <c r="Q10296" s="21">
        <f t="shared" si="223"/>
        <v>2</v>
      </c>
      <c r="R10296" s="21">
        <v>1</v>
      </c>
      <c r="S10296" s="21">
        <v>0</v>
      </c>
      <c r="T10296" s="21">
        <v>0</v>
      </c>
      <c r="U10296" s="21">
        <v>0</v>
      </c>
      <c r="V10296" s="21">
        <v>2</v>
      </c>
      <c r="W10296" s="21">
        <v>0</v>
      </c>
      <c r="Y10296" s="21">
        <v>0</v>
      </c>
      <c r="Z10296" s="21">
        <v>0</v>
      </c>
      <c r="AA10296" s="21">
        <v>0</v>
      </c>
      <c r="AB10296" s="21">
        <v>0</v>
      </c>
      <c r="AC10296" s="21">
        <v>0</v>
      </c>
      <c r="AD10296" s="21">
        <v>0</v>
      </c>
      <c r="AE10296" s="21">
        <v>0</v>
      </c>
      <c r="AF10296" s="21">
        <v>0</v>
      </c>
      <c r="AG10296" s="21">
        <v>0</v>
      </c>
      <c r="AH10296" s="21">
        <f t="shared" si="224"/>
        <v>128</v>
      </c>
      <c r="AI10296" s="21"/>
      <c r="AJ10296" s="21" t="s">
        <v>51</v>
      </c>
      <c r="AK10296" s="21" t="s">
        <v>95</v>
      </c>
      <c r="AL10296" s="21" t="s">
        <v>8225</v>
      </c>
      <c r="AM10296" s="21" t="s">
        <v>8226</v>
      </c>
      <c r="AN10296" s="21">
        <v>-122.41193496</v>
      </c>
      <c r="AO10296" s="21">
        <v>37.801569556666699</v>
      </c>
      <c r="AP10296" s="21" t="s">
        <v>116</v>
      </c>
    </row>
    <row r="10297" spans="1:42">
      <c r="A10297" s="20">
        <v>43893</v>
      </c>
      <c r="B10297" s="21">
        <v>2</v>
      </c>
      <c r="C10297" s="21">
        <v>313</v>
      </c>
      <c r="D10297" s="21">
        <v>14384</v>
      </c>
      <c r="E10297" s="21" t="s">
        <v>112</v>
      </c>
      <c r="F10297" s="21" t="s">
        <v>38</v>
      </c>
      <c r="G10297" s="21">
        <v>4</v>
      </c>
      <c r="H10297" s="27">
        <v>150</v>
      </c>
      <c r="I10297" s="21" t="s">
        <v>4352</v>
      </c>
      <c r="J10297" s="21"/>
      <c r="K10297" s="21" t="s">
        <v>1115</v>
      </c>
      <c r="L10297" s="21"/>
      <c r="M10297" s="21" t="s">
        <v>7038</v>
      </c>
      <c r="N10297" s="21" t="s">
        <v>40</v>
      </c>
      <c r="O10297" s="21">
        <v>23</v>
      </c>
      <c r="P10297" s="21"/>
      <c r="Q10297" s="21">
        <f t="shared" si="223"/>
        <v>1</v>
      </c>
      <c r="R10297" s="21">
        <v>1</v>
      </c>
      <c r="S10297" s="21">
        <v>0</v>
      </c>
      <c r="T10297" s="21">
        <v>0</v>
      </c>
      <c r="U10297" s="21">
        <v>1</v>
      </c>
      <c r="V10297" s="21">
        <v>0</v>
      </c>
      <c r="W10297" s="21">
        <v>0</v>
      </c>
      <c r="Y10297" s="21">
        <v>0</v>
      </c>
      <c r="Z10297" s="21">
        <v>0</v>
      </c>
      <c r="AA10297" s="21">
        <v>0</v>
      </c>
      <c r="AB10297" s="21">
        <v>0</v>
      </c>
      <c r="AC10297" s="21">
        <v>0</v>
      </c>
      <c r="AD10297" s="21">
        <v>0</v>
      </c>
      <c r="AE10297" s="21">
        <v>0</v>
      </c>
      <c r="AF10297" s="21">
        <v>0</v>
      </c>
      <c r="AG10297" s="21">
        <v>0</v>
      </c>
      <c r="AH10297" s="21">
        <f t="shared" si="224"/>
        <v>32</v>
      </c>
      <c r="AI10297" s="21"/>
      <c r="AJ10297" s="21" t="s">
        <v>51</v>
      </c>
      <c r="AK10297" s="21" t="s">
        <v>95</v>
      </c>
      <c r="AL10297" s="21"/>
      <c r="AM10297" s="21" t="s">
        <v>8227</v>
      </c>
      <c r="AN10297" s="21">
        <v>-122.41347939000001</v>
      </c>
      <c r="AO10297" s="21">
        <v>37.802603076666799</v>
      </c>
      <c r="AP10297" s="21" t="s">
        <v>116</v>
      </c>
    </row>
    <row r="10298" spans="1:42">
      <c r="A10298" s="20">
        <v>43893</v>
      </c>
      <c r="B10298" s="21">
        <v>2</v>
      </c>
      <c r="C10298" s="21">
        <v>313</v>
      </c>
      <c r="D10298" s="21">
        <v>14384</v>
      </c>
      <c r="E10298" s="21" t="s">
        <v>112</v>
      </c>
      <c r="F10298" s="21" t="s">
        <v>38</v>
      </c>
      <c r="G10298" s="21">
        <v>4</v>
      </c>
      <c r="H10298" s="27">
        <v>151</v>
      </c>
      <c r="I10298" s="21" t="s">
        <v>7146</v>
      </c>
      <c r="J10298" s="21"/>
      <c r="K10298" s="21" t="s">
        <v>7059</v>
      </c>
      <c r="L10298" s="21"/>
      <c r="M10298" s="21" t="s">
        <v>7038</v>
      </c>
      <c r="N10298" s="21" t="s">
        <v>40</v>
      </c>
      <c r="O10298" s="21">
        <v>36</v>
      </c>
      <c r="P10298" s="21"/>
      <c r="Q10298" s="21">
        <f t="shared" si="223"/>
        <v>1</v>
      </c>
      <c r="R10298" s="21">
        <v>1</v>
      </c>
      <c r="S10298" s="21">
        <v>0</v>
      </c>
      <c r="T10298" s="21">
        <v>0</v>
      </c>
      <c r="U10298" s="21">
        <v>1</v>
      </c>
      <c r="V10298" s="21">
        <v>0</v>
      </c>
      <c r="W10298" s="21">
        <v>0</v>
      </c>
      <c r="Y10298" s="21">
        <v>0</v>
      </c>
      <c r="Z10298" s="21">
        <v>0</v>
      </c>
      <c r="AA10298" s="21">
        <v>0</v>
      </c>
      <c r="AB10298" s="21">
        <v>0</v>
      </c>
      <c r="AC10298" s="21">
        <v>0</v>
      </c>
      <c r="AD10298" s="21">
        <v>0</v>
      </c>
      <c r="AE10298" s="21">
        <v>0</v>
      </c>
      <c r="AF10298" s="21">
        <v>0</v>
      </c>
      <c r="AG10298" s="21">
        <v>0</v>
      </c>
      <c r="AH10298" s="21">
        <f t="shared" si="224"/>
        <v>32</v>
      </c>
      <c r="AI10298" s="21"/>
      <c r="AJ10298" s="21" t="s">
        <v>51</v>
      </c>
      <c r="AK10298" s="21" t="s">
        <v>95</v>
      </c>
      <c r="AL10298" s="21"/>
      <c r="AM10298" s="21" t="s">
        <v>8228</v>
      </c>
      <c r="AN10298" s="21">
        <v>-122.413047806667</v>
      </c>
      <c r="AO10298" s="21">
        <v>37.802231220000301</v>
      </c>
      <c r="AP10298" s="21" t="s">
        <v>116</v>
      </c>
    </row>
    <row r="10299" spans="1:42">
      <c r="A10299" s="20">
        <v>43893</v>
      </c>
      <c r="B10299" s="21">
        <v>2</v>
      </c>
      <c r="C10299" s="21">
        <v>313</v>
      </c>
      <c r="D10299" s="21">
        <v>14384</v>
      </c>
      <c r="E10299" s="21" t="s">
        <v>112</v>
      </c>
      <c r="F10299" s="21" t="s">
        <v>38</v>
      </c>
      <c r="G10299" s="21">
        <v>4</v>
      </c>
      <c r="H10299" s="27">
        <v>152</v>
      </c>
      <c r="I10299" s="21" t="s">
        <v>4213</v>
      </c>
      <c r="J10299" s="21"/>
      <c r="K10299" s="21" t="s">
        <v>1115</v>
      </c>
      <c r="L10299" s="21"/>
      <c r="M10299" s="21" t="s">
        <v>7038</v>
      </c>
      <c r="N10299" s="21" t="s">
        <v>40</v>
      </c>
      <c r="O10299" s="21">
        <v>22</v>
      </c>
      <c r="P10299" s="21"/>
      <c r="Q10299" s="21">
        <f t="shared" si="223"/>
        <v>1</v>
      </c>
      <c r="R10299" s="21">
        <v>1</v>
      </c>
      <c r="S10299" s="21">
        <v>0</v>
      </c>
      <c r="T10299" s="21">
        <v>0</v>
      </c>
      <c r="U10299" s="21">
        <v>1</v>
      </c>
      <c r="V10299" s="21">
        <v>0</v>
      </c>
      <c r="W10299" s="21">
        <v>0</v>
      </c>
      <c r="Y10299" s="21">
        <v>0</v>
      </c>
      <c r="Z10299" s="21">
        <v>0</v>
      </c>
      <c r="AA10299" s="21">
        <v>0</v>
      </c>
      <c r="AB10299" s="21">
        <v>0</v>
      </c>
      <c r="AC10299" s="21">
        <v>0</v>
      </c>
      <c r="AD10299" s="21">
        <v>0</v>
      </c>
      <c r="AE10299" s="21">
        <v>0</v>
      </c>
      <c r="AF10299" s="21">
        <v>0</v>
      </c>
      <c r="AG10299" s="21">
        <v>0</v>
      </c>
      <c r="AH10299" s="21">
        <f t="shared" si="224"/>
        <v>32</v>
      </c>
      <c r="AI10299" s="21"/>
      <c r="AJ10299" s="21" t="s">
        <v>51</v>
      </c>
      <c r="AK10299" s="21" t="s">
        <v>95</v>
      </c>
      <c r="AL10299" s="21"/>
      <c r="AM10299" s="21" t="s">
        <v>8229</v>
      </c>
      <c r="AN10299" s="21">
        <v>-122.409881896667</v>
      </c>
      <c r="AO10299" s="21">
        <v>37.799972516666799</v>
      </c>
      <c r="AP10299" s="21" t="s">
        <v>116</v>
      </c>
    </row>
    <row r="10300" spans="1:42">
      <c r="A10300" s="20">
        <v>43893</v>
      </c>
      <c r="B10300" s="21">
        <v>2</v>
      </c>
      <c r="C10300" s="21">
        <v>313</v>
      </c>
      <c r="D10300" s="21">
        <v>14384</v>
      </c>
      <c r="E10300" s="21" t="s">
        <v>112</v>
      </c>
      <c r="F10300" s="21" t="s">
        <v>38</v>
      </c>
      <c r="G10300" s="21">
        <v>4</v>
      </c>
      <c r="H10300" s="27">
        <v>153</v>
      </c>
      <c r="I10300" s="21" t="s">
        <v>8230</v>
      </c>
      <c r="J10300" s="21"/>
      <c r="K10300" s="21" t="s">
        <v>7059</v>
      </c>
      <c r="L10300" s="21"/>
      <c r="M10300" s="21" t="s">
        <v>7038</v>
      </c>
      <c r="N10300" s="21" t="s">
        <v>40</v>
      </c>
      <c r="O10300" s="21">
        <v>31</v>
      </c>
      <c r="P10300" s="21"/>
      <c r="Q10300" s="21">
        <f t="shared" si="223"/>
        <v>1</v>
      </c>
      <c r="R10300" s="21">
        <v>1</v>
      </c>
      <c r="S10300" s="21">
        <v>0</v>
      </c>
      <c r="T10300" s="21">
        <v>0</v>
      </c>
      <c r="U10300" s="21">
        <v>0</v>
      </c>
      <c r="V10300" s="21">
        <v>1</v>
      </c>
      <c r="W10300" s="21">
        <v>0</v>
      </c>
      <c r="Y10300" s="21">
        <v>0</v>
      </c>
      <c r="Z10300" s="21">
        <v>0</v>
      </c>
      <c r="AA10300" s="21">
        <v>0</v>
      </c>
      <c r="AB10300" s="21">
        <v>0</v>
      </c>
      <c r="AC10300" s="21">
        <v>0</v>
      </c>
      <c r="AD10300" s="21">
        <v>0</v>
      </c>
      <c r="AE10300" s="21">
        <v>0</v>
      </c>
      <c r="AF10300" s="21">
        <v>0</v>
      </c>
      <c r="AG10300" s="21">
        <v>0</v>
      </c>
      <c r="AH10300" s="21">
        <f t="shared" si="224"/>
        <v>64</v>
      </c>
      <c r="AI10300" s="21"/>
      <c r="AJ10300" s="21" t="s">
        <v>51</v>
      </c>
      <c r="AK10300" s="21" t="s">
        <v>95</v>
      </c>
      <c r="AL10300" s="21"/>
      <c r="AM10300" s="21" t="s">
        <v>8231</v>
      </c>
      <c r="AN10300" s="21">
        <v>-122.40832091666699</v>
      </c>
      <c r="AO10300" s="21">
        <v>37.798941400000302</v>
      </c>
      <c r="AP10300" s="21" t="s">
        <v>116</v>
      </c>
    </row>
    <row r="10301" spans="1:42">
      <c r="A10301" s="20">
        <v>43893</v>
      </c>
      <c r="B10301" s="21">
        <v>2</v>
      </c>
      <c r="C10301" s="21">
        <v>313</v>
      </c>
      <c r="D10301" s="21">
        <v>14384</v>
      </c>
      <c r="E10301" s="21" t="s">
        <v>112</v>
      </c>
      <c r="F10301" s="21" t="s">
        <v>38</v>
      </c>
      <c r="G10301" s="21">
        <v>4</v>
      </c>
      <c r="H10301" s="27">
        <v>154</v>
      </c>
      <c r="I10301" s="21" t="s">
        <v>6676</v>
      </c>
      <c r="J10301" s="21"/>
      <c r="K10301" s="21" t="s">
        <v>1115</v>
      </c>
      <c r="L10301" s="21"/>
      <c r="M10301" s="21" t="s">
        <v>7038</v>
      </c>
      <c r="N10301" s="21" t="s">
        <v>40</v>
      </c>
      <c r="O10301" s="21">
        <v>30</v>
      </c>
      <c r="P10301" s="21"/>
      <c r="Q10301" s="21">
        <f t="shared" si="223"/>
        <v>1</v>
      </c>
      <c r="R10301" s="21">
        <v>1</v>
      </c>
      <c r="S10301" s="21">
        <v>0</v>
      </c>
      <c r="T10301" s="21">
        <v>0</v>
      </c>
      <c r="U10301" s="21">
        <v>1</v>
      </c>
      <c r="V10301" s="21">
        <v>0</v>
      </c>
      <c r="W10301" s="21">
        <v>0</v>
      </c>
      <c r="Y10301" s="21">
        <v>0</v>
      </c>
      <c r="Z10301" s="21">
        <v>0</v>
      </c>
      <c r="AA10301" s="21">
        <v>0</v>
      </c>
      <c r="AB10301" s="21">
        <v>0</v>
      </c>
      <c r="AC10301" s="21">
        <v>0</v>
      </c>
      <c r="AD10301" s="21">
        <v>0</v>
      </c>
      <c r="AE10301" s="21">
        <v>0</v>
      </c>
      <c r="AF10301" s="21">
        <v>0</v>
      </c>
      <c r="AG10301" s="21">
        <v>0</v>
      </c>
      <c r="AH10301" s="21">
        <f t="shared" si="224"/>
        <v>32</v>
      </c>
      <c r="AI10301" s="21"/>
      <c r="AJ10301" s="21" t="s">
        <v>51</v>
      </c>
      <c r="AK10301" s="21" t="s">
        <v>95</v>
      </c>
      <c r="AL10301" s="21"/>
      <c r="AM10301" s="21" t="s">
        <v>8232</v>
      </c>
      <c r="AN10301" s="21">
        <v>-122.40775652000001</v>
      </c>
      <c r="AO10301" s="21">
        <v>37.798503633333297</v>
      </c>
      <c r="AP10301" s="21" t="s">
        <v>116</v>
      </c>
    </row>
    <row r="10302" spans="1:42">
      <c r="A10302" s="20">
        <v>43893</v>
      </c>
      <c r="B10302" s="21">
        <v>2</v>
      </c>
      <c r="C10302" s="21">
        <v>313</v>
      </c>
      <c r="D10302" s="21">
        <v>14384</v>
      </c>
      <c r="E10302" s="21" t="s">
        <v>112</v>
      </c>
      <c r="F10302" s="21" t="s">
        <v>38</v>
      </c>
      <c r="G10302" s="21">
        <v>4</v>
      </c>
      <c r="H10302" s="27">
        <v>155</v>
      </c>
      <c r="I10302" s="21" t="s">
        <v>3504</v>
      </c>
      <c r="J10302" s="21"/>
      <c r="K10302" s="21" t="s">
        <v>1115</v>
      </c>
      <c r="L10302" s="21"/>
      <c r="M10302" s="21" t="s">
        <v>7038</v>
      </c>
      <c r="N10302" s="21" t="s">
        <v>40</v>
      </c>
      <c r="O10302" s="21">
        <v>29</v>
      </c>
      <c r="P10302" s="21"/>
      <c r="Q10302" s="21">
        <f t="shared" si="223"/>
        <v>2</v>
      </c>
      <c r="R10302" s="21">
        <v>1</v>
      </c>
      <c r="S10302" s="21">
        <v>0</v>
      </c>
      <c r="T10302" s="21">
        <v>0</v>
      </c>
      <c r="U10302" s="21">
        <v>0</v>
      </c>
      <c r="V10302" s="21">
        <v>2</v>
      </c>
      <c r="W10302" s="21">
        <v>0</v>
      </c>
      <c r="Y10302" s="21">
        <v>0</v>
      </c>
      <c r="Z10302" s="21">
        <v>0</v>
      </c>
      <c r="AA10302" s="21">
        <v>0</v>
      </c>
      <c r="AB10302" s="21">
        <v>0</v>
      </c>
      <c r="AC10302" s="21">
        <v>0</v>
      </c>
      <c r="AD10302" s="21">
        <v>0</v>
      </c>
      <c r="AE10302" s="21">
        <v>0</v>
      </c>
      <c r="AF10302" s="21">
        <v>0</v>
      </c>
      <c r="AG10302" s="21">
        <v>0</v>
      </c>
      <c r="AH10302" s="21">
        <f t="shared" si="224"/>
        <v>128</v>
      </c>
      <c r="AI10302" s="21"/>
      <c r="AJ10302" s="21" t="s">
        <v>51</v>
      </c>
      <c r="AK10302" s="21" t="s">
        <v>95</v>
      </c>
      <c r="AL10302" s="21"/>
      <c r="AM10302" s="21" t="s">
        <v>8233</v>
      </c>
      <c r="AN10302" s="21">
        <v>-122.40717177000001</v>
      </c>
      <c r="AO10302" s="21">
        <v>37.798134326666897</v>
      </c>
      <c r="AP10302" s="21" t="s">
        <v>116</v>
      </c>
    </row>
    <row r="10303" spans="1:42">
      <c r="A10303" s="20">
        <v>43893</v>
      </c>
      <c r="B10303" s="21">
        <v>2</v>
      </c>
      <c r="C10303" s="21">
        <v>313</v>
      </c>
      <c r="D10303" s="21">
        <v>14384</v>
      </c>
      <c r="E10303" s="21" t="s">
        <v>112</v>
      </c>
      <c r="F10303" s="21" t="s">
        <v>38</v>
      </c>
      <c r="G10303" s="21">
        <v>4</v>
      </c>
      <c r="H10303" s="27">
        <v>156</v>
      </c>
      <c r="I10303" s="21" t="s">
        <v>3584</v>
      </c>
      <c r="J10303" s="21"/>
      <c r="K10303" s="21" t="s">
        <v>185</v>
      </c>
      <c r="L10303" s="21"/>
      <c r="M10303" s="21" t="s">
        <v>7038</v>
      </c>
      <c r="N10303" s="21" t="s">
        <v>40</v>
      </c>
      <c r="O10303" s="21">
        <v>50</v>
      </c>
      <c r="P10303" s="21"/>
      <c r="Q10303" s="21">
        <f t="shared" si="223"/>
        <v>2</v>
      </c>
      <c r="R10303" s="21">
        <v>1</v>
      </c>
      <c r="S10303" s="21">
        <v>0</v>
      </c>
      <c r="T10303" s="21">
        <v>0</v>
      </c>
      <c r="U10303" s="21">
        <v>0</v>
      </c>
      <c r="V10303" s="21">
        <v>2</v>
      </c>
      <c r="W10303" s="21">
        <v>0</v>
      </c>
      <c r="Y10303" s="21">
        <v>0</v>
      </c>
      <c r="Z10303" s="21">
        <v>0</v>
      </c>
      <c r="AA10303" s="21">
        <v>0</v>
      </c>
      <c r="AB10303" s="21">
        <v>0</v>
      </c>
      <c r="AC10303" s="21">
        <v>0</v>
      </c>
      <c r="AD10303" s="21">
        <v>0</v>
      </c>
      <c r="AE10303" s="21">
        <v>0</v>
      </c>
      <c r="AF10303" s="21">
        <v>0</v>
      </c>
      <c r="AG10303" s="21">
        <v>0</v>
      </c>
      <c r="AH10303" s="21">
        <f t="shared" si="224"/>
        <v>128</v>
      </c>
      <c r="AI10303" s="21"/>
      <c r="AJ10303" s="21" t="s">
        <v>51</v>
      </c>
      <c r="AK10303" s="21" t="s">
        <v>95</v>
      </c>
      <c r="AL10303" s="21" t="s">
        <v>7709</v>
      </c>
      <c r="AM10303" s="21" t="s">
        <v>8234</v>
      </c>
      <c r="AN10303" s="21">
        <v>-122.407783963333</v>
      </c>
      <c r="AO10303" s="21">
        <v>37.797774773333401</v>
      </c>
      <c r="AP10303" s="21" t="s">
        <v>116</v>
      </c>
    </row>
    <row r="10304" spans="1:42">
      <c r="A10304" s="20">
        <v>43893</v>
      </c>
      <c r="B10304" s="21">
        <v>2</v>
      </c>
      <c r="C10304" s="21">
        <v>313</v>
      </c>
      <c r="D10304" s="21">
        <v>14384</v>
      </c>
      <c r="E10304" s="21" t="s">
        <v>112</v>
      </c>
      <c r="F10304" s="21" t="s">
        <v>38</v>
      </c>
      <c r="G10304" s="21">
        <v>4</v>
      </c>
      <c r="H10304" s="27">
        <v>157</v>
      </c>
      <c r="I10304" s="21" t="s">
        <v>6881</v>
      </c>
      <c r="J10304" s="21"/>
      <c r="K10304" s="21" t="s">
        <v>185</v>
      </c>
      <c r="L10304" s="21"/>
      <c r="M10304" s="21" t="s">
        <v>7038</v>
      </c>
      <c r="N10304" s="21" t="s">
        <v>40</v>
      </c>
      <c r="O10304" s="21">
        <v>35</v>
      </c>
      <c r="P10304" s="21"/>
      <c r="Q10304" s="21">
        <f t="shared" si="223"/>
        <v>2</v>
      </c>
      <c r="R10304" s="21">
        <v>1</v>
      </c>
      <c r="S10304" s="21">
        <v>0</v>
      </c>
      <c r="T10304" s="21">
        <v>0</v>
      </c>
      <c r="U10304" s="21">
        <v>2</v>
      </c>
      <c r="V10304" s="21">
        <v>0</v>
      </c>
      <c r="W10304" s="21">
        <v>0</v>
      </c>
      <c r="Y10304" s="21">
        <v>0</v>
      </c>
      <c r="Z10304" s="21">
        <v>0</v>
      </c>
      <c r="AA10304" s="21">
        <v>0</v>
      </c>
      <c r="AB10304" s="21">
        <v>0</v>
      </c>
      <c r="AC10304" s="21">
        <v>0</v>
      </c>
      <c r="AD10304" s="21">
        <v>0</v>
      </c>
      <c r="AE10304" s="21">
        <v>0</v>
      </c>
      <c r="AF10304" s="21">
        <v>0</v>
      </c>
      <c r="AG10304" s="21">
        <v>0</v>
      </c>
      <c r="AH10304" s="21">
        <f t="shared" si="224"/>
        <v>64</v>
      </c>
      <c r="AI10304" s="21"/>
      <c r="AJ10304" s="21" t="s">
        <v>51</v>
      </c>
      <c r="AK10304" s="21" t="s">
        <v>95</v>
      </c>
      <c r="AL10304" s="21"/>
      <c r="AM10304" s="21" t="s">
        <v>8235</v>
      </c>
      <c r="AN10304" s="21">
        <v>-122.408113746667</v>
      </c>
      <c r="AO10304" s="21">
        <v>37.797787839999998</v>
      </c>
      <c r="AP10304" s="21" t="s">
        <v>116</v>
      </c>
    </row>
    <row r="10305" spans="1:42">
      <c r="A10305" s="20">
        <v>43893</v>
      </c>
      <c r="B10305" s="21">
        <v>2</v>
      </c>
      <c r="C10305" s="21">
        <v>313</v>
      </c>
      <c r="D10305" s="21">
        <v>14384</v>
      </c>
      <c r="E10305" s="21" t="s">
        <v>112</v>
      </c>
      <c r="F10305" s="21" t="s">
        <v>38</v>
      </c>
      <c r="G10305" s="21">
        <v>4</v>
      </c>
      <c r="H10305" s="27">
        <v>158</v>
      </c>
      <c r="I10305" s="21" t="s">
        <v>8236</v>
      </c>
      <c r="J10305" s="21"/>
      <c r="K10305" s="21" t="s">
        <v>185</v>
      </c>
      <c r="L10305" s="21"/>
      <c r="M10305" s="21" t="s">
        <v>7038</v>
      </c>
      <c r="N10305" s="21" t="s">
        <v>40</v>
      </c>
      <c r="O10305" s="21">
        <v>60</v>
      </c>
      <c r="P10305" s="21"/>
      <c r="Q10305" s="21">
        <f t="shared" si="223"/>
        <v>4</v>
      </c>
      <c r="R10305" s="21">
        <v>1</v>
      </c>
      <c r="S10305" s="21">
        <v>0</v>
      </c>
      <c r="T10305" s="21">
        <v>0</v>
      </c>
      <c r="U10305" s="21">
        <v>4</v>
      </c>
      <c r="V10305" s="21">
        <v>0</v>
      </c>
      <c r="W10305" s="21">
        <v>0</v>
      </c>
      <c r="Y10305" s="21">
        <v>0</v>
      </c>
      <c r="Z10305" s="21">
        <v>0</v>
      </c>
      <c r="AA10305" s="21">
        <v>0</v>
      </c>
      <c r="AB10305" s="21">
        <v>0</v>
      </c>
      <c r="AC10305" s="21">
        <v>0</v>
      </c>
      <c r="AD10305" s="21">
        <v>0</v>
      </c>
      <c r="AE10305" s="21">
        <v>0</v>
      </c>
      <c r="AF10305" s="21">
        <v>0</v>
      </c>
      <c r="AG10305" s="21">
        <v>0</v>
      </c>
      <c r="AH10305" s="21">
        <f t="shared" si="224"/>
        <v>128</v>
      </c>
      <c r="AI10305" s="21"/>
      <c r="AJ10305" s="21" t="s">
        <v>51</v>
      </c>
      <c r="AK10305" s="21" t="s">
        <v>95</v>
      </c>
      <c r="AL10305" s="21"/>
      <c r="AM10305" s="21" t="s">
        <v>8237</v>
      </c>
      <c r="AN10305" s="21">
        <v>-122.408209396667</v>
      </c>
      <c r="AO10305" s="21">
        <v>37.797773166666701</v>
      </c>
      <c r="AP10305" s="21" t="s">
        <v>116</v>
      </c>
    </row>
    <row r="10306" spans="1:42">
      <c r="A10306" s="20">
        <v>43893</v>
      </c>
      <c r="B10306" s="21">
        <v>2</v>
      </c>
      <c r="C10306" s="21">
        <v>313</v>
      </c>
      <c r="D10306" s="21">
        <v>14384</v>
      </c>
      <c r="E10306" s="21" t="s">
        <v>112</v>
      </c>
      <c r="F10306" s="21" t="s">
        <v>38</v>
      </c>
      <c r="G10306" s="21">
        <v>4</v>
      </c>
      <c r="H10306" s="27">
        <v>159</v>
      </c>
      <c r="I10306" s="21" t="s">
        <v>3011</v>
      </c>
      <c r="J10306" s="21"/>
      <c r="K10306" s="21" t="s">
        <v>50</v>
      </c>
      <c r="L10306" s="21"/>
      <c r="M10306" s="21" t="s">
        <v>7038</v>
      </c>
      <c r="N10306" s="21" t="s">
        <v>40</v>
      </c>
      <c r="O10306" s="21">
        <v>29</v>
      </c>
      <c r="P10306" s="21"/>
      <c r="Q10306" s="21">
        <f t="shared" si="223"/>
        <v>1</v>
      </c>
      <c r="R10306" s="21">
        <v>1</v>
      </c>
      <c r="S10306" s="21">
        <v>0</v>
      </c>
      <c r="T10306" s="21">
        <v>0</v>
      </c>
      <c r="U10306" s="21">
        <v>1</v>
      </c>
      <c r="V10306" s="21">
        <v>0</v>
      </c>
      <c r="W10306" s="21">
        <v>0</v>
      </c>
      <c r="Y10306" s="21">
        <v>0</v>
      </c>
      <c r="Z10306" s="21">
        <v>0</v>
      </c>
      <c r="AA10306" s="21">
        <v>0</v>
      </c>
      <c r="AB10306" s="21">
        <v>0</v>
      </c>
      <c r="AC10306" s="21">
        <v>0</v>
      </c>
      <c r="AD10306" s="21">
        <v>0</v>
      </c>
      <c r="AE10306" s="21">
        <v>0</v>
      </c>
      <c r="AF10306" s="21">
        <v>0</v>
      </c>
      <c r="AG10306" s="21">
        <v>0</v>
      </c>
      <c r="AH10306" s="21">
        <f t="shared" si="224"/>
        <v>32</v>
      </c>
      <c r="AI10306" s="21"/>
      <c r="AJ10306" s="21" t="s">
        <v>51</v>
      </c>
      <c r="AK10306" s="21" t="s">
        <v>95</v>
      </c>
      <c r="AL10306" s="21"/>
      <c r="AM10306" s="21" t="s">
        <v>8238</v>
      </c>
      <c r="AN10306" s="21">
        <v>-122.408601433333</v>
      </c>
      <c r="AO10306" s="21">
        <v>37.797671016666698</v>
      </c>
      <c r="AP10306" s="21" t="s">
        <v>116</v>
      </c>
    </row>
    <row r="10307" spans="1:42">
      <c r="A10307" s="20">
        <v>43893</v>
      </c>
      <c r="B10307" s="21">
        <v>2</v>
      </c>
      <c r="C10307" s="21">
        <v>313</v>
      </c>
      <c r="D10307" s="21">
        <v>14384</v>
      </c>
      <c r="E10307" s="21" t="s">
        <v>112</v>
      </c>
      <c r="F10307" s="21" t="s">
        <v>38</v>
      </c>
      <c r="G10307" s="21">
        <v>4</v>
      </c>
      <c r="H10307" s="27">
        <v>160</v>
      </c>
      <c r="I10307" s="21" t="s">
        <v>3209</v>
      </c>
      <c r="J10307" s="21"/>
      <c r="K10307" s="21" t="s">
        <v>185</v>
      </c>
      <c r="L10307" s="21"/>
      <c r="M10307" s="21" t="s">
        <v>7038</v>
      </c>
      <c r="N10307" s="21" t="s">
        <v>44</v>
      </c>
      <c r="O10307" s="21">
        <v>64</v>
      </c>
      <c r="P10307" s="21"/>
      <c r="Q10307" s="21">
        <f t="shared" si="223"/>
        <v>1</v>
      </c>
      <c r="R10307" s="21">
        <v>1</v>
      </c>
      <c r="S10307" s="21">
        <v>0</v>
      </c>
      <c r="T10307" s="21">
        <v>0</v>
      </c>
      <c r="U10307" s="21">
        <v>1</v>
      </c>
      <c r="V10307" s="21">
        <v>0</v>
      </c>
      <c r="W10307" s="21">
        <v>0</v>
      </c>
      <c r="Y10307" s="21">
        <v>0</v>
      </c>
      <c r="Z10307" s="21">
        <v>0</v>
      </c>
      <c r="AA10307" s="21">
        <v>0</v>
      </c>
      <c r="AB10307" s="21">
        <v>0</v>
      </c>
      <c r="AC10307" s="21">
        <v>0</v>
      </c>
      <c r="AD10307" s="21">
        <v>0</v>
      </c>
      <c r="AE10307" s="21">
        <v>0</v>
      </c>
      <c r="AF10307" s="21">
        <v>0</v>
      </c>
      <c r="AG10307" s="21">
        <v>0</v>
      </c>
      <c r="AH10307" s="21">
        <f t="shared" si="224"/>
        <v>32</v>
      </c>
      <c r="AI10307" s="21"/>
      <c r="AJ10307" s="21" t="s">
        <v>51</v>
      </c>
      <c r="AK10307" s="21" t="s">
        <v>95</v>
      </c>
      <c r="AL10307" s="21" t="s">
        <v>8239</v>
      </c>
      <c r="AM10307" s="21" t="s">
        <v>8240</v>
      </c>
      <c r="AN10307" s="21">
        <v>-122.409088253333</v>
      </c>
      <c r="AO10307" s="21">
        <v>37.797642883333801</v>
      </c>
      <c r="AP10307" s="21" t="s">
        <v>116</v>
      </c>
    </row>
    <row r="10308" spans="1:42">
      <c r="A10308" s="20">
        <v>43893</v>
      </c>
      <c r="B10308" s="21">
        <v>2</v>
      </c>
      <c r="C10308" s="21">
        <v>313</v>
      </c>
      <c r="D10308" s="21">
        <v>14384</v>
      </c>
      <c r="E10308" s="21" t="s">
        <v>112</v>
      </c>
      <c r="F10308" s="21" t="s">
        <v>38</v>
      </c>
      <c r="G10308" s="21">
        <v>4</v>
      </c>
      <c r="H10308" s="27">
        <v>161</v>
      </c>
      <c r="I10308" s="21" t="s">
        <v>8241</v>
      </c>
      <c r="J10308" s="21"/>
      <c r="K10308" s="21" t="s">
        <v>185</v>
      </c>
      <c r="L10308" s="21"/>
      <c r="M10308" s="21" t="s">
        <v>7038</v>
      </c>
      <c r="N10308" s="21" t="s">
        <v>40</v>
      </c>
      <c r="O10308" s="21">
        <v>85</v>
      </c>
      <c r="P10308" s="21"/>
      <c r="Q10308" s="21">
        <f t="shared" si="223"/>
        <v>3</v>
      </c>
      <c r="R10308" s="21">
        <v>1</v>
      </c>
      <c r="S10308" s="21">
        <v>0</v>
      </c>
      <c r="T10308" s="21">
        <v>0</v>
      </c>
      <c r="U10308" s="21">
        <v>1</v>
      </c>
      <c r="V10308" s="21">
        <v>2</v>
      </c>
      <c r="W10308" s="21">
        <v>0</v>
      </c>
      <c r="Y10308" s="21">
        <v>0</v>
      </c>
      <c r="Z10308" s="21">
        <v>0</v>
      </c>
      <c r="AA10308" s="21">
        <v>0</v>
      </c>
      <c r="AB10308" s="21">
        <v>0</v>
      </c>
      <c r="AC10308" s="21">
        <v>0</v>
      </c>
      <c r="AD10308" s="21">
        <v>0</v>
      </c>
      <c r="AE10308" s="21">
        <v>0</v>
      </c>
      <c r="AF10308" s="21">
        <v>0</v>
      </c>
      <c r="AG10308" s="21">
        <v>0</v>
      </c>
      <c r="AH10308" s="21">
        <f t="shared" si="224"/>
        <v>160</v>
      </c>
      <c r="AI10308" s="21"/>
      <c r="AJ10308" s="21" t="s">
        <v>51</v>
      </c>
      <c r="AK10308" s="21" t="s">
        <v>95</v>
      </c>
      <c r="AL10308" s="21" t="s">
        <v>8242</v>
      </c>
      <c r="AM10308" s="21" t="s">
        <v>8243</v>
      </c>
      <c r="AN10308" s="21">
        <v>-122.40932051</v>
      </c>
      <c r="AO10308" s="21">
        <v>37.797607026667897</v>
      </c>
      <c r="AP10308" s="21" t="s">
        <v>116</v>
      </c>
    </row>
    <row r="10309" spans="1:42">
      <c r="A10309" s="20">
        <v>43893</v>
      </c>
      <c r="B10309" s="21">
        <v>2</v>
      </c>
      <c r="C10309" s="21">
        <v>313</v>
      </c>
      <c r="D10309" s="21">
        <v>14384</v>
      </c>
      <c r="E10309" s="21" t="s">
        <v>112</v>
      </c>
      <c r="F10309" s="21" t="s">
        <v>38</v>
      </c>
      <c r="G10309" s="21">
        <v>4</v>
      </c>
      <c r="H10309" s="27">
        <v>162</v>
      </c>
      <c r="I10309" s="21" t="s">
        <v>4256</v>
      </c>
      <c r="J10309" s="21"/>
      <c r="K10309" s="21" t="s">
        <v>4704</v>
      </c>
      <c r="L10309" s="21"/>
      <c r="M10309" s="21" t="s">
        <v>7038</v>
      </c>
      <c r="N10309" s="21" t="s">
        <v>40</v>
      </c>
      <c r="O10309" s="21">
        <v>31</v>
      </c>
      <c r="P10309" s="21"/>
      <c r="Q10309" s="21">
        <f t="shared" si="223"/>
        <v>1</v>
      </c>
      <c r="R10309" s="21">
        <v>1</v>
      </c>
      <c r="S10309" s="21">
        <v>0</v>
      </c>
      <c r="T10309" s="21">
        <v>0</v>
      </c>
      <c r="U10309" s="21">
        <v>1</v>
      </c>
      <c r="V10309" s="21">
        <v>0</v>
      </c>
      <c r="W10309" s="21">
        <v>0</v>
      </c>
      <c r="Y10309" s="21">
        <v>0</v>
      </c>
      <c r="Z10309" s="21">
        <v>0</v>
      </c>
      <c r="AA10309" s="21">
        <v>0</v>
      </c>
      <c r="AB10309" s="21">
        <v>0</v>
      </c>
      <c r="AC10309" s="21">
        <v>0</v>
      </c>
      <c r="AD10309" s="21">
        <v>0</v>
      </c>
      <c r="AE10309" s="21">
        <v>0</v>
      </c>
      <c r="AF10309" s="21">
        <v>0</v>
      </c>
      <c r="AG10309" s="21">
        <v>0</v>
      </c>
      <c r="AH10309" s="21">
        <f t="shared" si="224"/>
        <v>32</v>
      </c>
      <c r="AI10309" s="21"/>
      <c r="AJ10309" s="21" t="s">
        <v>51</v>
      </c>
      <c r="AK10309" s="21" t="s">
        <v>95</v>
      </c>
      <c r="AL10309" s="21"/>
      <c r="AM10309" s="21" t="s">
        <v>8244</v>
      </c>
      <c r="AN10309" s="21">
        <v>-122.410082603333</v>
      </c>
      <c r="AO10309" s="21">
        <v>37.797481150000799</v>
      </c>
      <c r="AP10309" s="21" t="s">
        <v>116</v>
      </c>
    </row>
    <row r="10310" spans="1:42">
      <c r="A10310" s="20">
        <v>43893</v>
      </c>
      <c r="B10310" s="21">
        <v>2</v>
      </c>
      <c r="C10310" s="21">
        <v>313</v>
      </c>
      <c r="D10310" s="21">
        <v>14384</v>
      </c>
      <c r="E10310" s="21" t="s">
        <v>112</v>
      </c>
      <c r="F10310" s="21" t="s">
        <v>38</v>
      </c>
      <c r="G10310" s="21">
        <v>4</v>
      </c>
      <c r="H10310" s="27">
        <v>163</v>
      </c>
      <c r="I10310" s="21" t="s">
        <v>7133</v>
      </c>
      <c r="J10310" s="21"/>
      <c r="K10310" s="21" t="s">
        <v>185</v>
      </c>
      <c r="L10310" s="21"/>
      <c r="M10310" s="21" t="s">
        <v>7038</v>
      </c>
      <c r="N10310" s="21" t="s">
        <v>44</v>
      </c>
      <c r="O10310" s="21">
        <v>70</v>
      </c>
      <c r="P10310" s="21"/>
      <c r="Q10310" s="21">
        <f t="shared" si="223"/>
        <v>1</v>
      </c>
      <c r="R10310" s="21">
        <v>1</v>
      </c>
      <c r="S10310" s="21">
        <v>0</v>
      </c>
      <c r="T10310" s="21">
        <v>0</v>
      </c>
      <c r="U10310" s="21">
        <v>0</v>
      </c>
      <c r="V10310" s="21">
        <v>1</v>
      </c>
      <c r="W10310" s="21">
        <v>0</v>
      </c>
      <c r="Y10310" s="21">
        <v>0</v>
      </c>
      <c r="Z10310" s="21">
        <v>0</v>
      </c>
      <c r="AA10310" s="21">
        <v>0</v>
      </c>
      <c r="AB10310" s="21">
        <v>0</v>
      </c>
      <c r="AC10310" s="21">
        <v>0</v>
      </c>
      <c r="AD10310" s="21">
        <v>0</v>
      </c>
      <c r="AE10310" s="21">
        <v>0</v>
      </c>
      <c r="AF10310" s="21">
        <v>0</v>
      </c>
      <c r="AG10310" s="21">
        <v>0</v>
      </c>
      <c r="AH10310" s="21">
        <f t="shared" si="224"/>
        <v>64</v>
      </c>
      <c r="AI10310" s="21"/>
      <c r="AJ10310" s="21" t="s">
        <v>51</v>
      </c>
      <c r="AK10310" s="21" t="s">
        <v>95</v>
      </c>
      <c r="AL10310" s="21" t="s">
        <v>7105</v>
      </c>
      <c r="AM10310" s="21" t="s">
        <v>8245</v>
      </c>
      <c r="AN10310" s="21">
        <v>-122.41079326000001</v>
      </c>
      <c r="AO10310" s="21">
        <v>37.797383716666701</v>
      </c>
      <c r="AP10310" s="21" t="s">
        <v>116</v>
      </c>
    </row>
    <row r="10311" spans="1:42">
      <c r="A10311" s="20">
        <v>43893</v>
      </c>
      <c r="B10311" s="21">
        <v>2</v>
      </c>
      <c r="C10311" s="21">
        <v>313</v>
      </c>
      <c r="D10311" s="21">
        <v>14384</v>
      </c>
      <c r="E10311" s="21" t="s">
        <v>112</v>
      </c>
      <c r="F10311" s="21" t="s">
        <v>38</v>
      </c>
      <c r="G10311" s="21">
        <v>4</v>
      </c>
      <c r="H10311" s="27">
        <v>164</v>
      </c>
      <c r="I10311" s="21" t="s">
        <v>8246</v>
      </c>
      <c r="J10311" s="21"/>
      <c r="K10311" s="21" t="s">
        <v>185</v>
      </c>
      <c r="L10311" s="21"/>
      <c r="M10311" s="21" t="s">
        <v>7038</v>
      </c>
      <c r="N10311" s="21" t="s">
        <v>40</v>
      </c>
      <c r="O10311" s="21">
        <v>35</v>
      </c>
      <c r="P10311" s="21"/>
      <c r="Q10311" s="21">
        <f t="shared" si="223"/>
        <v>2</v>
      </c>
      <c r="R10311" s="21">
        <v>1</v>
      </c>
      <c r="S10311" s="21">
        <v>0</v>
      </c>
      <c r="T10311" s="21">
        <v>0</v>
      </c>
      <c r="U10311" s="21">
        <v>2</v>
      </c>
      <c r="V10311" s="21">
        <v>0</v>
      </c>
      <c r="W10311" s="21">
        <v>0</v>
      </c>
      <c r="Y10311" s="21">
        <v>0</v>
      </c>
      <c r="Z10311" s="21">
        <v>0</v>
      </c>
      <c r="AA10311" s="21">
        <v>0</v>
      </c>
      <c r="AB10311" s="21">
        <v>0</v>
      </c>
      <c r="AC10311" s="21">
        <v>0</v>
      </c>
      <c r="AD10311" s="21">
        <v>0</v>
      </c>
      <c r="AE10311" s="21">
        <v>0</v>
      </c>
      <c r="AF10311" s="21">
        <v>0</v>
      </c>
      <c r="AG10311" s="21">
        <v>0</v>
      </c>
      <c r="AH10311" s="21">
        <f t="shared" si="224"/>
        <v>64</v>
      </c>
      <c r="AI10311" s="21"/>
      <c r="AJ10311" s="21" t="s">
        <v>54</v>
      </c>
      <c r="AK10311" s="21" t="s">
        <v>95</v>
      </c>
      <c r="AL10311" s="21"/>
      <c r="AM10311" s="21" t="s">
        <v>8247</v>
      </c>
      <c r="AN10311" s="21">
        <v>-122.411522816667</v>
      </c>
      <c r="AO10311" s="21">
        <v>37.797263410000099</v>
      </c>
      <c r="AP10311" s="21" t="s">
        <v>116</v>
      </c>
    </row>
    <row r="10312" spans="1:42">
      <c r="A10312" s="20">
        <v>43893</v>
      </c>
      <c r="B10312" s="21">
        <v>2</v>
      </c>
      <c r="C10312" s="21">
        <v>313</v>
      </c>
      <c r="D10312" s="21">
        <v>14384</v>
      </c>
      <c r="E10312" s="21" t="s">
        <v>112</v>
      </c>
      <c r="F10312" s="21" t="s">
        <v>38</v>
      </c>
      <c r="G10312" s="21">
        <v>4</v>
      </c>
      <c r="H10312" s="27">
        <v>165</v>
      </c>
      <c r="I10312" s="21" t="s">
        <v>8248</v>
      </c>
      <c r="J10312" s="21"/>
      <c r="K10312" s="21" t="s">
        <v>6992</v>
      </c>
      <c r="L10312" s="21"/>
      <c r="M10312" s="21" t="s">
        <v>7038</v>
      </c>
      <c r="N10312" s="21" t="s">
        <v>40</v>
      </c>
      <c r="O10312" s="21">
        <v>87</v>
      </c>
      <c r="P10312" s="21"/>
      <c r="Q10312" s="21">
        <f t="shared" si="223"/>
        <v>5</v>
      </c>
      <c r="R10312" s="21">
        <v>1</v>
      </c>
      <c r="S10312" s="21">
        <v>0</v>
      </c>
      <c r="T10312" s="21">
        <v>0</v>
      </c>
      <c r="U10312" s="21">
        <v>3</v>
      </c>
      <c r="V10312" s="21">
        <v>2</v>
      </c>
      <c r="W10312" s="21">
        <v>0</v>
      </c>
      <c r="Y10312" s="21">
        <v>0</v>
      </c>
      <c r="Z10312" s="21">
        <v>0</v>
      </c>
      <c r="AA10312" s="21">
        <v>0</v>
      </c>
      <c r="AB10312" s="21">
        <v>0</v>
      </c>
      <c r="AC10312" s="21">
        <v>0</v>
      </c>
      <c r="AD10312" s="21">
        <v>0</v>
      </c>
      <c r="AE10312" s="21">
        <v>0</v>
      </c>
      <c r="AF10312" s="21">
        <v>0</v>
      </c>
      <c r="AG10312" s="21">
        <v>0</v>
      </c>
      <c r="AH10312" s="21">
        <f t="shared" si="224"/>
        <v>224</v>
      </c>
      <c r="AI10312" s="21"/>
      <c r="AJ10312" s="21" t="s">
        <v>51</v>
      </c>
      <c r="AK10312" s="21" t="s">
        <v>52</v>
      </c>
      <c r="AL10312" s="21"/>
      <c r="AM10312" s="21" t="s">
        <v>8249</v>
      </c>
      <c r="AN10312" s="21">
        <v>-122.411966983333</v>
      </c>
      <c r="AO10312" s="21">
        <v>37.797092240000097</v>
      </c>
      <c r="AP10312" s="21" t="s">
        <v>116</v>
      </c>
    </row>
    <row r="10313" spans="1:42">
      <c r="A10313" s="20">
        <v>43893</v>
      </c>
      <c r="B10313" s="21">
        <v>2</v>
      </c>
      <c r="C10313" s="21">
        <v>313</v>
      </c>
      <c r="D10313" s="21">
        <v>14384</v>
      </c>
      <c r="E10313" s="21" t="s">
        <v>112</v>
      </c>
      <c r="F10313" s="21" t="s">
        <v>38</v>
      </c>
      <c r="G10313" s="21">
        <v>4</v>
      </c>
      <c r="H10313" s="27">
        <v>166</v>
      </c>
      <c r="I10313" s="21" t="s">
        <v>3854</v>
      </c>
      <c r="J10313" s="21"/>
      <c r="K10313" s="21" t="s">
        <v>6992</v>
      </c>
      <c r="L10313" s="21"/>
      <c r="M10313" s="21" t="s">
        <v>6618</v>
      </c>
      <c r="N10313" s="21" t="s">
        <v>40</v>
      </c>
      <c r="O10313" s="21">
        <v>42</v>
      </c>
      <c r="P10313" s="21"/>
      <c r="Q10313" s="21">
        <f t="shared" si="223"/>
        <v>1</v>
      </c>
      <c r="R10313" s="21">
        <v>1</v>
      </c>
      <c r="S10313" s="21">
        <v>0</v>
      </c>
      <c r="T10313" s="21">
        <v>0</v>
      </c>
      <c r="U10313" s="21">
        <v>0</v>
      </c>
      <c r="V10313" s="21">
        <v>1</v>
      </c>
      <c r="W10313" s="21">
        <v>0</v>
      </c>
      <c r="Y10313" s="21">
        <v>0</v>
      </c>
      <c r="Z10313" s="21">
        <v>0</v>
      </c>
      <c r="AA10313" s="21">
        <v>0</v>
      </c>
      <c r="AB10313" s="21">
        <v>0</v>
      </c>
      <c r="AC10313" s="21">
        <v>0</v>
      </c>
      <c r="AD10313" s="21">
        <v>0</v>
      </c>
      <c r="AE10313" s="21">
        <v>0</v>
      </c>
      <c r="AF10313" s="21">
        <v>0</v>
      </c>
      <c r="AG10313" s="21">
        <v>0</v>
      </c>
      <c r="AH10313" s="21">
        <f t="shared" si="224"/>
        <v>64</v>
      </c>
      <c r="AI10313" s="21"/>
      <c r="AJ10313" s="21" t="s">
        <v>51</v>
      </c>
      <c r="AK10313" s="21" t="s">
        <v>52</v>
      </c>
      <c r="AL10313" s="21"/>
      <c r="AM10313" s="21" t="s">
        <v>8250</v>
      </c>
      <c r="AN10313" s="21">
        <v>-122.411895906667</v>
      </c>
      <c r="AO10313" s="21">
        <v>37.797109796667002</v>
      </c>
      <c r="AP10313" s="21" t="s">
        <v>116</v>
      </c>
    </row>
    <row r="10314" spans="1:42">
      <c r="A10314" s="20">
        <v>43893</v>
      </c>
      <c r="B10314" s="21">
        <v>2</v>
      </c>
      <c r="C10314" s="21">
        <v>313</v>
      </c>
      <c r="D10314" s="21">
        <v>14384</v>
      </c>
      <c r="E10314" s="21" t="s">
        <v>112</v>
      </c>
      <c r="F10314" s="21" t="s">
        <v>38</v>
      </c>
      <c r="G10314" s="21">
        <v>4</v>
      </c>
      <c r="H10314" s="27">
        <v>167</v>
      </c>
      <c r="I10314" s="21" t="s">
        <v>7422</v>
      </c>
      <c r="J10314" s="21"/>
      <c r="K10314" s="21" t="s">
        <v>6992</v>
      </c>
      <c r="L10314" s="21"/>
      <c r="M10314" s="21" t="s">
        <v>7038</v>
      </c>
      <c r="N10314" s="21" t="s">
        <v>40</v>
      </c>
      <c r="O10314" s="21">
        <v>56</v>
      </c>
      <c r="P10314" s="21"/>
      <c r="Q10314" s="21">
        <f t="shared" si="223"/>
        <v>2</v>
      </c>
      <c r="R10314" s="21">
        <v>1</v>
      </c>
      <c r="S10314" s="21">
        <v>0</v>
      </c>
      <c r="T10314" s="21">
        <v>0</v>
      </c>
      <c r="U10314" s="21">
        <v>2</v>
      </c>
      <c r="V10314" s="21">
        <v>0</v>
      </c>
      <c r="W10314" s="21">
        <v>0</v>
      </c>
      <c r="Y10314" s="21">
        <v>0</v>
      </c>
      <c r="Z10314" s="21">
        <v>0</v>
      </c>
      <c r="AA10314" s="21">
        <v>0</v>
      </c>
      <c r="AB10314" s="21">
        <v>0</v>
      </c>
      <c r="AC10314" s="21">
        <v>0</v>
      </c>
      <c r="AD10314" s="21">
        <v>0</v>
      </c>
      <c r="AE10314" s="21">
        <v>0</v>
      </c>
      <c r="AF10314" s="21">
        <v>0</v>
      </c>
      <c r="AG10314" s="21">
        <v>0</v>
      </c>
      <c r="AH10314" s="21">
        <f t="shared" si="224"/>
        <v>64</v>
      </c>
      <c r="AI10314" s="21"/>
      <c r="AJ10314" s="21" t="s">
        <v>54</v>
      </c>
      <c r="AK10314" s="21" t="s">
        <v>52</v>
      </c>
      <c r="AL10314" s="21"/>
      <c r="AM10314" s="21" t="s">
        <v>8251</v>
      </c>
      <c r="AN10314" s="21">
        <v>-122.411845996667</v>
      </c>
      <c r="AO10314" s="21">
        <v>37.796648966666901</v>
      </c>
      <c r="AP10314" s="21" t="s">
        <v>116</v>
      </c>
    </row>
    <row r="10315" spans="1:42">
      <c r="A10315" s="20">
        <v>43893</v>
      </c>
      <c r="B10315" s="21">
        <v>2</v>
      </c>
      <c r="C10315" s="21">
        <v>313</v>
      </c>
      <c r="D10315" s="21">
        <v>14384</v>
      </c>
      <c r="E10315" s="21" t="s">
        <v>112</v>
      </c>
      <c r="F10315" s="21" t="s">
        <v>38</v>
      </c>
      <c r="G10315" s="21">
        <v>4</v>
      </c>
      <c r="H10315" s="27">
        <v>168</v>
      </c>
      <c r="I10315" s="21" t="s">
        <v>8252</v>
      </c>
      <c r="J10315" s="21"/>
      <c r="K10315" s="21" t="s">
        <v>647</v>
      </c>
      <c r="L10315" s="21"/>
      <c r="M10315" s="21" t="s">
        <v>7038</v>
      </c>
      <c r="N10315" s="21" t="s">
        <v>44</v>
      </c>
      <c r="O10315" s="21">
        <v>125</v>
      </c>
      <c r="P10315" s="21"/>
      <c r="Q10315" s="21">
        <f t="shared" si="223"/>
        <v>1</v>
      </c>
      <c r="R10315" s="21">
        <v>1</v>
      </c>
      <c r="S10315" s="21">
        <v>0</v>
      </c>
      <c r="T10315" s="21">
        <v>0</v>
      </c>
      <c r="U10315" s="21">
        <v>0</v>
      </c>
      <c r="V10315" s="21">
        <v>1</v>
      </c>
      <c r="W10315" s="21">
        <v>0</v>
      </c>
      <c r="Y10315" s="21">
        <v>0</v>
      </c>
      <c r="Z10315" s="21">
        <v>0</v>
      </c>
      <c r="AA10315" s="21">
        <v>0</v>
      </c>
      <c r="AB10315" s="21">
        <v>0</v>
      </c>
      <c r="AC10315" s="21">
        <v>0</v>
      </c>
      <c r="AD10315" s="21">
        <v>0</v>
      </c>
      <c r="AE10315" s="21">
        <v>0</v>
      </c>
      <c r="AF10315" s="21">
        <v>0</v>
      </c>
      <c r="AG10315" s="21">
        <v>0</v>
      </c>
      <c r="AH10315" s="21">
        <f t="shared" si="224"/>
        <v>64</v>
      </c>
      <c r="AI10315" s="21"/>
      <c r="AJ10315" s="21" t="s">
        <v>54</v>
      </c>
      <c r="AK10315" s="21" t="s">
        <v>52</v>
      </c>
      <c r="AL10315" s="21" t="s">
        <v>8253</v>
      </c>
      <c r="AM10315" s="21" t="s">
        <v>8254</v>
      </c>
      <c r="AN10315" s="21">
        <v>-122.411927746667</v>
      </c>
      <c r="AO10315" s="21">
        <v>37.7953321366669</v>
      </c>
      <c r="AP10315" s="21" t="s">
        <v>116</v>
      </c>
    </row>
    <row r="10316" spans="1:42">
      <c r="A10316" s="20">
        <v>43893</v>
      </c>
      <c r="B10316" s="21">
        <v>2</v>
      </c>
      <c r="C10316" s="21">
        <v>313</v>
      </c>
      <c r="D10316" s="21">
        <v>14384</v>
      </c>
      <c r="E10316" s="21" t="s">
        <v>112</v>
      </c>
      <c r="F10316" s="21" t="s">
        <v>38</v>
      </c>
      <c r="G10316" s="21">
        <v>4</v>
      </c>
      <c r="H10316" s="27">
        <v>169</v>
      </c>
      <c r="I10316" s="21" t="s">
        <v>8255</v>
      </c>
      <c r="J10316" s="21"/>
      <c r="K10316" s="21" t="s">
        <v>647</v>
      </c>
      <c r="L10316" s="21"/>
      <c r="M10316" s="21" t="s">
        <v>7038</v>
      </c>
      <c r="N10316" s="21" t="s">
        <v>44</v>
      </c>
      <c r="O10316" s="21">
        <v>85</v>
      </c>
      <c r="P10316" s="21"/>
      <c r="Q10316" s="21">
        <f t="shared" si="223"/>
        <v>1</v>
      </c>
      <c r="R10316" s="21">
        <v>1</v>
      </c>
      <c r="S10316" s="21">
        <v>0</v>
      </c>
      <c r="T10316" s="21">
        <v>0</v>
      </c>
      <c r="U10316" s="21">
        <v>1</v>
      </c>
      <c r="V10316" s="21">
        <v>0</v>
      </c>
      <c r="W10316" s="21">
        <v>0</v>
      </c>
      <c r="Y10316" s="21">
        <v>0</v>
      </c>
      <c r="Z10316" s="21">
        <v>0</v>
      </c>
      <c r="AA10316" s="21">
        <v>0</v>
      </c>
      <c r="AB10316" s="21">
        <v>0</v>
      </c>
      <c r="AC10316" s="21">
        <v>0</v>
      </c>
      <c r="AD10316" s="21">
        <v>0</v>
      </c>
      <c r="AE10316" s="21">
        <v>0</v>
      </c>
      <c r="AF10316" s="21">
        <v>0</v>
      </c>
      <c r="AG10316" s="21">
        <v>0</v>
      </c>
      <c r="AH10316" s="21">
        <f t="shared" si="224"/>
        <v>32</v>
      </c>
      <c r="AI10316" s="21"/>
      <c r="AJ10316" s="21" t="s">
        <v>54</v>
      </c>
      <c r="AK10316" s="21" t="s">
        <v>52</v>
      </c>
      <c r="AL10316" s="21" t="s">
        <v>7105</v>
      </c>
      <c r="AM10316" s="21" t="s">
        <v>8256</v>
      </c>
      <c r="AN10316" s="21">
        <v>-122.41218717</v>
      </c>
      <c r="AO10316" s="21">
        <v>37.795368826666703</v>
      </c>
      <c r="AP10316" s="21" t="s">
        <v>116</v>
      </c>
    </row>
    <row r="10317" spans="1:42">
      <c r="A10317" s="20">
        <v>43893</v>
      </c>
      <c r="B10317" s="21">
        <v>2</v>
      </c>
      <c r="C10317" s="21">
        <v>313</v>
      </c>
      <c r="D10317" s="21">
        <v>14384</v>
      </c>
      <c r="E10317" s="21" t="s">
        <v>112</v>
      </c>
      <c r="F10317" s="21" t="s">
        <v>38</v>
      </c>
      <c r="G10317" s="21">
        <v>4</v>
      </c>
      <c r="H10317" s="27">
        <v>170</v>
      </c>
      <c r="I10317" s="21" t="s">
        <v>8257</v>
      </c>
      <c r="J10317" s="21"/>
      <c r="K10317" s="21" t="s">
        <v>647</v>
      </c>
      <c r="L10317" s="21"/>
      <c r="M10317" s="21" t="s">
        <v>7038</v>
      </c>
      <c r="N10317" s="21" t="s">
        <v>40</v>
      </c>
      <c r="O10317" s="21">
        <v>35</v>
      </c>
      <c r="P10317" s="21"/>
      <c r="Q10317" s="21">
        <f t="shared" si="223"/>
        <v>1</v>
      </c>
      <c r="R10317" s="21">
        <v>1</v>
      </c>
      <c r="S10317" s="21">
        <v>0</v>
      </c>
      <c r="T10317" s="21">
        <v>0</v>
      </c>
      <c r="U10317" s="21">
        <v>1</v>
      </c>
      <c r="V10317" s="21">
        <v>0</v>
      </c>
      <c r="W10317" s="21">
        <v>0</v>
      </c>
      <c r="Y10317" s="21">
        <v>0</v>
      </c>
      <c r="Z10317" s="21">
        <v>0</v>
      </c>
      <c r="AA10317" s="21">
        <v>0</v>
      </c>
      <c r="AB10317" s="21">
        <v>0</v>
      </c>
      <c r="AC10317" s="21">
        <v>0</v>
      </c>
      <c r="AD10317" s="21">
        <v>0</v>
      </c>
      <c r="AE10317" s="21">
        <v>0</v>
      </c>
      <c r="AF10317" s="21">
        <v>0</v>
      </c>
      <c r="AG10317" s="21">
        <v>0</v>
      </c>
      <c r="AH10317" s="21">
        <f t="shared" si="224"/>
        <v>32</v>
      </c>
      <c r="AI10317" s="21"/>
      <c r="AJ10317" s="21" t="s">
        <v>54</v>
      </c>
      <c r="AK10317" s="21" t="s">
        <v>52</v>
      </c>
      <c r="AL10317" s="21"/>
      <c r="AM10317" s="21" t="s">
        <v>8258</v>
      </c>
      <c r="AN10317" s="21">
        <v>-122.41262394</v>
      </c>
      <c r="AO10317" s="21">
        <v>37.795291126667898</v>
      </c>
      <c r="AP10317" s="21" t="s">
        <v>116</v>
      </c>
    </row>
    <row r="10318" spans="1:42">
      <c r="A10318" s="20">
        <v>43893</v>
      </c>
      <c r="B10318" s="21">
        <v>2</v>
      </c>
      <c r="C10318" s="21">
        <v>313</v>
      </c>
      <c r="D10318" s="21">
        <v>14384</v>
      </c>
      <c r="E10318" s="21" t="s">
        <v>112</v>
      </c>
      <c r="F10318" s="21" t="s">
        <v>38</v>
      </c>
      <c r="G10318" s="21">
        <v>4</v>
      </c>
      <c r="H10318" s="27">
        <v>171</v>
      </c>
      <c r="I10318" s="21" t="s">
        <v>5453</v>
      </c>
      <c r="J10318" s="21"/>
      <c r="K10318" s="21" t="s">
        <v>647</v>
      </c>
      <c r="L10318" s="21"/>
      <c r="M10318" s="21" t="s">
        <v>7038</v>
      </c>
      <c r="N10318" s="21" t="s">
        <v>40</v>
      </c>
      <c r="O10318" s="21">
        <v>43</v>
      </c>
      <c r="P10318" s="21"/>
      <c r="Q10318" s="21">
        <f t="shared" si="223"/>
        <v>1</v>
      </c>
      <c r="R10318" s="21">
        <v>1</v>
      </c>
      <c r="S10318" s="21">
        <v>0</v>
      </c>
      <c r="T10318" s="21">
        <v>0</v>
      </c>
      <c r="U10318" s="21">
        <v>1</v>
      </c>
      <c r="V10318" s="21">
        <v>0</v>
      </c>
      <c r="W10318" s="21">
        <v>0</v>
      </c>
      <c r="Y10318" s="21">
        <v>0</v>
      </c>
      <c r="Z10318" s="21">
        <v>0</v>
      </c>
      <c r="AA10318" s="21">
        <v>0</v>
      </c>
      <c r="AB10318" s="21">
        <v>0</v>
      </c>
      <c r="AC10318" s="21">
        <v>0</v>
      </c>
      <c r="AD10318" s="21">
        <v>0</v>
      </c>
      <c r="AE10318" s="21">
        <v>0</v>
      </c>
      <c r="AF10318" s="21">
        <v>0</v>
      </c>
      <c r="AG10318" s="21">
        <v>0</v>
      </c>
      <c r="AH10318" s="21">
        <f t="shared" si="224"/>
        <v>32</v>
      </c>
      <c r="AI10318" s="21"/>
      <c r="AJ10318" s="21" t="s">
        <v>54</v>
      </c>
      <c r="AK10318" s="21" t="s">
        <v>52</v>
      </c>
      <c r="AL10318" s="21" t="s">
        <v>8259</v>
      </c>
      <c r="AM10318" s="21" t="s">
        <v>8260</v>
      </c>
      <c r="AN10318" s="21">
        <v>-122.41274978</v>
      </c>
      <c r="AO10318" s="21">
        <v>37.795262683333299</v>
      </c>
      <c r="AP10318" s="21" t="s">
        <v>116</v>
      </c>
    </row>
    <row r="10319" spans="1:42">
      <c r="A10319" s="20">
        <v>43893</v>
      </c>
      <c r="B10319" s="21">
        <v>2</v>
      </c>
      <c r="C10319" s="21">
        <v>313</v>
      </c>
      <c r="D10319" s="21">
        <v>14384</v>
      </c>
      <c r="E10319" s="21" t="s">
        <v>112</v>
      </c>
      <c r="F10319" s="21" t="s">
        <v>38</v>
      </c>
      <c r="G10319" s="21">
        <v>4</v>
      </c>
      <c r="H10319" s="27">
        <v>172</v>
      </c>
      <c r="I10319" s="21" t="s">
        <v>8261</v>
      </c>
      <c r="J10319" s="21"/>
      <c r="K10319" s="21" t="s">
        <v>6992</v>
      </c>
      <c r="L10319" s="21"/>
      <c r="M10319" s="21" t="s">
        <v>7038</v>
      </c>
      <c r="N10319" s="21" t="s">
        <v>40</v>
      </c>
      <c r="O10319" s="21">
        <v>72</v>
      </c>
      <c r="P10319" s="21"/>
      <c r="Q10319" s="21">
        <f t="shared" si="223"/>
        <v>2</v>
      </c>
      <c r="R10319" s="21">
        <v>1</v>
      </c>
      <c r="S10319" s="21">
        <v>0</v>
      </c>
      <c r="T10319" s="21">
        <v>0</v>
      </c>
      <c r="U10319" s="21">
        <v>1</v>
      </c>
      <c r="V10319" s="21">
        <v>1</v>
      </c>
      <c r="W10319" s="21">
        <v>0</v>
      </c>
      <c r="Y10319" s="21">
        <v>0</v>
      </c>
      <c r="Z10319" s="21">
        <v>0</v>
      </c>
      <c r="AA10319" s="21">
        <v>0</v>
      </c>
      <c r="AB10319" s="21">
        <v>0</v>
      </c>
      <c r="AC10319" s="21">
        <v>0</v>
      </c>
      <c r="AD10319" s="21">
        <v>0</v>
      </c>
      <c r="AE10319" s="21">
        <v>0</v>
      </c>
      <c r="AF10319" s="21">
        <v>0</v>
      </c>
      <c r="AG10319" s="21">
        <v>0</v>
      </c>
      <c r="AH10319" s="21">
        <f t="shared" si="224"/>
        <v>96</v>
      </c>
      <c r="AI10319" s="21"/>
      <c r="AJ10319" s="21" t="s">
        <v>54</v>
      </c>
      <c r="AK10319" s="21" t="s">
        <v>52</v>
      </c>
      <c r="AL10319" s="21"/>
      <c r="AM10319" s="21" t="s">
        <v>8262</v>
      </c>
      <c r="AN10319" s="21">
        <v>-122.411891856667</v>
      </c>
      <c r="AO10319" s="21">
        <v>37.796875326666999</v>
      </c>
      <c r="AP10319" s="21" t="s">
        <v>116</v>
      </c>
    </row>
    <row r="10320" spans="1:42">
      <c r="A10320" s="20">
        <v>43893</v>
      </c>
      <c r="B10320" s="21">
        <v>2</v>
      </c>
      <c r="C10320" s="21">
        <v>313</v>
      </c>
      <c r="D10320" s="21">
        <v>14384</v>
      </c>
      <c r="E10320" s="21" t="s">
        <v>112</v>
      </c>
      <c r="F10320" s="21" t="s">
        <v>38</v>
      </c>
      <c r="G10320" s="21">
        <v>4</v>
      </c>
      <c r="H10320" s="27">
        <v>173</v>
      </c>
      <c r="I10320" s="21" t="s">
        <v>7469</v>
      </c>
      <c r="J10320" s="21"/>
      <c r="K10320" s="21" t="s">
        <v>4704</v>
      </c>
      <c r="L10320" s="21"/>
      <c r="M10320" s="21" t="s">
        <v>7038</v>
      </c>
      <c r="N10320" s="21" t="s">
        <v>40</v>
      </c>
      <c r="O10320" s="21">
        <v>45</v>
      </c>
      <c r="P10320" s="21"/>
      <c r="Q10320" s="21">
        <f t="shared" si="223"/>
        <v>1</v>
      </c>
      <c r="R10320" s="21">
        <v>1</v>
      </c>
      <c r="S10320" s="21">
        <v>0</v>
      </c>
      <c r="T10320" s="21">
        <v>0</v>
      </c>
      <c r="U10320" s="21">
        <v>0</v>
      </c>
      <c r="V10320" s="21">
        <v>1</v>
      </c>
      <c r="W10320" s="21">
        <v>0</v>
      </c>
      <c r="Y10320" s="21">
        <v>0</v>
      </c>
      <c r="Z10320" s="21">
        <v>0</v>
      </c>
      <c r="AA10320" s="21">
        <v>0</v>
      </c>
      <c r="AB10320" s="21">
        <v>0</v>
      </c>
      <c r="AC10320" s="21">
        <v>0</v>
      </c>
      <c r="AD10320" s="21">
        <v>0</v>
      </c>
      <c r="AE10320" s="21">
        <v>0</v>
      </c>
      <c r="AF10320" s="21">
        <v>0</v>
      </c>
      <c r="AG10320" s="21">
        <v>0</v>
      </c>
      <c r="AH10320" s="21">
        <f t="shared" si="224"/>
        <v>64</v>
      </c>
      <c r="AI10320" s="21"/>
      <c r="AJ10320" s="21" t="s">
        <v>51</v>
      </c>
      <c r="AK10320" s="21" t="s">
        <v>52</v>
      </c>
      <c r="AL10320" s="21"/>
      <c r="AM10320" s="21" t="s">
        <v>8263</v>
      </c>
      <c r="AN10320" s="21">
        <v>-122.410727266667</v>
      </c>
      <c r="AO10320" s="21">
        <v>37.797297976666698</v>
      </c>
      <c r="AP10320" s="21" t="s">
        <v>116</v>
      </c>
    </row>
    <row r="10321" spans="1:42">
      <c r="A10321" s="20">
        <v>43893</v>
      </c>
      <c r="B10321" s="21">
        <v>2</v>
      </c>
      <c r="C10321" s="21">
        <v>313</v>
      </c>
      <c r="D10321" s="21">
        <v>14384</v>
      </c>
      <c r="E10321" s="21" t="s">
        <v>112</v>
      </c>
      <c r="F10321" s="21" t="s">
        <v>38</v>
      </c>
      <c r="G10321" s="21">
        <v>4</v>
      </c>
      <c r="H10321" s="27">
        <v>174</v>
      </c>
      <c r="I10321" s="21" t="s">
        <v>3490</v>
      </c>
      <c r="J10321" s="21"/>
      <c r="K10321" s="21" t="s">
        <v>185</v>
      </c>
      <c r="L10321" s="21"/>
      <c r="M10321" s="21" t="s">
        <v>7038</v>
      </c>
      <c r="N10321" s="21" t="s">
        <v>40</v>
      </c>
      <c r="O10321" s="21">
        <v>33</v>
      </c>
      <c r="P10321" s="21"/>
      <c r="Q10321" s="21">
        <f t="shared" si="223"/>
        <v>1</v>
      </c>
      <c r="R10321" s="21">
        <v>1</v>
      </c>
      <c r="S10321" s="21">
        <v>0</v>
      </c>
      <c r="T10321" s="21">
        <v>0</v>
      </c>
      <c r="U10321" s="21">
        <v>0</v>
      </c>
      <c r="V10321" s="21">
        <v>1</v>
      </c>
      <c r="W10321" s="21">
        <v>0</v>
      </c>
      <c r="Y10321" s="21">
        <v>0</v>
      </c>
      <c r="Z10321" s="21">
        <v>0</v>
      </c>
      <c r="AA10321" s="21">
        <v>0</v>
      </c>
      <c r="AB10321" s="21">
        <v>0</v>
      </c>
      <c r="AC10321" s="21">
        <v>0</v>
      </c>
      <c r="AD10321" s="21">
        <v>0</v>
      </c>
      <c r="AE10321" s="21">
        <v>0</v>
      </c>
      <c r="AF10321" s="21">
        <v>0</v>
      </c>
      <c r="AG10321" s="21">
        <v>0</v>
      </c>
      <c r="AH10321" s="21">
        <f t="shared" si="224"/>
        <v>64</v>
      </c>
      <c r="AI10321" s="21"/>
      <c r="AJ10321" s="21" t="s">
        <v>51</v>
      </c>
      <c r="AK10321" s="21" t="s">
        <v>95</v>
      </c>
      <c r="AL10321" s="21"/>
      <c r="AM10321" s="21" t="s">
        <v>8264</v>
      </c>
      <c r="AN10321" s="21">
        <v>-122.410480296667</v>
      </c>
      <c r="AO10321" s="21">
        <v>37.797286533333697</v>
      </c>
      <c r="AP10321" s="21" t="s">
        <v>116</v>
      </c>
    </row>
    <row r="10322" spans="1:42">
      <c r="A10322" s="20">
        <v>43893</v>
      </c>
      <c r="B10322" s="21">
        <v>2</v>
      </c>
      <c r="C10322" s="21">
        <v>313</v>
      </c>
      <c r="D10322" s="21">
        <v>14384</v>
      </c>
      <c r="E10322" s="21" t="s">
        <v>112</v>
      </c>
      <c r="F10322" s="21" t="s">
        <v>38</v>
      </c>
      <c r="G10322" s="21">
        <v>4</v>
      </c>
      <c r="H10322" s="27">
        <v>175</v>
      </c>
      <c r="I10322" s="21" t="s">
        <v>6352</v>
      </c>
      <c r="J10322" s="21"/>
      <c r="K10322" s="21" t="s">
        <v>407</v>
      </c>
      <c r="L10322" s="21"/>
      <c r="M10322" s="21" t="s">
        <v>7038</v>
      </c>
      <c r="N10322" s="21" t="s">
        <v>40</v>
      </c>
      <c r="O10322" s="21">
        <v>48</v>
      </c>
      <c r="P10322" s="21"/>
      <c r="Q10322" s="21">
        <f t="shared" si="223"/>
        <v>1</v>
      </c>
      <c r="R10322" s="21">
        <v>1</v>
      </c>
      <c r="S10322" s="21">
        <v>0</v>
      </c>
      <c r="T10322" s="21">
        <v>0</v>
      </c>
      <c r="U10322" s="21">
        <v>1</v>
      </c>
      <c r="V10322" s="21">
        <v>0</v>
      </c>
      <c r="W10322" s="21">
        <v>0</v>
      </c>
      <c r="Y10322" s="21">
        <v>0</v>
      </c>
      <c r="Z10322" s="21">
        <v>0</v>
      </c>
      <c r="AA10322" s="21">
        <v>0</v>
      </c>
      <c r="AB10322" s="21">
        <v>0</v>
      </c>
      <c r="AC10322" s="21">
        <v>0</v>
      </c>
      <c r="AD10322" s="21">
        <v>0</v>
      </c>
      <c r="AE10322" s="21">
        <v>0</v>
      </c>
      <c r="AF10322" s="21">
        <v>0</v>
      </c>
      <c r="AG10322" s="21">
        <v>0</v>
      </c>
      <c r="AH10322" s="21">
        <f t="shared" si="224"/>
        <v>32</v>
      </c>
      <c r="AI10322" s="21"/>
      <c r="AJ10322" s="21" t="s">
        <v>51</v>
      </c>
      <c r="AK10322" s="21" t="s">
        <v>52</v>
      </c>
      <c r="AL10322" s="21"/>
      <c r="AM10322" s="21" t="s">
        <v>8265</v>
      </c>
      <c r="AN10322" s="21">
        <v>-122.41018638666699</v>
      </c>
      <c r="AO10322" s="21">
        <v>37.796821896666899</v>
      </c>
      <c r="AP10322" s="21" t="s">
        <v>116</v>
      </c>
    </row>
    <row r="10323" spans="1:42">
      <c r="A10323" s="20">
        <v>43893</v>
      </c>
      <c r="B10323" s="21">
        <v>2</v>
      </c>
      <c r="C10323" s="21">
        <v>313</v>
      </c>
      <c r="D10323" s="21">
        <v>14384</v>
      </c>
      <c r="E10323" s="21" t="s">
        <v>112</v>
      </c>
      <c r="F10323" s="21" t="s">
        <v>38</v>
      </c>
      <c r="G10323" s="21">
        <v>4</v>
      </c>
      <c r="H10323" s="27">
        <v>176</v>
      </c>
      <c r="I10323" s="21" t="s">
        <v>7443</v>
      </c>
      <c r="J10323" s="21"/>
      <c r="K10323" s="21" t="s">
        <v>7362</v>
      </c>
      <c r="L10323" s="21"/>
      <c r="M10323" s="21" t="s">
        <v>7038</v>
      </c>
      <c r="N10323" s="21" t="s">
        <v>44</v>
      </c>
      <c r="O10323" s="21">
        <v>105</v>
      </c>
      <c r="P10323" s="21"/>
      <c r="Q10323" s="21">
        <f t="shared" si="223"/>
        <v>1</v>
      </c>
      <c r="R10323" s="21">
        <v>1</v>
      </c>
      <c r="S10323" s="21">
        <v>0</v>
      </c>
      <c r="T10323" s="21">
        <v>0</v>
      </c>
      <c r="U10323" s="21">
        <v>1</v>
      </c>
      <c r="V10323" s="21">
        <v>0</v>
      </c>
      <c r="W10323" s="21">
        <v>0</v>
      </c>
      <c r="Y10323" s="21">
        <v>0</v>
      </c>
      <c r="Z10323" s="21">
        <v>0</v>
      </c>
      <c r="AA10323" s="21">
        <v>0</v>
      </c>
      <c r="AB10323" s="21">
        <v>0</v>
      </c>
      <c r="AC10323" s="21">
        <v>0</v>
      </c>
      <c r="AD10323" s="21">
        <v>0</v>
      </c>
      <c r="AE10323" s="21">
        <v>0</v>
      </c>
      <c r="AF10323" s="21">
        <v>0</v>
      </c>
      <c r="AG10323" s="21">
        <v>0</v>
      </c>
      <c r="AH10323" s="21">
        <f t="shared" si="224"/>
        <v>32</v>
      </c>
      <c r="AI10323" s="21"/>
      <c r="AJ10323" s="21" t="s">
        <v>54</v>
      </c>
      <c r="AK10323" s="21" t="s">
        <v>95</v>
      </c>
      <c r="AL10323" s="21" t="s">
        <v>8266</v>
      </c>
      <c r="AM10323" s="21" t="s">
        <v>8267</v>
      </c>
      <c r="AN10323" s="21">
        <v>-122.41055627999999</v>
      </c>
      <c r="AO10323" s="21">
        <v>37.796450816666997</v>
      </c>
      <c r="AP10323" s="21" t="s">
        <v>116</v>
      </c>
    </row>
    <row r="10324" spans="1:42">
      <c r="A10324" s="20">
        <v>43893</v>
      </c>
      <c r="B10324" s="21">
        <v>2</v>
      </c>
      <c r="C10324" s="21">
        <v>313</v>
      </c>
      <c r="D10324" s="21">
        <v>14384</v>
      </c>
      <c r="E10324" s="21" t="s">
        <v>112</v>
      </c>
      <c r="F10324" s="21" t="s">
        <v>38</v>
      </c>
      <c r="G10324" s="21">
        <v>4</v>
      </c>
      <c r="H10324" s="27">
        <v>177</v>
      </c>
      <c r="I10324" s="21" t="s">
        <v>8268</v>
      </c>
      <c r="J10324" s="21"/>
      <c r="K10324" s="21" t="s">
        <v>7362</v>
      </c>
      <c r="L10324" s="21"/>
      <c r="M10324" s="21" t="s">
        <v>7038</v>
      </c>
      <c r="N10324" s="21" t="s">
        <v>40</v>
      </c>
      <c r="O10324" s="21">
        <v>24</v>
      </c>
      <c r="P10324" s="21"/>
      <c r="Q10324" s="21">
        <f t="shared" si="223"/>
        <v>1</v>
      </c>
      <c r="R10324" s="21">
        <v>1</v>
      </c>
      <c r="S10324" s="21">
        <v>0</v>
      </c>
      <c r="T10324" s="21">
        <v>0</v>
      </c>
      <c r="U10324" s="21">
        <v>1</v>
      </c>
      <c r="V10324" s="21">
        <v>0</v>
      </c>
      <c r="W10324" s="21">
        <v>0</v>
      </c>
      <c r="Y10324" s="21">
        <v>0</v>
      </c>
      <c r="Z10324" s="21">
        <v>0</v>
      </c>
      <c r="AA10324" s="21">
        <v>0</v>
      </c>
      <c r="AB10324" s="21">
        <v>0</v>
      </c>
      <c r="AC10324" s="21">
        <v>0</v>
      </c>
      <c r="AD10324" s="21">
        <v>0</v>
      </c>
      <c r="AE10324" s="21">
        <v>0</v>
      </c>
      <c r="AF10324" s="21">
        <v>0</v>
      </c>
      <c r="AG10324" s="21">
        <v>0</v>
      </c>
      <c r="AH10324" s="21">
        <f t="shared" si="224"/>
        <v>32</v>
      </c>
      <c r="AI10324" s="21"/>
      <c r="AJ10324" s="21" t="s">
        <v>54</v>
      </c>
      <c r="AK10324" s="21" t="s">
        <v>95</v>
      </c>
      <c r="AL10324" s="21"/>
      <c r="AM10324" s="21" t="s">
        <v>8269</v>
      </c>
      <c r="AN10324" s="21">
        <v>-122.410767083333</v>
      </c>
      <c r="AO10324" s="21">
        <v>37.796487480000003</v>
      </c>
      <c r="AP10324" s="21" t="s">
        <v>116</v>
      </c>
    </row>
    <row r="10325" spans="1:42">
      <c r="A10325" s="20">
        <v>43893</v>
      </c>
      <c r="B10325" s="21">
        <v>2</v>
      </c>
      <c r="C10325" s="21">
        <v>313</v>
      </c>
      <c r="D10325" s="21">
        <v>14384</v>
      </c>
      <c r="E10325" s="21" t="s">
        <v>112</v>
      </c>
      <c r="F10325" s="21" t="s">
        <v>38</v>
      </c>
      <c r="G10325" s="21">
        <v>4</v>
      </c>
      <c r="H10325" s="27">
        <v>178</v>
      </c>
      <c r="I10325" s="21"/>
      <c r="J10325" s="21"/>
      <c r="K10325" s="21" t="s">
        <v>7447</v>
      </c>
      <c r="L10325" s="21"/>
      <c r="M10325" s="21" t="s">
        <v>7038</v>
      </c>
      <c r="N10325" s="21" t="s">
        <v>40</v>
      </c>
      <c r="O10325" s="21"/>
      <c r="P10325" s="21">
        <v>131</v>
      </c>
      <c r="Q10325" s="21">
        <f t="shared" si="223"/>
        <v>3</v>
      </c>
      <c r="R10325" s="21">
        <v>1</v>
      </c>
      <c r="S10325" s="21">
        <v>0</v>
      </c>
      <c r="T10325" s="21">
        <v>0</v>
      </c>
      <c r="U10325" s="21">
        <v>3</v>
      </c>
      <c r="V10325" s="21">
        <v>0</v>
      </c>
      <c r="W10325" s="21">
        <v>0</v>
      </c>
      <c r="Y10325" s="21">
        <v>0</v>
      </c>
      <c r="Z10325" s="21">
        <v>0</v>
      </c>
      <c r="AA10325" s="21">
        <v>0</v>
      </c>
      <c r="AB10325" s="21">
        <v>0</v>
      </c>
      <c r="AC10325" s="21">
        <v>0</v>
      </c>
      <c r="AD10325" s="21">
        <v>0</v>
      </c>
      <c r="AE10325" s="21">
        <v>0</v>
      </c>
      <c r="AF10325" s="21">
        <v>0</v>
      </c>
      <c r="AG10325" s="21">
        <v>0</v>
      </c>
      <c r="AH10325" s="21">
        <f t="shared" si="224"/>
        <v>96</v>
      </c>
      <c r="AI10325" s="21"/>
      <c r="AJ10325" s="21" t="s">
        <v>3135</v>
      </c>
      <c r="AK10325" s="21" t="s">
        <v>95</v>
      </c>
      <c r="AL10325" s="21" t="s">
        <v>8270</v>
      </c>
      <c r="AM10325" s="21" t="s">
        <v>8271</v>
      </c>
      <c r="AN10325" s="21">
        <v>-122.410924693333</v>
      </c>
      <c r="AO10325" s="21">
        <v>37.796478683333497</v>
      </c>
      <c r="AP10325" s="21" t="s">
        <v>116</v>
      </c>
    </row>
    <row r="10326" spans="1:42">
      <c r="A10326" s="20">
        <v>43893</v>
      </c>
      <c r="B10326" s="21">
        <v>2</v>
      </c>
      <c r="C10326" s="21">
        <v>313</v>
      </c>
      <c r="D10326" s="21">
        <v>14384</v>
      </c>
      <c r="E10326" s="21" t="s">
        <v>112</v>
      </c>
      <c r="F10326" s="21" t="s">
        <v>38</v>
      </c>
      <c r="G10326" s="21">
        <v>4</v>
      </c>
      <c r="H10326" s="27">
        <v>179</v>
      </c>
      <c r="I10326" s="21" t="s">
        <v>7456</v>
      </c>
      <c r="J10326" s="21"/>
      <c r="K10326" s="21" t="s">
        <v>7151</v>
      </c>
      <c r="L10326" s="21"/>
      <c r="M10326" s="21" t="s">
        <v>6618</v>
      </c>
      <c r="N10326" s="21" t="s">
        <v>40</v>
      </c>
      <c r="O10326" s="21">
        <v>43</v>
      </c>
      <c r="P10326" s="21"/>
      <c r="Q10326" s="21">
        <f t="shared" si="223"/>
        <v>1</v>
      </c>
      <c r="R10326" s="21">
        <v>1</v>
      </c>
      <c r="S10326" s="21">
        <v>0</v>
      </c>
      <c r="T10326" s="21">
        <v>0</v>
      </c>
      <c r="U10326" s="21">
        <v>1</v>
      </c>
      <c r="V10326" s="21">
        <v>0</v>
      </c>
      <c r="W10326" s="21">
        <v>0</v>
      </c>
      <c r="Y10326" s="21">
        <v>0</v>
      </c>
      <c r="Z10326" s="21">
        <v>0</v>
      </c>
      <c r="AA10326" s="21">
        <v>0</v>
      </c>
      <c r="AB10326" s="21">
        <v>0</v>
      </c>
      <c r="AC10326" s="21">
        <v>0</v>
      </c>
      <c r="AD10326" s="21">
        <v>0</v>
      </c>
      <c r="AE10326" s="21">
        <v>0</v>
      </c>
      <c r="AF10326" s="21">
        <v>0</v>
      </c>
      <c r="AG10326" s="21">
        <v>0</v>
      </c>
      <c r="AH10326" s="21">
        <f t="shared" si="224"/>
        <v>32</v>
      </c>
      <c r="AI10326" s="21"/>
      <c r="AJ10326" s="21" t="s">
        <v>54</v>
      </c>
      <c r="AK10326" s="21" t="s">
        <v>52</v>
      </c>
      <c r="AL10326" s="21"/>
      <c r="AM10326" s="21" t="s">
        <v>8272</v>
      </c>
      <c r="AN10326" s="21">
        <v>-122.411051993333</v>
      </c>
      <c r="AO10326" s="21">
        <v>37.796378176666899</v>
      </c>
      <c r="AP10326" s="21" t="s">
        <v>116</v>
      </c>
    </row>
    <row r="10327" spans="1:42">
      <c r="A10327" s="20">
        <v>43893</v>
      </c>
      <c r="B10327" s="21">
        <v>2</v>
      </c>
      <c r="C10327" s="21">
        <v>313</v>
      </c>
      <c r="D10327" s="21">
        <v>14384</v>
      </c>
      <c r="E10327" s="21" t="s">
        <v>112</v>
      </c>
      <c r="F10327" s="21" t="s">
        <v>38</v>
      </c>
      <c r="G10327" s="21">
        <v>4</v>
      </c>
      <c r="H10327" s="27">
        <v>180</v>
      </c>
      <c r="I10327" s="21" t="s">
        <v>8273</v>
      </c>
      <c r="J10327" s="21"/>
      <c r="K10327" s="21" t="s">
        <v>7151</v>
      </c>
      <c r="L10327" s="21"/>
      <c r="M10327" s="21" t="s">
        <v>6618</v>
      </c>
      <c r="N10327" s="21" t="s">
        <v>40</v>
      </c>
      <c r="O10327" s="21">
        <v>37</v>
      </c>
      <c r="P10327" s="21"/>
      <c r="Q10327" s="21">
        <f t="shared" si="223"/>
        <v>1</v>
      </c>
      <c r="R10327" s="21">
        <v>1</v>
      </c>
      <c r="S10327" s="21">
        <v>0</v>
      </c>
      <c r="T10327" s="21">
        <v>0</v>
      </c>
      <c r="U10327" s="21">
        <v>0</v>
      </c>
      <c r="V10327" s="21">
        <v>1</v>
      </c>
      <c r="W10327" s="21">
        <v>0</v>
      </c>
      <c r="Y10327" s="21">
        <v>0</v>
      </c>
      <c r="Z10327" s="21">
        <v>0</v>
      </c>
      <c r="AA10327" s="21">
        <v>0</v>
      </c>
      <c r="AB10327" s="21">
        <v>0</v>
      </c>
      <c r="AC10327" s="21">
        <v>0</v>
      </c>
      <c r="AD10327" s="21">
        <v>0</v>
      </c>
      <c r="AE10327" s="21">
        <v>0</v>
      </c>
      <c r="AF10327" s="21">
        <v>0</v>
      </c>
      <c r="AG10327" s="21">
        <v>0</v>
      </c>
      <c r="AH10327" s="21">
        <f t="shared" si="224"/>
        <v>64</v>
      </c>
      <c r="AI10327" s="21"/>
      <c r="AJ10327" s="21" t="s">
        <v>3135</v>
      </c>
      <c r="AK10327" s="21" t="s">
        <v>52</v>
      </c>
      <c r="AL10327" s="21"/>
      <c r="AM10327" s="21" t="s">
        <v>8274</v>
      </c>
      <c r="AN10327" s="21">
        <v>-122.411492613333</v>
      </c>
      <c r="AO10327" s="21">
        <v>37.7963870233338</v>
      </c>
      <c r="AP10327" s="21" t="s">
        <v>116</v>
      </c>
    </row>
    <row r="10328" spans="1:42">
      <c r="A10328" s="20">
        <v>43893</v>
      </c>
      <c r="B10328" s="21">
        <v>2</v>
      </c>
      <c r="C10328" s="21">
        <v>313</v>
      </c>
      <c r="D10328" s="21">
        <v>14384</v>
      </c>
      <c r="E10328" s="21" t="s">
        <v>112</v>
      </c>
      <c r="F10328" s="21" t="s">
        <v>38</v>
      </c>
      <c r="G10328" s="21">
        <v>4</v>
      </c>
      <c r="H10328" s="27">
        <v>181</v>
      </c>
      <c r="I10328" s="21" t="s">
        <v>8275</v>
      </c>
      <c r="J10328" s="21"/>
      <c r="K10328" s="21" t="s">
        <v>6992</v>
      </c>
      <c r="L10328" s="21"/>
      <c r="M10328" s="21" t="s">
        <v>7038</v>
      </c>
      <c r="N10328" s="21" t="s">
        <v>44</v>
      </c>
      <c r="O10328" s="21">
        <v>221</v>
      </c>
      <c r="P10328" s="21"/>
      <c r="Q10328" s="21">
        <f t="shared" si="223"/>
        <v>4</v>
      </c>
      <c r="R10328" s="21">
        <v>1</v>
      </c>
      <c r="S10328" s="21">
        <v>0</v>
      </c>
      <c r="T10328" s="21">
        <v>0</v>
      </c>
      <c r="U10328" s="21">
        <v>0</v>
      </c>
      <c r="V10328" s="21">
        <v>4</v>
      </c>
      <c r="W10328" s="21">
        <v>0</v>
      </c>
      <c r="Y10328" s="21">
        <v>0</v>
      </c>
      <c r="Z10328" s="21">
        <v>0</v>
      </c>
      <c r="AA10328" s="21">
        <v>0</v>
      </c>
      <c r="AB10328" s="21">
        <v>0</v>
      </c>
      <c r="AC10328" s="21">
        <v>0</v>
      </c>
      <c r="AD10328" s="21">
        <v>0</v>
      </c>
      <c r="AE10328" s="21">
        <v>0</v>
      </c>
      <c r="AF10328" s="21">
        <v>0</v>
      </c>
      <c r="AG10328" s="21">
        <v>0</v>
      </c>
      <c r="AH10328" s="21">
        <f t="shared" si="224"/>
        <v>256</v>
      </c>
      <c r="AI10328" s="21"/>
      <c r="AJ10328" s="21" t="s">
        <v>54</v>
      </c>
      <c r="AK10328" s="21" t="s">
        <v>52</v>
      </c>
      <c r="AL10328" s="21" t="s">
        <v>8276</v>
      </c>
      <c r="AM10328" s="21" t="s">
        <v>8277</v>
      </c>
      <c r="AN10328" s="21">
        <v>-122.41192618333299</v>
      </c>
      <c r="AO10328" s="21">
        <v>37.794516116666699</v>
      </c>
      <c r="AP10328" s="21" t="s">
        <v>116</v>
      </c>
    </row>
    <row r="10329" spans="1:42">
      <c r="A10329" s="20">
        <v>43893</v>
      </c>
      <c r="B10329" s="21">
        <v>2</v>
      </c>
      <c r="C10329" s="21">
        <v>313</v>
      </c>
      <c r="D10329" s="21">
        <v>14384</v>
      </c>
      <c r="E10329" s="21" t="s">
        <v>112</v>
      </c>
      <c r="F10329" s="21" t="s">
        <v>38</v>
      </c>
      <c r="G10329" s="21">
        <v>4</v>
      </c>
      <c r="H10329" s="27">
        <v>182</v>
      </c>
      <c r="I10329" s="21" t="s">
        <v>3123</v>
      </c>
      <c r="J10329" s="21"/>
      <c r="K10329" s="21" t="s">
        <v>647</v>
      </c>
      <c r="L10329" s="21"/>
      <c r="M10329" s="21" t="s">
        <v>7038</v>
      </c>
      <c r="N10329" s="21" t="s">
        <v>40</v>
      </c>
      <c r="O10329" s="21">
        <v>36</v>
      </c>
      <c r="P10329" s="21"/>
      <c r="Q10329" s="21">
        <f t="shared" si="223"/>
        <v>1</v>
      </c>
      <c r="R10329" s="21">
        <v>1</v>
      </c>
      <c r="S10329" s="21">
        <v>0</v>
      </c>
      <c r="T10329" s="21">
        <v>0</v>
      </c>
      <c r="U10329" s="21">
        <v>1</v>
      </c>
      <c r="V10329" s="21">
        <v>0</v>
      </c>
      <c r="W10329" s="21">
        <v>0</v>
      </c>
      <c r="Y10329" s="21">
        <v>0</v>
      </c>
      <c r="Z10329" s="21">
        <v>0</v>
      </c>
      <c r="AA10329" s="21">
        <v>0</v>
      </c>
      <c r="AB10329" s="21">
        <v>0</v>
      </c>
      <c r="AC10329" s="21">
        <v>0</v>
      </c>
      <c r="AD10329" s="21">
        <v>0</v>
      </c>
      <c r="AE10329" s="21">
        <v>0</v>
      </c>
      <c r="AF10329" s="21">
        <v>0</v>
      </c>
      <c r="AG10329" s="21">
        <v>0</v>
      </c>
      <c r="AH10329" s="21">
        <f t="shared" si="224"/>
        <v>32</v>
      </c>
      <c r="AI10329" s="21"/>
      <c r="AJ10329" s="21" t="s">
        <v>54</v>
      </c>
      <c r="AK10329" s="21" t="s">
        <v>52</v>
      </c>
      <c r="AL10329" s="21"/>
      <c r="AM10329" s="21" t="s">
        <v>8278</v>
      </c>
      <c r="AN10329" s="21">
        <v>-122.41012692</v>
      </c>
      <c r="AO10329" s="21">
        <v>37.795648263333497</v>
      </c>
      <c r="AP10329" s="21" t="s">
        <v>116</v>
      </c>
    </row>
    <row r="10330" spans="1:42">
      <c r="A10330" s="20">
        <v>43893</v>
      </c>
      <c r="B10330" s="21">
        <v>2</v>
      </c>
      <c r="C10330" s="21">
        <v>313</v>
      </c>
      <c r="D10330" s="21">
        <v>14384</v>
      </c>
      <c r="E10330" s="21" t="s">
        <v>112</v>
      </c>
      <c r="F10330" s="21" t="s">
        <v>38</v>
      </c>
      <c r="G10330" s="21">
        <v>4</v>
      </c>
      <c r="H10330" s="27">
        <v>183</v>
      </c>
      <c r="I10330" s="21" t="s">
        <v>8279</v>
      </c>
      <c r="J10330" s="21"/>
      <c r="K10330" s="21" t="s">
        <v>647</v>
      </c>
      <c r="L10330" s="21"/>
      <c r="M10330" s="21" t="s">
        <v>7038</v>
      </c>
      <c r="N10330" s="21" t="s">
        <v>40</v>
      </c>
      <c r="O10330" s="21">
        <v>58</v>
      </c>
      <c r="P10330" s="21"/>
      <c r="Q10330" s="21">
        <f t="shared" si="223"/>
        <v>2</v>
      </c>
      <c r="R10330" s="21">
        <v>1</v>
      </c>
      <c r="S10330" s="21">
        <v>0</v>
      </c>
      <c r="T10330" s="21">
        <v>0</v>
      </c>
      <c r="U10330" s="21">
        <v>2</v>
      </c>
      <c r="V10330" s="21">
        <v>0</v>
      </c>
      <c r="W10330" s="21">
        <v>0</v>
      </c>
      <c r="Y10330" s="21">
        <v>0</v>
      </c>
      <c r="Z10330" s="21">
        <v>0</v>
      </c>
      <c r="AA10330" s="21">
        <v>0</v>
      </c>
      <c r="AB10330" s="21">
        <v>0</v>
      </c>
      <c r="AC10330" s="21">
        <v>0</v>
      </c>
      <c r="AD10330" s="21">
        <v>0</v>
      </c>
      <c r="AE10330" s="21">
        <v>0</v>
      </c>
      <c r="AF10330" s="21">
        <v>0</v>
      </c>
      <c r="AG10330" s="21">
        <v>0</v>
      </c>
      <c r="AH10330" s="21">
        <f t="shared" si="224"/>
        <v>64</v>
      </c>
      <c r="AI10330" s="21"/>
      <c r="AJ10330" s="21" t="s">
        <v>54</v>
      </c>
      <c r="AK10330" s="21" t="s">
        <v>52</v>
      </c>
      <c r="AL10330" s="21"/>
      <c r="AM10330" s="21" t="s">
        <v>8280</v>
      </c>
      <c r="AN10330" s="21">
        <v>-122.410929883333</v>
      </c>
      <c r="AO10330" s="21">
        <v>37.7954816033333</v>
      </c>
      <c r="AP10330" s="21" t="s">
        <v>116</v>
      </c>
    </row>
    <row r="10331" spans="1:42">
      <c r="A10331" s="20">
        <v>43893</v>
      </c>
      <c r="B10331" s="21">
        <v>2</v>
      </c>
      <c r="C10331" s="21">
        <v>313</v>
      </c>
      <c r="D10331" s="21">
        <v>14384</v>
      </c>
      <c r="E10331" s="21" t="s">
        <v>112</v>
      </c>
      <c r="F10331" s="21" t="s">
        <v>38</v>
      </c>
      <c r="G10331" s="21">
        <v>4</v>
      </c>
      <c r="H10331" s="27">
        <v>184</v>
      </c>
      <c r="I10331" s="21" t="s">
        <v>8188</v>
      </c>
      <c r="J10331" s="21"/>
      <c r="K10331" s="21" t="s">
        <v>647</v>
      </c>
      <c r="L10331" s="21"/>
      <c r="M10331" s="21" t="s">
        <v>7038</v>
      </c>
      <c r="N10331" s="21" t="s">
        <v>42</v>
      </c>
      <c r="O10331" s="21">
        <v>101</v>
      </c>
      <c r="P10331" s="21"/>
      <c r="Q10331" s="21">
        <f t="shared" si="223"/>
        <v>2</v>
      </c>
      <c r="R10331" s="21">
        <v>1</v>
      </c>
      <c r="S10331" s="21">
        <v>0</v>
      </c>
      <c r="T10331" s="21">
        <v>0</v>
      </c>
      <c r="U10331" s="21">
        <v>0</v>
      </c>
      <c r="V10331" s="21">
        <v>2</v>
      </c>
      <c r="W10331" s="21">
        <v>0</v>
      </c>
      <c r="Y10331" s="21">
        <v>0</v>
      </c>
      <c r="Z10331" s="21">
        <v>0</v>
      </c>
      <c r="AA10331" s="21">
        <v>0</v>
      </c>
      <c r="AB10331" s="21">
        <v>0</v>
      </c>
      <c r="AC10331" s="21">
        <v>0</v>
      </c>
      <c r="AD10331" s="21">
        <v>0</v>
      </c>
      <c r="AE10331" s="21">
        <v>0</v>
      </c>
      <c r="AF10331" s="21">
        <v>0</v>
      </c>
      <c r="AG10331" s="21">
        <v>0</v>
      </c>
      <c r="AH10331" s="21">
        <f t="shared" si="224"/>
        <v>128</v>
      </c>
      <c r="AI10331" s="21"/>
      <c r="AJ10331" s="21" t="s">
        <v>54</v>
      </c>
      <c r="AK10331" s="21" t="s">
        <v>52</v>
      </c>
      <c r="AL10331" s="21" t="s">
        <v>8281</v>
      </c>
      <c r="AM10331" s="21" t="s">
        <v>8282</v>
      </c>
      <c r="AN10331" s="21">
        <v>-122.410800383333</v>
      </c>
      <c r="AO10331" s="21">
        <v>37.795530280000001</v>
      </c>
      <c r="AP10331" s="21" t="s">
        <v>116</v>
      </c>
    </row>
    <row r="10332" spans="1:42">
      <c r="A10332" s="20">
        <v>43893</v>
      </c>
      <c r="B10332" s="21">
        <v>2</v>
      </c>
      <c r="C10332" s="21">
        <v>313</v>
      </c>
      <c r="D10332" s="21">
        <v>14384</v>
      </c>
      <c r="E10332" s="21" t="s">
        <v>112</v>
      </c>
      <c r="F10332" s="21" t="s">
        <v>38</v>
      </c>
      <c r="G10332" s="21">
        <v>4</v>
      </c>
      <c r="H10332" s="27">
        <v>185</v>
      </c>
      <c r="I10332" s="21" t="s">
        <v>8283</v>
      </c>
      <c r="J10332" s="21"/>
      <c r="K10332" s="21" t="s">
        <v>647</v>
      </c>
      <c r="L10332" s="21"/>
      <c r="M10332" s="21" t="s">
        <v>7038</v>
      </c>
      <c r="N10332" s="21" t="s">
        <v>40</v>
      </c>
      <c r="O10332" s="21">
        <v>28</v>
      </c>
      <c r="P10332" s="21"/>
      <c r="Q10332" s="21">
        <f t="shared" si="223"/>
        <v>1</v>
      </c>
      <c r="R10332" s="21">
        <v>1</v>
      </c>
      <c r="S10332" s="21">
        <v>0</v>
      </c>
      <c r="T10332" s="21">
        <v>0</v>
      </c>
      <c r="U10332" s="21">
        <v>1</v>
      </c>
      <c r="V10332" s="21">
        <v>0</v>
      </c>
      <c r="W10332" s="21">
        <v>0</v>
      </c>
      <c r="Y10332" s="21">
        <v>0</v>
      </c>
      <c r="Z10332" s="21">
        <v>0</v>
      </c>
      <c r="AA10332" s="21">
        <v>0</v>
      </c>
      <c r="AB10332" s="21">
        <v>0</v>
      </c>
      <c r="AC10332" s="21">
        <v>0</v>
      </c>
      <c r="AD10332" s="21">
        <v>0</v>
      </c>
      <c r="AE10332" s="21">
        <v>0</v>
      </c>
      <c r="AF10332" s="21">
        <v>0</v>
      </c>
      <c r="AG10332" s="21">
        <v>0</v>
      </c>
      <c r="AH10332" s="21">
        <f t="shared" si="224"/>
        <v>32</v>
      </c>
      <c r="AI10332" s="21"/>
      <c r="AJ10332" s="21" t="s">
        <v>54</v>
      </c>
      <c r="AK10332" s="21" t="s">
        <v>52</v>
      </c>
      <c r="AL10332" s="21"/>
      <c r="AM10332" s="21" t="s">
        <v>8284</v>
      </c>
      <c r="AN10332" s="21">
        <v>-122.41103725000001</v>
      </c>
      <c r="AO10332" s="21">
        <v>37.795501233333397</v>
      </c>
      <c r="AP10332" s="21" t="s">
        <v>116</v>
      </c>
    </row>
    <row r="10333" spans="1:42">
      <c r="A10333" s="20">
        <v>43893</v>
      </c>
      <c r="B10333" s="21">
        <v>2</v>
      </c>
      <c r="C10333" s="21">
        <v>313</v>
      </c>
      <c r="D10333" s="21">
        <v>14384</v>
      </c>
      <c r="E10333" s="21" t="s">
        <v>112</v>
      </c>
      <c r="F10333" s="21" t="s">
        <v>38</v>
      </c>
      <c r="G10333" s="21">
        <v>4</v>
      </c>
      <c r="H10333" s="27">
        <v>186</v>
      </c>
      <c r="I10333" s="21" t="s">
        <v>8285</v>
      </c>
      <c r="J10333" s="21"/>
      <c r="K10333" s="21" t="s">
        <v>647</v>
      </c>
      <c r="L10333" s="21"/>
      <c r="M10333" s="21" t="s">
        <v>7038</v>
      </c>
      <c r="N10333" s="21" t="s">
        <v>44</v>
      </c>
      <c r="O10333" s="21">
        <v>189</v>
      </c>
      <c r="P10333" s="21"/>
      <c r="Q10333" s="21">
        <f t="shared" si="223"/>
        <v>1</v>
      </c>
      <c r="R10333" s="21">
        <v>1</v>
      </c>
      <c r="S10333" s="21">
        <v>0</v>
      </c>
      <c r="T10333" s="21">
        <v>0</v>
      </c>
      <c r="U10333" s="21">
        <v>0</v>
      </c>
      <c r="V10333" s="21">
        <v>1</v>
      </c>
      <c r="W10333" s="21">
        <v>0</v>
      </c>
      <c r="Y10333" s="21">
        <v>0</v>
      </c>
      <c r="Z10333" s="21">
        <v>0</v>
      </c>
      <c r="AA10333" s="21">
        <v>0</v>
      </c>
      <c r="AB10333" s="21">
        <v>0</v>
      </c>
      <c r="AC10333" s="21">
        <v>0</v>
      </c>
      <c r="AD10333" s="21">
        <v>0</v>
      </c>
      <c r="AE10333" s="21">
        <v>0</v>
      </c>
      <c r="AF10333" s="21">
        <v>0</v>
      </c>
      <c r="AG10333" s="21">
        <v>0</v>
      </c>
      <c r="AH10333" s="21">
        <f t="shared" si="224"/>
        <v>64</v>
      </c>
      <c r="AI10333" s="21"/>
      <c r="AJ10333" s="21" t="s">
        <v>54</v>
      </c>
      <c r="AK10333" s="21" t="s">
        <v>52</v>
      </c>
      <c r="AL10333" s="21" t="s">
        <v>8286</v>
      </c>
      <c r="AM10333" s="21" t="s">
        <v>8287</v>
      </c>
      <c r="AN10333" s="21">
        <v>-122.411026483333</v>
      </c>
      <c r="AO10333" s="21">
        <v>37.795466590000203</v>
      </c>
      <c r="AP10333" s="21" t="s">
        <v>116</v>
      </c>
    </row>
    <row r="10334" spans="1:42">
      <c r="A10334" s="20">
        <v>43893</v>
      </c>
      <c r="B10334" s="21">
        <v>2</v>
      </c>
      <c r="C10334" s="21">
        <v>313</v>
      </c>
      <c r="D10334" s="21">
        <v>14384</v>
      </c>
      <c r="E10334" s="21" t="s">
        <v>112</v>
      </c>
      <c r="F10334" s="21" t="s">
        <v>38</v>
      </c>
      <c r="G10334" s="21">
        <v>4</v>
      </c>
      <c r="H10334" s="27">
        <v>187</v>
      </c>
      <c r="I10334" s="21" t="s">
        <v>8288</v>
      </c>
      <c r="J10334" s="21"/>
      <c r="K10334" s="21" t="s">
        <v>647</v>
      </c>
      <c r="L10334" s="21"/>
      <c r="M10334" s="21" t="s">
        <v>7038</v>
      </c>
      <c r="N10334" s="21" t="s">
        <v>40</v>
      </c>
      <c r="O10334" s="21">
        <v>51</v>
      </c>
      <c r="P10334" s="21"/>
      <c r="Q10334" s="21">
        <f t="shared" si="223"/>
        <v>2</v>
      </c>
      <c r="R10334" s="21">
        <v>1</v>
      </c>
      <c r="S10334" s="21">
        <v>0</v>
      </c>
      <c r="T10334" s="21">
        <v>0</v>
      </c>
      <c r="U10334" s="21">
        <v>2</v>
      </c>
      <c r="V10334" s="21">
        <v>0</v>
      </c>
      <c r="W10334" s="21">
        <v>0</v>
      </c>
      <c r="Y10334" s="21">
        <v>0</v>
      </c>
      <c r="Z10334" s="21">
        <v>0</v>
      </c>
      <c r="AA10334" s="21">
        <v>0</v>
      </c>
      <c r="AB10334" s="21">
        <v>0</v>
      </c>
      <c r="AC10334" s="21">
        <v>0</v>
      </c>
      <c r="AD10334" s="21">
        <v>0</v>
      </c>
      <c r="AE10334" s="21">
        <v>0</v>
      </c>
      <c r="AF10334" s="21">
        <v>0</v>
      </c>
      <c r="AG10334" s="21">
        <v>0</v>
      </c>
      <c r="AH10334" s="21">
        <f t="shared" si="224"/>
        <v>64</v>
      </c>
      <c r="AI10334" s="21"/>
      <c r="AJ10334" s="21" t="s">
        <v>54</v>
      </c>
      <c r="AK10334" s="21" t="s">
        <v>52</v>
      </c>
      <c r="AL10334" s="21"/>
      <c r="AM10334" s="21" t="s">
        <v>8289</v>
      </c>
      <c r="AN10334" s="21">
        <v>-122.41116257</v>
      </c>
      <c r="AO10334" s="21">
        <v>37.795477866666701</v>
      </c>
      <c r="AP10334" s="21" t="s">
        <v>116</v>
      </c>
    </row>
    <row r="10335" spans="1:42">
      <c r="A10335" s="20">
        <v>43893</v>
      </c>
      <c r="B10335" s="21">
        <v>2</v>
      </c>
      <c r="C10335" s="21">
        <v>313</v>
      </c>
      <c r="D10335" s="21">
        <v>14384</v>
      </c>
      <c r="E10335" s="21" t="s">
        <v>112</v>
      </c>
      <c r="F10335" s="21" t="s">
        <v>38</v>
      </c>
      <c r="G10335" s="21">
        <v>4</v>
      </c>
      <c r="H10335" s="27">
        <v>188</v>
      </c>
      <c r="I10335" s="21" t="s">
        <v>4742</v>
      </c>
      <c r="J10335" s="21"/>
      <c r="K10335" s="21" t="s">
        <v>8290</v>
      </c>
      <c r="L10335" s="21"/>
      <c r="M10335" s="21" t="s">
        <v>7038</v>
      </c>
      <c r="N10335" s="21" t="s">
        <v>44</v>
      </c>
      <c r="O10335" s="21">
        <v>111</v>
      </c>
      <c r="P10335" s="21"/>
      <c r="Q10335" s="21">
        <f t="shared" si="223"/>
        <v>1</v>
      </c>
      <c r="R10335" s="21">
        <v>1</v>
      </c>
      <c r="S10335" s="21">
        <v>0</v>
      </c>
      <c r="T10335" s="21">
        <v>0</v>
      </c>
      <c r="U10335" s="21">
        <v>0</v>
      </c>
      <c r="V10335" s="21">
        <v>1</v>
      </c>
      <c r="W10335" s="21">
        <v>0</v>
      </c>
      <c r="Y10335" s="21">
        <v>0</v>
      </c>
      <c r="Z10335" s="21">
        <v>0</v>
      </c>
      <c r="AA10335" s="21">
        <v>0</v>
      </c>
      <c r="AB10335" s="21">
        <v>0</v>
      </c>
      <c r="AC10335" s="21">
        <v>0</v>
      </c>
      <c r="AD10335" s="21">
        <v>0</v>
      </c>
      <c r="AE10335" s="21">
        <v>0</v>
      </c>
      <c r="AF10335" s="21">
        <v>0</v>
      </c>
      <c r="AG10335" s="21">
        <v>0</v>
      </c>
      <c r="AH10335" s="21">
        <f t="shared" si="224"/>
        <v>64</v>
      </c>
      <c r="AI10335" s="21"/>
      <c r="AJ10335" s="21" t="s">
        <v>54</v>
      </c>
      <c r="AK10335" s="21" t="s">
        <v>95</v>
      </c>
      <c r="AL10335" s="21" t="s">
        <v>8291</v>
      </c>
      <c r="AM10335" s="21" t="s">
        <v>8292</v>
      </c>
      <c r="AN10335" s="21">
        <v>-122.409016536667</v>
      </c>
      <c r="AO10335" s="21">
        <v>37.792977273333399</v>
      </c>
      <c r="AP10335" s="21" t="s">
        <v>116</v>
      </c>
    </row>
    <row r="10336" spans="1:42">
      <c r="A10336" s="20">
        <v>43893</v>
      </c>
      <c r="B10336" s="21">
        <v>2</v>
      </c>
      <c r="C10336" s="21">
        <v>313</v>
      </c>
      <c r="D10336" s="21">
        <v>14384</v>
      </c>
      <c r="E10336" s="21" t="s">
        <v>112</v>
      </c>
      <c r="F10336" s="21" t="s">
        <v>38</v>
      </c>
      <c r="G10336" s="21">
        <v>4</v>
      </c>
      <c r="H10336" s="27">
        <v>189</v>
      </c>
      <c r="I10336" s="21" t="s">
        <v>4403</v>
      </c>
      <c r="J10336" s="21"/>
      <c r="K10336" s="21" t="s">
        <v>407</v>
      </c>
      <c r="L10336" s="21"/>
      <c r="M10336" s="21" t="s">
        <v>7038</v>
      </c>
      <c r="N10336" s="21" t="s">
        <v>44</v>
      </c>
      <c r="O10336" s="21">
        <v>161</v>
      </c>
      <c r="P10336" s="21"/>
      <c r="Q10336" s="21">
        <f t="shared" si="223"/>
        <v>1</v>
      </c>
      <c r="R10336" s="21">
        <v>1</v>
      </c>
      <c r="S10336" s="21">
        <v>0</v>
      </c>
      <c r="T10336" s="21">
        <v>0</v>
      </c>
      <c r="U10336" s="21">
        <v>0</v>
      </c>
      <c r="V10336" s="21">
        <v>1</v>
      </c>
      <c r="W10336" s="21">
        <v>0</v>
      </c>
      <c r="Y10336" s="21">
        <v>0</v>
      </c>
      <c r="Z10336" s="21">
        <v>0</v>
      </c>
      <c r="AA10336" s="21">
        <v>0</v>
      </c>
      <c r="AB10336" s="21">
        <v>0</v>
      </c>
      <c r="AC10336" s="21">
        <v>0</v>
      </c>
      <c r="AD10336" s="21">
        <v>0</v>
      </c>
      <c r="AE10336" s="21">
        <v>0</v>
      </c>
      <c r="AF10336" s="21">
        <v>0</v>
      </c>
      <c r="AG10336" s="21">
        <v>0</v>
      </c>
      <c r="AH10336" s="21">
        <f t="shared" si="224"/>
        <v>64</v>
      </c>
      <c r="AI10336" s="21"/>
      <c r="AJ10336" s="21" t="s">
        <v>54</v>
      </c>
      <c r="AK10336" s="21" t="s">
        <v>52</v>
      </c>
      <c r="AL10336" s="21" t="s">
        <v>8293</v>
      </c>
      <c r="AM10336" s="21" t="s">
        <v>8294</v>
      </c>
      <c r="AN10336" s="21">
        <v>-122.409008627807</v>
      </c>
      <c r="AO10336" s="21">
        <v>37.792011562773197</v>
      </c>
      <c r="AP10336" s="21" t="s">
        <v>116</v>
      </c>
    </row>
    <row r="10337" spans="1:42">
      <c r="A10337" s="20">
        <v>43893</v>
      </c>
      <c r="B10337" s="21">
        <v>2</v>
      </c>
      <c r="C10337" s="21">
        <v>313</v>
      </c>
      <c r="D10337" s="21">
        <v>14384</v>
      </c>
      <c r="E10337" s="21" t="s">
        <v>112</v>
      </c>
      <c r="F10337" s="21" t="s">
        <v>38</v>
      </c>
      <c r="G10337" s="21">
        <v>4</v>
      </c>
      <c r="H10337" s="27">
        <v>190</v>
      </c>
      <c r="I10337" s="21" t="s">
        <v>4366</v>
      </c>
      <c r="J10337" s="21"/>
      <c r="K10337" s="21" t="s">
        <v>8295</v>
      </c>
      <c r="L10337" s="21"/>
      <c r="M10337" s="21" t="s">
        <v>7038</v>
      </c>
      <c r="N10337" s="21" t="s">
        <v>40</v>
      </c>
      <c r="O10337" s="21">
        <v>38</v>
      </c>
      <c r="P10337" s="21"/>
      <c r="Q10337" s="21">
        <f t="shared" si="223"/>
        <v>1</v>
      </c>
      <c r="R10337" s="21">
        <v>1</v>
      </c>
      <c r="S10337" s="21">
        <v>0</v>
      </c>
      <c r="T10337" s="21">
        <v>0</v>
      </c>
      <c r="U10337" s="21">
        <v>0</v>
      </c>
      <c r="V10337" s="21">
        <v>1</v>
      </c>
      <c r="W10337" s="21">
        <v>0</v>
      </c>
      <c r="Y10337" s="21">
        <v>0</v>
      </c>
      <c r="Z10337" s="21">
        <v>0</v>
      </c>
      <c r="AA10337" s="21">
        <v>0</v>
      </c>
      <c r="AB10337" s="21">
        <v>0</v>
      </c>
      <c r="AC10337" s="21">
        <v>0</v>
      </c>
      <c r="AD10337" s="21">
        <v>0</v>
      </c>
      <c r="AE10337" s="21">
        <v>0</v>
      </c>
      <c r="AF10337" s="21">
        <v>0</v>
      </c>
      <c r="AG10337" s="21">
        <v>0</v>
      </c>
      <c r="AH10337" s="21">
        <f t="shared" si="224"/>
        <v>64</v>
      </c>
      <c r="AI10337" s="21"/>
      <c r="AJ10337" s="21" t="s">
        <v>51</v>
      </c>
      <c r="AK10337" s="21" t="s">
        <v>95</v>
      </c>
      <c r="AL10337" s="21"/>
      <c r="AM10337" s="21" t="s">
        <v>8296</v>
      </c>
      <c r="AN10337" s="21">
        <v>-122.408344233333</v>
      </c>
      <c r="AO10337" s="21">
        <v>37.791900963334797</v>
      </c>
      <c r="AP10337" s="21" t="s">
        <v>116</v>
      </c>
    </row>
    <row r="10338" spans="1:42">
      <c r="A10338" s="20">
        <v>43893</v>
      </c>
      <c r="B10338" s="21">
        <v>2</v>
      </c>
      <c r="C10338" s="21">
        <v>313</v>
      </c>
      <c r="D10338" s="21">
        <v>14384</v>
      </c>
      <c r="E10338" s="21" t="s">
        <v>112</v>
      </c>
      <c r="F10338" s="21" t="s">
        <v>38</v>
      </c>
      <c r="G10338" s="21">
        <v>4</v>
      </c>
      <c r="H10338" s="27">
        <v>191</v>
      </c>
      <c r="I10338" s="21" t="s">
        <v>4579</v>
      </c>
      <c r="J10338" s="21"/>
      <c r="K10338" s="21" t="s">
        <v>8297</v>
      </c>
      <c r="L10338" s="21"/>
      <c r="M10338" s="21" t="s">
        <v>7038</v>
      </c>
      <c r="N10338" s="21" t="s">
        <v>44</v>
      </c>
      <c r="O10338" s="21">
        <v>109</v>
      </c>
      <c r="P10338" s="21"/>
      <c r="Q10338" s="21">
        <f t="shared" si="223"/>
        <v>1</v>
      </c>
      <c r="R10338" s="21">
        <v>1</v>
      </c>
      <c r="S10338" s="21">
        <v>0</v>
      </c>
      <c r="T10338" s="21">
        <v>0</v>
      </c>
      <c r="U10338" s="21">
        <v>1</v>
      </c>
      <c r="V10338" s="21">
        <v>0</v>
      </c>
      <c r="W10338" s="21">
        <v>0</v>
      </c>
      <c r="Y10338" s="21">
        <v>0</v>
      </c>
      <c r="Z10338" s="21">
        <v>0</v>
      </c>
      <c r="AA10338" s="21">
        <v>0</v>
      </c>
      <c r="AB10338" s="21">
        <v>0</v>
      </c>
      <c r="AC10338" s="21">
        <v>0</v>
      </c>
      <c r="AD10338" s="21">
        <v>0</v>
      </c>
      <c r="AE10338" s="21">
        <v>0</v>
      </c>
      <c r="AF10338" s="21">
        <v>0</v>
      </c>
      <c r="AG10338" s="21">
        <v>0</v>
      </c>
      <c r="AH10338" s="21">
        <f t="shared" si="224"/>
        <v>32</v>
      </c>
      <c r="AI10338" s="21"/>
      <c r="AJ10338" s="21" t="s">
        <v>51</v>
      </c>
      <c r="AK10338" s="21" t="s">
        <v>52</v>
      </c>
      <c r="AL10338" s="21" t="s">
        <v>8298</v>
      </c>
      <c r="AM10338" s="21" t="s">
        <v>8299</v>
      </c>
      <c r="AN10338" s="21">
        <v>-122.408241546667</v>
      </c>
      <c r="AO10338" s="21">
        <v>37.791621000001598</v>
      </c>
      <c r="AP10338" s="21" t="s">
        <v>116</v>
      </c>
    </row>
    <row r="10339" spans="1:42">
      <c r="A10339" s="20">
        <v>43893</v>
      </c>
      <c r="B10339" s="21">
        <v>2</v>
      </c>
      <c r="C10339" s="21">
        <v>313</v>
      </c>
      <c r="D10339" s="21">
        <v>14384</v>
      </c>
      <c r="E10339" s="21" t="s">
        <v>112</v>
      </c>
      <c r="F10339" s="21" t="s">
        <v>38</v>
      </c>
      <c r="G10339" s="21">
        <v>4</v>
      </c>
      <c r="H10339" s="27">
        <v>192</v>
      </c>
      <c r="I10339" s="21" t="s">
        <v>8104</v>
      </c>
      <c r="J10339" s="21"/>
      <c r="K10339" s="21" t="s">
        <v>2125</v>
      </c>
      <c r="L10339" s="21"/>
      <c r="M10339" s="21" t="s">
        <v>7038</v>
      </c>
      <c r="N10339" s="21" t="s">
        <v>44</v>
      </c>
      <c r="O10339" s="21">
        <v>109</v>
      </c>
      <c r="P10339" s="21"/>
      <c r="Q10339" s="21">
        <f t="shared" ref="Q10339:Q10402" si="225">SUM(S10339+T10339+U10339+V10339+W10339+Y10339+Z10339+AA10339+AB10339+AC10339+AF10339+AG10339+AD10338+AE10338)</f>
        <v>1</v>
      </c>
      <c r="R10339" s="21">
        <v>1</v>
      </c>
      <c r="S10339" s="21">
        <v>0</v>
      </c>
      <c r="T10339" s="21">
        <v>0</v>
      </c>
      <c r="U10339" s="21">
        <v>0</v>
      </c>
      <c r="V10339" s="21">
        <v>1</v>
      </c>
      <c r="W10339" s="21">
        <v>0</v>
      </c>
      <c r="Y10339" s="21">
        <v>0</v>
      </c>
      <c r="Z10339" s="21">
        <v>0</v>
      </c>
      <c r="AA10339" s="21">
        <v>0</v>
      </c>
      <c r="AB10339" s="21">
        <v>0</v>
      </c>
      <c r="AC10339" s="21">
        <v>0</v>
      </c>
      <c r="AD10339" s="21">
        <v>0</v>
      </c>
      <c r="AE10339" s="21">
        <v>0</v>
      </c>
      <c r="AF10339" s="21">
        <v>0</v>
      </c>
      <c r="AG10339" s="21">
        <v>0</v>
      </c>
      <c r="AH10339" s="21">
        <f t="shared" si="224"/>
        <v>64</v>
      </c>
      <c r="AI10339" s="21"/>
      <c r="AJ10339" s="21" t="s">
        <v>54</v>
      </c>
      <c r="AK10339" s="21" t="s">
        <v>95</v>
      </c>
      <c r="AL10339" s="21" t="s">
        <v>7105</v>
      </c>
      <c r="AM10339" s="21" t="s">
        <v>8300</v>
      </c>
      <c r="AN10339" s="21">
        <v>-122.408232496667</v>
      </c>
      <c r="AO10339" s="21">
        <v>37.791950140000601</v>
      </c>
      <c r="AP10339" s="21" t="s">
        <v>116</v>
      </c>
    </row>
    <row r="10340" spans="1:42">
      <c r="A10340" s="20">
        <v>43893</v>
      </c>
      <c r="B10340" s="21">
        <v>2</v>
      </c>
      <c r="C10340" s="21">
        <v>313</v>
      </c>
      <c r="D10340" s="21">
        <v>14384</v>
      </c>
      <c r="E10340" s="21" t="s">
        <v>112</v>
      </c>
      <c r="F10340" s="21" t="s">
        <v>38</v>
      </c>
      <c r="G10340" s="21">
        <v>4</v>
      </c>
      <c r="H10340" s="27">
        <v>193</v>
      </c>
      <c r="I10340" s="21"/>
      <c r="J10340" s="21"/>
      <c r="K10340" s="21" t="s">
        <v>8301</v>
      </c>
      <c r="L10340" s="21"/>
      <c r="M10340" s="21" t="s">
        <v>7038</v>
      </c>
      <c r="N10340" s="21" t="s">
        <v>44</v>
      </c>
      <c r="P10340" s="21">
        <v>382</v>
      </c>
      <c r="Q10340" s="21">
        <f t="shared" si="225"/>
        <v>2</v>
      </c>
      <c r="R10340" s="21">
        <v>1</v>
      </c>
      <c r="S10340" s="21">
        <v>0</v>
      </c>
      <c r="T10340" s="21">
        <v>0</v>
      </c>
      <c r="U10340" s="21">
        <v>2</v>
      </c>
      <c r="V10340" s="21">
        <v>0</v>
      </c>
      <c r="W10340" s="21">
        <v>0</v>
      </c>
      <c r="Y10340" s="21">
        <v>0</v>
      </c>
      <c r="Z10340" s="21">
        <v>0</v>
      </c>
      <c r="AA10340" s="21">
        <v>0</v>
      </c>
      <c r="AB10340" s="21">
        <v>0</v>
      </c>
      <c r="AC10340" s="21">
        <v>0</v>
      </c>
      <c r="AD10340" s="21">
        <v>0</v>
      </c>
      <c r="AE10340" s="21">
        <v>0</v>
      </c>
      <c r="AF10340" s="21">
        <v>0</v>
      </c>
      <c r="AG10340" s="21">
        <v>0</v>
      </c>
      <c r="AH10340" s="21">
        <f t="shared" si="224"/>
        <v>64</v>
      </c>
      <c r="AI10340" s="21"/>
      <c r="AJ10340" s="21" t="s">
        <v>54</v>
      </c>
      <c r="AK10340" s="21" t="s">
        <v>95</v>
      </c>
      <c r="AL10340" s="21" t="s">
        <v>8302</v>
      </c>
      <c r="AM10340" s="21" t="s">
        <v>8303</v>
      </c>
      <c r="AN10340" s="21">
        <v>-122.41068661</v>
      </c>
      <c r="AO10340" s="21">
        <v>37.791519236666701</v>
      </c>
      <c r="AP10340" s="21" t="s">
        <v>116</v>
      </c>
    </row>
    <row r="10341" spans="1:42">
      <c r="A10341" s="20">
        <v>43893</v>
      </c>
      <c r="B10341" s="21">
        <v>2</v>
      </c>
      <c r="C10341" s="21">
        <v>313</v>
      </c>
      <c r="D10341" s="21">
        <v>14384</v>
      </c>
      <c r="E10341" s="21" t="s">
        <v>112</v>
      </c>
      <c r="F10341" s="21" t="s">
        <v>38</v>
      </c>
      <c r="G10341" s="21">
        <v>4</v>
      </c>
      <c r="H10341" s="27">
        <v>194</v>
      </c>
      <c r="I10341" s="21" t="s">
        <v>8304</v>
      </c>
      <c r="J10341" s="21"/>
      <c r="K10341" s="21" t="s">
        <v>6992</v>
      </c>
      <c r="L10341" s="21"/>
      <c r="M10341" s="21" t="s">
        <v>7038</v>
      </c>
      <c r="N10341" s="21" t="s">
        <v>44</v>
      </c>
      <c r="O10341" s="21">
        <v>532</v>
      </c>
      <c r="P10341" s="21"/>
      <c r="Q10341" s="21">
        <f t="shared" si="225"/>
        <v>1</v>
      </c>
      <c r="R10341" s="21">
        <v>1</v>
      </c>
      <c r="S10341" s="21">
        <v>0</v>
      </c>
      <c r="T10341" s="21">
        <v>0</v>
      </c>
      <c r="U10341" s="21">
        <v>0</v>
      </c>
      <c r="V10341" s="21">
        <v>0</v>
      </c>
      <c r="W10341" s="21">
        <v>1</v>
      </c>
      <c r="Y10341" s="21">
        <v>0</v>
      </c>
      <c r="Z10341" s="21">
        <v>0</v>
      </c>
      <c r="AA10341" s="21">
        <v>0</v>
      </c>
      <c r="AB10341" s="21">
        <v>0</v>
      </c>
      <c r="AC10341" s="21">
        <v>0</v>
      </c>
      <c r="AD10341" s="21">
        <v>0</v>
      </c>
      <c r="AE10341" s="21">
        <v>0</v>
      </c>
      <c r="AF10341" s="21">
        <v>0</v>
      </c>
      <c r="AG10341" s="21">
        <v>0</v>
      </c>
      <c r="AH10341" s="21">
        <f t="shared" si="224"/>
        <v>96</v>
      </c>
      <c r="AI10341" s="21"/>
      <c r="AJ10341" s="21" t="s">
        <v>54</v>
      </c>
      <c r="AK10341" s="21" t="s">
        <v>95</v>
      </c>
      <c r="AL10341" s="21" t="s">
        <v>8305</v>
      </c>
      <c r="AM10341" s="21" t="s">
        <v>8306</v>
      </c>
      <c r="AN10341" s="21">
        <v>-122.41053649666701</v>
      </c>
      <c r="AO10341" s="21">
        <v>37.790444143333502</v>
      </c>
      <c r="AP10341" s="21" t="s">
        <v>116</v>
      </c>
    </row>
    <row r="10342" spans="1:42">
      <c r="A10342" s="1">
        <v>43900</v>
      </c>
      <c r="B10342">
        <v>2</v>
      </c>
      <c r="C10342" s="21">
        <v>571</v>
      </c>
      <c r="D10342">
        <v>11443</v>
      </c>
      <c r="E10342" t="s">
        <v>377</v>
      </c>
      <c r="F10342" s="21" t="s">
        <v>436</v>
      </c>
      <c r="G10342" s="21">
        <v>4</v>
      </c>
      <c r="H10342" s="27">
        <v>1</v>
      </c>
      <c r="I10342">
        <v>601</v>
      </c>
      <c r="K10342" t="s">
        <v>381</v>
      </c>
      <c r="N10342" t="s">
        <v>40</v>
      </c>
      <c r="O10342">
        <v>45</v>
      </c>
      <c r="Q10342" s="21">
        <f t="shared" si="225"/>
        <v>1</v>
      </c>
      <c r="R10342" s="21">
        <v>1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1</v>
      </c>
      <c r="AC10342">
        <v>0</v>
      </c>
      <c r="AD10342">
        <v>0</v>
      </c>
      <c r="AE10342">
        <v>0</v>
      </c>
      <c r="AF10342" s="21">
        <v>0</v>
      </c>
      <c r="AG10342" s="21">
        <v>0</v>
      </c>
      <c r="AH10342" s="21">
        <f t="shared" si="224"/>
        <v>0</v>
      </c>
      <c r="AJ10342" t="s">
        <v>51</v>
      </c>
      <c r="AK10342" t="s">
        <v>95</v>
      </c>
      <c r="AL10342" t="s">
        <v>8307</v>
      </c>
      <c r="AM10342" t="s">
        <v>8308</v>
      </c>
      <c r="AN10342">
        <v>-122.401660903333</v>
      </c>
      <c r="AO10342">
        <v>37.770180596666698</v>
      </c>
      <c r="AP10342" s="21" t="s">
        <v>116</v>
      </c>
    </row>
    <row r="10343" spans="1:42">
      <c r="A10343" s="1">
        <v>43900</v>
      </c>
      <c r="B10343">
        <v>2</v>
      </c>
      <c r="C10343" s="21">
        <v>571</v>
      </c>
      <c r="D10343">
        <v>11443</v>
      </c>
      <c r="E10343" t="s">
        <v>377</v>
      </c>
      <c r="F10343" s="21" t="s">
        <v>436</v>
      </c>
      <c r="G10343" s="21">
        <v>4</v>
      </c>
      <c r="H10343" s="27">
        <v>2</v>
      </c>
      <c r="I10343">
        <v>1001</v>
      </c>
      <c r="K10343" t="s">
        <v>378</v>
      </c>
      <c r="N10343" t="s">
        <v>44</v>
      </c>
      <c r="O10343">
        <v>109</v>
      </c>
      <c r="Q10343" s="21">
        <f t="shared" si="225"/>
        <v>1</v>
      </c>
      <c r="R10343" s="21">
        <v>1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1</v>
      </c>
      <c r="AD10343">
        <v>0</v>
      </c>
      <c r="AE10343">
        <v>0</v>
      </c>
      <c r="AF10343" s="21">
        <v>0</v>
      </c>
      <c r="AG10343" s="21">
        <v>0</v>
      </c>
      <c r="AH10343" s="21">
        <f t="shared" si="224"/>
        <v>0</v>
      </c>
      <c r="AJ10343" t="s">
        <v>51</v>
      </c>
      <c r="AK10343" t="s">
        <v>52</v>
      </c>
      <c r="AM10343" t="s">
        <v>8309</v>
      </c>
      <c r="AN10343">
        <v>-122.40704787666699</v>
      </c>
      <c r="AO10343">
        <v>37.769384426666697</v>
      </c>
      <c r="AP10343" s="21" t="s">
        <v>116</v>
      </c>
    </row>
    <row r="10344" spans="1:42">
      <c r="A10344" s="1">
        <v>43900</v>
      </c>
      <c r="B10344">
        <v>2</v>
      </c>
      <c r="C10344" s="21">
        <v>571</v>
      </c>
      <c r="D10344">
        <v>11443</v>
      </c>
      <c r="E10344" t="s">
        <v>377</v>
      </c>
      <c r="F10344" s="21" t="s">
        <v>436</v>
      </c>
      <c r="G10344" s="21">
        <v>4</v>
      </c>
      <c r="H10344" s="27">
        <v>3</v>
      </c>
      <c r="I10344">
        <v>888</v>
      </c>
      <c r="K10344" t="s">
        <v>378</v>
      </c>
      <c r="N10344" t="s">
        <v>40</v>
      </c>
      <c r="O10344">
        <v>50</v>
      </c>
      <c r="Q10344" s="21">
        <f t="shared" si="225"/>
        <v>2</v>
      </c>
      <c r="R10344" s="21">
        <v>1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2</v>
      </c>
      <c r="AD10344">
        <v>0</v>
      </c>
      <c r="AE10344">
        <v>0</v>
      </c>
      <c r="AF10344" s="21">
        <v>0</v>
      </c>
      <c r="AG10344" s="21">
        <v>0</v>
      </c>
      <c r="AH10344" s="21">
        <f t="shared" si="224"/>
        <v>0</v>
      </c>
      <c r="AJ10344" t="s">
        <v>51</v>
      </c>
      <c r="AK10344" t="s">
        <v>95</v>
      </c>
      <c r="AL10344" t="s">
        <v>8310</v>
      </c>
      <c r="AM10344" t="s">
        <v>8311</v>
      </c>
      <c r="AN10344">
        <v>-122.40471177333301</v>
      </c>
      <c r="AO10344">
        <v>37.7718945133376</v>
      </c>
      <c r="AP10344" s="21" t="s">
        <v>116</v>
      </c>
    </row>
    <row r="10345" spans="1:42">
      <c r="A10345" s="1">
        <v>43900</v>
      </c>
      <c r="B10345">
        <v>2</v>
      </c>
      <c r="C10345" s="21">
        <v>571</v>
      </c>
      <c r="D10345">
        <v>11443</v>
      </c>
      <c r="E10345" t="s">
        <v>377</v>
      </c>
      <c r="F10345" s="21" t="s">
        <v>436</v>
      </c>
      <c r="G10345" s="21">
        <v>4</v>
      </c>
      <c r="H10345" s="27">
        <v>4</v>
      </c>
      <c r="I10345">
        <v>945</v>
      </c>
      <c r="K10345" t="s">
        <v>1110</v>
      </c>
      <c r="N10345" t="s">
        <v>44</v>
      </c>
      <c r="O10345">
        <v>61</v>
      </c>
      <c r="Q10345" s="21">
        <f t="shared" si="225"/>
        <v>1</v>
      </c>
      <c r="R10345" s="21">
        <v>1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1</v>
      </c>
      <c r="AC10345">
        <v>0</v>
      </c>
      <c r="AD10345">
        <v>0</v>
      </c>
      <c r="AE10345">
        <v>0</v>
      </c>
      <c r="AF10345" s="21">
        <v>0</v>
      </c>
      <c r="AG10345" s="21">
        <v>0</v>
      </c>
      <c r="AH10345" s="21">
        <f t="shared" si="224"/>
        <v>0</v>
      </c>
      <c r="AJ10345" t="s">
        <v>51</v>
      </c>
      <c r="AK10345" t="s">
        <v>95</v>
      </c>
      <c r="AL10345" t="s">
        <v>8312</v>
      </c>
      <c r="AM10345" t="s">
        <v>8313</v>
      </c>
      <c r="AN10345">
        <v>-122.402503069536</v>
      </c>
      <c r="AO10345">
        <v>37.771932606744201</v>
      </c>
      <c r="AP10345" s="21" t="s">
        <v>116</v>
      </c>
    </row>
    <row r="10346" spans="1:42">
      <c r="A10346" s="1">
        <v>43900</v>
      </c>
      <c r="B10346">
        <v>2</v>
      </c>
      <c r="C10346" s="21">
        <v>571</v>
      </c>
      <c r="D10346">
        <v>11443</v>
      </c>
      <c r="E10346" t="s">
        <v>377</v>
      </c>
      <c r="F10346" s="21" t="s">
        <v>436</v>
      </c>
      <c r="G10346" s="21">
        <v>4</v>
      </c>
      <c r="H10346" s="27">
        <v>5</v>
      </c>
      <c r="I10346">
        <v>650</v>
      </c>
      <c r="K10346" t="s">
        <v>8314</v>
      </c>
      <c r="N10346" t="s">
        <v>44</v>
      </c>
      <c r="O10346">
        <v>70</v>
      </c>
      <c r="Q10346" s="21">
        <f t="shared" si="225"/>
        <v>1</v>
      </c>
      <c r="R10346" s="21">
        <v>1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1</v>
      </c>
      <c r="AB10346">
        <v>0</v>
      </c>
      <c r="AC10346">
        <v>0</v>
      </c>
      <c r="AD10346">
        <v>0</v>
      </c>
      <c r="AE10346">
        <v>0</v>
      </c>
      <c r="AF10346" s="21">
        <v>0</v>
      </c>
      <c r="AG10346" s="21">
        <v>0</v>
      </c>
      <c r="AH10346" s="21">
        <f t="shared" si="224"/>
        <v>0</v>
      </c>
      <c r="AJ10346" t="s">
        <v>51</v>
      </c>
      <c r="AK10346" t="s">
        <v>52</v>
      </c>
      <c r="AL10346" t="s">
        <v>8315</v>
      </c>
      <c r="AM10346" t="s">
        <v>8316</v>
      </c>
      <c r="AN10346">
        <v>-122.40272707</v>
      </c>
      <c r="AO10346">
        <v>37.772332583333302</v>
      </c>
      <c r="AP10346" s="21" t="s">
        <v>116</v>
      </c>
    </row>
    <row r="10347" spans="1:42">
      <c r="A10347" s="1">
        <v>43900</v>
      </c>
      <c r="B10347">
        <v>2</v>
      </c>
      <c r="C10347" s="21">
        <v>571</v>
      </c>
      <c r="D10347">
        <v>11443</v>
      </c>
      <c r="E10347" t="s">
        <v>377</v>
      </c>
      <c r="F10347" s="21" t="s">
        <v>436</v>
      </c>
      <c r="G10347" s="21">
        <v>4</v>
      </c>
      <c r="H10347" s="27">
        <v>6</v>
      </c>
      <c r="I10347">
        <v>600</v>
      </c>
      <c r="K10347" t="s">
        <v>381</v>
      </c>
      <c r="N10347" t="s">
        <v>44</v>
      </c>
      <c r="O10347">
        <v>102</v>
      </c>
      <c r="Q10347" s="21">
        <f t="shared" si="225"/>
        <v>1</v>
      </c>
      <c r="R10347" s="21">
        <v>1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1</v>
      </c>
      <c r="AD10347">
        <v>0</v>
      </c>
      <c r="AE10347">
        <v>0</v>
      </c>
      <c r="AF10347" s="21">
        <v>0</v>
      </c>
      <c r="AG10347" s="21">
        <v>0</v>
      </c>
      <c r="AH10347" s="21">
        <f t="shared" si="224"/>
        <v>0</v>
      </c>
      <c r="AJ10347" t="s">
        <v>51</v>
      </c>
      <c r="AK10347" t="s">
        <v>52</v>
      </c>
      <c r="AL10347" t="s">
        <v>8317</v>
      </c>
      <c r="AM10347" t="s">
        <v>8318</v>
      </c>
      <c r="AN10347">
        <v>-122.402988796667</v>
      </c>
      <c r="AO10347">
        <v>37.772153066666696</v>
      </c>
      <c r="AP10347" s="21" t="s">
        <v>116</v>
      </c>
    </row>
    <row r="10348" spans="1:42">
      <c r="A10348" s="1">
        <v>43900</v>
      </c>
      <c r="B10348">
        <v>2</v>
      </c>
      <c r="C10348" s="21">
        <v>571</v>
      </c>
      <c r="D10348">
        <v>11443</v>
      </c>
      <c r="E10348" t="s">
        <v>377</v>
      </c>
      <c r="F10348" s="21" t="s">
        <v>436</v>
      </c>
      <c r="G10348" s="21">
        <v>4</v>
      </c>
      <c r="H10348" s="27">
        <v>7</v>
      </c>
      <c r="I10348">
        <v>548</v>
      </c>
      <c r="K10348" t="s">
        <v>529</v>
      </c>
      <c r="N10348" t="s">
        <v>40</v>
      </c>
      <c r="O10348">
        <v>49</v>
      </c>
      <c r="Q10348" s="21">
        <f t="shared" si="225"/>
        <v>1</v>
      </c>
      <c r="R10348" s="21">
        <v>1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1</v>
      </c>
      <c r="AC10348">
        <v>0</v>
      </c>
      <c r="AD10348">
        <v>0</v>
      </c>
      <c r="AE10348">
        <v>0</v>
      </c>
      <c r="AF10348" s="21">
        <v>0</v>
      </c>
      <c r="AG10348" s="21">
        <v>0</v>
      </c>
      <c r="AH10348" s="21">
        <f t="shared" si="224"/>
        <v>0</v>
      </c>
      <c r="AJ10348" t="s">
        <v>51</v>
      </c>
      <c r="AK10348" t="s">
        <v>52</v>
      </c>
      <c r="AL10348" t="s">
        <v>8319</v>
      </c>
      <c r="AM10348" t="s">
        <v>8320</v>
      </c>
      <c r="AN10348">
        <v>-122.405149543927</v>
      </c>
      <c r="AO10348">
        <v>37.772337089848001</v>
      </c>
      <c r="AP10348" s="21" t="s">
        <v>116</v>
      </c>
    </row>
    <row r="10349" spans="1:42">
      <c r="A10349" s="1">
        <v>43900</v>
      </c>
      <c r="B10349">
        <v>2</v>
      </c>
      <c r="C10349" s="21">
        <v>571</v>
      </c>
      <c r="D10349">
        <v>11443</v>
      </c>
      <c r="E10349" t="s">
        <v>377</v>
      </c>
      <c r="F10349" s="21" t="s">
        <v>436</v>
      </c>
      <c r="G10349" s="21">
        <v>4</v>
      </c>
      <c r="H10349" s="27">
        <v>8</v>
      </c>
      <c r="I10349">
        <v>310</v>
      </c>
      <c r="K10349" t="s">
        <v>529</v>
      </c>
      <c r="N10349" t="s">
        <v>1703</v>
      </c>
      <c r="O10349">
        <v>53</v>
      </c>
      <c r="Q10349" s="21">
        <f t="shared" si="225"/>
        <v>1</v>
      </c>
      <c r="R10349" s="21">
        <v>1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1</v>
      </c>
      <c r="AB10349">
        <v>0</v>
      </c>
      <c r="AC10349">
        <v>0</v>
      </c>
      <c r="AD10349">
        <v>0</v>
      </c>
      <c r="AE10349">
        <v>0</v>
      </c>
      <c r="AF10349" s="21">
        <v>0</v>
      </c>
      <c r="AG10349" s="21">
        <v>0</v>
      </c>
      <c r="AH10349" s="21">
        <f t="shared" si="224"/>
        <v>0</v>
      </c>
      <c r="AJ10349" t="s">
        <v>51</v>
      </c>
      <c r="AK10349" t="s">
        <v>52</v>
      </c>
      <c r="AL10349" t="s">
        <v>8321</v>
      </c>
      <c r="AM10349" t="s">
        <v>8322</v>
      </c>
      <c r="AN10349">
        <v>-122.40949132646899</v>
      </c>
      <c r="AO10349">
        <v>37.778120737613598</v>
      </c>
      <c r="AP10349" s="21" t="s">
        <v>116</v>
      </c>
    </row>
    <row r="10350" spans="1:42">
      <c r="A10350" s="1">
        <v>43900</v>
      </c>
      <c r="B10350">
        <v>2</v>
      </c>
      <c r="C10350" s="21">
        <v>571</v>
      </c>
      <c r="D10350">
        <v>11443</v>
      </c>
      <c r="E10350" t="s">
        <v>377</v>
      </c>
      <c r="F10350" s="21" t="s">
        <v>436</v>
      </c>
      <c r="G10350" s="21">
        <v>4</v>
      </c>
      <c r="H10350" s="27">
        <v>9</v>
      </c>
      <c r="I10350">
        <v>240</v>
      </c>
      <c r="K10350" t="s">
        <v>529</v>
      </c>
      <c r="N10350" t="s">
        <v>40</v>
      </c>
      <c r="O10350">
        <v>76</v>
      </c>
      <c r="Q10350" s="21">
        <f t="shared" si="225"/>
        <v>1</v>
      </c>
      <c r="R10350" s="21">
        <v>1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1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 s="21">
        <v>0</v>
      </c>
      <c r="AG10350" s="21">
        <v>0</v>
      </c>
      <c r="AH10350" s="21">
        <f t="shared" si="224"/>
        <v>0</v>
      </c>
      <c r="AJ10350" t="s">
        <v>51</v>
      </c>
      <c r="AK10350" t="s">
        <v>95</v>
      </c>
      <c r="AL10350" t="s">
        <v>8323</v>
      </c>
      <c r="AM10350" t="s">
        <v>8324</v>
      </c>
      <c r="AN10350">
        <v>-122.40863409333301</v>
      </c>
      <c r="AO10350">
        <v>37.777279866670497</v>
      </c>
      <c r="AP10350" s="21" t="s">
        <v>116</v>
      </c>
    </row>
    <row r="10351" spans="1:42">
      <c r="A10351" s="1">
        <v>43900</v>
      </c>
      <c r="B10351">
        <v>2</v>
      </c>
      <c r="C10351" s="21">
        <v>571</v>
      </c>
      <c r="D10351">
        <v>11443</v>
      </c>
      <c r="E10351" t="s">
        <v>377</v>
      </c>
      <c r="F10351" s="21" t="s">
        <v>436</v>
      </c>
      <c r="G10351" s="21">
        <v>4</v>
      </c>
      <c r="H10351" s="27">
        <v>10</v>
      </c>
      <c r="I10351">
        <v>227</v>
      </c>
      <c r="K10351" t="s">
        <v>529</v>
      </c>
      <c r="N10351" t="s">
        <v>44</v>
      </c>
      <c r="O10351">
        <v>241</v>
      </c>
      <c r="Q10351" s="21">
        <f t="shared" si="225"/>
        <v>1</v>
      </c>
      <c r="R10351" s="21">
        <v>1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1</v>
      </c>
      <c r="AB10351">
        <v>0</v>
      </c>
      <c r="AC10351">
        <v>0</v>
      </c>
      <c r="AD10351">
        <v>0</v>
      </c>
      <c r="AE10351">
        <v>0</v>
      </c>
      <c r="AF10351" s="21">
        <v>0</v>
      </c>
      <c r="AG10351" s="21">
        <v>0</v>
      </c>
      <c r="AH10351" s="21">
        <f t="shared" si="224"/>
        <v>0</v>
      </c>
      <c r="AJ10351" t="s">
        <v>51</v>
      </c>
      <c r="AK10351" t="s">
        <v>52</v>
      </c>
      <c r="AL10351" t="s">
        <v>8325</v>
      </c>
      <c r="AM10351" t="s">
        <v>8326</v>
      </c>
      <c r="AN10351">
        <v>-122.408548646667</v>
      </c>
      <c r="AO10351">
        <v>37.777364006666801</v>
      </c>
      <c r="AP10351" s="21" t="s">
        <v>116</v>
      </c>
    </row>
    <row r="10352" spans="1:42">
      <c r="A10352" s="1">
        <v>43900</v>
      </c>
      <c r="B10352">
        <v>2</v>
      </c>
      <c r="C10352" s="21">
        <v>571</v>
      </c>
      <c r="D10352">
        <v>11443</v>
      </c>
      <c r="E10352" t="s">
        <v>377</v>
      </c>
      <c r="F10352" s="21" t="s">
        <v>436</v>
      </c>
      <c r="G10352" s="21">
        <v>4</v>
      </c>
      <c r="H10352" s="27">
        <v>11</v>
      </c>
      <c r="I10352">
        <v>1097</v>
      </c>
      <c r="K10352" t="s">
        <v>391</v>
      </c>
      <c r="N10352" t="s">
        <v>1703</v>
      </c>
      <c r="O10352">
        <v>62</v>
      </c>
      <c r="Q10352" s="21">
        <f t="shared" si="225"/>
        <v>1</v>
      </c>
      <c r="R10352" s="21">
        <v>1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1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 s="21">
        <v>0</v>
      </c>
      <c r="AG10352" s="21">
        <v>0</v>
      </c>
      <c r="AH10352" s="21">
        <f t="shared" si="224"/>
        <v>0</v>
      </c>
      <c r="AJ10352" t="s">
        <v>51</v>
      </c>
      <c r="AK10352" t="s">
        <v>95</v>
      </c>
      <c r="AL10352" t="s">
        <v>8327</v>
      </c>
      <c r="AM10352" t="s">
        <v>8328</v>
      </c>
      <c r="AN10352">
        <v>-122.40914074666701</v>
      </c>
      <c r="AO10352">
        <v>37.777867479999998</v>
      </c>
      <c r="AP10352" s="21" t="s">
        <v>116</v>
      </c>
    </row>
    <row r="10353" spans="1:42">
      <c r="A10353" s="1">
        <v>43900</v>
      </c>
      <c r="B10353">
        <v>2</v>
      </c>
      <c r="C10353" s="21">
        <v>571</v>
      </c>
      <c r="D10353">
        <v>11443</v>
      </c>
      <c r="E10353" t="s">
        <v>377</v>
      </c>
      <c r="F10353" s="21" t="s">
        <v>436</v>
      </c>
      <c r="G10353" s="21">
        <v>4</v>
      </c>
      <c r="H10353" s="27">
        <v>12</v>
      </c>
      <c r="I10353">
        <v>1001</v>
      </c>
      <c r="K10353" t="s">
        <v>391</v>
      </c>
      <c r="N10353" t="s">
        <v>44</v>
      </c>
      <c r="O10353">
        <v>128</v>
      </c>
      <c r="Q10353" s="21">
        <f t="shared" si="225"/>
        <v>1</v>
      </c>
      <c r="R10353" s="21">
        <v>1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1</v>
      </c>
      <c r="AB10353">
        <v>0</v>
      </c>
      <c r="AC10353">
        <v>0</v>
      </c>
      <c r="AD10353">
        <v>0</v>
      </c>
      <c r="AE10353">
        <v>0</v>
      </c>
      <c r="AF10353" s="21">
        <v>0</v>
      </c>
      <c r="AG10353" s="21">
        <v>0</v>
      </c>
      <c r="AH10353" s="21">
        <f t="shared" si="224"/>
        <v>0</v>
      </c>
      <c r="AJ10353" t="s">
        <v>51</v>
      </c>
      <c r="AK10353" t="s">
        <v>52</v>
      </c>
      <c r="AL10353" t="s">
        <v>8329</v>
      </c>
      <c r="AM10353" t="s">
        <v>8330</v>
      </c>
      <c r="AN10353">
        <v>-122.409631593333</v>
      </c>
      <c r="AO10353">
        <v>37.777731853333499</v>
      </c>
      <c r="AP10353" s="21" t="s">
        <v>116</v>
      </c>
    </row>
    <row r="10354" spans="1:42">
      <c r="A10354" s="1">
        <v>43900</v>
      </c>
      <c r="B10354">
        <v>2</v>
      </c>
      <c r="C10354" s="21">
        <v>571</v>
      </c>
      <c r="D10354">
        <v>11443</v>
      </c>
      <c r="E10354" t="s">
        <v>377</v>
      </c>
      <c r="F10354" s="21" t="s">
        <v>436</v>
      </c>
      <c r="G10354" s="21">
        <v>4</v>
      </c>
      <c r="H10354" s="27">
        <v>13</v>
      </c>
      <c r="I10354">
        <v>1028</v>
      </c>
      <c r="K10354" t="s">
        <v>391</v>
      </c>
      <c r="N10354" t="s">
        <v>44</v>
      </c>
      <c r="O10354">
        <v>97</v>
      </c>
      <c r="Q10354" s="21">
        <f t="shared" si="225"/>
        <v>1</v>
      </c>
      <c r="R10354" s="21">
        <v>1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1</v>
      </c>
      <c r="AB10354">
        <v>0</v>
      </c>
      <c r="AC10354">
        <v>0</v>
      </c>
      <c r="AD10354">
        <v>0</v>
      </c>
      <c r="AE10354">
        <v>0</v>
      </c>
      <c r="AF10354" s="21">
        <v>0</v>
      </c>
      <c r="AG10354" s="21">
        <v>0</v>
      </c>
      <c r="AH10354" s="21">
        <f t="shared" si="224"/>
        <v>0</v>
      </c>
      <c r="AJ10354" t="s">
        <v>51</v>
      </c>
      <c r="AK10354" t="s">
        <v>52</v>
      </c>
      <c r="AL10354" t="s">
        <v>8331</v>
      </c>
      <c r="AM10354" t="s">
        <v>8332</v>
      </c>
      <c r="AN10354">
        <v>-122.40806990999999</v>
      </c>
      <c r="AO10354">
        <v>37.779560810001598</v>
      </c>
      <c r="AP10354" s="21" t="s">
        <v>116</v>
      </c>
    </row>
    <row r="10355" spans="1:42">
      <c r="A10355" s="1">
        <v>43900</v>
      </c>
      <c r="B10355">
        <v>2</v>
      </c>
      <c r="C10355" s="21">
        <v>571</v>
      </c>
      <c r="D10355">
        <v>11443</v>
      </c>
      <c r="E10355" t="s">
        <v>377</v>
      </c>
      <c r="F10355" s="21" t="s">
        <v>436</v>
      </c>
      <c r="G10355" s="21">
        <v>4</v>
      </c>
      <c r="H10355" s="27">
        <v>14</v>
      </c>
      <c r="I10355">
        <v>1061</v>
      </c>
      <c r="K10355" t="s">
        <v>4252</v>
      </c>
      <c r="N10355" t="s">
        <v>1703</v>
      </c>
      <c r="O10355">
        <v>106</v>
      </c>
      <c r="Q10355" s="21">
        <f t="shared" si="225"/>
        <v>1</v>
      </c>
      <c r="R10355" s="21">
        <v>1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1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 s="21">
        <v>0</v>
      </c>
      <c r="AG10355" s="21">
        <v>0</v>
      </c>
      <c r="AH10355" s="21">
        <f t="shared" si="224"/>
        <v>0</v>
      </c>
      <c r="AJ10355" t="s">
        <v>51</v>
      </c>
      <c r="AK10355" t="s">
        <v>95</v>
      </c>
      <c r="AL10355" t="s">
        <v>8333</v>
      </c>
      <c r="AM10355" t="s">
        <v>8334</v>
      </c>
      <c r="AN10355">
        <v>-122.40865685999999</v>
      </c>
      <c r="AO10355">
        <v>37.778540856666702</v>
      </c>
      <c r="AP10355" s="21" t="s">
        <v>116</v>
      </c>
    </row>
    <row r="10356" spans="1:42">
      <c r="A10356" s="1">
        <v>43900</v>
      </c>
      <c r="B10356">
        <v>2</v>
      </c>
      <c r="C10356" s="21">
        <v>571</v>
      </c>
      <c r="D10356">
        <v>11443</v>
      </c>
      <c r="E10356" t="s">
        <v>377</v>
      </c>
      <c r="F10356" s="21" t="s">
        <v>436</v>
      </c>
      <c r="G10356" s="21">
        <v>4</v>
      </c>
      <c r="H10356" s="27">
        <v>15</v>
      </c>
      <c r="I10356">
        <v>38</v>
      </c>
      <c r="K10356" t="s">
        <v>8335</v>
      </c>
      <c r="N10356" t="s">
        <v>44</v>
      </c>
      <c r="O10356">
        <v>188</v>
      </c>
      <c r="Q10356" s="21">
        <f t="shared" si="225"/>
        <v>1</v>
      </c>
      <c r="R10356" s="21">
        <v>1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1</v>
      </c>
      <c r="AB10356">
        <v>0</v>
      </c>
      <c r="AC10356">
        <v>0</v>
      </c>
      <c r="AD10356">
        <v>0</v>
      </c>
      <c r="AE10356">
        <v>0</v>
      </c>
      <c r="AF10356" s="21">
        <v>0</v>
      </c>
      <c r="AG10356" s="21">
        <v>0</v>
      </c>
      <c r="AH10356" s="21">
        <f t="shared" si="224"/>
        <v>0</v>
      </c>
      <c r="AJ10356" t="s">
        <v>51</v>
      </c>
      <c r="AK10356" t="s">
        <v>52</v>
      </c>
      <c r="AL10356" t="s">
        <v>8336</v>
      </c>
      <c r="AM10356" t="s">
        <v>8337</v>
      </c>
      <c r="AN10356">
        <v>-122.40812951333299</v>
      </c>
      <c r="AO10356">
        <v>37.777793906668002</v>
      </c>
      <c r="AP10356" s="21" t="s">
        <v>116</v>
      </c>
    </row>
    <row r="10357" spans="1:42">
      <c r="A10357" s="1">
        <v>43900</v>
      </c>
      <c r="B10357">
        <v>2</v>
      </c>
      <c r="C10357" s="21">
        <v>571</v>
      </c>
      <c r="D10357">
        <v>11443</v>
      </c>
      <c r="E10357" t="s">
        <v>377</v>
      </c>
      <c r="F10357" s="21" t="s">
        <v>436</v>
      </c>
      <c r="G10357" s="21">
        <v>4</v>
      </c>
      <c r="H10357" s="27">
        <v>16</v>
      </c>
      <c r="I10357">
        <v>1155</v>
      </c>
      <c r="K10357" t="s">
        <v>73</v>
      </c>
      <c r="N10357" t="s">
        <v>1703</v>
      </c>
      <c r="O10357">
        <v>83</v>
      </c>
      <c r="Q10357" s="21">
        <f t="shared" si="225"/>
        <v>1</v>
      </c>
      <c r="R10357" s="21">
        <v>1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1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 s="21">
        <v>0</v>
      </c>
      <c r="AG10357" s="21">
        <v>0</v>
      </c>
      <c r="AH10357" s="21">
        <f t="shared" ref="AH10357:AH10420" si="226">(S10357*16)+(T10357*20)+(U10357*32)+(V10357*64)+(W10357*96)</f>
        <v>0</v>
      </c>
      <c r="AJ10357" t="s">
        <v>51</v>
      </c>
      <c r="AK10357" t="s">
        <v>52</v>
      </c>
      <c r="AL10357" t="s">
        <v>8338</v>
      </c>
      <c r="AM10357" t="s">
        <v>8339</v>
      </c>
      <c r="AN10357">
        <v>-122.412725826667</v>
      </c>
      <c r="AO10357">
        <v>37.779107653333703</v>
      </c>
      <c r="AP10357" s="21" t="s">
        <v>116</v>
      </c>
    </row>
    <row r="10358" spans="1:42">
      <c r="A10358" s="1">
        <v>43900</v>
      </c>
      <c r="B10358">
        <v>2</v>
      </c>
      <c r="C10358" s="21">
        <v>571</v>
      </c>
      <c r="D10358">
        <v>11443</v>
      </c>
      <c r="E10358" t="s">
        <v>377</v>
      </c>
      <c r="F10358" s="21" t="s">
        <v>436</v>
      </c>
      <c r="G10358" s="21">
        <v>4</v>
      </c>
      <c r="H10358" s="27">
        <v>17</v>
      </c>
      <c r="I10358">
        <v>457</v>
      </c>
      <c r="K10358" t="s">
        <v>501</v>
      </c>
      <c r="N10358" t="s">
        <v>40</v>
      </c>
      <c r="O10358">
        <v>117</v>
      </c>
      <c r="Q10358" s="21">
        <f t="shared" si="225"/>
        <v>1</v>
      </c>
      <c r="R10358" s="21">
        <v>1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1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 s="21">
        <v>0</v>
      </c>
      <c r="AG10358" s="21">
        <v>0</v>
      </c>
      <c r="AH10358" s="21">
        <f t="shared" si="226"/>
        <v>0</v>
      </c>
      <c r="AJ10358" t="s">
        <v>51</v>
      </c>
      <c r="AK10358" t="s">
        <v>52</v>
      </c>
      <c r="AL10358" t="s">
        <v>8340</v>
      </c>
      <c r="AM10358" t="s">
        <v>8341</v>
      </c>
      <c r="AN10358">
        <v>-122.408372643333</v>
      </c>
      <c r="AO10358">
        <v>37.782171026667399</v>
      </c>
      <c r="AP10358" s="21" t="s">
        <v>116</v>
      </c>
    </row>
    <row r="10359" spans="1:42">
      <c r="A10359" s="1">
        <v>43900</v>
      </c>
      <c r="B10359">
        <v>2</v>
      </c>
      <c r="C10359" s="21">
        <v>571</v>
      </c>
      <c r="D10359">
        <v>11443</v>
      </c>
      <c r="E10359" t="s">
        <v>377</v>
      </c>
      <c r="F10359" s="21" t="s">
        <v>436</v>
      </c>
      <c r="G10359" s="21">
        <v>4</v>
      </c>
      <c r="H10359" s="27">
        <v>18</v>
      </c>
      <c r="I10359">
        <v>1036</v>
      </c>
      <c r="K10359" t="s">
        <v>394</v>
      </c>
      <c r="N10359" t="s">
        <v>40</v>
      </c>
      <c r="O10359">
        <v>159</v>
      </c>
      <c r="Q10359" s="21">
        <f t="shared" si="225"/>
        <v>1</v>
      </c>
      <c r="R10359" s="21">
        <v>1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1</v>
      </c>
      <c r="AB10359">
        <v>0</v>
      </c>
      <c r="AC10359">
        <v>0</v>
      </c>
      <c r="AD10359">
        <v>0</v>
      </c>
      <c r="AE10359">
        <v>0</v>
      </c>
      <c r="AF10359" s="21">
        <v>0</v>
      </c>
      <c r="AG10359" s="21">
        <v>0</v>
      </c>
      <c r="AH10359" s="21">
        <f t="shared" si="226"/>
        <v>0</v>
      </c>
      <c r="AJ10359" t="s">
        <v>51</v>
      </c>
      <c r="AK10359" t="s">
        <v>95</v>
      </c>
      <c r="AL10359" t="s">
        <v>8342</v>
      </c>
      <c r="AM10359" t="s">
        <v>8343</v>
      </c>
      <c r="AN10359">
        <v>-122.40951878</v>
      </c>
      <c r="AO10359">
        <v>37.780387566667102</v>
      </c>
      <c r="AP10359" s="21" t="s">
        <v>116</v>
      </c>
    </row>
    <row r="10360" spans="1:42">
      <c r="A10360" s="1">
        <v>43900</v>
      </c>
      <c r="B10360">
        <v>2</v>
      </c>
      <c r="C10360" s="21">
        <v>571</v>
      </c>
      <c r="D10360">
        <v>11443</v>
      </c>
      <c r="E10360" t="s">
        <v>377</v>
      </c>
      <c r="F10360" s="21" t="s">
        <v>436</v>
      </c>
      <c r="G10360" s="21">
        <v>4</v>
      </c>
      <c r="H10360" s="27">
        <v>19</v>
      </c>
      <c r="I10360">
        <v>111</v>
      </c>
      <c r="K10360" t="s">
        <v>101</v>
      </c>
      <c r="N10360" t="s">
        <v>40</v>
      </c>
      <c r="O10360">
        <v>81</v>
      </c>
      <c r="Q10360" s="21">
        <f t="shared" si="225"/>
        <v>1</v>
      </c>
      <c r="R10360" s="21">
        <v>1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1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 s="21">
        <v>0</v>
      </c>
      <c r="AG10360" s="21">
        <v>0</v>
      </c>
      <c r="AH10360" s="21">
        <f t="shared" si="226"/>
        <v>0</v>
      </c>
      <c r="AJ10360" t="s">
        <v>51</v>
      </c>
      <c r="AK10360" t="s">
        <v>52</v>
      </c>
      <c r="AL10360" t="s">
        <v>8344</v>
      </c>
      <c r="AM10360" t="s">
        <v>8345</v>
      </c>
      <c r="AN10360">
        <v>-122.41047911714</v>
      </c>
      <c r="AO10360">
        <v>37.781815489361499</v>
      </c>
      <c r="AP10360" s="21" t="s">
        <v>116</v>
      </c>
    </row>
    <row r="10361" spans="1:42">
      <c r="A10361" s="1">
        <v>43900</v>
      </c>
      <c r="B10361">
        <v>2</v>
      </c>
      <c r="C10361" s="21">
        <v>571</v>
      </c>
      <c r="D10361">
        <v>11443</v>
      </c>
      <c r="E10361" t="s">
        <v>377</v>
      </c>
      <c r="F10361" s="21" t="s">
        <v>436</v>
      </c>
      <c r="G10361" s="21">
        <v>4</v>
      </c>
      <c r="H10361" s="27">
        <v>20</v>
      </c>
      <c r="I10361">
        <v>350</v>
      </c>
      <c r="K10361" t="s">
        <v>100</v>
      </c>
      <c r="N10361" t="s">
        <v>40</v>
      </c>
      <c r="O10361">
        <v>91</v>
      </c>
      <c r="Q10361" s="21">
        <f t="shared" si="225"/>
        <v>1</v>
      </c>
      <c r="R10361" s="21">
        <v>1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1</v>
      </c>
      <c r="AB10361">
        <v>0</v>
      </c>
      <c r="AC10361">
        <v>0</v>
      </c>
      <c r="AD10361">
        <v>0</v>
      </c>
      <c r="AE10361">
        <v>0</v>
      </c>
      <c r="AF10361" s="21">
        <v>0</v>
      </c>
      <c r="AG10361" s="21">
        <v>0</v>
      </c>
      <c r="AH10361" s="21">
        <f t="shared" si="226"/>
        <v>0</v>
      </c>
      <c r="AJ10361" t="s">
        <v>51</v>
      </c>
      <c r="AK10361" t="s">
        <v>52</v>
      </c>
      <c r="AL10361" t="s">
        <v>8346</v>
      </c>
      <c r="AM10361" t="s">
        <v>8347</v>
      </c>
      <c r="AN10361">
        <v>-122.411774682131</v>
      </c>
      <c r="AO10361">
        <v>37.7834376813204</v>
      </c>
      <c r="AP10361" s="21" t="s">
        <v>116</v>
      </c>
    </row>
    <row r="10362" spans="1:42">
      <c r="A10362" s="1">
        <v>43900</v>
      </c>
      <c r="B10362">
        <v>2</v>
      </c>
      <c r="C10362" s="21">
        <v>571</v>
      </c>
      <c r="D10362">
        <v>11443</v>
      </c>
      <c r="E10362" t="s">
        <v>377</v>
      </c>
      <c r="F10362" s="21" t="s">
        <v>436</v>
      </c>
      <c r="G10362" s="21">
        <v>4</v>
      </c>
      <c r="H10362" s="27">
        <v>21</v>
      </c>
      <c r="I10362">
        <v>333</v>
      </c>
      <c r="K10362" t="s">
        <v>101</v>
      </c>
      <c r="N10362" t="s">
        <v>40</v>
      </c>
      <c r="O10362">
        <v>71</v>
      </c>
      <c r="Q10362" s="21">
        <f t="shared" si="225"/>
        <v>1</v>
      </c>
      <c r="R10362" s="21">
        <v>1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1</v>
      </c>
      <c r="AC10362">
        <v>0</v>
      </c>
      <c r="AD10362">
        <v>0</v>
      </c>
      <c r="AE10362">
        <v>0</v>
      </c>
      <c r="AF10362" s="21">
        <v>0</v>
      </c>
      <c r="AG10362" s="21">
        <v>0</v>
      </c>
      <c r="AH10362" s="21">
        <f t="shared" si="226"/>
        <v>0</v>
      </c>
      <c r="AJ10362" t="s">
        <v>51</v>
      </c>
      <c r="AK10362" t="s">
        <v>95</v>
      </c>
      <c r="AM10362" t="s">
        <v>8348</v>
      </c>
      <c r="AN10362">
        <v>-122.411001656667</v>
      </c>
      <c r="AO10362">
        <v>37.785286688997203</v>
      </c>
      <c r="AP10362" s="21" t="s">
        <v>116</v>
      </c>
    </row>
    <row r="10363" spans="1:42">
      <c r="A10363" s="1">
        <v>43900</v>
      </c>
      <c r="B10363">
        <v>2</v>
      </c>
      <c r="C10363" s="21">
        <v>571</v>
      </c>
      <c r="D10363">
        <v>11443</v>
      </c>
      <c r="E10363" t="s">
        <v>377</v>
      </c>
      <c r="F10363" s="21" t="s">
        <v>436</v>
      </c>
      <c r="G10363" s="21">
        <v>4</v>
      </c>
      <c r="H10363" s="27">
        <v>22</v>
      </c>
      <c r="I10363">
        <v>325</v>
      </c>
      <c r="K10363" t="s">
        <v>6992</v>
      </c>
      <c r="N10363" t="s">
        <v>40</v>
      </c>
      <c r="O10363">
        <v>111</v>
      </c>
      <c r="Q10363" s="21">
        <f t="shared" si="225"/>
        <v>2</v>
      </c>
      <c r="R10363" s="21">
        <v>1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2</v>
      </c>
      <c r="AB10363">
        <v>0</v>
      </c>
      <c r="AC10363">
        <v>0</v>
      </c>
      <c r="AD10363">
        <v>0</v>
      </c>
      <c r="AE10363">
        <v>0</v>
      </c>
      <c r="AF10363" s="21">
        <v>0</v>
      </c>
      <c r="AG10363" s="21">
        <v>0</v>
      </c>
      <c r="AH10363" s="21">
        <f t="shared" si="226"/>
        <v>0</v>
      </c>
      <c r="AJ10363" t="s">
        <v>51</v>
      </c>
      <c r="AK10363" t="s">
        <v>95</v>
      </c>
      <c r="AL10363" t="s">
        <v>8349</v>
      </c>
      <c r="AM10363" t="s">
        <v>8350</v>
      </c>
      <c r="AN10363">
        <v>-122.40995368999999</v>
      </c>
      <c r="AO10363">
        <v>37.786317313334699</v>
      </c>
      <c r="AP10363" s="21" t="s">
        <v>116</v>
      </c>
    </row>
    <row r="10364" spans="1:42">
      <c r="A10364" s="1">
        <v>43900</v>
      </c>
      <c r="B10364">
        <v>2</v>
      </c>
      <c r="C10364" s="21">
        <v>571</v>
      </c>
      <c r="D10364">
        <v>11443</v>
      </c>
      <c r="E10364" t="s">
        <v>377</v>
      </c>
      <c r="F10364" s="21" t="s">
        <v>436</v>
      </c>
      <c r="G10364" s="21">
        <v>4</v>
      </c>
      <c r="H10364" s="27">
        <v>23</v>
      </c>
      <c r="I10364">
        <v>71</v>
      </c>
      <c r="K10364" t="s">
        <v>100</v>
      </c>
      <c r="N10364" t="s">
        <v>40</v>
      </c>
      <c r="O10364">
        <v>158</v>
      </c>
      <c r="Q10364" s="21">
        <f t="shared" si="225"/>
        <v>1</v>
      </c>
      <c r="R10364" s="21">
        <v>1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1</v>
      </c>
      <c r="AD10364">
        <v>0</v>
      </c>
      <c r="AE10364">
        <v>0</v>
      </c>
      <c r="AF10364" s="21">
        <v>0</v>
      </c>
      <c r="AG10364" s="21">
        <v>0</v>
      </c>
      <c r="AH10364" s="21">
        <f t="shared" si="226"/>
        <v>0</v>
      </c>
      <c r="AJ10364" t="s">
        <v>51</v>
      </c>
      <c r="AK10364" t="s">
        <v>95</v>
      </c>
      <c r="AL10364" t="s">
        <v>8351</v>
      </c>
      <c r="AM10364" t="s">
        <v>8352</v>
      </c>
      <c r="AN10364">
        <v>-122.40744834</v>
      </c>
      <c r="AO10364">
        <v>37.785541500011597</v>
      </c>
      <c r="AP10364" s="21" t="s">
        <v>116</v>
      </c>
    </row>
    <row r="10365" spans="1:42">
      <c r="A10365" s="1">
        <v>43900</v>
      </c>
      <c r="B10365">
        <v>2</v>
      </c>
      <c r="C10365" s="21">
        <v>571</v>
      </c>
      <c r="D10365">
        <v>11443</v>
      </c>
      <c r="E10365" t="s">
        <v>377</v>
      </c>
      <c r="F10365" s="21" t="s">
        <v>436</v>
      </c>
      <c r="G10365" s="21">
        <v>4</v>
      </c>
      <c r="H10365" s="27">
        <v>24</v>
      </c>
      <c r="I10365">
        <v>345</v>
      </c>
      <c r="K10365" t="s">
        <v>50</v>
      </c>
      <c r="N10365" t="s">
        <v>44</v>
      </c>
      <c r="O10365">
        <v>205</v>
      </c>
      <c r="Q10365" s="21">
        <f t="shared" si="225"/>
        <v>2</v>
      </c>
      <c r="R10365" s="21">
        <v>1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2</v>
      </c>
      <c r="AB10365">
        <v>0</v>
      </c>
      <c r="AC10365">
        <v>0</v>
      </c>
      <c r="AD10365">
        <v>0</v>
      </c>
      <c r="AE10365">
        <v>0</v>
      </c>
      <c r="AF10365" s="21">
        <v>0</v>
      </c>
      <c r="AG10365" s="21">
        <v>0</v>
      </c>
      <c r="AH10365" s="21">
        <f t="shared" si="226"/>
        <v>0</v>
      </c>
      <c r="AJ10365" t="s">
        <v>51</v>
      </c>
      <c r="AK10365" t="s">
        <v>52</v>
      </c>
      <c r="AL10365" t="s">
        <v>8353</v>
      </c>
      <c r="AM10365" t="s">
        <v>8354</v>
      </c>
      <c r="AN10365">
        <v>-122.410499512326</v>
      </c>
      <c r="AO10365">
        <v>37.7892991127759</v>
      </c>
      <c r="AP10365" s="21" t="s">
        <v>116</v>
      </c>
    </row>
    <row r="10366" spans="1:42">
      <c r="A10366" s="1">
        <v>43900</v>
      </c>
      <c r="B10366">
        <v>2</v>
      </c>
      <c r="C10366" s="21">
        <v>571</v>
      </c>
      <c r="D10366">
        <v>11443</v>
      </c>
      <c r="E10366" t="s">
        <v>377</v>
      </c>
      <c r="F10366" s="21" t="s">
        <v>436</v>
      </c>
      <c r="G10366" s="21">
        <v>4</v>
      </c>
      <c r="H10366" s="27">
        <v>25</v>
      </c>
      <c r="I10366">
        <v>333</v>
      </c>
      <c r="K10366" t="s">
        <v>53</v>
      </c>
      <c r="N10366" t="s">
        <v>40</v>
      </c>
      <c r="O10366">
        <v>110</v>
      </c>
      <c r="Q10366" s="21">
        <f t="shared" si="225"/>
        <v>2</v>
      </c>
      <c r="R10366" s="21">
        <v>1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2</v>
      </c>
      <c r="AC10366">
        <v>0</v>
      </c>
      <c r="AD10366">
        <v>0</v>
      </c>
      <c r="AE10366">
        <v>0</v>
      </c>
      <c r="AF10366" s="21">
        <v>0</v>
      </c>
      <c r="AG10366" s="21">
        <v>0</v>
      </c>
      <c r="AH10366" s="21">
        <f t="shared" si="226"/>
        <v>0</v>
      </c>
      <c r="AJ10366" t="s">
        <v>51</v>
      </c>
      <c r="AK10366" t="s">
        <v>95</v>
      </c>
      <c r="AL10366" t="s">
        <v>8355</v>
      </c>
      <c r="AM10366" t="s">
        <v>8356</v>
      </c>
      <c r="AN10366">
        <v>-122.40770737666701</v>
      </c>
      <c r="AO10366">
        <v>37.787586720003397</v>
      </c>
      <c r="AP10366" s="21" t="s">
        <v>116</v>
      </c>
    </row>
    <row r="10367" spans="1:42">
      <c r="A10367" s="1">
        <v>43900</v>
      </c>
      <c r="B10367">
        <v>2</v>
      </c>
      <c r="C10367" s="21">
        <v>571</v>
      </c>
      <c r="D10367">
        <v>11443</v>
      </c>
      <c r="E10367" t="s">
        <v>377</v>
      </c>
      <c r="F10367" s="21" t="s">
        <v>436</v>
      </c>
      <c r="G10367" s="21">
        <v>4</v>
      </c>
      <c r="H10367" s="27">
        <v>26</v>
      </c>
      <c r="I10367">
        <v>55</v>
      </c>
      <c r="K10367" t="s">
        <v>8357</v>
      </c>
      <c r="N10367" t="s">
        <v>44</v>
      </c>
      <c r="O10367">
        <v>360</v>
      </c>
      <c r="Q10367" s="21">
        <f t="shared" si="225"/>
        <v>2</v>
      </c>
      <c r="R10367" s="21">
        <v>1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1</v>
      </c>
      <c r="AB10367">
        <v>1</v>
      </c>
      <c r="AC10367">
        <v>0</v>
      </c>
      <c r="AD10367">
        <v>0</v>
      </c>
      <c r="AE10367">
        <v>0</v>
      </c>
      <c r="AF10367" s="21">
        <v>0</v>
      </c>
      <c r="AG10367" s="21">
        <v>0</v>
      </c>
      <c r="AH10367" s="21">
        <f t="shared" si="226"/>
        <v>0</v>
      </c>
      <c r="AJ10367" t="s">
        <v>51</v>
      </c>
      <c r="AK10367" t="s">
        <v>52</v>
      </c>
      <c r="AL10367" t="s">
        <v>8358</v>
      </c>
      <c r="AM10367" t="s">
        <v>8359</v>
      </c>
      <c r="AN10367">
        <v>-122.409160553333</v>
      </c>
      <c r="AO10367">
        <v>37.784779206666698</v>
      </c>
      <c r="AP10367" s="21" t="s">
        <v>116</v>
      </c>
    </row>
    <row r="10368" spans="1:42">
      <c r="A10368" s="1">
        <v>43900</v>
      </c>
      <c r="B10368">
        <v>2</v>
      </c>
      <c r="C10368" s="21">
        <v>571</v>
      </c>
      <c r="D10368">
        <v>11443</v>
      </c>
      <c r="E10368" t="s">
        <v>377</v>
      </c>
      <c r="F10368" s="21" t="s">
        <v>436</v>
      </c>
      <c r="G10368" s="21">
        <v>4</v>
      </c>
      <c r="H10368" s="27">
        <v>27</v>
      </c>
      <c r="I10368">
        <v>240</v>
      </c>
      <c r="K10368" t="s">
        <v>103</v>
      </c>
      <c r="N10368" t="s">
        <v>40</v>
      </c>
      <c r="O10368">
        <v>251</v>
      </c>
      <c r="Q10368" s="21">
        <f t="shared" si="225"/>
        <v>2</v>
      </c>
      <c r="R10368" s="21">
        <v>1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2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 s="21">
        <v>0</v>
      </c>
      <c r="AG10368" s="21">
        <v>0</v>
      </c>
      <c r="AH10368" s="21">
        <f t="shared" si="226"/>
        <v>0</v>
      </c>
      <c r="AJ10368" t="s">
        <v>51</v>
      </c>
      <c r="AK10368" t="s">
        <v>52</v>
      </c>
      <c r="AL10368" t="s">
        <v>8325</v>
      </c>
      <c r="AM10368" t="s">
        <v>8360</v>
      </c>
      <c r="AN10368">
        <v>-122.412523393333</v>
      </c>
      <c r="AO10368">
        <v>37.783606286667201</v>
      </c>
      <c r="AP10368" s="21" t="s">
        <v>116</v>
      </c>
    </row>
    <row r="10369" spans="1:42">
      <c r="A10369" s="1">
        <v>43900</v>
      </c>
      <c r="B10369">
        <v>2</v>
      </c>
      <c r="C10369" s="21">
        <v>571</v>
      </c>
      <c r="D10369">
        <v>11443</v>
      </c>
      <c r="E10369" t="s">
        <v>377</v>
      </c>
      <c r="F10369" s="21" t="s">
        <v>436</v>
      </c>
      <c r="G10369" s="21">
        <v>4</v>
      </c>
      <c r="H10369" s="27">
        <v>28</v>
      </c>
      <c r="I10369">
        <v>180</v>
      </c>
      <c r="K10369" t="s">
        <v>96</v>
      </c>
      <c r="N10369" t="s">
        <v>1703</v>
      </c>
      <c r="O10369">
        <v>85</v>
      </c>
      <c r="Q10369" s="21">
        <f t="shared" si="225"/>
        <v>1</v>
      </c>
      <c r="R10369" s="21">
        <v>1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1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 s="21">
        <v>0</v>
      </c>
      <c r="AG10369" s="21">
        <v>0</v>
      </c>
      <c r="AH10369" s="21">
        <f t="shared" si="226"/>
        <v>0</v>
      </c>
      <c r="AJ10369" t="s">
        <v>51</v>
      </c>
      <c r="AK10369" t="s">
        <v>95</v>
      </c>
      <c r="AM10369" t="s">
        <v>8361</v>
      </c>
      <c r="AN10369">
        <v>-122.411988876552</v>
      </c>
      <c r="AO10369">
        <v>37.781596097007302</v>
      </c>
      <c r="AP10369" s="21" t="s">
        <v>116</v>
      </c>
    </row>
    <row r="10370" spans="1:42">
      <c r="A10370" s="1">
        <v>43900</v>
      </c>
      <c r="B10370">
        <v>2</v>
      </c>
      <c r="C10370" s="21">
        <v>571</v>
      </c>
      <c r="D10370">
        <v>11443</v>
      </c>
      <c r="E10370" t="s">
        <v>377</v>
      </c>
      <c r="F10370" s="21" t="s">
        <v>436</v>
      </c>
      <c r="G10370" s="21">
        <v>4</v>
      </c>
      <c r="H10370" s="27">
        <v>29</v>
      </c>
      <c r="I10370">
        <v>111</v>
      </c>
      <c r="K10370" t="s">
        <v>103</v>
      </c>
      <c r="N10370" t="s">
        <v>40</v>
      </c>
      <c r="O10370">
        <v>52</v>
      </c>
      <c r="Q10370" s="21">
        <f t="shared" si="225"/>
        <v>1</v>
      </c>
      <c r="R10370" s="21">
        <v>1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1</v>
      </c>
      <c r="AC10370">
        <v>0</v>
      </c>
      <c r="AD10370">
        <v>0</v>
      </c>
      <c r="AE10370">
        <v>0</v>
      </c>
      <c r="AF10370" s="21">
        <v>0</v>
      </c>
      <c r="AG10370" s="21">
        <v>0</v>
      </c>
      <c r="AH10370" s="21">
        <f t="shared" si="226"/>
        <v>0</v>
      </c>
      <c r="AJ10370" t="s">
        <v>51</v>
      </c>
      <c r="AK10370" t="s">
        <v>95</v>
      </c>
      <c r="AL10370" t="s">
        <v>8331</v>
      </c>
      <c r="AM10370" t="s">
        <v>8362</v>
      </c>
      <c r="AN10370">
        <v>-122.41236086000001</v>
      </c>
      <c r="AO10370">
        <v>37.782535870011401</v>
      </c>
      <c r="AP10370" s="21" t="s">
        <v>116</v>
      </c>
    </row>
    <row r="10371" spans="1:42">
      <c r="A10371" s="1">
        <v>43900</v>
      </c>
      <c r="B10371">
        <v>2</v>
      </c>
      <c r="C10371" s="21">
        <v>571</v>
      </c>
      <c r="D10371">
        <v>11443</v>
      </c>
      <c r="E10371" t="s">
        <v>377</v>
      </c>
      <c r="F10371" s="21" t="s">
        <v>436</v>
      </c>
      <c r="G10371" s="21">
        <v>4</v>
      </c>
      <c r="H10371" s="27">
        <v>30</v>
      </c>
      <c r="I10371">
        <v>44</v>
      </c>
      <c r="K10371" t="s">
        <v>8363</v>
      </c>
      <c r="N10371" t="s">
        <v>1703</v>
      </c>
      <c r="O10371">
        <v>172</v>
      </c>
      <c r="Q10371" s="21">
        <f t="shared" si="225"/>
        <v>2</v>
      </c>
      <c r="R10371" s="21">
        <v>1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2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 s="21">
        <v>0</v>
      </c>
      <c r="AG10371" s="21">
        <v>0</v>
      </c>
      <c r="AH10371" s="21">
        <f t="shared" si="226"/>
        <v>0</v>
      </c>
      <c r="AJ10371" t="s">
        <v>51</v>
      </c>
      <c r="AK10371" t="s">
        <v>95</v>
      </c>
      <c r="AL10371" t="s">
        <v>8364</v>
      </c>
      <c r="AM10371" t="s">
        <v>8365</v>
      </c>
      <c r="AN10371">
        <v>-122.412689723333</v>
      </c>
      <c r="AO10371">
        <v>37.781170146683301</v>
      </c>
      <c r="AP10371" s="21" t="s">
        <v>116</v>
      </c>
    </row>
    <row r="10372" spans="1:42">
      <c r="A10372" s="1">
        <v>43900</v>
      </c>
      <c r="B10372">
        <v>2</v>
      </c>
      <c r="C10372" s="21">
        <v>571</v>
      </c>
      <c r="D10372">
        <v>11443</v>
      </c>
      <c r="E10372" t="s">
        <v>377</v>
      </c>
      <c r="F10372" s="21" t="s">
        <v>436</v>
      </c>
      <c r="G10372" s="21">
        <v>4</v>
      </c>
      <c r="H10372" s="27">
        <v>31</v>
      </c>
      <c r="I10372">
        <v>54</v>
      </c>
      <c r="K10372" t="s">
        <v>8363</v>
      </c>
      <c r="N10372" t="s">
        <v>40</v>
      </c>
      <c r="O10372">
        <v>277</v>
      </c>
      <c r="Q10372" s="21">
        <f t="shared" si="225"/>
        <v>2</v>
      </c>
      <c r="R10372" s="21">
        <v>1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1</v>
      </c>
      <c r="Z10372">
        <v>1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 s="21">
        <v>0</v>
      </c>
      <c r="AG10372" s="21">
        <v>0</v>
      </c>
      <c r="AH10372" s="21">
        <f t="shared" si="226"/>
        <v>0</v>
      </c>
      <c r="AJ10372" t="s">
        <v>51</v>
      </c>
      <c r="AK10372" t="s">
        <v>95</v>
      </c>
      <c r="AM10372" t="s">
        <v>8366</v>
      </c>
      <c r="AN10372">
        <v>-122.413004753333</v>
      </c>
      <c r="AO10372">
        <v>37.781044570007097</v>
      </c>
      <c r="AP10372" s="21" t="s">
        <v>116</v>
      </c>
    </row>
    <row r="10373" spans="1:42">
      <c r="A10373" s="1">
        <v>43900</v>
      </c>
      <c r="B10373">
        <v>2</v>
      </c>
      <c r="C10373" s="21">
        <v>571</v>
      </c>
      <c r="D10373">
        <v>11443</v>
      </c>
      <c r="E10373" t="s">
        <v>377</v>
      </c>
      <c r="F10373" s="21" t="s">
        <v>436</v>
      </c>
      <c r="G10373" s="21">
        <v>4</v>
      </c>
      <c r="H10373" s="27">
        <v>32</v>
      </c>
      <c r="I10373">
        <v>111</v>
      </c>
      <c r="K10373" t="s">
        <v>103</v>
      </c>
      <c r="N10373" t="s">
        <v>40</v>
      </c>
      <c r="O10373">
        <v>59</v>
      </c>
      <c r="Q10373" s="21">
        <f t="shared" si="225"/>
        <v>1</v>
      </c>
      <c r="R10373" s="21">
        <v>1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1</v>
      </c>
      <c r="AC10373">
        <v>0</v>
      </c>
      <c r="AD10373">
        <v>0</v>
      </c>
      <c r="AE10373">
        <v>0</v>
      </c>
      <c r="AF10373" s="21">
        <v>0</v>
      </c>
      <c r="AG10373" s="21">
        <v>0</v>
      </c>
      <c r="AH10373" s="21">
        <f t="shared" si="226"/>
        <v>0</v>
      </c>
      <c r="AJ10373" t="s">
        <v>51</v>
      </c>
      <c r="AK10373" t="s">
        <v>95</v>
      </c>
      <c r="AL10373" t="s">
        <v>8346</v>
      </c>
      <c r="AM10373" t="s">
        <v>8367</v>
      </c>
      <c r="AN10373">
        <v>-122.412868573333</v>
      </c>
      <c r="AO10373">
        <v>37.782051443333799</v>
      </c>
      <c r="AP10373" s="21" t="s">
        <v>116</v>
      </c>
    </row>
    <row r="10374" spans="1:42">
      <c r="A10374" s="1">
        <v>43900</v>
      </c>
      <c r="B10374">
        <v>2</v>
      </c>
      <c r="C10374" s="21">
        <v>571</v>
      </c>
      <c r="D10374">
        <v>11443</v>
      </c>
      <c r="E10374" t="s">
        <v>377</v>
      </c>
      <c r="F10374" s="21" t="s">
        <v>436</v>
      </c>
      <c r="G10374" s="21">
        <v>4</v>
      </c>
      <c r="H10374" s="27">
        <v>33</v>
      </c>
      <c r="I10374">
        <v>1180</v>
      </c>
      <c r="K10374" t="s">
        <v>391</v>
      </c>
      <c r="N10374" t="s">
        <v>40</v>
      </c>
      <c r="O10374">
        <v>161</v>
      </c>
      <c r="Q10374" s="21">
        <f t="shared" si="225"/>
        <v>1</v>
      </c>
      <c r="R10374" s="21">
        <v>1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1</v>
      </c>
      <c r="AB10374">
        <v>0</v>
      </c>
      <c r="AC10374">
        <v>0</v>
      </c>
      <c r="AD10374">
        <v>0</v>
      </c>
      <c r="AE10374">
        <v>0</v>
      </c>
      <c r="AF10374" s="21">
        <v>0</v>
      </c>
      <c r="AG10374" s="21">
        <v>0</v>
      </c>
      <c r="AH10374" s="21">
        <f t="shared" si="226"/>
        <v>0</v>
      </c>
      <c r="AJ10374" t="s">
        <v>51</v>
      </c>
      <c r="AK10374" t="s">
        <v>95</v>
      </c>
      <c r="AL10374" t="s">
        <v>8368</v>
      </c>
      <c r="AM10374" t="s">
        <v>8369</v>
      </c>
      <c r="AN10374">
        <v>-122.410980283333</v>
      </c>
      <c r="AO10374">
        <v>37.776893506669801</v>
      </c>
      <c r="AP10374" s="21" t="s">
        <v>116</v>
      </c>
    </row>
    <row r="10375" spans="1:42">
      <c r="A10375" s="1">
        <v>43900</v>
      </c>
      <c r="B10375">
        <v>2</v>
      </c>
      <c r="C10375" s="21">
        <v>571</v>
      </c>
      <c r="D10375">
        <v>11443</v>
      </c>
      <c r="E10375" t="s">
        <v>377</v>
      </c>
      <c r="F10375" s="21" t="s">
        <v>436</v>
      </c>
      <c r="G10375" s="21">
        <v>4</v>
      </c>
      <c r="H10375" s="27">
        <v>34</v>
      </c>
      <c r="I10375">
        <v>1190</v>
      </c>
      <c r="K10375" t="s">
        <v>391</v>
      </c>
      <c r="N10375" t="s">
        <v>40</v>
      </c>
      <c r="O10375">
        <v>153</v>
      </c>
      <c r="Q10375" s="21">
        <f t="shared" si="225"/>
        <v>1</v>
      </c>
      <c r="R10375" s="21">
        <v>1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1</v>
      </c>
      <c r="AB10375">
        <v>0</v>
      </c>
      <c r="AC10375">
        <v>0</v>
      </c>
      <c r="AD10375">
        <v>0</v>
      </c>
      <c r="AE10375">
        <v>0</v>
      </c>
      <c r="AF10375" s="21">
        <v>0</v>
      </c>
      <c r="AG10375" s="21">
        <v>0</v>
      </c>
      <c r="AH10375" s="21">
        <f t="shared" si="226"/>
        <v>0</v>
      </c>
      <c r="AJ10375" t="s">
        <v>51</v>
      </c>
      <c r="AK10375" t="s">
        <v>95</v>
      </c>
      <c r="AL10375" t="s">
        <v>8370</v>
      </c>
      <c r="AM10375" t="s">
        <v>8371</v>
      </c>
      <c r="AN10375">
        <v>-122.41134762</v>
      </c>
      <c r="AO10375">
        <v>37.776611740000298</v>
      </c>
      <c r="AP10375" s="21" t="s">
        <v>116</v>
      </c>
    </row>
    <row r="10376" spans="1:42">
      <c r="A10376" s="1">
        <v>43900</v>
      </c>
      <c r="B10376">
        <v>2</v>
      </c>
      <c r="C10376" s="21">
        <v>571</v>
      </c>
      <c r="D10376">
        <v>11443</v>
      </c>
      <c r="E10376" t="s">
        <v>377</v>
      </c>
      <c r="F10376" s="21" t="s">
        <v>436</v>
      </c>
      <c r="G10376" s="21">
        <v>4</v>
      </c>
      <c r="H10376" s="27">
        <v>35</v>
      </c>
      <c r="I10376" t="s">
        <v>8372</v>
      </c>
      <c r="K10376" t="s">
        <v>6651</v>
      </c>
      <c r="N10376" t="s">
        <v>40</v>
      </c>
      <c r="O10376">
        <v>261</v>
      </c>
      <c r="Q10376" s="21">
        <f t="shared" si="225"/>
        <v>2</v>
      </c>
      <c r="R10376" s="21">
        <v>1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1</v>
      </c>
      <c r="Z10376">
        <v>0</v>
      </c>
      <c r="AA10376">
        <v>0</v>
      </c>
      <c r="AB10376">
        <v>1</v>
      </c>
      <c r="AC10376">
        <v>0</v>
      </c>
      <c r="AD10376">
        <v>0</v>
      </c>
      <c r="AE10376">
        <v>0</v>
      </c>
      <c r="AF10376" s="21">
        <v>0</v>
      </c>
      <c r="AG10376" s="21">
        <v>0</v>
      </c>
      <c r="AH10376" s="21">
        <f t="shared" si="226"/>
        <v>0</v>
      </c>
      <c r="AJ10376" t="s">
        <v>51</v>
      </c>
      <c r="AK10376" t="s">
        <v>52</v>
      </c>
      <c r="AL10376" t="s">
        <v>8373</v>
      </c>
      <c r="AM10376" t="s">
        <v>8374</v>
      </c>
      <c r="AN10376">
        <v>-122.41265102</v>
      </c>
      <c r="AO10376">
        <v>37.776420156667001</v>
      </c>
      <c r="AP10376" s="21" t="s">
        <v>116</v>
      </c>
    </row>
    <row r="10377" spans="1:42">
      <c r="A10377" s="1">
        <v>43900</v>
      </c>
      <c r="B10377">
        <v>2</v>
      </c>
      <c r="C10377" s="21">
        <v>571</v>
      </c>
      <c r="D10377">
        <v>11443</v>
      </c>
      <c r="E10377" t="s">
        <v>377</v>
      </c>
      <c r="F10377" s="21" t="s">
        <v>436</v>
      </c>
      <c r="G10377" s="21">
        <v>4</v>
      </c>
      <c r="H10377" s="27">
        <v>36</v>
      </c>
      <c r="I10377">
        <v>165</v>
      </c>
      <c r="K10377" t="s">
        <v>108</v>
      </c>
      <c r="N10377" t="s">
        <v>1703</v>
      </c>
      <c r="O10377">
        <v>121</v>
      </c>
      <c r="Q10377" s="21">
        <f t="shared" si="225"/>
        <v>1</v>
      </c>
      <c r="R10377" s="21">
        <v>1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1</v>
      </c>
      <c r="AC10377">
        <v>0</v>
      </c>
      <c r="AD10377">
        <v>0</v>
      </c>
      <c r="AE10377">
        <v>0</v>
      </c>
      <c r="AF10377" s="21">
        <v>0</v>
      </c>
      <c r="AG10377" s="21">
        <v>0</v>
      </c>
      <c r="AH10377" s="21">
        <f t="shared" si="226"/>
        <v>0</v>
      </c>
      <c r="AJ10377" t="s">
        <v>51</v>
      </c>
      <c r="AK10377" t="s">
        <v>95</v>
      </c>
      <c r="AM10377" t="s">
        <v>8375</v>
      </c>
      <c r="AN10377">
        <v>-122.412092896667</v>
      </c>
      <c r="AO10377">
        <v>37.776723799999999</v>
      </c>
      <c r="AP10377" s="21" t="s">
        <v>116</v>
      </c>
    </row>
    <row r="10378" spans="1:42">
      <c r="A10378" s="1">
        <v>43900</v>
      </c>
      <c r="B10378">
        <v>2</v>
      </c>
      <c r="C10378" s="21">
        <v>571</v>
      </c>
      <c r="D10378">
        <v>11443</v>
      </c>
      <c r="E10378" t="s">
        <v>377</v>
      </c>
      <c r="F10378" s="21" t="s">
        <v>436</v>
      </c>
      <c r="G10378" s="21">
        <v>4</v>
      </c>
      <c r="H10378" s="27">
        <v>37</v>
      </c>
      <c r="I10378">
        <v>1174</v>
      </c>
      <c r="K10378" t="s">
        <v>1110</v>
      </c>
      <c r="N10378" t="s">
        <v>40</v>
      </c>
      <c r="O10378">
        <v>60</v>
      </c>
      <c r="Q10378" s="21">
        <f t="shared" si="225"/>
        <v>1</v>
      </c>
      <c r="R10378" s="21">
        <v>1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1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 s="21">
        <v>0</v>
      </c>
      <c r="AG10378" s="21">
        <v>0</v>
      </c>
      <c r="AH10378" s="21">
        <f t="shared" si="226"/>
        <v>0</v>
      </c>
      <c r="AJ10378" t="s">
        <v>51</v>
      </c>
      <c r="AK10378" t="s">
        <v>95</v>
      </c>
      <c r="AL10378" t="s">
        <v>8376</v>
      </c>
      <c r="AM10378" t="s">
        <v>8377</v>
      </c>
      <c r="AN10378">
        <v>-122.409861816667</v>
      </c>
      <c r="AO10378">
        <v>37.770950714513397</v>
      </c>
      <c r="AP10378" s="21" t="s">
        <v>116</v>
      </c>
    </row>
    <row r="10379" spans="1:42">
      <c r="A10379" s="1">
        <v>43900</v>
      </c>
      <c r="B10379">
        <v>2</v>
      </c>
      <c r="C10379" s="21">
        <v>571</v>
      </c>
      <c r="D10379">
        <v>11443</v>
      </c>
      <c r="E10379" t="s">
        <v>377</v>
      </c>
      <c r="F10379" s="21" t="s">
        <v>436</v>
      </c>
      <c r="G10379" s="21">
        <v>4</v>
      </c>
      <c r="H10379" s="27">
        <v>38</v>
      </c>
      <c r="I10379">
        <v>555</v>
      </c>
      <c r="K10379" t="s">
        <v>509</v>
      </c>
      <c r="N10379" t="s">
        <v>44</v>
      </c>
      <c r="O10379">
        <v>133</v>
      </c>
      <c r="Q10379" s="21">
        <f t="shared" si="225"/>
        <v>1</v>
      </c>
      <c r="R10379" s="21">
        <v>1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1</v>
      </c>
      <c r="AD10379">
        <v>0</v>
      </c>
      <c r="AE10379">
        <v>0</v>
      </c>
      <c r="AF10379" s="21">
        <v>0</v>
      </c>
      <c r="AG10379" s="21">
        <v>0</v>
      </c>
      <c r="AH10379" s="21">
        <f t="shared" si="226"/>
        <v>0</v>
      </c>
      <c r="AJ10379" t="s">
        <v>51</v>
      </c>
      <c r="AK10379" t="s">
        <v>52</v>
      </c>
      <c r="AM10379" t="s">
        <v>8378</v>
      </c>
      <c r="AN10379">
        <v>-122.407551023333</v>
      </c>
      <c r="AO10379">
        <v>37.771768770000001</v>
      </c>
      <c r="AP10379" s="21" t="s">
        <v>116</v>
      </c>
    </row>
    <row r="10380" spans="1:42">
      <c r="A10380" s="1">
        <v>43900</v>
      </c>
      <c r="B10380">
        <v>2</v>
      </c>
      <c r="C10380" s="21">
        <v>571</v>
      </c>
      <c r="D10380">
        <v>11443</v>
      </c>
      <c r="E10380" t="s">
        <v>377</v>
      </c>
      <c r="F10380" s="21" t="s">
        <v>436</v>
      </c>
      <c r="G10380" s="21">
        <v>4</v>
      </c>
      <c r="H10380" s="27">
        <v>39</v>
      </c>
      <c r="I10380">
        <v>500</v>
      </c>
      <c r="K10380" t="s">
        <v>108</v>
      </c>
      <c r="N10380" t="s">
        <v>40</v>
      </c>
      <c r="O10380">
        <v>74</v>
      </c>
      <c r="Q10380" s="21">
        <f t="shared" si="225"/>
        <v>0</v>
      </c>
      <c r="R10380" s="21">
        <v>1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1</v>
      </c>
      <c r="AF10380" s="21">
        <v>0</v>
      </c>
      <c r="AG10380" s="21">
        <v>0</v>
      </c>
      <c r="AH10380" s="21">
        <f t="shared" si="226"/>
        <v>0</v>
      </c>
      <c r="AJ10380" t="s">
        <v>51</v>
      </c>
      <c r="AK10380" t="s">
        <v>95</v>
      </c>
      <c r="AM10380" t="s">
        <v>8379</v>
      </c>
      <c r="AN10380">
        <v>-122.406449943333</v>
      </c>
      <c r="AO10380">
        <v>37.7718013966673</v>
      </c>
      <c r="AP10380" s="21" t="s">
        <v>116</v>
      </c>
    </row>
    <row r="10381" spans="1:42">
      <c r="A10381" s="1">
        <v>43900</v>
      </c>
      <c r="B10381">
        <v>2</v>
      </c>
      <c r="C10381" s="21">
        <v>571</v>
      </c>
      <c r="D10381">
        <v>11443</v>
      </c>
      <c r="E10381" t="s">
        <v>377</v>
      </c>
      <c r="F10381" s="21" t="s">
        <v>436</v>
      </c>
      <c r="G10381" s="21">
        <v>4</v>
      </c>
      <c r="H10381" s="27">
        <v>40</v>
      </c>
      <c r="I10381">
        <v>1161</v>
      </c>
      <c r="K10381" t="s">
        <v>8380</v>
      </c>
      <c r="N10381" t="s">
        <v>40</v>
      </c>
      <c r="O10381">
        <v>51</v>
      </c>
      <c r="Q10381" s="21">
        <f t="shared" si="225"/>
        <v>2</v>
      </c>
      <c r="R10381" s="21">
        <v>1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1</v>
      </c>
      <c r="AB10381">
        <v>0</v>
      </c>
      <c r="AC10381">
        <v>0</v>
      </c>
      <c r="AD10381">
        <v>0</v>
      </c>
      <c r="AE10381">
        <v>0</v>
      </c>
      <c r="AF10381" s="21">
        <v>0</v>
      </c>
      <c r="AG10381" s="21">
        <v>0</v>
      </c>
      <c r="AH10381" s="21">
        <f t="shared" si="226"/>
        <v>0</v>
      </c>
      <c r="AJ10381" t="s">
        <v>51</v>
      </c>
      <c r="AK10381" t="s">
        <v>95</v>
      </c>
      <c r="AL10381" t="s">
        <v>8381</v>
      </c>
      <c r="AM10381" t="s">
        <v>8382</v>
      </c>
      <c r="AN10381">
        <v>-122.411884966667</v>
      </c>
      <c r="AO10381">
        <v>37.777985510017601</v>
      </c>
      <c r="AP10381" s="21" t="s">
        <v>116</v>
      </c>
    </row>
    <row r="10382" spans="1:42">
      <c r="A10382" s="1">
        <v>43900</v>
      </c>
      <c r="B10382">
        <v>2</v>
      </c>
      <c r="C10382" s="21">
        <v>571</v>
      </c>
      <c r="D10382">
        <v>11443</v>
      </c>
      <c r="E10382" t="s">
        <v>377</v>
      </c>
      <c r="F10382" s="21" t="s">
        <v>436</v>
      </c>
      <c r="G10382" s="21">
        <v>4</v>
      </c>
      <c r="H10382" s="27">
        <v>41</v>
      </c>
      <c r="I10382">
        <v>1235</v>
      </c>
      <c r="K10382" t="s">
        <v>394</v>
      </c>
      <c r="N10382" t="s">
        <v>1703</v>
      </c>
      <c r="O10382">
        <v>73</v>
      </c>
      <c r="Q10382" s="21">
        <f t="shared" si="225"/>
        <v>1</v>
      </c>
      <c r="R10382" s="21">
        <v>1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1</v>
      </c>
      <c r="AD10382">
        <v>0</v>
      </c>
      <c r="AE10382">
        <v>0</v>
      </c>
      <c r="AF10382" s="21">
        <v>0</v>
      </c>
      <c r="AG10382" s="21">
        <v>0</v>
      </c>
      <c r="AH10382" s="21">
        <f t="shared" si="226"/>
        <v>0</v>
      </c>
      <c r="AJ10382" t="s">
        <v>51</v>
      </c>
      <c r="AK10382" t="s">
        <v>52</v>
      </c>
      <c r="AL10382" t="s">
        <v>8383</v>
      </c>
      <c r="AM10382" t="s">
        <v>8384</v>
      </c>
      <c r="AN10382">
        <v>-122.413091486667</v>
      </c>
      <c r="AO10382">
        <v>37.776700146666897</v>
      </c>
      <c r="AP10382" s="21" t="s">
        <v>116</v>
      </c>
    </row>
    <row r="10383" spans="1:42">
      <c r="A10383" s="1">
        <v>43900</v>
      </c>
      <c r="B10383">
        <v>2</v>
      </c>
      <c r="C10383" s="21">
        <v>571</v>
      </c>
      <c r="D10383">
        <v>11443</v>
      </c>
      <c r="E10383" t="s">
        <v>377</v>
      </c>
      <c r="F10383" s="21" t="s">
        <v>436</v>
      </c>
      <c r="G10383" s="21">
        <v>4</v>
      </c>
      <c r="H10383" s="27">
        <v>42</v>
      </c>
      <c r="I10383">
        <v>55</v>
      </c>
      <c r="K10383" t="s">
        <v>509</v>
      </c>
      <c r="N10383" t="s">
        <v>40</v>
      </c>
      <c r="O10383">
        <v>71</v>
      </c>
      <c r="Q10383" s="21">
        <f t="shared" si="225"/>
        <v>1</v>
      </c>
      <c r="R10383" s="21">
        <v>1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1</v>
      </c>
      <c r="AD10383">
        <v>0</v>
      </c>
      <c r="AE10383">
        <v>0</v>
      </c>
      <c r="AF10383" s="21">
        <v>0</v>
      </c>
      <c r="AG10383" s="21">
        <v>0</v>
      </c>
      <c r="AH10383" s="21">
        <f t="shared" si="226"/>
        <v>0</v>
      </c>
      <c r="AJ10383" t="s">
        <v>51</v>
      </c>
      <c r="AK10383" t="s">
        <v>95</v>
      </c>
      <c r="AL10383" t="s">
        <v>8321</v>
      </c>
      <c r="AM10383" t="s">
        <v>8385</v>
      </c>
      <c r="AN10383">
        <v>-122.41452701666699</v>
      </c>
      <c r="AO10383">
        <v>37.776996380000099</v>
      </c>
      <c r="AP10383" s="21" t="s">
        <v>116</v>
      </c>
    </row>
    <row r="10384" spans="1:42">
      <c r="A10384" s="1">
        <v>43900</v>
      </c>
      <c r="B10384">
        <v>2</v>
      </c>
      <c r="C10384" s="21">
        <v>571</v>
      </c>
      <c r="D10384">
        <v>11443</v>
      </c>
      <c r="E10384" t="s">
        <v>377</v>
      </c>
      <c r="F10384" s="21" t="s">
        <v>436</v>
      </c>
      <c r="G10384" s="21">
        <v>4</v>
      </c>
      <c r="H10384" s="27">
        <v>43</v>
      </c>
      <c r="I10384">
        <v>1171</v>
      </c>
      <c r="K10384" t="s">
        <v>394</v>
      </c>
      <c r="N10384" t="s">
        <v>40</v>
      </c>
      <c r="O10384">
        <v>86</v>
      </c>
      <c r="Q10384" s="21">
        <f t="shared" si="225"/>
        <v>1</v>
      </c>
      <c r="R10384" s="21">
        <v>1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1</v>
      </c>
      <c r="AB10384">
        <v>0</v>
      </c>
      <c r="AC10384">
        <v>0</v>
      </c>
      <c r="AD10384">
        <v>0</v>
      </c>
      <c r="AE10384">
        <v>0</v>
      </c>
      <c r="AF10384" s="21">
        <v>0</v>
      </c>
      <c r="AG10384" s="21">
        <v>0</v>
      </c>
      <c r="AH10384" s="21">
        <f t="shared" si="226"/>
        <v>0</v>
      </c>
      <c r="AJ10384" t="s">
        <v>51</v>
      </c>
      <c r="AK10384" t="s">
        <v>95</v>
      </c>
      <c r="AL10384" t="s">
        <v>8386</v>
      </c>
      <c r="AM10384" t="s">
        <v>8387</v>
      </c>
      <c r="AN10384">
        <v>-122.4130198</v>
      </c>
      <c r="AO10384">
        <v>37.777420656666699</v>
      </c>
      <c r="AP10384" s="21" t="s">
        <v>116</v>
      </c>
    </row>
    <row r="10385" spans="1:42">
      <c r="A10385" s="1">
        <v>43900</v>
      </c>
      <c r="B10385">
        <v>2</v>
      </c>
      <c r="C10385" s="21">
        <v>571</v>
      </c>
      <c r="D10385">
        <v>11443</v>
      </c>
      <c r="E10385" t="s">
        <v>377</v>
      </c>
      <c r="F10385" s="21" t="s">
        <v>436</v>
      </c>
      <c r="G10385" s="21">
        <v>4</v>
      </c>
      <c r="H10385" s="27">
        <v>44</v>
      </c>
      <c r="I10385">
        <v>66</v>
      </c>
      <c r="K10385" t="s">
        <v>509</v>
      </c>
      <c r="N10385" t="s">
        <v>40</v>
      </c>
      <c r="O10385">
        <v>66</v>
      </c>
      <c r="Q10385" s="21">
        <f t="shared" si="225"/>
        <v>1</v>
      </c>
      <c r="R10385" s="21">
        <v>1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1</v>
      </c>
      <c r="AC10385">
        <v>0</v>
      </c>
      <c r="AD10385">
        <v>0</v>
      </c>
      <c r="AE10385">
        <v>0</v>
      </c>
      <c r="AF10385" s="21">
        <v>0</v>
      </c>
      <c r="AG10385" s="21">
        <v>0</v>
      </c>
      <c r="AH10385" s="21">
        <f t="shared" si="226"/>
        <v>0</v>
      </c>
      <c r="AJ10385" t="s">
        <v>51</v>
      </c>
      <c r="AK10385" t="s">
        <v>95</v>
      </c>
      <c r="AM10385" t="s">
        <v>8388</v>
      </c>
      <c r="AN10385">
        <v>-122.415593716667</v>
      </c>
      <c r="AO10385">
        <v>37.7765102633334</v>
      </c>
      <c r="AP10385" s="21" t="s">
        <v>116</v>
      </c>
    </row>
    <row r="10386" spans="1:42">
      <c r="A10386" s="1">
        <v>43900</v>
      </c>
      <c r="B10386">
        <v>2</v>
      </c>
      <c r="C10386" s="21">
        <v>571</v>
      </c>
      <c r="D10386">
        <v>11443</v>
      </c>
      <c r="E10386" t="s">
        <v>377</v>
      </c>
      <c r="F10386" s="21" t="s">
        <v>436</v>
      </c>
      <c r="G10386" s="21">
        <v>4</v>
      </c>
      <c r="H10386" s="27">
        <v>45</v>
      </c>
      <c r="I10386">
        <v>1355</v>
      </c>
      <c r="K10386" t="s">
        <v>73</v>
      </c>
      <c r="N10386" t="s">
        <v>40</v>
      </c>
      <c r="O10386">
        <v>60</v>
      </c>
      <c r="Q10386" s="21">
        <f t="shared" si="225"/>
        <v>0</v>
      </c>
      <c r="R10386" s="21">
        <v>1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 s="21">
        <v>0</v>
      </c>
      <c r="AG10386" s="21">
        <v>0</v>
      </c>
      <c r="AH10386" s="21">
        <f t="shared" si="226"/>
        <v>0</v>
      </c>
      <c r="AJ10386" t="s">
        <v>51</v>
      </c>
      <c r="AK10386" t="s">
        <v>95</v>
      </c>
      <c r="AL10386" t="s">
        <v>8389</v>
      </c>
      <c r="AM10386" t="s">
        <v>8390</v>
      </c>
      <c r="AN10386">
        <v>-122.41577033</v>
      </c>
      <c r="AO10386">
        <v>37.7763991766667</v>
      </c>
      <c r="AP10386" s="21" t="s">
        <v>116</v>
      </c>
    </row>
    <row r="10387" spans="1:42">
      <c r="A10387" s="1">
        <v>43900</v>
      </c>
      <c r="B10387">
        <v>2</v>
      </c>
      <c r="C10387" s="21">
        <v>571</v>
      </c>
      <c r="D10387">
        <v>11443</v>
      </c>
      <c r="E10387" t="s">
        <v>377</v>
      </c>
      <c r="F10387" s="21" t="s">
        <v>436</v>
      </c>
      <c r="G10387" s="21">
        <v>4</v>
      </c>
      <c r="H10387" s="27">
        <v>46</v>
      </c>
      <c r="I10387">
        <v>1390</v>
      </c>
      <c r="K10387" t="s">
        <v>8380</v>
      </c>
      <c r="N10387" t="s">
        <v>40</v>
      </c>
      <c r="O10387">
        <v>161</v>
      </c>
      <c r="Q10387" s="21">
        <f t="shared" si="225"/>
        <v>2</v>
      </c>
      <c r="R10387" s="21">
        <v>1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2</v>
      </c>
      <c r="AC10387">
        <v>0</v>
      </c>
      <c r="AD10387">
        <v>0</v>
      </c>
      <c r="AE10387">
        <v>0</v>
      </c>
      <c r="AF10387" s="21">
        <v>0</v>
      </c>
      <c r="AG10387" s="21">
        <v>0</v>
      </c>
      <c r="AH10387" s="21">
        <f t="shared" si="226"/>
        <v>0</v>
      </c>
      <c r="AJ10387" t="s">
        <v>51</v>
      </c>
      <c r="AK10387" t="s">
        <v>95</v>
      </c>
      <c r="AM10387" t="s">
        <v>8391</v>
      </c>
      <c r="AN10387">
        <v>-122.416411086667</v>
      </c>
      <c r="AO10387">
        <v>37.775941506666904</v>
      </c>
      <c r="AP10387" s="21" t="s">
        <v>116</v>
      </c>
    </row>
    <row r="10388" spans="1:42">
      <c r="A10388" s="1">
        <v>43900</v>
      </c>
      <c r="B10388">
        <v>2</v>
      </c>
      <c r="C10388" s="21">
        <v>571</v>
      </c>
      <c r="D10388">
        <v>11443</v>
      </c>
      <c r="E10388" t="s">
        <v>377</v>
      </c>
      <c r="F10388" s="21" t="s">
        <v>436</v>
      </c>
      <c r="G10388" s="21">
        <v>4</v>
      </c>
      <c r="H10388" s="27">
        <v>47</v>
      </c>
      <c r="I10388">
        <v>1359</v>
      </c>
      <c r="K10388" t="s">
        <v>107</v>
      </c>
      <c r="N10388" t="s">
        <v>40</v>
      </c>
      <c r="O10388">
        <v>59</v>
      </c>
      <c r="Q10388" s="21">
        <f t="shared" si="225"/>
        <v>1</v>
      </c>
      <c r="R10388" s="21">
        <v>1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1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 s="21">
        <v>0</v>
      </c>
      <c r="AG10388" s="21">
        <v>0</v>
      </c>
      <c r="AH10388" s="21">
        <f t="shared" si="226"/>
        <v>0</v>
      </c>
      <c r="AJ10388" t="s">
        <v>51</v>
      </c>
      <c r="AK10388" t="s">
        <v>95</v>
      </c>
      <c r="AL10388" t="s">
        <v>8392</v>
      </c>
      <c r="AM10388" t="s">
        <v>8393</v>
      </c>
      <c r="AN10388">
        <v>-122.413814332515</v>
      </c>
      <c r="AO10388">
        <v>37.775472152601203</v>
      </c>
      <c r="AP10388" s="21" t="s">
        <v>116</v>
      </c>
    </row>
    <row r="10389" spans="1:42">
      <c r="A10389" s="1">
        <v>43900</v>
      </c>
      <c r="B10389">
        <v>2</v>
      </c>
      <c r="C10389" s="21">
        <v>571</v>
      </c>
      <c r="D10389">
        <v>11443</v>
      </c>
      <c r="E10389" t="s">
        <v>377</v>
      </c>
      <c r="F10389" s="21" t="s">
        <v>436</v>
      </c>
      <c r="G10389" s="21">
        <v>4</v>
      </c>
      <c r="H10389" s="27">
        <v>48</v>
      </c>
      <c r="I10389">
        <v>480</v>
      </c>
      <c r="K10389" t="s">
        <v>509</v>
      </c>
      <c r="N10389" t="s">
        <v>40</v>
      </c>
      <c r="O10389">
        <v>43</v>
      </c>
      <c r="Q10389" s="21">
        <f t="shared" si="225"/>
        <v>1</v>
      </c>
      <c r="R10389" s="21">
        <v>1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1</v>
      </c>
      <c r="AC10389">
        <v>0</v>
      </c>
      <c r="AD10389">
        <v>0</v>
      </c>
      <c r="AE10389">
        <v>0</v>
      </c>
      <c r="AF10389" s="21">
        <v>0</v>
      </c>
      <c r="AG10389" s="21">
        <v>0</v>
      </c>
      <c r="AH10389" s="21">
        <f t="shared" si="226"/>
        <v>0</v>
      </c>
      <c r="AJ10389" t="s">
        <v>51</v>
      </c>
      <c r="AK10389" t="s">
        <v>95</v>
      </c>
      <c r="AL10389" t="s">
        <v>8394</v>
      </c>
      <c r="AM10389" t="s">
        <v>8395</v>
      </c>
      <c r="AN10389">
        <v>-122.40963157</v>
      </c>
      <c r="AO10389">
        <v>37.771230953353403</v>
      </c>
      <c r="AP10389" s="21" t="s">
        <v>116</v>
      </c>
    </row>
    <row r="10390" spans="1:42">
      <c r="A10390" s="1">
        <v>43900</v>
      </c>
      <c r="B10390">
        <v>2</v>
      </c>
      <c r="C10390" s="21">
        <v>571</v>
      </c>
      <c r="D10390">
        <v>11443</v>
      </c>
      <c r="E10390" t="s">
        <v>377</v>
      </c>
      <c r="F10390" s="21" t="s">
        <v>436</v>
      </c>
      <c r="G10390" s="21">
        <v>4</v>
      </c>
      <c r="H10390" s="27">
        <v>49</v>
      </c>
      <c r="I10390">
        <v>90</v>
      </c>
      <c r="K10390" t="s">
        <v>529</v>
      </c>
      <c r="N10390" t="s">
        <v>44</v>
      </c>
      <c r="O10390">
        <v>91</v>
      </c>
      <c r="Q10390" s="21">
        <f t="shared" si="225"/>
        <v>1</v>
      </c>
      <c r="R10390" s="21">
        <v>1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1</v>
      </c>
      <c r="AC10390">
        <v>0</v>
      </c>
      <c r="AD10390">
        <v>0</v>
      </c>
      <c r="AE10390">
        <v>0</v>
      </c>
      <c r="AF10390" s="21">
        <v>0</v>
      </c>
      <c r="AG10390" s="21">
        <v>0</v>
      </c>
      <c r="AH10390" s="21">
        <f t="shared" si="226"/>
        <v>0</v>
      </c>
      <c r="AJ10390" t="s">
        <v>51</v>
      </c>
      <c r="AK10390" t="s">
        <v>95</v>
      </c>
      <c r="AM10390" t="s">
        <v>8396</v>
      </c>
      <c r="AN10390">
        <v>-122.412460076667</v>
      </c>
      <c r="AO10390">
        <v>37.778722763344597</v>
      </c>
      <c r="AP10390" s="21" t="s">
        <v>116</v>
      </c>
    </row>
    <row r="10391" spans="1:42">
      <c r="A10391" s="1">
        <v>43900</v>
      </c>
      <c r="B10391">
        <v>2</v>
      </c>
      <c r="C10391" s="21">
        <v>571</v>
      </c>
      <c r="D10391">
        <v>11443</v>
      </c>
      <c r="E10391" t="s">
        <v>377</v>
      </c>
      <c r="F10391" s="21" t="s">
        <v>436</v>
      </c>
      <c r="G10391" s="21">
        <v>4</v>
      </c>
      <c r="H10391" s="27">
        <v>50</v>
      </c>
      <c r="I10391">
        <v>260</v>
      </c>
      <c r="K10391" t="s">
        <v>8397</v>
      </c>
      <c r="N10391" t="s">
        <v>40</v>
      </c>
      <c r="O10391">
        <v>158</v>
      </c>
      <c r="Q10391" s="21">
        <f t="shared" si="225"/>
        <v>2</v>
      </c>
      <c r="R10391" s="21">
        <v>1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2</v>
      </c>
      <c r="AB10391">
        <v>0</v>
      </c>
      <c r="AC10391">
        <v>0</v>
      </c>
      <c r="AD10391">
        <v>0</v>
      </c>
      <c r="AE10391">
        <v>0</v>
      </c>
      <c r="AF10391" s="21">
        <v>0</v>
      </c>
      <c r="AG10391" s="21">
        <v>0</v>
      </c>
      <c r="AH10391" s="21">
        <f t="shared" si="226"/>
        <v>0</v>
      </c>
      <c r="AJ10391" t="s">
        <v>51</v>
      </c>
      <c r="AK10391" t="s">
        <v>95</v>
      </c>
      <c r="AL10391" t="s">
        <v>8398</v>
      </c>
      <c r="AM10391" t="s">
        <v>8399</v>
      </c>
      <c r="AN10391">
        <v>-122.41495069666701</v>
      </c>
      <c r="AO10391">
        <v>37.780644813357</v>
      </c>
      <c r="AP10391" s="21" t="s">
        <v>116</v>
      </c>
    </row>
    <row r="10392" spans="1:42">
      <c r="A10392" s="1">
        <v>43900</v>
      </c>
      <c r="B10392">
        <v>2</v>
      </c>
      <c r="C10392" s="21">
        <v>571</v>
      </c>
      <c r="D10392">
        <v>11443</v>
      </c>
      <c r="E10392" t="s">
        <v>377</v>
      </c>
      <c r="F10392" s="21" t="s">
        <v>436</v>
      </c>
      <c r="G10392" s="21">
        <v>4</v>
      </c>
      <c r="H10392" s="27">
        <v>51</v>
      </c>
      <c r="I10392">
        <v>374</v>
      </c>
      <c r="K10392" t="s">
        <v>8397</v>
      </c>
      <c r="N10392" t="s">
        <v>44</v>
      </c>
      <c r="O10392">
        <v>89</v>
      </c>
      <c r="Q10392" s="21">
        <f t="shared" si="225"/>
        <v>1</v>
      </c>
      <c r="R10392" s="21">
        <v>1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1</v>
      </c>
      <c r="AB10392">
        <v>0</v>
      </c>
      <c r="AC10392">
        <v>0</v>
      </c>
      <c r="AD10392">
        <v>0</v>
      </c>
      <c r="AE10392">
        <v>0</v>
      </c>
      <c r="AF10392" s="21">
        <v>0</v>
      </c>
      <c r="AG10392" s="21">
        <v>0</v>
      </c>
      <c r="AH10392" s="21">
        <f t="shared" si="226"/>
        <v>0</v>
      </c>
      <c r="AJ10392" t="s">
        <v>51</v>
      </c>
      <c r="AK10392" t="s">
        <v>52</v>
      </c>
      <c r="AL10392" t="s">
        <v>8400</v>
      </c>
      <c r="AM10392" t="s">
        <v>8401</v>
      </c>
      <c r="AN10392">
        <v>-122.41419255098</v>
      </c>
      <c r="AO10392">
        <v>37.7832193760443</v>
      </c>
      <c r="AP10392" s="21" t="s">
        <v>116</v>
      </c>
    </row>
    <row r="10393" spans="1:42">
      <c r="A10393" s="1">
        <v>43900</v>
      </c>
      <c r="B10393">
        <v>2</v>
      </c>
      <c r="C10393" s="21">
        <v>571</v>
      </c>
      <c r="D10393">
        <v>11443</v>
      </c>
      <c r="E10393" t="s">
        <v>377</v>
      </c>
      <c r="F10393" s="21" t="s">
        <v>436</v>
      </c>
      <c r="G10393" s="21">
        <v>4</v>
      </c>
      <c r="H10393" s="27">
        <v>52</v>
      </c>
      <c r="I10393">
        <v>350</v>
      </c>
      <c r="K10393" t="s">
        <v>96</v>
      </c>
      <c r="N10393" t="s">
        <v>40</v>
      </c>
      <c r="O10393">
        <v>83</v>
      </c>
      <c r="Q10393" s="21">
        <f t="shared" si="225"/>
        <v>1</v>
      </c>
      <c r="R10393" s="21">
        <v>1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1</v>
      </c>
      <c r="AB10393">
        <v>0</v>
      </c>
      <c r="AC10393">
        <v>0</v>
      </c>
      <c r="AD10393">
        <v>0</v>
      </c>
      <c r="AE10393">
        <v>0</v>
      </c>
      <c r="AF10393" s="21">
        <v>0</v>
      </c>
      <c r="AG10393" s="21">
        <v>0</v>
      </c>
      <c r="AH10393" s="21">
        <f t="shared" si="226"/>
        <v>0</v>
      </c>
      <c r="AJ10393" t="s">
        <v>51</v>
      </c>
      <c r="AK10393" t="s">
        <v>95</v>
      </c>
      <c r="AL10393" t="s">
        <v>8402</v>
      </c>
      <c r="AM10393" t="s">
        <v>8403</v>
      </c>
      <c r="AN10393">
        <v>-122.41633538979799</v>
      </c>
      <c r="AO10393">
        <v>37.784461810512703</v>
      </c>
      <c r="AP10393" s="21" t="s">
        <v>116</v>
      </c>
    </row>
    <row r="10394" spans="1:42">
      <c r="A10394" s="1">
        <v>43900</v>
      </c>
      <c r="B10394">
        <v>2</v>
      </c>
      <c r="C10394" s="21">
        <v>571</v>
      </c>
      <c r="D10394">
        <v>11443</v>
      </c>
      <c r="E10394" t="s">
        <v>377</v>
      </c>
      <c r="F10394" s="21" t="s">
        <v>436</v>
      </c>
      <c r="G10394" s="21">
        <v>4</v>
      </c>
      <c r="H10394" s="27">
        <v>53</v>
      </c>
      <c r="I10394">
        <v>460</v>
      </c>
      <c r="K10394" t="s">
        <v>94</v>
      </c>
      <c r="N10394" t="s">
        <v>40</v>
      </c>
      <c r="O10394">
        <v>250</v>
      </c>
      <c r="Q10394" s="21">
        <f t="shared" si="225"/>
        <v>1</v>
      </c>
      <c r="R10394" s="21">
        <v>1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1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 s="21">
        <v>0</v>
      </c>
      <c r="AG10394" s="21">
        <v>0</v>
      </c>
      <c r="AH10394" s="21">
        <f t="shared" si="226"/>
        <v>0</v>
      </c>
      <c r="AJ10394" t="s">
        <v>51</v>
      </c>
      <c r="AK10394" t="s">
        <v>95</v>
      </c>
      <c r="AL10394" t="s">
        <v>8404</v>
      </c>
      <c r="AM10394" t="s">
        <v>8405</v>
      </c>
      <c r="AN10394">
        <v>-122.415275536667</v>
      </c>
      <c r="AO10394">
        <v>37.783649859999997</v>
      </c>
      <c r="AP10394" s="21" t="s">
        <v>116</v>
      </c>
    </row>
    <row r="10395" spans="1:42">
      <c r="A10395" s="1">
        <v>43900</v>
      </c>
      <c r="B10395">
        <v>2</v>
      </c>
      <c r="C10395" s="21">
        <v>571</v>
      </c>
      <c r="D10395">
        <v>11443</v>
      </c>
      <c r="E10395" t="s">
        <v>377</v>
      </c>
      <c r="F10395" s="21" t="s">
        <v>436</v>
      </c>
      <c r="G10395" s="21">
        <v>4</v>
      </c>
      <c r="H10395" s="27">
        <v>54</v>
      </c>
      <c r="I10395">
        <v>666</v>
      </c>
      <c r="K10395" t="s">
        <v>100</v>
      </c>
      <c r="N10395" t="s">
        <v>40</v>
      </c>
      <c r="O10395">
        <v>83</v>
      </c>
      <c r="Q10395" s="21">
        <f t="shared" si="225"/>
        <v>1</v>
      </c>
      <c r="R10395" s="21">
        <v>1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1</v>
      </c>
      <c r="AB10395">
        <v>0</v>
      </c>
      <c r="AC10395">
        <v>0</v>
      </c>
      <c r="AD10395">
        <v>0</v>
      </c>
      <c r="AE10395">
        <v>0</v>
      </c>
      <c r="AF10395" s="21">
        <v>0</v>
      </c>
      <c r="AG10395" s="21">
        <v>0</v>
      </c>
      <c r="AH10395" s="21">
        <f t="shared" si="226"/>
        <v>0</v>
      </c>
      <c r="AJ10395" t="s">
        <v>51</v>
      </c>
      <c r="AK10395" t="s">
        <v>52</v>
      </c>
      <c r="AM10395" t="s">
        <v>8406</v>
      </c>
      <c r="AN10395">
        <v>-122.416975313333</v>
      </c>
      <c r="AO10395">
        <v>37.784349576667303</v>
      </c>
      <c r="AP10395" s="21" t="s">
        <v>116</v>
      </c>
    </row>
    <row r="10396" spans="1:42">
      <c r="A10396" s="1">
        <v>43900</v>
      </c>
      <c r="B10396">
        <v>2</v>
      </c>
      <c r="C10396" s="21">
        <v>571</v>
      </c>
      <c r="D10396">
        <v>11443</v>
      </c>
      <c r="E10396" t="s">
        <v>377</v>
      </c>
      <c r="F10396" s="21" t="s">
        <v>436</v>
      </c>
      <c r="G10396" s="21">
        <v>4</v>
      </c>
      <c r="H10396" s="27">
        <v>55</v>
      </c>
      <c r="I10396">
        <v>730</v>
      </c>
      <c r="K10396" t="s">
        <v>100</v>
      </c>
      <c r="N10396" t="s">
        <v>40</v>
      </c>
      <c r="O10396">
        <v>42</v>
      </c>
      <c r="Q10396" s="21">
        <f t="shared" si="225"/>
        <v>1</v>
      </c>
      <c r="R10396" s="21">
        <v>1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1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 s="21">
        <v>0</v>
      </c>
      <c r="AG10396" s="21">
        <v>0</v>
      </c>
      <c r="AH10396" s="21">
        <f t="shared" si="226"/>
        <v>0</v>
      </c>
      <c r="AJ10396" t="s">
        <v>51</v>
      </c>
      <c r="AK10396" t="s">
        <v>95</v>
      </c>
      <c r="AL10396" t="s">
        <v>8407</v>
      </c>
      <c r="AM10396" t="s">
        <v>8408</v>
      </c>
      <c r="AN10396">
        <v>-122.418521016667</v>
      </c>
      <c r="AO10396">
        <v>37.784266653333802</v>
      </c>
      <c r="AP10396" s="21" t="s">
        <v>116</v>
      </c>
    </row>
    <row r="10397" spans="1:42">
      <c r="A10397" s="1">
        <v>43900</v>
      </c>
      <c r="B10397">
        <v>2</v>
      </c>
      <c r="C10397" s="21">
        <v>571</v>
      </c>
      <c r="D10397">
        <v>11443</v>
      </c>
      <c r="E10397" t="s">
        <v>377</v>
      </c>
      <c r="F10397" s="21" t="s">
        <v>436</v>
      </c>
      <c r="G10397" s="21">
        <v>4</v>
      </c>
      <c r="H10397" s="27">
        <v>56</v>
      </c>
      <c r="I10397">
        <v>935</v>
      </c>
      <c r="K10397" t="s">
        <v>74</v>
      </c>
      <c r="N10397" t="s">
        <v>44</v>
      </c>
      <c r="O10397">
        <v>141</v>
      </c>
      <c r="Q10397" s="21">
        <f t="shared" si="225"/>
        <v>1</v>
      </c>
      <c r="R10397" s="21">
        <v>1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1</v>
      </c>
      <c r="AB10397">
        <v>0</v>
      </c>
      <c r="AC10397">
        <v>0</v>
      </c>
      <c r="AD10397">
        <v>0</v>
      </c>
      <c r="AE10397">
        <v>0</v>
      </c>
      <c r="AF10397" s="21">
        <v>0</v>
      </c>
      <c r="AG10397" s="21">
        <v>0</v>
      </c>
      <c r="AH10397" s="21">
        <f t="shared" si="226"/>
        <v>0</v>
      </c>
      <c r="AJ10397" t="s">
        <v>51</v>
      </c>
      <c r="AK10397" t="s">
        <v>52</v>
      </c>
      <c r="AL10397" t="s">
        <v>8407</v>
      </c>
      <c r="AM10397" t="s">
        <v>8409</v>
      </c>
      <c r="AN10397">
        <v>-122.41875257333299</v>
      </c>
      <c r="AO10397">
        <v>37.785612143336103</v>
      </c>
      <c r="AP10397" s="21" t="s">
        <v>116</v>
      </c>
    </row>
    <row r="10398" spans="1:42">
      <c r="A10398" s="1">
        <v>43900</v>
      </c>
      <c r="B10398">
        <v>2</v>
      </c>
      <c r="C10398" s="21">
        <v>571</v>
      </c>
      <c r="D10398">
        <v>11443</v>
      </c>
      <c r="E10398" t="s">
        <v>377</v>
      </c>
      <c r="F10398" s="21" t="s">
        <v>436</v>
      </c>
      <c r="G10398" s="21">
        <v>4</v>
      </c>
      <c r="H10398" s="27">
        <v>57</v>
      </c>
      <c r="I10398">
        <v>740</v>
      </c>
      <c r="K10398" t="s">
        <v>8086</v>
      </c>
      <c r="N10398" t="s">
        <v>40</v>
      </c>
      <c r="O10398">
        <v>47</v>
      </c>
      <c r="Q10398" s="21">
        <f t="shared" si="225"/>
        <v>1</v>
      </c>
      <c r="R10398" s="21">
        <v>1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1</v>
      </c>
      <c r="AB10398">
        <v>0</v>
      </c>
      <c r="AC10398">
        <v>0</v>
      </c>
      <c r="AD10398">
        <v>0</v>
      </c>
      <c r="AE10398">
        <v>0</v>
      </c>
      <c r="AF10398" s="21">
        <v>0</v>
      </c>
      <c r="AG10398" s="21">
        <v>0</v>
      </c>
      <c r="AH10398" s="21">
        <f t="shared" si="226"/>
        <v>0</v>
      </c>
      <c r="AJ10398" t="s">
        <v>51</v>
      </c>
      <c r="AK10398" t="s">
        <v>52</v>
      </c>
      <c r="AL10398" t="s">
        <v>8410</v>
      </c>
      <c r="AM10398" t="s">
        <v>8411</v>
      </c>
      <c r="AN10398">
        <v>-122.417014993333</v>
      </c>
      <c r="AO10398">
        <v>37.785320223333301</v>
      </c>
      <c r="AP10398" s="21" t="s">
        <v>116</v>
      </c>
    </row>
    <row r="10399" spans="1:42">
      <c r="A10399" s="1">
        <v>43900</v>
      </c>
      <c r="B10399">
        <v>2</v>
      </c>
      <c r="C10399" s="21">
        <v>571</v>
      </c>
      <c r="D10399">
        <v>11443</v>
      </c>
      <c r="E10399" t="s">
        <v>377</v>
      </c>
      <c r="F10399" s="21" t="s">
        <v>436</v>
      </c>
      <c r="G10399" s="21">
        <v>4</v>
      </c>
      <c r="H10399" s="27">
        <v>58</v>
      </c>
      <c r="I10399">
        <v>840</v>
      </c>
      <c r="K10399" t="s">
        <v>53</v>
      </c>
      <c r="N10399" t="s">
        <v>40</v>
      </c>
      <c r="O10399">
        <v>28</v>
      </c>
      <c r="Q10399" s="21">
        <f t="shared" si="225"/>
        <v>1</v>
      </c>
      <c r="R10399" s="21">
        <v>1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1</v>
      </c>
      <c r="AC10399">
        <v>0</v>
      </c>
      <c r="AD10399">
        <v>0</v>
      </c>
      <c r="AE10399">
        <v>0</v>
      </c>
      <c r="AF10399" s="21">
        <v>0</v>
      </c>
      <c r="AG10399" s="21">
        <v>0</v>
      </c>
      <c r="AH10399" s="21">
        <f t="shared" si="226"/>
        <v>0</v>
      </c>
      <c r="AJ10399" t="s">
        <v>51</v>
      </c>
      <c r="AK10399" t="s">
        <v>95</v>
      </c>
      <c r="AL10399" t="s">
        <v>8412</v>
      </c>
      <c r="AM10399" t="s">
        <v>8413</v>
      </c>
      <c r="AN10399">
        <v>-122.41600560333301</v>
      </c>
      <c r="AO10399">
        <v>37.787267136769401</v>
      </c>
      <c r="AP10399" s="21" t="s">
        <v>116</v>
      </c>
    </row>
    <row r="10400" spans="1:42">
      <c r="A10400" s="1">
        <v>43900</v>
      </c>
      <c r="B10400">
        <v>2</v>
      </c>
      <c r="C10400" s="21">
        <v>571</v>
      </c>
      <c r="D10400">
        <v>11443</v>
      </c>
      <c r="E10400" t="s">
        <v>377</v>
      </c>
      <c r="F10400" s="21" t="s">
        <v>436</v>
      </c>
      <c r="G10400" s="21">
        <v>4</v>
      </c>
      <c r="H10400" s="27">
        <v>59</v>
      </c>
      <c r="I10400">
        <v>384</v>
      </c>
      <c r="K10400" t="s">
        <v>53</v>
      </c>
      <c r="N10400" t="s">
        <v>40</v>
      </c>
      <c r="O10400">
        <v>64</v>
      </c>
      <c r="Q10400" s="21">
        <f t="shared" si="225"/>
        <v>1</v>
      </c>
      <c r="R10400" s="21">
        <v>1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1</v>
      </c>
      <c r="AB10400">
        <v>0</v>
      </c>
      <c r="AC10400">
        <v>0</v>
      </c>
      <c r="AD10400">
        <v>0</v>
      </c>
      <c r="AE10400">
        <v>0</v>
      </c>
      <c r="AF10400" s="21">
        <v>0</v>
      </c>
      <c r="AG10400" s="21">
        <v>0</v>
      </c>
      <c r="AH10400" s="21">
        <f t="shared" si="226"/>
        <v>0</v>
      </c>
      <c r="AJ10400" t="s">
        <v>51</v>
      </c>
      <c r="AK10400" t="s">
        <v>95</v>
      </c>
      <c r="AM10400" t="s">
        <v>8414</v>
      </c>
      <c r="AN10400">
        <v>-122.40768539</v>
      </c>
      <c r="AO10400">
        <v>37.788442133333398</v>
      </c>
      <c r="AP10400" s="21" t="s">
        <v>116</v>
      </c>
    </row>
    <row r="10401" spans="1:42">
      <c r="A10401" s="1">
        <v>43900</v>
      </c>
      <c r="B10401">
        <v>2</v>
      </c>
      <c r="C10401" s="21">
        <v>571</v>
      </c>
      <c r="D10401">
        <v>11443</v>
      </c>
      <c r="E10401" t="s">
        <v>377</v>
      </c>
      <c r="F10401" s="21" t="s">
        <v>436</v>
      </c>
      <c r="G10401" s="21">
        <v>4</v>
      </c>
      <c r="H10401" s="27">
        <v>60</v>
      </c>
      <c r="I10401">
        <v>370</v>
      </c>
      <c r="K10401" t="s">
        <v>96</v>
      </c>
      <c r="N10401" t="s">
        <v>40</v>
      </c>
      <c r="O10401">
        <v>42</v>
      </c>
      <c r="Q10401" s="21">
        <f t="shared" si="225"/>
        <v>1</v>
      </c>
      <c r="R10401" s="21">
        <v>1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1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 s="21">
        <v>0</v>
      </c>
      <c r="AG10401" s="21">
        <v>0</v>
      </c>
      <c r="AH10401" s="21">
        <f t="shared" si="226"/>
        <v>0</v>
      </c>
      <c r="AJ10401" t="s">
        <v>51</v>
      </c>
      <c r="AK10401" t="s">
        <v>95</v>
      </c>
      <c r="AL10401" t="s">
        <v>8415</v>
      </c>
      <c r="AM10401" t="s">
        <v>8416</v>
      </c>
      <c r="AN10401">
        <v>-122.415126393333</v>
      </c>
      <c r="AO10401">
        <v>37.782690820004703</v>
      </c>
      <c r="AP10401" s="21" t="s">
        <v>116</v>
      </c>
    </row>
    <row r="10402" spans="1:42">
      <c r="A10402" s="1">
        <v>43900</v>
      </c>
      <c r="B10402">
        <v>2</v>
      </c>
      <c r="C10402" s="21">
        <v>571</v>
      </c>
      <c r="D10402">
        <v>11443</v>
      </c>
      <c r="E10402" t="s">
        <v>377</v>
      </c>
      <c r="F10402" s="21" t="s">
        <v>436</v>
      </c>
      <c r="G10402" s="21">
        <v>4</v>
      </c>
      <c r="H10402" s="27">
        <v>61</v>
      </c>
      <c r="I10402">
        <v>541</v>
      </c>
      <c r="K10402" t="s">
        <v>100</v>
      </c>
      <c r="N10402" t="s">
        <v>40</v>
      </c>
      <c r="O10402">
        <v>96</v>
      </c>
      <c r="Q10402" s="21">
        <f t="shared" si="225"/>
        <v>1</v>
      </c>
      <c r="R10402" s="21">
        <v>1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1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 s="21">
        <v>0</v>
      </c>
      <c r="AG10402" s="21">
        <v>0</v>
      </c>
      <c r="AH10402" s="21">
        <f t="shared" si="226"/>
        <v>0</v>
      </c>
      <c r="AJ10402" t="s">
        <v>51</v>
      </c>
      <c r="AK10402" t="s">
        <v>95</v>
      </c>
      <c r="AL10402" t="s">
        <v>8417</v>
      </c>
      <c r="AM10402" t="s">
        <v>8418</v>
      </c>
      <c r="AN10402">
        <v>-122.415256863333</v>
      </c>
      <c r="AO10402">
        <v>37.784572403333499</v>
      </c>
      <c r="AP10402" s="21" t="s">
        <v>116</v>
      </c>
    </row>
    <row r="10403" spans="1:42">
      <c r="A10403" s="1">
        <v>43900</v>
      </c>
      <c r="B10403">
        <v>2</v>
      </c>
      <c r="C10403" s="21">
        <v>571</v>
      </c>
      <c r="D10403">
        <v>11443</v>
      </c>
      <c r="E10403" t="s">
        <v>377</v>
      </c>
      <c r="F10403" s="21" t="s">
        <v>436</v>
      </c>
      <c r="G10403" s="21">
        <v>4</v>
      </c>
      <c r="H10403" s="27">
        <v>62</v>
      </c>
      <c r="I10403" t="s">
        <v>8419</v>
      </c>
      <c r="K10403" t="s">
        <v>8420</v>
      </c>
      <c r="N10403" t="s">
        <v>40</v>
      </c>
      <c r="O10403">
        <v>381</v>
      </c>
      <c r="Q10403" s="21">
        <f t="shared" ref="Q10403:Q10466" si="227">SUM(S10403+T10403+U10403+V10403+W10403+Y10403+Z10403+AA10403+AB10403+AC10403+AF10403+AG10403+AD10402+AE10402)</f>
        <v>7</v>
      </c>
      <c r="R10403" s="21">
        <v>1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1</v>
      </c>
      <c r="Z10403">
        <v>0</v>
      </c>
      <c r="AA10403">
        <v>4</v>
      </c>
      <c r="AB10403">
        <v>2</v>
      </c>
      <c r="AC10403">
        <v>0</v>
      </c>
      <c r="AD10403">
        <v>0</v>
      </c>
      <c r="AE10403">
        <v>0</v>
      </c>
      <c r="AF10403" s="21">
        <v>0</v>
      </c>
      <c r="AG10403" s="21">
        <v>0</v>
      </c>
      <c r="AH10403" s="21">
        <f t="shared" si="226"/>
        <v>0</v>
      </c>
      <c r="AJ10403" t="s">
        <v>51</v>
      </c>
      <c r="AK10403" t="s">
        <v>95</v>
      </c>
      <c r="AL10403" t="s">
        <v>8421</v>
      </c>
      <c r="AM10403" t="s">
        <v>8422</v>
      </c>
      <c r="AN10403">
        <v>-122.40602411</v>
      </c>
      <c r="AO10403">
        <v>37.772772620773402</v>
      </c>
      <c r="AP10403" s="21" t="s">
        <v>116</v>
      </c>
    </row>
    <row r="10404" spans="1:42">
      <c r="A10404" s="1">
        <v>43900</v>
      </c>
      <c r="B10404">
        <v>2</v>
      </c>
      <c r="C10404" s="21">
        <v>571</v>
      </c>
      <c r="D10404">
        <v>11443</v>
      </c>
      <c r="E10404" t="s">
        <v>377</v>
      </c>
      <c r="F10404" s="21" t="s">
        <v>436</v>
      </c>
      <c r="G10404" s="21">
        <v>4</v>
      </c>
      <c r="H10404" s="27">
        <v>63</v>
      </c>
      <c r="I10404">
        <v>888</v>
      </c>
      <c r="K10404" t="s">
        <v>529</v>
      </c>
      <c r="N10404" t="s">
        <v>40</v>
      </c>
      <c r="O10404">
        <v>199</v>
      </c>
      <c r="Q10404" s="21">
        <f t="shared" si="227"/>
        <v>3</v>
      </c>
      <c r="R10404" s="21">
        <v>1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1</v>
      </c>
      <c r="AB10404">
        <v>2</v>
      </c>
      <c r="AC10404">
        <v>0</v>
      </c>
      <c r="AD10404">
        <v>0</v>
      </c>
      <c r="AE10404">
        <v>0</v>
      </c>
      <c r="AF10404" s="21">
        <v>0</v>
      </c>
      <c r="AG10404" s="21">
        <v>0</v>
      </c>
      <c r="AH10404" s="21">
        <f t="shared" si="226"/>
        <v>0</v>
      </c>
      <c r="AJ10404" t="s">
        <v>51</v>
      </c>
      <c r="AK10404" t="s">
        <v>95</v>
      </c>
      <c r="AM10404" t="s">
        <v>8423</v>
      </c>
      <c r="AN10404">
        <v>-122.40044892</v>
      </c>
      <c r="AO10404">
        <v>37.770388446668903</v>
      </c>
      <c r="AP10404" s="21" t="s">
        <v>116</v>
      </c>
    </row>
    <row r="10405" spans="1:42">
      <c r="A10405" s="1">
        <v>43900</v>
      </c>
      <c r="B10405">
        <v>2</v>
      </c>
      <c r="C10405" s="21">
        <v>571</v>
      </c>
      <c r="D10405">
        <v>11443</v>
      </c>
      <c r="E10405" t="s">
        <v>377</v>
      </c>
      <c r="F10405" s="21" t="s">
        <v>436</v>
      </c>
      <c r="G10405" s="21">
        <v>4</v>
      </c>
      <c r="H10405" s="27">
        <v>64</v>
      </c>
      <c r="I10405">
        <v>675</v>
      </c>
      <c r="K10405" t="s">
        <v>381</v>
      </c>
      <c r="N10405" t="s">
        <v>40</v>
      </c>
      <c r="O10405">
        <v>397</v>
      </c>
      <c r="Q10405" s="21">
        <f t="shared" si="227"/>
        <v>3</v>
      </c>
      <c r="R10405" s="21">
        <v>1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1</v>
      </c>
      <c r="AC10405">
        <v>2</v>
      </c>
      <c r="AD10405">
        <v>0</v>
      </c>
      <c r="AE10405">
        <v>0</v>
      </c>
      <c r="AF10405" s="21">
        <v>0</v>
      </c>
      <c r="AG10405" s="21">
        <v>0</v>
      </c>
      <c r="AH10405" s="21">
        <f t="shared" si="226"/>
        <v>0</v>
      </c>
      <c r="AJ10405" t="s">
        <v>51</v>
      </c>
      <c r="AK10405" t="s">
        <v>95</v>
      </c>
      <c r="AM10405" t="s">
        <v>8424</v>
      </c>
      <c r="AN10405">
        <v>-122.40236952333299</v>
      </c>
      <c r="AO10405">
        <v>37.770019123334002</v>
      </c>
      <c r="AP10405" s="21" t="s">
        <v>116</v>
      </c>
    </row>
    <row r="10406" spans="1:42">
      <c r="A10406" s="1">
        <v>43900</v>
      </c>
      <c r="B10406">
        <v>2</v>
      </c>
      <c r="C10406" s="21">
        <v>571</v>
      </c>
      <c r="D10406">
        <v>11443</v>
      </c>
      <c r="E10406" t="s">
        <v>377</v>
      </c>
      <c r="F10406" s="21" t="s">
        <v>436</v>
      </c>
      <c r="G10406" s="21">
        <v>4</v>
      </c>
      <c r="H10406" s="27">
        <v>65</v>
      </c>
      <c r="I10406">
        <v>631</v>
      </c>
      <c r="K10406" t="s">
        <v>8086</v>
      </c>
      <c r="N10406" t="s">
        <v>40</v>
      </c>
      <c r="O10406">
        <v>165</v>
      </c>
      <c r="Q10406" s="21">
        <f t="shared" si="227"/>
        <v>2</v>
      </c>
      <c r="R10406" s="21">
        <v>1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2</v>
      </c>
      <c r="AC10406">
        <v>0</v>
      </c>
      <c r="AD10406">
        <v>0</v>
      </c>
      <c r="AE10406">
        <v>0</v>
      </c>
      <c r="AF10406" s="21">
        <v>0</v>
      </c>
      <c r="AG10406" s="21">
        <v>0</v>
      </c>
      <c r="AH10406" s="21">
        <f t="shared" si="226"/>
        <v>0</v>
      </c>
      <c r="AJ10406" t="s">
        <v>51</v>
      </c>
      <c r="AK10406" t="s">
        <v>95</v>
      </c>
      <c r="AM10406" t="s">
        <v>8425</v>
      </c>
      <c r="AN10406">
        <v>-122.415263613333</v>
      </c>
      <c r="AO10406">
        <v>37.785631130001697</v>
      </c>
      <c r="AP10406" s="21" t="s">
        <v>116</v>
      </c>
    </row>
    <row r="10407" spans="1:42">
      <c r="A10407" s="20">
        <v>43896</v>
      </c>
      <c r="B10407" s="21">
        <v>5</v>
      </c>
      <c r="C10407" s="21">
        <v>571</v>
      </c>
      <c r="D10407">
        <v>11443</v>
      </c>
      <c r="E10407" t="s">
        <v>377</v>
      </c>
      <c r="F10407" s="21" t="s">
        <v>436</v>
      </c>
      <c r="G10407" s="21">
        <v>1</v>
      </c>
      <c r="I10407" s="21" t="s">
        <v>4287</v>
      </c>
      <c r="K10407" s="21" t="s">
        <v>473</v>
      </c>
      <c r="N10407" s="21" t="s">
        <v>44</v>
      </c>
      <c r="O10407" s="21">
        <v>79</v>
      </c>
      <c r="Q10407" s="21">
        <f t="shared" si="227"/>
        <v>1</v>
      </c>
      <c r="R10407" s="21">
        <v>1</v>
      </c>
      <c r="S10407" s="21">
        <v>0</v>
      </c>
      <c r="T10407" s="21">
        <v>0</v>
      </c>
      <c r="U10407" s="21">
        <v>0</v>
      </c>
      <c r="V10407" s="21">
        <v>0</v>
      </c>
      <c r="W10407" s="21">
        <v>0</v>
      </c>
      <c r="X10407" s="21">
        <v>0</v>
      </c>
      <c r="Y10407" s="21">
        <v>0</v>
      </c>
      <c r="Z10407" s="21">
        <v>0</v>
      </c>
      <c r="AA10407" s="21">
        <v>0</v>
      </c>
      <c r="AB10407" s="21">
        <v>1</v>
      </c>
      <c r="AC10407" s="21">
        <v>0</v>
      </c>
      <c r="AD10407" s="21">
        <v>0</v>
      </c>
      <c r="AE10407" s="21">
        <v>0</v>
      </c>
      <c r="AF10407" s="21">
        <v>0</v>
      </c>
      <c r="AG10407" s="21">
        <v>0</v>
      </c>
      <c r="AH10407" s="21">
        <f t="shared" si="226"/>
        <v>0</v>
      </c>
      <c r="AJ10407" s="21" t="s">
        <v>51</v>
      </c>
      <c r="AK10407" s="21" t="s">
        <v>95</v>
      </c>
      <c r="AL10407" s="21"/>
      <c r="AM10407" s="21" t="s">
        <v>8426</v>
      </c>
      <c r="AN10407" s="21">
        <v>-122.399988123333</v>
      </c>
      <c r="AO10407" s="21">
        <v>37.769255713333401</v>
      </c>
      <c r="AP10407" s="21" t="s">
        <v>116</v>
      </c>
    </row>
    <row r="10408" spans="1:42">
      <c r="A10408" s="20">
        <v>43896</v>
      </c>
      <c r="B10408" s="21">
        <v>5</v>
      </c>
      <c r="C10408" s="21">
        <v>571</v>
      </c>
      <c r="D10408">
        <v>11443</v>
      </c>
      <c r="E10408" t="s">
        <v>377</v>
      </c>
      <c r="F10408" s="21" t="s">
        <v>436</v>
      </c>
      <c r="G10408" s="21">
        <v>1</v>
      </c>
      <c r="I10408" s="21" t="s">
        <v>8427</v>
      </c>
      <c r="K10408" s="21" t="s">
        <v>8420</v>
      </c>
      <c r="N10408" s="21" t="s">
        <v>40</v>
      </c>
      <c r="O10408" s="21">
        <v>72</v>
      </c>
      <c r="Q10408" s="21">
        <f t="shared" si="227"/>
        <v>1</v>
      </c>
      <c r="R10408" s="21">
        <v>1</v>
      </c>
      <c r="S10408" s="21">
        <v>0</v>
      </c>
      <c r="T10408" s="21">
        <v>0</v>
      </c>
      <c r="U10408" s="21">
        <v>0</v>
      </c>
      <c r="V10408" s="21">
        <v>0</v>
      </c>
      <c r="W10408" s="21">
        <v>0</v>
      </c>
      <c r="X10408" s="21">
        <v>0</v>
      </c>
      <c r="Y10408" s="21">
        <v>0</v>
      </c>
      <c r="Z10408" s="21">
        <v>1</v>
      </c>
      <c r="AA10408" s="21">
        <v>0</v>
      </c>
      <c r="AB10408" s="21">
        <v>0</v>
      </c>
      <c r="AC10408" s="21">
        <v>0</v>
      </c>
      <c r="AD10408" s="21">
        <v>0</v>
      </c>
      <c r="AE10408" s="21">
        <v>0</v>
      </c>
      <c r="AF10408" s="21">
        <v>0</v>
      </c>
      <c r="AG10408" s="21">
        <v>0</v>
      </c>
      <c r="AH10408" s="21">
        <f t="shared" si="226"/>
        <v>0</v>
      </c>
      <c r="AJ10408" s="21" t="s">
        <v>51</v>
      </c>
      <c r="AK10408" s="21" t="s">
        <v>95</v>
      </c>
      <c r="AL10408" s="21"/>
      <c r="AM10408" s="21" t="s">
        <v>8428</v>
      </c>
      <c r="AN10408" s="21">
        <v>-122.40062715000001</v>
      </c>
      <c r="AO10408" s="21">
        <v>37.771333079999998</v>
      </c>
      <c r="AP10408" s="21" t="s">
        <v>116</v>
      </c>
    </row>
    <row r="10409" spans="1:42">
      <c r="A10409" s="20">
        <v>43896</v>
      </c>
      <c r="B10409" s="21">
        <v>5</v>
      </c>
      <c r="C10409" s="21">
        <v>571</v>
      </c>
      <c r="D10409">
        <v>11443</v>
      </c>
      <c r="E10409" t="s">
        <v>377</v>
      </c>
      <c r="F10409" s="21" t="s">
        <v>436</v>
      </c>
      <c r="G10409" s="21">
        <v>1</v>
      </c>
      <c r="I10409" s="21" t="s">
        <v>6227</v>
      </c>
      <c r="K10409" s="21" t="s">
        <v>8314</v>
      </c>
      <c r="N10409" s="21" t="s">
        <v>40</v>
      </c>
      <c r="O10409" s="21">
        <v>61</v>
      </c>
      <c r="Q10409" s="21">
        <f t="shared" si="227"/>
        <v>1</v>
      </c>
      <c r="R10409" s="21">
        <v>1</v>
      </c>
      <c r="S10409" s="21">
        <v>0</v>
      </c>
      <c r="T10409" s="21">
        <v>0</v>
      </c>
      <c r="U10409" s="21">
        <v>0</v>
      </c>
      <c r="V10409" s="21">
        <v>0</v>
      </c>
      <c r="W10409" s="21">
        <v>0</v>
      </c>
      <c r="X10409" s="21">
        <v>0</v>
      </c>
      <c r="Y10409" s="21">
        <v>1</v>
      </c>
      <c r="Z10409" s="21">
        <v>0</v>
      </c>
      <c r="AA10409" s="21">
        <v>0</v>
      </c>
      <c r="AB10409" s="21">
        <v>0</v>
      </c>
      <c r="AC10409" s="21">
        <v>0</v>
      </c>
      <c r="AD10409" s="21">
        <v>0</v>
      </c>
      <c r="AE10409" s="21">
        <v>0</v>
      </c>
      <c r="AF10409" s="21">
        <v>0</v>
      </c>
      <c r="AG10409" s="21">
        <v>0</v>
      </c>
      <c r="AH10409" s="21">
        <f t="shared" si="226"/>
        <v>0</v>
      </c>
      <c r="AJ10409" s="21" t="s">
        <v>51</v>
      </c>
      <c r="AK10409" s="21" t="s">
        <v>95</v>
      </c>
      <c r="AL10409" s="21"/>
      <c r="AM10409" s="21" t="s">
        <v>8429</v>
      </c>
      <c r="AN10409" s="21">
        <v>-122.403437556667</v>
      </c>
      <c r="AO10409" s="21">
        <v>37.773428096666798</v>
      </c>
      <c r="AP10409" s="21" t="s">
        <v>116</v>
      </c>
    </row>
    <row r="10410" spans="1:42">
      <c r="A10410" s="20">
        <v>43896</v>
      </c>
      <c r="B10410" s="21">
        <v>5</v>
      </c>
      <c r="C10410" s="21">
        <v>571</v>
      </c>
      <c r="D10410">
        <v>11443</v>
      </c>
      <c r="E10410" t="s">
        <v>377</v>
      </c>
      <c r="F10410" s="21" t="s">
        <v>436</v>
      </c>
      <c r="G10410" s="21">
        <v>1</v>
      </c>
      <c r="I10410" s="21" t="s">
        <v>8430</v>
      </c>
      <c r="K10410" s="21" t="s">
        <v>529</v>
      </c>
      <c r="N10410" s="21" t="s">
        <v>44</v>
      </c>
      <c r="O10410" s="21">
        <v>153</v>
      </c>
      <c r="Q10410" s="21">
        <f t="shared" si="227"/>
        <v>1</v>
      </c>
      <c r="R10410" s="21">
        <v>1</v>
      </c>
      <c r="S10410" s="21">
        <v>0</v>
      </c>
      <c r="T10410" s="21">
        <v>0</v>
      </c>
      <c r="U10410" s="21">
        <v>0</v>
      </c>
      <c r="V10410" s="21">
        <v>0</v>
      </c>
      <c r="W10410" s="21">
        <v>0</v>
      </c>
      <c r="X10410" s="21">
        <v>0</v>
      </c>
      <c r="Y10410" s="21">
        <v>0</v>
      </c>
      <c r="Z10410" s="21">
        <v>0</v>
      </c>
      <c r="AA10410" s="21">
        <v>1</v>
      </c>
      <c r="AB10410" s="21">
        <v>0</v>
      </c>
      <c r="AC10410" s="21">
        <v>0</v>
      </c>
      <c r="AD10410" s="21">
        <v>0</v>
      </c>
      <c r="AE10410" s="21">
        <v>0</v>
      </c>
      <c r="AF10410" s="21">
        <v>0</v>
      </c>
      <c r="AG10410" s="21">
        <v>0</v>
      </c>
      <c r="AH10410" s="21">
        <f t="shared" si="226"/>
        <v>0</v>
      </c>
      <c r="AJ10410" s="21" t="s">
        <v>51</v>
      </c>
      <c r="AK10410" s="21" t="s">
        <v>52</v>
      </c>
      <c r="AL10410" s="21" t="s">
        <v>8431</v>
      </c>
      <c r="AM10410" s="21" t="s">
        <v>8432</v>
      </c>
      <c r="AN10410" s="21">
        <v>-122.408308736667</v>
      </c>
      <c r="AO10410" s="21">
        <v>37.777246266666999</v>
      </c>
      <c r="AP10410" s="21" t="s">
        <v>116</v>
      </c>
    </row>
    <row r="10411" spans="1:42">
      <c r="A10411" s="20">
        <v>43896</v>
      </c>
      <c r="B10411" s="21">
        <v>5</v>
      </c>
      <c r="C10411" s="21">
        <v>571</v>
      </c>
      <c r="D10411">
        <v>11443</v>
      </c>
      <c r="E10411" t="s">
        <v>377</v>
      </c>
      <c r="F10411" s="21" t="s">
        <v>436</v>
      </c>
      <c r="G10411" s="21">
        <v>1</v>
      </c>
      <c r="I10411" s="21" t="s">
        <v>8433</v>
      </c>
      <c r="K10411" s="21" t="s">
        <v>391</v>
      </c>
      <c r="N10411" s="21" t="s">
        <v>40</v>
      </c>
      <c r="O10411" s="21">
        <v>72</v>
      </c>
      <c r="Q10411" s="21">
        <f t="shared" si="227"/>
        <v>1</v>
      </c>
      <c r="R10411" s="21">
        <v>1</v>
      </c>
      <c r="S10411" s="21">
        <v>0</v>
      </c>
      <c r="T10411" s="21">
        <v>0</v>
      </c>
      <c r="U10411" s="21">
        <v>0</v>
      </c>
      <c r="V10411" s="21">
        <v>0</v>
      </c>
      <c r="W10411" s="21">
        <v>0</v>
      </c>
      <c r="X10411" s="21">
        <v>0</v>
      </c>
      <c r="Y10411" s="21">
        <v>0</v>
      </c>
      <c r="Z10411" s="21">
        <v>1</v>
      </c>
      <c r="AA10411" s="21">
        <v>0</v>
      </c>
      <c r="AB10411" s="21">
        <v>0</v>
      </c>
      <c r="AC10411" s="21">
        <v>0</v>
      </c>
      <c r="AD10411" s="21">
        <v>0</v>
      </c>
      <c r="AE10411" s="21">
        <v>0</v>
      </c>
      <c r="AF10411" s="21">
        <v>0</v>
      </c>
      <c r="AG10411" s="21">
        <v>0</v>
      </c>
      <c r="AH10411" s="21">
        <f t="shared" si="226"/>
        <v>0</v>
      </c>
      <c r="AJ10411" s="21" t="s">
        <v>51</v>
      </c>
      <c r="AK10411" s="21" t="s">
        <v>95</v>
      </c>
      <c r="AL10411" s="21" t="s">
        <v>8325</v>
      </c>
      <c r="AM10411" s="21" t="s">
        <v>8434</v>
      </c>
      <c r="AN10411" s="21">
        <v>-122.40850645</v>
      </c>
      <c r="AO10411" s="21">
        <v>37.777381076666899</v>
      </c>
      <c r="AP10411" s="21" t="s">
        <v>116</v>
      </c>
    </row>
    <row r="10412" spans="1:42">
      <c r="A10412" s="20">
        <v>43896</v>
      </c>
      <c r="B10412" s="21">
        <v>5</v>
      </c>
      <c r="C10412" s="21">
        <v>571</v>
      </c>
      <c r="D10412">
        <v>11443</v>
      </c>
      <c r="E10412" t="s">
        <v>377</v>
      </c>
      <c r="F10412" s="21" t="s">
        <v>436</v>
      </c>
      <c r="G10412" s="21">
        <v>1</v>
      </c>
      <c r="I10412" s="21" t="s">
        <v>7361</v>
      </c>
      <c r="K10412" s="21" t="s">
        <v>391</v>
      </c>
      <c r="N10412" s="21" t="s">
        <v>44</v>
      </c>
      <c r="O10412" s="21">
        <v>128</v>
      </c>
      <c r="Q10412" s="21">
        <f t="shared" si="227"/>
        <v>1</v>
      </c>
      <c r="R10412" s="21">
        <v>1</v>
      </c>
      <c r="S10412" s="21">
        <v>0</v>
      </c>
      <c r="T10412" s="21">
        <v>0</v>
      </c>
      <c r="U10412" s="21">
        <v>0</v>
      </c>
      <c r="V10412" s="21">
        <v>0</v>
      </c>
      <c r="W10412" s="21">
        <v>0</v>
      </c>
      <c r="X10412" s="21">
        <v>0</v>
      </c>
      <c r="Y10412" s="21">
        <v>0</v>
      </c>
      <c r="Z10412" s="21">
        <v>0</v>
      </c>
      <c r="AA10412" s="21">
        <v>1</v>
      </c>
      <c r="AB10412" s="21">
        <v>0</v>
      </c>
      <c r="AC10412" s="21">
        <v>0</v>
      </c>
      <c r="AD10412" s="21">
        <v>0</v>
      </c>
      <c r="AE10412" s="21">
        <v>0</v>
      </c>
      <c r="AF10412" s="21">
        <v>0</v>
      </c>
      <c r="AG10412" s="21">
        <v>0</v>
      </c>
      <c r="AH10412" s="21">
        <f t="shared" si="226"/>
        <v>0</v>
      </c>
      <c r="AJ10412" s="21" t="s">
        <v>51</v>
      </c>
      <c r="AK10412" s="21" t="s">
        <v>52</v>
      </c>
      <c r="AL10412" s="21" t="s">
        <v>8435</v>
      </c>
      <c r="AM10412" s="21" t="s">
        <v>8436</v>
      </c>
      <c r="AN10412" s="21">
        <v>-122.409100086667</v>
      </c>
      <c r="AO10412" s="21">
        <v>37.777890880000001</v>
      </c>
      <c r="AP10412" s="21" t="s">
        <v>116</v>
      </c>
    </row>
    <row r="10413" spans="1:42">
      <c r="A10413" s="20">
        <v>43896</v>
      </c>
      <c r="B10413" s="21">
        <v>5</v>
      </c>
      <c r="C10413" s="21">
        <v>571</v>
      </c>
      <c r="D10413">
        <v>11443</v>
      </c>
      <c r="E10413" t="s">
        <v>377</v>
      </c>
      <c r="F10413" s="21" t="s">
        <v>436</v>
      </c>
      <c r="G10413" s="21">
        <v>1</v>
      </c>
      <c r="I10413" s="21" t="s">
        <v>3752</v>
      </c>
      <c r="K10413" s="21" t="s">
        <v>529</v>
      </c>
      <c r="N10413" s="21" t="s">
        <v>40</v>
      </c>
      <c r="O10413" s="21">
        <v>69</v>
      </c>
      <c r="Q10413" s="21">
        <f t="shared" si="227"/>
        <v>1</v>
      </c>
      <c r="R10413" s="21">
        <v>1</v>
      </c>
      <c r="S10413" s="21">
        <v>0</v>
      </c>
      <c r="T10413" s="21">
        <v>0</v>
      </c>
      <c r="U10413" s="21">
        <v>0</v>
      </c>
      <c r="V10413" s="21">
        <v>0</v>
      </c>
      <c r="W10413" s="21">
        <v>0</v>
      </c>
      <c r="X10413" s="21">
        <v>0</v>
      </c>
      <c r="Y10413" s="21">
        <v>0</v>
      </c>
      <c r="Z10413" s="21">
        <v>0</v>
      </c>
      <c r="AA10413" s="21">
        <v>1</v>
      </c>
      <c r="AB10413" s="21">
        <v>0</v>
      </c>
      <c r="AC10413" s="21">
        <v>0</v>
      </c>
      <c r="AD10413" s="21">
        <v>0</v>
      </c>
      <c r="AE10413" s="21">
        <v>0</v>
      </c>
      <c r="AF10413" s="21">
        <v>0</v>
      </c>
      <c r="AG10413" s="21">
        <v>0</v>
      </c>
      <c r="AH10413" s="21">
        <f t="shared" si="226"/>
        <v>0</v>
      </c>
      <c r="AJ10413" s="21" t="s">
        <v>51</v>
      </c>
      <c r="AK10413" s="21" t="s">
        <v>52</v>
      </c>
      <c r="AL10413" s="21" t="s">
        <v>8437</v>
      </c>
      <c r="AM10413" s="21" t="s">
        <v>8438</v>
      </c>
      <c r="AN10413" s="21">
        <v>-122.40962073999999</v>
      </c>
      <c r="AO10413" s="21">
        <v>37.777921683333297</v>
      </c>
      <c r="AP10413" s="21" t="s">
        <v>116</v>
      </c>
    </row>
    <row r="10414" spans="1:42">
      <c r="A10414" s="20">
        <v>43896</v>
      </c>
      <c r="B10414" s="21">
        <v>5</v>
      </c>
      <c r="C10414" s="21">
        <v>571</v>
      </c>
      <c r="D10414">
        <v>11443</v>
      </c>
      <c r="E10414" t="s">
        <v>377</v>
      </c>
      <c r="F10414" s="21" t="s">
        <v>436</v>
      </c>
      <c r="G10414" s="21">
        <v>1</v>
      </c>
      <c r="I10414" s="21" t="s">
        <v>8439</v>
      </c>
      <c r="K10414" s="21" t="s">
        <v>391</v>
      </c>
      <c r="N10414" s="21" t="s">
        <v>44</v>
      </c>
      <c r="O10414" s="21">
        <v>86</v>
      </c>
      <c r="Q10414" s="21">
        <f t="shared" si="227"/>
        <v>1</v>
      </c>
      <c r="R10414" s="21">
        <v>1</v>
      </c>
      <c r="S10414" s="21">
        <v>0</v>
      </c>
      <c r="T10414" s="21">
        <v>0</v>
      </c>
      <c r="U10414" s="21">
        <v>0</v>
      </c>
      <c r="V10414" s="21">
        <v>0</v>
      </c>
      <c r="W10414" s="21">
        <v>0</v>
      </c>
      <c r="X10414" s="21">
        <v>0</v>
      </c>
      <c r="Y10414" s="21">
        <v>0</v>
      </c>
      <c r="Z10414" s="21">
        <v>0</v>
      </c>
      <c r="AA10414" s="21">
        <v>1</v>
      </c>
      <c r="AB10414" s="21">
        <v>0</v>
      </c>
      <c r="AC10414" s="21">
        <v>0</v>
      </c>
      <c r="AD10414" s="21">
        <v>0</v>
      </c>
      <c r="AE10414" s="21">
        <v>0</v>
      </c>
      <c r="AF10414" s="21">
        <v>0</v>
      </c>
      <c r="AG10414" s="21">
        <v>0</v>
      </c>
      <c r="AH10414" s="21">
        <f t="shared" si="226"/>
        <v>0</v>
      </c>
      <c r="AJ10414" s="21" t="s">
        <v>51</v>
      </c>
      <c r="AK10414" s="21" t="s">
        <v>52</v>
      </c>
      <c r="AL10414" s="21" t="s">
        <v>8440</v>
      </c>
      <c r="AM10414" s="21" t="s">
        <v>8441</v>
      </c>
      <c r="AN10414" s="21">
        <v>-122.408058063333</v>
      </c>
      <c r="AO10414" s="21">
        <v>37.776302463342198</v>
      </c>
      <c r="AP10414" s="21" t="s">
        <v>116</v>
      </c>
    </row>
    <row r="10415" spans="1:42">
      <c r="A10415" s="20">
        <v>43896</v>
      </c>
      <c r="B10415" s="21">
        <v>5</v>
      </c>
      <c r="C10415" s="21">
        <v>571</v>
      </c>
      <c r="D10415">
        <v>11443</v>
      </c>
      <c r="E10415" t="s">
        <v>377</v>
      </c>
      <c r="F10415" s="21" t="s">
        <v>436</v>
      </c>
      <c r="G10415" s="21">
        <v>1</v>
      </c>
      <c r="I10415" s="21" t="s">
        <v>8442</v>
      </c>
      <c r="K10415" s="21" t="s">
        <v>390</v>
      </c>
      <c r="N10415" s="21" t="s">
        <v>40</v>
      </c>
      <c r="O10415" s="21">
        <v>78</v>
      </c>
      <c r="Q10415" s="21">
        <f t="shared" si="227"/>
        <v>1</v>
      </c>
      <c r="R10415" s="21">
        <v>1</v>
      </c>
      <c r="S10415" s="21">
        <v>0</v>
      </c>
      <c r="T10415" s="21">
        <v>0</v>
      </c>
      <c r="U10415" s="21">
        <v>0</v>
      </c>
      <c r="V10415" s="21">
        <v>0</v>
      </c>
      <c r="W10415" s="21">
        <v>0</v>
      </c>
      <c r="X10415" s="21">
        <v>0</v>
      </c>
      <c r="Y10415" s="21">
        <v>0</v>
      </c>
      <c r="Z10415" s="21">
        <v>0</v>
      </c>
      <c r="AA10415" s="21">
        <v>0</v>
      </c>
      <c r="AB10415" s="21">
        <v>1</v>
      </c>
      <c r="AC10415" s="21">
        <v>0</v>
      </c>
      <c r="AD10415" s="21">
        <v>0</v>
      </c>
      <c r="AE10415" s="21">
        <v>0</v>
      </c>
      <c r="AF10415" s="21">
        <v>0</v>
      </c>
      <c r="AG10415" s="21">
        <v>0</v>
      </c>
      <c r="AH10415" s="21">
        <f t="shared" si="226"/>
        <v>0</v>
      </c>
      <c r="AJ10415" s="21" t="s">
        <v>51</v>
      </c>
      <c r="AK10415" s="21" t="s">
        <v>95</v>
      </c>
      <c r="AL10415" s="21" t="s">
        <v>8443</v>
      </c>
      <c r="AM10415" s="21" t="s">
        <v>8444</v>
      </c>
      <c r="AN10415" s="21">
        <v>-122.407800103333</v>
      </c>
      <c r="AO10415" s="21">
        <v>37.779392746667</v>
      </c>
      <c r="AP10415" s="21" t="s">
        <v>116</v>
      </c>
    </row>
    <row r="10416" spans="1:42">
      <c r="A10416" s="20">
        <v>43896</v>
      </c>
      <c r="B10416" s="21">
        <v>5</v>
      </c>
      <c r="C10416" s="21">
        <v>571</v>
      </c>
      <c r="D10416">
        <v>11443</v>
      </c>
      <c r="E10416" t="s">
        <v>377</v>
      </c>
      <c r="F10416" s="21" t="s">
        <v>436</v>
      </c>
      <c r="G10416" s="21">
        <v>1</v>
      </c>
      <c r="I10416" s="21" t="s">
        <v>6515</v>
      </c>
      <c r="K10416" s="21" t="s">
        <v>390</v>
      </c>
      <c r="N10416" s="21" t="s">
        <v>44</v>
      </c>
      <c r="O10416" s="21">
        <v>194</v>
      </c>
      <c r="Q10416" s="21">
        <f t="shared" si="227"/>
        <v>2</v>
      </c>
      <c r="R10416" s="21">
        <v>1</v>
      </c>
      <c r="S10416" s="21">
        <v>0</v>
      </c>
      <c r="T10416" s="21">
        <v>0</v>
      </c>
      <c r="U10416" s="21">
        <v>0</v>
      </c>
      <c r="V10416" s="21">
        <v>0</v>
      </c>
      <c r="W10416" s="21">
        <v>0</v>
      </c>
      <c r="X10416" s="21">
        <v>0</v>
      </c>
      <c r="Y10416" s="21">
        <v>0</v>
      </c>
      <c r="Z10416" s="21">
        <v>0</v>
      </c>
      <c r="AA10416" s="21">
        <v>2</v>
      </c>
      <c r="AB10416" s="21">
        <v>0</v>
      </c>
      <c r="AC10416" s="21">
        <v>0</v>
      </c>
      <c r="AD10416" s="21">
        <v>0</v>
      </c>
      <c r="AE10416" s="21">
        <v>0</v>
      </c>
      <c r="AF10416" s="21">
        <v>0</v>
      </c>
      <c r="AG10416" s="21">
        <v>0</v>
      </c>
      <c r="AH10416" s="21">
        <f t="shared" si="226"/>
        <v>0</v>
      </c>
      <c r="AJ10416" s="21" t="s">
        <v>51</v>
      </c>
      <c r="AK10416" s="21" t="s">
        <v>95</v>
      </c>
      <c r="AL10416" s="21" t="s">
        <v>8445</v>
      </c>
      <c r="AM10416" s="21" t="s">
        <v>8446</v>
      </c>
      <c r="AN10416" s="21">
        <v>-122.40815271</v>
      </c>
      <c r="AO10416" s="21">
        <v>37.779954833335402</v>
      </c>
      <c r="AP10416" s="21" t="s">
        <v>116</v>
      </c>
    </row>
    <row r="10417" spans="1:42">
      <c r="A10417" s="20">
        <v>43896</v>
      </c>
      <c r="B10417" s="21">
        <v>5</v>
      </c>
      <c r="C10417" s="21">
        <v>571</v>
      </c>
      <c r="D10417">
        <v>11443</v>
      </c>
      <c r="E10417" t="s">
        <v>377</v>
      </c>
      <c r="F10417" s="21" t="s">
        <v>436</v>
      </c>
      <c r="G10417" s="21">
        <v>1</v>
      </c>
      <c r="I10417" s="21" t="s">
        <v>3767</v>
      </c>
      <c r="K10417" s="21" t="s">
        <v>8380</v>
      </c>
      <c r="N10417" s="21" t="s">
        <v>40</v>
      </c>
      <c r="O10417" s="21">
        <v>83</v>
      </c>
      <c r="Q10417" s="21">
        <f t="shared" si="227"/>
        <v>1</v>
      </c>
      <c r="R10417" s="21">
        <v>1</v>
      </c>
      <c r="S10417" s="21">
        <v>0</v>
      </c>
      <c r="T10417" s="21">
        <v>0</v>
      </c>
      <c r="U10417" s="21">
        <v>0</v>
      </c>
      <c r="V10417" s="21">
        <v>0</v>
      </c>
      <c r="W10417" s="21">
        <v>0</v>
      </c>
      <c r="X10417" s="21">
        <v>0</v>
      </c>
      <c r="Y10417" s="21">
        <v>0</v>
      </c>
      <c r="Z10417" s="21">
        <v>0</v>
      </c>
      <c r="AA10417" s="21">
        <v>1</v>
      </c>
      <c r="AB10417" s="21">
        <v>0</v>
      </c>
      <c r="AC10417" s="21">
        <v>0</v>
      </c>
      <c r="AD10417" s="21">
        <v>0</v>
      </c>
      <c r="AE10417" s="21">
        <v>0</v>
      </c>
      <c r="AF10417" s="21">
        <v>0</v>
      </c>
      <c r="AG10417" s="21">
        <v>0</v>
      </c>
      <c r="AH10417" s="21">
        <f t="shared" si="226"/>
        <v>0</v>
      </c>
      <c r="AJ10417" s="21" t="s">
        <v>51</v>
      </c>
      <c r="AK10417" s="21" t="s">
        <v>95</v>
      </c>
      <c r="AL10417" s="21" t="s">
        <v>8447</v>
      </c>
      <c r="AM10417" s="21" t="s">
        <v>8448</v>
      </c>
      <c r="AN10417" s="21">
        <v>-122.409160143333</v>
      </c>
      <c r="AO10417" s="21">
        <v>37.780695883335603</v>
      </c>
      <c r="AP10417" s="21" t="s">
        <v>116</v>
      </c>
    </row>
    <row r="10418" spans="1:42">
      <c r="A10418" s="20">
        <v>43896</v>
      </c>
      <c r="B10418" s="21">
        <v>5</v>
      </c>
      <c r="C10418" s="21">
        <v>571</v>
      </c>
      <c r="D10418">
        <v>11443</v>
      </c>
      <c r="E10418" t="s">
        <v>377</v>
      </c>
      <c r="F10418" s="21" t="s">
        <v>436</v>
      </c>
      <c r="G10418" s="21">
        <v>1</v>
      </c>
      <c r="I10418" s="21" t="s">
        <v>4375</v>
      </c>
      <c r="K10418" s="21" t="s">
        <v>394</v>
      </c>
      <c r="N10418" s="21" t="s">
        <v>40</v>
      </c>
      <c r="O10418" s="21">
        <v>67</v>
      </c>
      <c r="Q10418" s="21">
        <f t="shared" si="227"/>
        <v>1</v>
      </c>
      <c r="R10418" s="21">
        <v>1</v>
      </c>
      <c r="S10418" s="21">
        <v>0</v>
      </c>
      <c r="T10418" s="21">
        <v>0</v>
      </c>
      <c r="U10418" s="21">
        <v>0</v>
      </c>
      <c r="V10418" s="21">
        <v>0</v>
      </c>
      <c r="W10418" s="21">
        <v>0</v>
      </c>
      <c r="X10418" s="21">
        <v>0</v>
      </c>
      <c r="Y10418" s="21">
        <v>0</v>
      </c>
      <c r="Z10418" s="21">
        <v>0</v>
      </c>
      <c r="AA10418" s="21">
        <v>1</v>
      </c>
      <c r="AB10418" s="21">
        <v>0</v>
      </c>
      <c r="AC10418" s="21">
        <v>0</v>
      </c>
      <c r="AD10418" s="21">
        <v>0</v>
      </c>
      <c r="AE10418" s="21">
        <v>0</v>
      </c>
      <c r="AF10418" s="21">
        <v>0</v>
      </c>
      <c r="AG10418" s="21">
        <v>0</v>
      </c>
      <c r="AH10418" s="21">
        <f t="shared" si="226"/>
        <v>0</v>
      </c>
      <c r="AJ10418" s="21" t="s">
        <v>51</v>
      </c>
      <c r="AK10418" s="21" t="s">
        <v>95</v>
      </c>
      <c r="AL10418" s="21" t="s">
        <v>8449</v>
      </c>
      <c r="AM10418" s="21" t="s">
        <v>8450</v>
      </c>
      <c r="AN10418" s="21">
        <v>-122.409638973333</v>
      </c>
      <c r="AO10418" s="21">
        <v>37.779472656682202</v>
      </c>
      <c r="AP10418" s="21" t="s">
        <v>116</v>
      </c>
    </row>
    <row r="10419" spans="1:42">
      <c r="A10419" s="20">
        <v>43896</v>
      </c>
      <c r="B10419" s="21">
        <v>5</v>
      </c>
      <c r="C10419" s="21">
        <v>571</v>
      </c>
      <c r="D10419">
        <v>11443</v>
      </c>
      <c r="E10419" t="s">
        <v>377</v>
      </c>
      <c r="F10419" s="21" t="s">
        <v>436</v>
      </c>
      <c r="G10419" s="21">
        <v>1</v>
      </c>
      <c r="I10419" s="21" t="s">
        <v>3696</v>
      </c>
      <c r="K10419" s="21" t="s">
        <v>73</v>
      </c>
      <c r="N10419" s="21" t="s">
        <v>40</v>
      </c>
      <c r="O10419" s="21">
        <v>104</v>
      </c>
      <c r="Q10419" s="21">
        <f t="shared" si="227"/>
        <v>1</v>
      </c>
      <c r="R10419" s="21">
        <v>1</v>
      </c>
      <c r="S10419" s="21">
        <v>0</v>
      </c>
      <c r="T10419" s="21">
        <v>0</v>
      </c>
      <c r="U10419" s="21">
        <v>0</v>
      </c>
      <c r="V10419" s="21">
        <v>0</v>
      </c>
      <c r="W10419" s="21">
        <v>0</v>
      </c>
      <c r="X10419" s="21">
        <v>0</v>
      </c>
      <c r="Y10419" s="21">
        <v>1</v>
      </c>
      <c r="Z10419" s="21">
        <v>0</v>
      </c>
      <c r="AA10419" s="21">
        <v>0</v>
      </c>
      <c r="AB10419" s="21">
        <v>0</v>
      </c>
      <c r="AC10419" s="21">
        <v>0</v>
      </c>
      <c r="AD10419" s="21">
        <v>0</v>
      </c>
      <c r="AE10419" s="21">
        <v>0</v>
      </c>
      <c r="AF10419" s="21">
        <v>0</v>
      </c>
      <c r="AG10419" s="21">
        <v>0</v>
      </c>
      <c r="AH10419" s="21">
        <f t="shared" si="226"/>
        <v>0</v>
      </c>
      <c r="AJ10419" s="21" t="s">
        <v>51</v>
      </c>
      <c r="AK10419" s="21" t="s">
        <v>52</v>
      </c>
      <c r="AL10419" s="21" t="s">
        <v>8451</v>
      </c>
      <c r="AM10419" s="21" t="s">
        <v>8452</v>
      </c>
      <c r="AN10419" s="21">
        <v>-122.410594543333</v>
      </c>
      <c r="AO10419" s="21">
        <v>37.779140343344402</v>
      </c>
      <c r="AP10419" s="21" t="s">
        <v>116</v>
      </c>
    </row>
    <row r="10420" spans="1:42">
      <c r="A10420" s="20">
        <v>43896</v>
      </c>
      <c r="B10420" s="21">
        <v>5</v>
      </c>
      <c r="C10420" s="21">
        <v>571</v>
      </c>
      <c r="D10420">
        <v>11443</v>
      </c>
      <c r="E10420" t="s">
        <v>377</v>
      </c>
      <c r="F10420" s="21" t="s">
        <v>436</v>
      </c>
      <c r="G10420" s="21">
        <v>1</v>
      </c>
      <c r="I10420" s="21" t="s">
        <v>8453</v>
      </c>
      <c r="K10420" s="21" t="s">
        <v>4160</v>
      </c>
      <c r="N10420" s="21" t="s">
        <v>44</v>
      </c>
      <c r="O10420" s="21">
        <v>75</v>
      </c>
      <c r="Q10420" s="21">
        <f t="shared" si="227"/>
        <v>1</v>
      </c>
      <c r="R10420" s="21">
        <v>1</v>
      </c>
      <c r="S10420" s="21">
        <v>0</v>
      </c>
      <c r="T10420" s="21">
        <v>0</v>
      </c>
      <c r="U10420" s="21">
        <v>0</v>
      </c>
      <c r="V10420" s="21">
        <v>0</v>
      </c>
      <c r="W10420" s="21">
        <v>0</v>
      </c>
      <c r="X10420" s="21">
        <v>0</v>
      </c>
      <c r="Y10420" s="21">
        <v>0</v>
      </c>
      <c r="Z10420" s="21">
        <v>0</v>
      </c>
      <c r="AA10420" s="21">
        <v>1</v>
      </c>
      <c r="AB10420" s="21">
        <v>0</v>
      </c>
      <c r="AC10420" s="21">
        <v>0</v>
      </c>
      <c r="AD10420" s="21">
        <v>0</v>
      </c>
      <c r="AE10420" s="21">
        <v>0</v>
      </c>
      <c r="AF10420" s="21">
        <v>0</v>
      </c>
      <c r="AG10420" s="21">
        <v>0</v>
      </c>
      <c r="AH10420" s="21">
        <f t="shared" si="226"/>
        <v>0</v>
      </c>
      <c r="AJ10420" s="21" t="s">
        <v>51</v>
      </c>
      <c r="AK10420" s="21" t="s">
        <v>52</v>
      </c>
      <c r="AL10420" s="21" t="s">
        <v>8454</v>
      </c>
      <c r="AM10420" s="21" t="s">
        <v>8455</v>
      </c>
      <c r="AN10420" s="21">
        <v>-122.41267434333299</v>
      </c>
      <c r="AO10420" s="21">
        <v>37.778715536666802</v>
      </c>
      <c r="AP10420" s="21" t="s">
        <v>116</v>
      </c>
    </row>
    <row r="10421" spans="1:42">
      <c r="A10421" s="20">
        <v>43896</v>
      </c>
      <c r="B10421" s="21">
        <v>5</v>
      </c>
      <c r="C10421" s="21">
        <v>571</v>
      </c>
      <c r="D10421">
        <v>11443</v>
      </c>
      <c r="E10421" t="s">
        <v>377</v>
      </c>
      <c r="F10421" s="21" t="s">
        <v>436</v>
      </c>
      <c r="G10421" s="21">
        <v>1</v>
      </c>
      <c r="I10421" s="21" t="s">
        <v>8456</v>
      </c>
      <c r="K10421" s="21" t="s">
        <v>101</v>
      </c>
      <c r="N10421" s="21" t="s">
        <v>40</v>
      </c>
      <c r="O10421" s="21">
        <v>72</v>
      </c>
      <c r="Q10421" s="21">
        <f t="shared" si="227"/>
        <v>1</v>
      </c>
      <c r="R10421" s="21">
        <v>1</v>
      </c>
      <c r="S10421" s="21">
        <v>0</v>
      </c>
      <c r="T10421" s="21">
        <v>0</v>
      </c>
      <c r="U10421" s="21">
        <v>0</v>
      </c>
      <c r="V10421" s="21">
        <v>0</v>
      </c>
      <c r="W10421" s="21">
        <v>0</v>
      </c>
      <c r="X10421" s="21">
        <v>0</v>
      </c>
      <c r="Y10421" s="21">
        <v>0</v>
      </c>
      <c r="Z10421" s="21">
        <v>1</v>
      </c>
      <c r="AA10421" s="21">
        <v>0</v>
      </c>
      <c r="AB10421" s="21">
        <v>0</v>
      </c>
      <c r="AC10421" s="21">
        <v>0</v>
      </c>
      <c r="AD10421" s="21">
        <v>0</v>
      </c>
      <c r="AE10421" s="21">
        <v>0</v>
      </c>
      <c r="AF10421" s="21">
        <v>0</v>
      </c>
      <c r="AG10421" s="21">
        <v>0</v>
      </c>
      <c r="AH10421" s="21">
        <f t="shared" ref="AH10421:AH10484" si="228">(S10421*16)+(T10421*20)+(U10421*32)+(V10421*64)+(W10421*96)</f>
        <v>0</v>
      </c>
      <c r="AJ10421" s="21" t="s">
        <v>51</v>
      </c>
      <c r="AK10421" s="21" t="s">
        <v>95</v>
      </c>
      <c r="AL10421" s="21" t="s">
        <v>8457</v>
      </c>
      <c r="AM10421" s="21" t="s">
        <v>8458</v>
      </c>
      <c r="AN10421" s="21">
        <v>-122.40994488</v>
      </c>
      <c r="AO10421" s="21">
        <v>37.781035056741999</v>
      </c>
      <c r="AP10421" s="21" t="s">
        <v>116</v>
      </c>
    </row>
    <row r="10422" spans="1:42">
      <c r="A10422" s="20">
        <v>43896</v>
      </c>
      <c r="B10422" s="21">
        <v>5</v>
      </c>
      <c r="C10422" s="21">
        <v>571</v>
      </c>
      <c r="D10422">
        <v>11443</v>
      </c>
      <c r="E10422" t="s">
        <v>377</v>
      </c>
      <c r="F10422" s="21" t="s">
        <v>436</v>
      </c>
      <c r="G10422" s="21">
        <v>1</v>
      </c>
      <c r="I10422" s="21" t="s">
        <v>3192</v>
      </c>
      <c r="K10422" s="21" t="s">
        <v>101</v>
      </c>
      <c r="N10422" s="21" t="s">
        <v>40</v>
      </c>
      <c r="O10422" s="21">
        <v>99</v>
      </c>
      <c r="Q10422" s="21">
        <f t="shared" si="227"/>
        <v>1</v>
      </c>
      <c r="R10422" s="21">
        <v>1</v>
      </c>
      <c r="S10422" s="21">
        <v>0</v>
      </c>
      <c r="T10422" s="21">
        <v>0</v>
      </c>
      <c r="U10422" s="21">
        <v>0</v>
      </c>
      <c r="V10422" s="21">
        <v>0</v>
      </c>
      <c r="W10422" s="21">
        <v>0</v>
      </c>
      <c r="X10422" s="21">
        <v>0</v>
      </c>
      <c r="Y10422" s="21">
        <v>0</v>
      </c>
      <c r="Z10422" s="21">
        <v>1</v>
      </c>
      <c r="AA10422" s="21">
        <v>0</v>
      </c>
      <c r="AB10422" s="21">
        <v>0</v>
      </c>
      <c r="AC10422" s="21">
        <v>0</v>
      </c>
      <c r="AD10422" s="21">
        <v>0</v>
      </c>
      <c r="AE10422" s="21">
        <v>0</v>
      </c>
      <c r="AF10422" s="21">
        <v>0</v>
      </c>
      <c r="AG10422" s="21">
        <v>0</v>
      </c>
      <c r="AH10422" s="21">
        <f t="shared" si="228"/>
        <v>0</v>
      </c>
      <c r="AJ10422" s="21" t="s">
        <v>51</v>
      </c>
      <c r="AK10422" s="21" t="s">
        <v>95</v>
      </c>
      <c r="AL10422" s="21"/>
      <c r="AM10422" s="21" t="s">
        <v>8459</v>
      </c>
      <c r="AN10422" s="21">
        <v>-122.410739563333</v>
      </c>
      <c r="AO10422" s="21">
        <v>37.783277470000897</v>
      </c>
      <c r="AP10422" s="21" t="s">
        <v>116</v>
      </c>
    </row>
    <row r="10423" spans="1:42">
      <c r="A10423" s="20">
        <v>43896</v>
      </c>
      <c r="B10423" s="21">
        <v>5</v>
      </c>
      <c r="C10423" s="21">
        <v>571</v>
      </c>
      <c r="D10423">
        <v>11443</v>
      </c>
      <c r="E10423" t="s">
        <v>377</v>
      </c>
      <c r="F10423" s="21" t="s">
        <v>436</v>
      </c>
      <c r="G10423" s="21">
        <v>1</v>
      </c>
      <c r="I10423" s="21" t="s">
        <v>6212</v>
      </c>
      <c r="K10423" s="21" t="s">
        <v>94</v>
      </c>
      <c r="N10423" s="21" t="s">
        <v>40</v>
      </c>
      <c r="O10423" s="21">
        <v>78</v>
      </c>
      <c r="Q10423" s="21">
        <f t="shared" si="227"/>
        <v>1</v>
      </c>
      <c r="R10423" s="21">
        <v>1</v>
      </c>
      <c r="S10423" s="21">
        <v>0</v>
      </c>
      <c r="T10423" s="21">
        <v>0</v>
      </c>
      <c r="U10423" s="21">
        <v>0</v>
      </c>
      <c r="V10423" s="21">
        <v>0</v>
      </c>
      <c r="W10423" s="21">
        <v>0</v>
      </c>
      <c r="X10423" s="21">
        <v>0</v>
      </c>
      <c r="Y10423" s="21">
        <v>0</v>
      </c>
      <c r="Z10423" s="21">
        <v>1</v>
      </c>
      <c r="AA10423" s="21">
        <v>0</v>
      </c>
      <c r="AB10423" s="21">
        <v>0</v>
      </c>
      <c r="AC10423" s="21">
        <v>0</v>
      </c>
      <c r="AD10423" s="21">
        <v>0</v>
      </c>
      <c r="AE10423" s="21">
        <v>0</v>
      </c>
      <c r="AF10423" s="21">
        <v>0</v>
      </c>
      <c r="AG10423" s="21">
        <v>0</v>
      </c>
      <c r="AH10423" s="21">
        <f t="shared" si="228"/>
        <v>0</v>
      </c>
      <c r="AJ10423" s="21" t="s">
        <v>51</v>
      </c>
      <c r="AK10423" s="21" t="s">
        <v>95</v>
      </c>
      <c r="AL10423" s="21" t="s">
        <v>8460</v>
      </c>
      <c r="AM10423" s="21" t="s">
        <v>8461</v>
      </c>
      <c r="AN10423" s="21">
        <v>-122.410840486667</v>
      </c>
      <c r="AO10423" s="21">
        <v>37.7837240066672</v>
      </c>
      <c r="AP10423" s="21" t="s">
        <v>116</v>
      </c>
    </row>
    <row r="10424" spans="1:42">
      <c r="A10424" s="20">
        <v>43896</v>
      </c>
      <c r="B10424" s="21">
        <v>5</v>
      </c>
      <c r="C10424" s="21">
        <v>571</v>
      </c>
      <c r="D10424">
        <v>11443</v>
      </c>
      <c r="E10424" t="s">
        <v>377</v>
      </c>
      <c r="F10424" s="21" t="s">
        <v>436</v>
      </c>
      <c r="G10424" s="21">
        <v>1</v>
      </c>
      <c r="I10424" s="21" t="s">
        <v>6147</v>
      </c>
      <c r="K10424" s="21" t="s">
        <v>6992</v>
      </c>
      <c r="N10424" s="21" t="s">
        <v>40</v>
      </c>
      <c r="O10424" s="21">
        <v>158</v>
      </c>
      <c r="Q10424" s="21">
        <f t="shared" si="227"/>
        <v>1</v>
      </c>
      <c r="R10424" s="21">
        <v>1</v>
      </c>
      <c r="S10424" s="21">
        <v>0</v>
      </c>
      <c r="T10424" s="21">
        <v>0</v>
      </c>
      <c r="U10424" s="21">
        <v>0</v>
      </c>
      <c r="V10424" s="21">
        <v>0</v>
      </c>
      <c r="W10424" s="21">
        <v>0</v>
      </c>
      <c r="X10424" s="21">
        <v>0</v>
      </c>
      <c r="Y10424" s="21">
        <v>0</v>
      </c>
      <c r="Z10424" s="21">
        <v>0</v>
      </c>
      <c r="AA10424" s="21">
        <v>0</v>
      </c>
      <c r="AB10424" s="21">
        <v>1</v>
      </c>
      <c r="AC10424" s="21">
        <v>0</v>
      </c>
      <c r="AD10424" s="21">
        <v>0</v>
      </c>
      <c r="AE10424" s="21">
        <v>0</v>
      </c>
      <c r="AF10424" s="21">
        <v>0</v>
      </c>
      <c r="AG10424" s="21">
        <v>0</v>
      </c>
      <c r="AH10424" s="21">
        <f t="shared" si="228"/>
        <v>0</v>
      </c>
      <c r="AJ10424" s="21" t="s">
        <v>54</v>
      </c>
      <c r="AK10424" s="21" t="s">
        <v>95</v>
      </c>
      <c r="AL10424" s="21" t="s">
        <v>8462</v>
      </c>
      <c r="AM10424" s="21" t="s">
        <v>8463</v>
      </c>
      <c r="AN10424" s="21">
        <v>-122.412588573333</v>
      </c>
      <c r="AO10424" s="21">
        <v>37.783930890000697</v>
      </c>
      <c r="AP10424" s="21" t="s">
        <v>116</v>
      </c>
    </row>
    <row r="10425" spans="1:42">
      <c r="A10425" s="20">
        <v>43896</v>
      </c>
      <c r="B10425" s="21">
        <v>5</v>
      </c>
      <c r="C10425" s="21">
        <v>571</v>
      </c>
      <c r="D10425">
        <v>11443</v>
      </c>
      <c r="E10425" t="s">
        <v>377</v>
      </c>
      <c r="F10425" s="21" t="s">
        <v>436</v>
      </c>
      <c r="G10425" s="21">
        <v>1</v>
      </c>
      <c r="I10425" s="21" t="s">
        <v>3487</v>
      </c>
      <c r="K10425" s="21" t="s">
        <v>8357</v>
      </c>
      <c r="N10425" s="21" t="s">
        <v>44</v>
      </c>
      <c r="O10425" s="21">
        <v>129</v>
      </c>
      <c r="Q10425" s="21">
        <f t="shared" si="227"/>
        <v>2</v>
      </c>
      <c r="R10425" s="21">
        <v>1</v>
      </c>
      <c r="S10425" s="21">
        <v>0</v>
      </c>
      <c r="T10425" s="21">
        <v>0</v>
      </c>
      <c r="U10425" s="21">
        <v>0</v>
      </c>
      <c r="V10425" s="21">
        <v>0</v>
      </c>
      <c r="W10425" s="21">
        <v>0</v>
      </c>
      <c r="X10425" s="21">
        <v>0</v>
      </c>
      <c r="Y10425" s="21">
        <v>0</v>
      </c>
      <c r="Z10425" s="21">
        <v>0</v>
      </c>
      <c r="AA10425" s="21">
        <v>1</v>
      </c>
      <c r="AB10425" s="21">
        <v>1</v>
      </c>
      <c r="AC10425" s="21">
        <v>0</v>
      </c>
      <c r="AD10425" s="21">
        <v>0</v>
      </c>
      <c r="AE10425" s="21">
        <v>0</v>
      </c>
      <c r="AF10425" s="21">
        <v>0</v>
      </c>
      <c r="AG10425" s="21">
        <v>0</v>
      </c>
      <c r="AH10425" s="21">
        <f t="shared" si="228"/>
        <v>0</v>
      </c>
      <c r="AJ10425" s="21"/>
      <c r="AK10425" s="21" t="s">
        <v>95</v>
      </c>
      <c r="AL10425" s="21" t="s">
        <v>8464</v>
      </c>
      <c r="AM10425" s="21" t="s">
        <v>8465</v>
      </c>
      <c r="AN10425" s="21">
        <v>-122.40852425</v>
      </c>
      <c r="AO10425" s="21">
        <v>37.785337576670997</v>
      </c>
      <c r="AP10425" s="21" t="s">
        <v>116</v>
      </c>
    </row>
    <row r="10426" spans="1:42">
      <c r="A10426" s="20">
        <v>43896</v>
      </c>
      <c r="B10426" s="21">
        <v>5</v>
      </c>
      <c r="C10426" s="21">
        <v>571</v>
      </c>
      <c r="D10426">
        <v>11443</v>
      </c>
      <c r="E10426" t="s">
        <v>377</v>
      </c>
      <c r="F10426" s="21" t="s">
        <v>436</v>
      </c>
      <c r="G10426" s="21">
        <v>1</v>
      </c>
      <c r="I10426" s="21" t="s">
        <v>4237</v>
      </c>
      <c r="K10426" s="21" t="s">
        <v>101</v>
      </c>
      <c r="N10426" s="21" t="s">
        <v>40</v>
      </c>
      <c r="O10426" s="21">
        <v>89</v>
      </c>
      <c r="Q10426" s="21">
        <f t="shared" si="227"/>
        <v>1</v>
      </c>
      <c r="R10426" s="21">
        <v>1</v>
      </c>
      <c r="S10426" s="21">
        <v>0</v>
      </c>
      <c r="T10426" s="21">
        <v>0</v>
      </c>
      <c r="U10426" s="21">
        <v>0</v>
      </c>
      <c r="V10426" s="21">
        <v>0</v>
      </c>
      <c r="W10426" s="21">
        <v>0</v>
      </c>
      <c r="X10426" s="21">
        <v>0</v>
      </c>
      <c r="Y10426" s="21">
        <v>0</v>
      </c>
      <c r="Z10426" s="21">
        <v>0</v>
      </c>
      <c r="AA10426" s="21">
        <v>0</v>
      </c>
      <c r="AB10426" s="21">
        <v>1</v>
      </c>
      <c r="AC10426" s="21">
        <v>0</v>
      </c>
      <c r="AD10426" s="21">
        <v>0</v>
      </c>
      <c r="AE10426" s="21">
        <v>0</v>
      </c>
      <c r="AF10426" s="21">
        <v>0</v>
      </c>
      <c r="AG10426" s="21">
        <v>0</v>
      </c>
      <c r="AH10426" s="21">
        <f t="shared" si="228"/>
        <v>0</v>
      </c>
      <c r="AJ10426" s="21" t="s">
        <v>51</v>
      </c>
      <c r="AK10426" s="21" t="s">
        <v>95</v>
      </c>
      <c r="AL10426" s="21" t="s">
        <v>8466</v>
      </c>
      <c r="AM10426" s="21" t="s">
        <v>8467</v>
      </c>
      <c r="AN10426" s="21">
        <v>-122.40896491333299</v>
      </c>
      <c r="AO10426" s="21">
        <v>37.784750083334004</v>
      </c>
      <c r="AP10426" s="21" t="s">
        <v>116</v>
      </c>
    </row>
    <row r="10427" spans="1:42">
      <c r="A10427" s="20">
        <v>43896</v>
      </c>
      <c r="B10427" s="21">
        <v>5</v>
      </c>
      <c r="C10427" s="21">
        <v>571</v>
      </c>
      <c r="D10427">
        <v>11443</v>
      </c>
      <c r="E10427" t="s">
        <v>377</v>
      </c>
      <c r="F10427" s="21" t="s">
        <v>436</v>
      </c>
      <c r="G10427" s="21">
        <v>1</v>
      </c>
      <c r="I10427" s="21" t="s">
        <v>3504</v>
      </c>
      <c r="K10427" s="21" t="s">
        <v>6992</v>
      </c>
      <c r="N10427" s="21" t="s">
        <v>40</v>
      </c>
      <c r="O10427" s="21">
        <v>127</v>
      </c>
      <c r="Q10427" s="21">
        <f t="shared" si="227"/>
        <v>2</v>
      </c>
      <c r="R10427" s="21">
        <v>1</v>
      </c>
      <c r="S10427" s="21">
        <v>0</v>
      </c>
      <c r="T10427" s="21">
        <v>0</v>
      </c>
      <c r="U10427" s="21">
        <v>0</v>
      </c>
      <c r="V10427" s="21">
        <v>0</v>
      </c>
      <c r="W10427" s="21">
        <v>0</v>
      </c>
      <c r="X10427" s="21">
        <v>0</v>
      </c>
      <c r="Y10427" s="21">
        <v>0</v>
      </c>
      <c r="Z10427" s="21">
        <v>0</v>
      </c>
      <c r="AA10427" s="21">
        <v>2</v>
      </c>
      <c r="AB10427" s="21">
        <v>0</v>
      </c>
      <c r="AC10427" s="21">
        <v>0</v>
      </c>
      <c r="AD10427" s="21">
        <v>0</v>
      </c>
      <c r="AE10427" s="21">
        <v>0</v>
      </c>
      <c r="AF10427" s="21">
        <v>0</v>
      </c>
      <c r="AG10427" s="21">
        <v>0</v>
      </c>
      <c r="AH10427" s="21">
        <f t="shared" si="228"/>
        <v>0</v>
      </c>
      <c r="AJ10427" s="21" t="s">
        <v>51</v>
      </c>
      <c r="AK10427" s="21" t="s">
        <v>95</v>
      </c>
      <c r="AL10427" s="21" t="s">
        <v>8468</v>
      </c>
      <c r="AM10427" s="21" t="s">
        <v>8469</v>
      </c>
      <c r="AN10427" s="21">
        <v>-122.410942713333</v>
      </c>
      <c r="AO10427" s="21">
        <v>37.785618320000403</v>
      </c>
      <c r="AP10427" s="21" t="s">
        <v>116</v>
      </c>
    </row>
    <row r="10428" spans="1:42">
      <c r="A10428" s="20">
        <v>43896</v>
      </c>
      <c r="B10428" s="21">
        <v>5</v>
      </c>
      <c r="C10428" s="21">
        <v>571</v>
      </c>
      <c r="D10428">
        <v>11443</v>
      </c>
      <c r="E10428" t="s">
        <v>377</v>
      </c>
      <c r="F10428" s="21" t="s">
        <v>436</v>
      </c>
      <c r="G10428" s="21">
        <v>1</v>
      </c>
      <c r="I10428" s="21" t="s">
        <v>8470</v>
      </c>
      <c r="K10428" s="21" t="s">
        <v>8086</v>
      </c>
      <c r="N10428" s="21" t="s">
        <v>40</v>
      </c>
      <c r="O10428" s="21">
        <v>35</v>
      </c>
      <c r="Q10428" s="21">
        <f t="shared" si="227"/>
        <v>1</v>
      </c>
      <c r="R10428" s="21">
        <v>1</v>
      </c>
      <c r="S10428" s="21">
        <v>0</v>
      </c>
      <c r="T10428" s="21">
        <v>0</v>
      </c>
      <c r="U10428" s="21">
        <v>0</v>
      </c>
      <c r="V10428" s="21">
        <v>0</v>
      </c>
      <c r="W10428" s="21">
        <v>0</v>
      </c>
      <c r="X10428" s="21">
        <v>0</v>
      </c>
      <c r="Y10428" s="21">
        <v>0</v>
      </c>
      <c r="Z10428" s="21">
        <v>0</v>
      </c>
      <c r="AA10428" s="21">
        <v>1</v>
      </c>
      <c r="AB10428" s="21">
        <v>0</v>
      </c>
      <c r="AC10428" s="21">
        <v>0</v>
      </c>
      <c r="AD10428" s="21">
        <v>0</v>
      </c>
      <c r="AE10428" s="21">
        <v>0</v>
      </c>
      <c r="AF10428" s="21">
        <v>0</v>
      </c>
      <c r="AG10428" s="21">
        <v>0</v>
      </c>
      <c r="AH10428" s="21">
        <f t="shared" si="228"/>
        <v>0</v>
      </c>
      <c r="AJ10428" s="21" t="s">
        <v>51</v>
      </c>
      <c r="AK10428" s="21" t="s">
        <v>95</v>
      </c>
      <c r="AL10428" s="21"/>
      <c r="AM10428" s="21" t="s">
        <v>8471</v>
      </c>
      <c r="AN10428" s="21">
        <v>-122.41008466</v>
      </c>
      <c r="AO10428" s="21">
        <v>37.785948576666698</v>
      </c>
      <c r="AP10428" s="21" t="s">
        <v>116</v>
      </c>
    </row>
    <row r="10429" spans="1:42">
      <c r="A10429" s="20">
        <v>43896</v>
      </c>
      <c r="B10429" s="21">
        <v>5</v>
      </c>
      <c r="C10429" s="21">
        <v>571</v>
      </c>
      <c r="D10429">
        <v>11443</v>
      </c>
      <c r="E10429" t="s">
        <v>377</v>
      </c>
      <c r="F10429" s="21" t="s">
        <v>436</v>
      </c>
      <c r="G10429" s="21">
        <v>1</v>
      </c>
      <c r="I10429" s="21" t="s">
        <v>3487</v>
      </c>
      <c r="K10429" s="21" t="s">
        <v>50</v>
      </c>
      <c r="N10429" s="21" t="s">
        <v>44</v>
      </c>
      <c r="O10429" s="21">
        <v>144</v>
      </c>
      <c r="Q10429" s="21">
        <f t="shared" si="227"/>
        <v>1</v>
      </c>
      <c r="R10429" s="21">
        <v>1</v>
      </c>
      <c r="S10429" s="21">
        <v>0</v>
      </c>
      <c r="T10429" s="21">
        <v>0</v>
      </c>
      <c r="U10429" s="21">
        <v>0</v>
      </c>
      <c r="V10429" s="21">
        <v>0</v>
      </c>
      <c r="W10429" s="21">
        <v>0</v>
      </c>
      <c r="X10429" s="21">
        <v>0</v>
      </c>
      <c r="Y10429" s="21">
        <v>0</v>
      </c>
      <c r="Z10429" s="21">
        <v>0</v>
      </c>
      <c r="AA10429" s="21">
        <v>0</v>
      </c>
      <c r="AB10429" s="21">
        <v>1</v>
      </c>
      <c r="AC10429" s="21">
        <v>0</v>
      </c>
      <c r="AD10429" s="21">
        <v>0</v>
      </c>
      <c r="AE10429" s="21">
        <v>0</v>
      </c>
      <c r="AF10429" s="21">
        <v>0</v>
      </c>
      <c r="AG10429" s="21">
        <v>0</v>
      </c>
      <c r="AH10429" s="21">
        <f t="shared" si="228"/>
        <v>0</v>
      </c>
      <c r="AJ10429" s="21" t="s">
        <v>51</v>
      </c>
      <c r="AK10429" s="21" t="s">
        <v>52</v>
      </c>
      <c r="AL10429" s="21" t="s">
        <v>8472</v>
      </c>
      <c r="AM10429" s="21" t="s">
        <v>8473</v>
      </c>
      <c r="AN10429" s="21">
        <v>-122.407117813333</v>
      </c>
      <c r="AO10429" s="21">
        <v>37.786516073343897</v>
      </c>
      <c r="AP10429" s="21" t="s">
        <v>116</v>
      </c>
    </row>
    <row r="10430" spans="1:42">
      <c r="A10430" s="20">
        <v>43896</v>
      </c>
      <c r="B10430" s="21">
        <v>5</v>
      </c>
      <c r="C10430" s="21">
        <v>571</v>
      </c>
      <c r="D10430">
        <v>11443</v>
      </c>
      <c r="E10430" t="s">
        <v>377</v>
      </c>
      <c r="F10430" s="21" t="s">
        <v>436</v>
      </c>
      <c r="G10430" s="21">
        <v>1</v>
      </c>
      <c r="I10430" s="21" t="s">
        <v>8134</v>
      </c>
      <c r="K10430" s="21" t="s">
        <v>73</v>
      </c>
      <c r="N10430" s="21" t="s">
        <v>44</v>
      </c>
      <c r="O10430" s="21">
        <v>237</v>
      </c>
      <c r="Q10430" s="21">
        <f t="shared" si="227"/>
        <v>1</v>
      </c>
      <c r="R10430" s="21">
        <v>1</v>
      </c>
      <c r="S10430" s="21">
        <v>0</v>
      </c>
      <c r="T10430" s="21">
        <v>0</v>
      </c>
      <c r="U10430" s="21">
        <v>0</v>
      </c>
      <c r="V10430" s="21">
        <v>0</v>
      </c>
      <c r="W10430" s="21">
        <v>0</v>
      </c>
      <c r="X10430" s="21">
        <v>0</v>
      </c>
      <c r="Y10430" s="21">
        <v>0</v>
      </c>
      <c r="Z10430" s="21">
        <v>0</v>
      </c>
      <c r="AA10430" s="21">
        <v>0</v>
      </c>
      <c r="AB10430" s="21">
        <v>1</v>
      </c>
      <c r="AC10430" s="21">
        <v>0</v>
      </c>
      <c r="AD10430" s="21">
        <v>0</v>
      </c>
      <c r="AE10430" s="21">
        <v>0</v>
      </c>
      <c r="AF10430" s="21">
        <v>0</v>
      </c>
      <c r="AG10430" s="21">
        <v>0</v>
      </c>
      <c r="AH10430" s="21">
        <f t="shared" si="228"/>
        <v>0</v>
      </c>
      <c r="AJ10430" s="21" t="s">
        <v>51</v>
      </c>
      <c r="AK10430" s="21" t="s">
        <v>52</v>
      </c>
      <c r="AL10430" s="21" t="s">
        <v>8474</v>
      </c>
      <c r="AM10430" s="21" t="s">
        <v>8475</v>
      </c>
      <c r="AN10430" s="21">
        <v>-122.406818613333</v>
      </c>
      <c r="AO10430" s="21">
        <v>37.786957987264998</v>
      </c>
      <c r="AP10430" s="21" t="s">
        <v>116</v>
      </c>
    </row>
    <row r="10431" spans="1:42">
      <c r="A10431" s="20">
        <v>43896</v>
      </c>
      <c r="B10431" s="21">
        <v>5</v>
      </c>
      <c r="C10431" s="21">
        <v>571</v>
      </c>
      <c r="D10431">
        <v>11443</v>
      </c>
      <c r="E10431" t="s">
        <v>377</v>
      </c>
      <c r="F10431" s="21" t="s">
        <v>436</v>
      </c>
      <c r="G10431" s="21">
        <v>1</v>
      </c>
      <c r="I10431" s="21" t="s">
        <v>4237</v>
      </c>
      <c r="K10431" s="21" t="s">
        <v>53</v>
      </c>
      <c r="N10431" s="21" t="s">
        <v>40</v>
      </c>
      <c r="O10431" s="21">
        <v>181</v>
      </c>
      <c r="Q10431" s="21">
        <f t="shared" si="227"/>
        <v>3</v>
      </c>
      <c r="R10431" s="21">
        <v>1</v>
      </c>
      <c r="S10431" s="21">
        <v>0</v>
      </c>
      <c r="T10431" s="21">
        <v>0</v>
      </c>
      <c r="U10431" s="21">
        <v>0</v>
      </c>
      <c r="V10431" s="21">
        <v>0</v>
      </c>
      <c r="W10431" s="21">
        <v>0</v>
      </c>
      <c r="X10431" s="21">
        <v>0</v>
      </c>
      <c r="Y10431" s="21">
        <v>0</v>
      </c>
      <c r="Z10431" s="21">
        <v>0</v>
      </c>
      <c r="AA10431" s="21">
        <v>0</v>
      </c>
      <c r="AB10431" s="21">
        <v>2</v>
      </c>
      <c r="AC10431" s="21">
        <v>1</v>
      </c>
      <c r="AD10431" s="21">
        <v>0</v>
      </c>
      <c r="AE10431" s="21">
        <v>0</v>
      </c>
      <c r="AF10431" s="21">
        <v>0</v>
      </c>
      <c r="AG10431" s="21">
        <v>0</v>
      </c>
      <c r="AH10431" s="21">
        <f t="shared" si="228"/>
        <v>0</v>
      </c>
      <c r="AJ10431" s="21" t="s">
        <v>51</v>
      </c>
      <c r="AK10431" s="21" t="s">
        <v>95</v>
      </c>
      <c r="AL10431" s="21" t="s">
        <v>8476</v>
      </c>
      <c r="AM10431" s="21" t="s">
        <v>8477</v>
      </c>
      <c r="AN10431" s="21">
        <v>-122.40580874</v>
      </c>
      <c r="AO10431" s="21">
        <v>37.786561896667401</v>
      </c>
      <c r="AP10431" s="21" t="s">
        <v>116</v>
      </c>
    </row>
    <row r="10432" spans="1:42">
      <c r="A10432" s="20">
        <v>43896</v>
      </c>
      <c r="B10432" s="21">
        <v>5</v>
      </c>
      <c r="C10432" s="21">
        <v>571</v>
      </c>
      <c r="D10432">
        <v>11443</v>
      </c>
      <c r="E10432" t="s">
        <v>377</v>
      </c>
      <c r="F10432" s="21" t="s">
        <v>436</v>
      </c>
      <c r="G10432" s="21">
        <v>1</v>
      </c>
      <c r="I10432" s="21" t="s">
        <v>6735</v>
      </c>
      <c r="K10432" s="21" t="s">
        <v>50</v>
      </c>
      <c r="N10432" s="21" t="s">
        <v>44</v>
      </c>
      <c r="O10432" s="21">
        <v>301</v>
      </c>
      <c r="Q10432" s="21">
        <f t="shared" si="227"/>
        <v>3</v>
      </c>
      <c r="R10432" s="21">
        <v>1</v>
      </c>
      <c r="S10432" s="21">
        <v>0</v>
      </c>
      <c r="T10432" s="21">
        <v>0</v>
      </c>
      <c r="U10432" s="21">
        <v>0</v>
      </c>
      <c r="V10432" s="21">
        <v>0</v>
      </c>
      <c r="W10432" s="21">
        <v>0</v>
      </c>
      <c r="X10432" s="21">
        <v>0</v>
      </c>
      <c r="Y10432" s="21">
        <v>0</v>
      </c>
      <c r="Z10432" s="21">
        <v>0</v>
      </c>
      <c r="AA10432" s="21">
        <v>3</v>
      </c>
      <c r="AB10432" s="21">
        <v>0</v>
      </c>
      <c r="AC10432" s="21">
        <v>0</v>
      </c>
      <c r="AD10432" s="21">
        <v>0</v>
      </c>
      <c r="AE10432" s="21">
        <v>0</v>
      </c>
      <c r="AF10432" s="21">
        <v>0</v>
      </c>
      <c r="AG10432" s="21">
        <v>0</v>
      </c>
      <c r="AH10432" s="21">
        <f t="shared" si="228"/>
        <v>0</v>
      </c>
      <c r="AJ10432" s="21" t="s">
        <v>51</v>
      </c>
      <c r="AK10432" s="21" t="s">
        <v>52</v>
      </c>
      <c r="AL10432" s="21" t="s">
        <v>8478</v>
      </c>
      <c r="AM10432" s="21" t="s">
        <v>8479</v>
      </c>
      <c r="AN10432" s="21">
        <v>-122.407563253333</v>
      </c>
      <c r="AO10432" s="21">
        <v>37.787522170000898</v>
      </c>
      <c r="AP10432" s="21" t="s">
        <v>116</v>
      </c>
    </row>
    <row r="10433" spans="1:42">
      <c r="A10433" s="20">
        <v>43896</v>
      </c>
      <c r="B10433" s="21">
        <v>5</v>
      </c>
      <c r="C10433" s="21">
        <v>571</v>
      </c>
      <c r="D10433">
        <v>11443</v>
      </c>
      <c r="E10433" t="s">
        <v>377</v>
      </c>
      <c r="F10433" s="21" t="s">
        <v>436</v>
      </c>
      <c r="G10433" s="21">
        <v>1</v>
      </c>
      <c r="I10433" s="21" t="s">
        <v>3707</v>
      </c>
      <c r="K10433" s="21" t="s">
        <v>6992</v>
      </c>
      <c r="N10433" s="21" t="s">
        <v>40</v>
      </c>
      <c r="O10433" s="21">
        <v>97</v>
      </c>
      <c r="Q10433" s="21">
        <f t="shared" si="227"/>
        <v>1</v>
      </c>
      <c r="R10433" s="21">
        <v>1</v>
      </c>
      <c r="S10433" s="21">
        <v>0</v>
      </c>
      <c r="T10433" s="21">
        <v>0</v>
      </c>
      <c r="U10433" s="21">
        <v>0</v>
      </c>
      <c r="V10433" s="21">
        <v>0</v>
      </c>
      <c r="W10433" s="21">
        <v>0</v>
      </c>
      <c r="X10433" s="21">
        <v>0</v>
      </c>
      <c r="Y10433" s="21">
        <v>0</v>
      </c>
      <c r="Z10433" s="21">
        <v>0</v>
      </c>
      <c r="AA10433" s="21">
        <v>0</v>
      </c>
      <c r="AB10433" s="21">
        <v>1</v>
      </c>
      <c r="AC10433" s="21">
        <v>0</v>
      </c>
      <c r="AD10433" s="21">
        <v>0</v>
      </c>
      <c r="AE10433" s="21">
        <v>0</v>
      </c>
      <c r="AF10433" s="21">
        <v>0</v>
      </c>
      <c r="AG10433" s="21">
        <v>0</v>
      </c>
      <c r="AH10433" s="21">
        <f t="shared" si="228"/>
        <v>0</v>
      </c>
      <c r="AJ10433" s="21" t="s">
        <v>51</v>
      </c>
      <c r="AK10433" s="21" t="s">
        <v>52</v>
      </c>
      <c r="AL10433" s="21" t="s">
        <v>8480</v>
      </c>
      <c r="AM10433" s="21" t="s">
        <v>8481</v>
      </c>
      <c r="AN10433" s="21">
        <v>-122.40715143</v>
      </c>
      <c r="AO10433" s="21">
        <v>37.788468053339301</v>
      </c>
      <c r="AP10433" s="21" t="s">
        <v>116</v>
      </c>
    </row>
    <row r="10434" spans="1:42">
      <c r="A10434" s="20">
        <v>43896</v>
      </c>
      <c r="B10434" s="21">
        <v>5</v>
      </c>
      <c r="C10434" s="21">
        <v>571</v>
      </c>
      <c r="D10434">
        <v>11443</v>
      </c>
      <c r="E10434" t="s">
        <v>377</v>
      </c>
      <c r="F10434" s="21" t="s">
        <v>436</v>
      </c>
      <c r="G10434" s="21">
        <v>1</v>
      </c>
      <c r="I10434" s="21" t="s">
        <v>6214</v>
      </c>
      <c r="K10434" s="21" t="s">
        <v>103</v>
      </c>
      <c r="N10434" s="21" t="s">
        <v>40</v>
      </c>
      <c r="O10434" s="21">
        <v>88</v>
      </c>
      <c r="Q10434" s="21">
        <f t="shared" si="227"/>
        <v>1</v>
      </c>
      <c r="R10434" s="21">
        <v>1</v>
      </c>
      <c r="S10434" s="21">
        <v>0</v>
      </c>
      <c r="T10434" s="21">
        <v>0</v>
      </c>
      <c r="U10434" s="21">
        <v>0</v>
      </c>
      <c r="V10434" s="21">
        <v>0</v>
      </c>
      <c r="W10434" s="21">
        <v>0</v>
      </c>
      <c r="X10434" s="21">
        <v>0</v>
      </c>
      <c r="Y10434" s="21">
        <v>0</v>
      </c>
      <c r="Z10434" s="21">
        <v>1</v>
      </c>
      <c r="AA10434" s="21">
        <v>0</v>
      </c>
      <c r="AB10434" s="21">
        <v>0</v>
      </c>
      <c r="AC10434" s="21">
        <v>0</v>
      </c>
      <c r="AD10434" s="21">
        <v>0</v>
      </c>
      <c r="AE10434" s="21">
        <v>0</v>
      </c>
      <c r="AF10434" s="21">
        <v>0</v>
      </c>
      <c r="AG10434" s="21">
        <v>0</v>
      </c>
      <c r="AH10434" s="21">
        <f t="shared" si="228"/>
        <v>0</v>
      </c>
      <c r="AJ10434" s="21" t="s">
        <v>51</v>
      </c>
      <c r="AK10434" s="21" t="s">
        <v>52</v>
      </c>
      <c r="AL10434" s="21" t="s">
        <v>8344</v>
      </c>
      <c r="AM10434" s="21" t="s">
        <v>8482</v>
      </c>
      <c r="AN10434" s="21">
        <v>-122.409481153333</v>
      </c>
      <c r="AO10434" s="21">
        <v>37.783022826666702</v>
      </c>
      <c r="AP10434" s="21" t="s">
        <v>116</v>
      </c>
    </row>
    <row r="10435" spans="1:42">
      <c r="A10435" s="20">
        <v>43896</v>
      </c>
      <c r="B10435" s="21">
        <v>5</v>
      </c>
      <c r="C10435" s="21">
        <v>571</v>
      </c>
      <c r="D10435">
        <v>11443</v>
      </c>
      <c r="E10435" t="s">
        <v>377</v>
      </c>
      <c r="F10435" s="21" t="s">
        <v>436</v>
      </c>
      <c r="G10435" s="21">
        <v>1</v>
      </c>
      <c r="I10435" s="21" t="s">
        <v>4552</v>
      </c>
      <c r="K10435" s="21" t="s">
        <v>96</v>
      </c>
      <c r="N10435" s="21" t="s">
        <v>40</v>
      </c>
      <c r="O10435" s="21">
        <v>95</v>
      </c>
      <c r="Q10435" s="21">
        <f t="shared" si="227"/>
        <v>1</v>
      </c>
      <c r="R10435" s="21">
        <v>1</v>
      </c>
      <c r="S10435" s="21">
        <v>0</v>
      </c>
      <c r="T10435" s="21">
        <v>0</v>
      </c>
      <c r="U10435" s="21">
        <v>0</v>
      </c>
      <c r="V10435" s="21">
        <v>0</v>
      </c>
      <c r="W10435" s="21">
        <v>0</v>
      </c>
      <c r="X10435" s="21">
        <v>0</v>
      </c>
      <c r="Y10435" s="21">
        <v>1</v>
      </c>
      <c r="Z10435" s="21">
        <v>0</v>
      </c>
      <c r="AA10435" s="21">
        <v>0</v>
      </c>
      <c r="AB10435" s="21">
        <v>0</v>
      </c>
      <c r="AC10435" s="21">
        <v>0</v>
      </c>
      <c r="AD10435" s="21">
        <v>0</v>
      </c>
      <c r="AE10435" s="21">
        <v>0</v>
      </c>
      <c r="AF10435" s="21">
        <v>0</v>
      </c>
      <c r="AG10435" s="21">
        <v>0</v>
      </c>
      <c r="AH10435" s="21">
        <f t="shared" si="228"/>
        <v>0</v>
      </c>
      <c r="AJ10435" s="21" t="s">
        <v>51</v>
      </c>
      <c r="AK10435" s="21" t="s">
        <v>95</v>
      </c>
      <c r="AL10435" s="21" t="s">
        <v>8325</v>
      </c>
      <c r="AM10435" s="21" t="s">
        <v>8483</v>
      </c>
      <c r="AN10435" s="21">
        <v>-122.412521586667</v>
      </c>
      <c r="AO10435" s="21">
        <v>37.783537683333599</v>
      </c>
      <c r="AP10435" s="21" t="s">
        <v>116</v>
      </c>
    </row>
    <row r="10436" spans="1:42">
      <c r="A10436" s="20">
        <v>43896</v>
      </c>
      <c r="B10436" s="21">
        <v>5</v>
      </c>
      <c r="C10436" s="21">
        <v>571</v>
      </c>
      <c r="D10436">
        <v>11443</v>
      </c>
      <c r="E10436" t="s">
        <v>377</v>
      </c>
      <c r="F10436" s="21" t="s">
        <v>436</v>
      </c>
      <c r="G10436" s="21">
        <v>1</v>
      </c>
      <c r="I10436" s="21" t="s">
        <v>8456</v>
      </c>
      <c r="K10436" s="21" t="s">
        <v>103</v>
      </c>
      <c r="N10436" s="21" t="s">
        <v>40</v>
      </c>
      <c r="O10436" s="21">
        <v>49</v>
      </c>
      <c r="Q10436" s="21">
        <f t="shared" si="227"/>
        <v>1</v>
      </c>
      <c r="R10436" s="21">
        <v>1</v>
      </c>
      <c r="S10436" s="21">
        <v>0</v>
      </c>
      <c r="T10436" s="21">
        <v>0</v>
      </c>
      <c r="U10436" s="21">
        <v>0</v>
      </c>
      <c r="V10436" s="21">
        <v>0</v>
      </c>
      <c r="W10436" s="21">
        <v>0</v>
      </c>
      <c r="X10436" s="21">
        <v>0</v>
      </c>
      <c r="Y10436" s="21">
        <v>0</v>
      </c>
      <c r="Z10436" s="21">
        <v>0</v>
      </c>
      <c r="AA10436" s="21">
        <v>0</v>
      </c>
      <c r="AB10436" s="21">
        <v>1</v>
      </c>
      <c r="AC10436" s="21">
        <v>0</v>
      </c>
      <c r="AD10436" s="21">
        <v>0</v>
      </c>
      <c r="AE10436" s="21">
        <v>0</v>
      </c>
      <c r="AF10436" s="21">
        <v>0</v>
      </c>
      <c r="AG10436" s="21">
        <v>0</v>
      </c>
      <c r="AH10436" s="21">
        <f t="shared" si="228"/>
        <v>0</v>
      </c>
      <c r="AJ10436" s="21" t="s">
        <v>51</v>
      </c>
      <c r="AK10436" s="21" t="s">
        <v>95</v>
      </c>
      <c r="AL10436" s="21"/>
      <c r="AM10436" s="21" t="s">
        <v>8484</v>
      </c>
      <c r="AN10436" s="21">
        <v>-122.41255564333299</v>
      </c>
      <c r="AO10436" s="21">
        <v>37.782814500001699</v>
      </c>
      <c r="AP10436" s="21" t="s">
        <v>116</v>
      </c>
    </row>
    <row r="10437" spans="1:42">
      <c r="A10437" s="20">
        <v>43896</v>
      </c>
      <c r="B10437" s="21">
        <v>5</v>
      </c>
      <c r="C10437" s="21">
        <v>571</v>
      </c>
      <c r="D10437">
        <v>11443</v>
      </c>
      <c r="E10437" t="s">
        <v>377</v>
      </c>
      <c r="F10437" s="21" t="s">
        <v>436</v>
      </c>
      <c r="G10437" s="21">
        <v>1</v>
      </c>
      <c r="I10437" s="21" t="s">
        <v>5110</v>
      </c>
      <c r="K10437" s="21" t="s">
        <v>8363</v>
      </c>
      <c r="N10437" s="21" t="s">
        <v>40</v>
      </c>
      <c r="O10437" s="21">
        <v>174</v>
      </c>
      <c r="Q10437" s="21">
        <f t="shared" si="227"/>
        <v>2</v>
      </c>
      <c r="R10437" s="21">
        <v>1</v>
      </c>
      <c r="S10437" s="21">
        <v>0</v>
      </c>
      <c r="T10437" s="21">
        <v>0</v>
      </c>
      <c r="U10437" s="21">
        <v>0</v>
      </c>
      <c r="V10437" s="21">
        <v>0</v>
      </c>
      <c r="W10437" s="21">
        <v>0</v>
      </c>
      <c r="X10437" s="21">
        <v>0</v>
      </c>
      <c r="Y10437" s="21">
        <v>2</v>
      </c>
      <c r="Z10437" s="21">
        <v>0</v>
      </c>
      <c r="AA10437" s="21">
        <v>0</v>
      </c>
      <c r="AB10437" s="21">
        <v>0</v>
      </c>
      <c r="AC10437" s="21">
        <v>0</v>
      </c>
      <c r="AD10437" s="21">
        <v>0</v>
      </c>
      <c r="AE10437" s="21">
        <v>0</v>
      </c>
      <c r="AF10437" s="21">
        <v>0</v>
      </c>
      <c r="AG10437" s="21">
        <v>0</v>
      </c>
      <c r="AH10437" s="21">
        <f t="shared" si="228"/>
        <v>0</v>
      </c>
      <c r="AJ10437" s="21" t="s">
        <v>51</v>
      </c>
      <c r="AK10437" s="21" t="s">
        <v>95</v>
      </c>
      <c r="AL10437" s="21" t="s">
        <v>8485</v>
      </c>
      <c r="AM10437" s="21" t="s">
        <v>8486</v>
      </c>
      <c r="AN10437" s="21">
        <v>-122.412233156667</v>
      </c>
      <c r="AO10437" s="21">
        <v>37.782301206666901</v>
      </c>
      <c r="AP10437" s="21" t="s">
        <v>116</v>
      </c>
    </row>
    <row r="10438" spans="1:42">
      <c r="A10438" s="20">
        <v>43896</v>
      </c>
      <c r="B10438" s="21">
        <v>5</v>
      </c>
      <c r="C10438" s="21">
        <v>571</v>
      </c>
      <c r="D10438">
        <v>11443</v>
      </c>
      <c r="E10438" t="s">
        <v>377</v>
      </c>
      <c r="F10438" s="21" t="s">
        <v>436</v>
      </c>
      <c r="G10438" s="21">
        <v>1</v>
      </c>
      <c r="I10438" s="21" t="s">
        <v>6262</v>
      </c>
      <c r="K10438" s="21" t="s">
        <v>8363</v>
      </c>
      <c r="N10438" s="21" t="s">
        <v>40</v>
      </c>
      <c r="O10438" s="21">
        <v>124</v>
      </c>
      <c r="Q10438" s="21">
        <f t="shared" si="227"/>
        <v>2</v>
      </c>
      <c r="R10438" s="21">
        <v>1</v>
      </c>
      <c r="S10438" s="21">
        <v>0</v>
      </c>
      <c r="T10438" s="21">
        <v>0</v>
      </c>
      <c r="U10438" s="21">
        <v>0</v>
      </c>
      <c r="V10438" s="21">
        <v>0</v>
      </c>
      <c r="W10438" s="21">
        <v>0</v>
      </c>
      <c r="X10438" s="21">
        <v>0</v>
      </c>
      <c r="Y10438" s="21">
        <v>1</v>
      </c>
      <c r="Z10438" s="21">
        <v>1</v>
      </c>
      <c r="AA10438" s="21">
        <v>0</v>
      </c>
      <c r="AB10438" s="21">
        <v>0</v>
      </c>
      <c r="AC10438" s="21">
        <v>0</v>
      </c>
      <c r="AD10438" s="21">
        <v>0</v>
      </c>
      <c r="AE10438" s="21">
        <v>0</v>
      </c>
      <c r="AF10438" s="21">
        <v>0</v>
      </c>
      <c r="AG10438" s="21">
        <v>0</v>
      </c>
      <c r="AH10438" s="21">
        <f t="shared" si="228"/>
        <v>0</v>
      </c>
      <c r="AJ10438" s="21" t="s">
        <v>51</v>
      </c>
      <c r="AK10438" s="21" t="s">
        <v>95</v>
      </c>
      <c r="AL10438" s="21" t="s">
        <v>8487</v>
      </c>
      <c r="AM10438" s="21" t="s">
        <v>8488</v>
      </c>
      <c r="AN10438" s="21">
        <v>-122.41386821735099</v>
      </c>
      <c r="AO10438" s="21">
        <v>37.781975903763801</v>
      </c>
      <c r="AP10438" s="21" t="s">
        <v>116</v>
      </c>
    </row>
    <row r="10439" spans="1:42">
      <c r="A10439" s="20">
        <v>43896</v>
      </c>
      <c r="B10439" s="21">
        <v>5</v>
      </c>
      <c r="C10439" s="21">
        <v>571</v>
      </c>
      <c r="D10439">
        <v>11443</v>
      </c>
      <c r="E10439" t="s">
        <v>377</v>
      </c>
      <c r="F10439" s="21" t="s">
        <v>436</v>
      </c>
      <c r="G10439" s="21">
        <v>1</v>
      </c>
      <c r="I10439" s="21" t="s">
        <v>3000</v>
      </c>
      <c r="K10439" s="21" t="s">
        <v>73</v>
      </c>
      <c r="N10439" s="21" t="s">
        <v>40</v>
      </c>
      <c r="O10439" s="21">
        <v>79</v>
      </c>
      <c r="Q10439" s="21">
        <f t="shared" si="227"/>
        <v>1</v>
      </c>
      <c r="R10439" s="21">
        <v>1</v>
      </c>
      <c r="S10439" s="21">
        <v>0</v>
      </c>
      <c r="T10439" s="21">
        <v>0</v>
      </c>
      <c r="U10439" s="21">
        <v>0</v>
      </c>
      <c r="V10439" s="21">
        <v>0</v>
      </c>
      <c r="W10439" s="21">
        <v>0</v>
      </c>
      <c r="X10439" s="21">
        <v>0</v>
      </c>
      <c r="Y10439" s="21">
        <v>1</v>
      </c>
      <c r="Z10439" s="21">
        <v>0</v>
      </c>
      <c r="AA10439" s="21">
        <v>0</v>
      </c>
      <c r="AB10439" s="21">
        <v>0</v>
      </c>
      <c r="AC10439" s="21">
        <v>0</v>
      </c>
      <c r="AD10439" s="21">
        <v>0</v>
      </c>
      <c r="AE10439" s="21">
        <v>0</v>
      </c>
      <c r="AF10439" s="21">
        <v>0</v>
      </c>
      <c r="AG10439" s="21">
        <v>0</v>
      </c>
      <c r="AH10439" s="21">
        <f t="shared" si="228"/>
        <v>0</v>
      </c>
      <c r="AJ10439" s="21" t="s">
        <v>51</v>
      </c>
      <c r="AK10439" s="21" t="s">
        <v>95</v>
      </c>
      <c r="AL10439" s="21"/>
      <c r="AM10439" s="21" t="s">
        <v>8489</v>
      </c>
      <c r="AN10439" s="21">
        <v>-122.412959156667</v>
      </c>
      <c r="AO10439" s="21">
        <v>37.780915360000598</v>
      </c>
      <c r="AP10439" s="21" t="s">
        <v>116</v>
      </c>
    </row>
    <row r="10440" spans="1:42">
      <c r="A10440" s="20">
        <v>43896</v>
      </c>
      <c r="B10440" s="21">
        <v>5</v>
      </c>
      <c r="C10440" s="21">
        <v>571</v>
      </c>
      <c r="D10440">
        <v>11443</v>
      </c>
      <c r="E10440" t="s">
        <v>377</v>
      </c>
      <c r="F10440" s="21" t="s">
        <v>436</v>
      </c>
      <c r="G10440" s="21">
        <v>1</v>
      </c>
      <c r="I10440" s="21" t="s">
        <v>3051</v>
      </c>
      <c r="K10440" s="21" t="s">
        <v>8363</v>
      </c>
      <c r="N10440" s="21" t="s">
        <v>44</v>
      </c>
      <c r="O10440" s="21">
        <v>265</v>
      </c>
      <c r="Q10440" s="21">
        <f t="shared" si="227"/>
        <v>2</v>
      </c>
      <c r="R10440" s="21">
        <v>1</v>
      </c>
      <c r="S10440" s="21">
        <v>0</v>
      </c>
      <c r="T10440" s="21">
        <v>0</v>
      </c>
      <c r="U10440" s="21">
        <v>0</v>
      </c>
      <c r="V10440" s="21">
        <v>0</v>
      </c>
      <c r="W10440" s="21">
        <v>0</v>
      </c>
      <c r="X10440" s="21">
        <v>0</v>
      </c>
      <c r="Y10440" s="21">
        <v>0</v>
      </c>
      <c r="Z10440" s="21">
        <v>0</v>
      </c>
      <c r="AA10440" s="21">
        <v>2</v>
      </c>
      <c r="AB10440" s="21">
        <v>0</v>
      </c>
      <c r="AC10440" s="21">
        <v>0</v>
      </c>
      <c r="AD10440" s="21">
        <v>0</v>
      </c>
      <c r="AE10440" s="21">
        <v>0</v>
      </c>
      <c r="AF10440" s="21">
        <v>0</v>
      </c>
      <c r="AG10440" s="21">
        <v>0</v>
      </c>
      <c r="AH10440" s="21">
        <f t="shared" si="228"/>
        <v>0</v>
      </c>
      <c r="AJ10440" s="21" t="s">
        <v>51</v>
      </c>
      <c r="AK10440" s="21" t="s">
        <v>52</v>
      </c>
      <c r="AL10440" s="21" t="s">
        <v>8490</v>
      </c>
      <c r="AM10440" s="21" t="s">
        <v>8491</v>
      </c>
      <c r="AN10440" s="21">
        <v>-122.412920543333</v>
      </c>
      <c r="AO10440" s="21">
        <v>37.780809383333697</v>
      </c>
      <c r="AP10440" s="21" t="s">
        <v>116</v>
      </c>
    </row>
    <row r="10441" spans="1:42">
      <c r="A10441" s="20">
        <v>43896</v>
      </c>
      <c r="B10441" s="21">
        <v>5</v>
      </c>
      <c r="C10441" s="21">
        <v>571</v>
      </c>
      <c r="D10441">
        <v>11443</v>
      </c>
      <c r="E10441" t="s">
        <v>377</v>
      </c>
      <c r="F10441" s="21" t="s">
        <v>436</v>
      </c>
      <c r="G10441" s="21">
        <v>1</v>
      </c>
      <c r="I10441" s="21" t="s">
        <v>8456</v>
      </c>
      <c r="K10441" s="21" t="s">
        <v>103</v>
      </c>
      <c r="N10441" s="21" t="s">
        <v>40</v>
      </c>
      <c r="O10441" s="21">
        <v>58</v>
      </c>
      <c r="Q10441" s="21">
        <f t="shared" si="227"/>
        <v>1</v>
      </c>
      <c r="R10441" s="21">
        <v>1</v>
      </c>
      <c r="S10441" s="21">
        <v>0</v>
      </c>
      <c r="T10441" s="21">
        <v>0</v>
      </c>
      <c r="U10441" s="21">
        <v>0</v>
      </c>
      <c r="V10441" s="21">
        <v>0</v>
      </c>
      <c r="W10441" s="21">
        <v>0</v>
      </c>
      <c r="X10441" s="21">
        <v>0</v>
      </c>
      <c r="Y10441" s="21">
        <v>0</v>
      </c>
      <c r="Z10441" s="21">
        <v>0</v>
      </c>
      <c r="AA10441" s="21">
        <v>0</v>
      </c>
      <c r="AB10441" s="21">
        <v>1</v>
      </c>
      <c r="AC10441" s="21">
        <v>0</v>
      </c>
      <c r="AD10441" s="21">
        <v>0</v>
      </c>
      <c r="AE10441" s="21">
        <v>0</v>
      </c>
      <c r="AF10441" s="21">
        <v>0</v>
      </c>
      <c r="AG10441" s="21">
        <v>0</v>
      </c>
      <c r="AH10441" s="21">
        <f t="shared" si="228"/>
        <v>0</v>
      </c>
      <c r="AJ10441" s="21" t="s">
        <v>51</v>
      </c>
      <c r="AK10441" s="21" t="s">
        <v>95</v>
      </c>
      <c r="AL10441" s="21"/>
      <c r="AM10441" s="21" t="s">
        <v>8492</v>
      </c>
      <c r="AN10441" s="21">
        <v>-122.41393257666699</v>
      </c>
      <c r="AO10441" s="21">
        <v>37.781437869999998</v>
      </c>
      <c r="AP10441" s="21" t="s">
        <v>116</v>
      </c>
    </row>
    <row r="10442" spans="1:42">
      <c r="A10442" s="20">
        <v>43896</v>
      </c>
      <c r="B10442" s="21">
        <v>5</v>
      </c>
      <c r="C10442" s="21">
        <v>571</v>
      </c>
      <c r="D10442">
        <v>11443</v>
      </c>
      <c r="E10442" t="s">
        <v>377</v>
      </c>
      <c r="F10442" s="21" t="s">
        <v>436</v>
      </c>
      <c r="G10442" s="21">
        <v>1</v>
      </c>
      <c r="I10442" s="21" t="s">
        <v>8493</v>
      </c>
      <c r="K10442" s="21" t="s">
        <v>8397</v>
      </c>
      <c r="N10442" s="21" t="s">
        <v>40</v>
      </c>
      <c r="O10442" s="21">
        <v>62</v>
      </c>
      <c r="Q10442" s="21">
        <f t="shared" si="227"/>
        <v>1</v>
      </c>
      <c r="R10442" s="21">
        <v>1</v>
      </c>
      <c r="S10442" s="21">
        <v>0</v>
      </c>
      <c r="T10442" s="21">
        <v>0</v>
      </c>
      <c r="U10442" s="21">
        <v>0</v>
      </c>
      <c r="V10442" s="21">
        <v>0</v>
      </c>
      <c r="W10442" s="21">
        <v>0</v>
      </c>
      <c r="X10442" s="21">
        <v>0</v>
      </c>
      <c r="Y10442" s="21">
        <v>0</v>
      </c>
      <c r="Z10442" s="21">
        <v>0</v>
      </c>
      <c r="AA10442" s="21">
        <v>1</v>
      </c>
      <c r="AB10442" s="21">
        <v>0</v>
      </c>
      <c r="AC10442" s="21">
        <v>0</v>
      </c>
      <c r="AD10442" s="21">
        <v>0</v>
      </c>
      <c r="AE10442" s="21">
        <v>0</v>
      </c>
      <c r="AF10442" s="21">
        <v>0</v>
      </c>
      <c r="AG10442" s="21">
        <v>0</v>
      </c>
      <c r="AH10442" s="21">
        <f t="shared" si="228"/>
        <v>0</v>
      </c>
      <c r="AJ10442" s="21" t="s">
        <v>51</v>
      </c>
      <c r="AK10442" s="21" t="s">
        <v>95</v>
      </c>
      <c r="AL10442" s="21"/>
      <c r="AM10442" s="21" t="s">
        <v>8494</v>
      </c>
      <c r="AN10442" s="21">
        <v>-122.412747686667</v>
      </c>
      <c r="AO10442" s="21">
        <v>37.782011386668898</v>
      </c>
      <c r="AP10442" s="21" t="s">
        <v>116</v>
      </c>
    </row>
    <row r="10443" spans="1:42">
      <c r="A10443" s="20">
        <v>43896</v>
      </c>
      <c r="B10443" s="21">
        <v>5</v>
      </c>
      <c r="C10443" s="21">
        <v>571</v>
      </c>
      <c r="D10443">
        <v>11443</v>
      </c>
      <c r="E10443" t="s">
        <v>377</v>
      </c>
      <c r="F10443" s="21" t="s">
        <v>436</v>
      </c>
      <c r="G10443" s="21">
        <v>1</v>
      </c>
      <c r="I10443" s="21" t="s">
        <v>7784</v>
      </c>
      <c r="K10443" s="21" t="s">
        <v>108</v>
      </c>
      <c r="N10443" s="21" t="s">
        <v>40</v>
      </c>
      <c r="O10443" s="21">
        <v>71</v>
      </c>
      <c r="Q10443" s="21">
        <f t="shared" si="227"/>
        <v>1</v>
      </c>
      <c r="R10443" s="21">
        <v>1</v>
      </c>
      <c r="S10443" s="21">
        <v>0</v>
      </c>
      <c r="T10443" s="21">
        <v>0</v>
      </c>
      <c r="U10443" s="21">
        <v>0</v>
      </c>
      <c r="V10443" s="21">
        <v>0</v>
      </c>
      <c r="W10443" s="21">
        <v>0</v>
      </c>
      <c r="X10443" s="21">
        <v>0</v>
      </c>
      <c r="Y10443" s="21">
        <v>0</v>
      </c>
      <c r="Z10443" s="21">
        <v>0</v>
      </c>
      <c r="AA10443" s="21">
        <v>0</v>
      </c>
      <c r="AB10443" s="21">
        <v>0</v>
      </c>
      <c r="AC10443" s="21">
        <v>1</v>
      </c>
      <c r="AD10443" s="21">
        <v>0</v>
      </c>
      <c r="AE10443" s="21">
        <v>0</v>
      </c>
      <c r="AF10443" s="21">
        <v>0</v>
      </c>
      <c r="AG10443" s="21">
        <v>0</v>
      </c>
      <c r="AH10443" s="21">
        <f t="shared" si="228"/>
        <v>0</v>
      </c>
      <c r="AJ10443" s="21" t="s">
        <v>51</v>
      </c>
      <c r="AK10443" s="21" t="s">
        <v>95</v>
      </c>
      <c r="AL10443" s="21" t="s">
        <v>8495</v>
      </c>
      <c r="AM10443" s="21" t="s">
        <v>8496</v>
      </c>
      <c r="AN10443" s="21">
        <v>-122.41262526</v>
      </c>
      <c r="AO10443" s="21">
        <v>37.7819486333333</v>
      </c>
      <c r="AP10443" s="21" t="s">
        <v>116</v>
      </c>
    </row>
    <row r="10444" spans="1:42">
      <c r="A10444" s="20">
        <v>43896</v>
      </c>
      <c r="B10444" s="21">
        <v>5</v>
      </c>
      <c r="C10444" s="21">
        <v>571</v>
      </c>
      <c r="D10444">
        <v>11443</v>
      </c>
      <c r="E10444" t="s">
        <v>377</v>
      </c>
      <c r="F10444" s="21" t="s">
        <v>436</v>
      </c>
      <c r="G10444" s="21">
        <v>1</v>
      </c>
      <c r="I10444" s="21" t="s">
        <v>3225</v>
      </c>
      <c r="K10444" s="21" t="s">
        <v>378</v>
      </c>
      <c r="N10444" s="21" t="s">
        <v>44</v>
      </c>
      <c r="O10444" s="21">
        <v>89</v>
      </c>
      <c r="Q10444" s="21">
        <f t="shared" si="227"/>
        <v>1</v>
      </c>
      <c r="R10444" s="21">
        <v>1</v>
      </c>
      <c r="S10444" s="21">
        <v>0</v>
      </c>
      <c r="T10444" s="21">
        <v>0</v>
      </c>
      <c r="U10444" s="21">
        <v>0</v>
      </c>
      <c r="V10444" s="21">
        <v>0</v>
      </c>
      <c r="W10444" s="21">
        <v>0</v>
      </c>
      <c r="X10444" s="21">
        <v>0</v>
      </c>
      <c r="Y10444" s="21">
        <v>0</v>
      </c>
      <c r="Z10444" s="21">
        <v>0</v>
      </c>
      <c r="AA10444" s="21">
        <v>0</v>
      </c>
      <c r="AB10444" s="21">
        <v>0</v>
      </c>
      <c r="AC10444" s="21">
        <v>1</v>
      </c>
      <c r="AD10444" s="21">
        <v>0</v>
      </c>
      <c r="AE10444" s="21">
        <v>0</v>
      </c>
      <c r="AF10444" s="21">
        <v>0</v>
      </c>
      <c r="AG10444" s="21">
        <v>0</v>
      </c>
      <c r="AH10444" s="21">
        <f t="shared" si="228"/>
        <v>0</v>
      </c>
      <c r="AJ10444" s="21" t="s">
        <v>51</v>
      </c>
      <c r="AK10444" s="21" t="s">
        <v>52</v>
      </c>
      <c r="AL10444" s="21" t="s">
        <v>8497</v>
      </c>
      <c r="AM10444" s="21" t="s">
        <v>8498</v>
      </c>
      <c r="AN10444" s="21">
        <v>-122.40477768</v>
      </c>
      <c r="AO10444" s="21">
        <v>37.769752560001997</v>
      </c>
      <c r="AP10444" s="21" t="s">
        <v>116</v>
      </c>
    </row>
    <row r="10445" spans="1:42">
      <c r="A10445" s="20">
        <v>43896</v>
      </c>
      <c r="B10445" s="21">
        <v>5</v>
      </c>
      <c r="C10445" s="21">
        <v>571</v>
      </c>
      <c r="D10445">
        <v>11443</v>
      </c>
      <c r="E10445" t="s">
        <v>377</v>
      </c>
      <c r="F10445" s="21" t="s">
        <v>436</v>
      </c>
      <c r="G10445" s="21">
        <v>1</v>
      </c>
      <c r="I10445" s="21" t="s">
        <v>8499</v>
      </c>
      <c r="K10445" s="21" t="s">
        <v>509</v>
      </c>
      <c r="N10445" s="21" t="s">
        <v>44</v>
      </c>
      <c r="O10445" s="21">
        <v>91</v>
      </c>
      <c r="Q10445" s="21">
        <f t="shared" si="227"/>
        <v>1</v>
      </c>
      <c r="R10445" s="21">
        <v>1</v>
      </c>
      <c r="S10445" s="21">
        <v>0</v>
      </c>
      <c r="T10445" s="21">
        <v>0</v>
      </c>
      <c r="U10445" s="21">
        <v>0</v>
      </c>
      <c r="V10445" s="21">
        <v>0</v>
      </c>
      <c r="W10445" s="21">
        <v>0</v>
      </c>
      <c r="X10445" s="21">
        <v>0</v>
      </c>
      <c r="Y10445" s="21">
        <v>0</v>
      </c>
      <c r="Z10445" s="21">
        <v>0</v>
      </c>
      <c r="AA10445" s="21">
        <v>1</v>
      </c>
      <c r="AB10445" s="21">
        <v>0</v>
      </c>
      <c r="AC10445" s="21">
        <v>0</v>
      </c>
      <c r="AD10445" s="21">
        <v>0</v>
      </c>
      <c r="AE10445" s="21">
        <v>0</v>
      </c>
      <c r="AF10445" s="21">
        <v>0</v>
      </c>
      <c r="AG10445" s="21">
        <v>0</v>
      </c>
      <c r="AH10445" s="21">
        <f t="shared" si="228"/>
        <v>0</v>
      </c>
      <c r="AJ10445" s="21" t="s">
        <v>51</v>
      </c>
      <c r="AK10445" s="21" t="s">
        <v>52</v>
      </c>
      <c r="AL10445" s="21" t="s">
        <v>8500</v>
      </c>
      <c r="AM10445" s="21" t="s">
        <v>8501</v>
      </c>
      <c r="AN10445" s="21">
        <v>-122.408003826667</v>
      </c>
      <c r="AO10445" s="21">
        <v>37.769999300000002</v>
      </c>
      <c r="AP10445" s="21" t="s">
        <v>116</v>
      </c>
    </row>
    <row r="10446" spans="1:42">
      <c r="A10446" s="20">
        <v>43896</v>
      </c>
      <c r="B10446" s="21">
        <v>5</v>
      </c>
      <c r="C10446" s="21">
        <v>571</v>
      </c>
      <c r="D10446">
        <v>11443</v>
      </c>
      <c r="E10446" t="s">
        <v>377</v>
      </c>
      <c r="F10446" s="21" t="s">
        <v>436</v>
      </c>
      <c r="G10446" s="21">
        <v>1</v>
      </c>
      <c r="I10446" s="21" t="s">
        <v>4213</v>
      </c>
      <c r="K10446" s="21" t="s">
        <v>509</v>
      </c>
      <c r="N10446" s="21" t="s">
        <v>44</v>
      </c>
      <c r="O10446" s="21">
        <v>240</v>
      </c>
      <c r="Q10446" s="21">
        <f t="shared" si="227"/>
        <v>2</v>
      </c>
      <c r="R10446" s="21">
        <v>1</v>
      </c>
      <c r="S10446" s="21">
        <v>0</v>
      </c>
      <c r="T10446" s="21">
        <v>0</v>
      </c>
      <c r="U10446" s="21">
        <v>0</v>
      </c>
      <c r="V10446" s="21">
        <v>0</v>
      </c>
      <c r="W10446" s="21">
        <v>0</v>
      </c>
      <c r="X10446" s="21">
        <v>0</v>
      </c>
      <c r="Y10446" s="21">
        <v>0</v>
      </c>
      <c r="Z10446" s="21">
        <v>0</v>
      </c>
      <c r="AA10446" s="21">
        <v>2</v>
      </c>
      <c r="AB10446" s="21">
        <v>0</v>
      </c>
      <c r="AC10446" s="21">
        <v>0</v>
      </c>
      <c r="AD10446" s="21">
        <v>0</v>
      </c>
      <c r="AE10446" s="21">
        <v>0</v>
      </c>
      <c r="AF10446" s="21">
        <v>0</v>
      </c>
      <c r="AG10446" s="21">
        <v>0</v>
      </c>
      <c r="AH10446" s="21">
        <f t="shared" si="228"/>
        <v>0</v>
      </c>
      <c r="AJ10446" s="21" t="s">
        <v>51</v>
      </c>
      <c r="AK10446" s="21" t="s">
        <v>52</v>
      </c>
      <c r="AL10446" s="21" t="s">
        <v>8502</v>
      </c>
      <c r="AM10446" s="21" t="s">
        <v>8503</v>
      </c>
      <c r="AN10446" s="21">
        <v>-122.40755867999999</v>
      </c>
      <c r="AO10446" s="21">
        <v>37.771662636666697</v>
      </c>
      <c r="AP10446" s="21" t="s">
        <v>116</v>
      </c>
    </row>
    <row r="10447" spans="1:42">
      <c r="A10447" s="20">
        <v>43896</v>
      </c>
      <c r="B10447" s="21">
        <v>5</v>
      </c>
      <c r="C10447" s="21">
        <v>571</v>
      </c>
      <c r="D10447">
        <v>11443</v>
      </c>
      <c r="E10447" t="s">
        <v>377</v>
      </c>
      <c r="F10447" s="21" t="s">
        <v>436</v>
      </c>
      <c r="G10447" s="21">
        <v>1</v>
      </c>
      <c r="I10447" s="21" t="s">
        <v>4157</v>
      </c>
      <c r="K10447" s="21" t="s">
        <v>378</v>
      </c>
      <c r="N10447" s="21" t="s">
        <v>40</v>
      </c>
      <c r="O10447" s="21">
        <v>87</v>
      </c>
      <c r="Q10447" s="21">
        <f t="shared" si="227"/>
        <v>2</v>
      </c>
      <c r="R10447" s="21">
        <v>1</v>
      </c>
      <c r="S10447" s="21">
        <v>0</v>
      </c>
      <c r="T10447" s="21">
        <v>0</v>
      </c>
      <c r="U10447" s="21">
        <v>0</v>
      </c>
      <c r="V10447" s="21">
        <v>0</v>
      </c>
      <c r="W10447" s="21">
        <v>0</v>
      </c>
      <c r="X10447" s="21">
        <v>0</v>
      </c>
      <c r="Y10447" s="21">
        <v>0</v>
      </c>
      <c r="Z10447" s="21">
        <v>0</v>
      </c>
      <c r="AA10447" s="21">
        <v>0</v>
      </c>
      <c r="AB10447" s="21">
        <v>0</v>
      </c>
      <c r="AC10447" s="21">
        <v>2</v>
      </c>
      <c r="AD10447" s="21">
        <v>0</v>
      </c>
      <c r="AE10447" s="21">
        <v>0</v>
      </c>
      <c r="AF10447" s="21">
        <v>0</v>
      </c>
      <c r="AG10447" s="21">
        <v>0</v>
      </c>
      <c r="AH10447" s="21">
        <f t="shared" si="228"/>
        <v>0</v>
      </c>
      <c r="AJ10447" s="21" t="s">
        <v>51</v>
      </c>
      <c r="AK10447" s="21" t="s">
        <v>95</v>
      </c>
      <c r="AL10447" s="21"/>
      <c r="AM10447" s="21" t="s">
        <v>8504</v>
      </c>
      <c r="AN10447" s="21">
        <v>-122.406481856667</v>
      </c>
      <c r="AO10447" s="21">
        <v>37.7707816633337</v>
      </c>
      <c r="AP10447" s="21" t="s">
        <v>116</v>
      </c>
    </row>
    <row r="10448" spans="1:42">
      <c r="A10448" s="20">
        <v>43896</v>
      </c>
      <c r="B10448" s="21">
        <v>5</v>
      </c>
      <c r="C10448" s="21">
        <v>571</v>
      </c>
      <c r="D10448">
        <v>11443</v>
      </c>
      <c r="E10448" t="s">
        <v>377</v>
      </c>
      <c r="F10448" s="21" t="s">
        <v>436</v>
      </c>
      <c r="G10448" s="21">
        <v>1</v>
      </c>
      <c r="I10448" s="21" t="s">
        <v>3121</v>
      </c>
      <c r="K10448" s="21" t="s">
        <v>1110</v>
      </c>
      <c r="N10448" s="21" t="s">
        <v>44</v>
      </c>
      <c r="O10448" s="21">
        <v>74</v>
      </c>
      <c r="Q10448" s="21">
        <f t="shared" si="227"/>
        <v>1</v>
      </c>
      <c r="R10448" s="21">
        <v>1</v>
      </c>
      <c r="S10448" s="21">
        <v>0</v>
      </c>
      <c r="T10448" s="21">
        <v>0</v>
      </c>
      <c r="U10448" s="21">
        <v>0</v>
      </c>
      <c r="V10448" s="21">
        <v>0</v>
      </c>
      <c r="W10448" s="21">
        <v>0</v>
      </c>
      <c r="X10448" s="21">
        <v>0</v>
      </c>
      <c r="Y10448" s="21">
        <v>0</v>
      </c>
      <c r="Z10448" s="21">
        <v>0</v>
      </c>
      <c r="AA10448" s="21">
        <v>0</v>
      </c>
      <c r="AB10448" s="21">
        <v>1</v>
      </c>
      <c r="AC10448" s="21">
        <v>0</v>
      </c>
      <c r="AD10448" s="21">
        <v>0</v>
      </c>
      <c r="AE10448" s="21">
        <v>0</v>
      </c>
      <c r="AF10448" s="21">
        <v>0</v>
      </c>
      <c r="AG10448" s="21">
        <v>0</v>
      </c>
      <c r="AH10448" s="21">
        <f t="shared" si="228"/>
        <v>0</v>
      </c>
      <c r="AJ10448" s="21" t="s">
        <v>51</v>
      </c>
      <c r="AK10448" s="21" t="s">
        <v>95</v>
      </c>
      <c r="AL10448" s="21" t="s">
        <v>8505</v>
      </c>
      <c r="AM10448" s="21" t="s">
        <v>8506</v>
      </c>
      <c r="AN10448" s="21">
        <v>-122.40521005333299</v>
      </c>
      <c r="AO10448" s="21">
        <v>37.771526166885799</v>
      </c>
      <c r="AP10448" s="21" t="s">
        <v>116</v>
      </c>
    </row>
    <row r="10449" spans="1:42">
      <c r="A10449" s="20">
        <v>43896</v>
      </c>
      <c r="B10449" s="21">
        <v>5</v>
      </c>
      <c r="C10449" s="21">
        <v>571</v>
      </c>
      <c r="D10449">
        <v>11443</v>
      </c>
      <c r="E10449" t="s">
        <v>377</v>
      </c>
      <c r="F10449" s="21" t="s">
        <v>436</v>
      </c>
      <c r="G10449" s="21">
        <v>1</v>
      </c>
      <c r="I10449" s="21" t="s">
        <v>4303</v>
      </c>
      <c r="K10449" s="21" t="s">
        <v>8507</v>
      </c>
      <c r="N10449" s="21" t="s">
        <v>44</v>
      </c>
      <c r="O10449" s="21">
        <v>87</v>
      </c>
      <c r="Q10449" s="21">
        <f t="shared" si="227"/>
        <v>1</v>
      </c>
      <c r="R10449" s="21">
        <v>1</v>
      </c>
      <c r="S10449" s="21">
        <v>0</v>
      </c>
      <c r="T10449" s="21">
        <v>0</v>
      </c>
      <c r="U10449" s="21">
        <v>0</v>
      </c>
      <c r="V10449" s="21">
        <v>0</v>
      </c>
      <c r="W10449" s="21">
        <v>0</v>
      </c>
      <c r="X10449" s="21">
        <v>0</v>
      </c>
      <c r="Y10449" s="21">
        <v>0</v>
      </c>
      <c r="Z10449" s="21">
        <v>1</v>
      </c>
      <c r="AA10449" s="21">
        <v>0</v>
      </c>
      <c r="AB10449" s="21">
        <v>0</v>
      </c>
      <c r="AC10449" s="21">
        <v>0</v>
      </c>
      <c r="AD10449" s="21">
        <v>0</v>
      </c>
      <c r="AE10449" s="21">
        <v>0</v>
      </c>
      <c r="AF10449" s="21">
        <v>0</v>
      </c>
      <c r="AG10449" s="21">
        <v>0</v>
      </c>
      <c r="AH10449" s="21">
        <f t="shared" si="228"/>
        <v>0</v>
      </c>
      <c r="AJ10449" s="21" t="s">
        <v>51</v>
      </c>
      <c r="AK10449" s="21" t="s">
        <v>52</v>
      </c>
      <c r="AL10449" s="21" t="s">
        <v>8508</v>
      </c>
      <c r="AM10449" s="21" t="s">
        <v>8509</v>
      </c>
      <c r="AN10449" s="21">
        <v>-122.405296623333</v>
      </c>
      <c r="AO10449" s="21">
        <v>37.773254186674102</v>
      </c>
      <c r="AP10449" s="21" t="s">
        <v>116</v>
      </c>
    </row>
    <row r="10450" spans="1:42">
      <c r="A10450" s="20">
        <v>43896</v>
      </c>
      <c r="B10450" s="21">
        <v>5</v>
      </c>
      <c r="C10450" s="21">
        <v>571</v>
      </c>
      <c r="D10450">
        <v>11443</v>
      </c>
      <c r="E10450" t="s">
        <v>377</v>
      </c>
      <c r="F10450" s="21" t="s">
        <v>436</v>
      </c>
      <c r="G10450" s="21">
        <v>1</v>
      </c>
      <c r="I10450" s="21" t="s">
        <v>8065</v>
      </c>
      <c r="K10450" s="21" t="s">
        <v>394</v>
      </c>
      <c r="N10450" s="21" t="s">
        <v>40</v>
      </c>
      <c r="O10450" s="21">
        <v>51</v>
      </c>
      <c r="Q10450" s="21">
        <f t="shared" si="227"/>
        <v>2</v>
      </c>
      <c r="R10450" s="21">
        <v>1</v>
      </c>
      <c r="S10450" s="21">
        <v>0</v>
      </c>
      <c r="T10450" s="21">
        <v>0</v>
      </c>
      <c r="U10450" s="21">
        <v>0</v>
      </c>
      <c r="V10450" s="21">
        <v>0</v>
      </c>
      <c r="W10450" s="21">
        <v>0</v>
      </c>
      <c r="X10450" s="21">
        <v>0</v>
      </c>
      <c r="Y10450" s="21">
        <v>0</v>
      </c>
      <c r="Z10450" s="21">
        <v>0</v>
      </c>
      <c r="AA10450" s="21">
        <v>2</v>
      </c>
      <c r="AB10450" s="21">
        <v>0</v>
      </c>
      <c r="AC10450" s="21">
        <v>0</v>
      </c>
      <c r="AD10450" s="21">
        <v>0</v>
      </c>
      <c r="AE10450" s="21">
        <v>0</v>
      </c>
      <c r="AF10450" s="21">
        <v>0</v>
      </c>
      <c r="AG10450" s="21">
        <v>0</v>
      </c>
      <c r="AH10450" s="21">
        <f t="shared" si="228"/>
        <v>0</v>
      </c>
      <c r="AJ10450" s="21" t="s">
        <v>51</v>
      </c>
      <c r="AK10450" s="21" t="s">
        <v>95</v>
      </c>
      <c r="AL10450" s="21"/>
      <c r="AM10450" s="21" t="s">
        <v>8510</v>
      </c>
      <c r="AN10450" s="21">
        <v>-122.40423565</v>
      </c>
      <c r="AO10450" s="21">
        <v>37.773038366666597</v>
      </c>
      <c r="AP10450" s="21" t="s">
        <v>116</v>
      </c>
    </row>
    <row r="10451" spans="1:42">
      <c r="A10451" s="20">
        <v>43896</v>
      </c>
      <c r="B10451" s="21">
        <v>5</v>
      </c>
      <c r="C10451" s="21">
        <v>571</v>
      </c>
      <c r="D10451">
        <v>11443</v>
      </c>
      <c r="E10451" t="s">
        <v>377</v>
      </c>
      <c r="F10451" s="21" t="s">
        <v>436</v>
      </c>
      <c r="G10451" s="21">
        <v>1</v>
      </c>
      <c r="I10451" s="21" t="s">
        <v>5319</v>
      </c>
      <c r="K10451" s="21" t="s">
        <v>394</v>
      </c>
      <c r="N10451" s="21" t="s">
        <v>40</v>
      </c>
      <c r="O10451" s="21">
        <v>77</v>
      </c>
      <c r="Q10451" s="21">
        <f t="shared" si="227"/>
        <v>1</v>
      </c>
      <c r="R10451" s="21">
        <v>1</v>
      </c>
      <c r="S10451" s="21">
        <v>0</v>
      </c>
      <c r="T10451" s="21">
        <v>0</v>
      </c>
      <c r="U10451" s="21">
        <v>0</v>
      </c>
      <c r="V10451" s="21">
        <v>0</v>
      </c>
      <c r="W10451" s="21">
        <v>0</v>
      </c>
      <c r="X10451" s="21">
        <v>0</v>
      </c>
      <c r="Y10451" s="21">
        <v>0</v>
      </c>
      <c r="Z10451" s="21">
        <v>0</v>
      </c>
      <c r="AA10451" s="21">
        <v>0</v>
      </c>
      <c r="AB10451" s="21">
        <v>0</v>
      </c>
      <c r="AC10451" s="21">
        <v>1</v>
      </c>
      <c r="AD10451" s="21">
        <v>0</v>
      </c>
      <c r="AE10451" s="21">
        <v>0</v>
      </c>
      <c r="AF10451" s="21">
        <v>0</v>
      </c>
      <c r="AG10451" s="21">
        <v>0</v>
      </c>
      <c r="AH10451" s="21">
        <f t="shared" si="228"/>
        <v>0</v>
      </c>
      <c r="AJ10451" s="21" t="s">
        <v>51</v>
      </c>
      <c r="AK10451" s="21" t="s">
        <v>95</v>
      </c>
      <c r="AL10451" s="21"/>
      <c r="AM10451" s="21" t="s">
        <v>8511</v>
      </c>
      <c r="AN10451" s="21">
        <v>-122.41182688000001</v>
      </c>
      <c r="AO10451" s="21">
        <v>37.777760936666702</v>
      </c>
      <c r="AP10451" s="21" t="s">
        <v>116</v>
      </c>
    </row>
    <row r="10452" spans="1:42">
      <c r="A10452" s="20">
        <v>43896</v>
      </c>
      <c r="B10452" s="21">
        <v>5</v>
      </c>
      <c r="C10452" s="21">
        <v>571</v>
      </c>
      <c r="D10452">
        <v>11443</v>
      </c>
      <c r="E10452" t="s">
        <v>377</v>
      </c>
      <c r="F10452" s="21" t="s">
        <v>436</v>
      </c>
      <c r="G10452" s="21">
        <v>1</v>
      </c>
      <c r="I10452" s="21" t="s">
        <v>3442</v>
      </c>
      <c r="K10452" s="21" t="s">
        <v>509</v>
      </c>
      <c r="N10452" s="21" t="s">
        <v>40</v>
      </c>
      <c r="O10452" s="21">
        <v>96</v>
      </c>
      <c r="Q10452" s="21">
        <f t="shared" si="227"/>
        <v>1</v>
      </c>
      <c r="R10452" s="21">
        <v>1</v>
      </c>
      <c r="S10452" s="21">
        <v>0</v>
      </c>
      <c r="T10452" s="21">
        <v>0</v>
      </c>
      <c r="U10452" s="21">
        <v>0</v>
      </c>
      <c r="V10452" s="21">
        <v>0</v>
      </c>
      <c r="W10452" s="21">
        <v>0</v>
      </c>
      <c r="X10452" s="21">
        <v>0</v>
      </c>
      <c r="Y10452" s="21">
        <v>0</v>
      </c>
      <c r="Z10452" s="21">
        <v>1</v>
      </c>
      <c r="AA10452" s="21">
        <v>0</v>
      </c>
      <c r="AB10452" s="21">
        <v>0</v>
      </c>
      <c r="AC10452" s="21">
        <v>0</v>
      </c>
      <c r="AD10452" s="21">
        <v>0</v>
      </c>
      <c r="AE10452" s="21">
        <v>0</v>
      </c>
      <c r="AF10452" s="21">
        <v>0</v>
      </c>
      <c r="AG10452" s="21">
        <v>0</v>
      </c>
      <c r="AH10452" s="21">
        <f t="shared" si="228"/>
        <v>0</v>
      </c>
      <c r="AJ10452" s="21" t="s">
        <v>51</v>
      </c>
      <c r="AK10452" s="21" t="s">
        <v>95</v>
      </c>
      <c r="AL10452" s="21" t="s">
        <v>8346</v>
      </c>
      <c r="AM10452" s="21" t="s">
        <v>8512</v>
      </c>
      <c r="AN10452" s="21">
        <v>-122.413064236667</v>
      </c>
      <c r="AO10452" s="21">
        <v>37.776710716666599</v>
      </c>
      <c r="AP10452" s="21" t="s">
        <v>116</v>
      </c>
    </row>
    <row r="10453" spans="1:42">
      <c r="A10453" s="20">
        <v>43896</v>
      </c>
      <c r="B10453" s="21">
        <v>5</v>
      </c>
      <c r="C10453" s="21">
        <v>571</v>
      </c>
      <c r="D10453">
        <v>11443</v>
      </c>
      <c r="E10453" t="s">
        <v>377</v>
      </c>
      <c r="F10453" s="21" t="s">
        <v>436</v>
      </c>
      <c r="G10453" s="21">
        <v>1</v>
      </c>
      <c r="I10453" s="21" t="s">
        <v>8513</v>
      </c>
      <c r="K10453" s="21" t="s">
        <v>8514</v>
      </c>
      <c r="N10453" s="21" t="s">
        <v>40</v>
      </c>
      <c r="O10453" s="21">
        <v>310</v>
      </c>
      <c r="Q10453" s="21">
        <f t="shared" si="227"/>
        <v>3</v>
      </c>
      <c r="R10453" s="21">
        <v>1</v>
      </c>
      <c r="S10453" s="21">
        <v>0</v>
      </c>
      <c r="T10453" s="21">
        <v>0</v>
      </c>
      <c r="U10453" s="21">
        <v>0</v>
      </c>
      <c r="V10453" s="21">
        <v>0</v>
      </c>
      <c r="W10453" s="21">
        <v>0</v>
      </c>
      <c r="X10453" s="21">
        <v>0</v>
      </c>
      <c r="Y10453" s="21">
        <v>0</v>
      </c>
      <c r="Z10453" s="21">
        <v>0</v>
      </c>
      <c r="AA10453" s="21">
        <v>2</v>
      </c>
      <c r="AB10453" s="21">
        <v>0</v>
      </c>
      <c r="AC10453" s="21">
        <v>1</v>
      </c>
      <c r="AD10453" s="21">
        <v>0</v>
      </c>
      <c r="AE10453" s="21">
        <v>0</v>
      </c>
      <c r="AF10453" s="21">
        <v>0</v>
      </c>
      <c r="AG10453" s="21">
        <v>0</v>
      </c>
      <c r="AH10453" s="21">
        <f t="shared" si="228"/>
        <v>0</v>
      </c>
      <c r="AJ10453" s="21" t="s">
        <v>51</v>
      </c>
      <c r="AK10453" s="21" t="s">
        <v>52</v>
      </c>
      <c r="AL10453" s="21" t="s">
        <v>8515</v>
      </c>
      <c r="AM10453" s="21" t="s">
        <v>8516</v>
      </c>
      <c r="AN10453" s="21">
        <v>-122.414474433333</v>
      </c>
      <c r="AO10453" s="21">
        <v>37.776310446667097</v>
      </c>
      <c r="AP10453" s="21" t="s">
        <v>116</v>
      </c>
    </row>
    <row r="10454" spans="1:42">
      <c r="A10454" s="20">
        <v>43896</v>
      </c>
      <c r="B10454" s="21">
        <v>5</v>
      </c>
      <c r="C10454" s="21">
        <v>571</v>
      </c>
      <c r="D10454">
        <v>11443</v>
      </c>
      <c r="E10454" t="s">
        <v>377</v>
      </c>
      <c r="F10454" s="21" t="s">
        <v>436</v>
      </c>
      <c r="G10454" s="21">
        <v>1</v>
      </c>
      <c r="I10454" s="21" t="s">
        <v>3862</v>
      </c>
      <c r="K10454" s="21" t="s">
        <v>73</v>
      </c>
      <c r="N10454" s="21" t="s">
        <v>40</v>
      </c>
      <c r="O10454" s="21">
        <v>94</v>
      </c>
      <c r="Q10454" s="21">
        <f t="shared" si="227"/>
        <v>1</v>
      </c>
      <c r="R10454" s="21">
        <v>1</v>
      </c>
      <c r="S10454" s="21">
        <v>0</v>
      </c>
      <c r="T10454" s="21">
        <v>0</v>
      </c>
      <c r="U10454" s="21">
        <v>0</v>
      </c>
      <c r="V10454" s="21">
        <v>0</v>
      </c>
      <c r="W10454" s="21">
        <v>0</v>
      </c>
      <c r="X10454" s="21">
        <v>0</v>
      </c>
      <c r="Y10454" s="21">
        <v>0</v>
      </c>
      <c r="Z10454" s="21">
        <v>0</v>
      </c>
      <c r="AA10454" s="21">
        <v>0</v>
      </c>
      <c r="AB10454" s="21">
        <v>0</v>
      </c>
      <c r="AC10454" s="21">
        <v>1</v>
      </c>
      <c r="AD10454" s="21">
        <v>0</v>
      </c>
      <c r="AE10454" s="21">
        <v>0</v>
      </c>
      <c r="AF10454" s="21">
        <v>0</v>
      </c>
      <c r="AG10454" s="21">
        <v>0</v>
      </c>
      <c r="AH10454" s="21">
        <f t="shared" si="228"/>
        <v>0</v>
      </c>
      <c r="AJ10454" s="21" t="s">
        <v>51</v>
      </c>
      <c r="AK10454" s="21" t="s">
        <v>95</v>
      </c>
      <c r="AL10454" s="21" t="s">
        <v>8517</v>
      </c>
      <c r="AM10454" s="21" t="s">
        <v>8518</v>
      </c>
      <c r="AN10454" s="21">
        <v>-122.414665406667</v>
      </c>
      <c r="AO10454" s="21">
        <v>37.777142836666798</v>
      </c>
      <c r="AP10454" s="21" t="s">
        <v>116</v>
      </c>
    </row>
    <row r="10455" spans="1:42">
      <c r="A10455" s="20">
        <v>43896</v>
      </c>
      <c r="B10455" s="21">
        <v>5</v>
      </c>
      <c r="C10455" s="21">
        <v>571</v>
      </c>
      <c r="D10455">
        <v>11443</v>
      </c>
      <c r="E10455" t="s">
        <v>377</v>
      </c>
      <c r="F10455" s="21" t="s">
        <v>436</v>
      </c>
      <c r="G10455" s="21">
        <v>1</v>
      </c>
      <c r="I10455" s="21" t="s">
        <v>3074</v>
      </c>
      <c r="K10455" s="21" t="s">
        <v>8380</v>
      </c>
      <c r="N10455" s="21" t="s">
        <v>1703</v>
      </c>
      <c r="O10455" s="21">
        <v>91</v>
      </c>
      <c r="Q10455" s="21">
        <f t="shared" si="227"/>
        <v>1</v>
      </c>
      <c r="R10455" s="21">
        <v>1</v>
      </c>
      <c r="S10455" s="21">
        <v>0</v>
      </c>
      <c r="T10455" s="21">
        <v>0</v>
      </c>
      <c r="U10455" s="21">
        <v>0</v>
      </c>
      <c r="V10455" s="21">
        <v>0</v>
      </c>
      <c r="W10455" s="21">
        <v>0</v>
      </c>
      <c r="X10455" s="21">
        <v>0</v>
      </c>
      <c r="Y10455" s="21">
        <v>0</v>
      </c>
      <c r="Z10455" s="21">
        <v>0</v>
      </c>
      <c r="AA10455" s="21">
        <v>0</v>
      </c>
      <c r="AB10455" s="21">
        <v>1</v>
      </c>
      <c r="AC10455" s="21">
        <v>0</v>
      </c>
      <c r="AD10455" s="21">
        <v>0</v>
      </c>
      <c r="AE10455" s="21">
        <v>0</v>
      </c>
      <c r="AF10455" s="21">
        <v>0</v>
      </c>
      <c r="AG10455" s="21">
        <v>0</v>
      </c>
      <c r="AH10455" s="21">
        <f t="shared" si="228"/>
        <v>0</v>
      </c>
      <c r="AJ10455" s="21" t="s">
        <v>51</v>
      </c>
      <c r="AK10455" s="21" t="s">
        <v>95</v>
      </c>
      <c r="AL10455" s="21" t="s">
        <v>8331</v>
      </c>
      <c r="AM10455" s="21" t="s">
        <v>8519</v>
      </c>
      <c r="AN10455" s="21">
        <v>-122.415861436667</v>
      </c>
      <c r="AO10455" s="21">
        <v>37.7765014866687</v>
      </c>
      <c r="AP10455" s="21" t="s">
        <v>116</v>
      </c>
    </row>
    <row r="10456" spans="1:42">
      <c r="A10456" s="20">
        <v>43896</v>
      </c>
      <c r="B10456" s="21">
        <v>5</v>
      </c>
      <c r="C10456" s="21">
        <v>571</v>
      </c>
      <c r="D10456">
        <v>11443</v>
      </c>
      <c r="E10456" t="s">
        <v>377</v>
      </c>
      <c r="F10456" s="21" t="s">
        <v>436</v>
      </c>
      <c r="G10456" s="21">
        <v>1</v>
      </c>
      <c r="I10456" s="21" t="s">
        <v>3769</v>
      </c>
      <c r="K10456" s="21" t="s">
        <v>8380</v>
      </c>
      <c r="N10456" s="21" t="s">
        <v>40</v>
      </c>
      <c r="O10456" s="21">
        <v>41</v>
      </c>
      <c r="Q10456" s="21">
        <f t="shared" si="227"/>
        <v>1</v>
      </c>
      <c r="R10456" s="21">
        <v>1</v>
      </c>
      <c r="S10456" s="21">
        <v>0</v>
      </c>
      <c r="T10456" s="21">
        <v>0</v>
      </c>
      <c r="U10456" s="21">
        <v>0</v>
      </c>
      <c r="V10456" s="21">
        <v>0</v>
      </c>
      <c r="W10456" s="21">
        <v>0</v>
      </c>
      <c r="X10456" s="21">
        <v>0</v>
      </c>
      <c r="Y10456" s="21">
        <v>0</v>
      </c>
      <c r="Z10456" s="21">
        <v>0</v>
      </c>
      <c r="AA10456" s="21">
        <v>1</v>
      </c>
      <c r="AB10456" s="21">
        <v>0</v>
      </c>
      <c r="AC10456" s="21">
        <v>0</v>
      </c>
      <c r="AD10456" s="21">
        <v>0</v>
      </c>
      <c r="AE10456" s="21">
        <v>0</v>
      </c>
      <c r="AF10456" s="21">
        <v>0</v>
      </c>
      <c r="AG10456" s="21">
        <v>0</v>
      </c>
      <c r="AH10456" s="21">
        <f t="shared" si="228"/>
        <v>0</v>
      </c>
      <c r="AJ10456" s="21" t="s">
        <v>51</v>
      </c>
      <c r="AK10456" s="21" t="s">
        <v>95</v>
      </c>
      <c r="AL10456" s="21"/>
      <c r="AM10456" s="21" t="s">
        <v>8520</v>
      </c>
      <c r="AN10456" s="21">
        <v>-122.416237603333</v>
      </c>
      <c r="AO10456" s="21">
        <v>37.776073196667703</v>
      </c>
      <c r="AP10456" s="21" t="s">
        <v>116</v>
      </c>
    </row>
    <row r="10457" spans="1:42">
      <c r="A10457" s="20">
        <v>43896</v>
      </c>
      <c r="B10457" s="21">
        <v>5</v>
      </c>
      <c r="C10457" s="21">
        <v>571</v>
      </c>
      <c r="D10457">
        <v>11443</v>
      </c>
      <c r="E10457" t="s">
        <v>377</v>
      </c>
      <c r="F10457" s="21" t="s">
        <v>436</v>
      </c>
      <c r="G10457" s="21">
        <v>1</v>
      </c>
      <c r="I10457" s="21" t="s">
        <v>6352</v>
      </c>
      <c r="K10457" s="21" t="s">
        <v>394</v>
      </c>
      <c r="N10457" s="21" t="s">
        <v>40</v>
      </c>
      <c r="O10457" s="21">
        <v>48</v>
      </c>
      <c r="Q10457" s="21">
        <f t="shared" si="227"/>
        <v>1</v>
      </c>
      <c r="R10457" s="21">
        <v>1</v>
      </c>
      <c r="S10457" s="21">
        <v>0</v>
      </c>
      <c r="T10457" s="21">
        <v>0</v>
      </c>
      <c r="U10457" s="21">
        <v>0</v>
      </c>
      <c r="V10457" s="21">
        <v>0</v>
      </c>
      <c r="W10457" s="21">
        <v>0</v>
      </c>
      <c r="X10457" s="21">
        <v>0</v>
      </c>
      <c r="Y10457" s="21">
        <v>0</v>
      </c>
      <c r="Z10457" s="21">
        <v>0</v>
      </c>
      <c r="AA10457" s="21">
        <v>1</v>
      </c>
      <c r="AB10457" s="21">
        <v>0</v>
      </c>
      <c r="AC10457" s="21">
        <v>0</v>
      </c>
      <c r="AD10457" s="21">
        <v>0</v>
      </c>
      <c r="AE10457" s="21">
        <v>0</v>
      </c>
      <c r="AF10457" s="21">
        <v>0</v>
      </c>
      <c r="AG10457" s="21">
        <v>0</v>
      </c>
      <c r="AH10457" s="21">
        <f t="shared" si="228"/>
        <v>0</v>
      </c>
      <c r="AJ10457" s="21" t="s">
        <v>51</v>
      </c>
      <c r="AK10457" s="21" t="s">
        <v>95</v>
      </c>
      <c r="AL10457" s="21" t="s">
        <v>8521</v>
      </c>
      <c r="AM10457" s="21" t="s">
        <v>8522</v>
      </c>
      <c r="AN10457" s="21">
        <v>-122.41322575333299</v>
      </c>
      <c r="AO10457" s="21">
        <v>37.777111711802299</v>
      </c>
      <c r="AP10457" s="21" t="s">
        <v>116</v>
      </c>
    </row>
    <row r="10458" spans="1:42">
      <c r="A10458" s="20">
        <v>43896</v>
      </c>
      <c r="B10458" s="21">
        <v>5</v>
      </c>
      <c r="C10458" s="21">
        <v>571</v>
      </c>
      <c r="D10458">
        <v>11443</v>
      </c>
      <c r="E10458" t="s">
        <v>377</v>
      </c>
      <c r="F10458" s="21" t="s">
        <v>436</v>
      </c>
      <c r="G10458" s="21">
        <v>1</v>
      </c>
      <c r="I10458" s="21" t="s">
        <v>6201</v>
      </c>
      <c r="K10458" s="21" t="s">
        <v>8523</v>
      </c>
      <c r="N10458" s="21" t="s">
        <v>40</v>
      </c>
      <c r="O10458" s="21">
        <v>71</v>
      </c>
      <c r="Q10458" s="21">
        <f t="shared" si="227"/>
        <v>1</v>
      </c>
      <c r="R10458" s="21">
        <v>1</v>
      </c>
      <c r="S10458" s="21">
        <v>0</v>
      </c>
      <c r="T10458" s="21">
        <v>0</v>
      </c>
      <c r="U10458" s="21">
        <v>0</v>
      </c>
      <c r="V10458" s="21">
        <v>0</v>
      </c>
      <c r="W10458" s="21">
        <v>0</v>
      </c>
      <c r="X10458" s="21">
        <v>0</v>
      </c>
      <c r="Y10458" s="21">
        <v>0</v>
      </c>
      <c r="Z10458" s="21">
        <v>0</v>
      </c>
      <c r="AA10458" s="21">
        <v>0</v>
      </c>
      <c r="AB10458" s="21">
        <v>1</v>
      </c>
      <c r="AC10458" s="21">
        <v>0</v>
      </c>
      <c r="AD10458" s="21">
        <v>0</v>
      </c>
      <c r="AE10458" s="21">
        <v>0</v>
      </c>
      <c r="AF10458" s="21">
        <v>0</v>
      </c>
      <c r="AG10458" s="21">
        <v>0</v>
      </c>
      <c r="AH10458" s="21">
        <f t="shared" si="228"/>
        <v>0</v>
      </c>
      <c r="AJ10458" s="21" t="s">
        <v>51</v>
      </c>
      <c r="AK10458" s="21" t="s">
        <v>95</v>
      </c>
      <c r="AL10458" s="21"/>
      <c r="AM10458" s="21" t="s">
        <v>8524</v>
      </c>
      <c r="AN10458" s="21">
        <v>-122.414990963333</v>
      </c>
      <c r="AO10458" s="21">
        <v>37.775731153334497</v>
      </c>
      <c r="AP10458" s="21" t="s">
        <v>116</v>
      </c>
    </row>
    <row r="10459" spans="1:42">
      <c r="A10459" s="20">
        <v>43896</v>
      </c>
      <c r="B10459" s="21">
        <v>5</v>
      </c>
      <c r="C10459" s="21">
        <v>571</v>
      </c>
      <c r="D10459">
        <v>11443</v>
      </c>
      <c r="E10459" t="s">
        <v>377</v>
      </c>
      <c r="F10459" s="21" t="s">
        <v>436</v>
      </c>
      <c r="G10459" s="21">
        <v>1</v>
      </c>
      <c r="I10459" s="21" t="s">
        <v>8525</v>
      </c>
      <c r="K10459" s="21" t="s">
        <v>107</v>
      </c>
      <c r="N10459" s="21" t="s">
        <v>1703</v>
      </c>
      <c r="O10459" s="21">
        <v>91</v>
      </c>
      <c r="Q10459" s="21">
        <f t="shared" si="227"/>
        <v>1</v>
      </c>
      <c r="R10459" s="21">
        <v>1</v>
      </c>
      <c r="S10459" s="21">
        <v>0</v>
      </c>
      <c r="T10459" s="21">
        <v>0</v>
      </c>
      <c r="U10459" s="21">
        <v>0</v>
      </c>
      <c r="V10459" s="21">
        <v>0</v>
      </c>
      <c r="W10459" s="21">
        <v>0</v>
      </c>
      <c r="X10459" s="21">
        <v>0</v>
      </c>
      <c r="Y10459" s="21">
        <v>0</v>
      </c>
      <c r="Z10459" s="21">
        <v>0</v>
      </c>
      <c r="AA10459" s="21">
        <v>0</v>
      </c>
      <c r="AB10459" s="21">
        <v>0</v>
      </c>
      <c r="AC10459" s="21">
        <v>1</v>
      </c>
      <c r="AD10459" s="21">
        <v>0</v>
      </c>
      <c r="AE10459" s="21">
        <v>0</v>
      </c>
      <c r="AF10459" s="21">
        <v>0</v>
      </c>
      <c r="AG10459" s="21">
        <v>0</v>
      </c>
      <c r="AH10459" s="21">
        <f t="shared" si="228"/>
        <v>0</v>
      </c>
      <c r="AJ10459" s="21" t="s">
        <v>51</v>
      </c>
      <c r="AK10459" s="21" t="s">
        <v>52</v>
      </c>
      <c r="AL10459" s="21" t="s">
        <v>8526</v>
      </c>
      <c r="AM10459" s="21" t="s">
        <v>8527</v>
      </c>
      <c r="AN10459" s="21">
        <v>-122.41265182333299</v>
      </c>
      <c r="AO10459" s="21">
        <v>37.773600600000101</v>
      </c>
      <c r="AP10459" s="21" t="s">
        <v>116</v>
      </c>
    </row>
    <row r="10460" spans="1:42">
      <c r="A10460" s="20">
        <v>43896</v>
      </c>
      <c r="B10460" s="21">
        <v>5</v>
      </c>
      <c r="C10460" s="21">
        <v>571</v>
      </c>
      <c r="D10460">
        <v>11443</v>
      </c>
      <c r="E10460" t="s">
        <v>377</v>
      </c>
      <c r="F10460" s="21" t="s">
        <v>436</v>
      </c>
      <c r="G10460" s="21">
        <v>1</v>
      </c>
      <c r="I10460" s="21" t="s">
        <v>6384</v>
      </c>
      <c r="K10460" s="21" t="s">
        <v>107</v>
      </c>
      <c r="N10460" s="21" t="s">
        <v>1703</v>
      </c>
      <c r="O10460" s="21">
        <v>119</v>
      </c>
      <c r="Q10460" s="21">
        <f t="shared" si="227"/>
        <v>1</v>
      </c>
      <c r="R10460" s="21">
        <v>1</v>
      </c>
      <c r="S10460" s="21">
        <v>0</v>
      </c>
      <c r="T10460" s="21">
        <v>0</v>
      </c>
      <c r="U10460" s="21">
        <v>0</v>
      </c>
      <c r="V10460" s="21">
        <v>0</v>
      </c>
      <c r="W10460" s="21">
        <v>0</v>
      </c>
      <c r="X10460" s="21">
        <v>0</v>
      </c>
      <c r="Y10460" s="21">
        <v>1</v>
      </c>
      <c r="Z10460" s="21">
        <v>0</v>
      </c>
      <c r="AA10460" s="21">
        <v>0</v>
      </c>
      <c r="AB10460" s="21">
        <v>0</v>
      </c>
      <c r="AC10460" s="21">
        <v>0</v>
      </c>
      <c r="AD10460" s="21">
        <v>0</v>
      </c>
      <c r="AE10460" s="21">
        <v>0</v>
      </c>
      <c r="AF10460" s="21">
        <v>0</v>
      </c>
      <c r="AG10460" s="21">
        <v>0</v>
      </c>
      <c r="AH10460" s="21">
        <f t="shared" si="228"/>
        <v>0</v>
      </c>
      <c r="AJ10460" s="21" t="s">
        <v>51</v>
      </c>
      <c r="AK10460" s="21" t="s">
        <v>95</v>
      </c>
      <c r="AL10460" s="21" t="s">
        <v>8528</v>
      </c>
      <c r="AM10460" s="21" t="s">
        <v>8529</v>
      </c>
      <c r="AN10460" s="21">
        <v>-122.41286789220401</v>
      </c>
      <c r="AO10460" s="21">
        <v>37.774560762369198</v>
      </c>
      <c r="AP10460" s="21" t="s">
        <v>116</v>
      </c>
    </row>
    <row r="10461" spans="1:42">
      <c r="A10461" s="20">
        <v>43896</v>
      </c>
      <c r="B10461" s="21">
        <v>5</v>
      </c>
      <c r="C10461" s="21">
        <v>571</v>
      </c>
      <c r="D10461">
        <v>11443</v>
      </c>
      <c r="E10461" t="s">
        <v>377</v>
      </c>
      <c r="F10461" s="21" t="s">
        <v>436</v>
      </c>
      <c r="G10461" s="21">
        <v>1</v>
      </c>
      <c r="I10461" s="21" t="s">
        <v>8530</v>
      </c>
      <c r="K10461" s="21" t="s">
        <v>391</v>
      </c>
      <c r="N10461" s="21" t="s">
        <v>40</v>
      </c>
      <c r="O10461" s="21">
        <v>78</v>
      </c>
      <c r="Q10461" s="21">
        <f t="shared" si="227"/>
        <v>2</v>
      </c>
      <c r="R10461" s="21">
        <v>1</v>
      </c>
      <c r="S10461" s="21">
        <v>0</v>
      </c>
      <c r="T10461" s="21">
        <v>0</v>
      </c>
      <c r="U10461" s="21">
        <v>0</v>
      </c>
      <c r="V10461" s="21">
        <v>0</v>
      </c>
      <c r="W10461" s="21">
        <v>0</v>
      </c>
      <c r="X10461" s="21">
        <v>0</v>
      </c>
      <c r="Y10461" s="21">
        <v>0</v>
      </c>
      <c r="Z10461" s="21">
        <v>0</v>
      </c>
      <c r="AA10461" s="21">
        <v>2</v>
      </c>
      <c r="AB10461" s="21">
        <v>0</v>
      </c>
      <c r="AC10461" s="21">
        <v>0</v>
      </c>
      <c r="AD10461" s="21">
        <v>0</v>
      </c>
      <c r="AE10461" s="21">
        <v>0</v>
      </c>
      <c r="AF10461" s="21">
        <v>0</v>
      </c>
      <c r="AG10461" s="21">
        <v>0</v>
      </c>
      <c r="AH10461" s="21">
        <f t="shared" si="228"/>
        <v>0</v>
      </c>
      <c r="AJ10461" s="21" t="s">
        <v>51</v>
      </c>
      <c r="AK10461" s="21" t="s">
        <v>95</v>
      </c>
      <c r="AL10461" s="21" t="s">
        <v>8531</v>
      </c>
      <c r="AM10461" s="21" t="s">
        <v>8532</v>
      </c>
      <c r="AN10461" s="21">
        <v>-122.40915346</v>
      </c>
      <c r="AO10461" s="21">
        <v>37.775635360001701</v>
      </c>
      <c r="AP10461" s="21" t="s">
        <v>116</v>
      </c>
    </row>
    <row r="10462" spans="1:42">
      <c r="A10462" s="20">
        <v>43896</v>
      </c>
      <c r="B10462" s="21">
        <v>5</v>
      </c>
      <c r="C10462" s="21">
        <v>571</v>
      </c>
      <c r="D10462">
        <v>11443</v>
      </c>
      <c r="E10462" t="s">
        <v>377</v>
      </c>
      <c r="F10462" s="21" t="s">
        <v>436</v>
      </c>
      <c r="G10462" s="21">
        <v>1</v>
      </c>
      <c r="I10462" s="21" t="s">
        <v>8533</v>
      </c>
      <c r="K10462" s="21" t="s">
        <v>391</v>
      </c>
      <c r="N10462" s="21" t="s">
        <v>40</v>
      </c>
      <c r="O10462" s="21">
        <v>67</v>
      </c>
      <c r="Q10462" s="21">
        <f t="shared" si="227"/>
        <v>1</v>
      </c>
      <c r="R10462" s="21">
        <v>1</v>
      </c>
      <c r="S10462" s="21">
        <v>0</v>
      </c>
      <c r="T10462" s="21">
        <v>0</v>
      </c>
      <c r="U10462" s="21">
        <v>0</v>
      </c>
      <c r="V10462" s="21">
        <v>0</v>
      </c>
      <c r="W10462" s="21">
        <v>0</v>
      </c>
      <c r="X10462" s="21">
        <v>0</v>
      </c>
      <c r="Y10462" s="21">
        <v>0</v>
      </c>
      <c r="Z10462" s="21">
        <v>0</v>
      </c>
      <c r="AA10462" s="21">
        <v>1</v>
      </c>
      <c r="AB10462" s="21">
        <v>0</v>
      </c>
      <c r="AC10462" s="21">
        <v>0</v>
      </c>
      <c r="AD10462" s="21">
        <v>0</v>
      </c>
      <c r="AE10462" s="21">
        <v>0</v>
      </c>
      <c r="AF10462" s="21">
        <v>0</v>
      </c>
      <c r="AG10462" s="21">
        <v>0</v>
      </c>
      <c r="AH10462" s="21">
        <f t="shared" si="228"/>
        <v>0</v>
      </c>
      <c r="AJ10462" s="21" t="s">
        <v>51</v>
      </c>
      <c r="AK10462" s="21" t="s">
        <v>95</v>
      </c>
      <c r="AL10462" s="21" t="s">
        <v>8534</v>
      </c>
      <c r="AM10462" s="21" t="s">
        <v>8535</v>
      </c>
      <c r="AN10462" s="21">
        <v>-122.410842586667</v>
      </c>
      <c r="AO10462" s="21">
        <v>37.776839826668599</v>
      </c>
      <c r="AP10462" s="21" t="s">
        <v>116</v>
      </c>
    </row>
    <row r="10463" spans="1:42">
      <c r="A10463" s="20">
        <v>43896</v>
      </c>
      <c r="B10463" s="21">
        <v>5</v>
      </c>
      <c r="C10463" s="21">
        <v>571</v>
      </c>
      <c r="D10463">
        <v>11443</v>
      </c>
      <c r="E10463" t="s">
        <v>377</v>
      </c>
      <c r="F10463" s="21" t="s">
        <v>436</v>
      </c>
      <c r="G10463" s="21">
        <v>1</v>
      </c>
      <c r="I10463" s="21" t="s">
        <v>3519</v>
      </c>
      <c r="K10463" s="21" t="s">
        <v>108</v>
      </c>
      <c r="N10463" s="21" t="s">
        <v>40</v>
      </c>
      <c r="O10463" s="21">
        <v>51</v>
      </c>
      <c r="Q10463" s="21">
        <f t="shared" si="227"/>
        <v>1</v>
      </c>
      <c r="R10463" s="21">
        <v>1</v>
      </c>
      <c r="S10463" s="21">
        <v>0</v>
      </c>
      <c r="T10463" s="21">
        <v>0</v>
      </c>
      <c r="U10463" s="21">
        <v>0</v>
      </c>
      <c r="V10463" s="21">
        <v>0</v>
      </c>
      <c r="W10463" s="21">
        <v>0</v>
      </c>
      <c r="X10463" s="21">
        <v>0</v>
      </c>
      <c r="Y10463" s="21">
        <v>0</v>
      </c>
      <c r="Z10463" s="21">
        <v>0</v>
      </c>
      <c r="AA10463" s="21">
        <v>0</v>
      </c>
      <c r="AB10463" s="21">
        <v>0</v>
      </c>
      <c r="AC10463" s="21">
        <v>1</v>
      </c>
      <c r="AD10463" s="21">
        <v>0</v>
      </c>
      <c r="AE10463" s="21">
        <v>0</v>
      </c>
      <c r="AF10463" s="21">
        <v>0</v>
      </c>
      <c r="AG10463" s="21">
        <v>0</v>
      </c>
      <c r="AH10463" s="21">
        <f t="shared" si="228"/>
        <v>0</v>
      </c>
      <c r="AJ10463" s="21" t="s">
        <v>51</v>
      </c>
      <c r="AK10463" s="21" t="s">
        <v>95</v>
      </c>
      <c r="AL10463" s="21"/>
      <c r="AM10463" s="21" t="s">
        <v>8536</v>
      </c>
      <c r="AN10463" s="21">
        <v>-122.411368453333</v>
      </c>
      <c r="AO10463" s="21">
        <v>37.776537926666698</v>
      </c>
      <c r="AP10463" s="21" t="s">
        <v>116</v>
      </c>
    </row>
    <row r="10464" spans="1:42">
      <c r="A10464" s="20">
        <v>43896</v>
      </c>
      <c r="B10464" s="21">
        <v>5</v>
      </c>
      <c r="C10464" s="21">
        <v>571</v>
      </c>
      <c r="D10464">
        <v>11443</v>
      </c>
      <c r="E10464" t="s">
        <v>377</v>
      </c>
      <c r="F10464" s="21" t="s">
        <v>436</v>
      </c>
      <c r="G10464" s="21">
        <v>1</v>
      </c>
      <c r="I10464" s="21" t="s">
        <v>8537</v>
      </c>
      <c r="K10464" s="21" t="s">
        <v>108</v>
      </c>
      <c r="N10464" s="21" t="s">
        <v>1703</v>
      </c>
      <c r="O10464" s="21">
        <v>51</v>
      </c>
      <c r="Q10464" s="21">
        <f t="shared" si="227"/>
        <v>1</v>
      </c>
      <c r="R10464" s="21">
        <v>1</v>
      </c>
      <c r="S10464" s="21">
        <v>0</v>
      </c>
      <c r="T10464" s="21">
        <v>0</v>
      </c>
      <c r="U10464" s="21">
        <v>0</v>
      </c>
      <c r="V10464" s="21">
        <v>0</v>
      </c>
      <c r="W10464" s="21">
        <v>0</v>
      </c>
      <c r="X10464" s="21">
        <v>0</v>
      </c>
      <c r="Y10464" s="21">
        <v>1</v>
      </c>
      <c r="Z10464" s="21">
        <v>0</v>
      </c>
      <c r="AA10464" s="21">
        <v>0</v>
      </c>
      <c r="AB10464" s="21">
        <v>0</v>
      </c>
      <c r="AC10464" s="21">
        <v>0</v>
      </c>
      <c r="AD10464" s="21">
        <v>0</v>
      </c>
      <c r="AE10464" s="21">
        <v>0</v>
      </c>
      <c r="AF10464" s="21">
        <v>0</v>
      </c>
      <c r="AG10464" s="21">
        <v>0</v>
      </c>
      <c r="AH10464" s="21">
        <f t="shared" si="228"/>
        <v>0</v>
      </c>
      <c r="AJ10464" s="21" t="s">
        <v>51</v>
      </c>
      <c r="AK10464" s="21" t="s">
        <v>95</v>
      </c>
      <c r="AL10464" s="21" t="s">
        <v>8538</v>
      </c>
      <c r="AM10464" s="21" t="s">
        <v>8539</v>
      </c>
      <c r="AN10464" s="21">
        <v>-122.411138153333</v>
      </c>
      <c r="AO10464" s="21">
        <v>37.775793206683502</v>
      </c>
      <c r="AP10464" s="21" t="s">
        <v>116</v>
      </c>
    </row>
    <row r="10465" spans="1:42">
      <c r="A10465" s="20">
        <v>43896</v>
      </c>
      <c r="B10465" s="21">
        <v>5</v>
      </c>
      <c r="C10465" s="21">
        <v>571</v>
      </c>
      <c r="D10465">
        <v>11443</v>
      </c>
      <c r="E10465" t="s">
        <v>377</v>
      </c>
      <c r="F10465" s="21" t="s">
        <v>436</v>
      </c>
      <c r="G10465" s="21">
        <v>1</v>
      </c>
      <c r="I10465" s="21" t="s">
        <v>5921</v>
      </c>
      <c r="K10465" s="21" t="s">
        <v>391</v>
      </c>
      <c r="N10465" s="21" t="s">
        <v>44</v>
      </c>
      <c r="O10465" s="21">
        <v>84</v>
      </c>
      <c r="Q10465" s="21">
        <f t="shared" si="227"/>
        <v>1</v>
      </c>
      <c r="R10465" s="21">
        <v>1</v>
      </c>
      <c r="S10465" s="21">
        <v>0</v>
      </c>
      <c r="T10465" s="21">
        <v>0</v>
      </c>
      <c r="U10465" s="21">
        <v>0</v>
      </c>
      <c r="V10465" s="21">
        <v>0</v>
      </c>
      <c r="W10465" s="21">
        <v>0</v>
      </c>
      <c r="X10465" s="21">
        <v>0</v>
      </c>
      <c r="Y10465" s="21">
        <v>0</v>
      </c>
      <c r="Z10465" s="21">
        <v>1</v>
      </c>
      <c r="AA10465" s="21">
        <v>0</v>
      </c>
      <c r="AB10465" s="21">
        <v>0</v>
      </c>
      <c r="AC10465" s="21">
        <v>0</v>
      </c>
      <c r="AD10465" s="21">
        <v>0</v>
      </c>
      <c r="AE10465" s="21">
        <v>0</v>
      </c>
      <c r="AF10465" s="21">
        <v>0</v>
      </c>
      <c r="AG10465" s="21">
        <v>0</v>
      </c>
      <c r="AH10465" s="21">
        <f t="shared" si="228"/>
        <v>0</v>
      </c>
      <c r="AJ10465" s="21" t="s">
        <v>51</v>
      </c>
      <c r="AK10465" s="21" t="s">
        <v>52</v>
      </c>
      <c r="AL10465" s="21" t="s">
        <v>8540</v>
      </c>
      <c r="AM10465" s="21" t="s">
        <v>8541</v>
      </c>
      <c r="AN10465" s="21">
        <v>-122.41078928</v>
      </c>
      <c r="AO10465" s="21">
        <v>37.7756257466691</v>
      </c>
      <c r="AP10465" s="21" t="s">
        <v>116</v>
      </c>
    </row>
    <row r="10466" spans="1:42">
      <c r="A10466" s="20">
        <v>43896</v>
      </c>
      <c r="B10466" s="21">
        <v>5</v>
      </c>
      <c r="C10466" s="21">
        <v>571</v>
      </c>
      <c r="D10466">
        <v>11443</v>
      </c>
      <c r="E10466" t="s">
        <v>377</v>
      </c>
      <c r="F10466" s="21" t="s">
        <v>436</v>
      </c>
      <c r="G10466" s="21">
        <v>1</v>
      </c>
      <c r="I10466" s="21" t="s">
        <v>7049</v>
      </c>
      <c r="K10466" s="21" t="s">
        <v>6651</v>
      </c>
      <c r="N10466" s="21" t="s">
        <v>40</v>
      </c>
      <c r="O10466" s="21">
        <v>181</v>
      </c>
      <c r="Q10466" s="21">
        <f t="shared" si="227"/>
        <v>1</v>
      </c>
      <c r="R10466" s="21">
        <v>1</v>
      </c>
      <c r="S10466" s="21">
        <v>0</v>
      </c>
      <c r="T10466" s="21">
        <v>0</v>
      </c>
      <c r="U10466" s="21">
        <v>0</v>
      </c>
      <c r="V10466" s="21">
        <v>0</v>
      </c>
      <c r="W10466" s="21">
        <v>0</v>
      </c>
      <c r="X10466" s="21">
        <v>0</v>
      </c>
      <c r="Y10466" s="21">
        <v>0</v>
      </c>
      <c r="Z10466" s="21">
        <v>0</v>
      </c>
      <c r="AA10466" s="21">
        <v>0</v>
      </c>
      <c r="AB10466" s="21">
        <v>1</v>
      </c>
      <c r="AC10466" s="21">
        <v>0</v>
      </c>
      <c r="AD10466" s="21">
        <v>0</v>
      </c>
      <c r="AE10466" s="21">
        <v>0</v>
      </c>
      <c r="AF10466" s="21">
        <v>0</v>
      </c>
      <c r="AG10466" s="21">
        <v>0</v>
      </c>
      <c r="AH10466" s="21">
        <f t="shared" si="228"/>
        <v>0</v>
      </c>
      <c r="AJ10466" s="21" t="s">
        <v>51</v>
      </c>
      <c r="AK10466" s="21" t="s">
        <v>95</v>
      </c>
      <c r="AL10466" s="21" t="s">
        <v>8542</v>
      </c>
      <c r="AM10466" s="21" t="s">
        <v>8543</v>
      </c>
      <c r="AN10466" s="21">
        <v>-122.41138563</v>
      </c>
      <c r="AO10466" s="21">
        <v>37.775432400001101</v>
      </c>
      <c r="AP10466" s="21" t="s">
        <v>116</v>
      </c>
    </row>
    <row r="10467" spans="1:42">
      <c r="A10467" s="20">
        <v>43896</v>
      </c>
      <c r="B10467" s="21">
        <v>5</v>
      </c>
      <c r="C10467" s="21">
        <v>571</v>
      </c>
      <c r="D10467">
        <v>11443</v>
      </c>
      <c r="E10467" t="s">
        <v>377</v>
      </c>
      <c r="F10467" s="21" t="s">
        <v>436</v>
      </c>
      <c r="G10467" s="21">
        <v>1</v>
      </c>
      <c r="I10467" s="21" t="s">
        <v>6155</v>
      </c>
      <c r="K10467" s="21" t="s">
        <v>108</v>
      </c>
      <c r="N10467" s="21" t="s">
        <v>40</v>
      </c>
      <c r="O10467" s="21">
        <v>60</v>
      </c>
      <c r="Q10467" s="21">
        <f t="shared" ref="Q10467:Q10530" si="229">SUM(S10467+T10467+U10467+V10467+W10467+Y10467+Z10467+AA10467+AB10467+AC10467+AF10467+AG10467+AD10466+AE10466)</f>
        <v>1</v>
      </c>
      <c r="R10467" s="21">
        <v>1</v>
      </c>
      <c r="S10467" s="21">
        <v>0</v>
      </c>
      <c r="T10467" s="21">
        <v>0</v>
      </c>
      <c r="U10467" s="21">
        <v>0</v>
      </c>
      <c r="V10467" s="21">
        <v>0</v>
      </c>
      <c r="W10467" s="21">
        <v>0</v>
      </c>
      <c r="X10467" s="21">
        <v>0</v>
      </c>
      <c r="Y10467" s="21">
        <v>0</v>
      </c>
      <c r="Z10467" s="21">
        <v>0</v>
      </c>
      <c r="AA10467" s="21">
        <v>0</v>
      </c>
      <c r="AB10467" s="21">
        <v>1</v>
      </c>
      <c r="AC10467" s="21">
        <v>0</v>
      </c>
      <c r="AD10467" s="21">
        <v>0</v>
      </c>
      <c r="AE10467" s="21">
        <v>0</v>
      </c>
      <c r="AF10467" s="21">
        <v>0</v>
      </c>
      <c r="AG10467" s="21">
        <v>0</v>
      </c>
      <c r="AH10467" s="21">
        <f t="shared" si="228"/>
        <v>0</v>
      </c>
      <c r="AJ10467" s="21" t="s">
        <v>51</v>
      </c>
      <c r="AK10467" s="21" t="s">
        <v>95</v>
      </c>
      <c r="AL10467" s="21" t="s">
        <v>8544</v>
      </c>
      <c r="AM10467" s="21" t="s">
        <v>8545</v>
      </c>
      <c r="AN10467" s="21">
        <v>-122.412608913333</v>
      </c>
      <c r="AO10467" s="21">
        <v>37.776304853336399</v>
      </c>
      <c r="AP10467" s="21" t="s">
        <v>116</v>
      </c>
    </row>
    <row r="10468" spans="1:42">
      <c r="A10468" s="20">
        <v>43896</v>
      </c>
      <c r="B10468" s="21">
        <v>5</v>
      </c>
      <c r="C10468" s="21">
        <v>571</v>
      </c>
      <c r="D10468">
        <v>11443</v>
      </c>
      <c r="E10468" t="s">
        <v>377</v>
      </c>
      <c r="F10468" s="21" t="s">
        <v>436</v>
      </c>
      <c r="G10468" s="21">
        <v>1</v>
      </c>
      <c r="I10468" s="21" t="s">
        <v>5970</v>
      </c>
      <c r="K10468" s="21" t="s">
        <v>383</v>
      </c>
      <c r="N10468" s="21" t="s">
        <v>44</v>
      </c>
      <c r="O10468" s="21">
        <v>81</v>
      </c>
      <c r="Q10468" s="21">
        <f t="shared" si="229"/>
        <v>1</v>
      </c>
      <c r="R10468" s="21">
        <v>1</v>
      </c>
      <c r="S10468" s="21">
        <v>0</v>
      </c>
      <c r="T10468" s="21">
        <v>0</v>
      </c>
      <c r="U10468" s="21">
        <v>0</v>
      </c>
      <c r="V10468" s="21">
        <v>0</v>
      </c>
      <c r="W10468" s="21">
        <v>0</v>
      </c>
      <c r="X10468" s="21">
        <v>0</v>
      </c>
      <c r="Y10468" s="21">
        <v>0</v>
      </c>
      <c r="Z10468" s="21">
        <v>0</v>
      </c>
      <c r="AA10468" s="21">
        <v>1</v>
      </c>
      <c r="AB10468" s="21">
        <v>0</v>
      </c>
      <c r="AC10468" s="21">
        <v>0</v>
      </c>
      <c r="AD10468" s="21">
        <v>0</v>
      </c>
      <c r="AE10468" s="21">
        <v>0</v>
      </c>
      <c r="AF10468" s="21">
        <v>0</v>
      </c>
      <c r="AG10468" s="21">
        <v>0</v>
      </c>
      <c r="AH10468" s="21">
        <f t="shared" si="228"/>
        <v>0</v>
      </c>
      <c r="AJ10468" s="21" t="s">
        <v>51</v>
      </c>
      <c r="AK10468" s="21" t="s">
        <v>95</v>
      </c>
      <c r="AL10468" s="21" t="s">
        <v>8546</v>
      </c>
      <c r="AM10468" s="21" t="s">
        <v>8547</v>
      </c>
      <c r="AN10468" s="21">
        <v>-122.411987963333</v>
      </c>
      <c r="AO10468" s="21">
        <v>37.776805730000099</v>
      </c>
      <c r="AP10468" s="21" t="s">
        <v>116</v>
      </c>
    </row>
    <row r="10469" spans="1:42">
      <c r="A10469" s="20">
        <v>43896</v>
      </c>
      <c r="B10469" s="21">
        <v>5</v>
      </c>
      <c r="C10469" s="21">
        <v>571</v>
      </c>
      <c r="D10469">
        <v>11443</v>
      </c>
      <c r="E10469" t="s">
        <v>377</v>
      </c>
      <c r="F10469" s="21" t="s">
        <v>436</v>
      </c>
      <c r="G10469" s="21">
        <v>1</v>
      </c>
      <c r="I10469" s="21" t="s">
        <v>3410</v>
      </c>
      <c r="K10469" s="21" t="s">
        <v>4198</v>
      </c>
      <c r="N10469" s="21" t="s">
        <v>44</v>
      </c>
      <c r="O10469" s="21">
        <v>66</v>
      </c>
      <c r="Q10469" s="21">
        <f t="shared" si="229"/>
        <v>1</v>
      </c>
      <c r="R10469" s="21">
        <v>1</v>
      </c>
      <c r="S10469" s="21">
        <v>0</v>
      </c>
      <c r="T10469" s="21">
        <v>0</v>
      </c>
      <c r="U10469" s="21">
        <v>0</v>
      </c>
      <c r="V10469" s="21">
        <v>0</v>
      </c>
      <c r="W10469" s="21">
        <v>0</v>
      </c>
      <c r="X10469" s="21">
        <v>0</v>
      </c>
      <c r="Y10469" s="21">
        <v>0</v>
      </c>
      <c r="Z10469" s="21">
        <v>0</v>
      </c>
      <c r="AA10469" s="21">
        <v>0</v>
      </c>
      <c r="AB10469" s="21">
        <v>0</v>
      </c>
      <c r="AC10469" s="21">
        <v>1</v>
      </c>
      <c r="AD10469" s="21">
        <v>0</v>
      </c>
      <c r="AE10469" s="21">
        <v>0</v>
      </c>
      <c r="AF10469" s="21">
        <v>0</v>
      </c>
      <c r="AG10469" s="21">
        <v>0</v>
      </c>
      <c r="AH10469" s="21">
        <f t="shared" si="228"/>
        <v>0</v>
      </c>
      <c r="AJ10469" s="21" t="s">
        <v>51</v>
      </c>
      <c r="AK10469" s="21" t="s">
        <v>95</v>
      </c>
      <c r="AL10469" s="21" t="s">
        <v>8548</v>
      </c>
      <c r="AM10469" s="21" t="s">
        <v>8549</v>
      </c>
      <c r="AN10469" s="21">
        <v>-122.40936619</v>
      </c>
      <c r="AO10469" s="21">
        <v>37.773097156669799</v>
      </c>
      <c r="AP10469" s="21" t="s">
        <v>116</v>
      </c>
    </row>
    <row r="10470" spans="1:42">
      <c r="A10470" s="20">
        <v>43896</v>
      </c>
      <c r="B10470" s="21">
        <v>5</v>
      </c>
      <c r="C10470" s="21">
        <v>571</v>
      </c>
      <c r="D10470">
        <v>11443</v>
      </c>
      <c r="E10470" t="s">
        <v>377</v>
      </c>
      <c r="F10470" s="21" t="s">
        <v>436</v>
      </c>
      <c r="G10470" s="21">
        <v>1</v>
      </c>
      <c r="I10470" s="21" t="s">
        <v>4309</v>
      </c>
      <c r="K10470" s="21" t="s">
        <v>509</v>
      </c>
      <c r="N10470" s="21" t="s">
        <v>40</v>
      </c>
      <c r="O10470" s="21">
        <v>75</v>
      </c>
      <c r="Q10470" s="21">
        <f t="shared" si="229"/>
        <v>1</v>
      </c>
      <c r="R10470" s="21">
        <v>1</v>
      </c>
      <c r="S10470" s="21">
        <v>0</v>
      </c>
      <c r="T10470" s="21">
        <v>0</v>
      </c>
      <c r="U10470" s="21">
        <v>0</v>
      </c>
      <c r="V10470" s="21">
        <v>0</v>
      </c>
      <c r="W10470" s="21">
        <v>0</v>
      </c>
      <c r="X10470" s="21">
        <v>0</v>
      </c>
      <c r="Y10470" s="21">
        <v>1</v>
      </c>
      <c r="Z10470" s="21">
        <v>0</v>
      </c>
      <c r="AA10470" s="21">
        <v>0</v>
      </c>
      <c r="AB10470" s="21">
        <v>0</v>
      </c>
      <c r="AC10470" s="21">
        <v>0</v>
      </c>
      <c r="AD10470" s="21">
        <v>0</v>
      </c>
      <c r="AE10470" s="21">
        <v>0</v>
      </c>
      <c r="AF10470" s="21">
        <v>0</v>
      </c>
      <c r="AG10470" s="21">
        <v>0</v>
      </c>
      <c r="AH10470" s="21">
        <f t="shared" si="228"/>
        <v>0</v>
      </c>
      <c r="AJ10470" s="21" t="s">
        <v>51</v>
      </c>
      <c r="AK10470" s="21" t="s">
        <v>95</v>
      </c>
      <c r="AL10470" s="21" t="s">
        <v>8550</v>
      </c>
      <c r="AM10470" s="21" t="s">
        <v>8551</v>
      </c>
      <c r="AN10470" s="21">
        <v>-122.40934321</v>
      </c>
      <c r="AO10470" s="21">
        <v>37.773181993333601</v>
      </c>
      <c r="AP10470" s="21" t="s">
        <v>116</v>
      </c>
    </row>
    <row r="10471" spans="1:42">
      <c r="A10471" s="20">
        <v>43896</v>
      </c>
      <c r="B10471" s="21">
        <v>5</v>
      </c>
      <c r="C10471" s="21">
        <v>571</v>
      </c>
      <c r="D10471">
        <v>11443</v>
      </c>
      <c r="E10471" t="s">
        <v>377</v>
      </c>
      <c r="F10471" s="21" t="s">
        <v>436</v>
      </c>
      <c r="G10471" s="21">
        <v>1</v>
      </c>
      <c r="I10471" s="21" t="s">
        <v>8552</v>
      </c>
      <c r="K10471" s="21" t="s">
        <v>509</v>
      </c>
      <c r="N10471" s="21" t="s">
        <v>1703</v>
      </c>
      <c r="O10471" s="21"/>
      <c r="Q10471" s="21">
        <f t="shared" si="229"/>
        <v>1</v>
      </c>
      <c r="R10471" s="21">
        <v>1</v>
      </c>
      <c r="S10471" s="21">
        <v>0</v>
      </c>
      <c r="T10471" s="21">
        <v>0</v>
      </c>
      <c r="U10471" s="21">
        <v>0</v>
      </c>
      <c r="V10471" s="21">
        <v>0</v>
      </c>
      <c r="W10471" s="21">
        <v>0</v>
      </c>
      <c r="X10471" s="21">
        <v>0</v>
      </c>
      <c r="Y10471" s="21">
        <v>0</v>
      </c>
      <c r="Z10471" s="21">
        <v>0</v>
      </c>
      <c r="AA10471" s="21">
        <v>1</v>
      </c>
      <c r="AB10471" s="21">
        <v>0</v>
      </c>
      <c r="AC10471" s="21">
        <v>0</v>
      </c>
      <c r="AD10471" s="21">
        <v>0</v>
      </c>
      <c r="AE10471" s="21">
        <v>0</v>
      </c>
      <c r="AF10471" s="21">
        <v>0</v>
      </c>
      <c r="AG10471" s="21">
        <v>0</v>
      </c>
      <c r="AH10471" s="21">
        <f t="shared" si="228"/>
        <v>0</v>
      </c>
      <c r="AJ10471" s="21" t="s">
        <v>51</v>
      </c>
      <c r="AK10471" s="21" t="s">
        <v>95</v>
      </c>
      <c r="AL10471" s="21" t="s">
        <v>8553</v>
      </c>
      <c r="AM10471" s="21" t="s">
        <v>8554</v>
      </c>
      <c r="AN10471" s="21">
        <v>-122.40967998333301</v>
      </c>
      <c r="AO10471" s="21">
        <v>37.772933053340303</v>
      </c>
      <c r="AP10471" s="21" t="s">
        <v>116</v>
      </c>
    </row>
    <row r="10472" spans="1:42">
      <c r="A10472" s="20">
        <v>43896</v>
      </c>
      <c r="B10472" s="21">
        <v>5</v>
      </c>
      <c r="C10472" s="21">
        <v>571</v>
      </c>
      <c r="D10472">
        <v>11443</v>
      </c>
      <c r="E10472" t="s">
        <v>377</v>
      </c>
      <c r="F10472" s="21" t="s">
        <v>436</v>
      </c>
      <c r="G10472" s="21">
        <v>1</v>
      </c>
      <c r="I10472" s="21" t="s">
        <v>4157</v>
      </c>
      <c r="K10472" s="21" t="s">
        <v>529</v>
      </c>
      <c r="N10472" s="21" t="s">
        <v>40</v>
      </c>
      <c r="O10472" s="21">
        <v>211</v>
      </c>
      <c r="Q10472" s="21">
        <f t="shared" si="229"/>
        <v>3</v>
      </c>
      <c r="R10472" s="21">
        <v>1</v>
      </c>
      <c r="S10472" s="21">
        <v>0</v>
      </c>
      <c r="T10472" s="21">
        <v>0</v>
      </c>
      <c r="U10472" s="21">
        <v>0</v>
      </c>
      <c r="V10472" s="21">
        <v>0</v>
      </c>
      <c r="W10472" s="21">
        <v>0</v>
      </c>
      <c r="X10472" s="21">
        <v>0</v>
      </c>
      <c r="Y10472" s="21">
        <v>0</v>
      </c>
      <c r="Z10472" s="21">
        <v>0</v>
      </c>
      <c r="AA10472" s="21">
        <v>0</v>
      </c>
      <c r="AB10472" s="21">
        <v>3</v>
      </c>
      <c r="AC10472" s="21">
        <v>0</v>
      </c>
      <c r="AD10472" s="21">
        <v>0</v>
      </c>
      <c r="AE10472" s="21">
        <v>0</v>
      </c>
      <c r="AF10472" s="21">
        <v>0</v>
      </c>
      <c r="AG10472" s="21">
        <v>0</v>
      </c>
      <c r="AH10472" s="21">
        <f t="shared" si="228"/>
        <v>0</v>
      </c>
      <c r="AJ10472" s="21" t="s">
        <v>51</v>
      </c>
      <c r="AK10472" s="21" t="s">
        <v>95</v>
      </c>
      <c r="AL10472" s="21" t="s">
        <v>8555</v>
      </c>
      <c r="AM10472" s="21" t="s">
        <v>8556</v>
      </c>
      <c r="AN10472" s="21">
        <v>-122.41056207</v>
      </c>
      <c r="AO10472" s="21">
        <v>37.772179236667398</v>
      </c>
      <c r="AP10472" s="21" t="s">
        <v>116</v>
      </c>
    </row>
    <row r="10473" spans="1:42">
      <c r="A10473" s="20">
        <v>43896</v>
      </c>
      <c r="B10473" s="21">
        <v>5</v>
      </c>
      <c r="C10473" s="21">
        <v>571</v>
      </c>
      <c r="D10473">
        <v>11443</v>
      </c>
      <c r="E10473" t="s">
        <v>377</v>
      </c>
      <c r="F10473" s="21" t="s">
        <v>436</v>
      </c>
      <c r="G10473" s="21">
        <v>1</v>
      </c>
      <c r="I10473" s="21" t="s">
        <v>6488</v>
      </c>
      <c r="K10473" s="21" t="s">
        <v>8420</v>
      </c>
      <c r="N10473" s="21" t="s">
        <v>1703</v>
      </c>
      <c r="O10473" s="21">
        <v>298</v>
      </c>
      <c r="Q10473" s="21">
        <f t="shared" si="229"/>
        <v>3</v>
      </c>
      <c r="R10473" s="21">
        <v>1</v>
      </c>
      <c r="S10473" s="21">
        <v>0</v>
      </c>
      <c r="T10473" s="21">
        <v>0</v>
      </c>
      <c r="U10473" s="21">
        <v>0</v>
      </c>
      <c r="V10473" s="21">
        <v>0</v>
      </c>
      <c r="W10473" s="21">
        <v>0</v>
      </c>
      <c r="X10473" s="21">
        <v>0</v>
      </c>
      <c r="Y10473" s="21">
        <v>0</v>
      </c>
      <c r="Z10473" s="21">
        <v>0</v>
      </c>
      <c r="AA10473" s="21">
        <v>1</v>
      </c>
      <c r="AB10473" s="21">
        <v>2</v>
      </c>
      <c r="AC10473" s="21">
        <v>0</v>
      </c>
      <c r="AD10473" s="21">
        <v>0</v>
      </c>
      <c r="AE10473" s="21">
        <v>0</v>
      </c>
      <c r="AF10473" s="21">
        <v>0</v>
      </c>
      <c r="AG10473" s="21">
        <v>0</v>
      </c>
      <c r="AH10473" s="21">
        <f t="shared" si="228"/>
        <v>0</v>
      </c>
      <c r="AJ10473" s="21" t="s">
        <v>51</v>
      </c>
      <c r="AK10473" s="21" t="s">
        <v>95</v>
      </c>
      <c r="AL10473" s="21" t="s">
        <v>8557</v>
      </c>
      <c r="AM10473" s="21" t="s">
        <v>8558</v>
      </c>
      <c r="AN10473" s="21">
        <v>-122.40038955666699</v>
      </c>
      <c r="AO10473" s="21">
        <v>37.770319856666703</v>
      </c>
      <c r="AP10473" s="21" t="s">
        <v>116</v>
      </c>
    </row>
    <row r="10474" spans="1:42">
      <c r="A10474" s="20">
        <v>43896</v>
      </c>
      <c r="B10474" s="21">
        <v>5</v>
      </c>
      <c r="C10474" s="21">
        <v>571</v>
      </c>
      <c r="D10474">
        <v>11443</v>
      </c>
      <c r="E10474" t="s">
        <v>377</v>
      </c>
      <c r="F10474" s="21" t="s">
        <v>436</v>
      </c>
      <c r="G10474" s="21">
        <v>1</v>
      </c>
      <c r="I10474" s="21" t="s">
        <v>6488</v>
      </c>
      <c r="K10474" s="21" t="s">
        <v>378</v>
      </c>
      <c r="N10474" s="21" t="s">
        <v>1703</v>
      </c>
      <c r="O10474" s="21">
        <v>348</v>
      </c>
      <c r="Q10474" s="21">
        <f t="shared" si="229"/>
        <v>3</v>
      </c>
      <c r="R10474" s="21">
        <v>1</v>
      </c>
      <c r="S10474" s="21">
        <v>0</v>
      </c>
      <c r="T10474" s="21">
        <v>0</v>
      </c>
      <c r="U10474" s="21">
        <v>0</v>
      </c>
      <c r="V10474" s="21">
        <v>0</v>
      </c>
      <c r="W10474" s="21">
        <v>0</v>
      </c>
      <c r="X10474" s="21">
        <v>0</v>
      </c>
      <c r="Y10474" s="21">
        <v>0</v>
      </c>
      <c r="Z10474" s="21">
        <v>0</v>
      </c>
      <c r="AA10474" s="21">
        <v>1</v>
      </c>
      <c r="AB10474" s="21">
        <v>2</v>
      </c>
      <c r="AC10474" s="21">
        <v>0</v>
      </c>
      <c r="AD10474" s="21">
        <v>0</v>
      </c>
      <c r="AE10474" s="21">
        <v>0</v>
      </c>
      <c r="AF10474" s="21">
        <v>0</v>
      </c>
      <c r="AG10474" s="21">
        <v>0</v>
      </c>
      <c r="AH10474" s="21">
        <f t="shared" si="228"/>
        <v>0</v>
      </c>
      <c r="AJ10474" s="21" t="s">
        <v>51</v>
      </c>
      <c r="AK10474" s="21" t="s">
        <v>95</v>
      </c>
      <c r="AL10474" s="21" t="s">
        <v>8559</v>
      </c>
      <c r="AM10474" s="21" t="s">
        <v>8560</v>
      </c>
      <c r="AN10474" s="21">
        <v>-122.403100263333</v>
      </c>
      <c r="AO10474" s="21">
        <v>37.772089283333599</v>
      </c>
      <c r="AP10474" s="21" t="s">
        <v>116</v>
      </c>
    </row>
    <row r="10475" spans="1:42">
      <c r="A10475" s="20">
        <v>43896</v>
      </c>
      <c r="B10475" s="21">
        <v>5</v>
      </c>
      <c r="C10475" s="21">
        <v>571</v>
      </c>
      <c r="D10475">
        <v>11443</v>
      </c>
      <c r="E10475" t="s">
        <v>377</v>
      </c>
      <c r="F10475" s="21" t="s">
        <v>436</v>
      </c>
      <c r="G10475" s="21">
        <v>1</v>
      </c>
      <c r="I10475" s="21" t="s">
        <v>4220</v>
      </c>
      <c r="K10475" s="21" t="s">
        <v>381</v>
      </c>
      <c r="N10475" s="21" t="s">
        <v>40</v>
      </c>
      <c r="O10475" s="21">
        <v>234</v>
      </c>
      <c r="Q10475" s="21">
        <f t="shared" si="229"/>
        <v>3</v>
      </c>
      <c r="R10475" s="21">
        <v>1</v>
      </c>
      <c r="S10475" s="21">
        <v>0</v>
      </c>
      <c r="T10475" s="21">
        <v>0</v>
      </c>
      <c r="U10475" s="21">
        <v>0</v>
      </c>
      <c r="V10475" s="21">
        <v>0</v>
      </c>
      <c r="W10475" s="21">
        <v>0</v>
      </c>
      <c r="X10475" s="21">
        <v>0</v>
      </c>
      <c r="Y10475" s="21">
        <v>0</v>
      </c>
      <c r="Z10475" s="21">
        <v>0</v>
      </c>
      <c r="AA10475" s="21">
        <v>0</v>
      </c>
      <c r="AB10475" s="21">
        <v>1</v>
      </c>
      <c r="AC10475" s="21">
        <v>2</v>
      </c>
      <c r="AD10475" s="21">
        <v>0</v>
      </c>
      <c r="AE10475" s="21">
        <v>0</v>
      </c>
      <c r="AF10475" s="21">
        <v>0</v>
      </c>
      <c r="AG10475" s="21">
        <v>0</v>
      </c>
      <c r="AH10475" s="21">
        <f t="shared" si="228"/>
        <v>0</v>
      </c>
      <c r="AJ10475" s="21" t="s">
        <v>51</v>
      </c>
      <c r="AK10475" s="21" t="s">
        <v>95</v>
      </c>
      <c r="AL10475" s="21" t="s">
        <v>8561</v>
      </c>
      <c r="AM10475" s="21" t="s">
        <v>8562</v>
      </c>
      <c r="AN10475" s="21">
        <v>-122.40416287333299</v>
      </c>
      <c r="AO10475" s="21">
        <v>37.7710319833337</v>
      </c>
      <c r="AP10475" s="21" t="s">
        <v>116</v>
      </c>
    </row>
    <row r="10476" spans="1:42">
      <c r="A10476" s="20">
        <v>43896</v>
      </c>
      <c r="B10476" s="21">
        <v>5</v>
      </c>
      <c r="C10476" s="21">
        <v>571</v>
      </c>
      <c r="D10476">
        <v>11443</v>
      </c>
      <c r="E10476" t="s">
        <v>377</v>
      </c>
      <c r="F10476" s="21" t="s">
        <v>436</v>
      </c>
      <c r="G10476" s="21">
        <v>1</v>
      </c>
      <c r="I10476" s="21" t="s">
        <v>3568</v>
      </c>
      <c r="K10476" s="21" t="s">
        <v>529</v>
      </c>
      <c r="N10476" s="21" t="s">
        <v>44</v>
      </c>
      <c r="O10476" s="21">
        <v>68</v>
      </c>
      <c r="Q10476" s="21">
        <f t="shared" si="229"/>
        <v>1</v>
      </c>
      <c r="R10476" s="21">
        <v>1</v>
      </c>
      <c r="S10476" s="21">
        <v>0</v>
      </c>
      <c r="T10476" s="21">
        <v>0</v>
      </c>
      <c r="U10476" s="21">
        <v>0</v>
      </c>
      <c r="V10476" s="21">
        <v>0</v>
      </c>
      <c r="W10476" s="21">
        <v>0</v>
      </c>
      <c r="X10476" s="21">
        <v>0</v>
      </c>
      <c r="Y10476" s="21">
        <v>0</v>
      </c>
      <c r="Z10476" s="21">
        <v>0</v>
      </c>
      <c r="AA10476" s="21">
        <v>0</v>
      </c>
      <c r="AB10476" s="21">
        <v>1</v>
      </c>
      <c r="AC10476" s="21">
        <v>0</v>
      </c>
      <c r="AD10476" s="21">
        <v>0</v>
      </c>
      <c r="AE10476" s="21">
        <v>0</v>
      </c>
      <c r="AF10476" s="21">
        <v>0</v>
      </c>
      <c r="AG10476" s="21">
        <v>0</v>
      </c>
      <c r="AH10476" s="21">
        <f t="shared" si="228"/>
        <v>0</v>
      </c>
      <c r="AJ10476" s="21" t="s">
        <v>51</v>
      </c>
      <c r="AK10476" s="21" t="s">
        <v>52</v>
      </c>
      <c r="AL10476" s="21" t="s">
        <v>8563</v>
      </c>
      <c r="AM10476" s="21" t="s">
        <v>8564</v>
      </c>
      <c r="AN10476" s="21">
        <v>-122.402415816667</v>
      </c>
      <c r="AO10476" s="21">
        <v>37.769824120001701</v>
      </c>
      <c r="AP10476" s="21" t="s">
        <v>116</v>
      </c>
    </row>
    <row r="10477" spans="1:42">
      <c r="A10477" s="20">
        <v>43896</v>
      </c>
      <c r="B10477" s="21">
        <v>5</v>
      </c>
      <c r="C10477" s="21">
        <v>571</v>
      </c>
      <c r="D10477">
        <v>11443</v>
      </c>
      <c r="E10477" t="s">
        <v>377</v>
      </c>
      <c r="F10477" s="21" t="s">
        <v>436</v>
      </c>
      <c r="G10477" s="21">
        <v>1</v>
      </c>
      <c r="I10477" s="21" t="s">
        <v>4240</v>
      </c>
      <c r="K10477" s="21" t="s">
        <v>8397</v>
      </c>
      <c r="N10477" s="21" t="s">
        <v>44</v>
      </c>
      <c r="O10477" s="21">
        <v>350</v>
      </c>
      <c r="Q10477" s="21">
        <f t="shared" si="229"/>
        <v>2</v>
      </c>
      <c r="R10477" s="21">
        <v>1</v>
      </c>
      <c r="S10477" s="21">
        <v>0</v>
      </c>
      <c r="T10477" s="21">
        <v>0</v>
      </c>
      <c r="U10477" s="21">
        <v>0</v>
      </c>
      <c r="V10477" s="21">
        <v>0</v>
      </c>
      <c r="W10477" s="21">
        <v>0</v>
      </c>
      <c r="X10477" s="21">
        <v>0</v>
      </c>
      <c r="Y10477" s="21">
        <v>0</v>
      </c>
      <c r="Z10477" s="21">
        <v>0</v>
      </c>
      <c r="AA10477" s="21">
        <v>2</v>
      </c>
      <c r="AB10477" s="21">
        <v>0</v>
      </c>
      <c r="AC10477" s="21">
        <v>0</v>
      </c>
      <c r="AD10477" s="21">
        <v>0</v>
      </c>
      <c r="AE10477" s="21">
        <v>0</v>
      </c>
      <c r="AF10477" s="21">
        <v>0</v>
      </c>
      <c r="AG10477" s="21">
        <v>0</v>
      </c>
      <c r="AH10477" s="21">
        <f t="shared" si="228"/>
        <v>0</v>
      </c>
      <c r="AJ10477" s="21" t="s">
        <v>51</v>
      </c>
      <c r="AK10477" s="21" t="s">
        <v>52</v>
      </c>
      <c r="AL10477" s="21" t="s">
        <v>8565</v>
      </c>
      <c r="AM10477" s="21" t="s">
        <v>8566</v>
      </c>
      <c r="AN10477" s="21">
        <v>-122.41276549</v>
      </c>
      <c r="AO10477" s="21">
        <v>37.778709270001002</v>
      </c>
      <c r="AP10477" s="21" t="s">
        <v>116</v>
      </c>
    </row>
    <row r="10478" spans="1:42">
      <c r="A10478" s="20">
        <v>43896</v>
      </c>
      <c r="B10478" s="21">
        <v>5</v>
      </c>
      <c r="C10478" s="21">
        <v>571</v>
      </c>
      <c r="D10478">
        <v>11443</v>
      </c>
      <c r="E10478" t="s">
        <v>377</v>
      </c>
      <c r="F10478" s="21" t="s">
        <v>436</v>
      </c>
      <c r="G10478" s="21">
        <v>1</v>
      </c>
      <c r="I10478" s="21" t="s">
        <v>3671</v>
      </c>
      <c r="K10478" s="21" t="s">
        <v>8567</v>
      </c>
      <c r="N10478" s="21" t="s">
        <v>40</v>
      </c>
      <c r="O10478" s="21">
        <v>75</v>
      </c>
      <c r="Q10478" s="21">
        <f t="shared" si="229"/>
        <v>2</v>
      </c>
      <c r="R10478" s="21">
        <v>1</v>
      </c>
      <c r="S10478" s="21">
        <v>0</v>
      </c>
      <c r="T10478" s="21">
        <v>0</v>
      </c>
      <c r="U10478" s="21">
        <v>0</v>
      </c>
      <c r="V10478" s="21">
        <v>0</v>
      </c>
      <c r="W10478" s="21">
        <v>0</v>
      </c>
      <c r="X10478" s="21">
        <v>0</v>
      </c>
      <c r="Y10478" s="21">
        <v>0</v>
      </c>
      <c r="Z10478" s="21">
        <v>0</v>
      </c>
      <c r="AA10478" s="21">
        <v>2</v>
      </c>
      <c r="AB10478" s="21">
        <v>0</v>
      </c>
      <c r="AC10478" s="21">
        <v>0</v>
      </c>
      <c r="AD10478" s="21">
        <v>0</v>
      </c>
      <c r="AE10478" s="21">
        <v>0</v>
      </c>
      <c r="AF10478" s="21">
        <v>0</v>
      </c>
      <c r="AG10478" s="21">
        <v>0</v>
      </c>
      <c r="AH10478" s="21">
        <f t="shared" si="228"/>
        <v>0</v>
      </c>
      <c r="AJ10478" s="21" t="s">
        <v>51</v>
      </c>
      <c r="AK10478" s="21" t="s">
        <v>95</v>
      </c>
      <c r="AL10478" s="21"/>
      <c r="AM10478" s="21" t="s">
        <v>8568</v>
      </c>
      <c r="AN10478" s="21">
        <v>-122.41620937</v>
      </c>
      <c r="AO10478" s="21">
        <v>37.781609320001898</v>
      </c>
      <c r="AP10478" s="21" t="s">
        <v>116</v>
      </c>
    </row>
    <row r="10479" spans="1:42">
      <c r="A10479" s="20">
        <v>43896</v>
      </c>
      <c r="B10479" s="21">
        <v>5</v>
      </c>
      <c r="C10479" s="21">
        <v>571</v>
      </c>
      <c r="D10479">
        <v>11443</v>
      </c>
      <c r="E10479" t="s">
        <v>377</v>
      </c>
      <c r="F10479" s="21" t="s">
        <v>436</v>
      </c>
      <c r="G10479" s="21">
        <v>1</v>
      </c>
      <c r="I10479" s="21" t="s">
        <v>8569</v>
      </c>
      <c r="K10479" s="21" t="s">
        <v>8363</v>
      </c>
      <c r="N10479" s="21" t="s">
        <v>44</v>
      </c>
      <c r="O10479" s="21">
        <v>123</v>
      </c>
      <c r="Q10479" s="21">
        <f t="shared" si="229"/>
        <v>1</v>
      </c>
      <c r="R10479" s="21">
        <v>1</v>
      </c>
      <c r="S10479" s="21">
        <v>0</v>
      </c>
      <c r="T10479" s="21">
        <v>0</v>
      </c>
      <c r="U10479" s="21">
        <v>0</v>
      </c>
      <c r="V10479" s="21">
        <v>0</v>
      </c>
      <c r="W10479" s="21">
        <v>0</v>
      </c>
      <c r="X10479" s="21">
        <v>0</v>
      </c>
      <c r="Y10479" s="21">
        <v>0</v>
      </c>
      <c r="Z10479" s="21">
        <v>0</v>
      </c>
      <c r="AA10479" s="21">
        <v>1</v>
      </c>
      <c r="AB10479" s="21">
        <v>0</v>
      </c>
      <c r="AC10479" s="21">
        <v>0</v>
      </c>
      <c r="AD10479" s="21">
        <v>0</v>
      </c>
      <c r="AE10479" s="21">
        <v>0</v>
      </c>
      <c r="AF10479" s="21">
        <v>0</v>
      </c>
      <c r="AG10479" s="21">
        <v>0</v>
      </c>
      <c r="AH10479" s="21">
        <f t="shared" si="228"/>
        <v>0</v>
      </c>
      <c r="AJ10479" s="21" t="s">
        <v>51</v>
      </c>
      <c r="AK10479" s="21" t="s">
        <v>52</v>
      </c>
      <c r="AL10479" s="21" t="s">
        <v>8570</v>
      </c>
      <c r="AM10479" s="21" t="s">
        <v>8571</v>
      </c>
      <c r="AN10479" s="21">
        <v>-122.414811003333</v>
      </c>
      <c r="AO10479" s="21">
        <v>37.781764906666702</v>
      </c>
      <c r="AP10479" s="21" t="s">
        <v>116</v>
      </c>
    </row>
    <row r="10480" spans="1:42">
      <c r="A10480" s="20">
        <v>43896</v>
      </c>
      <c r="B10480" s="21">
        <v>5</v>
      </c>
      <c r="C10480" s="21">
        <v>571</v>
      </c>
      <c r="D10480">
        <v>11443</v>
      </c>
      <c r="E10480" t="s">
        <v>377</v>
      </c>
      <c r="F10480" s="21" t="s">
        <v>436</v>
      </c>
      <c r="G10480" s="21">
        <v>1</v>
      </c>
      <c r="I10480" s="21" t="s">
        <v>3673</v>
      </c>
      <c r="K10480" s="21" t="s">
        <v>8397</v>
      </c>
      <c r="N10480" s="21" t="s">
        <v>40</v>
      </c>
      <c r="O10480" s="21">
        <v>206</v>
      </c>
      <c r="Q10480" s="21">
        <f t="shared" si="229"/>
        <v>3</v>
      </c>
      <c r="R10480" s="21">
        <v>1</v>
      </c>
      <c r="S10480" s="21">
        <v>0</v>
      </c>
      <c r="T10480" s="21">
        <v>0</v>
      </c>
      <c r="U10480" s="21">
        <v>0</v>
      </c>
      <c r="V10480" s="21">
        <v>0</v>
      </c>
      <c r="W10480" s="21">
        <v>0</v>
      </c>
      <c r="X10480" s="21">
        <v>0</v>
      </c>
      <c r="Y10480" s="21">
        <v>0</v>
      </c>
      <c r="Z10480" s="21">
        <v>0</v>
      </c>
      <c r="AA10480" s="21">
        <v>3</v>
      </c>
      <c r="AB10480" s="21">
        <v>0</v>
      </c>
      <c r="AC10480" s="21">
        <v>0</v>
      </c>
      <c r="AD10480" s="21">
        <v>0</v>
      </c>
      <c r="AE10480" s="21">
        <v>0</v>
      </c>
      <c r="AF10480" s="21">
        <v>0</v>
      </c>
      <c r="AG10480" s="21">
        <v>0</v>
      </c>
      <c r="AH10480" s="21">
        <f t="shared" si="228"/>
        <v>0</v>
      </c>
      <c r="AJ10480" s="21" t="s">
        <v>51</v>
      </c>
      <c r="AK10480" s="21" t="s">
        <v>52</v>
      </c>
      <c r="AL10480" s="21" t="s">
        <v>8572</v>
      </c>
      <c r="AM10480" s="21" t="s">
        <v>8573</v>
      </c>
      <c r="AN10480" s="21">
        <v>-122.41462891</v>
      </c>
      <c r="AO10480" s="21">
        <v>37.781718233333301</v>
      </c>
      <c r="AP10480" s="21" t="s">
        <v>116</v>
      </c>
    </row>
    <row r="10481" spans="1:42">
      <c r="A10481" s="20">
        <v>43896</v>
      </c>
      <c r="B10481" s="21">
        <v>5</v>
      </c>
      <c r="C10481" s="21">
        <v>571</v>
      </c>
      <c r="D10481">
        <v>11443</v>
      </c>
      <c r="E10481" t="s">
        <v>377</v>
      </c>
      <c r="F10481" s="21" t="s">
        <v>436</v>
      </c>
      <c r="G10481" s="21">
        <v>1</v>
      </c>
      <c r="I10481" s="21" t="s">
        <v>6233</v>
      </c>
      <c r="K10481" s="21" t="s">
        <v>96</v>
      </c>
      <c r="N10481" s="21" t="s">
        <v>40</v>
      </c>
      <c r="O10481" s="21">
        <v>138</v>
      </c>
      <c r="Q10481" s="21">
        <f t="shared" si="229"/>
        <v>2</v>
      </c>
      <c r="R10481" s="21">
        <v>1</v>
      </c>
      <c r="S10481" s="21">
        <v>0</v>
      </c>
      <c r="T10481" s="21">
        <v>0</v>
      </c>
      <c r="U10481" s="21">
        <v>0</v>
      </c>
      <c r="V10481" s="21">
        <v>0</v>
      </c>
      <c r="W10481" s="21">
        <v>0</v>
      </c>
      <c r="X10481" s="21">
        <v>0</v>
      </c>
      <c r="Y10481" s="21">
        <v>0</v>
      </c>
      <c r="Z10481" s="21">
        <v>0</v>
      </c>
      <c r="AA10481" s="21">
        <v>2</v>
      </c>
      <c r="AB10481" s="21">
        <v>0</v>
      </c>
      <c r="AC10481" s="21">
        <v>0</v>
      </c>
      <c r="AD10481" s="21">
        <v>0</v>
      </c>
      <c r="AE10481" s="21">
        <v>0</v>
      </c>
      <c r="AF10481" s="21">
        <v>0</v>
      </c>
      <c r="AG10481" s="21">
        <v>0</v>
      </c>
      <c r="AH10481" s="21">
        <f t="shared" si="228"/>
        <v>0</v>
      </c>
      <c r="AJ10481" s="21" t="s">
        <v>51</v>
      </c>
      <c r="AK10481" s="21" t="s">
        <v>95</v>
      </c>
      <c r="AL10481" s="21" t="s">
        <v>8574</v>
      </c>
      <c r="AM10481" s="21" t="s">
        <v>8575</v>
      </c>
      <c r="AN10481" s="21">
        <v>-122.413926226667</v>
      </c>
      <c r="AO10481" s="21">
        <v>37.782331733333599</v>
      </c>
      <c r="AP10481" s="21" t="s">
        <v>116</v>
      </c>
    </row>
    <row r="10482" spans="1:42">
      <c r="A10482" s="20">
        <v>43896</v>
      </c>
      <c r="B10482" s="21">
        <v>5</v>
      </c>
      <c r="C10482" s="21">
        <v>571</v>
      </c>
      <c r="D10482">
        <v>11443</v>
      </c>
      <c r="E10482" t="s">
        <v>377</v>
      </c>
      <c r="F10482" s="21" t="s">
        <v>436</v>
      </c>
      <c r="G10482" s="21">
        <v>1</v>
      </c>
      <c r="I10482" s="21" t="s">
        <v>8576</v>
      </c>
      <c r="K10482" s="21" t="s">
        <v>8397</v>
      </c>
      <c r="N10482" s="21" t="s">
        <v>44</v>
      </c>
      <c r="O10482" s="21">
        <v>89</v>
      </c>
      <c r="Q10482" s="21">
        <f t="shared" si="229"/>
        <v>1</v>
      </c>
      <c r="R10482" s="21">
        <v>1</v>
      </c>
      <c r="S10482" s="21">
        <v>0</v>
      </c>
      <c r="T10482" s="21">
        <v>0</v>
      </c>
      <c r="U10482" s="21">
        <v>0</v>
      </c>
      <c r="V10482" s="21">
        <v>0</v>
      </c>
      <c r="W10482" s="21">
        <v>0</v>
      </c>
      <c r="X10482" s="21">
        <v>0</v>
      </c>
      <c r="Y10482" s="21">
        <v>0</v>
      </c>
      <c r="Z10482" s="21">
        <v>0</v>
      </c>
      <c r="AA10482" s="21">
        <v>1</v>
      </c>
      <c r="AB10482" s="21">
        <v>0</v>
      </c>
      <c r="AC10482" s="21">
        <v>0</v>
      </c>
      <c r="AD10482" s="21">
        <v>0</v>
      </c>
      <c r="AE10482" s="21">
        <v>0</v>
      </c>
      <c r="AF10482" s="21">
        <v>0</v>
      </c>
      <c r="AG10482" s="21">
        <v>0</v>
      </c>
      <c r="AH10482" s="21">
        <f t="shared" si="228"/>
        <v>0</v>
      </c>
      <c r="AJ10482" s="21" t="s">
        <v>51</v>
      </c>
      <c r="AK10482" s="21" t="s">
        <v>52</v>
      </c>
      <c r="AL10482" s="21" t="s">
        <v>8577</v>
      </c>
      <c r="AM10482" s="21" t="s">
        <v>8578</v>
      </c>
      <c r="AN10482" s="21">
        <v>-122.41677133</v>
      </c>
      <c r="AO10482" s="21">
        <v>37.782542843334497</v>
      </c>
      <c r="AP10482" s="21" t="s">
        <v>116</v>
      </c>
    </row>
    <row r="10483" spans="1:42">
      <c r="A10483" s="20">
        <v>43896</v>
      </c>
      <c r="B10483" s="21">
        <v>5</v>
      </c>
      <c r="C10483" s="21">
        <v>571</v>
      </c>
      <c r="D10483">
        <v>11443</v>
      </c>
      <c r="E10483" t="s">
        <v>377</v>
      </c>
      <c r="F10483" s="21" t="s">
        <v>436</v>
      </c>
      <c r="G10483" s="21">
        <v>1</v>
      </c>
      <c r="I10483" s="21" t="s">
        <v>3399</v>
      </c>
      <c r="K10483" s="21" t="s">
        <v>96</v>
      </c>
      <c r="N10483" s="21" t="s">
        <v>40</v>
      </c>
      <c r="O10483" s="21">
        <v>78</v>
      </c>
      <c r="Q10483" s="21">
        <f t="shared" si="229"/>
        <v>1</v>
      </c>
      <c r="R10483" s="21">
        <v>1</v>
      </c>
      <c r="S10483" s="21">
        <v>0</v>
      </c>
      <c r="T10483" s="21">
        <v>0</v>
      </c>
      <c r="U10483" s="21">
        <v>0</v>
      </c>
      <c r="V10483" s="21">
        <v>0</v>
      </c>
      <c r="W10483" s="21">
        <v>0</v>
      </c>
      <c r="X10483" s="21">
        <v>0</v>
      </c>
      <c r="Y10483" s="21">
        <v>0</v>
      </c>
      <c r="Z10483" s="21">
        <v>0</v>
      </c>
      <c r="AA10483" s="21">
        <v>1</v>
      </c>
      <c r="AB10483" s="21">
        <v>0</v>
      </c>
      <c r="AC10483" s="21">
        <v>0</v>
      </c>
      <c r="AD10483" s="21">
        <v>0</v>
      </c>
      <c r="AE10483" s="21">
        <v>0</v>
      </c>
      <c r="AF10483" s="21">
        <v>0</v>
      </c>
      <c r="AG10483" s="21">
        <v>0</v>
      </c>
      <c r="AH10483" s="21">
        <f t="shared" si="228"/>
        <v>0</v>
      </c>
      <c r="AJ10483" s="21" t="s">
        <v>51</v>
      </c>
      <c r="AK10483" s="21" t="s">
        <v>52</v>
      </c>
      <c r="AL10483" s="21" t="s">
        <v>8579</v>
      </c>
      <c r="AM10483" s="21" t="s">
        <v>8580</v>
      </c>
      <c r="AN10483" s="21">
        <v>-122.416841186667</v>
      </c>
      <c r="AO10483" s="21">
        <v>37.781992046671</v>
      </c>
      <c r="AP10483" s="21" t="s">
        <v>116</v>
      </c>
    </row>
    <row r="10484" spans="1:42">
      <c r="A10484" s="20">
        <v>43896</v>
      </c>
      <c r="B10484" s="21">
        <v>5</v>
      </c>
      <c r="C10484" s="21">
        <v>571</v>
      </c>
      <c r="D10484">
        <v>11443</v>
      </c>
      <c r="E10484" t="s">
        <v>377</v>
      </c>
      <c r="F10484" s="21" t="s">
        <v>436</v>
      </c>
      <c r="G10484" s="21">
        <v>1</v>
      </c>
      <c r="I10484" s="21" t="s">
        <v>3563</v>
      </c>
      <c r="K10484" s="21" t="s">
        <v>414</v>
      </c>
      <c r="N10484" s="21"/>
      <c r="O10484" s="21">
        <v>92</v>
      </c>
      <c r="Q10484" s="21">
        <f t="shared" si="229"/>
        <v>1</v>
      </c>
      <c r="R10484" s="21">
        <v>1</v>
      </c>
      <c r="S10484" s="21">
        <v>0</v>
      </c>
      <c r="T10484" s="21">
        <v>0</v>
      </c>
      <c r="U10484" s="21">
        <v>0</v>
      </c>
      <c r="V10484" s="21">
        <v>0</v>
      </c>
      <c r="W10484" s="21">
        <v>0</v>
      </c>
      <c r="X10484" s="21">
        <v>0</v>
      </c>
      <c r="Y10484" s="21">
        <v>0</v>
      </c>
      <c r="Z10484" s="21">
        <v>0</v>
      </c>
      <c r="AA10484" s="21">
        <v>1</v>
      </c>
      <c r="AB10484" s="21">
        <v>0</v>
      </c>
      <c r="AC10484" s="21">
        <v>0</v>
      </c>
      <c r="AD10484" s="21">
        <v>0</v>
      </c>
      <c r="AE10484" s="21">
        <v>0</v>
      </c>
      <c r="AF10484" s="21">
        <v>0</v>
      </c>
      <c r="AG10484" s="21">
        <v>0</v>
      </c>
      <c r="AH10484" s="21">
        <f t="shared" si="228"/>
        <v>0</v>
      </c>
      <c r="AJ10484" s="21" t="s">
        <v>51</v>
      </c>
      <c r="AK10484" s="21" t="s">
        <v>52</v>
      </c>
      <c r="AL10484" s="21" t="s">
        <v>8581</v>
      </c>
      <c r="AM10484" s="21" t="s">
        <v>8582</v>
      </c>
      <c r="AN10484" s="21">
        <v>-122.41744718</v>
      </c>
      <c r="AO10484" s="21">
        <v>37.781936680454997</v>
      </c>
      <c r="AP10484" s="21" t="s">
        <v>116</v>
      </c>
    </row>
    <row r="10485" spans="1:42">
      <c r="A10485" s="20">
        <v>43896</v>
      </c>
      <c r="B10485" s="21">
        <v>5</v>
      </c>
      <c r="C10485" s="21">
        <v>571</v>
      </c>
      <c r="D10485">
        <v>11443</v>
      </c>
      <c r="E10485" t="s">
        <v>377</v>
      </c>
      <c r="F10485" s="21" t="s">
        <v>436</v>
      </c>
      <c r="G10485" s="21">
        <v>1</v>
      </c>
      <c r="I10485" s="21" t="s">
        <v>4240</v>
      </c>
      <c r="K10485" s="21" t="s">
        <v>96</v>
      </c>
      <c r="N10485" s="21" t="s">
        <v>40</v>
      </c>
      <c r="O10485" s="21">
        <v>75</v>
      </c>
      <c r="Q10485" s="21">
        <f t="shared" si="229"/>
        <v>1</v>
      </c>
      <c r="R10485" s="21">
        <v>1</v>
      </c>
      <c r="S10485" s="21">
        <v>0</v>
      </c>
      <c r="T10485" s="21">
        <v>0</v>
      </c>
      <c r="U10485" s="21">
        <v>0</v>
      </c>
      <c r="V10485" s="21">
        <v>0</v>
      </c>
      <c r="W10485" s="21">
        <v>0</v>
      </c>
      <c r="X10485" s="21">
        <v>0</v>
      </c>
      <c r="Y10485" s="21">
        <v>0</v>
      </c>
      <c r="Z10485" s="21">
        <v>0</v>
      </c>
      <c r="AA10485" s="21">
        <v>1</v>
      </c>
      <c r="AB10485" s="21">
        <v>0</v>
      </c>
      <c r="AC10485" s="21">
        <v>0</v>
      </c>
      <c r="AD10485" s="21">
        <v>0</v>
      </c>
      <c r="AE10485" s="21">
        <v>0</v>
      </c>
      <c r="AF10485" s="21">
        <v>0</v>
      </c>
      <c r="AG10485" s="21">
        <v>0</v>
      </c>
      <c r="AH10485" s="21">
        <f t="shared" ref="AH10485:AH10498" si="230">(S10485*16)+(T10485*20)+(U10485*32)+(V10485*64)+(W10485*96)</f>
        <v>0</v>
      </c>
      <c r="AJ10485" s="21" t="s">
        <v>51</v>
      </c>
      <c r="AK10485" s="21" t="s">
        <v>95</v>
      </c>
      <c r="AL10485" s="21" t="s">
        <v>8531</v>
      </c>
      <c r="AM10485" s="21" t="s">
        <v>8583</v>
      </c>
      <c r="AN10485" s="21">
        <v>-122.418981586667</v>
      </c>
      <c r="AO10485" s="21">
        <v>37.783676056668099</v>
      </c>
      <c r="AP10485" s="21" t="s">
        <v>116</v>
      </c>
    </row>
    <row r="10486" spans="1:42">
      <c r="A10486" s="20">
        <v>43896</v>
      </c>
      <c r="B10486" s="21">
        <v>5</v>
      </c>
      <c r="C10486" s="21">
        <v>571</v>
      </c>
      <c r="D10486">
        <v>11443</v>
      </c>
      <c r="E10486" t="s">
        <v>377</v>
      </c>
      <c r="F10486" s="21" t="s">
        <v>436</v>
      </c>
      <c r="G10486" s="21">
        <v>1</v>
      </c>
      <c r="I10486" s="21" t="s">
        <v>3521</v>
      </c>
      <c r="K10486" s="21" t="s">
        <v>100</v>
      </c>
      <c r="N10486" s="21" t="s">
        <v>40</v>
      </c>
      <c r="O10486" s="21">
        <v>35</v>
      </c>
      <c r="Q10486" s="21">
        <f t="shared" si="229"/>
        <v>1</v>
      </c>
      <c r="R10486" s="21">
        <v>1</v>
      </c>
      <c r="S10486" s="21">
        <v>0</v>
      </c>
      <c r="T10486" s="21">
        <v>0</v>
      </c>
      <c r="U10486" s="21">
        <v>0</v>
      </c>
      <c r="V10486" s="21">
        <v>0</v>
      </c>
      <c r="W10486" s="21">
        <v>0</v>
      </c>
      <c r="X10486" s="21">
        <v>0</v>
      </c>
      <c r="Y10486" s="21">
        <v>0</v>
      </c>
      <c r="Z10486" s="21">
        <v>0</v>
      </c>
      <c r="AA10486" s="21">
        <v>1</v>
      </c>
      <c r="AB10486" s="21">
        <v>0</v>
      </c>
      <c r="AC10486" s="21">
        <v>0</v>
      </c>
      <c r="AD10486" s="21">
        <v>0</v>
      </c>
      <c r="AE10486" s="21">
        <v>0</v>
      </c>
      <c r="AF10486" s="21">
        <v>0</v>
      </c>
      <c r="AG10486" s="21">
        <v>0</v>
      </c>
      <c r="AH10486" s="21">
        <f t="shared" si="230"/>
        <v>0</v>
      </c>
      <c r="AJ10486" s="21" t="s">
        <v>51</v>
      </c>
      <c r="AK10486" s="21" t="s">
        <v>95</v>
      </c>
      <c r="AL10486" s="21" t="s">
        <v>8584</v>
      </c>
      <c r="AM10486" s="21" t="s">
        <v>8585</v>
      </c>
      <c r="AN10486" s="21">
        <v>-122.415071786667</v>
      </c>
      <c r="AO10486" s="21">
        <v>37.784117623335298</v>
      </c>
      <c r="AP10486" s="21" t="s">
        <v>116</v>
      </c>
    </row>
    <row r="10487" spans="1:42">
      <c r="A10487" s="20">
        <v>43896</v>
      </c>
      <c r="B10487" s="21">
        <v>5</v>
      </c>
      <c r="C10487" s="21">
        <v>571</v>
      </c>
      <c r="D10487">
        <v>11443</v>
      </c>
      <c r="E10487" t="s">
        <v>377</v>
      </c>
      <c r="F10487" s="21" t="s">
        <v>436</v>
      </c>
      <c r="G10487" s="21">
        <v>1</v>
      </c>
      <c r="I10487" s="21" t="s">
        <v>7469</v>
      </c>
      <c r="K10487" s="21" t="s">
        <v>98</v>
      </c>
      <c r="N10487" s="21" t="s">
        <v>40</v>
      </c>
      <c r="O10487" s="21">
        <v>107</v>
      </c>
      <c r="Q10487" s="21">
        <f t="shared" si="229"/>
        <v>1</v>
      </c>
      <c r="R10487" s="21">
        <v>1</v>
      </c>
      <c r="S10487" s="21">
        <v>0</v>
      </c>
      <c r="T10487" s="21">
        <v>0</v>
      </c>
      <c r="U10487" s="21">
        <v>0</v>
      </c>
      <c r="V10487" s="21">
        <v>0</v>
      </c>
      <c r="W10487" s="21">
        <v>0</v>
      </c>
      <c r="X10487" s="21">
        <v>0</v>
      </c>
      <c r="Y10487" s="21">
        <v>0</v>
      </c>
      <c r="Z10487" s="21">
        <v>0</v>
      </c>
      <c r="AA10487" s="21">
        <v>1</v>
      </c>
      <c r="AB10487" s="21">
        <v>0</v>
      </c>
      <c r="AC10487" s="21">
        <v>0</v>
      </c>
      <c r="AD10487" s="21">
        <v>0</v>
      </c>
      <c r="AE10487" s="21">
        <v>0</v>
      </c>
      <c r="AF10487" s="21">
        <v>0</v>
      </c>
      <c r="AG10487" s="21">
        <v>0</v>
      </c>
      <c r="AH10487" s="21">
        <f t="shared" si="230"/>
        <v>0</v>
      </c>
      <c r="AJ10487" s="21" t="s">
        <v>51</v>
      </c>
      <c r="AK10487" s="21" t="s">
        <v>95</v>
      </c>
      <c r="AL10487" s="21" t="s">
        <v>8586</v>
      </c>
      <c r="AM10487" s="21" t="s">
        <v>8587</v>
      </c>
      <c r="AN10487" s="21">
        <v>-122.41701612</v>
      </c>
      <c r="AO10487" s="21">
        <v>37.7844124066673</v>
      </c>
      <c r="AP10487" s="21" t="s">
        <v>116</v>
      </c>
    </row>
    <row r="10488" spans="1:42">
      <c r="A10488" s="20">
        <v>43896</v>
      </c>
      <c r="B10488" s="21">
        <v>5</v>
      </c>
      <c r="C10488" s="21">
        <v>571</v>
      </c>
      <c r="D10488">
        <v>11443</v>
      </c>
      <c r="E10488" t="s">
        <v>377</v>
      </c>
      <c r="F10488" s="21" t="s">
        <v>436</v>
      </c>
      <c r="G10488" s="21">
        <v>1</v>
      </c>
      <c r="I10488" s="21" t="s">
        <v>7044</v>
      </c>
      <c r="K10488" s="21" t="s">
        <v>100</v>
      </c>
      <c r="N10488" s="21" t="s">
        <v>44</v>
      </c>
      <c r="O10488" s="21">
        <v>53</v>
      </c>
      <c r="Q10488" s="21">
        <f t="shared" si="229"/>
        <v>1</v>
      </c>
      <c r="R10488" s="21">
        <v>1</v>
      </c>
      <c r="S10488" s="21">
        <v>0</v>
      </c>
      <c r="T10488" s="21">
        <v>0</v>
      </c>
      <c r="U10488" s="21">
        <v>0</v>
      </c>
      <c r="V10488" s="21">
        <v>0</v>
      </c>
      <c r="W10488" s="21">
        <v>0</v>
      </c>
      <c r="X10488" s="21">
        <v>0</v>
      </c>
      <c r="Y10488" s="21">
        <v>0</v>
      </c>
      <c r="Z10488" s="21">
        <v>0</v>
      </c>
      <c r="AA10488" s="21">
        <v>0</v>
      </c>
      <c r="AB10488" s="21">
        <v>1</v>
      </c>
      <c r="AC10488" s="21">
        <v>0</v>
      </c>
      <c r="AD10488" s="21">
        <v>0</v>
      </c>
      <c r="AE10488" s="21">
        <v>0</v>
      </c>
      <c r="AF10488" s="21">
        <v>0</v>
      </c>
      <c r="AG10488" s="21">
        <v>0</v>
      </c>
      <c r="AH10488" s="21">
        <f t="shared" si="230"/>
        <v>0</v>
      </c>
      <c r="AJ10488" s="21" t="s">
        <v>51</v>
      </c>
      <c r="AK10488" s="21" t="s">
        <v>52</v>
      </c>
      <c r="AL10488" s="21" t="s">
        <v>8588</v>
      </c>
      <c r="AM10488" s="21" t="s">
        <v>8589</v>
      </c>
      <c r="AN10488" s="21">
        <v>-122.418621093333</v>
      </c>
      <c r="AO10488" s="21">
        <v>37.784577566667402</v>
      </c>
      <c r="AP10488" s="21" t="s">
        <v>116</v>
      </c>
    </row>
    <row r="10489" spans="1:42">
      <c r="A10489" s="20">
        <v>43896</v>
      </c>
      <c r="B10489" s="21">
        <v>5</v>
      </c>
      <c r="C10489" s="21">
        <v>571</v>
      </c>
      <c r="D10489">
        <v>11443</v>
      </c>
      <c r="E10489" t="s">
        <v>377</v>
      </c>
      <c r="F10489" s="21" t="s">
        <v>436</v>
      </c>
      <c r="G10489" s="21">
        <v>1</v>
      </c>
      <c r="I10489" s="21" t="s">
        <v>4157</v>
      </c>
      <c r="K10489" s="21" t="s">
        <v>8086</v>
      </c>
      <c r="N10489" s="21" t="s">
        <v>40</v>
      </c>
      <c r="O10489" s="21">
        <v>323</v>
      </c>
      <c r="Q10489" s="21">
        <f t="shared" si="229"/>
        <v>4</v>
      </c>
      <c r="R10489" s="21">
        <v>1</v>
      </c>
      <c r="S10489" s="21">
        <v>0</v>
      </c>
      <c r="T10489" s="21">
        <v>0</v>
      </c>
      <c r="U10489" s="21">
        <v>0</v>
      </c>
      <c r="V10489" s="21">
        <v>0</v>
      </c>
      <c r="W10489" s="21">
        <v>0</v>
      </c>
      <c r="X10489" s="21">
        <v>0</v>
      </c>
      <c r="Y10489" s="21">
        <v>0</v>
      </c>
      <c r="Z10489" s="21">
        <v>0</v>
      </c>
      <c r="AA10489" s="21">
        <v>4</v>
      </c>
      <c r="AB10489" s="21">
        <v>0</v>
      </c>
      <c r="AC10489" s="21">
        <v>0</v>
      </c>
      <c r="AD10489" s="21">
        <v>0</v>
      </c>
      <c r="AE10489" s="21">
        <v>0</v>
      </c>
      <c r="AF10489" s="21">
        <v>0</v>
      </c>
      <c r="AG10489" s="21">
        <v>0</v>
      </c>
      <c r="AH10489" s="21">
        <f t="shared" si="230"/>
        <v>0</v>
      </c>
      <c r="AJ10489" s="21" t="s">
        <v>51</v>
      </c>
      <c r="AK10489" s="21" t="s">
        <v>95</v>
      </c>
      <c r="AL10489" s="21" t="s">
        <v>8590</v>
      </c>
      <c r="AM10489" s="21" t="s">
        <v>8591</v>
      </c>
      <c r="AN10489" s="21">
        <v>-122.41869987</v>
      </c>
      <c r="AO10489" s="21">
        <v>37.784547570000001</v>
      </c>
      <c r="AP10489" s="21" t="s">
        <v>116</v>
      </c>
    </row>
    <row r="10490" spans="1:42">
      <c r="A10490" s="20">
        <v>43896</v>
      </c>
      <c r="B10490" s="21">
        <v>5</v>
      </c>
      <c r="C10490" s="21">
        <v>571</v>
      </c>
      <c r="D10490">
        <v>11443</v>
      </c>
      <c r="E10490" t="s">
        <v>377</v>
      </c>
      <c r="F10490" s="21" t="s">
        <v>436</v>
      </c>
      <c r="G10490" s="21">
        <v>1</v>
      </c>
      <c r="I10490" s="21" t="s">
        <v>7685</v>
      </c>
      <c r="K10490" s="21" t="s">
        <v>74</v>
      </c>
      <c r="N10490" s="21" t="s">
        <v>44</v>
      </c>
      <c r="O10490" s="21">
        <v>112</v>
      </c>
      <c r="Q10490" s="21">
        <f t="shared" si="229"/>
        <v>1</v>
      </c>
      <c r="R10490" s="21">
        <v>1</v>
      </c>
      <c r="S10490" s="21">
        <v>0</v>
      </c>
      <c r="T10490" s="21">
        <v>0</v>
      </c>
      <c r="U10490" s="21">
        <v>0</v>
      </c>
      <c r="V10490" s="21">
        <v>0</v>
      </c>
      <c r="W10490" s="21">
        <v>0</v>
      </c>
      <c r="X10490" s="21">
        <v>0</v>
      </c>
      <c r="Y10490" s="21">
        <v>0</v>
      </c>
      <c r="Z10490" s="21">
        <v>0</v>
      </c>
      <c r="AA10490" s="21">
        <v>1</v>
      </c>
      <c r="AB10490" s="21">
        <v>0</v>
      </c>
      <c r="AC10490" s="21">
        <v>0</v>
      </c>
      <c r="AD10490" s="21">
        <v>0</v>
      </c>
      <c r="AE10490" s="21">
        <v>0</v>
      </c>
      <c r="AF10490" s="21">
        <v>0</v>
      </c>
      <c r="AG10490" s="21">
        <v>0</v>
      </c>
      <c r="AH10490" s="21">
        <f t="shared" si="230"/>
        <v>0</v>
      </c>
      <c r="AJ10490" s="21" t="s">
        <v>51</v>
      </c>
      <c r="AK10490" s="21" t="s">
        <v>52</v>
      </c>
      <c r="AL10490" s="21" t="s">
        <v>8398</v>
      </c>
      <c r="AM10490" s="21" t="s">
        <v>8592</v>
      </c>
      <c r="AN10490" s="21">
        <v>-122.41903164</v>
      </c>
      <c r="AO10490" s="21">
        <v>37.785663970000101</v>
      </c>
      <c r="AP10490" s="21" t="s">
        <v>116</v>
      </c>
    </row>
    <row r="10491" spans="1:42">
      <c r="A10491" s="20">
        <v>43896</v>
      </c>
      <c r="B10491" s="21">
        <v>5</v>
      </c>
      <c r="C10491" s="21">
        <v>571</v>
      </c>
      <c r="D10491">
        <v>11443</v>
      </c>
      <c r="E10491" t="s">
        <v>377</v>
      </c>
      <c r="F10491" s="21" t="s">
        <v>436</v>
      </c>
      <c r="G10491" s="21">
        <v>1</v>
      </c>
      <c r="I10491" s="21" t="s">
        <v>7437</v>
      </c>
      <c r="K10491" s="21" t="s">
        <v>442</v>
      </c>
      <c r="N10491" s="21" t="s">
        <v>44</v>
      </c>
      <c r="O10491" s="21">
        <v>74</v>
      </c>
      <c r="Q10491" s="21">
        <f t="shared" si="229"/>
        <v>1</v>
      </c>
      <c r="R10491" s="21">
        <v>1</v>
      </c>
      <c r="S10491" s="21">
        <v>0</v>
      </c>
      <c r="T10491" s="21">
        <v>0</v>
      </c>
      <c r="U10491" s="21">
        <v>0</v>
      </c>
      <c r="V10491" s="21">
        <v>0</v>
      </c>
      <c r="W10491" s="21">
        <v>0</v>
      </c>
      <c r="X10491" s="21">
        <v>0</v>
      </c>
      <c r="Y10491" s="21">
        <v>0</v>
      </c>
      <c r="Z10491" s="21">
        <v>0</v>
      </c>
      <c r="AA10491" s="21">
        <v>1</v>
      </c>
      <c r="AB10491" s="21">
        <v>0</v>
      </c>
      <c r="AC10491" s="21">
        <v>0</v>
      </c>
      <c r="AD10491" s="21">
        <v>0</v>
      </c>
      <c r="AE10491" s="21">
        <v>0</v>
      </c>
      <c r="AF10491" s="21">
        <v>0</v>
      </c>
      <c r="AG10491" s="21">
        <v>0</v>
      </c>
      <c r="AH10491" s="21">
        <f t="shared" si="230"/>
        <v>0</v>
      </c>
      <c r="AJ10491" s="21" t="s">
        <v>51</v>
      </c>
      <c r="AK10491" s="21" t="s">
        <v>52</v>
      </c>
      <c r="AL10491" s="21" t="s">
        <v>8593</v>
      </c>
      <c r="AM10491" s="21" t="s">
        <v>8594</v>
      </c>
      <c r="AN10491" s="21">
        <v>-122.41905502</v>
      </c>
      <c r="AO10491" s="21">
        <v>37.785651083333299</v>
      </c>
      <c r="AP10491" s="21" t="s">
        <v>116</v>
      </c>
    </row>
    <row r="10492" spans="1:42">
      <c r="A10492" s="20">
        <v>43896</v>
      </c>
      <c r="B10492" s="21">
        <v>5</v>
      </c>
      <c r="C10492" s="21">
        <v>571</v>
      </c>
      <c r="D10492">
        <v>11443</v>
      </c>
      <c r="E10492" t="s">
        <v>377</v>
      </c>
      <c r="F10492" s="21" t="s">
        <v>436</v>
      </c>
      <c r="G10492" s="21">
        <v>1</v>
      </c>
      <c r="I10492" s="21" t="s">
        <v>3559</v>
      </c>
      <c r="K10492" s="21" t="s">
        <v>8086</v>
      </c>
      <c r="N10492" s="21" t="s">
        <v>40</v>
      </c>
      <c r="O10492" s="21">
        <v>319</v>
      </c>
      <c r="Q10492" s="21">
        <f t="shared" si="229"/>
        <v>2</v>
      </c>
      <c r="R10492" s="21">
        <v>1</v>
      </c>
      <c r="S10492" s="21">
        <v>0</v>
      </c>
      <c r="T10492" s="21">
        <v>0</v>
      </c>
      <c r="U10492" s="21">
        <v>0</v>
      </c>
      <c r="V10492" s="21">
        <v>0</v>
      </c>
      <c r="W10492" s="21">
        <v>0</v>
      </c>
      <c r="X10492" s="21">
        <v>0</v>
      </c>
      <c r="Y10492" s="21">
        <v>0</v>
      </c>
      <c r="Z10492" s="21">
        <v>0</v>
      </c>
      <c r="AA10492" s="21">
        <v>0</v>
      </c>
      <c r="AB10492" s="21">
        <v>2</v>
      </c>
      <c r="AC10492" s="21">
        <v>0</v>
      </c>
      <c r="AD10492" s="21">
        <v>0</v>
      </c>
      <c r="AE10492" s="21">
        <v>0</v>
      </c>
      <c r="AF10492" s="21">
        <v>0</v>
      </c>
      <c r="AG10492" s="21">
        <v>0</v>
      </c>
      <c r="AH10492" s="21">
        <f t="shared" si="230"/>
        <v>0</v>
      </c>
      <c r="AJ10492" s="21" t="s">
        <v>51</v>
      </c>
      <c r="AK10492" s="21" t="s">
        <v>95</v>
      </c>
      <c r="AL10492" s="21" t="s">
        <v>8595</v>
      </c>
      <c r="AM10492" s="21" t="s">
        <v>8596</v>
      </c>
      <c r="AN10492" s="21">
        <v>-122.41906692000001</v>
      </c>
      <c r="AO10492" s="21">
        <v>37.785623436666697</v>
      </c>
      <c r="AP10492" s="21" t="s">
        <v>116</v>
      </c>
    </row>
    <row r="10493" spans="1:42">
      <c r="A10493" s="20">
        <v>43896</v>
      </c>
      <c r="B10493" s="21">
        <v>5</v>
      </c>
      <c r="C10493" s="21">
        <v>571</v>
      </c>
      <c r="D10493">
        <v>11443</v>
      </c>
      <c r="E10493" t="s">
        <v>377</v>
      </c>
      <c r="F10493" s="21" t="s">
        <v>436</v>
      </c>
      <c r="G10493" s="21">
        <v>1</v>
      </c>
      <c r="I10493" s="21" t="s">
        <v>7685</v>
      </c>
      <c r="K10493" s="21" t="s">
        <v>49</v>
      </c>
      <c r="N10493" s="21" t="s">
        <v>40</v>
      </c>
      <c r="O10493" s="21">
        <v>191</v>
      </c>
      <c r="Q10493" s="21">
        <f t="shared" si="229"/>
        <v>1</v>
      </c>
      <c r="R10493" s="21">
        <v>1</v>
      </c>
      <c r="S10493" s="21">
        <v>0</v>
      </c>
      <c r="T10493" s="21">
        <v>0</v>
      </c>
      <c r="U10493" s="21">
        <v>0</v>
      </c>
      <c r="V10493" s="21">
        <v>0</v>
      </c>
      <c r="W10493" s="21">
        <v>0</v>
      </c>
      <c r="X10493" s="21">
        <v>0</v>
      </c>
      <c r="Y10493" s="21">
        <v>0</v>
      </c>
      <c r="Z10493" s="21">
        <v>0</v>
      </c>
      <c r="AA10493" s="21">
        <v>1</v>
      </c>
      <c r="AB10493" s="21">
        <v>0</v>
      </c>
      <c r="AC10493" s="21">
        <v>0</v>
      </c>
      <c r="AD10493" s="21">
        <v>0</v>
      </c>
      <c r="AE10493" s="21">
        <v>0</v>
      </c>
      <c r="AF10493" s="21">
        <v>0</v>
      </c>
      <c r="AG10493" s="21">
        <v>0</v>
      </c>
      <c r="AH10493" s="21">
        <f t="shared" si="230"/>
        <v>0</v>
      </c>
      <c r="AJ10493" s="21" t="s">
        <v>51</v>
      </c>
      <c r="AK10493" s="21" t="s">
        <v>95</v>
      </c>
      <c r="AL10493" s="21" t="s">
        <v>8597</v>
      </c>
      <c r="AM10493" s="21" t="s">
        <v>8598</v>
      </c>
      <c r="AN10493" s="21">
        <v>-122.41545042</v>
      </c>
      <c r="AO10493" s="21">
        <v>37.785422243333301</v>
      </c>
      <c r="AP10493" s="21" t="s">
        <v>116</v>
      </c>
    </row>
    <row r="10494" spans="1:42">
      <c r="A10494" s="20">
        <v>43896</v>
      </c>
      <c r="B10494" s="21">
        <v>5</v>
      </c>
      <c r="C10494" s="21">
        <v>571</v>
      </c>
      <c r="D10494">
        <v>11443</v>
      </c>
      <c r="E10494" t="s">
        <v>377</v>
      </c>
      <c r="F10494" s="21" t="s">
        <v>436</v>
      </c>
      <c r="G10494" s="21">
        <v>1</v>
      </c>
      <c r="I10494" s="21" t="s">
        <v>7133</v>
      </c>
      <c r="K10494" s="21" t="s">
        <v>53</v>
      </c>
      <c r="N10494" s="21" t="s">
        <v>40</v>
      </c>
      <c r="O10494" s="21">
        <v>29</v>
      </c>
      <c r="Q10494" s="21">
        <f t="shared" si="229"/>
        <v>1</v>
      </c>
      <c r="R10494" s="21">
        <v>1</v>
      </c>
      <c r="S10494" s="21">
        <v>0</v>
      </c>
      <c r="T10494" s="21">
        <v>0</v>
      </c>
      <c r="U10494" s="21">
        <v>0</v>
      </c>
      <c r="V10494" s="21">
        <v>0</v>
      </c>
      <c r="W10494" s="21">
        <v>0</v>
      </c>
      <c r="X10494" s="21">
        <v>0</v>
      </c>
      <c r="Y10494" s="21">
        <v>0</v>
      </c>
      <c r="Z10494" s="21">
        <v>0</v>
      </c>
      <c r="AA10494" s="21">
        <v>0</v>
      </c>
      <c r="AB10494" s="21">
        <v>1</v>
      </c>
      <c r="AC10494" s="21">
        <v>0</v>
      </c>
      <c r="AD10494" s="21">
        <v>0</v>
      </c>
      <c r="AE10494" s="21">
        <v>0</v>
      </c>
      <c r="AF10494" s="21">
        <v>0</v>
      </c>
      <c r="AG10494" s="21">
        <v>0</v>
      </c>
      <c r="AH10494" s="21">
        <f t="shared" si="230"/>
        <v>0</v>
      </c>
      <c r="AJ10494" s="21" t="s">
        <v>51</v>
      </c>
      <c r="AK10494" s="21" t="s">
        <v>95</v>
      </c>
      <c r="AL10494" s="21"/>
      <c r="AM10494" s="21" t="s">
        <v>8599</v>
      </c>
      <c r="AN10494" s="21">
        <v>-122.41585356</v>
      </c>
      <c r="AO10494" s="21">
        <v>37.787884794110703</v>
      </c>
      <c r="AP10494" s="21" t="s">
        <v>116</v>
      </c>
    </row>
    <row r="10495" spans="1:42">
      <c r="A10495" s="20">
        <v>43896</v>
      </c>
      <c r="B10495" s="21">
        <v>5</v>
      </c>
      <c r="C10495" s="21">
        <v>571</v>
      </c>
      <c r="D10495">
        <v>11443</v>
      </c>
      <c r="E10495" t="s">
        <v>377</v>
      </c>
      <c r="F10495" s="21" t="s">
        <v>436</v>
      </c>
      <c r="G10495" s="21">
        <v>1</v>
      </c>
      <c r="I10495" s="21" t="s">
        <v>4144</v>
      </c>
      <c r="K10495" s="21" t="s">
        <v>74</v>
      </c>
      <c r="N10495" s="21" t="s">
        <v>40</v>
      </c>
      <c r="O10495" s="21">
        <v>35</v>
      </c>
      <c r="Q10495" s="21">
        <f t="shared" si="229"/>
        <v>1</v>
      </c>
      <c r="R10495" s="21">
        <v>1</v>
      </c>
      <c r="S10495" s="21">
        <v>0</v>
      </c>
      <c r="T10495" s="21">
        <v>0</v>
      </c>
      <c r="U10495" s="21">
        <v>0</v>
      </c>
      <c r="V10495" s="21">
        <v>0</v>
      </c>
      <c r="W10495" s="21">
        <v>0</v>
      </c>
      <c r="X10495" s="21">
        <v>0</v>
      </c>
      <c r="Y10495" s="21">
        <v>0</v>
      </c>
      <c r="Z10495" s="21">
        <v>0</v>
      </c>
      <c r="AA10495" s="21">
        <v>1</v>
      </c>
      <c r="AB10495" s="21">
        <v>0</v>
      </c>
      <c r="AC10495" s="21">
        <v>0</v>
      </c>
      <c r="AD10495" s="21">
        <v>0</v>
      </c>
      <c r="AE10495" s="21">
        <v>0</v>
      </c>
      <c r="AF10495" s="21">
        <v>0</v>
      </c>
      <c r="AG10495" s="21">
        <v>0</v>
      </c>
      <c r="AH10495" s="21">
        <f t="shared" si="230"/>
        <v>0</v>
      </c>
      <c r="AJ10495" s="21" t="s">
        <v>54</v>
      </c>
      <c r="AK10495" s="21" t="s">
        <v>95</v>
      </c>
      <c r="AL10495" s="21"/>
      <c r="AM10495" s="21" t="s">
        <v>8600</v>
      </c>
      <c r="AN10495" s="21">
        <v>-122.41601799999999</v>
      </c>
      <c r="AO10495" s="21">
        <v>37.7873402666781</v>
      </c>
      <c r="AP10495" s="21" t="s">
        <v>116</v>
      </c>
    </row>
    <row r="10496" spans="1:42">
      <c r="A10496" s="20">
        <v>43896</v>
      </c>
      <c r="B10496" s="21">
        <v>5</v>
      </c>
      <c r="C10496" s="21">
        <v>571</v>
      </c>
      <c r="D10496">
        <v>11443</v>
      </c>
      <c r="E10496" t="s">
        <v>377</v>
      </c>
      <c r="F10496" s="21" t="s">
        <v>436</v>
      </c>
      <c r="G10496" s="21">
        <v>1</v>
      </c>
      <c r="I10496" s="21" t="s">
        <v>4240</v>
      </c>
      <c r="K10496" s="21" t="s">
        <v>100</v>
      </c>
      <c r="N10496" s="21" t="s">
        <v>40</v>
      </c>
      <c r="O10496" s="21">
        <v>89</v>
      </c>
      <c r="Q10496" s="21">
        <f t="shared" si="229"/>
        <v>0</v>
      </c>
      <c r="R10496" s="21">
        <v>1</v>
      </c>
      <c r="S10496" s="21">
        <v>0</v>
      </c>
      <c r="T10496" s="21">
        <v>0</v>
      </c>
      <c r="U10496" s="21">
        <v>0</v>
      </c>
      <c r="V10496" s="21">
        <v>0</v>
      </c>
      <c r="W10496" s="21">
        <v>0</v>
      </c>
      <c r="X10496" s="21">
        <v>0</v>
      </c>
      <c r="Y10496" s="21">
        <v>0</v>
      </c>
      <c r="Z10496" s="21">
        <v>0</v>
      </c>
      <c r="AA10496" s="21">
        <v>0</v>
      </c>
      <c r="AB10496" s="21">
        <v>0</v>
      </c>
      <c r="AC10496" s="21">
        <v>0</v>
      </c>
      <c r="AD10496" s="21">
        <v>0</v>
      </c>
      <c r="AE10496" s="21">
        <v>0</v>
      </c>
      <c r="AF10496" s="21">
        <v>0</v>
      </c>
      <c r="AG10496" s="21">
        <v>0</v>
      </c>
      <c r="AH10496" s="21">
        <f t="shared" si="230"/>
        <v>0</v>
      </c>
      <c r="AJ10496" s="21" t="s">
        <v>51</v>
      </c>
      <c r="AK10496" s="21" t="s">
        <v>52</v>
      </c>
      <c r="AL10496" s="21" t="s">
        <v>8601</v>
      </c>
      <c r="AM10496" s="21" t="s">
        <v>8602</v>
      </c>
      <c r="AN10496" s="21">
        <v>-122.41375869333299</v>
      </c>
      <c r="AO10496" s="21">
        <v>37.786639333333703</v>
      </c>
      <c r="AP10496" s="21" t="s">
        <v>116</v>
      </c>
    </row>
    <row r="10497" spans="1:42">
      <c r="A10497" s="20">
        <v>43896</v>
      </c>
      <c r="B10497" s="21">
        <v>5</v>
      </c>
      <c r="C10497" s="21">
        <v>571</v>
      </c>
      <c r="D10497">
        <v>11443</v>
      </c>
      <c r="E10497" t="s">
        <v>377</v>
      </c>
      <c r="F10497" s="21" t="s">
        <v>436</v>
      </c>
      <c r="G10497" s="21">
        <v>1</v>
      </c>
      <c r="I10497" s="21" t="s">
        <v>8603</v>
      </c>
      <c r="K10497" s="21" t="s">
        <v>53</v>
      </c>
      <c r="N10497" s="21" t="s">
        <v>44</v>
      </c>
      <c r="O10497" s="21">
        <v>171</v>
      </c>
      <c r="Q10497" s="21">
        <f t="shared" si="229"/>
        <v>1</v>
      </c>
      <c r="R10497" s="21">
        <v>1</v>
      </c>
      <c r="S10497" s="21">
        <v>0</v>
      </c>
      <c r="T10497" s="21">
        <v>0</v>
      </c>
      <c r="U10497" s="21">
        <v>0</v>
      </c>
      <c r="V10497" s="21">
        <v>0</v>
      </c>
      <c r="W10497" s="21">
        <v>0</v>
      </c>
      <c r="X10497" s="21">
        <v>0</v>
      </c>
      <c r="Y10497" s="21">
        <v>0</v>
      </c>
      <c r="Z10497" s="21">
        <v>0</v>
      </c>
      <c r="AA10497" s="21">
        <v>1</v>
      </c>
      <c r="AB10497" s="21">
        <v>0</v>
      </c>
      <c r="AC10497" s="21">
        <v>0</v>
      </c>
      <c r="AD10497" s="21">
        <v>0</v>
      </c>
      <c r="AE10497" s="21">
        <v>0</v>
      </c>
      <c r="AF10497" s="21">
        <v>0</v>
      </c>
      <c r="AG10497" s="21">
        <v>0</v>
      </c>
      <c r="AH10497" s="21">
        <f t="shared" si="230"/>
        <v>0</v>
      </c>
      <c r="AJ10497" s="21" t="s">
        <v>51</v>
      </c>
      <c r="AK10497" s="21" t="s">
        <v>52</v>
      </c>
      <c r="AL10497" s="21" t="s">
        <v>8604</v>
      </c>
      <c r="AM10497" s="21" t="s">
        <v>8605</v>
      </c>
      <c r="AN10497" s="21">
        <v>-122.41202232000001</v>
      </c>
      <c r="AO10497" s="21">
        <v>37.785035790000002</v>
      </c>
      <c r="AP10497" s="21" t="s">
        <v>116</v>
      </c>
    </row>
    <row r="10498" spans="1:42">
      <c r="A10498" s="20">
        <v>43896</v>
      </c>
      <c r="B10498" s="21">
        <v>5</v>
      </c>
      <c r="C10498" s="21">
        <v>571</v>
      </c>
      <c r="D10498">
        <v>11443</v>
      </c>
      <c r="E10498" t="s">
        <v>377</v>
      </c>
      <c r="F10498" s="21" t="s">
        <v>436</v>
      </c>
      <c r="G10498" s="21">
        <v>1</v>
      </c>
      <c r="I10498" s="21" t="s">
        <v>3776</v>
      </c>
      <c r="K10498" s="21" t="s">
        <v>56</v>
      </c>
      <c r="N10498" s="21" t="s">
        <v>44</v>
      </c>
      <c r="O10498" s="21">
        <v>255</v>
      </c>
      <c r="Q10498" s="21">
        <f t="shared" si="229"/>
        <v>1</v>
      </c>
      <c r="R10498" s="21">
        <v>1</v>
      </c>
      <c r="S10498" s="21">
        <v>0</v>
      </c>
      <c r="T10498" s="21">
        <v>0</v>
      </c>
      <c r="U10498" s="21">
        <v>0</v>
      </c>
      <c r="V10498" s="21">
        <v>0</v>
      </c>
      <c r="W10498" s="21">
        <v>0</v>
      </c>
      <c r="X10498" s="21">
        <v>0</v>
      </c>
      <c r="Y10498" s="21">
        <v>1</v>
      </c>
      <c r="Z10498" s="21">
        <v>0</v>
      </c>
      <c r="AA10498" s="21">
        <v>0</v>
      </c>
      <c r="AB10498" s="21">
        <v>0</v>
      </c>
      <c r="AC10498" s="21">
        <v>0</v>
      </c>
      <c r="AD10498" s="21">
        <v>0</v>
      </c>
      <c r="AE10498" s="21">
        <v>0</v>
      </c>
      <c r="AF10498" s="21">
        <v>0</v>
      </c>
      <c r="AG10498" s="21">
        <v>0</v>
      </c>
      <c r="AH10498" s="21">
        <f t="shared" si="230"/>
        <v>0</v>
      </c>
      <c r="AJ10498" s="21" t="s">
        <v>51</v>
      </c>
      <c r="AK10498" s="21" t="s">
        <v>52</v>
      </c>
      <c r="AL10498" s="21" t="s">
        <v>8606</v>
      </c>
      <c r="AM10498" s="21" t="s">
        <v>8607</v>
      </c>
      <c r="AN10498" s="21">
        <v>-122.407886033333</v>
      </c>
      <c r="AO10498" s="21">
        <v>37.788359553334203</v>
      </c>
      <c r="AP10498" s="21" t="s">
        <v>116</v>
      </c>
    </row>
    <row r="10499" spans="1:42">
      <c r="A10499" s="20">
        <v>43881</v>
      </c>
      <c r="B10499" s="21">
        <v>4</v>
      </c>
      <c r="C10499" s="21">
        <v>302</v>
      </c>
      <c r="D10499" s="21">
        <v>10415</v>
      </c>
      <c r="E10499" s="7" t="s">
        <v>37</v>
      </c>
      <c r="F10499" s="21" t="s">
        <v>38</v>
      </c>
      <c r="G10499" s="21">
        <v>1</v>
      </c>
      <c r="I10499" s="21" t="s">
        <v>8608</v>
      </c>
      <c r="K10499" s="21" t="s">
        <v>386</v>
      </c>
      <c r="N10499" s="21" t="s">
        <v>40</v>
      </c>
      <c r="O10499" s="21">
        <v>103</v>
      </c>
      <c r="Q10499" s="21">
        <f t="shared" si="229"/>
        <v>3</v>
      </c>
      <c r="R10499" s="21">
        <v>1</v>
      </c>
      <c r="S10499" s="21">
        <v>0</v>
      </c>
      <c r="T10499" s="21">
        <v>0</v>
      </c>
      <c r="U10499" s="21">
        <v>0</v>
      </c>
      <c r="V10499" s="21">
        <v>3</v>
      </c>
      <c r="W10499" s="21">
        <v>0</v>
      </c>
      <c r="Y10499" s="21">
        <v>0</v>
      </c>
      <c r="Z10499" s="21">
        <v>0</v>
      </c>
      <c r="AA10499" s="21">
        <v>0</v>
      </c>
      <c r="AB10499" s="21">
        <v>0</v>
      </c>
      <c r="AC10499" s="21">
        <v>0</v>
      </c>
      <c r="AD10499" s="21">
        <v>0</v>
      </c>
      <c r="AE10499" s="21">
        <v>0</v>
      </c>
      <c r="AF10499" s="21">
        <v>0</v>
      </c>
      <c r="AG10499" s="21">
        <v>0</v>
      </c>
      <c r="AH10499" s="21">
        <v>0</v>
      </c>
      <c r="AI10499" s="21">
        <f t="shared" ref="AI10499:AI10530" si="231">(S10499*16)+(T10499*20)+(U10499*32)+(V10499*64)+(W10499*96)</f>
        <v>192</v>
      </c>
      <c r="AJ10499" s="21" t="s">
        <v>51</v>
      </c>
      <c r="AK10499" s="21" t="s">
        <v>95</v>
      </c>
      <c r="AL10499" s="21"/>
      <c r="AM10499" s="21" t="s">
        <v>8609</v>
      </c>
      <c r="AN10499" s="21">
        <v>-122.41348752</v>
      </c>
      <c r="AO10499" s="21">
        <v>37.790630963333399</v>
      </c>
      <c r="AP10499" s="21" t="s">
        <v>116</v>
      </c>
    </row>
    <row r="10500" spans="1:42">
      <c r="A10500" s="20">
        <v>43881</v>
      </c>
      <c r="B10500" s="21">
        <v>4</v>
      </c>
      <c r="C10500" s="21">
        <v>302</v>
      </c>
      <c r="D10500" s="21">
        <v>10415</v>
      </c>
      <c r="E10500" s="7" t="s">
        <v>37</v>
      </c>
      <c r="F10500" s="21" t="s">
        <v>38</v>
      </c>
      <c r="G10500" s="21">
        <v>1</v>
      </c>
      <c r="I10500" s="21" t="s">
        <v>8610</v>
      </c>
      <c r="K10500" s="21" t="s">
        <v>3384</v>
      </c>
      <c r="N10500" s="21" t="s">
        <v>40</v>
      </c>
      <c r="O10500" s="21">
        <v>60</v>
      </c>
      <c r="Q10500" s="21">
        <f t="shared" si="229"/>
        <v>2</v>
      </c>
      <c r="R10500" s="21">
        <v>1</v>
      </c>
      <c r="S10500" s="21">
        <v>0</v>
      </c>
      <c r="T10500" s="21">
        <v>0</v>
      </c>
      <c r="U10500" s="21">
        <v>0</v>
      </c>
      <c r="V10500" s="21">
        <v>2</v>
      </c>
      <c r="W10500" s="21">
        <v>0</v>
      </c>
      <c r="Y10500" s="21">
        <v>0</v>
      </c>
      <c r="Z10500" s="21">
        <v>0</v>
      </c>
      <c r="AA10500" s="21">
        <v>0</v>
      </c>
      <c r="AB10500" s="21">
        <v>0</v>
      </c>
      <c r="AC10500" s="21">
        <v>0</v>
      </c>
      <c r="AD10500" s="21">
        <v>0</v>
      </c>
      <c r="AE10500" s="21">
        <v>0</v>
      </c>
      <c r="AF10500" s="21">
        <v>0</v>
      </c>
      <c r="AG10500" s="21">
        <v>0</v>
      </c>
      <c r="AH10500" s="21">
        <v>0</v>
      </c>
      <c r="AI10500" s="21">
        <f t="shared" si="231"/>
        <v>128</v>
      </c>
      <c r="AJ10500" s="21" t="s">
        <v>51</v>
      </c>
      <c r="AK10500" s="21" t="s">
        <v>95</v>
      </c>
      <c r="AL10500" s="21"/>
      <c r="AM10500" s="21" t="s">
        <v>6477</v>
      </c>
      <c r="AN10500" s="21">
        <v>-122.395739983333</v>
      </c>
      <c r="AO10500" s="21">
        <v>37.7974608166667</v>
      </c>
      <c r="AP10500" s="21" t="s">
        <v>116</v>
      </c>
    </row>
    <row r="10501" spans="1:42">
      <c r="A10501" s="20">
        <v>43881</v>
      </c>
      <c r="B10501" s="21">
        <v>4</v>
      </c>
      <c r="C10501" s="21">
        <v>302</v>
      </c>
      <c r="D10501" s="21">
        <v>10415</v>
      </c>
      <c r="E10501" s="7" t="s">
        <v>37</v>
      </c>
      <c r="F10501" s="21" t="s">
        <v>38</v>
      </c>
      <c r="G10501" s="21">
        <v>1</v>
      </c>
      <c r="I10501" s="21" t="s">
        <v>3011</v>
      </c>
      <c r="K10501" s="21" t="s">
        <v>60</v>
      </c>
      <c r="N10501" s="21" t="s">
        <v>40</v>
      </c>
      <c r="O10501" s="21">
        <v>59</v>
      </c>
      <c r="Q10501" s="21">
        <f t="shared" si="229"/>
        <v>2</v>
      </c>
      <c r="R10501" s="21">
        <v>1</v>
      </c>
      <c r="S10501" s="21">
        <v>0</v>
      </c>
      <c r="T10501" s="21">
        <v>0</v>
      </c>
      <c r="U10501" s="21">
        <v>0</v>
      </c>
      <c r="V10501" s="21">
        <v>2</v>
      </c>
      <c r="W10501" s="21">
        <v>0</v>
      </c>
      <c r="Y10501" s="21">
        <v>0</v>
      </c>
      <c r="Z10501" s="21">
        <v>0</v>
      </c>
      <c r="AA10501" s="21">
        <v>0</v>
      </c>
      <c r="AB10501" s="21">
        <v>0</v>
      </c>
      <c r="AC10501" s="21">
        <v>0</v>
      </c>
      <c r="AD10501" s="21">
        <v>0</v>
      </c>
      <c r="AE10501" s="21">
        <v>0</v>
      </c>
      <c r="AF10501" s="21">
        <v>0</v>
      </c>
      <c r="AG10501" s="21">
        <v>0</v>
      </c>
      <c r="AH10501" s="21">
        <v>0</v>
      </c>
      <c r="AI10501" s="21">
        <f t="shared" si="231"/>
        <v>128</v>
      </c>
      <c r="AJ10501" s="21" t="s">
        <v>51</v>
      </c>
      <c r="AK10501" s="21" t="s">
        <v>95</v>
      </c>
      <c r="AL10501" s="21"/>
      <c r="AM10501" s="21" t="s">
        <v>6478</v>
      </c>
      <c r="AN10501" s="21">
        <v>-122.39955354999999</v>
      </c>
      <c r="AO10501" s="21">
        <v>37.801637300000003</v>
      </c>
      <c r="AP10501" s="21" t="s">
        <v>116</v>
      </c>
    </row>
    <row r="10502" spans="1:42">
      <c r="A10502" s="20">
        <v>43881</v>
      </c>
      <c r="B10502" s="21">
        <v>4</v>
      </c>
      <c r="C10502" s="21">
        <v>302</v>
      </c>
      <c r="D10502" s="21">
        <v>10415</v>
      </c>
      <c r="E10502" s="7" t="s">
        <v>37</v>
      </c>
      <c r="F10502" s="21" t="s">
        <v>38</v>
      </c>
      <c r="G10502" s="21">
        <v>1</v>
      </c>
      <c r="I10502" s="21" t="s">
        <v>3511</v>
      </c>
      <c r="K10502" s="21" t="s">
        <v>162</v>
      </c>
      <c r="N10502" s="21" t="s">
        <v>40</v>
      </c>
      <c r="O10502" s="21">
        <v>35</v>
      </c>
      <c r="Q10502" s="21">
        <f t="shared" si="229"/>
        <v>1</v>
      </c>
      <c r="R10502" s="21">
        <v>1</v>
      </c>
      <c r="S10502" s="21">
        <v>0</v>
      </c>
      <c r="T10502" s="21">
        <v>0</v>
      </c>
      <c r="U10502" s="21">
        <v>1</v>
      </c>
      <c r="V10502" s="21">
        <v>0</v>
      </c>
      <c r="W10502" s="21">
        <v>0</v>
      </c>
      <c r="Y10502" s="21">
        <v>0</v>
      </c>
      <c r="Z10502" s="21">
        <v>0</v>
      </c>
      <c r="AA10502" s="21">
        <v>0</v>
      </c>
      <c r="AB10502" s="21">
        <v>0</v>
      </c>
      <c r="AC10502" s="21">
        <v>0</v>
      </c>
      <c r="AD10502" s="21">
        <v>0</v>
      </c>
      <c r="AE10502" s="21">
        <v>0</v>
      </c>
      <c r="AF10502" s="21">
        <v>0</v>
      </c>
      <c r="AG10502" s="21">
        <v>0</v>
      </c>
      <c r="AH10502" s="21">
        <v>0</v>
      </c>
      <c r="AI10502" s="21">
        <f t="shared" si="231"/>
        <v>32</v>
      </c>
      <c r="AJ10502" s="21" t="s">
        <v>51</v>
      </c>
      <c r="AK10502" s="21" t="s">
        <v>95</v>
      </c>
      <c r="AL10502" s="21"/>
      <c r="AM10502" s="21" t="s">
        <v>6479</v>
      </c>
      <c r="AN10502" s="21">
        <v>-122.40136706666701</v>
      </c>
      <c r="AO10502" s="21">
        <v>37.803413516666701</v>
      </c>
      <c r="AP10502" s="21" t="s">
        <v>116</v>
      </c>
    </row>
    <row r="10503" spans="1:42">
      <c r="A10503" s="20">
        <v>43881</v>
      </c>
      <c r="B10503" s="21">
        <v>4</v>
      </c>
      <c r="C10503" s="21">
        <v>302</v>
      </c>
      <c r="D10503" s="21">
        <v>10415</v>
      </c>
      <c r="E10503" s="7" t="s">
        <v>37</v>
      </c>
      <c r="F10503" s="21" t="s">
        <v>38</v>
      </c>
      <c r="G10503" s="21">
        <v>1</v>
      </c>
      <c r="I10503" s="21" t="s">
        <v>6481</v>
      </c>
      <c r="K10503" s="21" t="s">
        <v>156</v>
      </c>
      <c r="N10503" s="21" t="s">
        <v>40</v>
      </c>
      <c r="O10503" s="21">
        <v>131</v>
      </c>
      <c r="Q10503" s="21">
        <f t="shared" si="229"/>
        <v>6</v>
      </c>
      <c r="R10503" s="21">
        <v>1</v>
      </c>
      <c r="S10503" s="21">
        <v>0</v>
      </c>
      <c r="T10503" s="21">
        <v>0</v>
      </c>
      <c r="U10503" s="21">
        <v>0</v>
      </c>
      <c r="V10503" s="21">
        <v>6</v>
      </c>
      <c r="W10503" s="21">
        <v>0</v>
      </c>
      <c r="Y10503" s="21">
        <v>0</v>
      </c>
      <c r="Z10503" s="21">
        <v>0</v>
      </c>
      <c r="AA10503" s="21">
        <v>0</v>
      </c>
      <c r="AB10503" s="21">
        <v>0</v>
      </c>
      <c r="AC10503" s="21">
        <v>0</v>
      </c>
      <c r="AD10503" s="21">
        <v>0</v>
      </c>
      <c r="AE10503" s="21">
        <v>0</v>
      </c>
      <c r="AF10503" s="21">
        <v>0</v>
      </c>
      <c r="AG10503" s="21">
        <v>0</v>
      </c>
      <c r="AH10503" s="21">
        <v>0</v>
      </c>
      <c r="AI10503" s="21">
        <f t="shared" si="231"/>
        <v>384</v>
      </c>
      <c r="AJ10503" s="21" t="s">
        <v>51</v>
      </c>
      <c r="AK10503" s="21" t="s">
        <v>95</v>
      </c>
      <c r="AL10503" s="21" t="s">
        <v>8611</v>
      </c>
      <c r="AM10503" s="21" t="s">
        <v>6480</v>
      </c>
      <c r="AN10503" s="21">
        <v>-122.40058998333301</v>
      </c>
      <c r="AO10503" s="21">
        <v>37.800612999999998</v>
      </c>
      <c r="AP10503" s="21" t="s">
        <v>116</v>
      </c>
    </row>
    <row r="10504" spans="1:42">
      <c r="A10504" s="20">
        <v>43881</v>
      </c>
      <c r="B10504" s="21">
        <v>4</v>
      </c>
      <c r="C10504" s="21">
        <v>302</v>
      </c>
      <c r="D10504" s="21">
        <v>10415</v>
      </c>
      <c r="E10504" s="7" t="s">
        <v>37</v>
      </c>
      <c r="F10504" s="21" t="s">
        <v>38</v>
      </c>
      <c r="G10504" s="21">
        <v>1</v>
      </c>
      <c r="I10504" s="21" t="s">
        <v>4658</v>
      </c>
      <c r="K10504" s="21" t="s">
        <v>8612</v>
      </c>
      <c r="N10504" s="21" t="s">
        <v>42</v>
      </c>
      <c r="O10504" s="21">
        <v>171</v>
      </c>
      <c r="Q10504" s="21">
        <f t="shared" si="229"/>
        <v>3</v>
      </c>
      <c r="R10504" s="21">
        <v>1</v>
      </c>
      <c r="S10504" s="21">
        <v>0</v>
      </c>
      <c r="T10504" s="21">
        <v>0</v>
      </c>
      <c r="U10504" s="21">
        <v>0</v>
      </c>
      <c r="V10504" s="21">
        <v>3</v>
      </c>
      <c r="W10504" s="21">
        <v>0</v>
      </c>
      <c r="Y10504" s="21">
        <v>0</v>
      </c>
      <c r="Z10504" s="21">
        <v>0</v>
      </c>
      <c r="AA10504" s="21">
        <v>0</v>
      </c>
      <c r="AB10504" s="21">
        <v>0</v>
      </c>
      <c r="AC10504" s="21">
        <v>0</v>
      </c>
      <c r="AD10504" s="21">
        <v>0</v>
      </c>
      <c r="AE10504" s="21">
        <v>0</v>
      </c>
      <c r="AF10504" s="21">
        <v>0</v>
      </c>
      <c r="AG10504" s="21">
        <v>0</v>
      </c>
      <c r="AH10504" s="21">
        <v>0</v>
      </c>
      <c r="AI10504" s="21">
        <f t="shared" si="231"/>
        <v>192</v>
      </c>
      <c r="AJ10504" s="21" t="s">
        <v>51</v>
      </c>
      <c r="AK10504" s="21" t="s">
        <v>95</v>
      </c>
      <c r="AL10504" s="21"/>
      <c r="AM10504" s="21" t="s">
        <v>6483</v>
      </c>
      <c r="AN10504" s="21">
        <v>-122.40216185</v>
      </c>
      <c r="AO10504" s="21">
        <v>37.800803183333301</v>
      </c>
      <c r="AP10504" s="21" t="s">
        <v>116</v>
      </c>
    </row>
    <row r="10505" spans="1:42">
      <c r="A10505" s="20">
        <v>43881</v>
      </c>
      <c r="B10505" s="21">
        <v>4</v>
      </c>
      <c r="C10505" s="21">
        <v>302</v>
      </c>
      <c r="D10505" s="21">
        <v>10415</v>
      </c>
      <c r="E10505" s="7" t="s">
        <v>37</v>
      </c>
      <c r="F10505" s="21" t="s">
        <v>38</v>
      </c>
      <c r="G10505" s="21">
        <v>1</v>
      </c>
      <c r="I10505" s="21" t="s">
        <v>3519</v>
      </c>
      <c r="K10505" s="21" t="s">
        <v>7259</v>
      </c>
      <c r="N10505" s="21" t="s">
        <v>40</v>
      </c>
      <c r="O10505" s="21">
        <v>37</v>
      </c>
      <c r="Q10505" s="21">
        <f t="shared" si="229"/>
        <v>1</v>
      </c>
      <c r="R10505" s="21">
        <v>1</v>
      </c>
      <c r="S10505" s="21">
        <v>0</v>
      </c>
      <c r="T10505" s="21">
        <v>0</v>
      </c>
      <c r="U10505" s="21">
        <v>0</v>
      </c>
      <c r="V10505" s="21">
        <v>1</v>
      </c>
      <c r="W10505" s="21">
        <v>0</v>
      </c>
      <c r="Y10505" s="21">
        <v>0</v>
      </c>
      <c r="Z10505" s="21">
        <v>0</v>
      </c>
      <c r="AA10505" s="21">
        <v>0</v>
      </c>
      <c r="AB10505" s="21">
        <v>0</v>
      </c>
      <c r="AC10505" s="21">
        <v>0</v>
      </c>
      <c r="AD10505" s="21">
        <v>0</v>
      </c>
      <c r="AE10505" s="21">
        <v>0</v>
      </c>
      <c r="AF10505" s="21">
        <v>0</v>
      </c>
      <c r="AG10505" s="21">
        <v>0</v>
      </c>
      <c r="AH10505" s="21">
        <v>0</v>
      </c>
      <c r="AI10505" s="21">
        <f t="shared" si="231"/>
        <v>64</v>
      </c>
      <c r="AJ10505" s="21" t="s">
        <v>51</v>
      </c>
      <c r="AK10505" s="21" t="s">
        <v>95</v>
      </c>
      <c r="AL10505" s="21"/>
      <c r="AM10505" s="21" t="s">
        <v>6484</v>
      </c>
      <c r="AN10505" s="21">
        <v>-122.402021366667</v>
      </c>
      <c r="AO10505" s="21">
        <v>37.800527316666702</v>
      </c>
      <c r="AP10505" s="21" t="s">
        <v>116</v>
      </c>
    </row>
    <row r="10506" spans="1:42">
      <c r="A10506" s="20">
        <v>43881</v>
      </c>
      <c r="B10506" s="21">
        <v>4</v>
      </c>
      <c r="C10506" s="21">
        <v>302</v>
      </c>
      <c r="D10506" s="21">
        <v>10415</v>
      </c>
      <c r="E10506" s="7" t="s">
        <v>37</v>
      </c>
      <c r="F10506" s="21" t="s">
        <v>38</v>
      </c>
      <c r="G10506" s="21">
        <v>1</v>
      </c>
      <c r="I10506" s="21" t="s">
        <v>3230</v>
      </c>
      <c r="K10506" s="21" t="s">
        <v>5727</v>
      </c>
      <c r="N10506" s="21" t="s">
        <v>40</v>
      </c>
      <c r="O10506" s="21">
        <v>51</v>
      </c>
      <c r="Q10506" s="21">
        <f t="shared" si="229"/>
        <v>2</v>
      </c>
      <c r="R10506" s="21">
        <v>1</v>
      </c>
      <c r="S10506" s="21">
        <v>0</v>
      </c>
      <c r="T10506" s="21">
        <v>0</v>
      </c>
      <c r="U10506" s="21">
        <v>0</v>
      </c>
      <c r="V10506" s="21">
        <v>2</v>
      </c>
      <c r="W10506" s="21">
        <v>0</v>
      </c>
      <c r="Y10506" s="21">
        <v>0</v>
      </c>
      <c r="Z10506" s="21">
        <v>0</v>
      </c>
      <c r="AA10506" s="21">
        <v>0</v>
      </c>
      <c r="AB10506" s="21">
        <v>0</v>
      </c>
      <c r="AC10506" s="21">
        <v>0</v>
      </c>
      <c r="AD10506" s="21">
        <v>0</v>
      </c>
      <c r="AE10506" s="21">
        <v>0</v>
      </c>
      <c r="AF10506" s="21">
        <v>0</v>
      </c>
      <c r="AG10506" s="21">
        <v>0</v>
      </c>
      <c r="AH10506" s="21">
        <v>0</v>
      </c>
      <c r="AI10506" s="21">
        <f t="shared" si="231"/>
        <v>128</v>
      </c>
      <c r="AJ10506" s="21" t="s">
        <v>51</v>
      </c>
      <c r="AK10506" s="21" t="s">
        <v>95</v>
      </c>
      <c r="AL10506" s="21"/>
      <c r="AM10506" s="21" t="s">
        <v>6485</v>
      </c>
      <c r="AN10506" s="21">
        <v>-122.40314771666699</v>
      </c>
      <c r="AO10506" s="21">
        <v>37.802379233333298</v>
      </c>
      <c r="AP10506" s="21" t="s">
        <v>116</v>
      </c>
    </row>
    <row r="10507" spans="1:42">
      <c r="A10507" s="20">
        <v>43881</v>
      </c>
      <c r="B10507" s="21">
        <v>4</v>
      </c>
      <c r="C10507" s="21">
        <v>302</v>
      </c>
      <c r="D10507" s="21">
        <v>10415</v>
      </c>
      <c r="E10507" s="7" t="s">
        <v>37</v>
      </c>
      <c r="F10507" s="21" t="s">
        <v>38</v>
      </c>
      <c r="G10507" s="21">
        <v>1</v>
      </c>
      <c r="I10507" s="21" t="s">
        <v>3807</v>
      </c>
      <c r="K10507" s="21" t="s">
        <v>60</v>
      </c>
      <c r="N10507" s="21" t="s">
        <v>44</v>
      </c>
      <c r="O10507" s="21">
        <v>150</v>
      </c>
      <c r="Q10507" s="21">
        <f t="shared" si="229"/>
        <v>5</v>
      </c>
      <c r="R10507" s="21">
        <v>1</v>
      </c>
      <c r="S10507" s="21">
        <v>0</v>
      </c>
      <c r="T10507" s="21">
        <v>0</v>
      </c>
      <c r="U10507" s="21">
        <v>0</v>
      </c>
      <c r="V10507" s="21">
        <v>5</v>
      </c>
      <c r="W10507" s="21">
        <v>0</v>
      </c>
      <c r="Y10507" s="21">
        <v>0</v>
      </c>
      <c r="Z10507" s="21">
        <v>0</v>
      </c>
      <c r="AA10507" s="21">
        <v>0</v>
      </c>
      <c r="AB10507" s="21">
        <v>0</v>
      </c>
      <c r="AC10507" s="21">
        <v>0</v>
      </c>
      <c r="AD10507" s="21">
        <v>0</v>
      </c>
      <c r="AE10507" s="21">
        <v>0</v>
      </c>
      <c r="AF10507" s="21">
        <v>0</v>
      </c>
      <c r="AG10507" s="21">
        <v>0</v>
      </c>
      <c r="AH10507" s="21">
        <v>0</v>
      </c>
      <c r="AI10507" s="21">
        <f t="shared" si="231"/>
        <v>320</v>
      </c>
      <c r="AJ10507" s="21" t="s">
        <v>51</v>
      </c>
      <c r="AK10507" s="21" t="s">
        <v>95</v>
      </c>
      <c r="AL10507" s="21"/>
      <c r="AM10507" s="21" t="s">
        <v>6486</v>
      </c>
      <c r="AN10507" s="21">
        <v>-122.40347156666699</v>
      </c>
      <c r="AO10507" s="21">
        <v>37.8047985166667</v>
      </c>
      <c r="AP10507" s="21" t="s">
        <v>116</v>
      </c>
    </row>
    <row r="10508" spans="1:42">
      <c r="A10508" s="20">
        <v>43881</v>
      </c>
      <c r="B10508" s="21">
        <v>4</v>
      </c>
      <c r="C10508" s="21">
        <v>302</v>
      </c>
      <c r="D10508" s="21">
        <v>10415</v>
      </c>
      <c r="E10508" s="7" t="s">
        <v>37</v>
      </c>
      <c r="F10508" s="21" t="s">
        <v>38</v>
      </c>
      <c r="G10508" s="21">
        <v>1</v>
      </c>
      <c r="I10508" s="21" t="s">
        <v>6488</v>
      </c>
      <c r="K10508" s="21" t="s">
        <v>60</v>
      </c>
      <c r="N10508" s="21" t="s">
        <v>44</v>
      </c>
      <c r="O10508" s="21">
        <v>164</v>
      </c>
      <c r="Q10508" s="21">
        <f t="shared" si="229"/>
        <v>3</v>
      </c>
      <c r="R10508" s="21">
        <v>1</v>
      </c>
      <c r="S10508" s="21">
        <v>0</v>
      </c>
      <c r="T10508" s="21">
        <v>0</v>
      </c>
      <c r="U10508" s="21">
        <v>0</v>
      </c>
      <c r="V10508" s="21">
        <v>3</v>
      </c>
      <c r="W10508" s="21">
        <v>0</v>
      </c>
      <c r="Y10508" s="21">
        <v>0</v>
      </c>
      <c r="Z10508" s="21">
        <v>0</v>
      </c>
      <c r="AA10508" s="21">
        <v>0</v>
      </c>
      <c r="AB10508" s="21">
        <v>0</v>
      </c>
      <c r="AC10508" s="21">
        <v>0</v>
      </c>
      <c r="AD10508" s="21">
        <v>0</v>
      </c>
      <c r="AE10508" s="21">
        <v>0</v>
      </c>
      <c r="AF10508" s="21">
        <v>0</v>
      </c>
      <c r="AG10508" s="21">
        <v>0</v>
      </c>
      <c r="AH10508" s="21">
        <v>0</v>
      </c>
      <c r="AI10508" s="21">
        <f t="shared" si="231"/>
        <v>192</v>
      </c>
      <c r="AJ10508" s="21" t="s">
        <v>51</v>
      </c>
      <c r="AK10508" s="21" t="s">
        <v>95</v>
      </c>
      <c r="AL10508" s="21" t="s">
        <v>8613</v>
      </c>
      <c r="AM10508" s="21" t="s">
        <v>6487</v>
      </c>
      <c r="AN10508" s="21">
        <v>-122.40132825000001</v>
      </c>
      <c r="AO10508" s="21">
        <v>37.800245066666697</v>
      </c>
      <c r="AP10508" s="21" t="s">
        <v>116</v>
      </c>
    </row>
    <row r="10509" spans="1:42">
      <c r="A10509" s="20">
        <v>43881</v>
      </c>
      <c r="B10509" s="21">
        <v>4</v>
      </c>
      <c r="C10509" s="21">
        <v>302</v>
      </c>
      <c r="D10509" s="21">
        <v>10415</v>
      </c>
      <c r="E10509" s="7" t="s">
        <v>37</v>
      </c>
      <c r="F10509" s="21" t="s">
        <v>38</v>
      </c>
      <c r="G10509" s="21">
        <v>1</v>
      </c>
      <c r="I10509" s="21" t="s">
        <v>3121</v>
      </c>
      <c r="K10509" s="21" t="s">
        <v>60</v>
      </c>
      <c r="N10509" s="21" t="s">
        <v>40</v>
      </c>
      <c r="O10509" s="21">
        <v>56</v>
      </c>
      <c r="Q10509" s="21">
        <f t="shared" si="229"/>
        <v>1</v>
      </c>
      <c r="R10509" s="21">
        <v>1</v>
      </c>
      <c r="S10509" s="21">
        <v>0</v>
      </c>
      <c r="T10509" s="21">
        <v>0</v>
      </c>
      <c r="U10509" s="21">
        <v>0</v>
      </c>
      <c r="V10509" s="21">
        <v>1</v>
      </c>
      <c r="W10509" s="21">
        <v>0</v>
      </c>
      <c r="Y10509" s="21">
        <v>0</v>
      </c>
      <c r="Z10509" s="21">
        <v>0</v>
      </c>
      <c r="AA10509" s="21">
        <v>0</v>
      </c>
      <c r="AB10509" s="21">
        <v>0</v>
      </c>
      <c r="AC10509" s="21">
        <v>0</v>
      </c>
      <c r="AD10509" s="21">
        <v>0</v>
      </c>
      <c r="AE10509" s="21">
        <v>0</v>
      </c>
      <c r="AF10509" s="21">
        <v>0</v>
      </c>
      <c r="AG10509" s="21">
        <v>0</v>
      </c>
      <c r="AH10509" s="21">
        <v>0</v>
      </c>
      <c r="AI10509" s="21">
        <f t="shared" si="231"/>
        <v>64</v>
      </c>
      <c r="AJ10509" s="21" t="s">
        <v>51</v>
      </c>
      <c r="AK10509" s="21" t="s">
        <v>95</v>
      </c>
      <c r="AL10509" s="21"/>
      <c r="AM10509" s="21" t="s">
        <v>6490</v>
      </c>
      <c r="AN10509" s="21">
        <v>-122.401031166667</v>
      </c>
      <c r="AO10509" s="21">
        <v>37.798807533333303</v>
      </c>
      <c r="AP10509" s="21" t="s">
        <v>116</v>
      </c>
    </row>
    <row r="10510" spans="1:42">
      <c r="A10510" s="20">
        <v>43881</v>
      </c>
      <c r="B10510" s="21">
        <v>4</v>
      </c>
      <c r="C10510" s="21">
        <v>302</v>
      </c>
      <c r="D10510" s="21">
        <v>10415</v>
      </c>
      <c r="E10510" s="7" t="s">
        <v>37</v>
      </c>
      <c r="F10510" s="21" t="s">
        <v>38</v>
      </c>
      <c r="G10510" s="21">
        <v>1</v>
      </c>
      <c r="I10510" s="21" t="s">
        <v>3232</v>
      </c>
      <c r="K10510" s="21" t="s">
        <v>61</v>
      </c>
      <c r="N10510" s="21" t="s">
        <v>40</v>
      </c>
      <c r="O10510" s="21">
        <v>52</v>
      </c>
      <c r="Q10510" s="21">
        <f t="shared" si="229"/>
        <v>1</v>
      </c>
      <c r="R10510" s="21">
        <v>1</v>
      </c>
      <c r="S10510" s="21">
        <v>0</v>
      </c>
      <c r="T10510" s="21">
        <v>0</v>
      </c>
      <c r="U10510" s="21">
        <v>0</v>
      </c>
      <c r="V10510" s="21">
        <v>1</v>
      </c>
      <c r="W10510" s="21">
        <v>0</v>
      </c>
      <c r="Y10510" s="21">
        <v>0</v>
      </c>
      <c r="Z10510" s="21">
        <v>0</v>
      </c>
      <c r="AA10510" s="21">
        <v>0</v>
      </c>
      <c r="AB10510" s="21">
        <v>0</v>
      </c>
      <c r="AC10510" s="21">
        <v>0</v>
      </c>
      <c r="AD10510" s="21">
        <v>0</v>
      </c>
      <c r="AE10510" s="21">
        <v>0</v>
      </c>
      <c r="AF10510" s="21">
        <v>0</v>
      </c>
      <c r="AG10510" s="21">
        <v>0</v>
      </c>
      <c r="AH10510" s="21">
        <v>0</v>
      </c>
      <c r="AI10510" s="21">
        <f t="shared" si="231"/>
        <v>64</v>
      </c>
      <c r="AJ10510" s="21" t="s">
        <v>51</v>
      </c>
      <c r="AK10510" s="21" t="s">
        <v>95</v>
      </c>
      <c r="AL10510" s="21"/>
      <c r="AM10510" s="21" t="s">
        <v>6491</v>
      </c>
      <c r="AN10510" s="21">
        <v>-122.400210466667</v>
      </c>
      <c r="AO10510" s="21">
        <v>37.800239716666702</v>
      </c>
      <c r="AP10510" s="21" t="s">
        <v>116</v>
      </c>
    </row>
    <row r="10511" spans="1:42">
      <c r="A10511" s="20">
        <v>43881</v>
      </c>
      <c r="B10511" s="21">
        <v>4</v>
      </c>
      <c r="C10511" s="21">
        <v>302</v>
      </c>
      <c r="D10511" s="21">
        <v>10415</v>
      </c>
      <c r="E10511" s="7" t="s">
        <v>37</v>
      </c>
      <c r="F10511" s="21" t="s">
        <v>38</v>
      </c>
      <c r="G10511" s="21">
        <v>1</v>
      </c>
      <c r="I10511" s="21" t="s">
        <v>6493</v>
      </c>
      <c r="K10511" s="21" t="s">
        <v>4704</v>
      </c>
      <c r="N10511" s="21" t="s">
        <v>40</v>
      </c>
      <c r="O10511" s="21">
        <v>75</v>
      </c>
      <c r="Q10511" s="21">
        <f t="shared" si="229"/>
        <v>2</v>
      </c>
      <c r="R10511" s="21">
        <v>1</v>
      </c>
      <c r="S10511" s="21">
        <v>0</v>
      </c>
      <c r="T10511" s="21">
        <v>0</v>
      </c>
      <c r="U10511" s="21">
        <v>1</v>
      </c>
      <c r="V10511" s="21">
        <v>1</v>
      </c>
      <c r="W10511" s="21">
        <v>0</v>
      </c>
      <c r="Y10511" s="21">
        <v>0</v>
      </c>
      <c r="Z10511" s="21">
        <v>0</v>
      </c>
      <c r="AA10511" s="21">
        <v>0</v>
      </c>
      <c r="AB10511" s="21">
        <v>0</v>
      </c>
      <c r="AC10511" s="21">
        <v>0</v>
      </c>
      <c r="AD10511" s="21">
        <v>0</v>
      </c>
      <c r="AE10511" s="21">
        <v>0</v>
      </c>
      <c r="AF10511" s="21">
        <v>0</v>
      </c>
      <c r="AG10511" s="21">
        <v>0</v>
      </c>
      <c r="AH10511" s="21">
        <v>0</v>
      </c>
      <c r="AI10511" s="21">
        <f t="shared" si="231"/>
        <v>96</v>
      </c>
      <c r="AJ10511" s="21" t="s">
        <v>51</v>
      </c>
      <c r="AK10511" s="21" t="s">
        <v>95</v>
      </c>
      <c r="AL10511" s="21"/>
      <c r="AM10511" s="21" t="s">
        <v>6492</v>
      </c>
      <c r="AN10511" s="21">
        <v>-122.40057103333299</v>
      </c>
      <c r="AO10511" s="21">
        <v>37.801478583333299</v>
      </c>
      <c r="AP10511" s="21" t="s">
        <v>116</v>
      </c>
    </row>
    <row r="10512" spans="1:42">
      <c r="A10512" s="20">
        <v>43881</v>
      </c>
      <c r="B10512" s="21">
        <v>4</v>
      </c>
      <c r="C10512" s="21">
        <v>302</v>
      </c>
      <c r="D10512" s="21">
        <v>10415</v>
      </c>
      <c r="E10512" s="7" t="s">
        <v>37</v>
      </c>
      <c r="F10512" s="21" t="s">
        <v>38</v>
      </c>
      <c r="G10512" s="21">
        <v>1</v>
      </c>
      <c r="I10512" s="21" t="s">
        <v>6495</v>
      </c>
      <c r="K10512" s="21" t="s">
        <v>185</v>
      </c>
      <c r="N10512" s="21" t="s">
        <v>40</v>
      </c>
      <c r="O10512" s="21">
        <v>38</v>
      </c>
      <c r="Q10512" s="21">
        <f t="shared" si="229"/>
        <v>1</v>
      </c>
      <c r="R10512" s="21">
        <v>1</v>
      </c>
      <c r="S10512" s="21">
        <v>0</v>
      </c>
      <c r="T10512" s="21">
        <v>0</v>
      </c>
      <c r="U10512" s="21">
        <v>0</v>
      </c>
      <c r="V10512" s="21">
        <v>1</v>
      </c>
      <c r="W10512" s="21">
        <v>0</v>
      </c>
      <c r="Y10512" s="21">
        <v>0</v>
      </c>
      <c r="Z10512" s="21">
        <v>0</v>
      </c>
      <c r="AA10512" s="21">
        <v>0</v>
      </c>
      <c r="AB10512" s="21">
        <v>0</v>
      </c>
      <c r="AC10512" s="21">
        <v>0</v>
      </c>
      <c r="AD10512" s="21">
        <v>0</v>
      </c>
      <c r="AE10512" s="21">
        <v>0</v>
      </c>
      <c r="AF10512" s="21">
        <v>0</v>
      </c>
      <c r="AG10512" s="21">
        <v>0</v>
      </c>
      <c r="AH10512" s="21">
        <v>0</v>
      </c>
      <c r="AI10512" s="21">
        <f t="shared" si="231"/>
        <v>64</v>
      </c>
      <c r="AJ10512" s="21" t="s">
        <v>51</v>
      </c>
      <c r="AK10512" s="21" t="s">
        <v>95</v>
      </c>
      <c r="AL10512" s="21"/>
      <c r="AM10512" s="21" t="s">
        <v>6494</v>
      </c>
      <c r="AN10512" s="21">
        <v>-122.40143635</v>
      </c>
      <c r="AO10512" s="21">
        <v>37.800067583333302</v>
      </c>
      <c r="AP10512" s="21" t="s">
        <v>116</v>
      </c>
    </row>
    <row r="10513" spans="1:42">
      <c r="A10513" s="20">
        <v>43881</v>
      </c>
      <c r="B10513" s="21">
        <v>4</v>
      </c>
      <c r="C10513" s="21">
        <v>302</v>
      </c>
      <c r="D10513" s="21">
        <v>10415</v>
      </c>
      <c r="E10513" s="7" t="s">
        <v>37</v>
      </c>
      <c r="F10513" s="21" t="s">
        <v>38</v>
      </c>
      <c r="G10513" s="21">
        <v>1</v>
      </c>
      <c r="I10513" s="21" t="s">
        <v>6497</v>
      </c>
      <c r="K10513" s="21" t="s">
        <v>4704</v>
      </c>
      <c r="N10513" s="21" t="s">
        <v>40</v>
      </c>
      <c r="O10513" s="21">
        <v>32</v>
      </c>
      <c r="Q10513" s="21">
        <f t="shared" si="229"/>
        <v>1</v>
      </c>
      <c r="R10513" s="21">
        <v>1</v>
      </c>
      <c r="S10513" s="21">
        <v>0</v>
      </c>
      <c r="T10513" s="21">
        <v>0</v>
      </c>
      <c r="U10513" s="21">
        <v>0</v>
      </c>
      <c r="V10513" s="21">
        <v>1</v>
      </c>
      <c r="W10513" s="21">
        <v>0</v>
      </c>
      <c r="Y10513" s="21">
        <v>0</v>
      </c>
      <c r="Z10513" s="21">
        <v>0</v>
      </c>
      <c r="AA10513" s="21">
        <v>0</v>
      </c>
      <c r="AB10513" s="21">
        <v>0</v>
      </c>
      <c r="AC10513" s="21">
        <v>0</v>
      </c>
      <c r="AD10513" s="21">
        <v>0</v>
      </c>
      <c r="AE10513" s="21">
        <v>0</v>
      </c>
      <c r="AF10513" s="21">
        <v>0</v>
      </c>
      <c r="AG10513" s="21">
        <v>0</v>
      </c>
      <c r="AH10513" s="21">
        <v>0</v>
      </c>
      <c r="AI10513" s="21">
        <f t="shared" si="231"/>
        <v>64</v>
      </c>
      <c r="AJ10513" s="21" t="s">
        <v>51</v>
      </c>
      <c r="AK10513" s="21" t="s">
        <v>95</v>
      </c>
      <c r="AL10513" s="21"/>
      <c r="AM10513" s="21" t="s">
        <v>6496</v>
      </c>
      <c r="AN10513" s="21">
        <v>-122.405811466667</v>
      </c>
      <c r="AO10513" s="21">
        <v>37.7980172166667</v>
      </c>
      <c r="AP10513" s="21" t="s">
        <v>116</v>
      </c>
    </row>
    <row r="10514" spans="1:42">
      <c r="A10514" s="20">
        <v>43881</v>
      </c>
      <c r="B10514" s="21">
        <v>4</v>
      </c>
      <c r="C10514" s="21">
        <v>302</v>
      </c>
      <c r="D10514" s="21">
        <v>10415</v>
      </c>
      <c r="E10514" s="7" t="s">
        <v>37</v>
      </c>
      <c r="F10514" s="21" t="s">
        <v>38</v>
      </c>
      <c r="G10514" s="21">
        <v>1</v>
      </c>
      <c r="I10514" s="21" t="s">
        <v>6038</v>
      </c>
      <c r="K10514" s="21" t="s">
        <v>39</v>
      </c>
      <c r="N10514" s="21" t="s">
        <v>40</v>
      </c>
      <c r="O10514" s="21">
        <v>36</v>
      </c>
      <c r="Q10514" s="21">
        <f t="shared" si="229"/>
        <v>1</v>
      </c>
      <c r="R10514" s="21">
        <v>1</v>
      </c>
      <c r="S10514" s="21">
        <v>0</v>
      </c>
      <c r="T10514" s="21">
        <v>0</v>
      </c>
      <c r="U10514" s="21">
        <v>0</v>
      </c>
      <c r="V10514" s="21">
        <v>1</v>
      </c>
      <c r="W10514" s="21">
        <v>0</v>
      </c>
      <c r="Y10514" s="21">
        <v>0</v>
      </c>
      <c r="Z10514" s="21">
        <v>0</v>
      </c>
      <c r="AA10514" s="21">
        <v>0</v>
      </c>
      <c r="AB10514" s="21">
        <v>0</v>
      </c>
      <c r="AC10514" s="21">
        <v>0</v>
      </c>
      <c r="AD10514" s="21">
        <v>0</v>
      </c>
      <c r="AE10514" s="21">
        <v>0</v>
      </c>
      <c r="AF10514" s="21">
        <v>0</v>
      </c>
      <c r="AG10514" s="21">
        <v>0</v>
      </c>
      <c r="AH10514" s="21">
        <v>0</v>
      </c>
      <c r="AI10514" s="21">
        <f t="shared" si="231"/>
        <v>64</v>
      </c>
      <c r="AJ10514" s="21" t="s">
        <v>54</v>
      </c>
      <c r="AK10514" s="21" t="s">
        <v>95</v>
      </c>
      <c r="AL10514" s="21"/>
      <c r="AM10514" s="21" t="s">
        <v>6498</v>
      </c>
      <c r="AN10514" s="21">
        <v>-122.40621235</v>
      </c>
      <c r="AO10514" s="21">
        <v>37.797817933333299</v>
      </c>
      <c r="AP10514" s="21" t="s">
        <v>116</v>
      </c>
    </row>
    <row r="10515" spans="1:42">
      <c r="A10515" s="20">
        <v>43881</v>
      </c>
      <c r="B10515" s="21">
        <v>4</v>
      </c>
      <c r="C10515" s="21">
        <v>302</v>
      </c>
      <c r="D10515" s="21">
        <v>10415</v>
      </c>
      <c r="E10515" s="7" t="s">
        <v>37</v>
      </c>
      <c r="F10515" s="21" t="s">
        <v>38</v>
      </c>
      <c r="G10515" s="21">
        <v>1</v>
      </c>
      <c r="I10515" s="21" t="s">
        <v>6500</v>
      </c>
      <c r="K10515" s="21" t="s">
        <v>185</v>
      </c>
      <c r="N10515" s="21" t="s">
        <v>40</v>
      </c>
      <c r="O10515" s="21">
        <v>90</v>
      </c>
      <c r="Q10515" s="21">
        <f t="shared" si="229"/>
        <v>2</v>
      </c>
      <c r="R10515" s="21">
        <v>1</v>
      </c>
      <c r="S10515" s="21">
        <v>0</v>
      </c>
      <c r="T10515" s="21">
        <v>0</v>
      </c>
      <c r="U10515" s="21">
        <v>2</v>
      </c>
      <c r="V10515" s="21">
        <v>0</v>
      </c>
      <c r="W10515" s="21">
        <v>0</v>
      </c>
      <c r="Y10515" s="21">
        <v>0</v>
      </c>
      <c r="Z10515" s="21">
        <v>0</v>
      </c>
      <c r="AA10515" s="21">
        <v>0</v>
      </c>
      <c r="AB10515" s="21">
        <v>0</v>
      </c>
      <c r="AC10515" s="21">
        <v>0</v>
      </c>
      <c r="AD10515" s="21">
        <v>0</v>
      </c>
      <c r="AE10515" s="21">
        <v>0</v>
      </c>
      <c r="AF10515" s="21">
        <v>0</v>
      </c>
      <c r="AG10515" s="21">
        <v>0</v>
      </c>
      <c r="AH10515" s="21">
        <v>0</v>
      </c>
      <c r="AI10515" s="21">
        <f t="shared" si="231"/>
        <v>64</v>
      </c>
      <c r="AJ10515" s="21" t="s">
        <v>51</v>
      </c>
      <c r="AK10515" s="21" t="s">
        <v>95</v>
      </c>
      <c r="AL10515" s="21" t="s">
        <v>8614</v>
      </c>
      <c r="AM10515" s="21" t="s">
        <v>6499</v>
      </c>
      <c r="AN10515" s="21">
        <v>-122.40552151666699</v>
      </c>
      <c r="AO10515" s="21">
        <v>37.797927483333297</v>
      </c>
      <c r="AP10515" s="21" t="s">
        <v>116</v>
      </c>
    </row>
    <row r="10516" spans="1:42">
      <c r="A10516" s="20">
        <v>43881</v>
      </c>
      <c r="B10516" s="21">
        <v>4</v>
      </c>
      <c r="C10516" s="21">
        <v>302</v>
      </c>
      <c r="D10516" s="21">
        <v>10415</v>
      </c>
      <c r="E10516" s="7" t="s">
        <v>37</v>
      </c>
      <c r="F10516" s="21" t="s">
        <v>38</v>
      </c>
      <c r="G10516" s="21">
        <v>1</v>
      </c>
      <c r="I10516" s="21" t="s">
        <v>5500</v>
      </c>
      <c r="K10516" s="21" t="s">
        <v>6503</v>
      </c>
      <c r="N10516" s="21" t="s">
        <v>44</v>
      </c>
      <c r="O10516" s="21">
        <v>163</v>
      </c>
      <c r="Q10516" s="21">
        <f t="shared" si="229"/>
        <v>1</v>
      </c>
      <c r="R10516" s="21">
        <v>1</v>
      </c>
      <c r="S10516" s="21">
        <v>0</v>
      </c>
      <c r="T10516" s="21">
        <v>0</v>
      </c>
      <c r="U10516" s="21">
        <v>0</v>
      </c>
      <c r="V10516" s="21">
        <v>1</v>
      </c>
      <c r="W10516" s="21">
        <v>0</v>
      </c>
      <c r="Y10516" s="21">
        <v>0</v>
      </c>
      <c r="Z10516" s="21">
        <v>0</v>
      </c>
      <c r="AA10516" s="21">
        <v>0</v>
      </c>
      <c r="AB10516" s="21">
        <v>0</v>
      </c>
      <c r="AC10516" s="21">
        <v>0</v>
      </c>
      <c r="AD10516" s="21">
        <v>0</v>
      </c>
      <c r="AE10516" s="21">
        <v>0</v>
      </c>
      <c r="AF10516" s="21">
        <v>0</v>
      </c>
      <c r="AG10516" s="21">
        <v>0</v>
      </c>
      <c r="AH10516" s="21">
        <v>0</v>
      </c>
      <c r="AI10516" s="21">
        <f t="shared" si="231"/>
        <v>64</v>
      </c>
      <c r="AJ10516" s="21" t="s">
        <v>51</v>
      </c>
      <c r="AK10516" s="21" t="s">
        <v>95</v>
      </c>
      <c r="AL10516" s="21" t="s">
        <v>8615</v>
      </c>
      <c r="AM10516" s="21" t="s">
        <v>6502</v>
      </c>
      <c r="AN10516" s="21">
        <v>-122.404632533333</v>
      </c>
      <c r="AO10516" s="21">
        <v>37.798108416666601</v>
      </c>
      <c r="AP10516" s="21" t="s">
        <v>116</v>
      </c>
    </row>
    <row r="10517" spans="1:42">
      <c r="A10517" s="20">
        <v>43881</v>
      </c>
      <c r="B10517" s="21">
        <v>4</v>
      </c>
      <c r="C10517" s="21">
        <v>302</v>
      </c>
      <c r="D10517" s="21">
        <v>10415</v>
      </c>
      <c r="E10517" s="7" t="s">
        <v>37</v>
      </c>
      <c r="F10517" s="21" t="s">
        <v>38</v>
      </c>
      <c r="G10517" s="21">
        <v>1</v>
      </c>
      <c r="I10517" s="21" t="s">
        <v>6506</v>
      </c>
      <c r="K10517" s="21" t="s">
        <v>60</v>
      </c>
      <c r="N10517" s="21" t="s">
        <v>40</v>
      </c>
      <c r="O10517" s="21">
        <v>41</v>
      </c>
      <c r="Q10517" s="21">
        <f t="shared" si="229"/>
        <v>1</v>
      </c>
      <c r="R10517" s="21">
        <v>1</v>
      </c>
      <c r="S10517" s="21">
        <v>0</v>
      </c>
      <c r="T10517" s="21">
        <v>0</v>
      </c>
      <c r="U10517" s="21">
        <v>1</v>
      </c>
      <c r="V10517" s="21">
        <v>0</v>
      </c>
      <c r="W10517" s="21">
        <v>0</v>
      </c>
      <c r="Y10517" s="21">
        <v>0</v>
      </c>
      <c r="Z10517" s="21">
        <v>0</v>
      </c>
      <c r="AA10517" s="21">
        <v>0</v>
      </c>
      <c r="AB10517" s="21">
        <v>0</v>
      </c>
      <c r="AC10517" s="21">
        <v>0</v>
      </c>
      <c r="AD10517" s="21">
        <v>0</v>
      </c>
      <c r="AE10517" s="21">
        <v>0</v>
      </c>
      <c r="AF10517" s="21">
        <v>0</v>
      </c>
      <c r="AG10517" s="21">
        <v>0</v>
      </c>
      <c r="AH10517" s="21">
        <v>0</v>
      </c>
      <c r="AI10517" s="21">
        <f t="shared" si="231"/>
        <v>32</v>
      </c>
      <c r="AJ10517" s="21" t="s">
        <v>51</v>
      </c>
      <c r="AK10517" s="21" t="s">
        <v>95</v>
      </c>
      <c r="AL10517" s="21"/>
      <c r="AM10517" s="21" t="s">
        <v>6505</v>
      </c>
      <c r="AN10517" s="21">
        <v>-122.40349985</v>
      </c>
      <c r="AO10517" s="21">
        <v>37.798271016666703</v>
      </c>
      <c r="AP10517" s="21" t="s">
        <v>116</v>
      </c>
    </row>
    <row r="10518" spans="1:42">
      <c r="A10518" s="20">
        <v>43881</v>
      </c>
      <c r="B10518" s="21">
        <v>4</v>
      </c>
      <c r="C10518" s="21">
        <v>302</v>
      </c>
      <c r="D10518" s="21">
        <v>10415</v>
      </c>
      <c r="E10518" s="7" t="s">
        <v>37</v>
      </c>
      <c r="F10518" s="21" t="s">
        <v>38</v>
      </c>
      <c r="G10518" s="21">
        <v>1</v>
      </c>
      <c r="I10518" s="21" t="s">
        <v>6508</v>
      </c>
      <c r="K10518" s="21" t="s">
        <v>7362</v>
      </c>
      <c r="N10518" s="21" t="s">
        <v>40</v>
      </c>
      <c r="O10518" s="21">
        <v>53</v>
      </c>
      <c r="Q10518" s="21">
        <f t="shared" si="229"/>
        <v>2</v>
      </c>
      <c r="R10518" s="21">
        <v>1</v>
      </c>
      <c r="S10518" s="21">
        <v>0</v>
      </c>
      <c r="T10518" s="21">
        <v>0</v>
      </c>
      <c r="U10518" s="21">
        <v>2</v>
      </c>
      <c r="V10518" s="21">
        <v>0</v>
      </c>
      <c r="W10518" s="21">
        <v>0</v>
      </c>
      <c r="Y10518" s="21">
        <v>0</v>
      </c>
      <c r="Z10518" s="21">
        <v>0</v>
      </c>
      <c r="AA10518" s="21">
        <v>0</v>
      </c>
      <c r="AB10518" s="21">
        <v>0</v>
      </c>
      <c r="AC10518" s="21">
        <v>0</v>
      </c>
      <c r="AD10518" s="21">
        <v>0</v>
      </c>
      <c r="AE10518" s="21">
        <v>0</v>
      </c>
      <c r="AF10518" s="21">
        <v>0</v>
      </c>
      <c r="AG10518" s="21">
        <v>0</v>
      </c>
      <c r="AH10518" s="21">
        <v>0</v>
      </c>
      <c r="AI10518" s="21">
        <f t="shared" si="231"/>
        <v>64</v>
      </c>
      <c r="AJ10518" s="21" t="s">
        <v>51</v>
      </c>
      <c r="AK10518" s="21" t="s">
        <v>95</v>
      </c>
      <c r="AL10518" s="21" t="s">
        <v>8616</v>
      </c>
      <c r="AM10518" s="21" t="s">
        <v>6507</v>
      </c>
      <c r="AN10518" s="21">
        <v>-122.40093885</v>
      </c>
      <c r="AO10518" s="21">
        <v>37.798318266666698</v>
      </c>
      <c r="AP10518" s="21" t="s">
        <v>116</v>
      </c>
    </row>
    <row r="10519" spans="1:42">
      <c r="A10519" s="20">
        <v>43881</v>
      </c>
      <c r="B10519" s="21">
        <v>4</v>
      </c>
      <c r="C10519" s="21">
        <v>302</v>
      </c>
      <c r="D10519" s="21">
        <v>10415</v>
      </c>
      <c r="E10519" s="7" t="s">
        <v>37</v>
      </c>
      <c r="F10519" s="21" t="s">
        <v>38</v>
      </c>
      <c r="G10519" s="21">
        <v>1</v>
      </c>
      <c r="I10519" s="21" t="s">
        <v>6511</v>
      </c>
      <c r="K10519" s="21" t="s">
        <v>61</v>
      </c>
      <c r="N10519" s="21" t="s">
        <v>40</v>
      </c>
      <c r="O10519" s="21">
        <v>51</v>
      </c>
      <c r="Q10519" s="21">
        <f t="shared" si="229"/>
        <v>1</v>
      </c>
      <c r="R10519" s="21">
        <v>1</v>
      </c>
      <c r="S10519" s="21">
        <v>0</v>
      </c>
      <c r="T10519" s="21">
        <v>0</v>
      </c>
      <c r="U10519" s="21">
        <v>0</v>
      </c>
      <c r="V10519" s="21">
        <v>1</v>
      </c>
      <c r="W10519" s="21">
        <v>0</v>
      </c>
      <c r="Y10519" s="21">
        <v>0</v>
      </c>
      <c r="Z10519" s="21">
        <v>0</v>
      </c>
      <c r="AA10519" s="21">
        <v>0</v>
      </c>
      <c r="AB10519" s="21">
        <v>0</v>
      </c>
      <c r="AC10519" s="21">
        <v>0</v>
      </c>
      <c r="AD10519" s="21">
        <v>0</v>
      </c>
      <c r="AE10519" s="21">
        <v>0</v>
      </c>
      <c r="AF10519" s="21">
        <v>0</v>
      </c>
      <c r="AG10519" s="21">
        <v>0</v>
      </c>
      <c r="AH10519" s="21">
        <v>0</v>
      </c>
      <c r="AI10519" s="21">
        <f t="shared" si="231"/>
        <v>64</v>
      </c>
      <c r="AJ10519" s="21" t="s">
        <v>51</v>
      </c>
      <c r="AK10519" s="21" t="s">
        <v>95</v>
      </c>
      <c r="AL10519" s="21"/>
      <c r="AM10519" s="21" t="s">
        <v>6510</v>
      </c>
      <c r="AN10519" s="21">
        <v>-122.40084331666699</v>
      </c>
      <c r="AO10519" s="21">
        <v>37.797788033333298</v>
      </c>
      <c r="AP10519" s="21" t="s">
        <v>116</v>
      </c>
    </row>
    <row r="10520" spans="1:42">
      <c r="A10520" s="20">
        <v>43881</v>
      </c>
      <c r="B10520" s="21">
        <v>4</v>
      </c>
      <c r="C10520" s="21">
        <v>302</v>
      </c>
      <c r="D10520" s="21">
        <v>10415</v>
      </c>
      <c r="E10520" s="7" t="s">
        <v>37</v>
      </c>
      <c r="F10520" s="21" t="s">
        <v>38</v>
      </c>
      <c r="G10520" s="21">
        <v>1</v>
      </c>
      <c r="I10520" s="21" t="s">
        <v>6513</v>
      </c>
      <c r="K10520" s="21" t="s">
        <v>3384</v>
      </c>
      <c r="N10520" s="21" t="s">
        <v>40</v>
      </c>
      <c r="O10520" s="21">
        <v>60</v>
      </c>
      <c r="Q10520" s="21">
        <f t="shared" si="229"/>
        <v>2</v>
      </c>
      <c r="R10520" s="21">
        <v>1</v>
      </c>
      <c r="S10520" s="21">
        <v>0</v>
      </c>
      <c r="T10520" s="21">
        <v>0</v>
      </c>
      <c r="U10520" s="21">
        <v>0</v>
      </c>
      <c r="V10520" s="21">
        <v>2</v>
      </c>
      <c r="W10520" s="21">
        <v>0</v>
      </c>
      <c r="Y10520" s="21">
        <v>0</v>
      </c>
      <c r="Z10520" s="21">
        <v>0</v>
      </c>
      <c r="AA10520" s="21">
        <v>0</v>
      </c>
      <c r="AB10520" s="21">
        <v>0</v>
      </c>
      <c r="AC10520" s="21">
        <v>0</v>
      </c>
      <c r="AD10520" s="21">
        <v>0</v>
      </c>
      <c r="AE10520" s="21">
        <v>0</v>
      </c>
      <c r="AF10520" s="21">
        <v>0</v>
      </c>
      <c r="AG10520" s="21">
        <v>0</v>
      </c>
      <c r="AH10520" s="21">
        <v>0</v>
      </c>
      <c r="AI10520" s="21">
        <f t="shared" si="231"/>
        <v>128</v>
      </c>
      <c r="AJ10520" s="21" t="s">
        <v>51</v>
      </c>
      <c r="AK10520" s="21" t="s">
        <v>95</v>
      </c>
      <c r="AL10520" s="21"/>
      <c r="AM10520" s="21" t="s">
        <v>6512</v>
      </c>
      <c r="AN10520" s="21">
        <v>-122.399804783333</v>
      </c>
      <c r="AO10520" s="21">
        <v>37.798436516666598</v>
      </c>
      <c r="AP10520" s="21" t="s">
        <v>116</v>
      </c>
    </row>
    <row r="10521" spans="1:42">
      <c r="A10521" s="20">
        <v>43881</v>
      </c>
      <c r="B10521" s="21">
        <v>4</v>
      </c>
      <c r="C10521" s="21">
        <v>302</v>
      </c>
      <c r="D10521" s="21">
        <v>10415</v>
      </c>
      <c r="E10521" s="7" t="s">
        <v>37</v>
      </c>
      <c r="F10521" s="21" t="s">
        <v>38</v>
      </c>
      <c r="G10521" s="21">
        <v>1</v>
      </c>
      <c r="I10521" s="21" t="s">
        <v>6515</v>
      </c>
      <c r="K10521" s="21" t="s">
        <v>647</v>
      </c>
      <c r="N10521" s="21" t="s">
        <v>40</v>
      </c>
      <c r="O10521" s="21">
        <v>86</v>
      </c>
      <c r="Q10521" s="21">
        <f t="shared" si="229"/>
        <v>3</v>
      </c>
      <c r="R10521" s="21">
        <v>1</v>
      </c>
      <c r="S10521" s="21">
        <v>0</v>
      </c>
      <c r="T10521" s="21">
        <v>0</v>
      </c>
      <c r="U10521" s="21">
        <v>0</v>
      </c>
      <c r="V10521" s="21">
        <v>3</v>
      </c>
      <c r="W10521" s="21">
        <v>0</v>
      </c>
      <c r="Y10521" s="21">
        <v>0</v>
      </c>
      <c r="Z10521" s="21">
        <v>0</v>
      </c>
      <c r="AA10521" s="21">
        <v>0</v>
      </c>
      <c r="AB10521" s="21">
        <v>0</v>
      </c>
      <c r="AC10521" s="21">
        <v>0</v>
      </c>
      <c r="AD10521" s="21">
        <v>0</v>
      </c>
      <c r="AE10521" s="21">
        <v>0</v>
      </c>
      <c r="AF10521" s="21">
        <v>0</v>
      </c>
      <c r="AG10521" s="21">
        <v>0</v>
      </c>
      <c r="AH10521" s="21">
        <v>0</v>
      </c>
      <c r="AI10521" s="21">
        <f t="shared" si="231"/>
        <v>192</v>
      </c>
      <c r="AJ10521" s="21" t="s">
        <v>51</v>
      </c>
      <c r="AK10521" s="21" t="s">
        <v>95</v>
      </c>
      <c r="AL10521" s="21"/>
      <c r="AM10521" s="21" t="s">
        <v>6514</v>
      </c>
      <c r="AN10521" s="21">
        <v>-122.397549433333</v>
      </c>
      <c r="AO10521" s="21">
        <v>37.798836733333303</v>
      </c>
      <c r="AP10521" s="21" t="s">
        <v>116</v>
      </c>
    </row>
    <row r="10522" spans="1:42">
      <c r="A10522" s="20">
        <v>43881</v>
      </c>
      <c r="B10522" s="21">
        <v>4</v>
      </c>
      <c r="C10522" s="21">
        <v>302</v>
      </c>
      <c r="D10522" s="21">
        <v>10415</v>
      </c>
      <c r="E10522" s="7" t="s">
        <v>37</v>
      </c>
      <c r="F10522" s="21" t="s">
        <v>38</v>
      </c>
      <c r="G10522" s="21">
        <v>1</v>
      </c>
      <c r="I10522" s="21" t="s">
        <v>4202</v>
      </c>
      <c r="K10522" s="21" t="s">
        <v>61</v>
      </c>
      <c r="N10522" s="21" t="s">
        <v>40</v>
      </c>
      <c r="O10522" s="21">
        <v>45</v>
      </c>
      <c r="Q10522" s="21">
        <f t="shared" si="229"/>
        <v>1</v>
      </c>
      <c r="R10522" s="21">
        <v>1</v>
      </c>
      <c r="S10522" s="21">
        <v>0</v>
      </c>
      <c r="T10522" s="21">
        <v>0</v>
      </c>
      <c r="U10522" s="21">
        <v>1</v>
      </c>
      <c r="V10522" s="21">
        <v>0</v>
      </c>
      <c r="W10522" s="21">
        <v>0</v>
      </c>
      <c r="Y10522" s="21">
        <v>0</v>
      </c>
      <c r="Z10522" s="21">
        <v>0</v>
      </c>
      <c r="AA10522" s="21">
        <v>0</v>
      </c>
      <c r="AB10522" s="21">
        <v>0</v>
      </c>
      <c r="AC10522" s="21">
        <v>0</v>
      </c>
      <c r="AD10522" s="21">
        <v>0</v>
      </c>
      <c r="AE10522" s="21">
        <v>0</v>
      </c>
      <c r="AF10522" s="21">
        <v>0</v>
      </c>
      <c r="AG10522" s="21">
        <v>0</v>
      </c>
      <c r="AH10522" s="21">
        <v>0</v>
      </c>
      <c r="AI10522" s="21">
        <f t="shared" si="231"/>
        <v>32</v>
      </c>
      <c r="AJ10522" s="21" t="s">
        <v>51</v>
      </c>
      <c r="AK10522" s="21" t="s">
        <v>95</v>
      </c>
      <c r="AL10522" s="21"/>
      <c r="AM10522" s="21" t="s">
        <v>6516</v>
      </c>
      <c r="AN10522" s="21">
        <v>-122.395712066667</v>
      </c>
      <c r="AO10522" s="21">
        <v>37.796672483333303</v>
      </c>
      <c r="AP10522" s="21" t="s">
        <v>116</v>
      </c>
    </row>
    <row r="10523" spans="1:42">
      <c r="A10523" s="20">
        <v>43881</v>
      </c>
      <c r="B10523" s="21">
        <v>4</v>
      </c>
      <c r="C10523" s="21">
        <v>302</v>
      </c>
      <c r="D10523" s="21">
        <v>10415</v>
      </c>
      <c r="E10523" s="7" t="s">
        <v>37</v>
      </c>
      <c r="F10523" s="21" t="s">
        <v>38</v>
      </c>
      <c r="G10523" s="21">
        <v>1</v>
      </c>
      <c r="I10523" s="21" t="s">
        <v>3798</v>
      </c>
      <c r="K10523" s="21" t="s">
        <v>2240</v>
      </c>
      <c r="N10523" s="21" t="s">
        <v>40</v>
      </c>
      <c r="O10523" s="21">
        <v>55</v>
      </c>
      <c r="Q10523" s="21">
        <f t="shared" si="229"/>
        <v>2</v>
      </c>
      <c r="R10523" s="21">
        <v>1</v>
      </c>
      <c r="S10523" s="21">
        <v>0</v>
      </c>
      <c r="T10523" s="21">
        <v>0</v>
      </c>
      <c r="U10523" s="21">
        <v>0</v>
      </c>
      <c r="V10523" s="21">
        <v>2</v>
      </c>
      <c r="W10523" s="21">
        <v>0</v>
      </c>
      <c r="Y10523" s="21">
        <v>0</v>
      </c>
      <c r="Z10523" s="21">
        <v>0</v>
      </c>
      <c r="AA10523" s="21">
        <v>0</v>
      </c>
      <c r="AB10523" s="21">
        <v>0</v>
      </c>
      <c r="AC10523" s="21">
        <v>0</v>
      </c>
      <c r="AD10523" s="21">
        <v>0</v>
      </c>
      <c r="AE10523" s="21">
        <v>0</v>
      </c>
      <c r="AF10523" s="21">
        <v>0</v>
      </c>
      <c r="AG10523" s="21">
        <v>0</v>
      </c>
      <c r="AH10523" s="21">
        <v>0</v>
      </c>
      <c r="AI10523" s="21">
        <f t="shared" si="231"/>
        <v>128</v>
      </c>
      <c r="AJ10523" s="21" t="s">
        <v>51</v>
      </c>
      <c r="AK10523" s="21" t="s">
        <v>95</v>
      </c>
      <c r="AL10523" s="21"/>
      <c r="AM10523" s="21" t="s">
        <v>6517</v>
      </c>
      <c r="AN10523" s="21">
        <v>-122.39970719999999</v>
      </c>
      <c r="AO10523" s="21">
        <v>37.797619650000001</v>
      </c>
      <c r="AP10523" s="21" t="s">
        <v>116</v>
      </c>
    </row>
    <row r="10524" spans="1:42">
      <c r="A10524" s="20">
        <v>43881</v>
      </c>
      <c r="B10524" s="21">
        <v>4</v>
      </c>
      <c r="C10524" s="21">
        <v>302</v>
      </c>
      <c r="D10524" s="21">
        <v>10415</v>
      </c>
      <c r="E10524" s="7" t="s">
        <v>37</v>
      </c>
      <c r="F10524" s="21" t="s">
        <v>38</v>
      </c>
      <c r="G10524" s="21">
        <v>1</v>
      </c>
      <c r="I10524" s="21" t="s">
        <v>4651</v>
      </c>
      <c r="K10524" s="21" t="s">
        <v>2240</v>
      </c>
      <c r="N10524" s="21" t="s">
        <v>40</v>
      </c>
      <c r="O10524" s="21">
        <v>233</v>
      </c>
      <c r="Q10524" s="21">
        <f t="shared" si="229"/>
        <v>10</v>
      </c>
      <c r="R10524" s="21">
        <v>1</v>
      </c>
      <c r="S10524" s="21">
        <v>0</v>
      </c>
      <c r="T10524" s="21">
        <v>0</v>
      </c>
      <c r="U10524" s="21">
        <v>9</v>
      </c>
      <c r="V10524" s="21">
        <v>1</v>
      </c>
      <c r="W10524" s="21">
        <v>0</v>
      </c>
      <c r="Y10524" s="21">
        <v>0</v>
      </c>
      <c r="Z10524" s="21">
        <v>0</v>
      </c>
      <c r="AA10524" s="21">
        <v>0</v>
      </c>
      <c r="AB10524" s="21">
        <v>0</v>
      </c>
      <c r="AC10524" s="21">
        <v>0</v>
      </c>
      <c r="AD10524" s="21">
        <v>0</v>
      </c>
      <c r="AE10524" s="21">
        <v>0</v>
      </c>
      <c r="AF10524" s="21">
        <v>0</v>
      </c>
      <c r="AG10524" s="21">
        <v>0</v>
      </c>
      <c r="AH10524" s="21">
        <v>0</v>
      </c>
      <c r="AI10524" s="21">
        <f t="shared" si="231"/>
        <v>352</v>
      </c>
      <c r="AJ10524" s="21" t="s">
        <v>51</v>
      </c>
      <c r="AK10524" s="21" t="s">
        <v>95</v>
      </c>
      <c r="AL10524" s="21"/>
      <c r="AM10524" s="21" t="s">
        <v>6518</v>
      </c>
      <c r="AN10524" s="21">
        <v>-122.40072739999999</v>
      </c>
      <c r="AO10524" s="21">
        <v>37.797206783333301</v>
      </c>
      <c r="AP10524" s="21" t="s">
        <v>116</v>
      </c>
    </row>
    <row r="10525" spans="1:42">
      <c r="A10525" s="20">
        <v>43881</v>
      </c>
      <c r="B10525" s="21">
        <v>4</v>
      </c>
      <c r="C10525" s="21">
        <v>302</v>
      </c>
      <c r="D10525" s="21">
        <v>10415</v>
      </c>
      <c r="E10525" s="7" t="s">
        <v>37</v>
      </c>
      <c r="F10525" s="21" t="s">
        <v>38</v>
      </c>
      <c r="G10525" s="21">
        <v>1</v>
      </c>
      <c r="I10525" s="21" t="s">
        <v>6520</v>
      </c>
      <c r="K10525" s="21" t="s">
        <v>7362</v>
      </c>
      <c r="N10525" s="21" t="s">
        <v>40</v>
      </c>
      <c r="O10525" s="21">
        <v>72</v>
      </c>
      <c r="Q10525" s="21">
        <f t="shared" si="229"/>
        <v>2</v>
      </c>
      <c r="R10525" s="21">
        <v>1</v>
      </c>
      <c r="S10525" s="21">
        <v>0</v>
      </c>
      <c r="T10525" s="21">
        <v>0</v>
      </c>
      <c r="U10525" s="21">
        <v>1</v>
      </c>
      <c r="V10525" s="21">
        <v>1</v>
      </c>
      <c r="W10525" s="21">
        <v>0</v>
      </c>
      <c r="Y10525" s="21">
        <v>0</v>
      </c>
      <c r="Z10525" s="21">
        <v>0</v>
      </c>
      <c r="AA10525" s="21">
        <v>0</v>
      </c>
      <c r="AB10525" s="21">
        <v>0</v>
      </c>
      <c r="AC10525" s="21">
        <v>0</v>
      </c>
      <c r="AD10525" s="21">
        <v>0</v>
      </c>
      <c r="AE10525" s="21">
        <v>0</v>
      </c>
      <c r="AF10525" s="21">
        <v>0</v>
      </c>
      <c r="AG10525" s="21">
        <v>0</v>
      </c>
      <c r="AH10525" s="21">
        <v>0</v>
      </c>
      <c r="AI10525" s="21">
        <f t="shared" si="231"/>
        <v>96</v>
      </c>
      <c r="AJ10525" s="21" t="s">
        <v>51</v>
      </c>
      <c r="AK10525" s="21" t="s">
        <v>95</v>
      </c>
      <c r="AL10525" s="21"/>
      <c r="AM10525" s="21" t="s">
        <v>6519</v>
      </c>
      <c r="AN10525" s="21">
        <v>-122.400076016667</v>
      </c>
      <c r="AO10525" s="21">
        <v>37.796807416666702</v>
      </c>
      <c r="AP10525" s="21" t="s">
        <v>116</v>
      </c>
    </row>
    <row r="10526" spans="1:42">
      <c r="A10526" s="20">
        <v>43881</v>
      </c>
      <c r="B10526" s="21">
        <v>4</v>
      </c>
      <c r="C10526" s="21">
        <v>302</v>
      </c>
      <c r="D10526" s="21">
        <v>10415</v>
      </c>
      <c r="E10526" s="7" t="s">
        <v>37</v>
      </c>
      <c r="F10526" s="21" t="s">
        <v>38</v>
      </c>
      <c r="G10526" s="21">
        <v>1</v>
      </c>
      <c r="I10526" s="21" t="s">
        <v>6235</v>
      </c>
      <c r="K10526" s="21" t="s">
        <v>7362</v>
      </c>
      <c r="N10526" s="21" t="s">
        <v>40</v>
      </c>
      <c r="O10526" s="21">
        <v>176</v>
      </c>
      <c r="Q10526" s="21">
        <f t="shared" si="229"/>
        <v>5</v>
      </c>
      <c r="R10526" s="21">
        <v>1</v>
      </c>
      <c r="S10526" s="21">
        <v>0</v>
      </c>
      <c r="T10526" s="21">
        <v>0</v>
      </c>
      <c r="U10526" s="21">
        <v>0</v>
      </c>
      <c r="V10526" s="21">
        <v>5</v>
      </c>
      <c r="W10526" s="21">
        <v>0</v>
      </c>
      <c r="Y10526" s="21">
        <v>0</v>
      </c>
      <c r="Z10526" s="21">
        <v>0</v>
      </c>
      <c r="AA10526" s="21">
        <v>0</v>
      </c>
      <c r="AB10526" s="21">
        <v>0</v>
      </c>
      <c r="AC10526" s="21">
        <v>0</v>
      </c>
      <c r="AD10526" s="21">
        <v>0</v>
      </c>
      <c r="AE10526" s="21">
        <v>0</v>
      </c>
      <c r="AF10526" s="21">
        <v>0</v>
      </c>
      <c r="AG10526" s="21">
        <v>0</v>
      </c>
      <c r="AH10526" s="21">
        <v>0</v>
      </c>
      <c r="AI10526" s="21">
        <f t="shared" si="231"/>
        <v>320</v>
      </c>
      <c r="AJ10526" s="21" t="s">
        <v>54</v>
      </c>
      <c r="AK10526" s="21" t="s">
        <v>95</v>
      </c>
      <c r="AL10526" s="21" t="s">
        <v>6522</v>
      </c>
      <c r="AM10526" s="21" t="s">
        <v>6521</v>
      </c>
      <c r="AN10526" s="21">
        <v>-122.402907683333</v>
      </c>
      <c r="AO10526" s="21">
        <v>37.797553933333297</v>
      </c>
      <c r="AP10526" s="21" t="s">
        <v>116</v>
      </c>
    </row>
    <row r="10527" spans="1:42">
      <c r="A10527" s="20">
        <v>43881</v>
      </c>
      <c r="B10527" s="21">
        <v>4</v>
      </c>
      <c r="C10527" s="21">
        <v>302</v>
      </c>
      <c r="D10527" s="21">
        <v>10415</v>
      </c>
      <c r="E10527" s="7" t="s">
        <v>37</v>
      </c>
      <c r="F10527" s="21" t="s">
        <v>38</v>
      </c>
      <c r="G10527" s="21">
        <v>1</v>
      </c>
      <c r="I10527" s="21" t="s">
        <v>6524</v>
      </c>
      <c r="K10527" s="21" t="s">
        <v>119</v>
      </c>
      <c r="N10527" s="21" t="s">
        <v>40</v>
      </c>
      <c r="O10527" s="21">
        <v>54</v>
      </c>
      <c r="Q10527" s="21">
        <f t="shared" si="229"/>
        <v>1</v>
      </c>
      <c r="R10527" s="21">
        <v>1</v>
      </c>
      <c r="S10527" s="21">
        <v>0</v>
      </c>
      <c r="T10527" s="21">
        <v>0</v>
      </c>
      <c r="U10527" s="21">
        <v>1</v>
      </c>
      <c r="V10527" s="21">
        <v>0</v>
      </c>
      <c r="W10527" s="21">
        <v>0</v>
      </c>
      <c r="Y10527" s="21">
        <v>0</v>
      </c>
      <c r="Z10527" s="21">
        <v>0</v>
      </c>
      <c r="AA10527" s="21">
        <v>0</v>
      </c>
      <c r="AB10527" s="21">
        <v>0</v>
      </c>
      <c r="AC10527" s="21">
        <v>0</v>
      </c>
      <c r="AD10527" s="21">
        <v>0</v>
      </c>
      <c r="AE10527" s="21">
        <v>0</v>
      </c>
      <c r="AF10527" s="21">
        <v>0</v>
      </c>
      <c r="AG10527" s="21">
        <v>0</v>
      </c>
      <c r="AH10527" s="21">
        <v>0</v>
      </c>
      <c r="AI10527" s="21">
        <f t="shared" si="231"/>
        <v>32</v>
      </c>
      <c r="AJ10527" s="21" t="s">
        <v>51</v>
      </c>
      <c r="AK10527" s="21" t="s">
        <v>95</v>
      </c>
      <c r="AL10527" s="21"/>
      <c r="AM10527" s="21" t="s">
        <v>6523</v>
      </c>
      <c r="AN10527" s="21">
        <v>-122.403587183333</v>
      </c>
      <c r="AO10527" s="21">
        <v>37.7968753166666</v>
      </c>
      <c r="AP10527" s="21" t="s">
        <v>116</v>
      </c>
    </row>
    <row r="10528" spans="1:42">
      <c r="A10528" s="20">
        <v>43881</v>
      </c>
      <c r="B10528" s="21">
        <v>4</v>
      </c>
      <c r="C10528" s="21">
        <v>302</v>
      </c>
      <c r="D10528" s="21">
        <v>10415</v>
      </c>
      <c r="E10528" s="7" t="s">
        <v>37</v>
      </c>
      <c r="F10528" s="21" t="s">
        <v>38</v>
      </c>
      <c r="G10528" s="21">
        <v>1</v>
      </c>
      <c r="I10528" s="21" t="s">
        <v>5735</v>
      </c>
      <c r="K10528" s="21" t="s">
        <v>119</v>
      </c>
      <c r="N10528" s="21" t="s">
        <v>40</v>
      </c>
      <c r="O10528" s="21">
        <v>33</v>
      </c>
      <c r="Q10528" s="21">
        <f t="shared" si="229"/>
        <v>1</v>
      </c>
      <c r="R10528" s="21">
        <v>1</v>
      </c>
      <c r="S10528" s="21">
        <v>0</v>
      </c>
      <c r="T10528" s="21">
        <v>0</v>
      </c>
      <c r="U10528" s="21">
        <v>0</v>
      </c>
      <c r="V10528" s="21">
        <v>1</v>
      </c>
      <c r="W10528" s="21">
        <v>0</v>
      </c>
      <c r="Y10528" s="21">
        <v>0</v>
      </c>
      <c r="Z10528" s="21">
        <v>0</v>
      </c>
      <c r="AA10528" s="21">
        <v>0</v>
      </c>
      <c r="AB10528" s="21">
        <v>0</v>
      </c>
      <c r="AC10528" s="21">
        <v>0</v>
      </c>
      <c r="AD10528" s="21">
        <v>0</v>
      </c>
      <c r="AE10528" s="21">
        <v>0</v>
      </c>
      <c r="AF10528" s="21">
        <v>0</v>
      </c>
      <c r="AG10528" s="21">
        <v>0</v>
      </c>
      <c r="AH10528" s="21">
        <v>0</v>
      </c>
      <c r="AI10528" s="21">
        <f t="shared" si="231"/>
        <v>64</v>
      </c>
      <c r="AJ10528" s="21" t="s">
        <v>51</v>
      </c>
      <c r="AK10528" s="21" t="s">
        <v>95</v>
      </c>
      <c r="AL10528" s="21"/>
      <c r="AM10528" s="21" t="s">
        <v>6525</v>
      </c>
      <c r="AN10528" s="21">
        <v>-122.407874233333</v>
      </c>
      <c r="AO10528" s="21">
        <v>37.799678566666699</v>
      </c>
      <c r="AP10528" s="21" t="s">
        <v>116</v>
      </c>
    </row>
    <row r="10529" spans="1:42">
      <c r="A10529" s="20">
        <v>43881</v>
      </c>
      <c r="B10529" s="21">
        <v>4</v>
      </c>
      <c r="C10529" s="21">
        <v>302</v>
      </c>
      <c r="D10529" s="21">
        <v>10415</v>
      </c>
      <c r="E10529" s="7" t="s">
        <v>37</v>
      </c>
      <c r="F10529" s="21" t="s">
        <v>38</v>
      </c>
      <c r="G10529" s="21">
        <v>1</v>
      </c>
      <c r="I10529" s="21" t="s">
        <v>3399</v>
      </c>
      <c r="K10529" s="21" t="s">
        <v>162</v>
      </c>
      <c r="N10529" s="21" t="s">
        <v>40</v>
      </c>
      <c r="O10529" s="21">
        <v>130</v>
      </c>
      <c r="Q10529" s="21">
        <f t="shared" si="229"/>
        <v>2</v>
      </c>
      <c r="R10529" s="21">
        <v>1</v>
      </c>
      <c r="S10529" s="21">
        <v>0</v>
      </c>
      <c r="T10529" s="21">
        <v>0</v>
      </c>
      <c r="U10529" s="21">
        <v>0</v>
      </c>
      <c r="V10529" s="21">
        <v>2</v>
      </c>
      <c r="W10529" s="21">
        <v>0</v>
      </c>
      <c r="Y10529" s="21">
        <v>0</v>
      </c>
      <c r="Z10529" s="21">
        <v>0</v>
      </c>
      <c r="AA10529" s="21">
        <v>0</v>
      </c>
      <c r="AB10529" s="21">
        <v>0</v>
      </c>
      <c r="AC10529" s="21">
        <v>0</v>
      </c>
      <c r="AD10529" s="21">
        <v>0</v>
      </c>
      <c r="AE10529" s="21">
        <v>0</v>
      </c>
      <c r="AF10529" s="21">
        <v>0</v>
      </c>
      <c r="AG10529" s="21">
        <v>0</v>
      </c>
      <c r="AH10529" s="21">
        <v>0</v>
      </c>
      <c r="AI10529" s="21">
        <f t="shared" si="231"/>
        <v>128</v>
      </c>
      <c r="AJ10529" s="21" t="s">
        <v>51</v>
      </c>
      <c r="AK10529" s="21" t="s">
        <v>95</v>
      </c>
      <c r="AL10529" s="21" t="s">
        <v>8617</v>
      </c>
      <c r="AM10529" s="21" t="s">
        <v>6526</v>
      </c>
      <c r="AN10529" s="21">
        <v>-122.408152266667</v>
      </c>
      <c r="AO10529" s="21">
        <v>37.799672616666697</v>
      </c>
      <c r="AP10529" s="21" t="s">
        <v>116</v>
      </c>
    </row>
    <row r="10530" spans="1:42">
      <c r="A10530" s="20">
        <v>43881</v>
      </c>
      <c r="B10530" s="21">
        <v>4</v>
      </c>
      <c r="C10530" s="21">
        <v>302</v>
      </c>
      <c r="D10530" s="21">
        <v>10415</v>
      </c>
      <c r="E10530" s="7" t="s">
        <v>37</v>
      </c>
      <c r="F10530" s="21" t="s">
        <v>38</v>
      </c>
      <c r="G10530" s="21">
        <v>1</v>
      </c>
      <c r="I10530" s="21" t="s">
        <v>6529</v>
      </c>
      <c r="K10530" s="21" t="s">
        <v>119</v>
      </c>
      <c r="N10530" s="21" t="s">
        <v>40</v>
      </c>
      <c r="O10530" s="21">
        <v>71</v>
      </c>
      <c r="Q10530" s="21">
        <f t="shared" si="229"/>
        <v>2</v>
      </c>
      <c r="R10530" s="21">
        <v>1</v>
      </c>
      <c r="S10530" s="21">
        <v>0</v>
      </c>
      <c r="T10530" s="21">
        <v>0</v>
      </c>
      <c r="U10530" s="21">
        <v>0</v>
      </c>
      <c r="V10530" s="21">
        <v>2</v>
      </c>
      <c r="W10530" s="21">
        <v>0</v>
      </c>
      <c r="Y10530" s="21">
        <v>0</v>
      </c>
      <c r="Z10530" s="21">
        <v>0</v>
      </c>
      <c r="AA10530" s="21">
        <v>0</v>
      </c>
      <c r="AB10530" s="21">
        <v>0</v>
      </c>
      <c r="AC10530" s="21">
        <v>0</v>
      </c>
      <c r="AD10530" s="21">
        <v>0</v>
      </c>
      <c r="AE10530" s="21">
        <v>0</v>
      </c>
      <c r="AF10530" s="21">
        <v>0</v>
      </c>
      <c r="AG10530" s="21">
        <v>0</v>
      </c>
      <c r="AH10530" s="21">
        <v>0</v>
      </c>
      <c r="AI10530" s="21">
        <f t="shared" si="231"/>
        <v>128</v>
      </c>
      <c r="AJ10530" s="21" t="s">
        <v>51</v>
      </c>
      <c r="AK10530" s="21" t="s">
        <v>95</v>
      </c>
      <c r="AL10530" s="21"/>
      <c r="AM10530" s="21" t="s">
        <v>6528</v>
      </c>
      <c r="AN10530" s="21">
        <v>-122.40772663488499</v>
      </c>
      <c r="AO10530" s="21">
        <v>37.798107195533603</v>
      </c>
      <c r="AP10530" s="21" t="s">
        <v>116</v>
      </c>
    </row>
    <row r="10531" spans="1:42">
      <c r="A10531" s="20">
        <v>43881</v>
      </c>
      <c r="B10531" s="21">
        <v>4</v>
      </c>
      <c r="C10531" s="21">
        <v>302</v>
      </c>
      <c r="D10531" s="21">
        <v>10415</v>
      </c>
      <c r="E10531" s="7" t="s">
        <v>37</v>
      </c>
      <c r="F10531" s="21" t="s">
        <v>38</v>
      </c>
      <c r="G10531" s="21">
        <v>1</v>
      </c>
      <c r="I10531" s="21" t="s">
        <v>6524</v>
      </c>
      <c r="K10531" s="21" t="s">
        <v>119</v>
      </c>
      <c r="N10531" s="21" t="s">
        <v>40</v>
      </c>
      <c r="O10531" s="21">
        <v>59</v>
      </c>
      <c r="Q10531" s="21">
        <f t="shared" ref="Q10531:Q10574" si="232">SUM(S10531+T10531+U10531+V10531+W10531+Y10531+Z10531+AA10531+AB10531+AC10531+AF10531+AG10531+AD10530+AE10530)</f>
        <v>2</v>
      </c>
      <c r="R10531" s="21">
        <v>1</v>
      </c>
      <c r="S10531" s="21">
        <v>0</v>
      </c>
      <c r="T10531" s="21">
        <v>0</v>
      </c>
      <c r="U10531" s="21">
        <v>0</v>
      </c>
      <c r="V10531" s="21">
        <v>2</v>
      </c>
      <c r="W10531" s="21">
        <v>0</v>
      </c>
      <c r="Y10531" s="21">
        <v>0</v>
      </c>
      <c r="Z10531" s="21">
        <v>0</v>
      </c>
      <c r="AA10531" s="21">
        <v>0</v>
      </c>
      <c r="AB10531" s="21">
        <v>0</v>
      </c>
      <c r="AC10531" s="21">
        <v>0</v>
      </c>
      <c r="AD10531" s="21">
        <v>0</v>
      </c>
      <c r="AE10531" s="21">
        <v>0</v>
      </c>
      <c r="AF10531" s="21">
        <v>0</v>
      </c>
      <c r="AG10531" s="21">
        <v>0</v>
      </c>
      <c r="AH10531" s="21">
        <v>0</v>
      </c>
      <c r="AI10531" s="21">
        <f t="shared" ref="AI10531:AI10562" si="233">(S10531*16)+(T10531*20)+(U10531*32)+(V10531*64)+(W10531*96)</f>
        <v>128</v>
      </c>
      <c r="AJ10531" s="21" t="s">
        <v>51</v>
      </c>
      <c r="AK10531" s="21" t="s">
        <v>52</v>
      </c>
      <c r="AL10531" s="21"/>
      <c r="AM10531" s="21" t="s">
        <v>6530</v>
      </c>
      <c r="AN10531" s="21">
        <v>-122.408453516667</v>
      </c>
      <c r="AO10531" s="21">
        <v>37.799561850000003</v>
      </c>
      <c r="AP10531" s="21" t="s">
        <v>116</v>
      </c>
    </row>
    <row r="10532" spans="1:42">
      <c r="A10532" s="20">
        <v>43881</v>
      </c>
      <c r="B10532" s="21">
        <v>4</v>
      </c>
      <c r="C10532" s="21">
        <v>302</v>
      </c>
      <c r="D10532" s="21">
        <v>10415</v>
      </c>
      <c r="E10532" s="7" t="s">
        <v>37</v>
      </c>
      <c r="F10532" s="21" t="s">
        <v>38</v>
      </c>
      <c r="G10532" s="21">
        <v>1</v>
      </c>
      <c r="I10532" s="21" t="s">
        <v>6532</v>
      </c>
      <c r="K10532" s="21" t="s">
        <v>6503</v>
      </c>
      <c r="N10532" s="21" t="s">
        <v>44</v>
      </c>
      <c r="O10532" s="21">
        <v>115</v>
      </c>
      <c r="Q10532" s="21">
        <f t="shared" si="232"/>
        <v>1</v>
      </c>
      <c r="R10532" s="21">
        <v>1</v>
      </c>
      <c r="S10532" s="21">
        <v>0</v>
      </c>
      <c r="T10532" s="21">
        <v>0</v>
      </c>
      <c r="U10532" s="21">
        <v>0</v>
      </c>
      <c r="V10532" s="21">
        <v>1</v>
      </c>
      <c r="W10532" s="21">
        <v>0</v>
      </c>
      <c r="Y10532" s="21">
        <v>0</v>
      </c>
      <c r="Z10532" s="21">
        <v>0</v>
      </c>
      <c r="AA10532" s="21">
        <v>0</v>
      </c>
      <c r="AB10532" s="21">
        <v>0</v>
      </c>
      <c r="AC10532" s="21">
        <v>0</v>
      </c>
      <c r="AD10532" s="21">
        <v>0</v>
      </c>
      <c r="AE10532" s="21">
        <v>0</v>
      </c>
      <c r="AF10532" s="21">
        <v>0</v>
      </c>
      <c r="AG10532" s="21">
        <v>0</v>
      </c>
      <c r="AH10532" s="21">
        <v>0</v>
      </c>
      <c r="AI10532" s="21">
        <f t="shared" si="233"/>
        <v>64</v>
      </c>
      <c r="AJ10532" s="21" t="s">
        <v>54</v>
      </c>
      <c r="AK10532" s="21" t="s">
        <v>95</v>
      </c>
      <c r="AL10532" s="21" t="s">
        <v>8618</v>
      </c>
      <c r="AM10532" s="21" t="s">
        <v>6531</v>
      </c>
      <c r="AN10532" s="21">
        <v>-122.408119816667</v>
      </c>
      <c r="AO10532" s="21">
        <v>37.8005380166667</v>
      </c>
      <c r="AP10532" s="21" t="s">
        <v>116</v>
      </c>
    </row>
    <row r="10533" spans="1:42">
      <c r="A10533" s="20">
        <v>43881</v>
      </c>
      <c r="B10533" s="21">
        <v>4</v>
      </c>
      <c r="C10533" s="21">
        <v>302</v>
      </c>
      <c r="D10533" s="21">
        <v>10415</v>
      </c>
      <c r="E10533" s="7" t="s">
        <v>37</v>
      </c>
      <c r="F10533" s="21" t="s">
        <v>38</v>
      </c>
      <c r="G10533" s="21">
        <v>1</v>
      </c>
      <c r="I10533" s="21" t="s">
        <v>6534</v>
      </c>
      <c r="K10533" s="21" t="s">
        <v>6503</v>
      </c>
      <c r="N10533" s="21" t="s">
        <v>44</v>
      </c>
      <c r="O10533" s="21">
        <v>96</v>
      </c>
      <c r="Q10533" s="21">
        <f t="shared" si="232"/>
        <v>1</v>
      </c>
      <c r="R10533" s="21">
        <v>1</v>
      </c>
      <c r="S10533" s="21">
        <v>0</v>
      </c>
      <c r="T10533" s="21">
        <v>0</v>
      </c>
      <c r="U10533" s="21">
        <v>0</v>
      </c>
      <c r="V10533" s="21">
        <v>1</v>
      </c>
      <c r="W10533" s="21">
        <v>0</v>
      </c>
      <c r="Y10533" s="21">
        <v>0</v>
      </c>
      <c r="Z10533" s="21">
        <v>0</v>
      </c>
      <c r="AA10533" s="21">
        <v>0</v>
      </c>
      <c r="AB10533" s="21">
        <v>0</v>
      </c>
      <c r="AC10533" s="21">
        <v>0</v>
      </c>
      <c r="AD10533" s="21">
        <v>0</v>
      </c>
      <c r="AE10533" s="21">
        <v>0</v>
      </c>
      <c r="AF10533" s="21">
        <v>0</v>
      </c>
      <c r="AG10533" s="21">
        <v>0</v>
      </c>
      <c r="AH10533" s="21">
        <v>0</v>
      </c>
      <c r="AI10533" s="21">
        <f t="shared" si="233"/>
        <v>64</v>
      </c>
      <c r="AJ10533" s="21" t="s">
        <v>54</v>
      </c>
      <c r="AK10533" s="21" t="s">
        <v>95</v>
      </c>
      <c r="AL10533" s="21"/>
      <c r="AM10533" s="21" t="s">
        <v>6533</v>
      </c>
      <c r="AN10533" s="21">
        <v>-122.407564883333</v>
      </c>
      <c r="AO10533" s="21">
        <v>37.800588716666702</v>
      </c>
      <c r="AP10533" s="21" t="s">
        <v>116</v>
      </c>
    </row>
    <row r="10534" spans="1:42">
      <c r="A10534" s="20">
        <v>43881</v>
      </c>
      <c r="B10534" s="21">
        <v>4</v>
      </c>
      <c r="C10534" s="21">
        <v>302</v>
      </c>
      <c r="D10534" s="21">
        <v>10415</v>
      </c>
      <c r="E10534" s="7" t="s">
        <v>37</v>
      </c>
      <c r="F10534" s="21" t="s">
        <v>38</v>
      </c>
      <c r="G10534" s="21">
        <v>1</v>
      </c>
      <c r="I10534" s="21" t="s">
        <v>6536</v>
      </c>
      <c r="K10534" s="21" t="s">
        <v>6503</v>
      </c>
      <c r="N10534" s="21" t="s">
        <v>40</v>
      </c>
      <c r="O10534" s="21">
        <v>45</v>
      </c>
      <c r="Q10534" s="21">
        <f t="shared" si="232"/>
        <v>1</v>
      </c>
      <c r="R10534" s="21">
        <v>1</v>
      </c>
      <c r="S10534" s="21">
        <v>0</v>
      </c>
      <c r="T10534" s="21">
        <v>0</v>
      </c>
      <c r="U10534" s="21">
        <v>1</v>
      </c>
      <c r="V10534" s="21">
        <v>0</v>
      </c>
      <c r="W10534" s="21">
        <v>0</v>
      </c>
      <c r="Y10534" s="21">
        <v>0</v>
      </c>
      <c r="Z10534" s="21">
        <v>0</v>
      </c>
      <c r="AA10534" s="21">
        <v>0</v>
      </c>
      <c r="AB10534" s="21">
        <v>0</v>
      </c>
      <c r="AC10534" s="21">
        <v>0</v>
      </c>
      <c r="AD10534" s="21">
        <v>0</v>
      </c>
      <c r="AE10534" s="21">
        <v>0</v>
      </c>
      <c r="AF10534" s="21">
        <v>0</v>
      </c>
      <c r="AG10534" s="21">
        <v>0</v>
      </c>
      <c r="AH10534" s="21">
        <v>0</v>
      </c>
      <c r="AI10534" s="21">
        <f t="shared" si="233"/>
        <v>32</v>
      </c>
      <c r="AJ10534" s="21" t="s">
        <v>54</v>
      </c>
      <c r="AK10534" s="21" t="s">
        <v>95</v>
      </c>
      <c r="AL10534" s="21"/>
      <c r="AM10534" s="21" t="s">
        <v>6535</v>
      </c>
      <c r="AN10534" s="21">
        <v>-122.40425191666699</v>
      </c>
      <c r="AO10534" s="21">
        <v>37.799626716666701</v>
      </c>
      <c r="AP10534" s="21" t="s">
        <v>116</v>
      </c>
    </row>
    <row r="10535" spans="1:42">
      <c r="A10535" s="20">
        <v>43881</v>
      </c>
      <c r="B10535" s="21">
        <v>4</v>
      </c>
      <c r="C10535" s="21">
        <v>302</v>
      </c>
      <c r="D10535" s="21">
        <v>10415</v>
      </c>
      <c r="E10535" s="7" t="s">
        <v>37</v>
      </c>
      <c r="F10535" s="21" t="s">
        <v>38</v>
      </c>
      <c r="G10535" s="21">
        <v>1</v>
      </c>
      <c r="I10535" s="21" t="s">
        <v>6538</v>
      </c>
      <c r="K10535" s="21" t="s">
        <v>585</v>
      </c>
      <c r="N10535" s="21" t="s">
        <v>44</v>
      </c>
      <c r="O10535" s="21">
        <v>90</v>
      </c>
      <c r="Q10535" s="21">
        <f t="shared" si="232"/>
        <v>1</v>
      </c>
      <c r="R10535" s="21">
        <v>1</v>
      </c>
      <c r="S10535" s="21">
        <v>0</v>
      </c>
      <c r="T10535" s="21">
        <v>0</v>
      </c>
      <c r="U10535" s="21">
        <v>0</v>
      </c>
      <c r="V10535" s="21">
        <v>1</v>
      </c>
      <c r="W10535" s="21">
        <v>0</v>
      </c>
      <c r="Y10535" s="21">
        <v>0</v>
      </c>
      <c r="Z10535" s="21">
        <v>0</v>
      </c>
      <c r="AA10535" s="21">
        <v>0</v>
      </c>
      <c r="AB10535" s="21">
        <v>0</v>
      </c>
      <c r="AC10535" s="21">
        <v>0</v>
      </c>
      <c r="AD10535" s="21">
        <v>0</v>
      </c>
      <c r="AE10535" s="21">
        <v>0</v>
      </c>
      <c r="AF10535" s="21">
        <v>0</v>
      </c>
      <c r="AG10535" s="21">
        <v>0</v>
      </c>
      <c r="AH10535" s="21">
        <v>0</v>
      </c>
      <c r="AI10535" s="21">
        <f t="shared" si="233"/>
        <v>64</v>
      </c>
      <c r="AJ10535" s="21" t="s">
        <v>54</v>
      </c>
      <c r="AK10535" s="21" t="s">
        <v>95</v>
      </c>
      <c r="AL10535" s="21"/>
      <c r="AM10535" s="21" t="s">
        <v>6537</v>
      </c>
      <c r="AN10535" s="21">
        <v>-122.40410009999999</v>
      </c>
      <c r="AO10535" s="21">
        <v>37.799460216666603</v>
      </c>
      <c r="AP10535" s="21" t="s">
        <v>116</v>
      </c>
    </row>
    <row r="10536" spans="1:42">
      <c r="A10536" s="20">
        <v>43881</v>
      </c>
      <c r="B10536" s="21">
        <v>4</v>
      </c>
      <c r="C10536" s="21">
        <v>302</v>
      </c>
      <c r="D10536" s="21">
        <v>10415</v>
      </c>
      <c r="E10536" s="7" t="s">
        <v>37</v>
      </c>
      <c r="F10536" s="21" t="s">
        <v>38</v>
      </c>
      <c r="G10536" s="21">
        <v>1</v>
      </c>
      <c r="I10536" s="21" t="s">
        <v>6540</v>
      </c>
      <c r="K10536" s="21" t="s">
        <v>585</v>
      </c>
      <c r="N10536" s="21" t="s">
        <v>40</v>
      </c>
      <c r="O10536" s="21">
        <v>105</v>
      </c>
      <c r="Q10536" s="21">
        <f t="shared" si="232"/>
        <v>2</v>
      </c>
      <c r="R10536" s="21">
        <v>1</v>
      </c>
      <c r="S10536" s="21">
        <v>0</v>
      </c>
      <c r="T10536" s="21">
        <v>0</v>
      </c>
      <c r="U10536" s="21">
        <v>2</v>
      </c>
      <c r="V10536" s="21">
        <v>0</v>
      </c>
      <c r="W10536" s="21">
        <v>0</v>
      </c>
      <c r="Y10536" s="21">
        <v>0</v>
      </c>
      <c r="Z10536" s="21">
        <v>0</v>
      </c>
      <c r="AA10536" s="21">
        <v>0</v>
      </c>
      <c r="AB10536" s="21">
        <v>0</v>
      </c>
      <c r="AC10536" s="21">
        <v>0</v>
      </c>
      <c r="AD10536" s="21">
        <v>0</v>
      </c>
      <c r="AE10536" s="21">
        <v>0</v>
      </c>
      <c r="AF10536" s="21">
        <v>0</v>
      </c>
      <c r="AG10536" s="21">
        <v>0</v>
      </c>
      <c r="AH10536" s="21">
        <v>0</v>
      </c>
      <c r="AI10536" s="21">
        <f t="shared" si="233"/>
        <v>64</v>
      </c>
      <c r="AJ10536" s="21" t="s">
        <v>54</v>
      </c>
      <c r="AK10536" s="21" t="s">
        <v>95</v>
      </c>
      <c r="AL10536" s="21"/>
      <c r="AM10536" s="21" t="s">
        <v>6539</v>
      </c>
      <c r="AN10536" s="21">
        <v>-122.403590116667</v>
      </c>
      <c r="AO10536" s="21">
        <v>37.799250383333302</v>
      </c>
      <c r="AP10536" s="21" t="s">
        <v>116</v>
      </c>
    </row>
    <row r="10537" spans="1:42">
      <c r="A10537" s="20">
        <v>43881</v>
      </c>
      <c r="B10537" s="21">
        <v>4</v>
      </c>
      <c r="C10537" s="21">
        <v>302</v>
      </c>
      <c r="D10537" s="21">
        <v>10415</v>
      </c>
      <c r="E10537" s="7" t="s">
        <v>37</v>
      </c>
      <c r="F10537" s="21" t="s">
        <v>38</v>
      </c>
      <c r="G10537" s="21">
        <v>1</v>
      </c>
      <c r="I10537" s="21" t="s">
        <v>6542</v>
      </c>
      <c r="K10537" s="21" t="s">
        <v>6543</v>
      </c>
      <c r="N10537" s="21" t="s">
        <v>42</v>
      </c>
      <c r="O10537" s="21">
        <v>130</v>
      </c>
      <c r="Q10537" s="21">
        <f t="shared" si="232"/>
        <v>3</v>
      </c>
      <c r="R10537" s="21">
        <v>1</v>
      </c>
      <c r="S10537" s="21">
        <v>0</v>
      </c>
      <c r="T10537" s="21">
        <v>0</v>
      </c>
      <c r="U10537" s="21">
        <v>2</v>
      </c>
      <c r="V10537" s="21">
        <v>1</v>
      </c>
      <c r="W10537" s="21">
        <v>0</v>
      </c>
      <c r="Y10537" s="21">
        <v>0</v>
      </c>
      <c r="Z10537" s="21">
        <v>0</v>
      </c>
      <c r="AA10537" s="21">
        <v>0</v>
      </c>
      <c r="AB10537" s="21">
        <v>0</v>
      </c>
      <c r="AC10537" s="21">
        <v>0</v>
      </c>
      <c r="AD10537" s="21">
        <v>0</v>
      </c>
      <c r="AE10537" s="21">
        <v>0</v>
      </c>
      <c r="AF10537" s="21">
        <v>0</v>
      </c>
      <c r="AG10537" s="21">
        <v>0</v>
      </c>
      <c r="AH10537" s="21">
        <v>0</v>
      </c>
      <c r="AI10537" s="21">
        <f t="shared" si="233"/>
        <v>128</v>
      </c>
      <c r="AJ10537" s="21" t="s">
        <v>51</v>
      </c>
      <c r="AK10537" s="21" t="s">
        <v>95</v>
      </c>
      <c r="AL10537" s="21" t="s">
        <v>8619</v>
      </c>
      <c r="AM10537" s="21" t="s">
        <v>6541</v>
      </c>
      <c r="AN10537" s="21">
        <v>-122.403048494533</v>
      </c>
      <c r="AO10537" s="21">
        <v>37.797651902264299</v>
      </c>
      <c r="AP10537" s="21" t="s">
        <v>116</v>
      </c>
    </row>
    <row r="10538" spans="1:42">
      <c r="A10538" s="20">
        <v>43881</v>
      </c>
      <c r="B10538" s="21">
        <v>4</v>
      </c>
      <c r="C10538" s="21">
        <v>302</v>
      </c>
      <c r="D10538" s="21">
        <v>10415</v>
      </c>
      <c r="E10538" s="7" t="s">
        <v>37</v>
      </c>
      <c r="F10538" s="21" t="s">
        <v>38</v>
      </c>
      <c r="G10538" s="21">
        <v>1</v>
      </c>
      <c r="I10538" s="21" t="s">
        <v>6546</v>
      </c>
      <c r="K10538" s="21" t="s">
        <v>585</v>
      </c>
      <c r="N10538" s="21" t="s">
        <v>44</v>
      </c>
      <c r="O10538" s="21">
        <v>52</v>
      </c>
      <c r="Q10538" s="21">
        <f t="shared" si="232"/>
        <v>1</v>
      </c>
      <c r="R10538" s="21">
        <v>1</v>
      </c>
      <c r="S10538" s="21">
        <v>0</v>
      </c>
      <c r="T10538" s="21">
        <v>0</v>
      </c>
      <c r="U10538" s="21">
        <v>0</v>
      </c>
      <c r="V10538" s="21">
        <v>1</v>
      </c>
      <c r="W10538" s="21">
        <v>0</v>
      </c>
      <c r="Y10538" s="21">
        <v>0</v>
      </c>
      <c r="Z10538" s="21">
        <v>0</v>
      </c>
      <c r="AA10538" s="21">
        <v>0</v>
      </c>
      <c r="AB10538" s="21">
        <v>0</v>
      </c>
      <c r="AC10538" s="21">
        <v>0</v>
      </c>
      <c r="AD10538" s="21">
        <v>0</v>
      </c>
      <c r="AE10538" s="21">
        <v>0</v>
      </c>
      <c r="AF10538" s="21">
        <v>0</v>
      </c>
      <c r="AG10538" s="21">
        <v>0</v>
      </c>
      <c r="AH10538" s="21">
        <v>0</v>
      </c>
      <c r="AI10538" s="21">
        <f t="shared" si="233"/>
        <v>64</v>
      </c>
      <c r="AJ10538" s="21" t="s">
        <v>54</v>
      </c>
      <c r="AK10538" s="21" t="s">
        <v>95</v>
      </c>
      <c r="AL10538" s="21"/>
      <c r="AM10538" s="21" t="s">
        <v>6545</v>
      </c>
      <c r="AN10538" s="21">
        <v>-122.403224733333</v>
      </c>
      <c r="AO10538" s="21">
        <v>37.799140533333301</v>
      </c>
      <c r="AP10538" s="21" t="s">
        <v>116</v>
      </c>
    </row>
    <row r="10539" spans="1:42">
      <c r="A10539" s="20">
        <v>43881</v>
      </c>
      <c r="B10539" s="21">
        <v>4</v>
      </c>
      <c r="C10539" s="21">
        <v>302</v>
      </c>
      <c r="D10539" s="21">
        <v>10415</v>
      </c>
      <c r="E10539" s="7" t="s">
        <v>37</v>
      </c>
      <c r="F10539" s="21" t="s">
        <v>38</v>
      </c>
      <c r="G10539" s="21">
        <v>1</v>
      </c>
      <c r="I10539" s="21" t="s">
        <v>6548</v>
      </c>
      <c r="K10539" s="21" t="s">
        <v>585</v>
      </c>
      <c r="N10539" s="21" t="s">
        <v>44</v>
      </c>
      <c r="O10539" s="21">
        <v>150</v>
      </c>
      <c r="Q10539" s="21">
        <f t="shared" si="232"/>
        <v>2</v>
      </c>
      <c r="R10539" s="21">
        <v>1</v>
      </c>
      <c r="S10539" s="21">
        <v>0</v>
      </c>
      <c r="T10539" s="21">
        <v>0</v>
      </c>
      <c r="U10539" s="21">
        <v>0</v>
      </c>
      <c r="V10539" s="21">
        <v>2</v>
      </c>
      <c r="W10539" s="21">
        <v>0</v>
      </c>
      <c r="Y10539" s="21">
        <v>0</v>
      </c>
      <c r="Z10539" s="21">
        <v>0</v>
      </c>
      <c r="AA10539" s="21">
        <v>0</v>
      </c>
      <c r="AB10539" s="21">
        <v>0</v>
      </c>
      <c r="AC10539" s="21">
        <v>0</v>
      </c>
      <c r="AD10539" s="21">
        <v>0</v>
      </c>
      <c r="AE10539" s="21">
        <v>0</v>
      </c>
      <c r="AF10539" s="21">
        <v>0</v>
      </c>
      <c r="AG10539" s="21">
        <v>0</v>
      </c>
      <c r="AH10539" s="21">
        <v>0</v>
      </c>
      <c r="AI10539" s="21">
        <f t="shared" si="233"/>
        <v>128</v>
      </c>
      <c r="AJ10539" s="21" t="s">
        <v>54</v>
      </c>
      <c r="AK10539" s="21" t="s">
        <v>95</v>
      </c>
      <c r="AL10539" s="21" t="s">
        <v>8620</v>
      </c>
      <c r="AM10539" s="21" t="s">
        <v>6547</v>
      </c>
      <c r="AN10539" s="21">
        <v>-122.40311555</v>
      </c>
      <c r="AO10539" s="21">
        <v>37.799253899999997</v>
      </c>
      <c r="AP10539" s="21" t="s">
        <v>116</v>
      </c>
    </row>
    <row r="10540" spans="1:42">
      <c r="A10540" s="20">
        <v>43881</v>
      </c>
      <c r="B10540" s="21">
        <v>4</v>
      </c>
      <c r="C10540" s="21">
        <v>302</v>
      </c>
      <c r="D10540" s="21">
        <v>10415</v>
      </c>
      <c r="E10540" s="7" t="s">
        <v>37</v>
      </c>
      <c r="F10540" s="21" t="s">
        <v>38</v>
      </c>
      <c r="G10540" s="21">
        <v>1</v>
      </c>
      <c r="I10540" s="21" t="s">
        <v>6551</v>
      </c>
      <c r="K10540" s="21" t="s">
        <v>6503</v>
      </c>
      <c r="N10540" s="21" t="s">
        <v>42</v>
      </c>
      <c r="O10540" s="21"/>
      <c r="Q10540" s="21">
        <f t="shared" si="232"/>
        <v>8</v>
      </c>
      <c r="R10540" s="21">
        <v>3</v>
      </c>
      <c r="S10540" s="21">
        <v>0</v>
      </c>
      <c r="T10540" s="21">
        <v>0</v>
      </c>
      <c r="U10540" s="21">
        <v>6</v>
      </c>
      <c r="V10540" s="21">
        <v>2</v>
      </c>
      <c r="W10540" s="21">
        <v>0</v>
      </c>
      <c r="Y10540" s="21">
        <v>0</v>
      </c>
      <c r="Z10540" s="21">
        <v>0</v>
      </c>
      <c r="AA10540" s="21">
        <v>0</v>
      </c>
      <c r="AB10540" s="21">
        <v>0</v>
      </c>
      <c r="AC10540" s="21">
        <v>0</v>
      </c>
      <c r="AD10540" s="21">
        <v>0</v>
      </c>
      <c r="AE10540" s="21">
        <v>0</v>
      </c>
      <c r="AF10540" s="21">
        <v>0</v>
      </c>
      <c r="AG10540" s="21">
        <v>0</v>
      </c>
      <c r="AH10540" s="21">
        <v>0</v>
      </c>
      <c r="AI10540" s="21">
        <f t="shared" si="233"/>
        <v>320</v>
      </c>
      <c r="AJ10540" s="21" t="s">
        <v>51</v>
      </c>
      <c r="AK10540" s="21" t="s">
        <v>95</v>
      </c>
      <c r="AL10540" s="21" t="s">
        <v>8621</v>
      </c>
      <c r="AM10540" s="21" t="s">
        <v>6550</v>
      </c>
      <c r="AN10540" s="21">
        <v>-122.402855166667</v>
      </c>
      <c r="AO10540" s="21">
        <v>37.799309733333303</v>
      </c>
      <c r="AP10540" s="21" t="s">
        <v>116</v>
      </c>
    </row>
    <row r="10541" spans="1:42">
      <c r="A10541" s="20">
        <v>43881</v>
      </c>
      <c r="B10541" s="21">
        <v>4</v>
      </c>
      <c r="C10541" s="21">
        <v>302</v>
      </c>
      <c r="D10541" s="21">
        <v>10415</v>
      </c>
      <c r="E10541" s="7" t="s">
        <v>37</v>
      </c>
      <c r="F10541" s="21" t="s">
        <v>38</v>
      </c>
      <c r="G10541" s="21">
        <v>1</v>
      </c>
      <c r="I10541" s="21" t="s">
        <v>6554</v>
      </c>
      <c r="K10541" s="21" t="s">
        <v>148</v>
      </c>
      <c r="N10541" s="21" t="s">
        <v>40</v>
      </c>
      <c r="O10541" s="21">
        <v>50</v>
      </c>
      <c r="Q10541" s="21">
        <f t="shared" si="232"/>
        <v>1</v>
      </c>
      <c r="R10541" s="21">
        <v>1</v>
      </c>
      <c r="S10541" s="21">
        <v>0</v>
      </c>
      <c r="T10541" s="21">
        <v>0</v>
      </c>
      <c r="U10541" s="21">
        <v>1</v>
      </c>
      <c r="V10541" s="21">
        <v>0</v>
      </c>
      <c r="W10541" s="21">
        <v>0</v>
      </c>
      <c r="Y10541" s="21">
        <v>0</v>
      </c>
      <c r="Z10541" s="21">
        <v>0</v>
      </c>
      <c r="AA10541" s="21">
        <v>0</v>
      </c>
      <c r="AB10541" s="21">
        <v>0</v>
      </c>
      <c r="AC10541" s="21">
        <v>0</v>
      </c>
      <c r="AD10541" s="21">
        <v>0</v>
      </c>
      <c r="AE10541" s="21">
        <v>0</v>
      </c>
      <c r="AF10541" s="21">
        <v>0</v>
      </c>
      <c r="AG10541" s="21">
        <v>0</v>
      </c>
      <c r="AH10541" s="21">
        <v>0</v>
      </c>
      <c r="AI10541" s="21">
        <f t="shared" si="233"/>
        <v>32</v>
      </c>
      <c r="AJ10541" s="21" t="s">
        <v>54</v>
      </c>
      <c r="AK10541" s="21" t="s">
        <v>95</v>
      </c>
      <c r="AL10541" s="21"/>
      <c r="AM10541" s="21" t="s">
        <v>6553</v>
      </c>
      <c r="AN10541" s="21">
        <v>-122.40202643333301</v>
      </c>
      <c r="AO10541" s="21">
        <v>37.798458066666697</v>
      </c>
      <c r="AP10541" s="21" t="s">
        <v>116</v>
      </c>
    </row>
    <row r="10542" spans="1:42">
      <c r="A10542" s="20">
        <v>43881</v>
      </c>
      <c r="B10542" s="21">
        <v>4</v>
      </c>
      <c r="C10542" s="21">
        <v>302</v>
      </c>
      <c r="D10542" s="21">
        <v>10415</v>
      </c>
      <c r="E10542" s="7" t="s">
        <v>37</v>
      </c>
      <c r="F10542" s="21" t="s">
        <v>38</v>
      </c>
      <c r="G10542" s="21">
        <v>1</v>
      </c>
      <c r="I10542" s="21" t="s">
        <v>6556</v>
      </c>
      <c r="K10542" s="21" t="s">
        <v>148</v>
      </c>
      <c r="N10542" s="21" t="s">
        <v>40</v>
      </c>
      <c r="O10542" s="21">
        <v>35</v>
      </c>
      <c r="Q10542" s="21">
        <f t="shared" si="232"/>
        <v>1</v>
      </c>
      <c r="R10542" s="21">
        <v>1</v>
      </c>
      <c r="S10542" s="21">
        <v>0</v>
      </c>
      <c r="T10542" s="21">
        <v>0</v>
      </c>
      <c r="U10542" s="21">
        <v>1</v>
      </c>
      <c r="V10542" s="21">
        <v>0</v>
      </c>
      <c r="W10542" s="21">
        <v>0</v>
      </c>
      <c r="Y10542" s="21">
        <v>0</v>
      </c>
      <c r="Z10542" s="21">
        <v>0</v>
      </c>
      <c r="AA10542" s="21">
        <v>0</v>
      </c>
      <c r="AB10542" s="21">
        <v>0</v>
      </c>
      <c r="AC10542" s="21">
        <v>0</v>
      </c>
      <c r="AD10542" s="21">
        <v>0</v>
      </c>
      <c r="AE10542" s="21">
        <v>0</v>
      </c>
      <c r="AF10542" s="21">
        <v>0</v>
      </c>
      <c r="AG10542" s="21">
        <v>0</v>
      </c>
      <c r="AH10542" s="21">
        <v>0</v>
      </c>
      <c r="AI10542" s="21">
        <f t="shared" si="233"/>
        <v>32</v>
      </c>
      <c r="AJ10542" s="21" t="s">
        <v>54</v>
      </c>
      <c r="AK10542" s="21" t="s">
        <v>95</v>
      </c>
      <c r="AL10542" s="21"/>
      <c r="AM10542" s="21" t="s">
        <v>6555</v>
      </c>
      <c r="AN10542" s="21">
        <v>-122.407019316667</v>
      </c>
      <c r="AO10542" s="21">
        <v>37.801615300000002</v>
      </c>
      <c r="AP10542" s="21" t="s">
        <v>116</v>
      </c>
    </row>
    <row r="10543" spans="1:42">
      <c r="A10543" s="20">
        <v>43881</v>
      </c>
      <c r="B10543" s="21">
        <v>4</v>
      </c>
      <c r="C10543" s="21">
        <v>302</v>
      </c>
      <c r="D10543" s="21">
        <v>10415</v>
      </c>
      <c r="E10543" s="7" t="s">
        <v>37</v>
      </c>
      <c r="F10543" s="21" t="s">
        <v>38</v>
      </c>
      <c r="G10543" s="21">
        <v>1</v>
      </c>
      <c r="I10543" s="21" t="s">
        <v>6558</v>
      </c>
      <c r="K10543" s="21" t="s">
        <v>148</v>
      </c>
      <c r="N10543" s="21" t="s">
        <v>40</v>
      </c>
      <c r="O10543" s="21">
        <v>48</v>
      </c>
      <c r="Q10543" s="21">
        <f t="shared" si="232"/>
        <v>2</v>
      </c>
      <c r="R10543" s="21">
        <v>1</v>
      </c>
      <c r="S10543" s="21">
        <v>0</v>
      </c>
      <c r="T10543" s="21">
        <v>0</v>
      </c>
      <c r="U10543" s="21">
        <v>2</v>
      </c>
      <c r="V10543" s="21">
        <v>0</v>
      </c>
      <c r="W10543" s="21">
        <v>0</v>
      </c>
      <c r="Y10543" s="21">
        <v>0</v>
      </c>
      <c r="Z10543" s="21">
        <v>0</v>
      </c>
      <c r="AA10543" s="21">
        <v>0</v>
      </c>
      <c r="AB10543" s="21">
        <v>0</v>
      </c>
      <c r="AC10543" s="21">
        <v>0</v>
      </c>
      <c r="AD10543" s="21">
        <v>0</v>
      </c>
      <c r="AE10543" s="21">
        <v>0</v>
      </c>
      <c r="AF10543" s="21">
        <v>0</v>
      </c>
      <c r="AG10543" s="21">
        <v>0</v>
      </c>
      <c r="AH10543" s="21">
        <v>0</v>
      </c>
      <c r="AI10543" s="21">
        <f t="shared" si="233"/>
        <v>64</v>
      </c>
      <c r="AJ10543" s="21" t="s">
        <v>54</v>
      </c>
      <c r="AK10543" s="21" t="s">
        <v>95</v>
      </c>
      <c r="AL10543" s="21"/>
      <c r="AM10543" s="21" t="s">
        <v>6557</v>
      </c>
      <c r="AN10543" s="21">
        <v>-122.407192516667</v>
      </c>
      <c r="AO10543" s="21">
        <v>37.801739916666698</v>
      </c>
      <c r="AP10543" s="21" t="s">
        <v>116</v>
      </c>
    </row>
    <row r="10544" spans="1:42">
      <c r="A10544" s="20">
        <v>43881</v>
      </c>
      <c r="B10544" s="21">
        <v>4</v>
      </c>
      <c r="C10544" s="21">
        <v>302</v>
      </c>
      <c r="D10544" s="21">
        <v>10415</v>
      </c>
      <c r="E10544" s="7" t="s">
        <v>37</v>
      </c>
      <c r="F10544" s="21" t="s">
        <v>38</v>
      </c>
      <c r="G10544" s="21">
        <v>1</v>
      </c>
      <c r="I10544" s="21" t="s">
        <v>4159</v>
      </c>
      <c r="K10544" s="21" t="s">
        <v>148</v>
      </c>
      <c r="N10544" s="21" t="s">
        <v>44</v>
      </c>
      <c r="O10544" s="21">
        <v>147</v>
      </c>
      <c r="Q10544" s="21">
        <f t="shared" si="232"/>
        <v>2</v>
      </c>
      <c r="R10544" s="21">
        <v>1</v>
      </c>
      <c r="S10544" s="21">
        <v>0</v>
      </c>
      <c r="T10544" s="21">
        <v>0</v>
      </c>
      <c r="U10544" s="21">
        <v>2</v>
      </c>
      <c r="V10544" s="21">
        <v>0</v>
      </c>
      <c r="W10544" s="21">
        <v>0</v>
      </c>
      <c r="Y10544" s="21">
        <v>0</v>
      </c>
      <c r="Z10544" s="21">
        <v>0</v>
      </c>
      <c r="AA10544" s="21">
        <v>0</v>
      </c>
      <c r="AB10544" s="21">
        <v>0</v>
      </c>
      <c r="AC10544" s="21">
        <v>0</v>
      </c>
      <c r="AD10544" s="21">
        <v>0</v>
      </c>
      <c r="AE10544" s="21">
        <v>0</v>
      </c>
      <c r="AF10544" s="21">
        <v>0</v>
      </c>
      <c r="AG10544" s="21">
        <v>0</v>
      </c>
      <c r="AH10544" s="21">
        <v>0</v>
      </c>
      <c r="AI10544" s="21">
        <f t="shared" si="233"/>
        <v>64</v>
      </c>
      <c r="AJ10544" s="21" t="s">
        <v>54</v>
      </c>
      <c r="AK10544" s="21" t="s">
        <v>95</v>
      </c>
      <c r="AL10544" s="21"/>
      <c r="AM10544" s="21" t="s">
        <v>6559</v>
      </c>
      <c r="AN10544" s="21">
        <v>-122.40724166666701</v>
      </c>
      <c r="AO10544" s="21">
        <v>37.801726866666698</v>
      </c>
      <c r="AP10544" s="21" t="s">
        <v>116</v>
      </c>
    </row>
    <row r="10545" spans="1:42">
      <c r="A10545" s="20">
        <v>43881</v>
      </c>
      <c r="B10545" s="21">
        <v>4</v>
      </c>
      <c r="C10545" s="21">
        <v>302</v>
      </c>
      <c r="D10545" s="21">
        <v>10415</v>
      </c>
      <c r="E10545" s="7" t="s">
        <v>37</v>
      </c>
      <c r="F10545" s="21" t="s">
        <v>38</v>
      </c>
      <c r="G10545" s="21">
        <v>1</v>
      </c>
      <c r="I10545" s="21" t="s">
        <v>6561</v>
      </c>
      <c r="K10545" s="21" t="s">
        <v>210</v>
      </c>
      <c r="N10545" s="21" t="s">
        <v>44</v>
      </c>
      <c r="O10545" s="21">
        <v>98</v>
      </c>
      <c r="Q10545" s="21">
        <f t="shared" si="232"/>
        <v>1</v>
      </c>
      <c r="R10545" s="21">
        <v>1</v>
      </c>
      <c r="S10545" s="21">
        <v>0</v>
      </c>
      <c r="T10545" s="21">
        <v>0</v>
      </c>
      <c r="U10545" s="21">
        <v>0</v>
      </c>
      <c r="V10545" s="21">
        <v>1</v>
      </c>
      <c r="W10545" s="21">
        <v>0</v>
      </c>
      <c r="Y10545" s="21">
        <v>0</v>
      </c>
      <c r="Z10545" s="21">
        <v>0</v>
      </c>
      <c r="AA10545" s="21">
        <v>0</v>
      </c>
      <c r="AB10545" s="21">
        <v>0</v>
      </c>
      <c r="AC10545" s="21">
        <v>0</v>
      </c>
      <c r="AD10545" s="21">
        <v>0</v>
      </c>
      <c r="AE10545" s="21">
        <v>0</v>
      </c>
      <c r="AF10545" s="21">
        <v>0</v>
      </c>
      <c r="AG10545" s="21">
        <v>0</v>
      </c>
      <c r="AH10545" s="21">
        <v>0</v>
      </c>
      <c r="AI10545" s="21">
        <f t="shared" si="233"/>
        <v>64</v>
      </c>
      <c r="AJ10545" s="21" t="s">
        <v>51</v>
      </c>
      <c r="AK10545" s="21" t="s">
        <v>95</v>
      </c>
      <c r="AL10545" s="21"/>
      <c r="AM10545" s="21" t="s">
        <v>6560</v>
      </c>
      <c r="AN10545" s="21">
        <v>-122.40741756666699</v>
      </c>
      <c r="AO10545" s="21">
        <v>37.801689099999997</v>
      </c>
      <c r="AP10545" s="21" t="s">
        <v>116</v>
      </c>
    </row>
    <row r="10546" spans="1:42">
      <c r="A10546" s="20">
        <v>43881</v>
      </c>
      <c r="B10546" s="21">
        <v>4</v>
      </c>
      <c r="C10546" s="21">
        <v>302</v>
      </c>
      <c r="D10546" s="21">
        <v>10415</v>
      </c>
      <c r="E10546" s="7" t="s">
        <v>37</v>
      </c>
      <c r="F10546" s="21" t="s">
        <v>38</v>
      </c>
      <c r="G10546" s="21">
        <v>1</v>
      </c>
      <c r="I10546" s="21" t="s">
        <v>6563</v>
      </c>
      <c r="K10546" s="21" t="s">
        <v>210</v>
      </c>
      <c r="N10546" s="21" t="s">
        <v>40</v>
      </c>
      <c r="O10546" s="21">
        <v>51</v>
      </c>
      <c r="Q10546" s="21">
        <f t="shared" si="232"/>
        <v>2</v>
      </c>
      <c r="R10546" s="21">
        <v>1</v>
      </c>
      <c r="S10546" s="21">
        <v>0</v>
      </c>
      <c r="T10546" s="21">
        <v>0</v>
      </c>
      <c r="U10546" s="21">
        <v>2</v>
      </c>
      <c r="V10546" s="21">
        <v>0</v>
      </c>
      <c r="W10546" s="21">
        <v>0</v>
      </c>
      <c r="Y10546" s="21">
        <v>0</v>
      </c>
      <c r="Z10546" s="21">
        <v>0</v>
      </c>
      <c r="AA10546" s="21">
        <v>0</v>
      </c>
      <c r="AB10546" s="21">
        <v>0</v>
      </c>
      <c r="AC10546" s="21">
        <v>0</v>
      </c>
      <c r="AD10546" s="21">
        <v>0</v>
      </c>
      <c r="AE10546" s="21">
        <v>0</v>
      </c>
      <c r="AF10546" s="21">
        <v>0</v>
      </c>
      <c r="AG10546" s="21">
        <v>0</v>
      </c>
      <c r="AH10546" s="21">
        <v>0</v>
      </c>
      <c r="AI10546" s="21">
        <f t="shared" si="233"/>
        <v>64</v>
      </c>
      <c r="AJ10546" s="21" t="s">
        <v>51</v>
      </c>
      <c r="AK10546" s="21" t="s">
        <v>95</v>
      </c>
      <c r="AL10546" s="21"/>
      <c r="AM10546" s="21" t="s">
        <v>6562</v>
      </c>
      <c r="AN10546" s="21">
        <v>-122.40815341666701</v>
      </c>
      <c r="AO10546" s="21">
        <v>37.803219716666703</v>
      </c>
      <c r="AP10546" s="21" t="s">
        <v>116</v>
      </c>
    </row>
    <row r="10547" spans="1:42">
      <c r="A10547" s="20">
        <v>43881</v>
      </c>
      <c r="B10547" s="21">
        <v>4</v>
      </c>
      <c r="C10547" s="21">
        <v>302</v>
      </c>
      <c r="D10547" s="21">
        <v>10415</v>
      </c>
      <c r="E10547" s="7" t="s">
        <v>37</v>
      </c>
      <c r="F10547" s="21" t="s">
        <v>38</v>
      </c>
      <c r="G10547" s="21">
        <v>1</v>
      </c>
      <c r="I10547" s="21" t="s">
        <v>6565</v>
      </c>
      <c r="K10547" s="21" t="s">
        <v>210</v>
      </c>
      <c r="N10547" s="21" t="s">
        <v>42</v>
      </c>
      <c r="O10547" s="21">
        <v>110</v>
      </c>
      <c r="Q10547" s="21">
        <f t="shared" si="232"/>
        <v>2</v>
      </c>
      <c r="R10547" s="21">
        <v>1</v>
      </c>
      <c r="S10547" s="21">
        <v>0</v>
      </c>
      <c r="T10547" s="21">
        <v>0</v>
      </c>
      <c r="U10547" s="21">
        <v>2</v>
      </c>
      <c r="V10547" s="21">
        <v>0</v>
      </c>
      <c r="W10547" s="21">
        <v>0</v>
      </c>
      <c r="Y10547" s="21">
        <v>0</v>
      </c>
      <c r="Z10547" s="21">
        <v>0</v>
      </c>
      <c r="AA10547" s="21">
        <v>0</v>
      </c>
      <c r="AB10547" s="21">
        <v>0</v>
      </c>
      <c r="AC10547" s="21">
        <v>0</v>
      </c>
      <c r="AD10547" s="21">
        <v>0</v>
      </c>
      <c r="AE10547" s="21">
        <v>0</v>
      </c>
      <c r="AF10547" s="21">
        <v>0</v>
      </c>
      <c r="AG10547" s="21">
        <v>0</v>
      </c>
      <c r="AH10547" s="21">
        <v>0</v>
      </c>
      <c r="AI10547" s="21">
        <f t="shared" si="233"/>
        <v>64</v>
      </c>
      <c r="AJ10547" s="21" t="s">
        <v>51</v>
      </c>
      <c r="AK10547" s="21" t="s">
        <v>95</v>
      </c>
      <c r="AL10547" s="21"/>
      <c r="AM10547" s="21" t="s">
        <v>6564</v>
      </c>
      <c r="AN10547" s="21">
        <v>-122.40737785</v>
      </c>
      <c r="AO10547" s="21">
        <v>37.803527566666702</v>
      </c>
      <c r="AP10547" s="21" t="s">
        <v>116</v>
      </c>
    </row>
    <row r="10548" spans="1:42">
      <c r="A10548" s="20">
        <v>43881</v>
      </c>
      <c r="B10548" s="21">
        <v>4</v>
      </c>
      <c r="C10548" s="21">
        <v>302</v>
      </c>
      <c r="D10548" s="21">
        <v>10415</v>
      </c>
      <c r="E10548" s="7" t="s">
        <v>37</v>
      </c>
      <c r="F10548" s="21" t="s">
        <v>38</v>
      </c>
      <c r="G10548" s="21">
        <v>1</v>
      </c>
      <c r="I10548" s="21" t="s">
        <v>6567</v>
      </c>
      <c r="K10548" s="21" t="s">
        <v>8622</v>
      </c>
      <c r="N10548" s="21" t="s">
        <v>40</v>
      </c>
      <c r="O10548" s="21">
        <v>110</v>
      </c>
      <c r="Q10548" s="21">
        <f t="shared" si="232"/>
        <v>3</v>
      </c>
      <c r="R10548" s="21">
        <v>1</v>
      </c>
      <c r="S10548" s="21">
        <v>0</v>
      </c>
      <c r="T10548" s="21">
        <v>0</v>
      </c>
      <c r="U10548" s="21">
        <v>1</v>
      </c>
      <c r="V10548" s="21">
        <v>2</v>
      </c>
      <c r="W10548" s="21">
        <v>0</v>
      </c>
      <c r="Y10548" s="21">
        <v>0</v>
      </c>
      <c r="Z10548" s="21">
        <v>0</v>
      </c>
      <c r="AA10548" s="21">
        <v>0</v>
      </c>
      <c r="AB10548" s="21">
        <v>0</v>
      </c>
      <c r="AC10548" s="21">
        <v>0</v>
      </c>
      <c r="AD10548" s="21">
        <v>0</v>
      </c>
      <c r="AE10548" s="21">
        <v>0</v>
      </c>
      <c r="AF10548" s="21">
        <v>0</v>
      </c>
      <c r="AG10548" s="21">
        <v>0</v>
      </c>
      <c r="AH10548" s="21">
        <v>0</v>
      </c>
      <c r="AI10548" s="21">
        <f t="shared" si="233"/>
        <v>160</v>
      </c>
      <c r="AJ10548" s="21" t="s">
        <v>51</v>
      </c>
      <c r="AK10548" s="21" t="s">
        <v>95</v>
      </c>
      <c r="AL10548" s="21"/>
      <c r="AM10548" s="21" t="s">
        <v>6566</v>
      </c>
      <c r="AN10548" s="21">
        <v>-122.40736636666701</v>
      </c>
      <c r="AO10548" s="21">
        <v>37.803517200000002</v>
      </c>
      <c r="AP10548" s="21" t="s">
        <v>116</v>
      </c>
    </row>
    <row r="10549" spans="1:42">
      <c r="A10549" s="20">
        <v>43881</v>
      </c>
      <c r="B10549" s="21">
        <v>4</v>
      </c>
      <c r="C10549" s="21">
        <v>302</v>
      </c>
      <c r="D10549" s="21">
        <v>10415</v>
      </c>
      <c r="E10549" s="7" t="s">
        <v>37</v>
      </c>
      <c r="F10549" s="21" t="s">
        <v>38</v>
      </c>
      <c r="G10549" s="21">
        <v>1</v>
      </c>
      <c r="I10549" s="21" t="s">
        <v>6569</v>
      </c>
      <c r="K10549" s="21" t="s">
        <v>210</v>
      </c>
      <c r="N10549" s="21" t="s">
        <v>44</v>
      </c>
      <c r="O10549" s="21">
        <v>75</v>
      </c>
      <c r="Q10549" s="21">
        <f t="shared" si="232"/>
        <v>1</v>
      </c>
      <c r="R10549" s="21">
        <v>1</v>
      </c>
      <c r="S10549" s="21">
        <v>0</v>
      </c>
      <c r="T10549" s="21">
        <v>0</v>
      </c>
      <c r="U10549" s="21">
        <v>1</v>
      </c>
      <c r="V10549" s="21">
        <v>0</v>
      </c>
      <c r="W10549" s="21">
        <v>0</v>
      </c>
      <c r="Y10549" s="21">
        <v>0</v>
      </c>
      <c r="Z10549" s="21">
        <v>0</v>
      </c>
      <c r="AA10549" s="21">
        <v>0</v>
      </c>
      <c r="AB10549" s="21">
        <v>0</v>
      </c>
      <c r="AC10549" s="21">
        <v>0</v>
      </c>
      <c r="AD10549" s="21">
        <v>0</v>
      </c>
      <c r="AE10549" s="21">
        <v>0</v>
      </c>
      <c r="AF10549" s="21">
        <v>0</v>
      </c>
      <c r="AG10549" s="21">
        <v>0</v>
      </c>
      <c r="AH10549" s="21">
        <v>0</v>
      </c>
      <c r="AI10549" s="21">
        <f t="shared" si="233"/>
        <v>32</v>
      </c>
      <c r="AJ10549" s="21" t="s">
        <v>51</v>
      </c>
      <c r="AK10549" s="21" t="s">
        <v>95</v>
      </c>
      <c r="AL10549" s="21"/>
      <c r="AM10549" s="21" t="s">
        <v>6568</v>
      </c>
      <c r="AN10549" s="21">
        <v>-122.407358733333</v>
      </c>
      <c r="AO10549" s="21">
        <v>37.803490750000002</v>
      </c>
      <c r="AP10549" s="21" t="s">
        <v>116</v>
      </c>
    </row>
    <row r="10550" spans="1:42">
      <c r="A10550" s="20">
        <v>43881</v>
      </c>
      <c r="B10550" s="21">
        <v>4</v>
      </c>
      <c r="C10550" s="21">
        <v>302</v>
      </c>
      <c r="D10550" s="21">
        <v>10415</v>
      </c>
      <c r="E10550" s="7" t="s">
        <v>37</v>
      </c>
      <c r="F10550" s="21" t="s">
        <v>38</v>
      </c>
      <c r="G10550" s="21">
        <v>1</v>
      </c>
      <c r="I10550" s="21" t="s">
        <v>3519</v>
      </c>
      <c r="K10550" s="21" t="s">
        <v>8623</v>
      </c>
      <c r="N10550" s="21" t="s">
        <v>44</v>
      </c>
      <c r="O10550" s="21">
        <v>93</v>
      </c>
      <c r="Q10550" s="21">
        <f t="shared" si="232"/>
        <v>1</v>
      </c>
      <c r="R10550" s="21">
        <v>1</v>
      </c>
      <c r="S10550" s="21">
        <v>0</v>
      </c>
      <c r="T10550" s="21">
        <v>0</v>
      </c>
      <c r="U10550" s="21">
        <v>1</v>
      </c>
      <c r="V10550" s="21">
        <v>0</v>
      </c>
      <c r="W10550" s="21">
        <v>0</v>
      </c>
      <c r="Y10550" s="21">
        <v>0</v>
      </c>
      <c r="Z10550" s="21">
        <v>0</v>
      </c>
      <c r="AA10550" s="21">
        <v>0</v>
      </c>
      <c r="AB10550" s="21">
        <v>0</v>
      </c>
      <c r="AC10550" s="21">
        <v>0</v>
      </c>
      <c r="AD10550" s="21">
        <v>0</v>
      </c>
      <c r="AE10550" s="21">
        <v>0</v>
      </c>
      <c r="AF10550" s="21">
        <v>0</v>
      </c>
      <c r="AG10550" s="21">
        <v>0</v>
      </c>
      <c r="AH10550" s="21">
        <v>0</v>
      </c>
      <c r="AI10550" s="21">
        <f t="shared" si="233"/>
        <v>32</v>
      </c>
      <c r="AJ10550" s="21" t="s">
        <v>51</v>
      </c>
      <c r="AK10550" s="21" t="s">
        <v>95</v>
      </c>
      <c r="AL10550" s="21"/>
      <c r="AM10550" s="21" t="s">
        <v>6570</v>
      </c>
      <c r="AN10550" s="21">
        <v>-122.406666966667</v>
      </c>
      <c r="AO10550" s="21">
        <v>37.802672033333302</v>
      </c>
      <c r="AP10550" s="21" t="s">
        <v>116</v>
      </c>
    </row>
    <row r="10551" spans="1:42">
      <c r="A10551" s="20">
        <v>43881</v>
      </c>
      <c r="B10551" s="21">
        <v>4</v>
      </c>
      <c r="C10551" s="21">
        <v>302</v>
      </c>
      <c r="D10551" s="21">
        <v>10415</v>
      </c>
      <c r="E10551" s="7" t="s">
        <v>37</v>
      </c>
      <c r="F10551" s="21" t="s">
        <v>38</v>
      </c>
      <c r="G10551" s="21">
        <v>1</v>
      </c>
      <c r="I10551" s="21" t="s">
        <v>3442</v>
      </c>
      <c r="K10551" s="21" t="s">
        <v>6571</v>
      </c>
      <c r="N10551" s="21" t="s">
        <v>44</v>
      </c>
      <c r="O10551" s="21">
        <v>237</v>
      </c>
      <c r="Q10551" s="21">
        <f t="shared" si="232"/>
        <v>3</v>
      </c>
      <c r="R10551" s="21">
        <v>1</v>
      </c>
      <c r="S10551" s="21">
        <v>0</v>
      </c>
      <c r="T10551" s="21">
        <v>0</v>
      </c>
      <c r="U10551" s="21">
        <v>3</v>
      </c>
      <c r="V10551" s="21">
        <v>0</v>
      </c>
      <c r="W10551" s="21">
        <v>0</v>
      </c>
      <c r="Y10551" s="21">
        <v>0</v>
      </c>
      <c r="Z10551" s="21">
        <v>0</v>
      </c>
      <c r="AA10551" s="21">
        <v>0</v>
      </c>
      <c r="AB10551" s="21">
        <v>0</v>
      </c>
      <c r="AC10551" s="21">
        <v>0</v>
      </c>
      <c r="AD10551" s="21">
        <v>0</v>
      </c>
      <c r="AE10551" s="21">
        <v>0</v>
      </c>
      <c r="AF10551" s="21">
        <v>0</v>
      </c>
      <c r="AG10551" s="21">
        <v>0</v>
      </c>
      <c r="AH10551" s="21">
        <v>0</v>
      </c>
      <c r="AI10551" s="21">
        <f t="shared" si="233"/>
        <v>96</v>
      </c>
      <c r="AJ10551" s="21" t="s">
        <v>51</v>
      </c>
      <c r="AK10551" s="21" t="s">
        <v>95</v>
      </c>
      <c r="AL10551" s="21" t="s">
        <v>8624</v>
      </c>
      <c r="AM10551" s="21" t="s">
        <v>6572</v>
      </c>
      <c r="AN10551" s="21">
        <v>-122.40667013333299</v>
      </c>
      <c r="AO10551" s="21">
        <v>37.802801466666601</v>
      </c>
      <c r="AP10551" s="21" t="s">
        <v>116</v>
      </c>
    </row>
    <row r="10552" spans="1:42">
      <c r="A10552" s="20">
        <v>43881</v>
      </c>
      <c r="B10552" s="21">
        <v>4</v>
      </c>
      <c r="C10552" s="21">
        <v>302</v>
      </c>
      <c r="D10552" s="21">
        <v>10415</v>
      </c>
      <c r="E10552" s="7" t="s">
        <v>37</v>
      </c>
      <c r="F10552" s="21" t="s">
        <v>38</v>
      </c>
      <c r="G10552" s="21">
        <v>1</v>
      </c>
      <c r="I10552" s="21" t="s">
        <v>5103</v>
      </c>
      <c r="K10552" s="21" t="s">
        <v>6575</v>
      </c>
      <c r="N10552" s="21" t="s">
        <v>40</v>
      </c>
      <c r="O10552" s="21"/>
      <c r="Q10552" s="21">
        <f t="shared" si="232"/>
        <v>5</v>
      </c>
      <c r="R10552" s="21">
        <v>1</v>
      </c>
      <c r="S10552" s="21">
        <v>0</v>
      </c>
      <c r="T10552" s="21">
        <v>0</v>
      </c>
      <c r="U10552" s="21">
        <v>4</v>
      </c>
      <c r="V10552" s="21">
        <v>1</v>
      </c>
      <c r="W10552" s="21">
        <v>0</v>
      </c>
      <c r="Y10552" s="21">
        <v>0</v>
      </c>
      <c r="Z10552" s="21">
        <v>0</v>
      </c>
      <c r="AA10552" s="21">
        <v>0</v>
      </c>
      <c r="AB10552" s="21">
        <v>0</v>
      </c>
      <c r="AC10552" s="21">
        <v>0</v>
      </c>
      <c r="AD10552" s="21">
        <v>0</v>
      </c>
      <c r="AE10552" s="21">
        <v>0</v>
      </c>
      <c r="AF10552" s="21">
        <v>0</v>
      </c>
      <c r="AG10552" s="21">
        <v>0</v>
      </c>
      <c r="AH10552" s="21">
        <v>0</v>
      </c>
      <c r="AI10552" s="21">
        <f t="shared" si="233"/>
        <v>192</v>
      </c>
      <c r="AJ10552" s="21" t="s">
        <v>51</v>
      </c>
      <c r="AK10552" s="21" t="s">
        <v>95</v>
      </c>
      <c r="AL10552" s="21" t="s">
        <v>8625</v>
      </c>
      <c r="AM10552" s="21" t="s">
        <v>6574</v>
      </c>
      <c r="AN10552" s="21">
        <v>-122.405900166667</v>
      </c>
      <c r="AO10552" s="21">
        <v>37.802693866666701</v>
      </c>
      <c r="AP10552" s="21" t="s">
        <v>116</v>
      </c>
    </row>
    <row r="10553" spans="1:42">
      <c r="A10553" s="20">
        <v>43881</v>
      </c>
      <c r="B10553" s="21">
        <v>4</v>
      </c>
      <c r="C10553" s="21">
        <v>302</v>
      </c>
      <c r="D10553" s="21">
        <v>10415</v>
      </c>
      <c r="E10553" s="7" t="s">
        <v>37</v>
      </c>
      <c r="F10553" s="21" t="s">
        <v>38</v>
      </c>
      <c r="G10553" s="21">
        <v>1</v>
      </c>
      <c r="I10553" s="21" t="s">
        <v>4138</v>
      </c>
      <c r="K10553" s="21" t="s">
        <v>210</v>
      </c>
      <c r="N10553" s="21" t="s">
        <v>44</v>
      </c>
      <c r="O10553" s="21">
        <v>58</v>
      </c>
      <c r="Q10553" s="21">
        <f t="shared" si="232"/>
        <v>1</v>
      </c>
      <c r="R10553" s="21">
        <v>1</v>
      </c>
      <c r="S10553" s="21">
        <v>0</v>
      </c>
      <c r="T10553" s="21">
        <v>0</v>
      </c>
      <c r="U10553" s="21">
        <v>0</v>
      </c>
      <c r="V10553" s="21">
        <v>1</v>
      </c>
      <c r="W10553" s="21">
        <v>0</v>
      </c>
      <c r="Y10553" s="21">
        <v>0</v>
      </c>
      <c r="Z10553" s="21">
        <v>0</v>
      </c>
      <c r="AA10553" s="21">
        <v>0</v>
      </c>
      <c r="AB10553" s="21">
        <v>0</v>
      </c>
      <c r="AC10553" s="21">
        <v>0</v>
      </c>
      <c r="AD10553" s="21">
        <v>0</v>
      </c>
      <c r="AE10553" s="21">
        <v>0</v>
      </c>
      <c r="AF10553" s="21">
        <v>0</v>
      </c>
      <c r="AG10553" s="21">
        <v>0</v>
      </c>
      <c r="AH10553" s="21">
        <v>0</v>
      </c>
      <c r="AI10553" s="21">
        <f t="shared" si="233"/>
        <v>64</v>
      </c>
      <c r="AJ10553" s="21" t="s">
        <v>51</v>
      </c>
      <c r="AK10553" s="21" t="s">
        <v>95</v>
      </c>
      <c r="AL10553" s="21"/>
      <c r="AM10553" s="21" t="s">
        <v>6577</v>
      </c>
      <c r="AN10553" s="21">
        <v>-122.406957083333</v>
      </c>
      <c r="AO10553" s="21">
        <v>37.804052616666603</v>
      </c>
      <c r="AP10553" s="21" t="s">
        <v>116</v>
      </c>
    </row>
    <row r="10554" spans="1:42">
      <c r="A10554" s="20">
        <v>43881</v>
      </c>
      <c r="B10554" s="21">
        <v>4</v>
      </c>
      <c r="C10554" s="21">
        <v>302</v>
      </c>
      <c r="D10554" s="21">
        <v>10415</v>
      </c>
      <c r="E10554" s="7" t="s">
        <v>37</v>
      </c>
      <c r="F10554" s="21" t="s">
        <v>38</v>
      </c>
      <c r="G10554" s="21">
        <v>1</v>
      </c>
      <c r="I10554" s="21" t="s">
        <v>6579</v>
      </c>
      <c r="K10554" s="21" t="s">
        <v>210</v>
      </c>
      <c r="N10554" s="21" t="s">
        <v>44</v>
      </c>
      <c r="O10554" s="21">
        <v>80</v>
      </c>
      <c r="Q10554" s="21">
        <f t="shared" si="232"/>
        <v>1</v>
      </c>
      <c r="R10554" s="21">
        <v>1</v>
      </c>
      <c r="S10554" s="21">
        <v>0</v>
      </c>
      <c r="T10554" s="21">
        <v>0</v>
      </c>
      <c r="U10554" s="21">
        <v>1</v>
      </c>
      <c r="V10554" s="21">
        <v>0</v>
      </c>
      <c r="W10554" s="21">
        <v>0</v>
      </c>
      <c r="Y10554" s="21">
        <v>0</v>
      </c>
      <c r="Z10554" s="21">
        <v>0</v>
      </c>
      <c r="AA10554" s="21">
        <v>0</v>
      </c>
      <c r="AB10554" s="21">
        <v>0</v>
      </c>
      <c r="AC10554" s="21">
        <v>0</v>
      </c>
      <c r="AD10554" s="21">
        <v>0</v>
      </c>
      <c r="AE10554" s="21">
        <v>0</v>
      </c>
      <c r="AF10554" s="21">
        <v>0</v>
      </c>
      <c r="AG10554" s="21">
        <v>0</v>
      </c>
      <c r="AH10554" s="21">
        <v>0</v>
      </c>
      <c r="AI10554" s="21">
        <f t="shared" si="233"/>
        <v>32</v>
      </c>
      <c r="AJ10554" s="21" t="s">
        <v>51</v>
      </c>
      <c r="AK10554" s="21" t="s">
        <v>95</v>
      </c>
      <c r="AL10554" s="21" t="s">
        <v>597</v>
      </c>
      <c r="AM10554" s="21" t="s">
        <v>6578</v>
      </c>
      <c r="AN10554" s="21">
        <v>-122.406699533333</v>
      </c>
      <c r="AO10554" s="21">
        <v>37.803925433333298</v>
      </c>
      <c r="AP10554" s="21" t="s">
        <v>116</v>
      </c>
    </row>
    <row r="10555" spans="1:42">
      <c r="A10555" s="20">
        <v>43881</v>
      </c>
      <c r="B10555" s="21">
        <v>4</v>
      </c>
      <c r="C10555" s="21">
        <v>302</v>
      </c>
      <c r="D10555" s="21">
        <v>10415</v>
      </c>
      <c r="E10555" s="7" t="s">
        <v>37</v>
      </c>
      <c r="F10555" s="21" t="s">
        <v>38</v>
      </c>
      <c r="G10555" s="21">
        <v>1</v>
      </c>
      <c r="I10555" s="21" t="s">
        <v>6581</v>
      </c>
      <c r="K10555" s="21" t="s">
        <v>6582</v>
      </c>
      <c r="N10555" s="21" t="s">
        <v>42</v>
      </c>
      <c r="O10555" s="21">
        <v>185</v>
      </c>
      <c r="Q10555" s="21">
        <f t="shared" si="232"/>
        <v>4</v>
      </c>
      <c r="R10555" s="21">
        <v>1</v>
      </c>
      <c r="S10555" s="21">
        <v>0</v>
      </c>
      <c r="T10555" s="21">
        <v>0</v>
      </c>
      <c r="U10555" s="21">
        <v>4</v>
      </c>
      <c r="V10555" s="21">
        <v>0</v>
      </c>
      <c r="W10555" s="21">
        <v>0</v>
      </c>
      <c r="Y10555" s="21">
        <v>0</v>
      </c>
      <c r="Z10555" s="21">
        <v>0</v>
      </c>
      <c r="AA10555" s="21">
        <v>0</v>
      </c>
      <c r="AB10555" s="21">
        <v>0</v>
      </c>
      <c r="AC10555" s="21">
        <v>0</v>
      </c>
      <c r="AD10555" s="21">
        <v>0</v>
      </c>
      <c r="AE10555" s="21">
        <v>0</v>
      </c>
      <c r="AF10555" s="21">
        <v>0</v>
      </c>
      <c r="AG10555" s="21">
        <v>0</v>
      </c>
      <c r="AH10555" s="21">
        <v>0</v>
      </c>
      <c r="AI10555" s="21">
        <f t="shared" si="233"/>
        <v>128</v>
      </c>
      <c r="AJ10555" s="21" t="s">
        <v>51</v>
      </c>
      <c r="AK10555" s="21" t="s">
        <v>95</v>
      </c>
      <c r="AL10555" s="21" t="s">
        <v>8626</v>
      </c>
      <c r="AM10555" s="21" t="s">
        <v>6580</v>
      </c>
      <c r="AN10555" s="21">
        <v>-122.407956633333</v>
      </c>
      <c r="AO10555" s="21">
        <v>37.803435149999999</v>
      </c>
      <c r="AP10555" s="21" t="s">
        <v>116</v>
      </c>
    </row>
    <row r="10556" spans="1:42">
      <c r="A10556" s="20">
        <v>43881</v>
      </c>
      <c r="B10556" s="21">
        <v>4</v>
      </c>
      <c r="C10556" s="21">
        <v>302</v>
      </c>
      <c r="D10556" s="21">
        <v>10415</v>
      </c>
      <c r="E10556" s="7" t="s">
        <v>37</v>
      </c>
      <c r="F10556" s="21" t="s">
        <v>38</v>
      </c>
      <c r="G10556" s="21">
        <v>1</v>
      </c>
      <c r="I10556" s="21" t="s">
        <v>6585</v>
      </c>
      <c r="K10556" s="21" t="s">
        <v>210</v>
      </c>
      <c r="N10556" s="21" t="s">
        <v>44</v>
      </c>
      <c r="O10556" s="21">
        <v>73</v>
      </c>
      <c r="Q10556" s="21">
        <f t="shared" si="232"/>
        <v>1</v>
      </c>
      <c r="R10556" s="21">
        <v>1</v>
      </c>
      <c r="S10556" s="21">
        <v>0</v>
      </c>
      <c r="T10556" s="21">
        <v>0</v>
      </c>
      <c r="U10556" s="21">
        <v>0</v>
      </c>
      <c r="V10556" s="21">
        <v>1</v>
      </c>
      <c r="W10556" s="21">
        <v>0</v>
      </c>
      <c r="Y10556" s="21">
        <v>0</v>
      </c>
      <c r="Z10556" s="21">
        <v>0</v>
      </c>
      <c r="AA10556" s="21">
        <v>0</v>
      </c>
      <c r="AB10556" s="21">
        <v>0</v>
      </c>
      <c r="AC10556" s="21">
        <v>0</v>
      </c>
      <c r="AD10556" s="21">
        <v>0</v>
      </c>
      <c r="AE10556" s="21">
        <v>0</v>
      </c>
      <c r="AF10556" s="21">
        <v>0</v>
      </c>
      <c r="AG10556" s="21">
        <v>0</v>
      </c>
      <c r="AH10556" s="21">
        <v>0</v>
      </c>
      <c r="AI10556" s="21">
        <f t="shared" si="233"/>
        <v>64</v>
      </c>
      <c r="AJ10556" s="21" t="s">
        <v>51</v>
      </c>
      <c r="AK10556" s="21" t="s">
        <v>52</v>
      </c>
      <c r="AL10556" s="21"/>
      <c r="AM10556" s="21" t="s">
        <v>6584</v>
      </c>
      <c r="AN10556" s="21">
        <v>-122.407938866667</v>
      </c>
      <c r="AO10556" s="21">
        <v>37.803971216666604</v>
      </c>
      <c r="AP10556" s="21" t="s">
        <v>116</v>
      </c>
    </row>
    <row r="10557" spans="1:42">
      <c r="A10557" s="20">
        <v>43881</v>
      </c>
      <c r="B10557" s="21">
        <v>4</v>
      </c>
      <c r="C10557" s="21">
        <v>302</v>
      </c>
      <c r="D10557" s="21">
        <v>10415</v>
      </c>
      <c r="E10557" s="7" t="s">
        <v>37</v>
      </c>
      <c r="F10557" s="21" t="s">
        <v>38</v>
      </c>
      <c r="G10557" s="21">
        <v>1</v>
      </c>
      <c r="I10557" s="21" t="s">
        <v>6585</v>
      </c>
      <c r="K10557" s="21" t="s">
        <v>4341</v>
      </c>
      <c r="N10557" s="21" t="s">
        <v>44</v>
      </c>
      <c r="O10557" s="21">
        <v>65</v>
      </c>
      <c r="Q10557" s="21">
        <f t="shared" si="232"/>
        <v>1</v>
      </c>
      <c r="R10557" s="21">
        <v>1</v>
      </c>
      <c r="S10557" s="21">
        <v>0</v>
      </c>
      <c r="T10557" s="21">
        <v>0</v>
      </c>
      <c r="U10557" s="21">
        <v>1</v>
      </c>
      <c r="V10557" s="21">
        <v>0</v>
      </c>
      <c r="W10557" s="21">
        <v>0</v>
      </c>
      <c r="Y10557" s="21">
        <v>0</v>
      </c>
      <c r="Z10557" s="21">
        <v>0</v>
      </c>
      <c r="AA10557" s="21">
        <v>0</v>
      </c>
      <c r="AB10557" s="21">
        <v>0</v>
      </c>
      <c r="AC10557" s="21">
        <v>0</v>
      </c>
      <c r="AD10557" s="21">
        <v>0</v>
      </c>
      <c r="AE10557" s="21">
        <v>0</v>
      </c>
      <c r="AF10557" s="21">
        <v>0</v>
      </c>
      <c r="AG10557" s="21">
        <v>0</v>
      </c>
      <c r="AH10557" s="21">
        <v>0</v>
      </c>
      <c r="AI10557" s="21">
        <f t="shared" si="233"/>
        <v>32</v>
      </c>
      <c r="AJ10557" s="21" t="s">
        <v>51</v>
      </c>
      <c r="AK10557" s="21" t="s">
        <v>95</v>
      </c>
      <c r="AL10557" s="21"/>
      <c r="AM10557" s="21" t="s">
        <v>6586</v>
      </c>
      <c r="AN10557" s="21">
        <v>-122.40792755</v>
      </c>
      <c r="AO10557" s="21">
        <v>37.803438999999997</v>
      </c>
      <c r="AP10557" s="21" t="s">
        <v>116</v>
      </c>
    </row>
    <row r="10558" spans="1:42">
      <c r="A10558" s="20">
        <v>43881</v>
      </c>
      <c r="B10558" s="21">
        <v>4</v>
      </c>
      <c r="C10558" s="21">
        <v>302</v>
      </c>
      <c r="D10558" s="21">
        <v>10415</v>
      </c>
      <c r="E10558" s="7" t="s">
        <v>37</v>
      </c>
      <c r="F10558" s="21" t="s">
        <v>38</v>
      </c>
      <c r="G10558" s="21">
        <v>1</v>
      </c>
      <c r="I10558" s="21" t="s">
        <v>5373</v>
      </c>
      <c r="K10558" s="21" t="s">
        <v>48</v>
      </c>
      <c r="N10558" s="21" t="s">
        <v>44</v>
      </c>
      <c r="O10558" s="21">
        <v>207</v>
      </c>
      <c r="Q10558" s="21">
        <f t="shared" si="232"/>
        <v>1</v>
      </c>
      <c r="R10558" s="21">
        <v>1</v>
      </c>
      <c r="S10558" s="21">
        <v>0</v>
      </c>
      <c r="T10558" s="21">
        <v>0</v>
      </c>
      <c r="U10558" s="21">
        <v>0</v>
      </c>
      <c r="V10558" s="21">
        <v>1</v>
      </c>
      <c r="W10558" s="21">
        <v>0</v>
      </c>
      <c r="Y10558" s="21">
        <v>0</v>
      </c>
      <c r="Z10558" s="21">
        <v>0</v>
      </c>
      <c r="AA10558" s="21">
        <v>0</v>
      </c>
      <c r="AB10558" s="21">
        <v>0</v>
      </c>
      <c r="AC10558" s="21">
        <v>0</v>
      </c>
      <c r="AD10558" s="21">
        <v>0</v>
      </c>
      <c r="AE10558" s="21">
        <v>0</v>
      </c>
      <c r="AF10558" s="21">
        <v>0</v>
      </c>
      <c r="AG10558" s="21">
        <v>0</v>
      </c>
      <c r="AH10558" s="21">
        <v>0</v>
      </c>
      <c r="AI10558" s="21">
        <f t="shared" si="233"/>
        <v>64</v>
      </c>
      <c r="AJ10558" s="21" t="s">
        <v>51</v>
      </c>
      <c r="AK10558" s="21" t="s">
        <v>95</v>
      </c>
      <c r="AL10558" s="21" t="s">
        <v>8627</v>
      </c>
      <c r="AM10558" s="21" t="s">
        <v>6587</v>
      </c>
      <c r="AN10558" s="21">
        <v>-122.408137966667</v>
      </c>
      <c r="AO10558" s="21">
        <v>37.803399816666698</v>
      </c>
      <c r="AP10558" s="21" t="s">
        <v>116</v>
      </c>
    </row>
    <row r="10559" spans="1:42">
      <c r="A10559" s="20">
        <v>43881</v>
      </c>
      <c r="B10559" s="21">
        <v>4</v>
      </c>
      <c r="C10559" s="21">
        <v>302</v>
      </c>
      <c r="D10559" s="21">
        <v>10415</v>
      </c>
      <c r="E10559" s="7" t="s">
        <v>37</v>
      </c>
      <c r="F10559" s="21" t="s">
        <v>38</v>
      </c>
      <c r="G10559" s="21">
        <v>1</v>
      </c>
      <c r="I10559" s="21" t="s">
        <v>6590</v>
      </c>
      <c r="K10559" s="21" t="s">
        <v>48</v>
      </c>
      <c r="N10559" s="21" t="s">
        <v>44</v>
      </c>
      <c r="O10559" s="21">
        <v>106</v>
      </c>
      <c r="Q10559" s="21">
        <f t="shared" si="232"/>
        <v>1</v>
      </c>
      <c r="R10559" s="21">
        <v>1</v>
      </c>
      <c r="S10559" s="21">
        <v>0</v>
      </c>
      <c r="T10559" s="21">
        <v>0</v>
      </c>
      <c r="U10559" s="21">
        <v>1</v>
      </c>
      <c r="V10559" s="21">
        <v>0</v>
      </c>
      <c r="W10559" s="21">
        <v>0</v>
      </c>
      <c r="Y10559" s="21">
        <v>0</v>
      </c>
      <c r="Z10559" s="21">
        <v>0</v>
      </c>
      <c r="AA10559" s="21">
        <v>0</v>
      </c>
      <c r="AB10559" s="21">
        <v>0</v>
      </c>
      <c r="AC10559" s="21">
        <v>0</v>
      </c>
      <c r="AD10559" s="21">
        <v>0</v>
      </c>
      <c r="AE10559" s="21">
        <v>0</v>
      </c>
      <c r="AF10559" s="21">
        <v>0</v>
      </c>
      <c r="AG10559" s="21">
        <v>0</v>
      </c>
      <c r="AH10559" s="21">
        <v>0</v>
      </c>
      <c r="AI10559" s="21">
        <f t="shared" si="233"/>
        <v>32</v>
      </c>
      <c r="AJ10559" s="21" t="s">
        <v>51</v>
      </c>
      <c r="AK10559" s="21" t="s">
        <v>95</v>
      </c>
      <c r="AL10559" s="21"/>
      <c r="AM10559" s="21" t="s">
        <v>6589</v>
      </c>
      <c r="AN10559" s="21">
        <v>-122.408201033333</v>
      </c>
      <c r="AO10559" s="21">
        <v>37.803707533333302</v>
      </c>
      <c r="AP10559" s="21" t="s">
        <v>116</v>
      </c>
    </row>
    <row r="10560" spans="1:42">
      <c r="A10560" s="20">
        <v>43881</v>
      </c>
      <c r="B10560" s="21">
        <v>4</v>
      </c>
      <c r="C10560" s="21">
        <v>302</v>
      </c>
      <c r="D10560" s="21">
        <v>10415</v>
      </c>
      <c r="E10560" s="7" t="s">
        <v>37</v>
      </c>
      <c r="F10560" s="21" t="s">
        <v>38</v>
      </c>
      <c r="G10560" s="21">
        <v>1</v>
      </c>
      <c r="I10560" s="21" t="s">
        <v>6592</v>
      </c>
      <c r="K10560" s="21" t="s">
        <v>39</v>
      </c>
      <c r="N10560" s="21" t="s">
        <v>42</v>
      </c>
      <c r="O10560" s="21">
        <v>120</v>
      </c>
      <c r="Q10560" s="21">
        <f t="shared" si="232"/>
        <v>3</v>
      </c>
      <c r="R10560" s="21">
        <v>1</v>
      </c>
      <c r="S10560" s="21">
        <v>0</v>
      </c>
      <c r="T10560" s="21">
        <v>0</v>
      </c>
      <c r="U10560" s="21">
        <v>1</v>
      </c>
      <c r="V10560" s="21">
        <v>2</v>
      </c>
      <c r="W10560" s="21">
        <v>0</v>
      </c>
      <c r="Y10560" s="21">
        <v>0</v>
      </c>
      <c r="Z10560" s="21">
        <v>0</v>
      </c>
      <c r="AA10560" s="21">
        <v>0</v>
      </c>
      <c r="AB10560" s="21">
        <v>0</v>
      </c>
      <c r="AC10560" s="21">
        <v>0</v>
      </c>
      <c r="AD10560" s="21">
        <v>0</v>
      </c>
      <c r="AE10560" s="21">
        <v>0</v>
      </c>
      <c r="AF10560" s="21">
        <v>0</v>
      </c>
      <c r="AG10560" s="21">
        <v>0</v>
      </c>
      <c r="AH10560" s="21">
        <v>0</v>
      </c>
      <c r="AI10560" s="21">
        <f t="shared" si="233"/>
        <v>160</v>
      </c>
      <c r="AJ10560" s="21" t="s">
        <v>51</v>
      </c>
      <c r="AK10560" s="21" t="s">
        <v>95</v>
      </c>
      <c r="AL10560" s="21" t="s">
        <v>8628</v>
      </c>
      <c r="AM10560" s="21" t="s">
        <v>6591</v>
      </c>
      <c r="AN10560" s="21">
        <v>-122.40829986666699</v>
      </c>
      <c r="AO10560" s="21">
        <v>37.803877133333302</v>
      </c>
      <c r="AP10560" s="21" t="s">
        <v>116</v>
      </c>
    </row>
    <row r="10561" spans="1:42">
      <c r="A10561" s="20">
        <v>43881</v>
      </c>
      <c r="B10561" s="21">
        <v>4</v>
      </c>
      <c r="C10561" s="21">
        <v>302</v>
      </c>
      <c r="D10561" s="21">
        <v>10415</v>
      </c>
      <c r="E10561" s="7" t="s">
        <v>37</v>
      </c>
      <c r="F10561" s="21" t="s">
        <v>38</v>
      </c>
      <c r="G10561" s="21">
        <v>1</v>
      </c>
      <c r="I10561" s="21" t="s">
        <v>6595</v>
      </c>
      <c r="K10561" s="21" t="s">
        <v>324</v>
      </c>
      <c r="N10561" s="21" t="s">
        <v>42</v>
      </c>
      <c r="O10561" s="21">
        <v>121</v>
      </c>
      <c r="Q10561" s="21">
        <f t="shared" si="232"/>
        <v>2</v>
      </c>
      <c r="R10561" s="21">
        <v>1</v>
      </c>
      <c r="S10561" s="21">
        <v>0</v>
      </c>
      <c r="T10561" s="21">
        <v>0</v>
      </c>
      <c r="U10561" s="21">
        <v>2</v>
      </c>
      <c r="V10561" s="21">
        <v>0</v>
      </c>
      <c r="W10561" s="21">
        <v>0</v>
      </c>
      <c r="Y10561" s="21">
        <v>0</v>
      </c>
      <c r="Z10561" s="21">
        <v>0</v>
      </c>
      <c r="AA10561" s="21">
        <v>0</v>
      </c>
      <c r="AB10561" s="21">
        <v>0</v>
      </c>
      <c r="AC10561" s="21">
        <v>0</v>
      </c>
      <c r="AD10561" s="21">
        <v>0</v>
      </c>
      <c r="AE10561" s="21">
        <v>0</v>
      </c>
      <c r="AF10561" s="21">
        <v>0</v>
      </c>
      <c r="AG10561" s="21">
        <v>0</v>
      </c>
      <c r="AH10561" s="21">
        <v>0</v>
      </c>
      <c r="AI10561" s="21">
        <f t="shared" si="233"/>
        <v>64</v>
      </c>
      <c r="AJ10561" s="21" t="s">
        <v>51</v>
      </c>
      <c r="AK10561" s="21" t="s">
        <v>95</v>
      </c>
      <c r="AL10561" s="21"/>
      <c r="AM10561" s="21" t="s">
        <v>6594</v>
      </c>
      <c r="AN10561" s="21">
        <v>-122.40693431666701</v>
      </c>
      <c r="AO10561" s="21">
        <v>37.804435533333297</v>
      </c>
      <c r="AP10561" s="21" t="s">
        <v>116</v>
      </c>
    </row>
    <row r="10562" spans="1:42">
      <c r="A10562" s="20">
        <v>43881</v>
      </c>
      <c r="B10562" s="21">
        <v>4</v>
      </c>
      <c r="C10562" s="21">
        <v>302</v>
      </c>
      <c r="D10562" s="21">
        <v>10415</v>
      </c>
      <c r="E10562" s="7" t="s">
        <v>37</v>
      </c>
      <c r="F10562" s="21" t="s">
        <v>38</v>
      </c>
      <c r="G10562" s="21">
        <v>1</v>
      </c>
      <c r="I10562" s="21" t="s">
        <v>3671</v>
      </c>
      <c r="K10562" s="21" t="s">
        <v>324</v>
      </c>
      <c r="N10562" s="21" t="s">
        <v>40</v>
      </c>
      <c r="O10562" s="21">
        <v>91</v>
      </c>
      <c r="Q10562" s="21">
        <f t="shared" si="232"/>
        <v>2</v>
      </c>
      <c r="R10562" s="21">
        <v>1</v>
      </c>
      <c r="S10562" s="21">
        <v>0</v>
      </c>
      <c r="T10562" s="21">
        <v>0</v>
      </c>
      <c r="U10562" s="21">
        <v>2</v>
      </c>
      <c r="V10562" s="21">
        <v>0</v>
      </c>
      <c r="W10562" s="21">
        <v>0</v>
      </c>
      <c r="Y10562" s="21">
        <v>0</v>
      </c>
      <c r="Z10562" s="21">
        <v>0</v>
      </c>
      <c r="AA10562" s="21">
        <v>0</v>
      </c>
      <c r="AB10562" s="21">
        <v>0</v>
      </c>
      <c r="AC10562" s="21">
        <v>0</v>
      </c>
      <c r="AD10562" s="21">
        <v>0</v>
      </c>
      <c r="AE10562" s="21">
        <v>0</v>
      </c>
      <c r="AF10562" s="21">
        <v>0</v>
      </c>
      <c r="AG10562" s="21">
        <v>0</v>
      </c>
      <c r="AH10562" s="21">
        <v>0</v>
      </c>
      <c r="AI10562" s="21">
        <f t="shared" si="233"/>
        <v>64</v>
      </c>
      <c r="AJ10562" s="21" t="s">
        <v>51</v>
      </c>
      <c r="AK10562" s="21" t="s">
        <v>95</v>
      </c>
      <c r="AL10562" s="21"/>
      <c r="AM10562" s="21" t="s">
        <v>6596</v>
      </c>
      <c r="AN10562" s="21">
        <v>-122.406602466667</v>
      </c>
      <c r="AO10562" s="21">
        <v>37.804535950000002</v>
      </c>
      <c r="AP10562" s="21" t="s">
        <v>116</v>
      </c>
    </row>
    <row r="10563" spans="1:42">
      <c r="A10563" s="20">
        <v>43881</v>
      </c>
      <c r="B10563" s="21">
        <v>4</v>
      </c>
      <c r="C10563" s="21">
        <v>302</v>
      </c>
      <c r="D10563" s="21">
        <v>10415</v>
      </c>
      <c r="E10563" s="7" t="s">
        <v>37</v>
      </c>
      <c r="F10563" s="21" t="s">
        <v>38</v>
      </c>
      <c r="G10563" s="21">
        <v>1</v>
      </c>
      <c r="I10563" s="21" t="s">
        <v>6598</v>
      </c>
      <c r="K10563" s="21" t="s">
        <v>324</v>
      </c>
      <c r="N10563" s="21" t="s">
        <v>40</v>
      </c>
      <c r="O10563" s="21"/>
      <c r="Q10563" s="21">
        <f t="shared" si="232"/>
        <v>4</v>
      </c>
      <c r="R10563" s="21">
        <v>1</v>
      </c>
      <c r="S10563" s="21">
        <v>0</v>
      </c>
      <c r="T10563" s="21">
        <v>0</v>
      </c>
      <c r="U10563" s="21">
        <v>3</v>
      </c>
      <c r="V10563" s="21">
        <v>1</v>
      </c>
      <c r="W10563" s="21">
        <v>0</v>
      </c>
      <c r="Y10563" s="21">
        <v>0</v>
      </c>
      <c r="Z10563" s="21">
        <v>0</v>
      </c>
      <c r="AA10563" s="21">
        <v>0</v>
      </c>
      <c r="AB10563" s="21">
        <v>0</v>
      </c>
      <c r="AC10563" s="21">
        <v>0</v>
      </c>
      <c r="AD10563" s="21">
        <v>0</v>
      </c>
      <c r="AE10563" s="21">
        <v>0</v>
      </c>
      <c r="AF10563" s="21">
        <v>0</v>
      </c>
      <c r="AG10563" s="21">
        <v>0</v>
      </c>
      <c r="AH10563" s="21">
        <v>0</v>
      </c>
      <c r="AI10563" s="21">
        <f t="shared" ref="AI10563:AI10574" si="234">(S10563*16)+(T10563*20)+(U10563*32)+(V10563*64)+(W10563*96)</f>
        <v>160</v>
      </c>
      <c r="AJ10563" s="21" t="s">
        <v>51</v>
      </c>
      <c r="AK10563" s="21" t="s">
        <v>95</v>
      </c>
      <c r="AL10563" s="21"/>
      <c r="AM10563" s="21" t="s">
        <v>6597</v>
      </c>
      <c r="AN10563" s="21">
        <v>-122.40743392763</v>
      </c>
      <c r="AO10563" s="21">
        <v>37.803683292788001</v>
      </c>
      <c r="AP10563" s="21" t="s">
        <v>116</v>
      </c>
    </row>
    <row r="10564" spans="1:42">
      <c r="A10564" s="20">
        <v>43881</v>
      </c>
      <c r="B10564" s="21">
        <v>4</v>
      </c>
      <c r="C10564" s="21">
        <v>302</v>
      </c>
      <c r="D10564" s="21">
        <v>10415</v>
      </c>
      <c r="E10564" s="7" t="s">
        <v>37</v>
      </c>
      <c r="F10564" s="21" t="s">
        <v>38</v>
      </c>
      <c r="G10564" s="21">
        <v>1</v>
      </c>
      <c r="I10564" s="21" t="s">
        <v>6237</v>
      </c>
      <c r="K10564" s="21" t="s">
        <v>213</v>
      </c>
      <c r="N10564" s="21" t="s">
        <v>40</v>
      </c>
      <c r="O10564" s="21">
        <v>63</v>
      </c>
      <c r="Q10564" s="21">
        <f t="shared" si="232"/>
        <v>2</v>
      </c>
      <c r="R10564" s="21">
        <v>1</v>
      </c>
      <c r="S10564" s="21">
        <v>0</v>
      </c>
      <c r="T10564" s="21">
        <v>0</v>
      </c>
      <c r="U10564" s="21">
        <v>1</v>
      </c>
      <c r="V10564" s="21">
        <v>1</v>
      </c>
      <c r="W10564" s="21">
        <v>0</v>
      </c>
      <c r="Y10564" s="21">
        <v>0</v>
      </c>
      <c r="Z10564" s="21">
        <v>0</v>
      </c>
      <c r="AA10564" s="21">
        <v>0</v>
      </c>
      <c r="AB10564" s="21">
        <v>0</v>
      </c>
      <c r="AC10564" s="21">
        <v>0</v>
      </c>
      <c r="AD10564" s="21">
        <v>0</v>
      </c>
      <c r="AE10564" s="21">
        <v>0</v>
      </c>
      <c r="AF10564" s="21">
        <v>0</v>
      </c>
      <c r="AG10564" s="21">
        <v>0</v>
      </c>
      <c r="AH10564" s="21">
        <v>0</v>
      </c>
      <c r="AI10564" s="21">
        <f t="shared" si="234"/>
        <v>96</v>
      </c>
      <c r="AJ10564" s="21" t="s">
        <v>51</v>
      </c>
      <c r="AK10564" s="21" t="s">
        <v>95</v>
      </c>
      <c r="AL10564" s="21"/>
      <c r="AM10564" s="21" t="s">
        <v>6599</v>
      </c>
      <c r="AN10564" s="21">
        <v>-122.40813541666699</v>
      </c>
      <c r="AO10564" s="21">
        <v>37.804384083333296</v>
      </c>
      <c r="AP10564" s="21" t="s">
        <v>116</v>
      </c>
    </row>
    <row r="10565" spans="1:42">
      <c r="A10565" s="20">
        <v>43881</v>
      </c>
      <c r="B10565" s="21">
        <v>4</v>
      </c>
      <c r="C10565" s="21">
        <v>302</v>
      </c>
      <c r="D10565" s="21">
        <v>10415</v>
      </c>
      <c r="E10565" s="7" t="s">
        <v>37</v>
      </c>
      <c r="F10565" s="21" t="s">
        <v>38</v>
      </c>
      <c r="G10565" s="21">
        <v>1</v>
      </c>
      <c r="I10565" s="21" t="s">
        <v>6601</v>
      </c>
      <c r="K10565" s="21" t="s">
        <v>213</v>
      </c>
      <c r="N10565" s="21" t="s">
        <v>44</v>
      </c>
      <c r="O10565" s="21">
        <v>79</v>
      </c>
      <c r="Q10565" s="21">
        <f t="shared" si="232"/>
        <v>1</v>
      </c>
      <c r="R10565" s="21">
        <v>1</v>
      </c>
      <c r="S10565" s="21">
        <v>0</v>
      </c>
      <c r="T10565" s="21">
        <v>0</v>
      </c>
      <c r="U10565" s="21">
        <v>0</v>
      </c>
      <c r="V10565" s="21">
        <v>1</v>
      </c>
      <c r="W10565" s="21">
        <v>0</v>
      </c>
      <c r="Y10565" s="21">
        <v>0</v>
      </c>
      <c r="Z10565" s="21">
        <v>0</v>
      </c>
      <c r="AA10565" s="21">
        <v>0</v>
      </c>
      <c r="AB10565" s="21">
        <v>0</v>
      </c>
      <c r="AC10565" s="21">
        <v>0</v>
      </c>
      <c r="AD10565" s="21">
        <v>0</v>
      </c>
      <c r="AE10565" s="21">
        <v>0</v>
      </c>
      <c r="AF10565" s="21">
        <v>0</v>
      </c>
      <c r="AG10565" s="21">
        <v>0</v>
      </c>
      <c r="AH10565" s="21">
        <v>0</v>
      </c>
      <c r="AI10565" s="21">
        <f t="shared" si="234"/>
        <v>64</v>
      </c>
      <c r="AJ10565" s="21" t="s">
        <v>51</v>
      </c>
      <c r="AK10565" s="21" t="s">
        <v>95</v>
      </c>
      <c r="AL10565" s="21"/>
      <c r="AM10565" s="21" t="s">
        <v>6600</v>
      </c>
      <c r="AN10565" s="21">
        <v>-122.406756283333</v>
      </c>
      <c r="AO10565" s="21">
        <v>37.802621633333302</v>
      </c>
      <c r="AP10565" s="21" t="s">
        <v>116</v>
      </c>
    </row>
    <row r="10566" spans="1:42">
      <c r="A10566" s="20">
        <v>43881</v>
      </c>
      <c r="B10566" s="21">
        <v>4</v>
      </c>
      <c r="C10566" s="21">
        <v>302</v>
      </c>
      <c r="D10566" s="21">
        <v>10415</v>
      </c>
      <c r="E10566" s="7" t="s">
        <v>37</v>
      </c>
      <c r="F10566" s="21" t="s">
        <v>38</v>
      </c>
      <c r="G10566" s="21">
        <v>1</v>
      </c>
      <c r="I10566" s="21" t="s">
        <v>6221</v>
      </c>
      <c r="K10566" s="21" t="s">
        <v>213</v>
      </c>
      <c r="N10566" s="21" t="s">
        <v>44</v>
      </c>
      <c r="O10566" s="21">
        <v>158</v>
      </c>
      <c r="Q10566" s="21">
        <f t="shared" si="232"/>
        <v>1</v>
      </c>
      <c r="R10566" s="21">
        <v>1</v>
      </c>
      <c r="S10566" s="21">
        <v>0</v>
      </c>
      <c r="T10566" s="21">
        <v>0</v>
      </c>
      <c r="U10566" s="21">
        <v>1</v>
      </c>
      <c r="V10566" s="21">
        <v>0</v>
      </c>
      <c r="W10566" s="21">
        <v>0</v>
      </c>
      <c r="Y10566" s="21">
        <v>0</v>
      </c>
      <c r="Z10566" s="21">
        <v>0</v>
      </c>
      <c r="AA10566" s="21">
        <v>0</v>
      </c>
      <c r="AB10566" s="21">
        <v>0</v>
      </c>
      <c r="AC10566" s="21">
        <v>0</v>
      </c>
      <c r="AD10566" s="21">
        <v>0</v>
      </c>
      <c r="AE10566" s="21">
        <v>0</v>
      </c>
      <c r="AF10566" s="21">
        <v>0</v>
      </c>
      <c r="AG10566" s="21">
        <v>0</v>
      </c>
      <c r="AH10566" s="21">
        <v>0</v>
      </c>
      <c r="AI10566" s="21">
        <f t="shared" si="234"/>
        <v>32</v>
      </c>
      <c r="AJ10566" s="21" t="s">
        <v>51</v>
      </c>
      <c r="AK10566" s="21" t="s">
        <v>95</v>
      </c>
      <c r="AL10566" s="21" t="s">
        <v>8629</v>
      </c>
      <c r="AM10566" s="21" t="s">
        <v>6602</v>
      </c>
      <c r="AN10566" s="21">
        <v>-122.40667171666701</v>
      </c>
      <c r="AO10566" s="21">
        <v>37.802607166666597</v>
      </c>
      <c r="AP10566" s="21" t="s">
        <v>116</v>
      </c>
    </row>
    <row r="10567" spans="1:42">
      <c r="A10567" s="20">
        <v>43881</v>
      </c>
      <c r="B10567" s="21">
        <v>4</v>
      </c>
      <c r="C10567" s="21">
        <v>302</v>
      </c>
      <c r="D10567" s="21">
        <v>10415</v>
      </c>
      <c r="E10567" s="7" t="s">
        <v>37</v>
      </c>
      <c r="F10567" s="21" t="s">
        <v>38</v>
      </c>
      <c r="G10567" s="21">
        <v>1</v>
      </c>
      <c r="I10567" s="21" t="s">
        <v>6605</v>
      </c>
      <c r="K10567" s="21" t="s">
        <v>213</v>
      </c>
      <c r="N10567" s="21" t="s">
        <v>44</v>
      </c>
      <c r="O10567" s="21">
        <v>240</v>
      </c>
      <c r="Q10567" s="21">
        <f t="shared" si="232"/>
        <v>1</v>
      </c>
      <c r="R10567" s="21">
        <v>1</v>
      </c>
      <c r="S10567" s="21">
        <v>0</v>
      </c>
      <c r="T10567" s="21">
        <v>0</v>
      </c>
      <c r="U10567" s="21">
        <v>0</v>
      </c>
      <c r="V10567" s="21">
        <v>1</v>
      </c>
      <c r="W10567" s="21">
        <v>0</v>
      </c>
      <c r="Y10567" s="21">
        <v>0</v>
      </c>
      <c r="Z10567" s="21">
        <v>0</v>
      </c>
      <c r="AA10567" s="21">
        <v>0</v>
      </c>
      <c r="AB10567" s="21">
        <v>0</v>
      </c>
      <c r="AC10567" s="21">
        <v>0</v>
      </c>
      <c r="AD10567" s="21">
        <v>0</v>
      </c>
      <c r="AE10567" s="21">
        <v>0</v>
      </c>
      <c r="AF10567" s="21">
        <v>0</v>
      </c>
      <c r="AG10567" s="21">
        <v>0</v>
      </c>
      <c r="AH10567" s="21">
        <v>0</v>
      </c>
      <c r="AI10567" s="21">
        <f t="shared" si="234"/>
        <v>64</v>
      </c>
      <c r="AJ10567" s="21" t="s">
        <v>51</v>
      </c>
      <c r="AK10567" s="21" t="s">
        <v>95</v>
      </c>
      <c r="AL10567" s="21" t="s">
        <v>8630</v>
      </c>
      <c r="AM10567" s="21" t="s">
        <v>6604</v>
      </c>
      <c r="AN10567" s="21">
        <v>-122.40713785</v>
      </c>
      <c r="AO10567" s="21">
        <v>37.802600033333299</v>
      </c>
      <c r="AP10567" s="21" t="s">
        <v>116</v>
      </c>
    </row>
    <row r="10568" spans="1:42">
      <c r="A10568" s="20">
        <v>43881</v>
      </c>
      <c r="B10568" s="21">
        <v>4</v>
      </c>
      <c r="C10568" s="21">
        <v>302</v>
      </c>
      <c r="D10568" s="21">
        <v>10415</v>
      </c>
      <c r="E10568" s="7" t="s">
        <v>37</v>
      </c>
      <c r="F10568" s="21" t="s">
        <v>38</v>
      </c>
      <c r="G10568" s="21">
        <v>1</v>
      </c>
      <c r="I10568" s="21" t="s">
        <v>6068</v>
      </c>
      <c r="K10568" s="21" t="s">
        <v>103</v>
      </c>
      <c r="N10568" s="21" t="s">
        <v>44</v>
      </c>
      <c r="O10568" s="21">
        <v>111</v>
      </c>
      <c r="Q10568" s="21">
        <f t="shared" si="232"/>
        <v>2</v>
      </c>
      <c r="R10568" s="21">
        <v>1</v>
      </c>
      <c r="S10568" s="21">
        <v>0</v>
      </c>
      <c r="T10568" s="21">
        <v>0</v>
      </c>
      <c r="U10568" s="21">
        <v>0</v>
      </c>
      <c r="V10568" s="21">
        <v>2</v>
      </c>
      <c r="W10568" s="21">
        <v>0</v>
      </c>
      <c r="Y10568" s="21">
        <v>0</v>
      </c>
      <c r="Z10568" s="21">
        <v>0</v>
      </c>
      <c r="AA10568" s="21">
        <v>0</v>
      </c>
      <c r="AB10568" s="21">
        <v>0</v>
      </c>
      <c r="AC10568" s="21">
        <v>0</v>
      </c>
      <c r="AD10568" s="21">
        <v>0</v>
      </c>
      <c r="AE10568" s="21">
        <v>0</v>
      </c>
      <c r="AF10568" s="21">
        <v>0</v>
      </c>
      <c r="AG10568" s="21">
        <v>0</v>
      </c>
      <c r="AH10568" s="21">
        <v>0</v>
      </c>
      <c r="AI10568" s="21">
        <f t="shared" si="234"/>
        <v>128</v>
      </c>
      <c r="AJ10568" s="21" t="s">
        <v>51</v>
      </c>
      <c r="AK10568" s="21" t="s">
        <v>95</v>
      </c>
      <c r="AL10568" s="21" t="s">
        <v>8631</v>
      </c>
      <c r="AM10568" s="21" t="s">
        <v>6607</v>
      </c>
      <c r="AN10568" s="21">
        <v>-122.407402566667</v>
      </c>
      <c r="AO10568" s="21">
        <v>37.802542216666701</v>
      </c>
      <c r="AP10568" s="21" t="s">
        <v>116</v>
      </c>
    </row>
    <row r="10569" spans="1:42">
      <c r="A10569" s="20">
        <v>43881</v>
      </c>
      <c r="B10569" s="21">
        <v>4</v>
      </c>
      <c r="C10569" s="21">
        <v>302</v>
      </c>
      <c r="D10569" s="21">
        <v>10415</v>
      </c>
      <c r="E10569" s="7" t="s">
        <v>37</v>
      </c>
      <c r="F10569" s="21" t="s">
        <v>38</v>
      </c>
      <c r="G10569" s="21">
        <v>1</v>
      </c>
      <c r="I10569" s="21" t="s">
        <v>6609</v>
      </c>
      <c r="K10569" s="21" t="s">
        <v>103</v>
      </c>
      <c r="N10569" s="21" t="s">
        <v>44</v>
      </c>
      <c r="O10569" s="21">
        <v>117</v>
      </c>
      <c r="Q10569" s="21">
        <f t="shared" si="232"/>
        <v>1</v>
      </c>
      <c r="R10569" s="21">
        <v>1</v>
      </c>
      <c r="S10569" s="21">
        <v>0</v>
      </c>
      <c r="T10569" s="21">
        <v>0</v>
      </c>
      <c r="U10569" s="21">
        <v>0</v>
      </c>
      <c r="V10569" s="21">
        <v>1</v>
      </c>
      <c r="W10569" s="21">
        <v>0</v>
      </c>
      <c r="Y10569" s="21">
        <v>0</v>
      </c>
      <c r="Z10569" s="21">
        <v>0</v>
      </c>
      <c r="AA10569" s="21">
        <v>0</v>
      </c>
      <c r="AB10569" s="21">
        <v>0</v>
      </c>
      <c r="AC10569" s="21">
        <v>0</v>
      </c>
      <c r="AD10569" s="21">
        <v>0</v>
      </c>
      <c r="AE10569" s="21">
        <v>0</v>
      </c>
      <c r="AF10569" s="21">
        <v>0</v>
      </c>
      <c r="AG10569" s="21">
        <v>0</v>
      </c>
      <c r="AH10569" s="21">
        <v>0</v>
      </c>
      <c r="AI10569" s="21">
        <f t="shared" si="234"/>
        <v>64</v>
      </c>
      <c r="AJ10569" s="21" t="s">
        <v>51</v>
      </c>
      <c r="AK10569" s="21" t="s">
        <v>95</v>
      </c>
      <c r="AL10569" s="21"/>
      <c r="AM10569" s="21" t="s">
        <v>6608</v>
      </c>
      <c r="AN10569" s="21">
        <v>-122.41435686666701</v>
      </c>
      <c r="AO10569" s="21">
        <v>37.792844233333298</v>
      </c>
      <c r="AP10569" s="21" t="s">
        <v>116</v>
      </c>
    </row>
    <row r="10570" spans="1:42">
      <c r="A10570" s="20">
        <v>43881</v>
      </c>
      <c r="B10570" s="21">
        <v>4</v>
      </c>
      <c r="C10570" s="21">
        <v>302</v>
      </c>
      <c r="D10570" s="21">
        <v>10415</v>
      </c>
      <c r="E10570" s="7" t="s">
        <v>37</v>
      </c>
      <c r="F10570" s="21" t="s">
        <v>38</v>
      </c>
      <c r="G10570" s="21">
        <v>1</v>
      </c>
      <c r="I10570" s="21" t="s">
        <v>3159</v>
      </c>
      <c r="K10570" s="21" t="s">
        <v>103</v>
      </c>
      <c r="N10570" s="21" t="s">
        <v>44</v>
      </c>
      <c r="O10570" s="21">
        <v>98</v>
      </c>
      <c r="Q10570" s="21">
        <f t="shared" si="232"/>
        <v>1</v>
      </c>
      <c r="R10570" s="21">
        <v>1</v>
      </c>
      <c r="S10570" s="21">
        <v>0</v>
      </c>
      <c r="T10570" s="21">
        <v>0</v>
      </c>
      <c r="U10570" s="21">
        <v>0</v>
      </c>
      <c r="V10570" s="21">
        <v>1</v>
      </c>
      <c r="W10570" s="21">
        <v>0</v>
      </c>
      <c r="Y10570" s="21">
        <v>0</v>
      </c>
      <c r="Z10570" s="21">
        <v>0</v>
      </c>
      <c r="AA10570" s="21">
        <v>0</v>
      </c>
      <c r="AB10570" s="21">
        <v>0</v>
      </c>
      <c r="AC10570" s="21">
        <v>0</v>
      </c>
      <c r="AD10570" s="21">
        <v>0</v>
      </c>
      <c r="AE10570" s="21">
        <v>0</v>
      </c>
      <c r="AF10570" s="21">
        <v>0</v>
      </c>
      <c r="AG10570" s="21">
        <v>0</v>
      </c>
      <c r="AH10570" s="21">
        <v>0</v>
      </c>
      <c r="AI10570" s="21">
        <f t="shared" si="234"/>
        <v>64</v>
      </c>
      <c r="AJ10570" s="21" t="s">
        <v>51</v>
      </c>
      <c r="AK10570" s="21" t="s">
        <v>95</v>
      </c>
      <c r="AL10570" s="21"/>
      <c r="AM10570" s="21" t="s">
        <v>6610</v>
      </c>
      <c r="AN10570" s="21">
        <v>-122.41446651666701</v>
      </c>
      <c r="AO10570" s="21">
        <v>37.792941366666703</v>
      </c>
      <c r="AP10570" s="21" t="s">
        <v>116</v>
      </c>
    </row>
    <row r="10571" spans="1:42">
      <c r="A10571" s="20">
        <v>43881</v>
      </c>
      <c r="B10571" s="21">
        <v>4</v>
      </c>
      <c r="C10571" s="21">
        <v>302</v>
      </c>
      <c r="D10571" s="21">
        <v>10415</v>
      </c>
      <c r="E10571" s="7" t="s">
        <v>37</v>
      </c>
      <c r="F10571" s="21" t="s">
        <v>38</v>
      </c>
      <c r="G10571" s="21">
        <v>1</v>
      </c>
      <c r="I10571" s="21" t="s">
        <v>6612</v>
      </c>
      <c r="K10571" s="21" t="s">
        <v>103</v>
      </c>
      <c r="N10571" s="21" t="s">
        <v>44</v>
      </c>
      <c r="O10571" s="21">
        <v>100</v>
      </c>
      <c r="Q10571" s="21">
        <f t="shared" si="232"/>
        <v>3</v>
      </c>
      <c r="R10571" s="21">
        <v>1</v>
      </c>
      <c r="S10571" s="21">
        <v>0</v>
      </c>
      <c r="T10571" s="21">
        <v>0</v>
      </c>
      <c r="U10571" s="21">
        <v>0</v>
      </c>
      <c r="V10571" s="21">
        <v>3</v>
      </c>
      <c r="W10571" s="21">
        <v>0</v>
      </c>
      <c r="Y10571" s="21">
        <v>0</v>
      </c>
      <c r="Z10571" s="21">
        <v>0</v>
      </c>
      <c r="AA10571" s="21">
        <v>0</v>
      </c>
      <c r="AB10571" s="21">
        <v>0</v>
      </c>
      <c r="AC10571" s="21">
        <v>0</v>
      </c>
      <c r="AD10571" s="21">
        <v>0</v>
      </c>
      <c r="AE10571" s="21">
        <v>0</v>
      </c>
      <c r="AF10571" s="21">
        <v>0</v>
      </c>
      <c r="AG10571" s="21">
        <v>0</v>
      </c>
      <c r="AH10571" s="21">
        <v>0</v>
      </c>
      <c r="AI10571" s="21">
        <f t="shared" si="234"/>
        <v>192</v>
      </c>
      <c r="AJ10571" s="21" t="s">
        <v>51</v>
      </c>
      <c r="AK10571" s="21" t="s">
        <v>52</v>
      </c>
      <c r="AL10571" s="21" t="s">
        <v>515</v>
      </c>
      <c r="AM10571" s="21" t="s">
        <v>6611</v>
      </c>
      <c r="AN10571" s="21">
        <v>-122.4144446</v>
      </c>
      <c r="AO10571" s="21">
        <v>37.792667216666601</v>
      </c>
      <c r="AP10571" s="21" t="s">
        <v>116</v>
      </c>
    </row>
    <row r="10572" spans="1:42">
      <c r="A10572" s="20">
        <v>43881</v>
      </c>
      <c r="B10572" s="21">
        <v>4</v>
      </c>
      <c r="C10572" s="21">
        <v>302</v>
      </c>
      <c r="D10572" s="21">
        <v>10415</v>
      </c>
      <c r="E10572" s="7" t="s">
        <v>37</v>
      </c>
      <c r="F10572" s="21" t="s">
        <v>38</v>
      </c>
      <c r="G10572" s="21">
        <v>1</v>
      </c>
      <c r="I10572" s="21" t="s">
        <v>3225</v>
      </c>
      <c r="K10572" s="21" t="s">
        <v>2125</v>
      </c>
      <c r="N10572" s="21" t="s">
        <v>40</v>
      </c>
      <c r="O10572" s="21">
        <v>66</v>
      </c>
      <c r="Q10572" s="21">
        <f t="shared" si="232"/>
        <v>2</v>
      </c>
      <c r="R10572" s="21">
        <v>1</v>
      </c>
      <c r="S10572" s="21">
        <v>0</v>
      </c>
      <c r="T10572" s="21">
        <v>0</v>
      </c>
      <c r="U10572" s="21">
        <v>0</v>
      </c>
      <c r="V10572" s="21">
        <v>2</v>
      </c>
      <c r="W10572" s="21">
        <v>0</v>
      </c>
      <c r="Y10572" s="21">
        <v>0</v>
      </c>
      <c r="Z10572" s="21">
        <v>0</v>
      </c>
      <c r="AA10572" s="21">
        <v>0</v>
      </c>
      <c r="AB10572" s="21">
        <v>0</v>
      </c>
      <c r="AC10572" s="21">
        <v>0</v>
      </c>
      <c r="AD10572" s="21">
        <v>0</v>
      </c>
      <c r="AE10572" s="21">
        <v>0</v>
      </c>
      <c r="AF10572" s="21">
        <v>0</v>
      </c>
      <c r="AG10572" s="21">
        <v>0</v>
      </c>
      <c r="AH10572" s="21">
        <v>0</v>
      </c>
      <c r="AI10572" s="21">
        <f t="shared" si="234"/>
        <v>128</v>
      </c>
      <c r="AJ10572" s="21" t="s">
        <v>51</v>
      </c>
      <c r="AK10572" s="21" t="s">
        <v>95</v>
      </c>
      <c r="AL10572" s="21"/>
      <c r="AM10572" s="21" t="s">
        <v>6613</v>
      </c>
      <c r="AN10572" s="21">
        <v>-122.414402183333</v>
      </c>
      <c r="AO10572" s="21">
        <v>37.792691683333302</v>
      </c>
      <c r="AP10572" s="21" t="s">
        <v>116</v>
      </c>
    </row>
    <row r="10573" spans="1:42">
      <c r="A10573" s="20">
        <v>43881</v>
      </c>
      <c r="B10573" s="21">
        <v>4</v>
      </c>
      <c r="C10573" s="21">
        <v>302</v>
      </c>
      <c r="D10573" s="21">
        <v>10415</v>
      </c>
      <c r="E10573" s="7" t="s">
        <v>37</v>
      </c>
      <c r="F10573" s="21" t="s">
        <v>38</v>
      </c>
      <c r="G10573" s="21">
        <v>1</v>
      </c>
      <c r="I10573" s="21" t="s">
        <v>3369</v>
      </c>
      <c r="K10573" s="21" t="s">
        <v>91</v>
      </c>
      <c r="N10573" s="21" t="s">
        <v>42</v>
      </c>
      <c r="O10573" s="21">
        <v>118</v>
      </c>
      <c r="Q10573" s="21">
        <f t="shared" si="232"/>
        <v>2</v>
      </c>
      <c r="R10573" s="21">
        <v>1</v>
      </c>
      <c r="S10573" s="21">
        <v>0</v>
      </c>
      <c r="T10573" s="21">
        <v>0</v>
      </c>
      <c r="U10573" s="21">
        <v>0</v>
      </c>
      <c r="V10573" s="21">
        <v>2</v>
      </c>
      <c r="W10573" s="21">
        <v>0</v>
      </c>
      <c r="Y10573" s="21">
        <v>0</v>
      </c>
      <c r="Z10573" s="21">
        <v>0</v>
      </c>
      <c r="AA10573" s="21">
        <v>0</v>
      </c>
      <c r="AB10573" s="21">
        <v>0</v>
      </c>
      <c r="AC10573" s="21">
        <v>0</v>
      </c>
      <c r="AD10573" s="21">
        <v>0</v>
      </c>
      <c r="AE10573" s="21">
        <v>0</v>
      </c>
      <c r="AF10573" s="21">
        <v>0</v>
      </c>
      <c r="AG10573" s="21">
        <v>0</v>
      </c>
      <c r="AH10573" s="21">
        <v>0</v>
      </c>
      <c r="AI10573" s="21">
        <f t="shared" si="234"/>
        <v>128</v>
      </c>
      <c r="AJ10573" s="21" t="s">
        <v>51</v>
      </c>
      <c r="AK10573" s="21" t="s">
        <v>95</v>
      </c>
      <c r="AL10573" s="21"/>
      <c r="AM10573" s="21" t="s">
        <v>6614</v>
      </c>
      <c r="AN10573" s="21">
        <v>-122.41194976666699</v>
      </c>
      <c r="AO10573" s="21">
        <v>37.792491149999996</v>
      </c>
      <c r="AP10573" s="21" t="s">
        <v>116</v>
      </c>
    </row>
    <row r="10574" spans="1:42">
      <c r="A10574" s="20">
        <v>43881</v>
      </c>
      <c r="B10574" s="21">
        <v>4</v>
      </c>
      <c r="C10574" s="21">
        <v>302</v>
      </c>
      <c r="D10574" s="21">
        <v>10415</v>
      </c>
      <c r="E10574" s="7" t="s">
        <v>37</v>
      </c>
      <c r="F10574" s="21" t="s">
        <v>38</v>
      </c>
      <c r="G10574" s="21">
        <v>1</v>
      </c>
      <c r="I10574" s="21" t="s">
        <v>3005</v>
      </c>
      <c r="K10574" s="21" t="s">
        <v>1446</v>
      </c>
      <c r="N10574" s="21" t="s">
        <v>44</v>
      </c>
      <c r="O10574" s="21">
        <v>180</v>
      </c>
      <c r="Q10574" s="21">
        <f t="shared" si="232"/>
        <v>1</v>
      </c>
      <c r="R10574" s="21">
        <v>1</v>
      </c>
      <c r="S10574" s="21">
        <v>0</v>
      </c>
      <c r="T10574" s="21">
        <v>0</v>
      </c>
      <c r="U10574" s="21">
        <v>0</v>
      </c>
      <c r="V10574" s="21">
        <v>1</v>
      </c>
      <c r="W10574" s="21">
        <v>0</v>
      </c>
      <c r="Y10574" s="21">
        <v>0</v>
      </c>
      <c r="Z10574" s="21">
        <v>0</v>
      </c>
      <c r="AA10574" s="21">
        <v>0</v>
      </c>
      <c r="AB10574" s="21">
        <v>0</v>
      </c>
      <c r="AC10574" s="21">
        <v>0</v>
      </c>
      <c r="AD10574" s="21">
        <v>0</v>
      </c>
      <c r="AE10574" s="21">
        <v>0</v>
      </c>
      <c r="AF10574" s="21">
        <v>0</v>
      </c>
      <c r="AG10574" s="21">
        <v>0</v>
      </c>
      <c r="AH10574" s="21">
        <v>0</v>
      </c>
      <c r="AI10574" s="21">
        <f t="shared" si="234"/>
        <v>64</v>
      </c>
      <c r="AJ10574" s="21" t="s">
        <v>51</v>
      </c>
      <c r="AK10574" s="21" t="s">
        <v>95</v>
      </c>
      <c r="AL10574" s="21" t="s">
        <v>8632</v>
      </c>
      <c r="AM10574" s="21" t="s">
        <v>6615</v>
      </c>
      <c r="AN10574" s="21">
        <v>-122.415802333333</v>
      </c>
      <c r="AO10574" s="21">
        <v>37.792184183333298</v>
      </c>
      <c r="AP10574" s="21" t="s">
        <v>116</v>
      </c>
    </row>
  </sheetData>
  <autoFilter ref="C1:C10574" xr:uid="{3FE49B40-5F71-DB45-8ECF-8E368B32735D}"/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56CA93CE1A9914FB8C5DB56AB2BFC55" ma:contentTypeVersion="5" ma:contentTypeDescription="Create a new document." ma:contentTypeScope="" ma:versionID="c3e9a0f9ff81269d1ff3077cc7244839">
  <xsd:schema xmlns:xsd="http://www.w3.org/2001/XMLSchema" xmlns:xs="http://www.w3.org/2001/XMLSchema" xmlns:p="http://schemas.microsoft.com/office/2006/metadata/properties" xmlns:ns2="f3c07472-0b39-4f2c-ae35-ffb3cdc4d2cb" targetNamespace="http://schemas.microsoft.com/office/2006/metadata/properties" ma:root="true" ma:fieldsID="a3646d8db3f8d98af6b7126c6f5582e1" ns2:_="">
    <xsd:import namespace="f3c07472-0b39-4f2c-ae35-ffb3cdc4d2c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c07472-0b39-4f2c-ae35-ffb3cdc4d2c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71DEB41-2BED-4229-A34F-1F02DBFF933D}"/>
</file>

<file path=customXml/itemProps2.xml><?xml version="1.0" encoding="utf-8"?>
<ds:datastoreItem xmlns:ds="http://schemas.openxmlformats.org/officeDocument/2006/customXml" ds:itemID="{B357D435-B43C-4B3D-9303-94779620F460}"/>
</file>

<file path=customXml/itemProps3.xml><?xml version="1.0" encoding="utf-8"?>
<ds:datastoreItem xmlns:ds="http://schemas.openxmlformats.org/officeDocument/2006/customXml" ds:itemID="{4FA826DF-E96C-48D3-A6BC-3ABB91C65F7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Misael Medrano</dc:creator>
  <cp:keywords/>
  <dc:description/>
  <cp:lastModifiedBy>Aijaz Patel</cp:lastModifiedBy>
  <cp:revision/>
  <dcterms:created xsi:type="dcterms:W3CDTF">2019-12-13T20:26:31Z</dcterms:created>
  <dcterms:modified xsi:type="dcterms:W3CDTF">2021-01-06T17:18:37Z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0x010100156CA93CE1A9914FB8C5DB56AB2BFC55</vt:lpwstr>
  </property>
</Properties>
</file>